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nackovam\Documents\Rozpočet 2025\Normativní rozpočet 2025\"/>
    </mc:Choice>
  </mc:AlternateContent>
  <xr:revisionPtr revIDLastSave="0" documentId="13_ncr:1_{F97C3FFD-AE95-46D1-A2EB-D97451B55022}" xr6:coauthVersionLast="47" xr6:coauthVersionMax="47" xr10:uidLastSave="{00000000-0000-0000-0000-000000000000}"/>
  <bookViews>
    <workbookView xWindow="-120" yWindow="-120" windowWidth="29040" windowHeight="15840" tabRatio="829" activeTab="11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ČL!$G$1:$G$307</definedName>
    <definedName name="_xlnm._FilterDatabase" localSheetId="2" hidden="1">FR!$G$1:$G$513</definedName>
    <definedName name="_xlnm._FilterDatabase" localSheetId="9" hidden="1">JI!$G$1:$G$159</definedName>
    <definedName name="_xlnm._FilterDatabase" localSheetId="3" hidden="1">JN!$G$1:$G$206</definedName>
    <definedName name="_xlnm._FilterDatabase" localSheetId="1" hidden="1">LB!$G$1:$G$1416</definedName>
    <definedName name="_xlnm._FilterDatabase" localSheetId="7" hidden="1">NB!$G$1:$G$155</definedName>
    <definedName name="_xlnm._FilterDatabase" localSheetId="8" hidden="1">SM!$G$1:$G$184</definedName>
    <definedName name="_xlnm._FilterDatabase" localSheetId="4" hidden="1">TA!$G$1:$G$131</definedName>
    <definedName name="_xlnm._FilterDatabase" localSheetId="10" hidden="1">TU!$G$1:$G$219</definedName>
    <definedName name="_xlnm._FilterDatabase" localSheetId="5" hidden="1">ŽB!$G$1:$G$131</definedName>
    <definedName name="_xlnm.Print_Titles" localSheetId="2">FR!$5:$11</definedName>
    <definedName name="_xlnm.Print_Titles" localSheetId="1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127" i="44" l="1"/>
  <c r="AO126" i="44"/>
  <c r="AO125" i="44"/>
  <c r="AO124" i="44"/>
  <c r="AO123" i="44"/>
  <c r="AO122" i="44"/>
  <c r="AO120" i="44"/>
  <c r="AO119" i="44"/>
  <c r="AO118" i="44"/>
  <c r="AO117" i="44"/>
  <c r="AO116" i="44"/>
  <c r="AO115" i="44"/>
  <c r="AO114" i="44"/>
  <c r="AO113" i="44"/>
  <c r="AO111" i="44"/>
  <c r="AO109" i="44"/>
  <c r="AO108" i="44"/>
  <c r="AO107" i="44"/>
  <c r="AO106" i="44"/>
  <c r="AO105" i="44"/>
  <c r="AO103" i="44"/>
  <c r="AO101" i="44"/>
  <c r="AO100" i="44"/>
  <c r="AO99" i="44"/>
  <c r="AO97" i="44"/>
  <c r="AO96" i="44"/>
  <c r="AO95" i="44"/>
  <c r="AO94" i="44"/>
  <c r="AO93" i="44"/>
  <c r="AO91" i="44"/>
  <c r="AO90" i="44"/>
  <c r="AO89" i="44"/>
  <c r="AO87" i="44"/>
  <c r="AO86" i="44"/>
  <c r="AO85" i="44"/>
  <c r="AO83" i="44"/>
  <c r="AO82" i="44"/>
  <c r="AO81" i="44"/>
  <c r="AO80" i="44"/>
  <c r="AO79" i="44"/>
  <c r="AO78" i="44"/>
  <c r="AO76" i="44"/>
  <c r="AO75" i="44"/>
  <c r="AO74" i="44"/>
  <c r="AO73" i="44"/>
  <c r="AO72" i="44"/>
  <c r="AO71" i="44"/>
  <c r="AO69" i="44"/>
  <c r="AO68" i="44"/>
  <c r="AO67" i="44"/>
  <c r="AO66" i="44"/>
  <c r="AO65" i="44"/>
  <c r="AO64" i="44"/>
  <c r="AO62" i="44"/>
  <c r="AO61" i="44"/>
  <c r="AO60" i="44"/>
  <c r="AO59" i="44"/>
  <c r="AO58" i="44"/>
  <c r="AO57" i="44"/>
  <c r="AO55" i="44"/>
  <c r="AO54" i="44"/>
  <c r="AO53" i="44"/>
  <c r="AO52" i="44"/>
  <c r="AO51" i="44"/>
  <c r="AO50" i="44"/>
  <c r="AO48" i="44"/>
  <c r="AO47" i="44"/>
  <c r="AO46" i="44"/>
  <c r="AO45" i="44"/>
  <c r="AO44" i="44"/>
  <c r="AO43" i="44"/>
  <c r="AO41" i="44"/>
  <c r="AO40" i="44"/>
  <c r="AO39" i="44"/>
  <c r="AO38" i="44"/>
  <c r="AO37" i="44"/>
  <c r="AO36" i="44"/>
  <c r="AO34" i="44"/>
  <c r="AO33" i="44"/>
  <c r="AO32" i="44"/>
  <c r="AO31" i="44"/>
  <c r="AO30" i="44"/>
  <c r="AO29" i="44"/>
  <c r="AO27" i="44"/>
  <c r="AO26" i="44"/>
  <c r="AO25" i="44"/>
  <c r="AO24" i="44"/>
  <c r="AO23" i="44"/>
  <c r="AO22" i="44"/>
  <c r="AO21" i="44"/>
  <c r="AO20" i="44"/>
  <c r="AO18" i="44"/>
  <c r="AO17" i="44"/>
  <c r="AO16" i="44"/>
  <c r="AO15" i="44"/>
  <c r="AO189" i="29"/>
  <c r="AO188" i="29"/>
  <c r="AO187" i="29"/>
  <c r="AO186" i="29"/>
  <c r="AO185" i="29"/>
  <c r="AO184" i="29"/>
  <c r="AO182" i="29"/>
  <c r="AO181" i="29"/>
  <c r="AO180" i="29"/>
  <c r="AO179" i="29"/>
  <c r="AO178" i="29"/>
  <c r="AO176" i="29"/>
  <c r="AO175" i="29"/>
  <c r="AO173" i="29"/>
  <c r="AO172" i="29"/>
  <c r="AO171" i="29"/>
  <c r="AO170" i="29"/>
  <c r="AO169" i="29"/>
  <c r="AO168" i="29"/>
  <c r="AO166" i="29"/>
  <c r="AO165" i="29"/>
  <c r="AO164" i="29"/>
  <c r="AO162" i="29"/>
  <c r="AO161" i="29"/>
  <c r="AO160" i="29"/>
  <c r="AO159" i="29"/>
  <c r="AO157" i="29"/>
  <c r="AO156" i="29"/>
  <c r="AO155" i="29"/>
  <c r="AO153" i="29"/>
  <c r="AO152" i="29"/>
  <c r="AO151" i="29"/>
  <c r="AO150" i="29"/>
  <c r="AO149" i="29"/>
  <c r="AO148" i="29"/>
  <c r="AO146" i="29"/>
  <c r="AO145" i="29"/>
  <c r="AO144" i="29"/>
  <c r="AO143" i="29"/>
  <c r="AO142" i="29"/>
  <c r="AO141" i="29"/>
  <c r="AO140" i="29"/>
  <c r="AO138" i="29"/>
  <c r="AO136" i="29"/>
  <c r="AO135" i="29"/>
  <c r="AO134" i="29"/>
  <c r="AO133" i="29"/>
  <c r="AO132" i="29"/>
  <c r="AO130" i="29"/>
  <c r="AO129" i="29"/>
  <c r="AO128" i="29"/>
  <c r="AO127" i="29"/>
  <c r="AO126" i="29"/>
  <c r="AO124" i="29"/>
  <c r="AO123" i="29"/>
  <c r="AO122" i="29"/>
  <c r="AO121" i="29"/>
  <c r="AO120" i="29"/>
  <c r="AO118" i="29"/>
  <c r="AO117" i="29"/>
  <c r="AO116" i="29"/>
  <c r="AO115" i="29"/>
  <c r="AO114" i="29"/>
  <c r="AO112" i="29"/>
  <c r="AO111" i="29"/>
  <c r="AO110" i="29"/>
  <c r="AO109" i="29"/>
  <c r="AO108" i="29"/>
  <c r="AO106" i="29"/>
  <c r="AO105" i="29"/>
  <c r="AO104" i="29"/>
  <c r="AO103" i="29"/>
  <c r="AO102" i="29"/>
  <c r="AO100" i="29"/>
  <c r="AO99" i="29"/>
  <c r="AO98" i="29"/>
  <c r="AO97" i="29"/>
  <c r="AO96" i="29"/>
  <c r="AO94" i="29"/>
  <c r="AO93" i="29"/>
  <c r="AO92" i="29"/>
  <c r="AO91" i="29"/>
  <c r="AO90" i="29"/>
  <c r="AO88" i="29"/>
  <c r="AO87" i="29"/>
  <c r="AO86" i="29"/>
  <c r="AO85" i="29"/>
  <c r="AO84" i="29"/>
  <c r="AO82" i="29"/>
  <c r="AO81" i="29"/>
  <c r="AO80" i="29"/>
  <c r="AO79" i="29"/>
  <c r="AO77" i="29"/>
  <c r="AO76" i="29"/>
  <c r="AO75" i="29"/>
  <c r="AO73" i="29"/>
  <c r="AO72" i="29"/>
  <c r="AO71" i="29"/>
  <c r="AO69" i="29"/>
  <c r="AO68" i="29"/>
  <c r="AO67" i="29"/>
  <c r="AO65" i="29"/>
  <c r="AO64" i="29"/>
  <c r="AO63" i="29"/>
  <c r="AO61" i="29"/>
  <c r="AO60" i="29"/>
  <c r="AO59" i="29"/>
  <c r="AO57" i="29"/>
  <c r="AO56" i="29"/>
  <c r="AO54" i="29"/>
  <c r="AO53" i="29"/>
  <c r="AO52" i="29"/>
  <c r="AO50" i="29"/>
  <c r="AO49" i="29"/>
  <c r="AO48" i="29"/>
  <c r="AO46" i="29"/>
  <c r="AO45" i="29"/>
  <c r="AO44" i="29"/>
  <c r="AO42" i="29"/>
  <c r="AO41" i="29"/>
  <c r="AO40" i="29"/>
  <c r="AO38" i="29"/>
  <c r="AO37" i="29"/>
  <c r="AO36" i="29"/>
  <c r="AO34" i="29"/>
  <c r="AO33" i="29"/>
  <c r="AO32" i="29"/>
  <c r="AO30" i="29"/>
  <c r="AO29" i="29"/>
  <c r="AO27" i="29"/>
  <c r="AO26" i="29"/>
  <c r="AO25" i="29"/>
  <c r="AO23" i="29"/>
  <c r="AO22" i="29"/>
  <c r="AO21" i="29"/>
  <c r="AO19" i="29"/>
  <c r="AO18" i="29"/>
  <c r="AO16" i="29"/>
  <c r="AO15" i="29"/>
  <c r="AO98" i="30"/>
  <c r="AO97" i="30"/>
  <c r="AO96" i="30"/>
  <c r="AO95" i="30"/>
  <c r="AO94" i="30"/>
  <c r="AO93" i="30"/>
  <c r="AO91" i="30"/>
  <c r="AO90" i="30"/>
  <c r="AO89" i="30"/>
  <c r="AO88" i="30"/>
  <c r="AO87" i="30"/>
  <c r="AO86" i="30"/>
  <c r="AO84" i="30"/>
  <c r="AO83" i="30"/>
  <c r="AO82" i="30"/>
  <c r="AO80" i="30"/>
  <c r="AO79" i="30"/>
  <c r="AO78" i="30"/>
  <c r="AO77" i="30"/>
  <c r="AO76" i="30"/>
  <c r="AO74" i="30"/>
  <c r="AO73" i="30"/>
  <c r="AO72" i="30"/>
  <c r="AO70" i="30"/>
  <c r="AO69" i="30"/>
  <c r="AO68" i="30"/>
  <c r="AO67" i="30"/>
  <c r="AO66" i="30"/>
  <c r="AO64" i="30"/>
  <c r="AO63" i="30"/>
  <c r="AO62" i="30"/>
  <c r="AO60" i="30"/>
  <c r="AO59" i="30"/>
  <c r="AO58" i="30"/>
  <c r="AO57" i="30"/>
  <c r="AO56" i="30"/>
  <c r="AO55" i="30"/>
  <c r="AO53" i="30"/>
  <c r="AO52" i="30"/>
  <c r="AO51" i="30"/>
  <c r="AO50" i="30"/>
  <c r="AO49" i="30"/>
  <c r="AO47" i="30"/>
  <c r="AO46" i="30"/>
  <c r="AO45" i="30"/>
  <c r="AO43" i="30"/>
  <c r="AO42" i="30"/>
  <c r="AO41" i="30"/>
  <c r="AO40" i="30"/>
  <c r="AO39" i="30"/>
  <c r="AO38" i="30"/>
  <c r="AO36" i="30"/>
  <c r="AO35" i="30"/>
  <c r="AO34" i="30"/>
  <c r="AO33" i="30"/>
  <c r="AO32" i="30"/>
  <c r="AO31" i="30"/>
  <c r="AO29" i="30"/>
  <c r="AO27" i="30"/>
  <c r="AO26" i="30"/>
  <c r="AO25" i="30"/>
  <c r="AO24" i="30"/>
  <c r="AO22" i="30"/>
  <c r="AO21" i="30"/>
  <c r="AO20" i="30"/>
  <c r="AO19" i="30"/>
  <c r="AO18" i="30"/>
  <c r="AO16" i="30"/>
  <c r="AO14" i="30"/>
  <c r="AO72" i="31"/>
  <c r="AO71" i="31"/>
  <c r="AO70" i="31"/>
  <c r="AO69" i="31"/>
  <c r="AO68" i="31"/>
  <c r="AO66" i="31"/>
  <c r="AO65" i="31"/>
  <c r="AO63" i="31"/>
  <c r="AO62" i="31"/>
  <c r="AO61" i="31"/>
  <c r="AO60" i="31"/>
  <c r="AO59" i="31"/>
  <c r="AO58" i="31"/>
  <c r="AO56" i="31"/>
  <c r="AO55" i="31"/>
  <c r="AO54" i="31"/>
  <c r="AO53" i="31"/>
  <c r="AO51" i="31"/>
  <c r="AO50" i="31"/>
  <c r="AO49" i="31"/>
  <c r="AO47" i="31"/>
  <c r="AO46" i="31"/>
  <c r="AO45" i="31"/>
  <c r="AO44" i="31"/>
  <c r="AO42" i="31"/>
  <c r="AO41" i="31"/>
  <c r="AO39" i="31"/>
  <c r="AO37" i="31"/>
  <c r="AO36" i="31"/>
  <c r="AO35" i="31"/>
  <c r="AO34" i="31"/>
  <c r="AO33" i="31"/>
  <c r="AO31" i="31"/>
  <c r="AO30" i="31"/>
  <c r="AO29" i="31"/>
  <c r="AO28" i="31"/>
  <c r="AO27" i="31"/>
  <c r="AO26" i="31"/>
  <c r="AO24" i="31"/>
  <c r="AO22" i="31"/>
  <c r="AO21" i="31"/>
  <c r="AO20" i="31"/>
  <c r="AO18" i="31"/>
  <c r="AO17" i="31"/>
  <c r="AO16" i="31"/>
  <c r="AO14" i="31"/>
  <c r="AO291" i="32"/>
  <c r="AO289" i="32"/>
  <c r="AO288" i="32"/>
  <c r="AO287" i="32"/>
  <c r="AO286" i="32"/>
  <c r="AO285" i="32"/>
  <c r="AO284" i="32"/>
  <c r="AO282" i="32"/>
  <c r="AO281" i="32"/>
  <c r="AO280" i="32"/>
  <c r="AO279" i="32"/>
  <c r="AO278" i="32"/>
  <c r="AO277" i="32"/>
  <c r="AO275" i="32"/>
  <c r="AO274" i="32"/>
  <c r="AO273" i="32"/>
  <c r="AO272" i="32"/>
  <c r="AO271" i="32"/>
  <c r="AO270" i="32"/>
  <c r="AO268" i="32"/>
  <c r="AO267" i="32"/>
  <c r="AO266" i="32"/>
  <c r="AO265" i="32"/>
  <c r="AO264" i="32"/>
  <c r="AO263" i="32"/>
  <c r="AO261" i="32"/>
  <c r="AO260" i="32"/>
  <c r="AO259" i="32"/>
  <c r="AO258" i="32"/>
  <c r="AO257" i="32"/>
  <c r="AO256" i="32"/>
  <c r="AO254" i="32"/>
  <c r="AO253" i="32"/>
  <c r="AO252" i="32"/>
  <c r="AO251" i="32"/>
  <c r="AO250" i="32"/>
  <c r="AO249" i="32"/>
  <c r="AO247" i="32"/>
  <c r="AO246" i="32"/>
  <c r="AO244" i="32"/>
  <c r="AO243" i="32"/>
  <c r="AO242" i="32"/>
  <c r="AO241" i="32"/>
  <c r="AO240" i="32"/>
  <c r="AO239" i="32"/>
  <c r="AO237" i="32"/>
  <c r="AO236" i="32"/>
  <c r="AO235" i="32"/>
  <c r="AO233" i="32"/>
  <c r="AO232" i="32"/>
  <c r="AO231" i="32"/>
  <c r="AO230" i="32"/>
  <c r="AO229" i="32"/>
  <c r="AO228" i="32"/>
  <c r="AO226" i="32"/>
  <c r="AO225" i="32"/>
  <c r="AO224" i="32"/>
  <c r="AO223" i="32"/>
  <c r="AO222" i="32"/>
  <c r="AO221" i="32"/>
  <c r="AO219" i="32"/>
  <c r="AO218" i="32"/>
  <c r="AO217" i="32"/>
  <c r="AO215" i="32"/>
  <c r="AO213" i="32"/>
  <c r="AO212" i="32"/>
  <c r="AO211" i="32"/>
  <c r="AO210" i="32"/>
  <c r="AO209" i="32"/>
  <c r="AO208" i="32"/>
  <c r="AO207" i="32"/>
  <c r="AO206" i="32"/>
  <c r="AO204" i="32"/>
  <c r="AO203" i="32"/>
  <c r="AO202" i="32"/>
  <c r="AO201" i="32"/>
  <c r="AO200" i="32"/>
  <c r="AO198" i="32"/>
  <c r="AO197" i="32"/>
  <c r="AO196" i="32"/>
  <c r="AO194" i="32"/>
  <c r="AO193" i="32"/>
  <c r="AO192" i="32"/>
  <c r="AO191" i="32"/>
  <c r="AO190" i="32"/>
  <c r="AO189" i="32"/>
  <c r="AO187" i="32"/>
  <c r="AO186" i="32"/>
  <c r="AO185" i="32"/>
  <c r="AO184" i="32"/>
  <c r="AO183" i="32"/>
  <c r="AO181" i="32"/>
  <c r="AO180" i="32"/>
  <c r="AO179" i="32"/>
  <c r="AO177" i="32"/>
  <c r="AO176" i="32"/>
  <c r="AO175" i="32"/>
  <c r="AO174" i="32"/>
  <c r="AO173" i="32"/>
  <c r="AO172" i="32"/>
  <c r="AO170" i="32"/>
  <c r="AO169" i="32"/>
  <c r="AO168" i="32"/>
  <c r="AO167" i="32"/>
  <c r="AO166" i="32"/>
  <c r="AO165" i="32"/>
  <c r="AO163" i="32"/>
  <c r="AO162" i="32"/>
  <c r="AO161" i="32"/>
  <c r="AO160" i="32"/>
  <c r="AO159" i="32"/>
  <c r="AO158" i="32"/>
  <c r="AO156" i="32"/>
  <c r="AO155" i="32"/>
  <c r="AO154" i="32"/>
  <c r="AO153" i="32"/>
  <c r="AO152" i="32"/>
  <c r="AO151" i="32"/>
  <c r="AO149" i="32"/>
  <c r="AO148" i="32"/>
  <c r="AO147" i="32"/>
  <c r="AO145" i="32"/>
  <c r="AO143" i="32"/>
  <c r="AO142" i="32"/>
  <c r="AO141" i="32"/>
  <c r="AO140" i="32"/>
  <c r="AO139" i="32"/>
  <c r="AO138" i="32"/>
  <c r="AO136" i="32"/>
  <c r="AO135" i="32"/>
  <c r="AO134" i="32"/>
  <c r="AO133" i="32"/>
  <c r="AO132" i="32"/>
  <c r="AO131" i="32"/>
  <c r="AO129" i="32"/>
  <c r="AO128" i="32"/>
  <c r="AO127" i="32"/>
  <c r="AO126" i="32"/>
  <c r="AO125" i="32"/>
  <c r="AO123" i="32"/>
  <c r="AO122" i="32"/>
  <c r="AO121" i="32"/>
  <c r="AO119" i="32"/>
  <c r="AO118" i="32"/>
  <c r="AO117" i="32"/>
  <c r="AO116" i="32"/>
  <c r="AO115" i="32"/>
  <c r="AO114" i="32"/>
  <c r="AO112" i="32"/>
  <c r="AO111" i="32"/>
  <c r="AO110" i="32"/>
  <c r="AO108" i="32"/>
  <c r="AO106" i="32"/>
  <c r="AO105" i="32"/>
  <c r="AO104" i="32"/>
  <c r="AO103" i="32"/>
  <c r="AO102" i="32"/>
  <c r="AO101" i="32"/>
  <c r="AO100" i="32"/>
  <c r="AO99" i="32"/>
  <c r="AO98" i="32"/>
  <c r="AO97" i="32"/>
  <c r="AO95" i="32"/>
  <c r="AO94" i="32"/>
  <c r="AO93" i="32"/>
  <c r="AO92" i="32"/>
  <c r="AO91" i="32"/>
  <c r="AO89" i="32"/>
  <c r="AO88" i="32"/>
  <c r="AO87" i="32"/>
  <c r="AO86" i="32"/>
  <c r="AO85" i="32"/>
  <c r="AO83" i="32"/>
  <c r="AO82" i="32"/>
  <c r="AO81" i="32"/>
  <c r="AO80" i="32"/>
  <c r="AO79" i="32"/>
  <c r="AO78" i="32"/>
  <c r="AO76" i="32"/>
  <c r="AO75" i="32"/>
  <c r="AO74" i="32"/>
  <c r="AO73" i="32"/>
  <c r="AO72" i="32"/>
  <c r="AO70" i="32"/>
  <c r="AO69" i="32"/>
  <c r="AO68" i="32"/>
  <c r="AO67" i="32"/>
  <c r="AO66" i="32"/>
  <c r="AO64" i="32"/>
  <c r="AO63" i="32"/>
  <c r="AO62" i="32"/>
  <c r="AO61" i="32"/>
  <c r="AO60" i="32"/>
  <c r="AO59" i="32"/>
  <c r="AO57" i="32"/>
  <c r="AO56" i="32"/>
  <c r="AO55" i="32"/>
  <c r="AO54" i="32"/>
  <c r="AO53" i="32"/>
  <c r="AO51" i="32"/>
  <c r="AO50" i="32"/>
  <c r="AO49" i="32"/>
  <c r="AO48" i="32"/>
  <c r="AO47" i="32"/>
  <c r="AO46" i="32"/>
  <c r="AO44" i="32"/>
  <c r="AO42" i="32"/>
  <c r="AO41" i="32"/>
  <c r="AO40" i="32"/>
  <c r="AO38" i="32"/>
  <c r="AO37" i="32"/>
  <c r="AO36" i="32"/>
  <c r="AO34" i="32"/>
  <c r="AO33" i="32"/>
  <c r="AO32" i="32"/>
  <c r="AO30" i="32"/>
  <c r="AO29" i="32"/>
  <c r="AO28" i="32"/>
  <c r="AO26" i="32"/>
  <c r="AO25" i="32"/>
  <c r="AO24" i="32"/>
  <c r="AO23" i="32"/>
  <c r="AO21" i="32"/>
  <c r="AO20" i="32"/>
  <c r="AO19" i="32"/>
  <c r="AO18" i="32"/>
  <c r="AO16" i="32"/>
  <c r="AO15" i="32"/>
  <c r="AO122" i="39"/>
  <c r="AO121" i="39"/>
  <c r="AO120" i="39"/>
  <c r="AO119" i="39"/>
  <c r="AO117" i="39"/>
  <c r="AO116" i="39"/>
  <c r="AO115" i="39"/>
  <c r="AO113" i="39"/>
  <c r="BS113" i="39" s="1"/>
  <c r="AO112" i="39"/>
  <c r="AO111" i="39"/>
  <c r="AO110" i="39"/>
  <c r="AO109" i="39"/>
  <c r="AO108" i="39"/>
  <c r="AO106" i="39"/>
  <c r="BS106" i="39" s="1"/>
  <c r="AO105" i="39"/>
  <c r="AO104" i="39"/>
  <c r="AO103" i="39"/>
  <c r="AO102" i="39"/>
  <c r="AO101" i="39"/>
  <c r="AO99" i="39"/>
  <c r="AO98" i="39"/>
  <c r="BS98" i="39" s="1"/>
  <c r="AO97" i="39"/>
  <c r="AO96" i="39"/>
  <c r="AO95" i="39"/>
  <c r="AO94" i="39"/>
  <c r="AO92" i="39"/>
  <c r="AO91" i="39"/>
  <c r="AO90" i="39"/>
  <c r="AO89" i="39"/>
  <c r="BS89" i="39" s="1"/>
  <c r="AO88" i="39"/>
  <c r="BS88" i="39" s="1"/>
  <c r="AO87" i="39"/>
  <c r="AO85" i="39"/>
  <c r="BS85" i="39" s="1"/>
  <c r="AO84" i="39"/>
  <c r="AO83" i="39"/>
  <c r="AO82" i="39"/>
  <c r="AO81" i="39"/>
  <c r="AO80" i="39"/>
  <c r="AO78" i="39"/>
  <c r="AO77" i="39"/>
  <c r="AO76" i="39"/>
  <c r="AO75" i="39"/>
  <c r="AO74" i="39"/>
  <c r="AO73" i="39"/>
  <c r="AO71" i="39"/>
  <c r="AO70" i="39"/>
  <c r="BS70" i="39" s="1"/>
  <c r="AO69" i="39"/>
  <c r="AO68" i="39"/>
  <c r="AO67" i="39"/>
  <c r="BS67" i="39" s="1"/>
  <c r="AO66" i="39"/>
  <c r="AO64" i="39"/>
  <c r="AO63" i="39"/>
  <c r="AO62" i="39"/>
  <c r="AO61" i="39"/>
  <c r="BS61" i="39" s="1"/>
  <c r="AO60" i="39"/>
  <c r="AO59" i="39"/>
  <c r="AO57" i="39"/>
  <c r="BS57" i="39" s="1"/>
  <c r="BS58" i="39" s="1"/>
  <c r="AO55" i="39"/>
  <c r="AO54" i="39"/>
  <c r="AO53" i="39"/>
  <c r="AO52" i="39"/>
  <c r="AO51" i="39"/>
  <c r="AO49" i="39"/>
  <c r="BS49" i="39" s="1"/>
  <c r="AO48" i="39"/>
  <c r="AO47" i="39"/>
  <c r="AO45" i="39"/>
  <c r="AO43" i="39"/>
  <c r="AO41" i="39"/>
  <c r="AO40" i="39"/>
  <c r="AO39" i="39"/>
  <c r="BS39" i="39" s="1"/>
  <c r="AO38" i="39"/>
  <c r="AO37" i="39"/>
  <c r="AO35" i="39"/>
  <c r="AO34" i="39"/>
  <c r="AO33" i="39"/>
  <c r="AO32" i="39"/>
  <c r="AO31" i="39"/>
  <c r="AO29" i="39"/>
  <c r="BS29" i="39" s="1"/>
  <c r="AO28" i="39"/>
  <c r="AO27" i="39"/>
  <c r="AO26" i="39"/>
  <c r="BS26" i="39" s="1"/>
  <c r="AO25" i="39"/>
  <c r="AO23" i="39"/>
  <c r="AO22" i="39"/>
  <c r="AO21" i="39"/>
  <c r="AO20" i="39"/>
  <c r="BS20" i="39" s="1"/>
  <c r="AO19" i="39"/>
  <c r="AO17" i="39"/>
  <c r="AO16" i="39"/>
  <c r="BS16" i="39" s="1"/>
  <c r="AO15" i="39"/>
  <c r="AO164" i="40"/>
  <c r="AO163" i="40"/>
  <c r="AO162" i="40"/>
  <c r="AO160" i="40"/>
  <c r="AO159" i="40"/>
  <c r="AO158" i="40"/>
  <c r="AO157" i="40"/>
  <c r="BS157" i="40" s="1"/>
  <c r="AO156" i="40"/>
  <c r="AO154" i="40"/>
  <c r="AO153" i="40"/>
  <c r="AO152" i="40"/>
  <c r="AO150" i="40"/>
  <c r="AO149" i="40"/>
  <c r="AO148" i="40"/>
  <c r="AO147" i="40"/>
  <c r="AO146" i="40"/>
  <c r="AO145" i="40"/>
  <c r="AO143" i="40"/>
  <c r="AO142" i="40"/>
  <c r="AO141" i="40"/>
  <c r="AO140" i="40"/>
  <c r="AO139" i="40"/>
  <c r="AO138" i="40"/>
  <c r="AO136" i="40"/>
  <c r="BS136" i="40" s="1"/>
  <c r="AO135" i="40"/>
  <c r="AO134" i="40"/>
  <c r="AO133" i="40"/>
  <c r="AO132" i="40"/>
  <c r="AO131" i="40"/>
  <c r="AO129" i="40"/>
  <c r="AO128" i="40"/>
  <c r="BS128" i="40" s="1"/>
  <c r="AO126" i="40"/>
  <c r="AO125" i="40"/>
  <c r="AO123" i="40"/>
  <c r="AO122" i="40"/>
  <c r="AO121" i="40"/>
  <c r="AO120" i="40"/>
  <c r="AO119" i="40"/>
  <c r="AO117" i="40"/>
  <c r="AO116" i="40"/>
  <c r="AO115" i="40"/>
  <c r="AO113" i="40"/>
  <c r="AO112" i="40"/>
  <c r="AO111" i="40"/>
  <c r="AO109" i="40"/>
  <c r="AO107" i="40"/>
  <c r="AO106" i="40"/>
  <c r="BS106" i="40" s="1"/>
  <c r="AO105" i="40"/>
  <c r="BS105" i="40" s="1"/>
  <c r="AO104" i="40"/>
  <c r="AO103" i="40"/>
  <c r="AO101" i="40"/>
  <c r="AO100" i="40"/>
  <c r="AO99" i="40"/>
  <c r="AO97" i="40"/>
  <c r="AO96" i="40"/>
  <c r="BS96" i="40" s="1"/>
  <c r="AO95" i="40"/>
  <c r="BS95" i="40" s="1"/>
  <c r="AO94" i="40"/>
  <c r="AO93" i="40"/>
  <c r="AO91" i="40"/>
  <c r="AO90" i="40"/>
  <c r="AO89" i="40"/>
  <c r="AO87" i="40"/>
  <c r="AO86" i="40"/>
  <c r="BS86" i="40" s="1"/>
  <c r="AO85" i="40"/>
  <c r="BS85" i="40" s="1"/>
  <c r="AO84" i="40"/>
  <c r="AO83" i="40"/>
  <c r="AO82" i="40"/>
  <c r="AO80" i="40"/>
  <c r="AO79" i="40"/>
  <c r="AO78" i="40"/>
  <c r="AO77" i="40"/>
  <c r="AO76" i="40"/>
  <c r="AO75" i="40"/>
  <c r="AO73" i="40"/>
  <c r="AO72" i="40"/>
  <c r="AO71" i="40"/>
  <c r="AO70" i="40"/>
  <c r="AO69" i="40"/>
  <c r="AO68" i="40"/>
  <c r="BS68" i="40" s="1"/>
  <c r="AO66" i="40"/>
  <c r="AO65" i="40"/>
  <c r="AO64" i="40"/>
  <c r="AO63" i="40"/>
  <c r="AO62" i="40"/>
  <c r="AO61" i="40"/>
  <c r="AO59" i="40"/>
  <c r="AO58" i="40"/>
  <c r="BS58" i="40" s="1"/>
  <c r="AO57" i="40"/>
  <c r="AO56" i="40"/>
  <c r="AO55" i="40"/>
  <c r="AO54" i="40"/>
  <c r="AO52" i="40"/>
  <c r="AO50" i="40"/>
  <c r="AO49" i="40"/>
  <c r="AO48" i="40"/>
  <c r="AO47" i="40"/>
  <c r="BS47" i="40" s="1"/>
  <c r="AO46" i="40"/>
  <c r="AO45" i="40"/>
  <c r="AO43" i="40"/>
  <c r="AO42" i="40"/>
  <c r="AO41" i="40"/>
  <c r="AO40" i="40"/>
  <c r="AO39" i="40"/>
  <c r="BS39" i="40" s="1"/>
  <c r="AO37" i="40"/>
  <c r="BS37" i="40" s="1"/>
  <c r="AO36" i="40"/>
  <c r="AO35" i="40"/>
  <c r="AO34" i="40"/>
  <c r="AO33" i="40"/>
  <c r="AO31" i="40"/>
  <c r="AO30" i="40"/>
  <c r="AO29" i="40"/>
  <c r="BS29" i="40" s="1"/>
  <c r="AO28" i="40"/>
  <c r="AO27" i="40"/>
  <c r="AO26" i="40"/>
  <c r="AO24" i="40"/>
  <c r="AO22" i="40"/>
  <c r="AO21" i="40"/>
  <c r="AO20" i="40"/>
  <c r="AO18" i="40"/>
  <c r="AO17" i="40"/>
  <c r="AO16" i="40"/>
  <c r="AO14" i="40"/>
  <c r="AO136" i="41"/>
  <c r="AO135" i="41"/>
  <c r="AO134" i="41"/>
  <c r="AO133" i="41"/>
  <c r="AO132" i="41"/>
  <c r="AO131" i="41"/>
  <c r="AO129" i="41"/>
  <c r="AO128" i="41"/>
  <c r="BS128" i="41" s="1"/>
  <c r="AO127" i="41"/>
  <c r="AO126" i="41"/>
  <c r="AO125" i="41"/>
  <c r="AO123" i="41"/>
  <c r="AO122" i="41"/>
  <c r="AO121" i="41"/>
  <c r="AO119" i="41"/>
  <c r="AO118" i="41"/>
  <c r="AO117" i="41"/>
  <c r="AO116" i="41"/>
  <c r="AO115" i="41"/>
  <c r="AO114" i="41"/>
  <c r="AO113" i="41"/>
  <c r="AO111" i="41"/>
  <c r="AO110" i="41"/>
  <c r="AO109" i="41"/>
  <c r="AO108" i="41"/>
  <c r="AO107" i="41"/>
  <c r="AO106" i="41"/>
  <c r="AO104" i="41"/>
  <c r="AO103" i="41"/>
  <c r="AO102" i="41"/>
  <c r="AO101" i="41"/>
  <c r="AO100" i="41"/>
  <c r="AO99" i="41"/>
  <c r="AO98" i="41"/>
  <c r="AO96" i="41"/>
  <c r="AO95" i="41"/>
  <c r="AO94" i="41"/>
  <c r="AO92" i="41"/>
  <c r="AO91" i="41"/>
  <c r="AO90" i="41"/>
  <c r="BS90" i="41" s="1"/>
  <c r="AO89" i="41"/>
  <c r="AO88" i="41"/>
  <c r="AO86" i="41"/>
  <c r="AO85" i="41"/>
  <c r="AO84" i="41"/>
  <c r="AO82" i="41"/>
  <c r="AO81" i="41"/>
  <c r="AO80" i="41"/>
  <c r="AO78" i="41"/>
  <c r="AO77" i="41"/>
  <c r="AO76" i="41"/>
  <c r="AO75" i="41"/>
  <c r="AO74" i="41"/>
  <c r="AO73" i="41"/>
  <c r="AO71" i="41"/>
  <c r="BS71" i="41" s="1"/>
  <c r="AO70" i="41"/>
  <c r="AO69" i="41"/>
  <c r="AO68" i="41"/>
  <c r="AO67" i="41"/>
  <c r="AO66" i="41"/>
  <c r="AO64" i="41"/>
  <c r="AO63" i="41"/>
  <c r="AO62" i="41"/>
  <c r="AO60" i="41"/>
  <c r="BS60" i="41" s="1"/>
  <c r="AO59" i="41"/>
  <c r="AO57" i="41"/>
  <c r="AO56" i="41"/>
  <c r="AO55" i="41"/>
  <c r="AO54" i="41"/>
  <c r="AO53" i="41"/>
  <c r="AO52" i="41"/>
  <c r="AO51" i="41"/>
  <c r="AO49" i="41"/>
  <c r="AO48" i="41"/>
  <c r="AO47" i="41"/>
  <c r="AO46" i="41"/>
  <c r="AO45" i="41"/>
  <c r="AO44" i="41"/>
  <c r="AO42" i="41"/>
  <c r="BS42" i="41" s="1"/>
  <c r="AO41" i="41"/>
  <c r="AO40" i="41"/>
  <c r="AO39" i="41"/>
  <c r="AO38" i="41"/>
  <c r="AO37" i="41"/>
  <c r="AO35" i="41"/>
  <c r="AO34" i="41"/>
  <c r="AO33" i="41"/>
  <c r="AO32" i="41"/>
  <c r="BS32" i="41" s="1"/>
  <c r="AO31" i="41"/>
  <c r="AO30" i="41"/>
  <c r="AO28" i="41"/>
  <c r="AO26" i="41"/>
  <c r="AO25" i="41"/>
  <c r="AO24" i="41"/>
  <c r="AO23" i="41"/>
  <c r="AO22" i="41"/>
  <c r="AO20" i="41"/>
  <c r="AO19" i="41"/>
  <c r="AO18" i="41"/>
  <c r="AO17" i="41"/>
  <c r="AO15" i="41"/>
  <c r="AO14" i="41"/>
  <c r="AO197" i="42"/>
  <c r="AO196" i="42"/>
  <c r="AO195" i="42"/>
  <c r="AO194" i="42"/>
  <c r="AO193" i="42"/>
  <c r="AO192" i="42"/>
  <c r="AO190" i="42"/>
  <c r="AO189" i="42"/>
  <c r="BS189" i="42" s="1"/>
  <c r="AO188" i="42"/>
  <c r="BS188" i="42" s="1"/>
  <c r="AO187" i="42"/>
  <c r="AO186" i="42"/>
  <c r="AO184" i="42"/>
  <c r="AO183" i="42"/>
  <c r="AO182" i="42"/>
  <c r="AO181" i="42"/>
  <c r="AO180" i="42"/>
  <c r="BS180" i="42" s="1"/>
  <c r="AO178" i="42"/>
  <c r="BS178" i="42" s="1"/>
  <c r="AO177" i="42"/>
  <c r="AO176" i="42"/>
  <c r="AO175" i="42"/>
  <c r="AO174" i="42"/>
  <c r="AO173" i="42"/>
  <c r="AO171" i="42"/>
  <c r="AO170" i="42"/>
  <c r="BS170" i="42" s="1"/>
  <c r="AO169" i="42"/>
  <c r="BS169" i="42" s="1"/>
  <c r="AO168" i="42"/>
  <c r="AO167" i="42"/>
  <c r="AO165" i="42"/>
  <c r="AO164" i="42"/>
  <c r="AO163" i="42"/>
  <c r="AO161" i="42"/>
  <c r="AO160" i="42"/>
  <c r="BS160" i="42" s="1"/>
  <c r="AO159" i="42"/>
  <c r="AO158" i="42"/>
  <c r="AO157" i="42"/>
  <c r="AO155" i="42"/>
  <c r="AO154" i="42"/>
  <c r="AO152" i="42"/>
  <c r="AO151" i="42"/>
  <c r="AO150" i="42"/>
  <c r="AO149" i="42"/>
  <c r="AO147" i="42"/>
  <c r="AO146" i="42"/>
  <c r="BS146" i="42" s="1"/>
  <c r="AO144" i="42"/>
  <c r="AO143" i="42"/>
  <c r="AO142" i="42"/>
  <c r="AO141" i="42"/>
  <c r="BS141" i="42" s="1"/>
  <c r="AO140" i="42"/>
  <c r="BS140" i="42" s="1"/>
  <c r="AO139" i="42"/>
  <c r="AO137" i="42"/>
  <c r="AO136" i="42"/>
  <c r="AO134" i="42"/>
  <c r="AO133" i="42"/>
  <c r="AO132" i="42"/>
  <c r="AO130" i="42"/>
  <c r="AO129" i="42"/>
  <c r="AO128" i="42"/>
  <c r="AO127" i="42"/>
  <c r="AO126" i="42"/>
  <c r="AO124" i="42"/>
  <c r="AO123" i="42"/>
  <c r="AO122" i="42"/>
  <c r="BS122" i="42" s="1"/>
  <c r="AO120" i="42"/>
  <c r="BS120" i="42" s="1"/>
  <c r="AO119" i="42"/>
  <c r="AO118" i="42"/>
  <c r="BS118" i="42" s="1"/>
  <c r="AO117" i="42"/>
  <c r="AO116" i="42"/>
  <c r="AO114" i="42"/>
  <c r="AO113" i="42"/>
  <c r="AO111" i="42"/>
  <c r="BS111" i="42" s="1"/>
  <c r="AO110" i="42"/>
  <c r="AO109" i="42"/>
  <c r="BS109" i="42" s="1"/>
  <c r="AO108" i="42"/>
  <c r="AO107" i="42"/>
  <c r="AO106" i="42"/>
  <c r="AO104" i="42"/>
  <c r="AO103" i="42"/>
  <c r="AO102" i="42"/>
  <c r="AO101" i="42"/>
  <c r="AO100" i="42"/>
  <c r="AO98" i="42"/>
  <c r="AO97" i="42"/>
  <c r="AO96" i="42"/>
  <c r="AO94" i="42"/>
  <c r="AO93" i="42"/>
  <c r="AO92" i="42"/>
  <c r="AO91" i="42"/>
  <c r="AO90" i="42"/>
  <c r="BS90" i="42" s="1"/>
  <c r="AO88" i="42"/>
  <c r="AO87" i="42"/>
  <c r="AO86" i="42"/>
  <c r="BS86" i="42" s="1"/>
  <c r="AO84" i="42"/>
  <c r="AO83" i="42"/>
  <c r="AO82" i="42"/>
  <c r="AO81" i="42"/>
  <c r="AO80" i="42"/>
  <c r="BS80" i="42" s="1"/>
  <c r="AO79" i="42"/>
  <c r="BS79" i="42" s="1"/>
  <c r="AO77" i="42"/>
  <c r="AO75" i="42"/>
  <c r="AO74" i="42"/>
  <c r="AO73" i="42"/>
  <c r="AO72" i="42"/>
  <c r="BS72" i="42" s="1"/>
  <c r="AO71" i="42"/>
  <c r="AO70" i="42"/>
  <c r="AO68" i="42"/>
  <c r="BS68" i="42" s="1"/>
  <c r="AO67" i="42"/>
  <c r="AO66" i="42"/>
  <c r="AO65" i="42"/>
  <c r="AO63" i="42"/>
  <c r="AO62" i="42"/>
  <c r="AO61" i="42"/>
  <c r="BS61" i="42" s="1"/>
  <c r="AO60" i="42"/>
  <c r="AO57" i="42"/>
  <c r="BS57" i="42" s="1"/>
  <c r="AO56" i="42"/>
  <c r="AO55" i="42"/>
  <c r="AO54" i="42"/>
  <c r="AO53" i="42"/>
  <c r="AO51" i="42"/>
  <c r="BS51" i="42" s="1"/>
  <c r="AO50" i="42"/>
  <c r="AO49" i="42"/>
  <c r="AO48" i="42"/>
  <c r="AO45" i="42"/>
  <c r="AO43" i="42"/>
  <c r="BS43" i="42" s="1"/>
  <c r="AO42" i="42"/>
  <c r="BS42" i="42" s="1"/>
  <c r="AO41" i="42"/>
  <c r="AO39" i="42"/>
  <c r="AO38" i="42"/>
  <c r="AO36" i="42"/>
  <c r="AO35" i="42"/>
  <c r="AO34" i="42"/>
  <c r="AO32" i="42"/>
  <c r="AO31" i="42"/>
  <c r="AO30" i="42"/>
  <c r="AO28" i="42"/>
  <c r="BS28" i="42" s="1"/>
  <c r="AO27" i="42"/>
  <c r="AO26" i="42"/>
  <c r="AO24" i="42"/>
  <c r="BS24" i="42" s="1"/>
  <c r="AO23" i="42"/>
  <c r="AO22" i="42"/>
  <c r="BS22" i="42" s="1"/>
  <c r="AO20" i="42"/>
  <c r="BS20" i="42" s="1"/>
  <c r="AO19" i="42"/>
  <c r="AO18" i="42"/>
  <c r="AO17" i="42"/>
  <c r="AO16" i="42"/>
  <c r="AO15" i="42"/>
  <c r="BS15" i="42" s="1"/>
  <c r="AO14" i="42"/>
  <c r="AO13" i="42"/>
  <c r="AO12" i="42"/>
  <c r="AO13" i="41"/>
  <c r="AO12" i="41"/>
  <c r="BS12" i="41" s="1"/>
  <c r="AO13" i="40"/>
  <c r="BS13" i="40" s="1"/>
  <c r="AO12" i="40"/>
  <c r="AO14" i="39"/>
  <c r="AO12" i="39"/>
  <c r="AO14" i="32"/>
  <c r="AO12" i="32"/>
  <c r="AO13" i="31"/>
  <c r="AO12" i="31"/>
  <c r="AO13" i="30"/>
  <c r="AO12" i="30"/>
  <c r="AO14" i="44"/>
  <c r="AO12" i="44"/>
  <c r="AO14" i="29"/>
  <c r="AO12" i="29"/>
  <c r="BD128" i="44"/>
  <c r="BD121" i="44"/>
  <c r="BD112" i="44"/>
  <c r="BD110" i="44"/>
  <c r="BD104" i="44"/>
  <c r="BD102" i="44"/>
  <c r="BD98" i="44"/>
  <c r="BD92" i="44"/>
  <c r="BD88" i="44"/>
  <c r="BD84" i="44"/>
  <c r="BD77" i="44"/>
  <c r="BD70" i="44"/>
  <c r="BD63" i="44"/>
  <c r="BD56" i="44"/>
  <c r="BD49" i="44"/>
  <c r="BD42" i="44"/>
  <c r="BD35" i="44"/>
  <c r="BD28" i="44"/>
  <c r="BD19" i="44"/>
  <c r="BD13" i="44"/>
  <c r="AK128" i="44"/>
  <c r="AK121" i="44"/>
  <c r="AK112" i="44"/>
  <c r="AK110" i="44"/>
  <c r="AK104" i="44"/>
  <c r="AK102" i="44"/>
  <c r="AK98" i="44"/>
  <c r="AK92" i="44"/>
  <c r="AK88" i="44"/>
  <c r="AK84" i="44"/>
  <c r="AK77" i="44"/>
  <c r="AK70" i="44"/>
  <c r="AK63" i="44"/>
  <c r="AK56" i="44"/>
  <c r="AK49" i="44"/>
  <c r="AK42" i="44"/>
  <c r="AK35" i="44"/>
  <c r="AK28" i="44"/>
  <c r="AK19" i="44"/>
  <c r="AK13" i="44"/>
  <c r="AB128" i="44"/>
  <c r="AB121" i="44"/>
  <c r="AB112" i="44"/>
  <c r="AB110" i="44"/>
  <c r="AB104" i="44"/>
  <c r="AB102" i="44"/>
  <c r="AB98" i="44"/>
  <c r="AB92" i="44"/>
  <c r="AB88" i="44"/>
  <c r="AB84" i="44"/>
  <c r="AB77" i="44"/>
  <c r="AB70" i="44"/>
  <c r="AB63" i="44"/>
  <c r="AB56" i="44"/>
  <c r="AB49" i="44"/>
  <c r="AB42" i="44"/>
  <c r="AB35" i="44"/>
  <c r="AB28" i="44"/>
  <c r="AB19" i="44"/>
  <c r="AB13" i="44"/>
  <c r="AK140" i="44"/>
  <c r="AK136" i="44"/>
  <c r="AK133" i="44"/>
  <c r="AK139" i="44"/>
  <c r="AK134" i="44"/>
  <c r="BD463" i="43"/>
  <c r="BD459" i="43"/>
  <c r="BD456" i="43"/>
  <c r="BD449" i="43"/>
  <c r="BD442" i="43"/>
  <c r="BD435" i="43"/>
  <c r="BD428" i="43"/>
  <c r="BD421" i="43"/>
  <c r="BD414" i="43"/>
  <c r="BD407" i="43"/>
  <c r="BD400" i="43"/>
  <c r="BD393" i="43"/>
  <c r="BD389" i="43"/>
  <c r="BD383" i="43"/>
  <c r="BD376" i="43"/>
  <c r="BD374" i="43"/>
  <c r="BD370" i="43"/>
  <c r="BD363" i="43"/>
  <c r="BD358" i="43"/>
  <c r="BD351" i="43"/>
  <c r="BD345" i="43"/>
  <c r="BD336" i="43"/>
  <c r="BD332" i="43"/>
  <c r="BD328" i="43"/>
  <c r="BD324" i="43"/>
  <c r="BD322" i="43"/>
  <c r="BD316" i="43"/>
  <c r="BD312" i="43"/>
  <c r="BD305" i="43"/>
  <c r="BD298" i="43"/>
  <c r="BD296" i="43"/>
  <c r="BD288" i="43"/>
  <c r="BD283" i="43"/>
  <c r="BD276" i="43"/>
  <c r="BD272" i="43"/>
  <c r="BD266" i="43"/>
  <c r="BD262" i="43"/>
  <c r="BD258" i="43"/>
  <c r="BD256" i="43"/>
  <c r="BD249" i="43"/>
  <c r="BD243" i="43"/>
  <c r="BD237" i="43"/>
  <c r="BD231" i="43"/>
  <c r="BD225" i="43"/>
  <c r="BD219" i="43"/>
  <c r="BD213" i="43"/>
  <c r="BD206" i="43"/>
  <c r="BD200" i="43"/>
  <c r="BD194" i="43"/>
  <c r="BD187" i="43"/>
  <c r="BD180" i="43"/>
  <c r="BD174" i="43"/>
  <c r="BD168" i="43"/>
  <c r="BD162" i="43"/>
  <c r="BD157" i="43"/>
  <c r="BD151" i="43"/>
  <c r="BD145" i="43"/>
  <c r="BD139" i="43"/>
  <c r="BD132" i="43"/>
  <c r="BD125" i="43"/>
  <c r="BD120" i="43"/>
  <c r="BD116" i="43"/>
  <c r="BD113" i="43"/>
  <c r="BD109" i="43"/>
  <c r="BD105" i="43"/>
  <c r="BD102" i="43"/>
  <c r="BD98" i="43"/>
  <c r="BD94" i="43"/>
  <c r="BD90" i="43"/>
  <c r="BD86" i="43"/>
  <c r="BD82" i="43"/>
  <c r="BD79" i="43"/>
  <c r="BD75" i="43"/>
  <c r="BD70" i="43"/>
  <c r="BD67" i="43"/>
  <c r="BD63" i="43"/>
  <c r="BD59" i="43"/>
  <c r="BD55" i="43"/>
  <c r="BD52" i="43"/>
  <c r="BD49" i="43"/>
  <c r="BD46" i="43"/>
  <c r="BD42" i="43"/>
  <c r="BD39" i="43"/>
  <c r="BD35" i="43"/>
  <c r="BD31" i="43"/>
  <c r="BD27" i="43"/>
  <c r="BD22" i="43"/>
  <c r="BD18" i="43"/>
  <c r="BD13" i="43"/>
  <c r="AK463" i="43"/>
  <c r="AK459" i="43"/>
  <c r="AK456" i="43"/>
  <c r="AK449" i="43"/>
  <c r="AK442" i="43"/>
  <c r="AK435" i="43"/>
  <c r="AK428" i="43"/>
  <c r="AK421" i="43"/>
  <c r="AK414" i="43"/>
  <c r="AK407" i="43"/>
  <c r="AK400" i="43"/>
  <c r="AK393" i="43"/>
  <c r="AK389" i="43"/>
  <c r="AK383" i="43"/>
  <c r="AK376" i="43"/>
  <c r="AK374" i="43"/>
  <c r="AK370" i="43"/>
  <c r="AK363" i="43"/>
  <c r="AK358" i="43"/>
  <c r="AK351" i="43"/>
  <c r="AK345" i="43"/>
  <c r="AK336" i="43"/>
  <c r="AK332" i="43"/>
  <c r="AK328" i="43"/>
  <c r="AK324" i="43"/>
  <c r="AK322" i="43"/>
  <c r="AK316" i="43"/>
  <c r="AK312" i="43"/>
  <c r="AK305" i="43"/>
  <c r="AK298" i="43"/>
  <c r="AK296" i="43"/>
  <c r="AK288" i="43"/>
  <c r="AK283" i="43"/>
  <c r="AK276" i="43"/>
  <c r="AK272" i="43"/>
  <c r="AK266" i="43"/>
  <c r="AK262" i="43"/>
  <c r="AK258" i="43"/>
  <c r="AK256" i="43"/>
  <c r="AK249" i="43"/>
  <c r="AK243" i="43"/>
  <c r="AK237" i="43"/>
  <c r="AK231" i="43"/>
  <c r="AK225" i="43"/>
  <c r="AK219" i="43"/>
  <c r="AK213" i="43"/>
  <c r="AK206" i="43"/>
  <c r="AK200" i="43"/>
  <c r="AK194" i="43"/>
  <c r="AK187" i="43"/>
  <c r="AK180" i="43"/>
  <c r="AK174" i="43"/>
  <c r="AK168" i="43"/>
  <c r="AK162" i="43"/>
  <c r="AK157" i="43"/>
  <c r="AK151" i="43"/>
  <c r="AK145" i="43"/>
  <c r="AK139" i="43"/>
  <c r="AK132" i="43"/>
  <c r="AK125" i="43"/>
  <c r="AK120" i="43"/>
  <c r="AK116" i="43"/>
  <c r="AK113" i="43"/>
  <c r="AK109" i="43"/>
  <c r="AK105" i="43"/>
  <c r="AK102" i="43"/>
  <c r="AK98" i="43"/>
  <c r="AK94" i="43"/>
  <c r="AK90" i="43"/>
  <c r="AK86" i="43"/>
  <c r="AK82" i="43"/>
  <c r="AK79" i="43"/>
  <c r="AK75" i="43"/>
  <c r="AK70" i="43"/>
  <c r="AK67" i="43"/>
  <c r="AK63" i="43"/>
  <c r="AK59" i="43"/>
  <c r="AK55" i="43"/>
  <c r="AK52" i="43"/>
  <c r="AK49" i="43"/>
  <c r="AK46" i="43"/>
  <c r="AK42" i="43"/>
  <c r="AK39" i="43"/>
  <c r="AK35" i="43"/>
  <c r="AK31" i="43"/>
  <c r="AK27" i="43"/>
  <c r="AK22" i="43"/>
  <c r="AK18" i="43"/>
  <c r="AK13" i="43"/>
  <c r="AB463" i="43"/>
  <c r="AB459" i="43"/>
  <c r="AB456" i="43"/>
  <c r="AB449" i="43"/>
  <c r="AB442" i="43"/>
  <c r="AB435" i="43"/>
  <c r="AB428" i="43"/>
  <c r="AB421" i="43"/>
  <c r="AB414" i="43"/>
  <c r="AB407" i="43"/>
  <c r="AB400" i="43"/>
  <c r="AB393" i="43"/>
  <c r="AB389" i="43"/>
  <c r="AB383" i="43"/>
  <c r="AB376" i="43"/>
  <c r="AB374" i="43"/>
  <c r="AB370" i="43"/>
  <c r="AB363" i="43"/>
  <c r="AB358" i="43"/>
  <c r="AB351" i="43"/>
  <c r="AB345" i="43"/>
  <c r="AB336" i="43"/>
  <c r="AB332" i="43"/>
  <c r="AB328" i="43"/>
  <c r="AB324" i="43"/>
  <c r="AB322" i="43"/>
  <c r="AB316" i="43"/>
  <c r="AB312" i="43"/>
  <c r="AB305" i="43"/>
  <c r="AB298" i="43"/>
  <c r="AB296" i="43"/>
  <c r="AB288" i="43"/>
  <c r="AB283" i="43"/>
  <c r="AB276" i="43"/>
  <c r="AB272" i="43"/>
  <c r="AB266" i="43"/>
  <c r="AB262" i="43"/>
  <c r="AB258" i="43"/>
  <c r="AB256" i="43"/>
  <c r="AB249" i="43"/>
  <c r="AB243" i="43"/>
  <c r="AB237" i="43"/>
  <c r="AB231" i="43"/>
  <c r="AB225" i="43"/>
  <c r="AB219" i="43"/>
  <c r="AB213" i="43"/>
  <c r="AB206" i="43"/>
  <c r="AB200" i="43"/>
  <c r="AB194" i="43"/>
  <c r="AB187" i="43"/>
  <c r="AB180" i="43"/>
  <c r="AB174" i="43"/>
  <c r="AB168" i="43"/>
  <c r="AB162" i="43"/>
  <c r="AB157" i="43"/>
  <c r="AB151" i="43"/>
  <c r="AB145" i="43"/>
  <c r="AB139" i="43"/>
  <c r="AB132" i="43"/>
  <c r="AB125" i="43"/>
  <c r="AB120" i="43"/>
  <c r="AB116" i="43"/>
  <c r="AB113" i="43"/>
  <c r="AB109" i="43"/>
  <c r="AB105" i="43"/>
  <c r="AB102" i="43"/>
  <c r="AB98" i="43"/>
  <c r="AB94" i="43"/>
  <c r="AB90" i="43"/>
  <c r="AB86" i="43"/>
  <c r="AB82" i="43"/>
  <c r="AB79" i="43"/>
  <c r="AB75" i="43"/>
  <c r="AB70" i="43"/>
  <c r="AB67" i="43"/>
  <c r="AB63" i="43"/>
  <c r="AB59" i="43"/>
  <c r="AB55" i="43"/>
  <c r="AB52" i="43"/>
  <c r="AB49" i="43"/>
  <c r="AB46" i="43"/>
  <c r="AB42" i="43"/>
  <c r="AB39" i="43"/>
  <c r="AB35" i="43"/>
  <c r="AB31" i="43"/>
  <c r="AB27" i="43"/>
  <c r="AB22" i="43"/>
  <c r="AB18" i="43"/>
  <c r="AB13" i="43"/>
  <c r="AO24" i="43"/>
  <c r="AO30" i="43"/>
  <c r="AO48" i="43"/>
  <c r="AO54" i="43"/>
  <c r="AO60" i="43"/>
  <c r="AO66" i="43"/>
  <c r="AO72" i="43"/>
  <c r="AO78" i="43"/>
  <c r="AO84" i="43"/>
  <c r="AO96" i="43"/>
  <c r="AO108" i="43"/>
  <c r="AO114" i="43"/>
  <c r="AO138" i="43"/>
  <c r="AO144" i="43"/>
  <c r="AO150" i="43"/>
  <c r="AO156" i="43"/>
  <c r="AO186" i="43"/>
  <c r="AO192" i="43"/>
  <c r="AO198" i="43"/>
  <c r="AO210" i="43"/>
  <c r="AO216" i="43"/>
  <c r="AO222" i="43"/>
  <c r="AO228" i="43"/>
  <c r="AO234" i="43"/>
  <c r="AO246" i="43"/>
  <c r="AO252" i="43"/>
  <c r="AO264" i="43"/>
  <c r="AO282" i="43"/>
  <c r="AO294" i="43"/>
  <c r="AO306" i="43"/>
  <c r="AO318" i="43"/>
  <c r="AO342" i="43"/>
  <c r="AO348" i="43"/>
  <c r="AO354" i="43"/>
  <c r="AO360" i="43"/>
  <c r="AO372" i="43"/>
  <c r="AO378" i="43"/>
  <c r="AO384" i="43"/>
  <c r="AO390" i="43"/>
  <c r="AO402" i="43"/>
  <c r="AO408" i="43"/>
  <c r="AO420" i="43"/>
  <c r="AO426" i="43"/>
  <c r="AO432" i="43"/>
  <c r="AO444" i="43"/>
  <c r="AO450" i="43"/>
  <c r="AO462" i="43"/>
  <c r="AF462" i="43"/>
  <c r="J13" i="40"/>
  <c r="J14" i="40"/>
  <c r="J16" i="40"/>
  <c r="J17" i="40"/>
  <c r="J18" i="40"/>
  <c r="Q18" i="40" s="1"/>
  <c r="J20" i="40"/>
  <c r="J21" i="40"/>
  <c r="Q21" i="40" s="1"/>
  <c r="J22" i="40"/>
  <c r="Q22" i="40" s="1"/>
  <c r="J24" i="40"/>
  <c r="J26" i="40"/>
  <c r="J27" i="40"/>
  <c r="J28" i="40"/>
  <c r="J174" i="40" s="1"/>
  <c r="J29" i="40"/>
  <c r="J30" i="40"/>
  <c r="Q30" i="40" s="1"/>
  <c r="J31" i="40"/>
  <c r="Q31" i="40" s="1"/>
  <c r="J33" i="40"/>
  <c r="Q33" i="40" s="1"/>
  <c r="J34" i="40"/>
  <c r="J35" i="40"/>
  <c r="Q35" i="40" s="1"/>
  <c r="J36" i="40"/>
  <c r="J37" i="40"/>
  <c r="J39" i="40"/>
  <c r="J40" i="40"/>
  <c r="Q40" i="40" s="1"/>
  <c r="J41" i="40"/>
  <c r="Q41" i="40" s="1"/>
  <c r="J42" i="40"/>
  <c r="Q42" i="40" s="1"/>
  <c r="J43" i="40"/>
  <c r="J45" i="40"/>
  <c r="J46" i="40"/>
  <c r="J47" i="40"/>
  <c r="J48" i="40"/>
  <c r="Q48" i="40" s="1"/>
  <c r="J49" i="40"/>
  <c r="J50" i="40"/>
  <c r="Q50" i="40" s="1"/>
  <c r="J52" i="40"/>
  <c r="J53" i="40" s="1"/>
  <c r="J54" i="40"/>
  <c r="J55" i="40"/>
  <c r="J56" i="40"/>
  <c r="J57" i="40"/>
  <c r="Q57" i="40" s="1"/>
  <c r="J58" i="40"/>
  <c r="J59" i="40"/>
  <c r="Q59" i="40" s="1"/>
  <c r="J61" i="40"/>
  <c r="J62" i="40"/>
  <c r="Q62" i="40" s="1"/>
  <c r="J63" i="40"/>
  <c r="J64" i="40"/>
  <c r="Q64" i="40" s="1"/>
  <c r="J65" i="40"/>
  <c r="J66" i="40"/>
  <c r="J68" i="40"/>
  <c r="J69" i="40"/>
  <c r="Q69" i="40" s="1"/>
  <c r="J70" i="40"/>
  <c r="J71" i="40"/>
  <c r="Q71" i="40" s="1"/>
  <c r="J72" i="40"/>
  <c r="Q72" i="40" s="1"/>
  <c r="J73" i="40"/>
  <c r="J75" i="40"/>
  <c r="J76" i="40"/>
  <c r="J77" i="40"/>
  <c r="J78" i="40"/>
  <c r="Q78" i="40" s="1"/>
  <c r="J79" i="40"/>
  <c r="J80" i="40"/>
  <c r="J82" i="40"/>
  <c r="J83" i="40"/>
  <c r="J84" i="40"/>
  <c r="J85" i="40"/>
  <c r="Q85" i="40" s="1"/>
  <c r="J86" i="40"/>
  <c r="J87" i="40"/>
  <c r="J89" i="40"/>
  <c r="J90" i="40"/>
  <c r="Q90" i="40" s="1"/>
  <c r="J91" i="40"/>
  <c r="J93" i="40"/>
  <c r="J94" i="40"/>
  <c r="J95" i="40"/>
  <c r="J96" i="40"/>
  <c r="Q96" i="40" s="1"/>
  <c r="J97" i="40"/>
  <c r="J99" i="40"/>
  <c r="J100" i="40"/>
  <c r="J101" i="40"/>
  <c r="J103" i="40"/>
  <c r="J104" i="40"/>
  <c r="J105" i="40"/>
  <c r="J106" i="40"/>
  <c r="J107" i="40"/>
  <c r="J109" i="40"/>
  <c r="J110" i="40" s="1"/>
  <c r="J111" i="40"/>
  <c r="J114" i="40" s="1"/>
  <c r="J112" i="40"/>
  <c r="J113" i="40"/>
  <c r="J115" i="40"/>
  <c r="J116" i="40"/>
  <c r="J118" i="40" s="1"/>
  <c r="J117" i="40"/>
  <c r="J119" i="40"/>
  <c r="J120" i="40"/>
  <c r="Q120" i="40" s="1"/>
  <c r="J121" i="40"/>
  <c r="Q121" i="40" s="1"/>
  <c r="J122" i="40"/>
  <c r="J123" i="40"/>
  <c r="Q123" i="40" s="1"/>
  <c r="J125" i="40"/>
  <c r="J126" i="40"/>
  <c r="Q126" i="40" s="1"/>
  <c r="J128" i="40"/>
  <c r="J129" i="40"/>
  <c r="J131" i="40"/>
  <c r="J132" i="40"/>
  <c r="J133" i="40"/>
  <c r="J134" i="40"/>
  <c r="J135" i="40"/>
  <c r="J136" i="40"/>
  <c r="J138" i="40"/>
  <c r="Q138" i="40" s="1"/>
  <c r="J139" i="40"/>
  <c r="J140" i="40"/>
  <c r="Q140" i="40" s="1"/>
  <c r="J141" i="40"/>
  <c r="Q141" i="40" s="1"/>
  <c r="J142" i="40"/>
  <c r="J143" i="40"/>
  <c r="J145" i="40"/>
  <c r="J146" i="40"/>
  <c r="J147" i="40"/>
  <c r="J148" i="40"/>
  <c r="Q148" i="40" s="1"/>
  <c r="J149" i="40"/>
  <c r="Q149" i="40" s="1"/>
  <c r="J150" i="40"/>
  <c r="Q150" i="40" s="1"/>
  <c r="J152" i="40"/>
  <c r="J153" i="40"/>
  <c r="J154" i="40"/>
  <c r="J156" i="40"/>
  <c r="J157" i="40"/>
  <c r="J158" i="40"/>
  <c r="Q158" i="40" s="1"/>
  <c r="J159" i="40"/>
  <c r="Q159" i="40" s="1"/>
  <c r="J160" i="40"/>
  <c r="J162" i="40"/>
  <c r="Q162" i="40" s="1"/>
  <c r="J163" i="40"/>
  <c r="J164" i="40"/>
  <c r="J19" i="39"/>
  <c r="J20" i="39"/>
  <c r="J21" i="39"/>
  <c r="J22" i="39"/>
  <c r="J23" i="39"/>
  <c r="Q23" i="39" s="1"/>
  <c r="J25" i="39"/>
  <c r="J26" i="39"/>
  <c r="J27" i="39"/>
  <c r="Q27" i="39" s="1"/>
  <c r="J28" i="39"/>
  <c r="J29" i="39"/>
  <c r="J31" i="39"/>
  <c r="J32" i="39"/>
  <c r="J33" i="39"/>
  <c r="J34" i="39"/>
  <c r="J35" i="39"/>
  <c r="J37" i="39"/>
  <c r="J38" i="39"/>
  <c r="J39" i="39"/>
  <c r="J40" i="39"/>
  <c r="J41" i="39"/>
  <c r="Q41" i="39" s="1"/>
  <c r="J43" i="39"/>
  <c r="J44" i="39" s="1"/>
  <c r="J45" i="39"/>
  <c r="J46" i="39" s="1"/>
  <c r="J47" i="39"/>
  <c r="Q47" i="39" s="1"/>
  <c r="J48" i="39"/>
  <c r="J49" i="39"/>
  <c r="Q49" i="39" s="1"/>
  <c r="J51" i="39"/>
  <c r="J52" i="39"/>
  <c r="J53" i="39"/>
  <c r="Q53" i="39" s="1"/>
  <c r="J54" i="39"/>
  <c r="J55" i="39"/>
  <c r="J57" i="39"/>
  <c r="J58" i="39" s="1"/>
  <c r="J59" i="39"/>
  <c r="J60" i="39"/>
  <c r="J61" i="39"/>
  <c r="Q61" i="39" s="1"/>
  <c r="J62" i="39"/>
  <c r="J63" i="39"/>
  <c r="J64" i="39"/>
  <c r="J66" i="39"/>
  <c r="J67" i="39"/>
  <c r="J68" i="39"/>
  <c r="Q68" i="39" s="1"/>
  <c r="J69" i="39"/>
  <c r="Q69" i="39" s="1"/>
  <c r="J70" i="39"/>
  <c r="J71" i="39"/>
  <c r="J73" i="39"/>
  <c r="J74" i="39"/>
  <c r="J75" i="39"/>
  <c r="Q75" i="39" s="1"/>
  <c r="J76" i="39"/>
  <c r="Q76" i="39" s="1"/>
  <c r="J77" i="39"/>
  <c r="Q77" i="39" s="1"/>
  <c r="J78" i="39"/>
  <c r="J80" i="39"/>
  <c r="J81" i="39"/>
  <c r="J82" i="39"/>
  <c r="J83" i="39"/>
  <c r="Q83" i="39" s="1"/>
  <c r="J84" i="39"/>
  <c r="J85" i="39"/>
  <c r="J87" i="39"/>
  <c r="J88" i="39"/>
  <c r="J89" i="39"/>
  <c r="J90" i="39"/>
  <c r="J91" i="39"/>
  <c r="J92" i="39"/>
  <c r="J94" i="39"/>
  <c r="J95" i="39"/>
  <c r="J96" i="39"/>
  <c r="J97" i="39"/>
  <c r="Q97" i="39" s="1"/>
  <c r="J98" i="39"/>
  <c r="J99" i="39"/>
  <c r="J101" i="39"/>
  <c r="J102" i="39"/>
  <c r="J103" i="39"/>
  <c r="J104" i="39"/>
  <c r="J105" i="39"/>
  <c r="J106" i="39"/>
  <c r="J108" i="39"/>
  <c r="J109" i="39"/>
  <c r="J110" i="39"/>
  <c r="Q110" i="39" s="1"/>
  <c r="J111" i="39"/>
  <c r="J112" i="39"/>
  <c r="J113" i="39"/>
  <c r="Q113" i="39" s="1"/>
  <c r="J115" i="39"/>
  <c r="J116" i="39"/>
  <c r="Q116" i="39" s="1"/>
  <c r="J117" i="39"/>
  <c r="Q117" i="39" s="1"/>
  <c r="J119" i="39"/>
  <c r="J120" i="39"/>
  <c r="J121" i="39"/>
  <c r="J122" i="39"/>
  <c r="J17" i="39"/>
  <c r="AN463" i="43"/>
  <c r="AM463" i="43"/>
  <c r="AL463" i="43"/>
  <c r="AJ463" i="43"/>
  <c r="AI463" i="43"/>
  <c r="AN459" i="43"/>
  <c r="AM459" i="43"/>
  <c r="AL459" i="43"/>
  <c r="AJ459" i="43"/>
  <c r="AI459" i="43"/>
  <c r="AN456" i="43"/>
  <c r="AM456" i="43"/>
  <c r="AL456" i="43"/>
  <c r="AJ456" i="43"/>
  <c r="AI456" i="43"/>
  <c r="AN449" i="43"/>
  <c r="AM449" i="43"/>
  <c r="AL449" i="43"/>
  <c r="AJ449" i="43"/>
  <c r="AI449" i="43"/>
  <c r="AN442" i="43"/>
  <c r="AM442" i="43"/>
  <c r="AL442" i="43"/>
  <c r="AJ442" i="43"/>
  <c r="AI442" i="43"/>
  <c r="AN435" i="43"/>
  <c r="AM435" i="43"/>
  <c r="AL435" i="43"/>
  <c r="AJ435" i="43"/>
  <c r="AI435" i="43"/>
  <c r="AN428" i="43"/>
  <c r="AM428" i="43"/>
  <c r="AL428" i="43"/>
  <c r="AJ428" i="43"/>
  <c r="AI428" i="43"/>
  <c r="AN421" i="43"/>
  <c r="AM421" i="43"/>
  <c r="AL421" i="43"/>
  <c r="AJ421" i="43"/>
  <c r="AI421" i="43"/>
  <c r="AN414" i="43"/>
  <c r="AM414" i="43"/>
  <c r="AL414" i="43"/>
  <c r="AJ414" i="43"/>
  <c r="AI414" i="43"/>
  <c r="AN407" i="43"/>
  <c r="AM407" i="43"/>
  <c r="AL407" i="43"/>
  <c r="AJ407" i="43"/>
  <c r="AI407" i="43"/>
  <c r="AN400" i="43"/>
  <c r="AM400" i="43"/>
  <c r="AL400" i="43"/>
  <c r="AJ400" i="43"/>
  <c r="AI400" i="43"/>
  <c r="AN393" i="43"/>
  <c r="AM393" i="43"/>
  <c r="AL393" i="43"/>
  <c r="AJ393" i="43"/>
  <c r="AI393" i="43"/>
  <c r="AN389" i="43"/>
  <c r="AM389" i="43"/>
  <c r="AL389" i="43"/>
  <c r="AJ389" i="43"/>
  <c r="AI389" i="43"/>
  <c r="AN383" i="43"/>
  <c r="AM383" i="43"/>
  <c r="AL383" i="43"/>
  <c r="AJ383" i="43"/>
  <c r="AI383" i="43"/>
  <c r="AN376" i="43"/>
  <c r="AM376" i="43"/>
  <c r="AL376" i="43"/>
  <c r="AJ376" i="43"/>
  <c r="AI376" i="43"/>
  <c r="AN374" i="43"/>
  <c r="AM374" i="43"/>
  <c r="AL374" i="43"/>
  <c r="AJ374" i="43"/>
  <c r="AI374" i="43"/>
  <c r="AN370" i="43"/>
  <c r="AM370" i="43"/>
  <c r="AL370" i="43"/>
  <c r="AJ370" i="43"/>
  <c r="AI370" i="43"/>
  <c r="AN363" i="43"/>
  <c r="AM363" i="43"/>
  <c r="AL363" i="43"/>
  <c r="AJ363" i="43"/>
  <c r="AI363" i="43"/>
  <c r="AN358" i="43"/>
  <c r="AM358" i="43"/>
  <c r="AL358" i="43"/>
  <c r="AJ358" i="43"/>
  <c r="AI358" i="43"/>
  <c r="AN351" i="43"/>
  <c r="AM351" i="43"/>
  <c r="AL351" i="43"/>
  <c r="AJ351" i="43"/>
  <c r="AI351" i="43"/>
  <c r="AN345" i="43"/>
  <c r="AM345" i="43"/>
  <c r="AL345" i="43"/>
  <c r="AJ345" i="43"/>
  <c r="AI345" i="43"/>
  <c r="AN336" i="43"/>
  <c r="AM336" i="43"/>
  <c r="AL336" i="43"/>
  <c r="AJ336" i="43"/>
  <c r="AI336" i="43"/>
  <c r="AN332" i="43"/>
  <c r="AM332" i="43"/>
  <c r="AL332" i="43"/>
  <c r="AJ332" i="43"/>
  <c r="AI332" i="43"/>
  <c r="AN328" i="43"/>
  <c r="AM328" i="43"/>
  <c r="AL328" i="43"/>
  <c r="AJ328" i="43"/>
  <c r="AI328" i="43"/>
  <c r="AN324" i="43"/>
  <c r="AM324" i="43"/>
  <c r="AL324" i="43"/>
  <c r="AJ324" i="43"/>
  <c r="AI324" i="43"/>
  <c r="AN322" i="43"/>
  <c r="AM322" i="43"/>
  <c r="AL322" i="43"/>
  <c r="AJ322" i="43"/>
  <c r="AI322" i="43"/>
  <c r="AN316" i="43"/>
  <c r="AM316" i="43"/>
  <c r="AL316" i="43"/>
  <c r="AJ316" i="43"/>
  <c r="AI316" i="43"/>
  <c r="AN312" i="43"/>
  <c r="AM312" i="43"/>
  <c r="AL312" i="43"/>
  <c r="AJ312" i="43"/>
  <c r="AI312" i="43"/>
  <c r="AN305" i="43"/>
  <c r="AM305" i="43"/>
  <c r="AL305" i="43"/>
  <c r="AJ305" i="43"/>
  <c r="AI305" i="43"/>
  <c r="AN298" i="43"/>
  <c r="AM298" i="43"/>
  <c r="AL298" i="43"/>
  <c r="AJ298" i="43"/>
  <c r="AI298" i="43"/>
  <c r="AN296" i="43"/>
  <c r="AM296" i="43"/>
  <c r="AL296" i="43"/>
  <c r="AJ296" i="43"/>
  <c r="AI296" i="43"/>
  <c r="AN288" i="43"/>
  <c r="AM288" i="43"/>
  <c r="AL288" i="43"/>
  <c r="AJ288" i="43"/>
  <c r="AI288" i="43"/>
  <c r="AN283" i="43"/>
  <c r="AM283" i="43"/>
  <c r="AL283" i="43"/>
  <c r="AJ283" i="43"/>
  <c r="AI283" i="43"/>
  <c r="AN276" i="43"/>
  <c r="AM276" i="43"/>
  <c r="AL276" i="43"/>
  <c r="AJ276" i="43"/>
  <c r="AI276" i="43"/>
  <c r="AN272" i="43"/>
  <c r="AM272" i="43"/>
  <c r="AL272" i="43"/>
  <c r="AJ272" i="43"/>
  <c r="AI272" i="43"/>
  <c r="AN266" i="43"/>
  <c r="AM266" i="43"/>
  <c r="AL266" i="43"/>
  <c r="AJ266" i="43"/>
  <c r="AI266" i="43"/>
  <c r="AN262" i="43"/>
  <c r="AM262" i="43"/>
  <c r="AL262" i="43"/>
  <c r="AJ262" i="43"/>
  <c r="AI262" i="43"/>
  <c r="AN258" i="43"/>
  <c r="AM258" i="43"/>
  <c r="AL258" i="43"/>
  <c r="AJ258" i="43"/>
  <c r="AI258" i="43"/>
  <c r="AN256" i="43"/>
  <c r="AM256" i="43"/>
  <c r="AL256" i="43"/>
  <c r="AJ256" i="43"/>
  <c r="AI256" i="43"/>
  <c r="AN249" i="43"/>
  <c r="AM249" i="43"/>
  <c r="AL249" i="43"/>
  <c r="AJ249" i="43"/>
  <c r="AI249" i="43"/>
  <c r="AN243" i="43"/>
  <c r="AM243" i="43"/>
  <c r="AL243" i="43"/>
  <c r="AJ243" i="43"/>
  <c r="AI243" i="43"/>
  <c r="AN237" i="43"/>
  <c r="AM237" i="43"/>
  <c r="AL237" i="43"/>
  <c r="AJ237" i="43"/>
  <c r="AI237" i="43"/>
  <c r="AN231" i="43"/>
  <c r="AM231" i="43"/>
  <c r="AL231" i="43"/>
  <c r="AJ231" i="43"/>
  <c r="AI231" i="43"/>
  <c r="AN225" i="43"/>
  <c r="AM225" i="43"/>
  <c r="AL225" i="43"/>
  <c r="AJ225" i="43"/>
  <c r="AI225" i="43"/>
  <c r="AN219" i="43"/>
  <c r="AM219" i="43"/>
  <c r="AL219" i="43"/>
  <c r="AJ219" i="43"/>
  <c r="AI219" i="43"/>
  <c r="AN213" i="43"/>
  <c r="AM213" i="43"/>
  <c r="AL213" i="43"/>
  <c r="AJ213" i="43"/>
  <c r="AI213" i="43"/>
  <c r="AN206" i="43"/>
  <c r="AM206" i="43"/>
  <c r="AL206" i="43"/>
  <c r="AJ206" i="43"/>
  <c r="AI206" i="43"/>
  <c r="AN200" i="43"/>
  <c r="AM200" i="43"/>
  <c r="AL200" i="43"/>
  <c r="AJ200" i="43"/>
  <c r="AI200" i="43"/>
  <c r="AN194" i="43"/>
  <c r="AM194" i="43"/>
  <c r="AL194" i="43"/>
  <c r="AJ194" i="43"/>
  <c r="AI194" i="43"/>
  <c r="AN187" i="43"/>
  <c r="AM187" i="43"/>
  <c r="AL187" i="43"/>
  <c r="AJ187" i="43"/>
  <c r="AI187" i="43"/>
  <c r="AN180" i="43"/>
  <c r="AM180" i="43"/>
  <c r="AL180" i="43"/>
  <c r="AJ180" i="43"/>
  <c r="AI180" i="43"/>
  <c r="AN174" i="43"/>
  <c r="AM174" i="43"/>
  <c r="AL174" i="43"/>
  <c r="AJ174" i="43"/>
  <c r="AI174" i="43"/>
  <c r="AN168" i="43"/>
  <c r="AM168" i="43"/>
  <c r="AL168" i="43"/>
  <c r="AJ168" i="43"/>
  <c r="AI168" i="43"/>
  <c r="AN162" i="43"/>
  <c r="AM162" i="43"/>
  <c r="AL162" i="43"/>
  <c r="AJ162" i="43"/>
  <c r="AI162" i="43"/>
  <c r="AN157" i="43"/>
  <c r="AM157" i="43"/>
  <c r="AL157" i="43"/>
  <c r="AJ157" i="43"/>
  <c r="AI157" i="43"/>
  <c r="AN151" i="43"/>
  <c r="AM151" i="43"/>
  <c r="AL151" i="43"/>
  <c r="AJ151" i="43"/>
  <c r="AI151" i="43"/>
  <c r="AN145" i="43"/>
  <c r="AM145" i="43"/>
  <c r="AL145" i="43"/>
  <c r="AJ145" i="43"/>
  <c r="AI145" i="43"/>
  <c r="AN139" i="43"/>
  <c r="AM139" i="43"/>
  <c r="AL139" i="43"/>
  <c r="AJ139" i="43"/>
  <c r="AI139" i="43"/>
  <c r="AN132" i="43"/>
  <c r="AM132" i="43"/>
  <c r="AL132" i="43"/>
  <c r="AJ132" i="43"/>
  <c r="AI132" i="43"/>
  <c r="AN125" i="43"/>
  <c r="AM125" i="43"/>
  <c r="AL125" i="43"/>
  <c r="AJ125" i="43"/>
  <c r="AI125" i="43"/>
  <c r="AN120" i="43"/>
  <c r="AM120" i="43"/>
  <c r="AL120" i="43"/>
  <c r="AJ120" i="43"/>
  <c r="AI120" i="43"/>
  <c r="AN116" i="43"/>
  <c r="AM116" i="43"/>
  <c r="AL116" i="43"/>
  <c r="AJ116" i="43"/>
  <c r="AI116" i="43"/>
  <c r="AN113" i="43"/>
  <c r="AM113" i="43"/>
  <c r="AL113" i="43"/>
  <c r="AJ113" i="43"/>
  <c r="AI113" i="43"/>
  <c r="AN109" i="43"/>
  <c r="AM109" i="43"/>
  <c r="AL109" i="43"/>
  <c r="AJ109" i="43"/>
  <c r="AI109" i="43"/>
  <c r="AN105" i="43"/>
  <c r="AM105" i="43"/>
  <c r="AL105" i="43"/>
  <c r="AJ105" i="43"/>
  <c r="AI105" i="43"/>
  <c r="AN102" i="43"/>
  <c r="AM102" i="43"/>
  <c r="AL102" i="43"/>
  <c r="AJ102" i="43"/>
  <c r="AI102" i="43"/>
  <c r="AN98" i="43"/>
  <c r="AM98" i="43"/>
  <c r="AL98" i="43"/>
  <c r="AJ98" i="43"/>
  <c r="AI98" i="43"/>
  <c r="AN94" i="43"/>
  <c r="AM94" i="43"/>
  <c r="AL94" i="43"/>
  <c r="AJ94" i="43"/>
  <c r="AI94" i="43"/>
  <c r="AN90" i="43"/>
  <c r="AM90" i="43"/>
  <c r="AL90" i="43"/>
  <c r="AJ90" i="43"/>
  <c r="AI90" i="43"/>
  <c r="AN86" i="43"/>
  <c r="AM86" i="43"/>
  <c r="AL86" i="43"/>
  <c r="AJ86" i="43"/>
  <c r="AI86" i="43"/>
  <c r="AN82" i="43"/>
  <c r="AM82" i="43"/>
  <c r="AL82" i="43"/>
  <c r="AJ82" i="43"/>
  <c r="AI82" i="43"/>
  <c r="AN79" i="43"/>
  <c r="AM79" i="43"/>
  <c r="AL79" i="43"/>
  <c r="AJ79" i="43"/>
  <c r="AI79" i="43"/>
  <c r="AN75" i="43"/>
  <c r="AM75" i="43"/>
  <c r="AL75" i="43"/>
  <c r="AJ75" i="43"/>
  <c r="AI75" i="43"/>
  <c r="AN70" i="43"/>
  <c r="AM70" i="43"/>
  <c r="AL70" i="43"/>
  <c r="AJ70" i="43"/>
  <c r="AI70" i="43"/>
  <c r="AN67" i="43"/>
  <c r="AM67" i="43"/>
  <c r="AL67" i="43"/>
  <c r="AJ67" i="43"/>
  <c r="AI67" i="43"/>
  <c r="AN63" i="43"/>
  <c r="AM63" i="43"/>
  <c r="AL63" i="43"/>
  <c r="AJ63" i="43"/>
  <c r="AI63" i="43"/>
  <c r="AN59" i="43"/>
  <c r="AM59" i="43"/>
  <c r="AL59" i="43"/>
  <c r="AJ59" i="43"/>
  <c r="AI59" i="43"/>
  <c r="AN55" i="43"/>
  <c r="AM55" i="43"/>
  <c r="AL55" i="43"/>
  <c r="AJ55" i="43"/>
  <c r="AI55" i="43"/>
  <c r="AN52" i="43"/>
  <c r="AM52" i="43"/>
  <c r="AL52" i="43"/>
  <c r="AJ52" i="43"/>
  <c r="AI52" i="43"/>
  <c r="AN49" i="43"/>
  <c r="AM49" i="43"/>
  <c r="AL49" i="43"/>
  <c r="AJ49" i="43"/>
  <c r="AI49" i="43"/>
  <c r="AN46" i="43"/>
  <c r="AM46" i="43"/>
  <c r="AL46" i="43"/>
  <c r="AJ46" i="43"/>
  <c r="AI46" i="43"/>
  <c r="AN42" i="43"/>
  <c r="AM42" i="43"/>
  <c r="AL42" i="43"/>
  <c r="AJ42" i="43"/>
  <c r="AI42" i="43"/>
  <c r="AN39" i="43"/>
  <c r="AM39" i="43"/>
  <c r="AL39" i="43"/>
  <c r="AJ39" i="43"/>
  <c r="AI39" i="43"/>
  <c r="AN35" i="43"/>
  <c r="AM35" i="43"/>
  <c r="AL35" i="43"/>
  <c r="AJ35" i="43"/>
  <c r="AI35" i="43"/>
  <c r="AN31" i="43"/>
  <c r="AM31" i="43"/>
  <c r="AL31" i="43"/>
  <c r="AJ31" i="43"/>
  <c r="AI31" i="43"/>
  <c r="AN27" i="43"/>
  <c r="AM27" i="43"/>
  <c r="AL27" i="43"/>
  <c r="AJ27" i="43"/>
  <c r="AI27" i="43"/>
  <c r="AN22" i="43"/>
  <c r="AM22" i="43"/>
  <c r="AL22" i="43"/>
  <c r="AJ22" i="43"/>
  <c r="AI22" i="43"/>
  <c r="AN18" i="43"/>
  <c r="AM18" i="43"/>
  <c r="AL18" i="43"/>
  <c r="AJ18" i="43"/>
  <c r="AI18" i="43"/>
  <c r="AN13" i="43"/>
  <c r="AM13" i="43"/>
  <c r="AL13" i="43"/>
  <c r="AJ13" i="43"/>
  <c r="AI13" i="43"/>
  <c r="AG462" i="43"/>
  <c r="AF105" i="44"/>
  <c r="CF198" i="42"/>
  <c r="CE198" i="42"/>
  <c r="CD198" i="42"/>
  <c r="CC198" i="42"/>
  <c r="CB198" i="42"/>
  <c r="CA198" i="42"/>
  <c r="CF191" i="42"/>
  <c r="CE191" i="42"/>
  <c r="CD191" i="42"/>
  <c r="CC191" i="42"/>
  <c r="CB191" i="42"/>
  <c r="CA191" i="42"/>
  <c r="CF185" i="42"/>
  <c r="CE185" i="42"/>
  <c r="CD185" i="42"/>
  <c r="CC185" i="42"/>
  <c r="CB185" i="42"/>
  <c r="CA185" i="42"/>
  <c r="CF179" i="42"/>
  <c r="CE179" i="42"/>
  <c r="CD179" i="42"/>
  <c r="CC179" i="42"/>
  <c r="CB179" i="42"/>
  <c r="CA179" i="42"/>
  <c r="CF172" i="42"/>
  <c r="CE172" i="42"/>
  <c r="CD172" i="42"/>
  <c r="CC172" i="42"/>
  <c r="CB172" i="42"/>
  <c r="CA172" i="42"/>
  <c r="CF166" i="42"/>
  <c r="CE166" i="42"/>
  <c r="CD166" i="42"/>
  <c r="CC166" i="42"/>
  <c r="CB166" i="42"/>
  <c r="CA166" i="42"/>
  <c r="CF162" i="42"/>
  <c r="CE162" i="42"/>
  <c r="CD162" i="42"/>
  <c r="CC162" i="42"/>
  <c r="CB162" i="42"/>
  <c r="CA162" i="42"/>
  <c r="CF156" i="42"/>
  <c r="CE156" i="42"/>
  <c r="CD156" i="42"/>
  <c r="CC156" i="42"/>
  <c r="CB156" i="42"/>
  <c r="CA156" i="42"/>
  <c r="CF153" i="42"/>
  <c r="CE153" i="42"/>
  <c r="CD153" i="42"/>
  <c r="CC153" i="42"/>
  <c r="CB153" i="42"/>
  <c r="CA153" i="42"/>
  <c r="CF148" i="42"/>
  <c r="CE148" i="42"/>
  <c r="CD148" i="42"/>
  <c r="CC148" i="42"/>
  <c r="CB148" i="42"/>
  <c r="CA148" i="42"/>
  <c r="CF145" i="42"/>
  <c r="CE145" i="42"/>
  <c r="CD145" i="42"/>
  <c r="CC145" i="42"/>
  <c r="CB145" i="42"/>
  <c r="CA145" i="42"/>
  <c r="CF138" i="42"/>
  <c r="CE138" i="42"/>
  <c r="CD138" i="42"/>
  <c r="CC138" i="42"/>
  <c r="CB138" i="42"/>
  <c r="CA138" i="42"/>
  <c r="CF135" i="42"/>
  <c r="CE135" i="42"/>
  <c r="CD135" i="42"/>
  <c r="CC135" i="42"/>
  <c r="CB135" i="42"/>
  <c r="CA135" i="42"/>
  <c r="CF131" i="42"/>
  <c r="CE131" i="42"/>
  <c r="CD131" i="42"/>
  <c r="CC131" i="42"/>
  <c r="CB131" i="42"/>
  <c r="CA131" i="42"/>
  <c r="CF125" i="42"/>
  <c r="CE125" i="42"/>
  <c r="CD125" i="42"/>
  <c r="CC125" i="42"/>
  <c r="CB125" i="42"/>
  <c r="CA125" i="42"/>
  <c r="CF121" i="42"/>
  <c r="CE121" i="42"/>
  <c r="CD121" i="42"/>
  <c r="CC121" i="42"/>
  <c r="CB121" i="42"/>
  <c r="CA121" i="42"/>
  <c r="CF115" i="42"/>
  <c r="CE115" i="42"/>
  <c r="CD115" i="42"/>
  <c r="CC115" i="42"/>
  <c r="CB115" i="42"/>
  <c r="CA115" i="42"/>
  <c r="CF112" i="42"/>
  <c r="CE112" i="42"/>
  <c r="CD112" i="42"/>
  <c r="CC112" i="42"/>
  <c r="CB112" i="42"/>
  <c r="CA112" i="42"/>
  <c r="CF105" i="42"/>
  <c r="CE105" i="42"/>
  <c r="CD105" i="42"/>
  <c r="CC105" i="42"/>
  <c r="CB105" i="42"/>
  <c r="CA105" i="42"/>
  <c r="CF99" i="42"/>
  <c r="CE99" i="42"/>
  <c r="CD99" i="42"/>
  <c r="CC99" i="42"/>
  <c r="CB99" i="42"/>
  <c r="CA99" i="42"/>
  <c r="CF95" i="42"/>
  <c r="CE95" i="42"/>
  <c r="CD95" i="42"/>
  <c r="CC95" i="42"/>
  <c r="CB95" i="42"/>
  <c r="CA95" i="42"/>
  <c r="CF89" i="42"/>
  <c r="CE89" i="42"/>
  <c r="CD89" i="42"/>
  <c r="CC89" i="42"/>
  <c r="CB89" i="42"/>
  <c r="CA89" i="42"/>
  <c r="CF85" i="42"/>
  <c r="CE85" i="42"/>
  <c r="CD85" i="42"/>
  <c r="CC85" i="42"/>
  <c r="CB85" i="42"/>
  <c r="CA85" i="42"/>
  <c r="CF78" i="42"/>
  <c r="CE78" i="42"/>
  <c r="CD78" i="42"/>
  <c r="CC78" i="42"/>
  <c r="CB78" i="42"/>
  <c r="CA78" i="42"/>
  <c r="CF76" i="42"/>
  <c r="CE76" i="42"/>
  <c r="CD76" i="42"/>
  <c r="CC76" i="42"/>
  <c r="CB76" i="42"/>
  <c r="CA76" i="42"/>
  <c r="CF69" i="42"/>
  <c r="CE69" i="42"/>
  <c r="CD69" i="42"/>
  <c r="CC69" i="42"/>
  <c r="CB69" i="42"/>
  <c r="CA69" i="42"/>
  <c r="CF64" i="42"/>
  <c r="CE64" i="42"/>
  <c r="CD64" i="42"/>
  <c r="CC64" i="42"/>
  <c r="CB64" i="42"/>
  <c r="CA64" i="42"/>
  <c r="CF58" i="42"/>
  <c r="CE58" i="42"/>
  <c r="CD58" i="42"/>
  <c r="CC58" i="42"/>
  <c r="CB58" i="42"/>
  <c r="CA58" i="42"/>
  <c r="CF52" i="42"/>
  <c r="CE52" i="42"/>
  <c r="CD52" i="42"/>
  <c r="CC52" i="42"/>
  <c r="CB52" i="42"/>
  <c r="CA52" i="42"/>
  <c r="CF46" i="42"/>
  <c r="CE46" i="42"/>
  <c r="CD46" i="42"/>
  <c r="CC46" i="42"/>
  <c r="CB46" i="42"/>
  <c r="CA46" i="42"/>
  <c r="CF44" i="42"/>
  <c r="CE44" i="42"/>
  <c r="CD44" i="42"/>
  <c r="CC44" i="42"/>
  <c r="CB44" i="42"/>
  <c r="CA44" i="42"/>
  <c r="CF40" i="42"/>
  <c r="CE40" i="42"/>
  <c r="CD40" i="42"/>
  <c r="CC40" i="42"/>
  <c r="CB40" i="42"/>
  <c r="CA40" i="42"/>
  <c r="CF37" i="42"/>
  <c r="CE37" i="42"/>
  <c r="CD37" i="42"/>
  <c r="CC37" i="42"/>
  <c r="CB37" i="42"/>
  <c r="CA37" i="42"/>
  <c r="CF33" i="42"/>
  <c r="CE33" i="42"/>
  <c r="CD33" i="42"/>
  <c r="CC33" i="42"/>
  <c r="CB33" i="42"/>
  <c r="CA33" i="42"/>
  <c r="CF29" i="42"/>
  <c r="CE29" i="42"/>
  <c r="CD29" i="42"/>
  <c r="CC29" i="42"/>
  <c r="CB29" i="42"/>
  <c r="CA29" i="42"/>
  <c r="CF25" i="42"/>
  <c r="CE25" i="42"/>
  <c r="CD25" i="42"/>
  <c r="CC25" i="42"/>
  <c r="CB25" i="42"/>
  <c r="CA25" i="42"/>
  <c r="CF21" i="42"/>
  <c r="CE21" i="42"/>
  <c r="CD21" i="42"/>
  <c r="CC21" i="42"/>
  <c r="CB21" i="42"/>
  <c r="CA21" i="42"/>
  <c r="CF137" i="41"/>
  <c r="CE137" i="41"/>
  <c r="CD137" i="41"/>
  <c r="CC137" i="41"/>
  <c r="CB137" i="41"/>
  <c r="CF130" i="41"/>
  <c r="CE130" i="41"/>
  <c r="CD130" i="41"/>
  <c r="CC130" i="41"/>
  <c r="CB130" i="41"/>
  <c r="CA130" i="41"/>
  <c r="CF124" i="41"/>
  <c r="CE124" i="41"/>
  <c r="CD124" i="41"/>
  <c r="CC124" i="41"/>
  <c r="CB124" i="41"/>
  <c r="CA124" i="41"/>
  <c r="CF120" i="41"/>
  <c r="CE120" i="41"/>
  <c r="CD120" i="41"/>
  <c r="CC120" i="41"/>
  <c r="CB120" i="41"/>
  <c r="CA120" i="41"/>
  <c r="CF112" i="41"/>
  <c r="CE112" i="41"/>
  <c r="CD112" i="41"/>
  <c r="CC112" i="41"/>
  <c r="CB112" i="41"/>
  <c r="CA112" i="41"/>
  <c r="CF105" i="41"/>
  <c r="CE105" i="41"/>
  <c r="CD105" i="41"/>
  <c r="CC105" i="41"/>
  <c r="CB105" i="41"/>
  <c r="CA105" i="41"/>
  <c r="CF97" i="41"/>
  <c r="CE97" i="41"/>
  <c r="CD97" i="41"/>
  <c r="CC97" i="41"/>
  <c r="CB97" i="41"/>
  <c r="CA97" i="41"/>
  <c r="CF93" i="41"/>
  <c r="CE93" i="41"/>
  <c r="CD93" i="41"/>
  <c r="CC93" i="41"/>
  <c r="CB93" i="41"/>
  <c r="CA93" i="41"/>
  <c r="CF87" i="41"/>
  <c r="CE87" i="41"/>
  <c r="CD87" i="41"/>
  <c r="CC87" i="41"/>
  <c r="CB87" i="41"/>
  <c r="CA87" i="41"/>
  <c r="CF83" i="41"/>
  <c r="CE83" i="41"/>
  <c r="CD83" i="41"/>
  <c r="CC83" i="41"/>
  <c r="CB83" i="41"/>
  <c r="CA83" i="41"/>
  <c r="CF79" i="41"/>
  <c r="CE79" i="41"/>
  <c r="CD79" i="41"/>
  <c r="CC79" i="41"/>
  <c r="CB79" i="41"/>
  <c r="CA79" i="41"/>
  <c r="CF72" i="41"/>
  <c r="CE72" i="41"/>
  <c r="CD72" i="41"/>
  <c r="CC72" i="41"/>
  <c r="CB72" i="41"/>
  <c r="CA72" i="41"/>
  <c r="CF65" i="41"/>
  <c r="CE65" i="41"/>
  <c r="CD65" i="41"/>
  <c r="CC65" i="41"/>
  <c r="CB65" i="41"/>
  <c r="CA65" i="41"/>
  <c r="CF61" i="41"/>
  <c r="CE61" i="41"/>
  <c r="CD61" i="41"/>
  <c r="CC61" i="41"/>
  <c r="CB61" i="41"/>
  <c r="CA61" i="41"/>
  <c r="CF58" i="41"/>
  <c r="CE58" i="41"/>
  <c r="CD58" i="41"/>
  <c r="CC58" i="41"/>
  <c r="CB58" i="41"/>
  <c r="CA58" i="41"/>
  <c r="CF50" i="41"/>
  <c r="CE50" i="41"/>
  <c r="CD50" i="41"/>
  <c r="CC50" i="41"/>
  <c r="CB50" i="41"/>
  <c r="CA50" i="41"/>
  <c r="CF43" i="41"/>
  <c r="CE43" i="41"/>
  <c r="CD43" i="41"/>
  <c r="CC43" i="41"/>
  <c r="CB43" i="41"/>
  <c r="CA43" i="41"/>
  <c r="CF36" i="41"/>
  <c r="CE36" i="41"/>
  <c r="CD36" i="41"/>
  <c r="CC36" i="41"/>
  <c r="CB36" i="41"/>
  <c r="CA36" i="41"/>
  <c r="CF29" i="41"/>
  <c r="CE29" i="41"/>
  <c r="CD29" i="41"/>
  <c r="CC29" i="41"/>
  <c r="CB29" i="41"/>
  <c r="CA29" i="41"/>
  <c r="CF27" i="41"/>
  <c r="CE27" i="41"/>
  <c r="CD27" i="41"/>
  <c r="CC27" i="41"/>
  <c r="CB27" i="41"/>
  <c r="CA27" i="41"/>
  <c r="CF21" i="41"/>
  <c r="CE21" i="41"/>
  <c r="CD21" i="41"/>
  <c r="CC21" i="41"/>
  <c r="CB21" i="41"/>
  <c r="CA21" i="41"/>
  <c r="CF16" i="41"/>
  <c r="CE16" i="41"/>
  <c r="CD16" i="41"/>
  <c r="CC16" i="41"/>
  <c r="CB16" i="41"/>
  <c r="CA16" i="41"/>
  <c r="CF165" i="40"/>
  <c r="CE165" i="40"/>
  <c r="CD165" i="40"/>
  <c r="CC165" i="40"/>
  <c r="CB165" i="40"/>
  <c r="CA165" i="40"/>
  <c r="CF161" i="40"/>
  <c r="CE161" i="40"/>
  <c r="CD161" i="40"/>
  <c r="CC161" i="40"/>
  <c r="CB161" i="40"/>
  <c r="CA161" i="40"/>
  <c r="CF155" i="40"/>
  <c r="CE155" i="40"/>
  <c r="CD155" i="40"/>
  <c r="CC155" i="40"/>
  <c r="CB155" i="40"/>
  <c r="CA155" i="40"/>
  <c r="CF151" i="40"/>
  <c r="CE151" i="40"/>
  <c r="CD151" i="40"/>
  <c r="CC151" i="40"/>
  <c r="CB151" i="40"/>
  <c r="CA151" i="40"/>
  <c r="CF144" i="40"/>
  <c r="CE144" i="40"/>
  <c r="CD144" i="40"/>
  <c r="CC144" i="40"/>
  <c r="CB144" i="40"/>
  <c r="CA144" i="40"/>
  <c r="CF137" i="40"/>
  <c r="CE137" i="40"/>
  <c r="CD137" i="40"/>
  <c r="CC137" i="40"/>
  <c r="CB137" i="40"/>
  <c r="CA137" i="40"/>
  <c r="CF130" i="40"/>
  <c r="CE130" i="40"/>
  <c r="CD130" i="40"/>
  <c r="CC130" i="40"/>
  <c r="CB130" i="40"/>
  <c r="CA130" i="40"/>
  <c r="CF127" i="40"/>
  <c r="CE127" i="40"/>
  <c r="CD127" i="40"/>
  <c r="CC127" i="40"/>
  <c r="CB127" i="40"/>
  <c r="CA127" i="40"/>
  <c r="CF124" i="40"/>
  <c r="CE124" i="40"/>
  <c r="CD124" i="40"/>
  <c r="CC124" i="40"/>
  <c r="CB124" i="40"/>
  <c r="CA124" i="40"/>
  <c r="CF118" i="40"/>
  <c r="CE118" i="40"/>
  <c r="CD118" i="40"/>
  <c r="CC118" i="40"/>
  <c r="CB118" i="40"/>
  <c r="CA118" i="40"/>
  <c r="CF114" i="40"/>
  <c r="CE114" i="40"/>
  <c r="CD114" i="40"/>
  <c r="CC114" i="40"/>
  <c r="CB114" i="40"/>
  <c r="CA114" i="40"/>
  <c r="CF110" i="40"/>
  <c r="CE110" i="40"/>
  <c r="CD110" i="40"/>
  <c r="CC110" i="40"/>
  <c r="CB110" i="40"/>
  <c r="CA110" i="40"/>
  <c r="CF108" i="40"/>
  <c r="CE108" i="40"/>
  <c r="CD108" i="40"/>
  <c r="CC108" i="40"/>
  <c r="CB108" i="40"/>
  <c r="CA108" i="40"/>
  <c r="CF102" i="40"/>
  <c r="CE102" i="40"/>
  <c r="CD102" i="40"/>
  <c r="CC102" i="40"/>
  <c r="CB102" i="40"/>
  <c r="CA102" i="40"/>
  <c r="CF98" i="40"/>
  <c r="CE98" i="40"/>
  <c r="CD98" i="40"/>
  <c r="CC98" i="40"/>
  <c r="CB98" i="40"/>
  <c r="CA98" i="40"/>
  <c r="CF92" i="40"/>
  <c r="CE92" i="40"/>
  <c r="CD92" i="40"/>
  <c r="CC92" i="40"/>
  <c r="CB92" i="40"/>
  <c r="CA92" i="40"/>
  <c r="CF88" i="40"/>
  <c r="CE88" i="40"/>
  <c r="CD88" i="40"/>
  <c r="CC88" i="40"/>
  <c r="CB88" i="40"/>
  <c r="CA88" i="40"/>
  <c r="CF81" i="40"/>
  <c r="CE81" i="40"/>
  <c r="CD81" i="40"/>
  <c r="CC81" i="40"/>
  <c r="CB81" i="40"/>
  <c r="CA81" i="40"/>
  <c r="CF74" i="40"/>
  <c r="CE74" i="40"/>
  <c r="CD74" i="40"/>
  <c r="CC74" i="40"/>
  <c r="CB74" i="40"/>
  <c r="CA74" i="40"/>
  <c r="CF67" i="40"/>
  <c r="CE67" i="40"/>
  <c r="CD67" i="40"/>
  <c r="CC67" i="40"/>
  <c r="CB67" i="40"/>
  <c r="CA67" i="40"/>
  <c r="CF60" i="40"/>
  <c r="CE60" i="40"/>
  <c r="CD60" i="40"/>
  <c r="CC60" i="40"/>
  <c r="CB60" i="40"/>
  <c r="CA60" i="40"/>
  <c r="CF53" i="40"/>
  <c r="CE53" i="40"/>
  <c r="CD53" i="40"/>
  <c r="CC53" i="40"/>
  <c r="CB53" i="40"/>
  <c r="CA53" i="40"/>
  <c r="CF51" i="40"/>
  <c r="CE51" i="40"/>
  <c r="CD51" i="40"/>
  <c r="CC51" i="40"/>
  <c r="CB51" i="40"/>
  <c r="CA51" i="40"/>
  <c r="CF44" i="40"/>
  <c r="CE44" i="40"/>
  <c r="CD44" i="40"/>
  <c r="CC44" i="40"/>
  <c r="CB44" i="40"/>
  <c r="CA44" i="40"/>
  <c r="CF38" i="40"/>
  <c r="CE38" i="40"/>
  <c r="CD38" i="40"/>
  <c r="CC38" i="40"/>
  <c r="CB38" i="40"/>
  <c r="CA38" i="40"/>
  <c r="CF32" i="40"/>
  <c r="CE32" i="40"/>
  <c r="CD32" i="40"/>
  <c r="CC32" i="40"/>
  <c r="CB32" i="40"/>
  <c r="CA32" i="40"/>
  <c r="CF25" i="40"/>
  <c r="CE25" i="40"/>
  <c r="CD25" i="40"/>
  <c r="CC25" i="40"/>
  <c r="CB25" i="40"/>
  <c r="CA25" i="40"/>
  <c r="CF23" i="40"/>
  <c r="CE23" i="40"/>
  <c r="CD23" i="40"/>
  <c r="CC23" i="40"/>
  <c r="CB23" i="40"/>
  <c r="CA23" i="40"/>
  <c r="CF19" i="40"/>
  <c r="CE19" i="40"/>
  <c r="CD19" i="40"/>
  <c r="CC19" i="40"/>
  <c r="CB19" i="40"/>
  <c r="CA19" i="40"/>
  <c r="CF15" i="40"/>
  <c r="CE15" i="40"/>
  <c r="CD15" i="40"/>
  <c r="CC15" i="40"/>
  <c r="CB15" i="40"/>
  <c r="CA15" i="40"/>
  <c r="CF123" i="39"/>
  <c r="CE123" i="39"/>
  <c r="CD123" i="39"/>
  <c r="CC123" i="39"/>
  <c r="CB123" i="39"/>
  <c r="CA123" i="39"/>
  <c r="CF118" i="39"/>
  <c r="CE118" i="39"/>
  <c r="CD118" i="39"/>
  <c r="CC118" i="39"/>
  <c r="CB118" i="39"/>
  <c r="CA118" i="39"/>
  <c r="CF114" i="39"/>
  <c r="CE114" i="39"/>
  <c r="CD114" i="39"/>
  <c r="CC114" i="39"/>
  <c r="CB114" i="39"/>
  <c r="CA114" i="39"/>
  <c r="CF107" i="39"/>
  <c r="CE107" i="39"/>
  <c r="CD107" i="39"/>
  <c r="CC107" i="39"/>
  <c r="CB107" i="39"/>
  <c r="CA107" i="39"/>
  <c r="CF100" i="39"/>
  <c r="CE100" i="39"/>
  <c r="CD100" i="39"/>
  <c r="CC100" i="39"/>
  <c r="CB100" i="39"/>
  <c r="CA100" i="39"/>
  <c r="CF93" i="39"/>
  <c r="CE93" i="39"/>
  <c r="CD93" i="39"/>
  <c r="CC93" i="39"/>
  <c r="CB93" i="39"/>
  <c r="CA93" i="39"/>
  <c r="CF86" i="39"/>
  <c r="CE86" i="39"/>
  <c r="CD86" i="39"/>
  <c r="CC86" i="39"/>
  <c r="CB86" i="39"/>
  <c r="CA86" i="39"/>
  <c r="CF79" i="39"/>
  <c r="CE79" i="39"/>
  <c r="CD79" i="39"/>
  <c r="CC79" i="39"/>
  <c r="CB79" i="39"/>
  <c r="CA79" i="39"/>
  <c r="CF72" i="39"/>
  <c r="CE72" i="39"/>
  <c r="CD72" i="39"/>
  <c r="CC72" i="39"/>
  <c r="CB72" i="39"/>
  <c r="CA72" i="39"/>
  <c r="CF65" i="39"/>
  <c r="CE65" i="39"/>
  <c r="CD65" i="39"/>
  <c r="CC65" i="39"/>
  <c r="CB65" i="39"/>
  <c r="CA65" i="39"/>
  <c r="CF58" i="39"/>
  <c r="CE58" i="39"/>
  <c r="CD58" i="39"/>
  <c r="CC58" i="39"/>
  <c r="CB58" i="39"/>
  <c r="CA58" i="39"/>
  <c r="CF56" i="39"/>
  <c r="CE56" i="39"/>
  <c r="CD56" i="39"/>
  <c r="CC56" i="39"/>
  <c r="CB56" i="39"/>
  <c r="CA56" i="39"/>
  <c r="CF50" i="39"/>
  <c r="CE50" i="39"/>
  <c r="CD50" i="39"/>
  <c r="CC50" i="39"/>
  <c r="CB50" i="39"/>
  <c r="CA50" i="39"/>
  <c r="CF46" i="39"/>
  <c r="CE46" i="39"/>
  <c r="CD46" i="39"/>
  <c r="CC46" i="39"/>
  <c r="CB46" i="39"/>
  <c r="CA46" i="39"/>
  <c r="CF44" i="39"/>
  <c r="CE44" i="39"/>
  <c r="CD44" i="39"/>
  <c r="CC44" i="39"/>
  <c r="CB44" i="39"/>
  <c r="CA44" i="39"/>
  <c r="CF42" i="39"/>
  <c r="CE42" i="39"/>
  <c r="CD42" i="39"/>
  <c r="CC42" i="39"/>
  <c r="CB42" i="39"/>
  <c r="CA42" i="39"/>
  <c r="CF36" i="39"/>
  <c r="CE36" i="39"/>
  <c r="CD36" i="39"/>
  <c r="CC36" i="39"/>
  <c r="CB36" i="39"/>
  <c r="CA36" i="39"/>
  <c r="CF30" i="39"/>
  <c r="CE30" i="39"/>
  <c r="CD30" i="39"/>
  <c r="CC30" i="39"/>
  <c r="CB30" i="39"/>
  <c r="CA30" i="39"/>
  <c r="CF24" i="39"/>
  <c r="CE24" i="39"/>
  <c r="CD24" i="39"/>
  <c r="CC24" i="39"/>
  <c r="CB24" i="39"/>
  <c r="CA24" i="39"/>
  <c r="CF18" i="39"/>
  <c r="CE18" i="39"/>
  <c r="CD18" i="39"/>
  <c r="CC18" i="39"/>
  <c r="CB18" i="39"/>
  <c r="CA18" i="39"/>
  <c r="CF13" i="39"/>
  <c r="CE13" i="39"/>
  <c r="CD13" i="39"/>
  <c r="CC13" i="39"/>
  <c r="CB13" i="39"/>
  <c r="CA13" i="39"/>
  <c r="CF292" i="32"/>
  <c r="CE292" i="32"/>
  <c r="CD292" i="32"/>
  <c r="CC292" i="32"/>
  <c r="CB292" i="32"/>
  <c r="CA292" i="32"/>
  <c r="CF290" i="32"/>
  <c r="CE290" i="32"/>
  <c r="CD290" i="32"/>
  <c r="CC290" i="32"/>
  <c r="CB290" i="32"/>
  <c r="CA290" i="32"/>
  <c r="CF283" i="32"/>
  <c r="CE283" i="32"/>
  <c r="CD283" i="32"/>
  <c r="CC283" i="32"/>
  <c r="CB283" i="32"/>
  <c r="CA283" i="32"/>
  <c r="CF276" i="32"/>
  <c r="CE276" i="32"/>
  <c r="CD276" i="32"/>
  <c r="CC276" i="32"/>
  <c r="CB276" i="32"/>
  <c r="CA276" i="32"/>
  <c r="CF269" i="32"/>
  <c r="CE269" i="32"/>
  <c r="CD269" i="32"/>
  <c r="CC269" i="32"/>
  <c r="CB269" i="32"/>
  <c r="CA269" i="32"/>
  <c r="CF262" i="32"/>
  <c r="CE262" i="32"/>
  <c r="CD262" i="32"/>
  <c r="CC262" i="32"/>
  <c r="CB262" i="32"/>
  <c r="CA262" i="32"/>
  <c r="CF255" i="32"/>
  <c r="CE255" i="32"/>
  <c r="CD255" i="32"/>
  <c r="CC255" i="32"/>
  <c r="CB255" i="32"/>
  <c r="CA255" i="32"/>
  <c r="CF248" i="32"/>
  <c r="CE248" i="32"/>
  <c r="CD248" i="32"/>
  <c r="CC248" i="32"/>
  <c r="CB248" i="32"/>
  <c r="CA248" i="32"/>
  <c r="CF245" i="32"/>
  <c r="CE245" i="32"/>
  <c r="CD245" i="32"/>
  <c r="CC245" i="32"/>
  <c r="CB245" i="32"/>
  <c r="CA245" i="32"/>
  <c r="CF238" i="32"/>
  <c r="CE238" i="32"/>
  <c r="CD238" i="32"/>
  <c r="CC238" i="32"/>
  <c r="CB238" i="32"/>
  <c r="CA238" i="32"/>
  <c r="CF234" i="32"/>
  <c r="CE234" i="32"/>
  <c r="CD234" i="32"/>
  <c r="CC234" i="32"/>
  <c r="CB234" i="32"/>
  <c r="CA234" i="32"/>
  <c r="CF227" i="32"/>
  <c r="CE227" i="32"/>
  <c r="CD227" i="32"/>
  <c r="CC227" i="32"/>
  <c r="CB227" i="32"/>
  <c r="CA227" i="32"/>
  <c r="CF220" i="32"/>
  <c r="CE220" i="32"/>
  <c r="CD220" i="32"/>
  <c r="CC220" i="32"/>
  <c r="CB220" i="32"/>
  <c r="CA220" i="32"/>
  <c r="CF216" i="32"/>
  <c r="CE216" i="32"/>
  <c r="CD216" i="32"/>
  <c r="CC216" i="32"/>
  <c r="CB216" i="32"/>
  <c r="CA216" i="32"/>
  <c r="CF214" i="32"/>
  <c r="CE214" i="32"/>
  <c r="CD214" i="32"/>
  <c r="CC214" i="32"/>
  <c r="CB214" i="32"/>
  <c r="CA214" i="32"/>
  <c r="CF205" i="32"/>
  <c r="CE205" i="32"/>
  <c r="CD205" i="32"/>
  <c r="CC205" i="32"/>
  <c r="CB205" i="32"/>
  <c r="CA205" i="32"/>
  <c r="CF199" i="32"/>
  <c r="CE199" i="32"/>
  <c r="CD199" i="32"/>
  <c r="CC199" i="32"/>
  <c r="CB199" i="32"/>
  <c r="CA199" i="32"/>
  <c r="CF195" i="32"/>
  <c r="CE195" i="32"/>
  <c r="CD195" i="32"/>
  <c r="CC195" i="32"/>
  <c r="CB195" i="32"/>
  <c r="CA195" i="32"/>
  <c r="CF188" i="32"/>
  <c r="CE188" i="32"/>
  <c r="CD188" i="32"/>
  <c r="CC188" i="32"/>
  <c r="CB188" i="32"/>
  <c r="CA188" i="32"/>
  <c r="CF182" i="32"/>
  <c r="CE182" i="32"/>
  <c r="CD182" i="32"/>
  <c r="CC182" i="32"/>
  <c r="CB182" i="32"/>
  <c r="CA182" i="32"/>
  <c r="CF178" i="32"/>
  <c r="CE178" i="32"/>
  <c r="CD178" i="32"/>
  <c r="CC178" i="32"/>
  <c r="CB178" i="32"/>
  <c r="CA178" i="32"/>
  <c r="CF171" i="32"/>
  <c r="CE171" i="32"/>
  <c r="CD171" i="32"/>
  <c r="CC171" i="32"/>
  <c r="CB171" i="32"/>
  <c r="CA171" i="32"/>
  <c r="CF164" i="32"/>
  <c r="CE164" i="32"/>
  <c r="CD164" i="32"/>
  <c r="CC164" i="32"/>
  <c r="CB164" i="32"/>
  <c r="CA164" i="32"/>
  <c r="CF157" i="32"/>
  <c r="CE157" i="32"/>
  <c r="CD157" i="32"/>
  <c r="CC157" i="32"/>
  <c r="CB157" i="32"/>
  <c r="CA157" i="32"/>
  <c r="CF150" i="32"/>
  <c r="CE150" i="32"/>
  <c r="CD150" i="32"/>
  <c r="CC150" i="32"/>
  <c r="CB150" i="32"/>
  <c r="CA150" i="32"/>
  <c r="CF146" i="32"/>
  <c r="CE146" i="32"/>
  <c r="CD146" i="32"/>
  <c r="CC146" i="32"/>
  <c r="CB146" i="32"/>
  <c r="CA146" i="32"/>
  <c r="CF144" i="32"/>
  <c r="CE144" i="32"/>
  <c r="CD144" i="32"/>
  <c r="CC144" i="32"/>
  <c r="CB144" i="32"/>
  <c r="CA144" i="32"/>
  <c r="CF137" i="32"/>
  <c r="CE137" i="32"/>
  <c r="CD137" i="32"/>
  <c r="CC137" i="32"/>
  <c r="CB137" i="32"/>
  <c r="CF130" i="32"/>
  <c r="CE130" i="32"/>
  <c r="CD130" i="32"/>
  <c r="CC130" i="32"/>
  <c r="CB130" i="32"/>
  <c r="CA130" i="32"/>
  <c r="CF124" i="32"/>
  <c r="CE124" i="32"/>
  <c r="CD124" i="32"/>
  <c r="CC124" i="32"/>
  <c r="CB124" i="32"/>
  <c r="CA124" i="32"/>
  <c r="CF120" i="32"/>
  <c r="CE120" i="32"/>
  <c r="CD120" i="32"/>
  <c r="CC120" i="32"/>
  <c r="CB120" i="32"/>
  <c r="CA120" i="32"/>
  <c r="CF113" i="32"/>
  <c r="CE113" i="32"/>
  <c r="CD113" i="32"/>
  <c r="CC113" i="32"/>
  <c r="CB113" i="32"/>
  <c r="CA113" i="32"/>
  <c r="CF109" i="32"/>
  <c r="CE109" i="32"/>
  <c r="CD109" i="32"/>
  <c r="CC109" i="32"/>
  <c r="CB109" i="32"/>
  <c r="CA109" i="32"/>
  <c r="CF107" i="32"/>
  <c r="CE107" i="32"/>
  <c r="CD107" i="32"/>
  <c r="CC107" i="32"/>
  <c r="CB107" i="32"/>
  <c r="CA107" i="32"/>
  <c r="CF96" i="32"/>
  <c r="CE96" i="32"/>
  <c r="CD96" i="32"/>
  <c r="CC96" i="32"/>
  <c r="CB96" i="32"/>
  <c r="CA96" i="32"/>
  <c r="CF90" i="32"/>
  <c r="CE90" i="32"/>
  <c r="CD90" i="32"/>
  <c r="CC90" i="32"/>
  <c r="CB90" i="32"/>
  <c r="CA90" i="32"/>
  <c r="CF84" i="32"/>
  <c r="CE84" i="32"/>
  <c r="CD84" i="32"/>
  <c r="CC84" i="32"/>
  <c r="CB84" i="32"/>
  <c r="CA84" i="32"/>
  <c r="CF77" i="32"/>
  <c r="CE77" i="32"/>
  <c r="CD77" i="32"/>
  <c r="CC77" i="32"/>
  <c r="CB77" i="32"/>
  <c r="CA77" i="32"/>
  <c r="CF71" i="32"/>
  <c r="CE71" i="32"/>
  <c r="CD71" i="32"/>
  <c r="CC71" i="32"/>
  <c r="CB71" i="32"/>
  <c r="CA71" i="32"/>
  <c r="CF65" i="32"/>
  <c r="CE65" i="32"/>
  <c r="CD65" i="32"/>
  <c r="CC65" i="32"/>
  <c r="CB65" i="32"/>
  <c r="CA65" i="32"/>
  <c r="CF58" i="32"/>
  <c r="CE58" i="32"/>
  <c r="CD58" i="32"/>
  <c r="CC58" i="32"/>
  <c r="CB58" i="32"/>
  <c r="CA58" i="32"/>
  <c r="CF52" i="32"/>
  <c r="CE52" i="32"/>
  <c r="CD52" i="32"/>
  <c r="CC52" i="32"/>
  <c r="CB52" i="32"/>
  <c r="CA52" i="32"/>
  <c r="CF45" i="32"/>
  <c r="CE45" i="32"/>
  <c r="CD45" i="32"/>
  <c r="CC45" i="32"/>
  <c r="CB45" i="32"/>
  <c r="CA45" i="32"/>
  <c r="CF43" i="32"/>
  <c r="CE43" i="32"/>
  <c r="CD43" i="32"/>
  <c r="CC43" i="32"/>
  <c r="CB43" i="32"/>
  <c r="CA43" i="32"/>
  <c r="CF39" i="32"/>
  <c r="CE39" i="32"/>
  <c r="CD39" i="32"/>
  <c r="CC39" i="32"/>
  <c r="CB39" i="32"/>
  <c r="CA39" i="32"/>
  <c r="CF35" i="32"/>
  <c r="CE35" i="32"/>
  <c r="CD35" i="32"/>
  <c r="CC35" i="32"/>
  <c r="CB35" i="32"/>
  <c r="CA35" i="32"/>
  <c r="CF31" i="32"/>
  <c r="CE31" i="32"/>
  <c r="CD31" i="32"/>
  <c r="CC31" i="32"/>
  <c r="CB31" i="32"/>
  <c r="CA31" i="32"/>
  <c r="CF27" i="32"/>
  <c r="CE27" i="32"/>
  <c r="CD27" i="32"/>
  <c r="CC27" i="32"/>
  <c r="CB27" i="32"/>
  <c r="CA27" i="32"/>
  <c r="CF22" i="32"/>
  <c r="CE22" i="32"/>
  <c r="CD22" i="32"/>
  <c r="CC22" i="32"/>
  <c r="CB22" i="32"/>
  <c r="CA22" i="32"/>
  <c r="CF17" i="32"/>
  <c r="CE17" i="32"/>
  <c r="CD17" i="32"/>
  <c r="CC17" i="32"/>
  <c r="CB17" i="32"/>
  <c r="CA17" i="32"/>
  <c r="CF13" i="32"/>
  <c r="CE13" i="32"/>
  <c r="CD13" i="32"/>
  <c r="CC13" i="32"/>
  <c r="CB13" i="32"/>
  <c r="CA13" i="32"/>
  <c r="CF73" i="31"/>
  <c r="CE73" i="31"/>
  <c r="CD73" i="31"/>
  <c r="CC73" i="31"/>
  <c r="CB73" i="31"/>
  <c r="CA73" i="31"/>
  <c r="CF67" i="31"/>
  <c r="CE67" i="31"/>
  <c r="CD67" i="31"/>
  <c r="CC67" i="31"/>
  <c r="CB67" i="31"/>
  <c r="CA67" i="31"/>
  <c r="CF64" i="31"/>
  <c r="CE64" i="31"/>
  <c r="CD64" i="31"/>
  <c r="CC64" i="31"/>
  <c r="CB64" i="31"/>
  <c r="CA64" i="31"/>
  <c r="CF57" i="31"/>
  <c r="CE57" i="31"/>
  <c r="CD57" i="31"/>
  <c r="CC57" i="31"/>
  <c r="CB57" i="31"/>
  <c r="CA57" i="31"/>
  <c r="CF52" i="31"/>
  <c r="CE52" i="31"/>
  <c r="CD52" i="31"/>
  <c r="CC52" i="31"/>
  <c r="CB52" i="31"/>
  <c r="CA52" i="31"/>
  <c r="CF48" i="31"/>
  <c r="CE48" i="31"/>
  <c r="CD48" i="31"/>
  <c r="CC48" i="31"/>
  <c r="CB48" i="31"/>
  <c r="CA48" i="31"/>
  <c r="CF43" i="31"/>
  <c r="CE43" i="31"/>
  <c r="CD43" i="31"/>
  <c r="CC43" i="31"/>
  <c r="CB43" i="31"/>
  <c r="CA43" i="31"/>
  <c r="CF40" i="31"/>
  <c r="CE40" i="31"/>
  <c r="CD40" i="31"/>
  <c r="CC40" i="31"/>
  <c r="CB40" i="31"/>
  <c r="CA40" i="31"/>
  <c r="CF38" i="31"/>
  <c r="CE38" i="31"/>
  <c r="CD38" i="31"/>
  <c r="CC38" i="31"/>
  <c r="CB38" i="31"/>
  <c r="CA38" i="31"/>
  <c r="CF32" i="31"/>
  <c r="CE32" i="31"/>
  <c r="CD32" i="31"/>
  <c r="CC32" i="31"/>
  <c r="CB32" i="31"/>
  <c r="CA32" i="31"/>
  <c r="CF25" i="31"/>
  <c r="CE25" i="31"/>
  <c r="CD25" i="31"/>
  <c r="CC25" i="31"/>
  <c r="CB25" i="31"/>
  <c r="CA25" i="31"/>
  <c r="CF23" i="31"/>
  <c r="CE23" i="31"/>
  <c r="CD23" i="31"/>
  <c r="CC23" i="31"/>
  <c r="CB23" i="31"/>
  <c r="CA23" i="31"/>
  <c r="CF19" i="31"/>
  <c r="CE19" i="31"/>
  <c r="CD19" i="31"/>
  <c r="CC19" i="31"/>
  <c r="CB19" i="31"/>
  <c r="CA19" i="31"/>
  <c r="CF15" i="31"/>
  <c r="CE15" i="31"/>
  <c r="CD15" i="31"/>
  <c r="CC15" i="31"/>
  <c r="CB15" i="31"/>
  <c r="CA15" i="31"/>
  <c r="CF99" i="30"/>
  <c r="CE99" i="30"/>
  <c r="CD99" i="30"/>
  <c r="CC99" i="30"/>
  <c r="CB99" i="30"/>
  <c r="CA99" i="30"/>
  <c r="CF92" i="30"/>
  <c r="CE92" i="30"/>
  <c r="CD92" i="30"/>
  <c r="CC92" i="30"/>
  <c r="CB92" i="30"/>
  <c r="CA92" i="30"/>
  <c r="CF85" i="30"/>
  <c r="CE85" i="30"/>
  <c r="CD85" i="30"/>
  <c r="CC85" i="30"/>
  <c r="CB85" i="30"/>
  <c r="CA85" i="30"/>
  <c r="CF81" i="30"/>
  <c r="CE81" i="30"/>
  <c r="CD81" i="30"/>
  <c r="CC81" i="30"/>
  <c r="CB81" i="30"/>
  <c r="CA81" i="30"/>
  <c r="CF75" i="30"/>
  <c r="CE75" i="30"/>
  <c r="CD75" i="30"/>
  <c r="CC75" i="30"/>
  <c r="CB75" i="30"/>
  <c r="CA75" i="30"/>
  <c r="CF71" i="30"/>
  <c r="CE71" i="30"/>
  <c r="CD71" i="30"/>
  <c r="CC71" i="30"/>
  <c r="CB71" i="30"/>
  <c r="CA71" i="30"/>
  <c r="CF65" i="30"/>
  <c r="CE65" i="30"/>
  <c r="CD65" i="30"/>
  <c r="CC65" i="30"/>
  <c r="CB65" i="30"/>
  <c r="CA65" i="30"/>
  <c r="CF61" i="30"/>
  <c r="CE61" i="30"/>
  <c r="CD61" i="30"/>
  <c r="CC61" i="30"/>
  <c r="CB61" i="30"/>
  <c r="CA61" i="30"/>
  <c r="CF54" i="30"/>
  <c r="CE54" i="30"/>
  <c r="CD54" i="30"/>
  <c r="CC54" i="30"/>
  <c r="CB54" i="30"/>
  <c r="CA54" i="30"/>
  <c r="CF48" i="30"/>
  <c r="CE48" i="30"/>
  <c r="CD48" i="30"/>
  <c r="CC48" i="30"/>
  <c r="CB48" i="30"/>
  <c r="CA48" i="30"/>
  <c r="CF44" i="30"/>
  <c r="CE44" i="30"/>
  <c r="CD44" i="30"/>
  <c r="CC44" i="30"/>
  <c r="CB44" i="30"/>
  <c r="CA44" i="30"/>
  <c r="CF37" i="30"/>
  <c r="CE37" i="30"/>
  <c r="CD37" i="30"/>
  <c r="CC37" i="30"/>
  <c r="CB37" i="30"/>
  <c r="CA37" i="30"/>
  <c r="CF30" i="30"/>
  <c r="CE30" i="30"/>
  <c r="CD30" i="30"/>
  <c r="CC30" i="30"/>
  <c r="CB30" i="30"/>
  <c r="CA30" i="30"/>
  <c r="CF28" i="30"/>
  <c r="CE28" i="30"/>
  <c r="CD28" i="30"/>
  <c r="CC28" i="30"/>
  <c r="CB28" i="30"/>
  <c r="CA28" i="30"/>
  <c r="CF23" i="30"/>
  <c r="CE23" i="30"/>
  <c r="CD23" i="30"/>
  <c r="CC23" i="30"/>
  <c r="CB23" i="30"/>
  <c r="CA23" i="30"/>
  <c r="CF17" i="30"/>
  <c r="CE17" i="30"/>
  <c r="CD17" i="30"/>
  <c r="CC17" i="30"/>
  <c r="CB17" i="30"/>
  <c r="CA17" i="30"/>
  <c r="CF15" i="30"/>
  <c r="CE15" i="30"/>
  <c r="CD15" i="30"/>
  <c r="CC15" i="30"/>
  <c r="CB15" i="30"/>
  <c r="CA15" i="30"/>
  <c r="CA203" i="42"/>
  <c r="CB203" i="42"/>
  <c r="CC203" i="42"/>
  <c r="CD203" i="42"/>
  <c r="CE203" i="42"/>
  <c r="CF203" i="42"/>
  <c r="CA204" i="42"/>
  <c r="CB204" i="42"/>
  <c r="CC204" i="42"/>
  <c r="CD204" i="42"/>
  <c r="CE204" i="42"/>
  <c r="CF204" i="42"/>
  <c r="CA205" i="42"/>
  <c r="CB205" i="42"/>
  <c r="CC205" i="42"/>
  <c r="CD205" i="42"/>
  <c r="CE205" i="42"/>
  <c r="CF205" i="42"/>
  <c r="CA206" i="42"/>
  <c r="CB206" i="42"/>
  <c r="CC206" i="42"/>
  <c r="CD206" i="42"/>
  <c r="CE206" i="42"/>
  <c r="CF206" i="42"/>
  <c r="CA207" i="42"/>
  <c r="CB207" i="42"/>
  <c r="CC207" i="42"/>
  <c r="CD207" i="42"/>
  <c r="CE207" i="42"/>
  <c r="CF207" i="42"/>
  <c r="CA208" i="42"/>
  <c r="CB208" i="42"/>
  <c r="CC208" i="42"/>
  <c r="CD208" i="42"/>
  <c r="CE208" i="42"/>
  <c r="CF208" i="42"/>
  <c r="CA209" i="42"/>
  <c r="CB209" i="42"/>
  <c r="CC209" i="42"/>
  <c r="CD209" i="42"/>
  <c r="CE209" i="42"/>
  <c r="CF209" i="42"/>
  <c r="CB210" i="42"/>
  <c r="CC210" i="42"/>
  <c r="CD210" i="42"/>
  <c r="CE210" i="42"/>
  <c r="CF210" i="42"/>
  <c r="CA211" i="42"/>
  <c r="CB211" i="42"/>
  <c r="CC211" i="42"/>
  <c r="CD211" i="42"/>
  <c r="CE211" i="42"/>
  <c r="CF211" i="42"/>
  <c r="CA212" i="42"/>
  <c r="CB212" i="42"/>
  <c r="CC212" i="42"/>
  <c r="CD212" i="42"/>
  <c r="CE212" i="42"/>
  <c r="CF212" i="42"/>
  <c r="CB142" i="41"/>
  <c r="CC142" i="41"/>
  <c r="CD142" i="41"/>
  <c r="CE142" i="41"/>
  <c r="CF142" i="41"/>
  <c r="CA143" i="41"/>
  <c r="CB143" i="41"/>
  <c r="CC143" i="41"/>
  <c r="CD143" i="41"/>
  <c r="CE143" i="41"/>
  <c r="CF143" i="41"/>
  <c r="CA144" i="41"/>
  <c r="CB144" i="41"/>
  <c r="CC144" i="41"/>
  <c r="CD144" i="41"/>
  <c r="CE144" i="41"/>
  <c r="CF144" i="41"/>
  <c r="CA145" i="41"/>
  <c r="CB145" i="41"/>
  <c r="CC145" i="41"/>
  <c r="CD145" i="41"/>
  <c r="CE145" i="41"/>
  <c r="CF145" i="41"/>
  <c r="CA146" i="41"/>
  <c r="CB146" i="41"/>
  <c r="CC146" i="41"/>
  <c r="CD146" i="41"/>
  <c r="CE146" i="41"/>
  <c r="CF146" i="41"/>
  <c r="CA147" i="41"/>
  <c r="CB147" i="41"/>
  <c r="CC147" i="41"/>
  <c r="CD147" i="41"/>
  <c r="CE147" i="41"/>
  <c r="CF147" i="41"/>
  <c r="CA148" i="41"/>
  <c r="CB148" i="41"/>
  <c r="CC148" i="41"/>
  <c r="CD148" i="41"/>
  <c r="CE148" i="41"/>
  <c r="CF148" i="41"/>
  <c r="CA149" i="41"/>
  <c r="CB149" i="41"/>
  <c r="CC149" i="41"/>
  <c r="CD149" i="41"/>
  <c r="CE149" i="41"/>
  <c r="CF149" i="41"/>
  <c r="CA150" i="41"/>
  <c r="CB150" i="41"/>
  <c r="CC150" i="41"/>
  <c r="CD150" i="41"/>
  <c r="CE150" i="41"/>
  <c r="CF150" i="41"/>
  <c r="CA151" i="41"/>
  <c r="CB151" i="41"/>
  <c r="CC151" i="41"/>
  <c r="CD151" i="41"/>
  <c r="CE151" i="41"/>
  <c r="CF151" i="41"/>
  <c r="CB170" i="40"/>
  <c r="CC170" i="40"/>
  <c r="CD170" i="40"/>
  <c r="CE170" i="40"/>
  <c r="CF170" i="40"/>
  <c r="CA171" i="40"/>
  <c r="CB171" i="40"/>
  <c r="CC171" i="40"/>
  <c r="CD171" i="40"/>
  <c r="CE171" i="40"/>
  <c r="CF171" i="40"/>
  <c r="CA172" i="40"/>
  <c r="CB172" i="40"/>
  <c r="CC172" i="40"/>
  <c r="CD172" i="40"/>
  <c r="CE172" i="40"/>
  <c r="CF172" i="40"/>
  <c r="CA173" i="40"/>
  <c r="CB173" i="40"/>
  <c r="CC173" i="40"/>
  <c r="CD173" i="40"/>
  <c r="CE173" i="40"/>
  <c r="CF173" i="40"/>
  <c r="CA174" i="40"/>
  <c r="CB174" i="40"/>
  <c r="CC174" i="40"/>
  <c r="CD174" i="40"/>
  <c r="CE174" i="40"/>
  <c r="CF174" i="40"/>
  <c r="CA175" i="40"/>
  <c r="CB175" i="40"/>
  <c r="CC175" i="40"/>
  <c r="CD175" i="40"/>
  <c r="CE175" i="40"/>
  <c r="CF175" i="40"/>
  <c r="CA176" i="40"/>
  <c r="CB176" i="40"/>
  <c r="CC176" i="40"/>
  <c r="CD176" i="40"/>
  <c r="CE176" i="40"/>
  <c r="CF176" i="40"/>
  <c r="CA177" i="40"/>
  <c r="CB177" i="40"/>
  <c r="CC177" i="40"/>
  <c r="CD177" i="40"/>
  <c r="CE177" i="40"/>
  <c r="CF177" i="40"/>
  <c r="CA178" i="40"/>
  <c r="CB178" i="40"/>
  <c r="CC178" i="40"/>
  <c r="CD178" i="40"/>
  <c r="CE178" i="40"/>
  <c r="CF178" i="40"/>
  <c r="CA179" i="40"/>
  <c r="CB179" i="40"/>
  <c r="CC179" i="40"/>
  <c r="CD179" i="40"/>
  <c r="CE179" i="40"/>
  <c r="CF179" i="40"/>
  <c r="CA128" i="39"/>
  <c r="CB128" i="39"/>
  <c r="CC128" i="39"/>
  <c r="CD128" i="39"/>
  <c r="CE128" i="39"/>
  <c r="CF128" i="39"/>
  <c r="CA129" i="39"/>
  <c r="CB129" i="39"/>
  <c r="CC129" i="39"/>
  <c r="CD129" i="39"/>
  <c r="CE129" i="39"/>
  <c r="CF129" i="39"/>
  <c r="CA130" i="39"/>
  <c r="CB130" i="39"/>
  <c r="CC130" i="39"/>
  <c r="CD130" i="39"/>
  <c r="CE130" i="39"/>
  <c r="CF130" i="39"/>
  <c r="CA131" i="39"/>
  <c r="CB131" i="39"/>
  <c r="CC131" i="39"/>
  <c r="CD131" i="39"/>
  <c r="CE131" i="39"/>
  <c r="CF131" i="39"/>
  <c r="CA132" i="39"/>
  <c r="CB132" i="39"/>
  <c r="CC132" i="39"/>
  <c r="CD132" i="39"/>
  <c r="CE132" i="39"/>
  <c r="CF132" i="39"/>
  <c r="CA133" i="39"/>
  <c r="CB133" i="39"/>
  <c r="CC133" i="39"/>
  <c r="CD133" i="39"/>
  <c r="CE133" i="39"/>
  <c r="CF133" i="39"/>
  <c r="CA134" i="39"/>
  <c r="CB134" i="39"/>
  <c r="CC134" i="39"/>
  <c r="CD134" i="39"/>
  <c r="CE134" i="39"/>
  <c r="CF134" i="39"/>
  <c r="CA135" i="39"/>
  <c r="CB135" i="39"/>
  <c r="CC135" i="39"/>
  <c r="CD135" i="39"/>
  <c r="CE135" i="39"/>
  <c r="CF135" i="39"/>
  <c r="CA136" i="39"/>
  <c r="CB136" i="39"/>
  <c r="CC136" i="39"/>
  <c r="CD136" i="39"/>
  <c r="CE136" i="39"/>
  <c r="CF136" i="39"/>
  <c r="CA137" i="39"/>
  <c r="CB137" i="39"/>
  <c r="CC137" i="39"/>
  <c r="CD137" i="39"/>
  <c r="CE137" i="39"/>
  <c r="CF137" i="39"/>
  <c r="CB297" i="32"/>
  <c r="CC297" i="32"/>
  <c r="CD297" i="32"/>
  <c r="CE297" i="32"/>
  <c r="CF297" i="32"/>
  <c r="CA298" i="32"/>
  <c r="CB298" i="32"/>
  <c r="CC298" i="32"/>
  <c r="CD298" i="32"/>
  <c r="CE298" i="32"/>
  <c r="CF298" i="32"/>
  <c r="CA299" i="32"/>
  <c r="CB299" i="32"/>
  <c r="CC299" i="32"/>
  <c r="CD299" i="32"/>
  <c r="CE299" i="32"/>
  <c r="CF299" i="32"/>
  <c r="CA300" i="32"/>
  <c r="CB300" i="32"/>
  <c r="CC300" i="32"/>
  <c r="CD300" i="32"/>
  <c r="CE300" i="32"/>
  <c r="CF300" i="32"/>
  <c r="CA301" i="32"/>
  <c r="CB301" i="32"/>
  <c r="CC301" i="32"/>
  <c r="CD301" i="32"/>
  <c r="CE301" i="32"/>
  <c r="CF301" i="32"/>
  <c r="CA302" i="32"/>
  <c r="CB302" i="32"/>
  <c r="CC302" i="32"/>
  <c r="CD302" i="32"/>
  <c r="CE302" i="32"/>
  <c r="CF302" i="32"/>
  <c r="CA303" i="32"/>
  <c r="CB303" i="32"/>
  <c r="CC303" i="32"/>
  <c r="CD303" i="32"/>
  <c r="CE303" i="32"/>
  <c r="CF303" i="32"/>
  <c r="CA304" i="32"/>
  <c r="CB304" i="32"/>
  <c r="CC304" i="32"/>
  <c r="CD304" i="32"/>
  <c r="CE304" i="32"/>
  <c r="CF304" i="32"/>
  <c r="CA305" i="32"/>
  <c r="CB305" i="32"/>
  <c r="CC305" i="32"/>
  <c r="CD305" i="32"/>
  <c r="CE305" i="32"/>
  <c r="CF305" i="32"/>
  <c r="CA306" i="32"/>
  <c r="CB306" i="32"/>
  <c r="CC306" i="32"/>
  <c r="CD306" i="32"/>
  <c r="CE306" i="32"/>
  <c r="CF306" i="32"/>
  <c r="CA78" i="31"/>
  <c r="CB78" i="31"/>
  <c r="CC78" i="31"/>
  <c r="CD78" i="31"/>
  <c r="CE78" i="31"/>
  <c r="CF78" i="31"/>
  <c r="CA79" i="31"/>
  <c r="CB79" i="31"/>
  <c r="CC79" i="31"/>
  <c r="CD79" i="31"/>
  <c r="CE79" i="31"/>
  <c r="CF79" i="31"/>
  <c r="CA80" i="31"/>
  <c r="CB80" i="31"/>
  <c r="CC80" i="31"/>
  <c r="CD80" i="31"/>
  <c r="CE80" i="31"/>
  <c r="CF80" i="31"/>
  <c r="CA81" i="31"/>
  <c r="CB81" i="31"/>
  <c r="CC81" i="31"/>
  <c r="CD81" i="31"/>
  <c r="CE81" i="31"/>
  <c r="CF81" i="31"/>
  <c r="CA82" i="31"/>
  <c r="CB82" i="31"/>
  <c r="CC82" i="31"/>
  <c r="CD82" i="31"/>
  <c r="CE82" i="31"/>
  <c r="CF82" i="31"/>
  <c r="CA83" i="31"/>
  <c r="CB83" i="31"/>
  <c r="CC83" i="31"/>
  <c r="CD83" i="31"/>
  <c r="CE83" i="31"/>
  <c r="CF83" i="31"/>
  <c r="CA84" i="31"/>
  <c r="CB84" i="31"/>
  <c r="CC84" i="31"/>
  <c r="CD84" i="31"/>
  <c r="CE84" i="31"/>
  <c r="CF84" i="31"/>
  <c r="CA85" i="31"/>
  <c r="CB85" i="31"/>
  <c r="CC85" i="31"/>
  <c r="CD85" i="31"/>
  <c r="CE85" i="31"/>
  <c r="CF85" i="31"/>
  <c r="CA86" i="31"/>
  <c r="CB86" i="31"/>
  <c r="CC86" i="31"/>
  <c r="CD86" i="31"/>
  <c r="CE86" i="31"/>
  <c r="CF86" i="31"/>
  <c r="CA87" i="31"/>
  <c r="CB87" i="31"/>
  <c r="CC87" i="31"/>
  <c r="CD87" i="31"/>
  <c r="CE87" i="31"/>
  <c r="CF87" i="31"/>
  <c r="CA104" i="30"/>
  <c r="CB104" i="30"/>
  <c r="CC104" i="30"/>
  <c r="CD104" i="30"/>
  <c r="CE104" i="30"/>
  <c r="CF104" i="30"/>
  <c r="CA105" i="30"/>
  <c r="CB105" i="30"/>
  <c r="CC105" i="30"/>
  <c r="CD105" i="30"/>
  <c r="CE105" i="30"/>
  <c r="CF105" i="30"/>
  <c r="CA106" i="30"/>
  <c r="CB106" i="30"/>
  <c r="CC106" i="30"/>
  <c r="CD106" i="30"/>
  <c r="CE106" i="30"/>
  <c r="CF106" i="30"/>
  <c r="CA107" i="30"/>
  <c r="CB107" i="30"/>
  <c r="CC107" i="30"/>
  <c r="CD107" i="30"/>
  <c r="CE107" i="30"/>
  <c r="CF107" i="30"/>
  <c r="CA108" i="30"/>
  <c r="CB108" i="30"/>
  <c r="CC108" i="30"/>
  <c r="CD108" i="30"/>
  <c r="CE108" i="30"/>
  <c r="CF108" i="30"/>
  <c r="CA109" i="30"/>
  <c r="CB109" i="30"/>
  <c r="CC109" i="30"/>
  <c r="CD109" i="30"/>
  <c r="CE109" i="30"/>
  <c r="CF109" i="30"/>
  <c r="CA110" i="30"/>
  <c r="CB110" i="30"/>
  <c r="CC110" i="30"/>
  <c r="CD110" i="30"/>
  <c r="CE110" i="30"/>
  <c r="CF110" i="30"/>
  <c r="CA111" i="30"/>
  <c r="CB111" i="30"/>
  <c r="CC111" i="30"/>
  <c r="CD111" i="30"/>
  <c r="CE111" i="30"/>
  <c r="CF111" i="30"/>
  <c r="CA112" i="30"/>
  <c r="CB112" i="30"/>
  <c r="CC112" i="30"/>
  <c r="CD112" i="30"/>
  <c r="CE112" i="30"/>
  <c r="CF112" i="30"/>
  <c r="CA113" i="30"/>
  <c r="CB113" i="30"/>
  <c r="CC113" i="30"/>
  <c r="CD113" i="30"/>
  <c r="CE113" i="30"/>
  <c r="CF113" i="30"/>
  <c r="CF190" i="29"/>
  <c r="CE190" i="29"/>
  <c r="CD190" i="29"/>
  <c r="CC190" i="29"/>
  <c r="CB190" i="29"/>
  <c r="CA190" i="29"/>
  <c r="CF183" i="29"/>
  <c r="CE183" i="29"/>
  <c r="CD183" i="29"/>
  <c r="CC183" i="29"/>
  <c r="CB183" i="29"/>
  <c r="CA183" i="29"/>
  <c r="CF177" i="29"/>
  <c r="CE177" i="29"/>
  <c r="CD177" i="29"/>
  <c r="CC177" i="29"/>
  <c r="CB177" i="29"/>
  <c r="CA177" i="29"/>
  <c r="CF174" i="29"/>
  <c r="CE174" i="29"/>
  <c r="CD174" i="29"/>
  <c r="CC174" i="29"/>
  <c r="CB174" i="29"/>
  <c r="CA174" i="29"/>
  <c r="CF167" i="29"/>
  <c r="CE167" i="29"/>
  <c r="CD167" i="29"/>
  <c r="CC167" i="29"/>
  <c r="CB167" i="29"/>
  <c r="CA167" i="29"/>
  <c r="CF163" i="29"/>
  <c r="CE163" i="29"/>
  <c r="CD163" i="29"/>
  <c r="CC163" i="29"/>
  <c r="CB163" i="29"/>
  <c r="CA163" i="29"/>
  <c r="CF158" i="29"/>
  <c r="CE158" i="29"/>
  <c r="CD158" i="29"/>
  <c r="CC158" i="29"/>
  <c r="CB158" i="29"/>
  <c r="CA158" i="29"/>
  <c r="CF154" i="29"/>
  <c r="CE154" i="29"/>
  <c r="CD154" i="29"/>
  <c r="CC154" i="29"/>
  <c r="CB154" i="29"/>
  <c r="CA154" i="29"/>
  <c r="CF147" i="29"/>
  <c r="CE147" i="29"/>
  <c r="CD147" i="29"/>
  <c r="CC147" i="29"/>
  <c r="CB147" i="29"/>
  <c r="CA147" i="29"/>
  <c r="CF139" i="29"/>
  <c r="CE139" i="29"/>
  <c r="CD139" i="29"/>
  <c r="CC139" i="29"/>
  <c r="CB139" i="29"/>
  <c r="CA139" i="29"/>
  <c r="CF137" i="29"/>
  <c r="CE137" i="29"/>
  <c r="CD137" i="29"/>
  <c r="CC137" i="29"/>
  <c r="CB137" i="29"/>
  <c r="CA137" i="29"/>
  <c r="CF131" i="29"/>
  <c r="CE131" i="29"/>
  <c r="CD131" i="29"/>
  <c r="CC131" i="29"/>
  <c r="CB131" i="29"/>
  <c r="CF125" i="29"/>
  <c r="CE125" i="29"/>
  <c r="CD125" i="29"/>
  <c r="CC125" i="29"/>
  <c r="CB125" i="29"/>
  <c r="CA125" i="29"/>
  <c r="CF119" i="29"/>
  <c r="CE119" i="29"/>
  <c r="CD119" i="29"/>
  <c r="CC119" i="29"/>
  <c r="CB119" i="29"/>
  <c r="CA119" i="29"/>
  <c r="CF113" i="29"/>
  <c r="CE113" i="29"/>
  <c r="CD113" i="29"/>
  <c r="CC113" i="29"/>
  <c r="CB113" i="29"/>
  <c r="CA113" i="29"/>
  <c r="CF107" i="29"/>
  <c r="CE107" i="29"/>
  <c r="CD107" i="29"/>
  <c r="CC107" i="29"/>
  <c r="CB107" i="29"/>
  <c r="CA107" i="29"/>
  <c r="CF101" i="29"/>
  <c r="CE101" i="29"/>
  <c r="CD101" i="29"/>
  <c r="CC101" i="29"/>
  <c r="CB101" i="29"/>
  <c r="CA101" i="29"/>
  <c r="CF95" i="29"/>
  <c r="CE95" i="29"/>
  <c r="CD95" i="29"/>
  <c r="CC95" i="29"/>
  <c r="CB95" i="29"/>
  <c r="CA95" i="29"/>
  <c r="CF89" i="29"/>
  <c r="CE89" i="29"/>
  <c r="CD89" i="29"/>
  <c r="CC89" i="29"/>
  <c r="CB89" i="29"/>
  <c r="CA89" i="29"/>
  <c r="CF83" i="29"/>
  <c r="CE83" i="29"/>
  <c r="CD83" i="29"/>
  <c r="CC83" i="29"/>
  <c r="CB83" i="29"/>
  <c r="CA83" i="29"/>
  <c r="CF78" i="29"/>
  <c r="CE78" i="29"/>
  <c r="CD78" i="29"/>
  <c r="CC78" i="29"/>
  <c r="CB78" i="29"/>
  <c r="CA78" i="29"/>
  <c r="CF74" i="29"/>
  <c r="CE74" i="29"/>
  <c r="CD74" i="29"/>
  <c r="CC74" i="29"/>
  <c r="CB74" i="29"/>
  <c r="CA74" i="29"/>
  <c r="CF70" i="29"/>
  <c r="CE70" i="29"/>
  <c r="CD70" i="29"/>
  <c r="CC70" i="29"/>
  <c r="CB70" i="29"/>
  <c r="CA70" i="29"/>
  <c r="CF66" i="29"/>
  <c r="CE66" i="29"/>
  <c r="CD66" i="29"/>
  <c r="CC66" i="29"/>
  <c r="CB66" i="29"/>
  <c r="CA66" i="29"/>
  <c r="CF62" i="29"/>
  <c r="CE62" i="29"/>
  <c r="CD62" i="29"/>
  <c r="CC62" i="29"/>
  <c r="CB62" i="29"/>
  <c r="CA62" i="29"/>
  <c r="CF58" i="29"/>
  <c r="CE58" i="29"/>
  <c r="CD58" i="29"/>
  <c r="CC58" i="29"/>
  <c r="CB58" i="29"/>
  <c r="CA58" i="29"/>
  <c r="CF55" i="29"/>
  <c r="CE55" i="29"/>
  <c r="CD55" i="29"/>
  <c r="CC55" i="29"/>
  <c r="CB55" i="29"/>
  <c r="CA55" i="29"/>
  <c r="CF51" i="29"/>
  <c r="CE51" i="29"/>
  <c r="CD51" i="29"/>
  <c r="CC51" i="29"/>
  <c r="CB51" i="29"/>
  <c r="CA51" i="29"/>
  <c r="CF47" i="29"/>
  <c r="CE47" i="29"/>
  <c r="CD47" i="29"/>
  <c r="CC47" i="29"/>
  <c r="CB47" i="29"/>
  <c r="CA47" i="29"/>
  <c r="CF43" i="29"/>
  <c r="CE43" i="29"/>
  <c r="CD43" i="29"/>
  <c r="CC43" i="29"/>
  <c r="CB43" i="29"/>
  <c r="CA43" i="29"/>
  <c r="CF39" i="29"/>
  <c r="CE39" i="29"/>
  <c r="CD39" i="29"/>
  <c r="CC39" i="29"/>
  <c r="CB39" i="29"/>
  <c r="CA39" i="29"/>
  <c r="CF35" i="29"/>
  <c r="CE35" i="29"/>
  <c r="CD35" i="29"/>
  <c r="CC35" i="29"/>
  <c r="CB35" i="29"/>
  <c r="CA35" i="29"/>
  <c r="CF31" i="29"/>
  <c r="CE31" i="29"/>
  <c r="CD31" i="29"/>
  <c r="CC31" i="29"/>
  <c r="CB31" i="29"/>
  <c r="CA31" i="29"/>
  <c r="CF28" i="29"/>
  <c r="CE28" i="29"/>
  <c r="CD28" i="29"/>
  <c r="CC28" i="29"/>
  <c r="CB28" i="29"/>
  <c r="CA28" i="29"/>
  <c r="CF24" i="29"/>
  <c r="CE24" i="29"/>
  <c r="CD24" i="29"/>
  <c r="CC24" i="29"/>
  <c r="CB24" i="29"/>
  <c r="CA24" i="29"/>
  <c r="CF20" i="29"/>
  <c r="CE20" i="29"/>
  <c r="CD20" i="29"/>
  <c r="CC20" i="29"/>
  <c r="CB20" i="29"/>
  <c r="CA20" i="29"/>
  <c r="CF17" i="29"/>
  <c r="CE17" i="29"/>
  <c r="CD17" i="29"/>
  <c r="CC17" i="29"/>
  <c r="CB17" i="29"/>
  <c r="CA17" i="29"/>
  <c r="CF13" i="29"/>
  <c r="CE13" i="29"/>
  <c r="CD13" i="29"/>
  <c r="CC13" i="29"/>
  <c r="CB13" i="29"/>
  <c r="CA13" i="29"/>
  <c r="CA195" i="29"/>
  <c r="CB195" i="29"/>
  <c r="CC195" i="29"/>
  <c r="CD195" i="29"/>
  <c r="CE195" i="29"/>
  <c r="CF195" i="29"/>
  <c r="CA196" i="29"/>
  <c r="CB196" i="29"/>
  <c r="CC196" i="29"/>
  <c r="CD196" i="29"/>
  <c r="CE196" i="29"/>
  <c r="CF196" i="29"/>
  <c r="CA197" i="29"/>
  <c r="CB197" i="29"/>
  <c r="CC197" i="29"/>
  <c r="CD197" i="29"/>
  <c r="CE197" i="29"/>
  <c r="CF197" i="29"/>
  <c r="CA198" i="29"/>
  <c r="CB198" i="29"/>
  <c r="CC198" i="29"/>
  <c r="CD198" i="29"/>
  <c r="CE198" i="29"/>
  <c r="CF198" i="29"/>
  <c r="CA199" i="29"/>
  <c r="CB199" i="29"/>
  <c r="CC199" i="29"/>
  <c r="CD199" i="29"/>
  <c r="CE199" i="29"/>
  <c r="CF199" i="29"/>
  <c r="CA200" i="29"/>
  <c r="CB200" i="29"/>
  <c r="CC200" i="29"/>
  <c r="CD200" i="29"/>
  <c r="CE200" i="29"/>
  <c r="CF200" i="29"/>
  <c r="CA201" i="29"/>
  <c r="CB201" i="29"/>
  <c r="CC201" i="29"/>
  <c r="CD201" i="29"/>
  <c r="CE201" i="29"/>
  <c r="CF201" i="29"/>
  <c r="CB202" i="29"/>
  <c r="CC202" i="29"/>
  <c r="CD202" i="29"/>
  <c r="CE202" i="29"/>
  <c r="CF202" i="29"/>
  <c r="CA203" i="29"/>
  <c r="CB203" i="29"/>
  <c r="CC203" i="29"/>
  <c r="CD203" i="29"/>
  <c r="CE203" i="29"/>
  <c r="CF203" i="29"/>
  <c r="CA204" i="29"/>
  <c r="CB204" i="29"/>
  <c r="CC204" i="29"/>
  <c r="CD204" i="29"/>
  <c r="CE204" i="29"/>
  <c r="CF204" i="29"/>
  <c r="CA130" i="29"/>
  <c r="CA202" i="29" s="1"/>
  <c r="CA131" i="30"/>
  <c r="CA130" i="30"/>
  <c r="CA131" i="31"/>
  <c r="CA130" i="31"/>
  <c r="CA131" i="32"/>
  <c r="CA297" i="32" s="1"/>
  <c r="CA170" i="40"/>
  <c r="CA131" i="41"/>
  <c r="CA142" i="41" s="1"/>
  <c r="CA210" i="42"/>
  <c r="CA133" i="44"/>
  <c r="CB133" i="44"/>
  <c r="CC133" i="44"/>
  <c r="CD133" i="44"/>
  <c r="CE133" i="44"/>
  <c r="CF133" i="44"/>
  <c r="CA134" i="44"/>
  <c r="CB134" i="44"/>
  <c r="CC134" i="44"/>
  <c r="CD134" i="44"/>
  <c r="CE134" i="44"/>
  <c r="CF134" i="44"/>
  <c r="CA135" i="44"/>
  <c r="CB135" i="44"/>
  <c r="CC135" i="44"/>
  <c r="CD135" i="44"/>
  <c r="CE135" i="44"/>
  <c r="CF135" i="44"/>
  <c r="CA136" i="44"/>
  <c r="CB136" i="44"/>
  <c r="CC136" i="44"/>
  <c r="CD136" i="44"/>
  <c r="CE136" i="44"/>
  <c r="CF136" i="44"/>
  <c r="CA137" i="44"/>
  <c r="CB137" i="44"/>
  <c r="CC137" i="44"/>
  <c r="CD137" i="44"/>
  <c r="CE137" i="44"/>
  <c r="CF137" i="44"/>
  <c r="CA138" i="44"/>
  <c r="CB138" i="44"/>
  <c r="CC138" i="44"/>
  <c r="CD138" i="44"/>
  <c r="CE138" i="44"/>
  <c r="CF138" i="44"/>
  <c r="CA139" i="44"/>
  <c r="CB139" i="44"/>
  <c r="CC139" i="44"/>
  <c r="CD139" i="44"/>
  <c r="CE139" i="44"/>
  <c r="CF139" i="44"/>
  <c r="CA140" i="44"/>
  <c r="CB140" i="44"/>
  <c r="CC140" i="44"/>
  <c r="CD140" i="44"/>
  <c r="CE140" i="44"/>
  <c r="CF140" i="44"/>
  <c r="CA141" i="44"/>
  <c r="CB141" i="44"/>
  <c r="CC141" i="44"/>
  <c r="CD141" i="44"/>
  <c r="CE141" i="44"/>
  <c r="CF141" i="44"/>
  <c r="CA142" i="44"/>
  <c r="CB142" i="44"/>
  <c r="CC142" i="44"/>
  <c r="CD142" i="44"/>
  <c r="CE142" i="44"/>
  <c r="CF142" i="44"/>
  <c r="CA468" i="43"/>
  <c r="CB468" i="43"/>
  <c r="CC468" i="43"/>
  <c r="CD468" i="43"/>
  <c r="CE468" i="43"/>
  <c r="CF468" i="43"/>
  <c r="CA469" i="43"/>
  <c r="CB469" i="43"/>
  <c r="CC469" i="43"/>
  <c r="CD469" i="43"/>
  <c r="CE469" i="43"/>
  <c r="CF469" i="43"/>
  <c r="CA470" i="43"/>
  <c r="CB470" i="43"/>
  <c r="CC470" i="43"/>
  <c r="CD470" i="43"/>
  <c r="CE470" i="43"/>
  <c r="CF470" i="43"/>
  <c r="CA471" i="43"/>
  <c r="CB471" i="43"/>
  <c r="CC471" i="43"/>
  <c r="CD471" i="43"/>
  <c r="CE471" i="43"/>
  <c r="CF471" i="43"/>
  <c r="CA472" i="43"/>
  <c r="CB472" i="43"/>
  <c r="CC472" i="43"/>
  <c r="CD472" i="43"/>
  <c r="CE472" i="43"/>
  <c r="CF472" i="43"/>
  <c r="CA473" i="43"/>
  <c r="CB473" i="43"/>
  <c r="CC473" i="43"/>
  <c r="CD473" i="43"/>
  <c r="CE473" i="43"/>
  <c r="CF473" i="43"/>
  <c r="CA474" i="43"/>
  <c r="CB474" i="43"/>
  <c r="CC474" i="43"/>
  <c r="CD474" i="43"/>
  <c r="CE474" i="43"/>
  <c r="CF474" i="43"/>
  <c r="CA475" i="43"/>
  <c r="CB475" i="43"/>
  <c r="CC475" i="43"/>
  <c r="CD475" i="43"/>
  <c r="CE475" i="43"/>
  <c r="CF475" i="43"/>
  <c r="CA476" i="43"/>
  <c r="CB476" i="43"/>
  <c r="CC476" i="43"/>
  <c r="CD476" i="43"/>
  <c r="CE476" i="43"/>
  <c r="CF476" i="43"/>
  <c r="CA477" i="43"/>
  <c r="CB477" i="43"/>
  <c r="CC477" i="43"/>
  <c r="CD477" i="43"/>
  <c r="CE477" i="43"/>
  <c r="CF477" i="43"/>
  <c r="CF128" i="44"/>
  <c r="CE128" i="44"/>
  <c r="CD128" i="44"/>
  <c r="CC128" i="44"/>
  <c r="CB128" i="44"/>
  <c r="CA128" i="44"/>
  <c r="CF121" i="44"/>
  <c r="CE121" i="44"/>
  <c r="CD121" i="44"/>
  <c r="CC121" i="44"/>
  <c r="CB121" i="44"/>
  <c r="CA121" i="44"/>
  <c r="CF112" i="44"/>
  <c r="CE112" i="44"/>
  <c r="CD112" i="44"/>
  <c r="CC112" i="44"/>
  <c r="CB112" i="44"/>
  <c r="CA112" i="44"/>
  <c r="CF110" i="44"/>
  <c r="CE110" i="44"/>
  <c r="CD110" i="44"/>
  <c r="CC110" i="44"/>
  <c r="CB110" i="44"/>
  <c r="CA110" i="44"/>
  <c r="CF104" i="44"/>
  <c r="CE104" i="44"/>
  <c r="CD104" i="44"/>
  <c r="CC104" i="44"/>
  <c r="CB104" i="44"/>
  <c r="CA104" i="44"/>
  <c r="CF102" i="44"/>
  <c r="CE102" i="44"/>
  <c r="CD102" i="44"/>
  <c r="CC102" i="44"/>
  <c r="CB102" i="44"/>
  <c r="CA102" i="44"/>
  <c r="CF98" i="44"/>
  <c r="CE98" i="44"/>
  <c r="CD98" i="44"/>
  <c r="CC98" i="44"/>
  <c r="CB98" i="44"/>
  <c r="CA98" i="44"/>
  <c r="CF92" i="44"/>
  <c r="CE92" i="44"/>
  <c r="CD92" i="44"/>
  <c r="CC92" i="44"/>
  <c r="CB92" i="44"/>
  <c r="CA92" i="44"/>
  <c r="CF88" i="44"/>
  <c r="CE88" i="44"/>
  <c r="CD88" i="44"/>
  <c r="CC88" i="44"/>
  <c r="CB88" i="44"/>
  <c r="CA88" i="44"/>
  <c r="CF84" i="44"/>
  <c r="CE84" i="44"/>
  <c r="CD84" i="44"/>
  <c r="CC84" i="44"/>
  <c r="CB84" i="44"/>
  <c r="CA84" i="44"/>
  <c r="CF77" i="44"/>
  <c r="CE77" i="44"/>
  <c r="CD77" i="44"/>
  <c r="CC77" i="44"/>
  <c r="CB77" i="44"/>
  <c r="CA77" i="44"/>
  <c r="CF70" i="44"/>
  <c r="CE70" i="44"/>
  <c r="CD70" i="44"/>
  <c r="CC70" i="44"/>
  <c r="CB70" i="44"/>
  <c r="CA70" i="44"/>
  <c r="CF63" i="44"/>
  <c r="CE63" i="44"/>
  <c r="CD63" i="44"/>
  <c r="CC63" i="44"/>
  <c r="CB63" i="44"/>
  <c r="CA63" i="44"/>
  <c r="CF56" i="44"/>
  <c r="CE56" i="44"/>
  <c r="CD56" i="44"/>
  <c r="CC56" i="44"/>
  <c r="CB56" i="44"/>
  <c r="CA56" i="44"/>
  <c r="CF49" i="44"/>
  <c r="CE49" i="44"/>
  <c r="CD49" i="44"/>
  <c r="CC49" i="44"/>
  <c r="CB49" i="44"/>
  <c r="CA49" i="44"/>
  <c r="CF42" i="44"/>
  <c r="CE42" i="44"/>
  <c r="CD42" i="44"/>
  <c r="CC42" i="44"/>
  <c r="CB42" i="44"/>
  <c r="CA42" i="44"/>
  <c r="CF35" i="44"/>
  <c r="CE35" i="44"/>
  <c r="CD35" i="44"/>
  <c r="CC35" i="44"/>
  <c r="CB35" i="44"/>
  <c r="CA35" i="44"/>
  <c r="CF28" i="44"/>
  <c r="CE28" i="44"/>
  <c r="CD28" i="44"/>
  <c r="CC28" i="44"/>
  <c r="CB28" i="44"/>
  <c r="CA28" i="44"/>
  <c r="CF19" i="44"/>
  <c r="CE19" i="44"/>
  <c r="CD19" i="44"/>
  <c r="CC19" i="44"/>
  <c r="CB19" i="44"/>
  <c r="CA19" i="44"/>
  <c r="CF13" i="44"/>
  <c r="CE13" i="44"/>
  <c r="CD13" i="44"/>
  <c r="CC13" i="44"/>
  <c r="CB13" i="44"/>
  <c r="CA13" i="44"/>
  <c r="CF463" i="43"/>
  <c r="CE463" i="43"/>
  <c r="CD463" i="43"/>
  <c r="CC463" i="43"/>
  <c r="CB463" i="43"/>
  <c r="CA463" i="43"/>
  <c r="CF459" i="43"/>
  <c r="CE459" i="43"/>
  <c r="CD459" i="43"/>
  <c r="CC459" i="43"/>
  <c r="CB459" i="43"/>
  <c r="CA459" i="43"/>
  <c r="CF456" i="43"/>
  <c r="CE456" i="43"/>
  <c r="CD456" i="43"/>
  <c r="CC456" i="43"/>
  <c r="CB456" i="43"/>
  <c r="CA456" i="43"/>
  <c r="CF449" i="43"/>
  <c r="CE449" i="43"/>
  <c r="CD449" i="43"/>
  <c r="CC449" i="43"/>
  <c r="CB449" i="43"/>
  <c r="CA449" i="43"/>
  <c r="CF442" i="43"/>
  <c r="CE442" i="43"/>
  <c r="CD442" i="43"/>
  <c r="CC442" i="43"/>
  <c r="CB442" i="43"/>
  <c r="CA442" i="43"/>
  <c r="CF435" i="43"/>
  <c r="CE435" i="43"/>
  <c r="CD435" i="43"/>
  <c r="CC435" i="43"/>
  <c r="CB435" i="43"/>
  <c r="CA435" i="43"/>
  <c r="CF428" i="43"/>
  <c r="CE428" i="43"/>
  <c r="CD428" i="43"/>
  <c r="CC428" i="43"/>
  <c r="CB428" i="43"/>
  <c r="CA428" i="43"/>
  <c r="CF421" i="43"/>
  <c r="CE421" i="43"/>
  <c r="CD421" i="43"/>
  <c r="CC421" i="43"/>
  <c r="CB421" i="43"/>
  <c r="CA421" i="43"/>
  <c r="CF414" i="43"/>
  <c r="CE414" i="43"/>
  <c r="CD414" i="43"/>
  <c r="CC414" i="43"/>
  <c r="CB414" i="43"/>
  <c r="CA414" i="43"/>
  <c r="CF407" i="43"/>
  <c r="CE407" i="43"/>
  <c r="CD407" i="43"/>
  <c r="CC407" i="43"/>
  <c r="CB407" i="43"/>
  <c r="CA407" i="43"/>
  <c r="CF400" i="43"/>
  <c r="CE400" i="43"/>
  <c r="CD400" i="43"/>
  <c r="CC400" i="43"/>
  <c r="CB400" i="43"/>
  <c r="CA400" i="43"/>
  <c r="CF393" i="43"/>
  <c r="CE393" i="43"/>
  <c r="CD393" i="43"/>
  <c r="CC393" i="43"/>
  <c r="CB393" i="43"/>
  <c r="CA393" i="43"/>
  <c r="CF389" i="43"/>
  <c r="CE389" i="43"/>
  <c r="CD389" i="43"/>
  <c r="CC389" i="43"/>
  <c r="CB389" i="43"/>
  <c r="CA389" i="43"/>
  <c r="CF383" i="43"/>
  <c r="CE383" i="43"/>
  <c r="CD383" i="43"/>
  <c r="CC383" i="43"/>
  <c r="CB383" i="43"/>
  <c r="CA383" i="43"/>
  <c r="CF376" i="43"/>
  <c r="CE376" i="43"/>
  <c r="CD376" i="43"/>
  <c r="CC376" i="43"/>
  <c r="CB376" i="43"/>
  <c r="CA376" i="43"/>
  <c r="CF374" i="43"/>
  <c r="CE374" i="43"/>
  <c r="CD374" i="43"/>
  <c r="CC374" i="43"/>
  <c r="CB374" i="43"/>
  <c r="CA374" i="43"/>
  <c r="CF370" i="43"/>
  <c r="CE370" i="43"/>
  <c r="CD370" i="43"/>
  <c r="CC370" i="43"/>
  <c r="CB370" i="43"/>
  <c r="CA370" i="43"/>
  <c r="CF363" i="43"/>
  <c r="CE363" i="43"/>
  <c r="CD363" i="43"/>
  <c r="CC363" i="43"/>
  <c r="CB363" i="43"/>
  <c r="CA363" i="43"/>
  <c r="CF358" i="43"/>
  <c r="CE358" i="43"/>
  <c r="CD358" i="43"/>
  <c r="CC358" i="43"/>
  <c r="CB358" i="43"/>
  <c r="CA358" i="43"/>
  <c r="CF351" i="43"/>
  <c r="CE351" i="43"/>
  <c r="CD351" i="43"/>
  <c r="CC351" i="43"/>
  <c r="CB351" i="43"/>
  <c r="CA351" i="43"/>
  <c r="CF345" i="43"/>
  <c r="CE345" i="43"/>
  <c r="CD345" i="43"/>
  <c r="CC345" i="43"/>
  <c r="CB345" i="43"/>
  <c r="CA345" i="43"/>
  <c r="CF336" i="43"/>
  <c r="CE336" i="43"/>
  <c r="CD336" i="43"/>
  <c r="CC336" i="43"/>
  <c r="CB336" i="43"/>
  <c r="CA336" i="43"/>
  <c r="CF332" i="43"/>
  <c r="CE332" i="43"/>
  <c r="CD332" i="43"/>
  <c r="CC332" i="43"/>
  <c r="CB332" i="43"/>
  <c r="CA332" i="43"/>
  <c r="CF328" i="43"/>
  <c r="CE328" i="43"/>
  <c r="CD328" i="43"/>
  <c r="CC328" i="43"/>
  <c r="CB328" i="43"/>
  <c r="CA328" i="43"/>
  <c r="CF324" i="43"/>
  <c r="CE324" i="43"/>
  <c r="CD324" i="43"/>
  <c r="CC324" i="43"/>
  <c r="CB324" i="43"/>
  <c r="CA324" i="43"/>
  <c r="CF322" i="43"/>
  <c r="CE322" i="43"/>
  <c r="CD322" i="43"/>
  <c r="CC322" i="43"/>
  <c r="CB322" i="43"/>
  <c r="CA322" i="43"/>
  <c r="CF316" i="43"/>
  <c r="CE316" i="43"/>
  <c r="CD316" i="43"/>
  <c r="CC316" i="43"/>
  <c r="CB316" i="43"/>
  <c r="CA316" i="43"/>
  <c r="CF312" i="43"/>
  <c r="CE312" i="43"/>
  <c r="CD312" i="43"/>
  <c r="CC312" i="43"/>
  <c r="CB312" i="43"/>
  <c r="CA312" i="43"/>
  <c r="CF305" i="43"/>
  <c r="CE305" i="43"/>
  <c r="CD305" i="43"/>
  <c r="CC305" i="43"/>
  <c r="CB305" i="43"/>
  <c r="CA305" i="43"/>
  <c r="CF298" i="43"/>
  <c r="CE298" i="43"/>
  <c r="CD298" i="43"/>
  <c r="CC298" i="43"/>
  <c r="CB298" i="43"/>
  <c r="CA298" i="43"/>
  <c r="CF296" i="43"/>
  <c r="CE296" i="43"/>
  <c r="CD296" i="43"/>
  <c r="CC296" i="43"/>
  <c r="CB296" i="43"/>
  <c r="CA296" i="43"/>
  <c r="CF288" i="43"/>
  <c r="CE288" i="43"/>
  <c r="CD288" i="43"/>
  <c r="CC288" i="43"/>
  <c r="CB288" i="43"/>
  <c r="CA288" i="43"/>
  <c r="CF283" i="43"/>
  <c r="CE283" i="43"/>
  <c r="CD283" i="43"/>
  <c r="CC283" i="43"/>
  <c r="CB283" i="43"/>
  <c r="CA283" i="43"/>
  <c r="CF276" i="43"/>
  <c r="CE276" i="43"/>
  <c r="CD276" i="43"/>
  <c r="CC276" i="43"/>
  <c r="CB276" i="43"/>
  <c r="CA276" i="43"/>
  <c r="CF272" i="43"/>
  <c r="CE272" i="43"/>
  <c r="CD272" i="43"/>
  <c r="CC272" i="43"/>
  <c r="CB272" i="43"/>
  <c r="CA272" i="43"/>
  <c r="CF266" i="43"/>
  <c r="CE266" i="43"/>
  <c r="CD266" i="43"/>
  <c r="CC266" i="43"/>
  <c r="CB266" i="43"/>
  <c r="CA266" i="43"/>
  <c r="CF262" i="43"/>
  <c r="CE262" i="43"/>
  <c r="CD262" i="43"/>
  <c r="CC262" i="43"/>
  <c r="CB262" i="43"/>
  <c r="CA262" i="43"/>
  <c r="CF258" i="43"/>
  <c r="CE258" i="43"/>
  <c r="CD258" i="43"/>
  <c r="CC258" i="43"/>
  <c r="CB258" i="43"/>
  <c r="CA258" i="43"/>
  <c r="CF256" i="43"/>
  <c r="CE256" i="43"/>
  <c r="CD256" i="43"/>
  <c r="CC256" i="43"/>
  <c r="CB256" i="43"/>
  <c r="CA256" i="43"/>
  <c r="CF249" i="43"/>
  <c r="CE249" i="43"/>
  <c r="CD249" i="43"/>
  <c r="CC249" i="43"/>
  <c r="CB249" i="43"/>
  <c r="CA249" i="43"/>
  <c r="CF243" i="43"/>
  <c r="CE243" i="43"/>
  <c r="CD243" i="43"/>
  <c r="CC243" i="43"/>
  <c r="CB243" i="43"/>
  <c r="CA243" i="43"/>
  <c r="CF237" i="43"/>
  <c r="CE237" i="43"/>
  <c r="CD237" i="43"/>
  <c r="CC237" i="43"/>
  <c r="CB237" i="43"/>
  <c r="CA237" i="43"/>
  <c r="CF231" i="43"/>
  <c r="CE231" i="43"/>
  <c r="CD231" i="43"/>
  <c r="CC231" i="43"/>
  <c r="CB231" i="43"/>
  <c r="CA231" i="43"/>
  <c r="CF225" i="43"/>
  <c r="CE225" i="43"/>
  <c r="CD225" i="43"/>
  <c r="CC225" i="43"/>
  <c r="CB225" i="43"/>
  <c r="CA225" i="43"/>
  <c r="CF219" i="43"/>
  <c r="CE219" i="43"/>
  <c r="CD219" i="43"/>
  <c r="CC219" i="43"/>
  <c r="CB219" i="43"/>
  <c r="CA219" i="43"/>
  <c r="CF213" i="43"/>
  <c r="CE213" i="43"/>
  <c r="CD213" i="43"/>
  <c r="CC213" i="43"/>
  <c r="CB213" i="43"/>
  <c r="CA213" i="43"/>
  <c r="CF206" i="43"/>
  <c r="CE206" i="43"/>
  <c r="CD206" i="43"/>
  <c r="CC206" i="43"/>
  <c r="CB206" i="43"/>
  <c r="CA206" i="43"/>
  <c r="CF200" i="43"/>
  <c r="CE200" i="43"/>
  <c r="CD200" i="43"/>
  <c r="CC200" i="43"/>
  <c r="CB200" i="43"/>
  <c r="CA200" i="43"/>
  <c r="CF194" i="43"/>
  <c r="CE194" i="43"/>
  <c r="CD194" i="43"/>
  <c r="CC194" i="43"/>
  <c r="CB194" i="43"/>
  <c r="CA194" i="43"/>
  <c r="CF187" i="43"/>
  <c r="CE187" i="43"/>
  <c r="CD187" i="43"/>
  <c r="CC187" i="43"/>
  <c r="CB187" i="43"/>
  <c r="CA187" i="43"/>
  <c r="CF180" i="43"/>
  <c r="CE180" i="43"/>
  <c r="CD180" i="43"/>
  <c r="CC180" i="43"/>
  <c r="CB180" i="43"/>
  <c r="CA180" i="43"/>
  <c r="CF174" i="43"/>
  <c r="CE174" i="43"/>
  <c r="CD174" i="43"/>
  <c r="CC174" i="43"/>
  <c r="CB174" i="43"/>
  <c r="CA174" i="43"/>
  <c r="CF168" i="43"/>
  <c r="CE168" i="43"/>
  <c r="CD168" i="43"/>
  <c r="CC168" i="43"/>
  <c r="CB168" i="43"/>
  <c r="CA168" i="43"/>
  <c r="CF162" i="43"/>
  <c r="CE162" i="43"/>
  <c r="CD162" i="43"/>
  <c r="CC162" i="43"/>
  <c r="CB162" i="43"/>
  <c r="CA162" i="43"/>
  <c r="CF157" i="43"/>
  <c r="CE157" i="43"/>
  <c r="CD157" i="43"/>
  <c r="CC157" i="43"/>
  <c r="CB157" i="43"/>
  <c r="CA157" i="43"/>
  <c r="CF151" i="43"/>
  <c r="CE151" i="43"/>
  <c r="CD151" i="43"/>
  <c r="CC151" i="43"/>
  <c r="CB151" i="43"/>
  <c r="CA151" i="43"/>
  <c r="CF145" i="43"/>
  <c r="CE145" i="43"/>
  <c r="CD145" i="43"/>
  <c r="CC145" i="43"/>
  <c r="CB145" i="43"/>
  <c r="CA145" i="43"/>
  <c r="CF139" i="43"/>
  <c r="CE139" i="43"/>
  <c r="CD139" i="43"/>
  <c r="CC139" i="43"/>
  <c r="CB139" i="43"/>
  <c r="CA139" i="43"/>
  <c r="CF132" i="43"/>
  <c r="CE132" i="43"/>
  <c r="CD132" i="43"/>
  <c r="CC132" i="43"/>
  <c r="CB132" i="43"/>
  <c r="CA132" i="43"/>
  <c r="CF125" i="43"/>
  <c r="CE125" i="43"/>
  <c r="CD125" i="43"/>
  <c r="CC125" i="43"/>
  <c r="CB125" i="43"/>
  <c r="CA125" i="43"/>
  <c r="CF120" i="43"/>
  <c r="CE120" i="43"/>
  <c r="CD120" i="43"/>
  <c r="CC120" i="43"/>
  <c r="CB120" i="43"/>
  <c r="CA120" i="43"/>
  <c r="CF116" i="43"/>
  <c r="CE116" i="43"/>
  <c r="CD116" i="43"/>
  <c r="CC116" i="43"/>
  <c r="CB116" i="43"/>
  <c r="CA116" i="43"/>
  <c r="CF113" i="43"/>
  <c r="CE113" i="43"/>
  <c r="CD113" i="43"/>
  <c r="CC113" i="43"/>
  <c r="CB113" i="43"/>
  <c r="CA113" i="43"/>
  <c r="CF109" i="43"/>
  <c r="CE109" i="43"/>
  <c r="CD109" i="43"/>
  <c r="CC109" i="43"/>
  <c r="CB109" i="43"/>
  <c r="CA109" i="43"/>
  <c r="CF105" i="43"/>
  <c r="CE105" i="43"/>
  <c r="CD105" i="43"/>
  <c r="CC105" i="43"/>
  <c r="CB105" i="43"/>
  <c r="CA105" i="43"/>
  <c r="CF102" i="43"/>
  <c r="CE102" i="43"/>
  <c r="CD102" i="43"/>
  <c r="CC102" i="43"/>
  <c r="CB102" i="43"/>
  <c r="CA102" i="43"/>
  <c r="CF98" i="43"/>
  <c r="CE98" i="43"/>
  <c r="CD98" i="43"/>
  <c r="CC98" i="43"/>
  <c r="CB98" i="43"/>
  <c r="CA98" i="43"/>
  <c r="CF94" i="43"/>
  <c r="CE94" i="43"/>
  <c r="CD94" i="43"/>
  <c r="CC94" i="43"/>
  <c r="CB94" i="43"/>
  <c r="CA94" i="43"/>
  <c r="CF90" i="43"/>
  <c r="CE90" i="43"/>
  <c r="CD90" i="43"/>
  <c r="CC90" i="43"/>
  <c r="CB90" i="43"/>
  <c r="CA90" i="43"/>
  <c r="CF86" i="43"/>
  <c r="CE86" i="43"/>
  <c r="CD86" i="43"/>
  <c r="CC86" i="43"/>
  <c r="CB86" i="43"/>
  <c r="CA86" i="43"/>
  <c r="CF82" i="43"/>
  <c r="CE82" i="43"/>
  <c r="CD82" i="43"/>
  <c r="CC82" i="43"/>
  <c r="CB82" i="43"/>
  <c r="CA82" i="43"/>
  <c r="CF79" i="43"/>
  <c r="CE79" i="43"/>
  <c r="CD79" i="43"/>
  <c r="CC79" i="43"/>
  <c r="CB79" i="43"/>
  <c r="CA79" i="43"/>
  <c r="CF75" i="43"/>
  <c r="CE75" i="43"/>
  <c r="CD75" i="43"/>
  <c r="CC75" i="43"/>
  <c r="CB75" i="43"/>
  <c r="CA75" i="43"/>
  <c r="CF70" i="43"/>
  <c r="CE70" i="43"/>
  <c r="CD70" i="43"/>
  <c r="CC70" i="43"/>
  <c r="CB70" i="43"/>
  <c r="CA70" i="43"/>
  <c r="CF67" i="43"/>
  <c r="CE67" i="43"/>
  <c r="CD67" i="43"/>
  <c r="CC67" i="43"/>
  <c r="CB67" i="43"/>
  <c r="CA67" i="43"/>
  <c r="CF63" i="43"/>
  <c r="CE63" i="43"/>
  <c r="CD63" i="43"/>
  <c r="CC63" i="43"/>
  <c r="CB63" i="43"/>
  <c r="CA63" i="43"/>
  <c r="CF59" i="43"/>
  <c r="CE59" i="43"/>
  <c r="CD59" i="43"/>
  <c r="CC59" i="43"/>
  <c r="CB59" i="43"/>
  <c r="CA59" i="43"/>
  <c r="CF55" i="43"/>
  <c r="CE55" i="43"/>
  <c r="CD55" i="43"/>
  <c r="CC55" i="43"/>
  <c r="CB55" i="43"/>
  <c r="CA55" i="43"/>
  <c r="CF52" i="43"/>
  <c r="CE52" i="43"/>
  <c r="CD52" i="43"/>
  <c r="CC52" i="43"/>
  <c r="CB52" i="43"/>
  <c r="CA52" i="43"/>
  <c r="CF49" i="43"/>
  <c r="CE49" i="43"/>
  <c r="CD49" i="43"/>
  <c r="CC49" i="43"/>
  <c r="CB49" i="43"/>
  <c r="CA49" i="43"/>
  <c r="CF46" i="43"/>
  <c r="CE46" i="43"/>
  <c r="CD46" i="43"/>
  <c r="CC46" i="43"/>
  <c r="CB46" i="43"/>
  <c r="CA46" i="43"/>
  <c r="CF42" i="43"/>
  <c r="CE42" i="43"/>
  <c r="CD42" i="43"/>
  <c r="CC42" i="43"/>
  <c r="CB42" i="43"/>
  <c r="CA42" i="43"/>
  <c r="CF39" i="43"/>
  <c r="CE39" i="43"/>
  <c r="CD39" i="43"/>
  <c r="CC39" i="43"/>
  <c r="CB39" i="43"/>
  <c r="CA39" i="43"/>
  <c r="CF35" i="43"/>
  <c r="CE35" i="43"/>
  <c r="CD35" i="43"/>
  <c r="CC35" i="43"/>
  <c r="CB35" i="43"/>
  <c r="CA35" i="43"/>
  <c r="CF31" i="43"/>
  <c r="CE31" i="43"/>
  <c r="CD31" i="43"/>
  <c r="CC31" i="43"/>
  <c r="CB31" i="43"/>
  <c r="CA31" i="43"/>
  <c r="CF27" i="43"/>
  <c r="CE27" i="43"/>
  <c r="CD27" i="43"/>
  <c r="CC27" i="43"/>
  <c r="CB27" i="43"/>
  <c r="CA27" i="43"/>
  <c r="CF22" i="43"/>
  <c r="CE22" i="43"/>
  <c r="CD22" i="43"/>
  <c r="CC22" i="43"/>
  <c r="CB22" i="43"/>
  <c r="CA22" i="43"/>
  <c r="CF18" i="43"/>
  <c r="CE18" i="43"/>
  <c r="CD18" i="43"/>
  <c r="CC18" i="43"/>
  <c r="CB18" i="43"/>
  <c r="CA18" i="43"/>
  <c r="CF13" i="43"/>
  <c r="CE13" i="43"/>
  <c r="CD13" i="43"/>
  <c r="CC13" i="43"/>
  <c r="CB13" i="43"/>
  <c r="CA13" i="43"/>
  <c r="AO14" i="43"/>
  <c r="AO15" i="43"/>
  <c r="AO16" i="43"/>
  <c r="AO17" i="43"/>
  <c r="AO19" i="43"/>
  <c r="AO20" i="43"/>
  <c r="AO21" i="43"/>
  <c r="AO23" i="43"/>
  <c r="AO25" i="43"/>
  <c r="AO26" i="43"/>
  <c r="AO28" i="43"/>
  <c r="AO29" i="43"/>
  <c r="AO32" i="43"/>
  <c r="AO33" i="43"/>
  <c r="AO34" i="43"/>
  <c r="AO36" i="43"/>
  <c r="AO37" i="43"/>
  <c r="AO38" i="43"/>
  <c r="AO40" i="43"/>
  <c r="AO41" i="43"/>
  <c r="AO43" i="43"/>
  <c r="AO44" i="43"/>
  <c r="AO45" i="43"/>
  <c r="AO47" i="43"/>
  <c r="AO50" i="43"/>
  <c r="AO51" i="43"/>
  <c r="AO53" i="43"/>
  <c r="AO56" i="43"/>
  <c r="AO57" i="43"/>
  <c r="AO58" i="43"/>
  <c r="AO61" i="43"/>
  <c r="AO62" i="43"/>
  <c r="AO64" i="43"/>
  <c r="AO65" i="43"/>
  <c r="AO68" i="43"/>
  <c r="AO69" i="43"/>
  <c r="AO71" i="43"/>
  <c r="AO73" i="43"/>
  <c r="AO74" i="43"/>
  <c r="AO76" i="43"/>
  <c r="AO77" i="43"/>
  <c r="AO80" i="43"/>
  <c r="AO81" i="43"/>
  <c r="AO83" i="43"/>
  <c r="AO85" i="43"/>
  <c r="AO87" i="43"/>
  <c r="AO88" i="43"/>
  <c r="AO89" i="43"/>
  <c r="AO91" i="43"/>
  <c r="AO92" i="43"/>
  <c r="AO93" i="43"/>
  <c r="AO95" i="43"/>
  <c r="AO97" i="43"/>
  <c r="AO99" i="43"/>
  <c r="AO100" i="43"/>
  <c r="AO101" i="43"/>
  <c r="AO103" i="43"/>
  <c r="AO104" i="43"/>
  <c r="AO106" i="43"/>
  <c r="AO107" i="43"/>
  <c r="AO110" i="43"/>
  <c r="AO111" i="43"/>
  <c r="AO112" i="43"/>
  <c r="AO115" i="43"/>
  <c r="AO117" i="43"/>
  <c r="AO118" i="43"/>
  <c r="AO119" i="43"/>
  <c r="AO121" i="43"/>
  <c r="AO122" i="43"/>
  <c r="AO123" i="43"/>
  <c r="AO124" i="43"/>
  <c r="AO126" i="43"/>
  <c r="AO127" i="43"/>
  <c r="AO128" i="43"/>
  <c r="AO129" i="43"/>
  <c r="AO130" i="43"/>
  <c r="AO131" i="43"/>
  <c r="AO133" i="43"/>
  <c r="AO134" i="43"/>
  <c r="AO135" i="43"/>
  <c r="AO136" i="43"/>
  <c r="AO137" i="43"/>
  <c r="AO140" i="43"/>
  <c r="AO141" i="43"/>
  <c r="AO142" i="43"/>
  <c r="AO143" i="43"/>
  <c r="AO146" i="43"/>
  <c r="AO147" i="43"/>
  <c r="AO148" i="43"/>
  <c r="AO149" i="43"/>
  <c r="AO152" i="43"/>
  <c r="AO153" i="43"/>
  <c r="AO154" i="43"/>
  <c r="AO155" i="43"/>
  <c r="AO158" i="43"/>
  <c r="AO159" i="43"/>
  <c r="AO160" i="43"/>
  <c r="AO161" i="43"/>
  <c r="AO163" i="43"/>
  <c r="AO164" i="43"/>
  <c r="AO165" i="43"/>
  <c r="AO166" i="43"/>
  <c r="AO167" i="43"/>
  <c r="AO169" i="43"/>
  <c r="AO170" i="43"/>
  <c r="AO171" i="43"/>
  <c r="AO172" i="43"/>
  <c r="AO173" i="43"/>
  <c r="AO175" i="43"/>
  <c r="AO176" i="43"/>
  <c r="AO177" i="43"/>
  <c r="AO178" i="43"/>
  <c r="AO179" i="43"/>
  <c r="AO181" i="43"/>
  <c r="AO182" i="43"/>
  <c r="AO183" i="43"/>
  <c r="AO184" i="43"/>
  <c r="AO185" i="43"/>
  <c r="AO188" i="43"/>
  <c r="AO189" i="43"/>
  <c r="AO190" i="43"/>
  <c r="AO191" i="43"/>
  <c r="AO193" i="43"/>
  <c r="AO195" i="43"/>
  <c r="AO196" i="43"/>
  <c r="AO197" i="43"/>
  <c r="AO199" i="43"/>
  <c r="AO201" i="43"/>
  <c r="AO202" i="43"/>
  <c r="AO203" i="43"/>
  <c r="AO204" i="43"/>
  <c r="AO205" i="43"/>
  <c r="AO207" i="43"/>
  <c r="AO208" i="43"/>
  <c r="AO209" i="43"/>
  <c r="AO211" i="43"/>
  <c r="AO212" i="43"/>
  <c r="AO214" i="43"/>
  <c r="AO215" i="43"/>
  <c r="AO217" i="43"/>
  <c r="AO218" i="43"/>
  <c r="AO220" i="43"/>
  <c r="AO221" i="43"/>
  <c r="AO223" i="43"/>
  <c r="AO224" i="43"/>
  <c r="AO226" i="43"/>
  <c r="AO227" i="43"/>
  <c r="AO229" i="43"/>
  <c r="AO230" i="43"/>
  <c r="AO232" i="43"/>
  <c r="AO233" i="43"/>
  <c r="AO235" i="43"/>
  <c r="AO236" i="43"/>
  <c r="AO238" i="43"/>
  <c r="AO239" i="43"/>
  <c r="AO240" i="43"/>
  <c r="AO241" i="43"/>
  <c r="AO242" i="43"/>
  <c r="AO244" i="43"/>
  <c r="AO245" i="43"/>
  <c r="AO247" i="43"/>
  <c r="AO248" i="43"/>
  <c r="AO250" i="43"/>
  <c r="AO251" i="43"/>
  <c r="AO253" i="43"/>
  <c r="AO254" i="43"/>
  <c r="AO255" i="43"/>
  <c r="AO257" i="43"/>
  <c r="AO258" i="43" s="1"/>
  <c r="AO259" i="43"/>
  <c r="AO260" i="43"/>
  <c r="AO261" i="43"/>
  <c r="AO263" i="43"/>
  <c r="AO265" i="43"/>
  <c r="AO267" i="43"/>
  <c r="AO268" i="43"/>
  <c r="AO269" i="43"/>
  <c r="AO270" i="43"/>
  <c r="AO271" i="43"/>
  <c r="AO273" i="43"/>
  <c r="AO274" i="43"/>
  <c r="AO275" i="43"/>
  <c r="AO277" i="43"/>
  <c r="AO278" i="43"/>
  <c r="AO279" i="43"/>
  <c r="AO280" i="43"/>
  <c r="AO281" i="43"/>
  <c r="AO284" i="43"/>
  <c r="AO285" i="43"/>
  <c r="AO286" i="43"/>
  <c r="AO287" i="43"/>
  <c r="AO289" i="43"/>
  <c r="AO290" i="43"/>
  <c r="AO291" i="43"/>
  <c r="AO292" i="43"/>
  <c r="AO293" i="43"/>
  <c r="AO295" i="43"/>
  <c r="AO297" i="43"/>
  <c r="AO298" i="43" s="1"/>
  <c r="AO299" i="43"/>
  <c r="AO300" i="43"/>
  <c r="AO301" i="43"/>
  <c r="AO302" i="43"/>
  <c r="AO303" i="43"/>
  <c r="AO304" i="43"/>
  <c r="AO307" i="43"/>
  <c r="AO308" i="43"/>
  <c r="AO309" i="43"/>
  <c r="AO310" i="43"/>
  <c r="AO311" i="43"/>
  <c r="AO313" i="43"/>
  <c r="AO314" i="43"/>
  <c r="AO315" i="43"/>
  <c r="AO317" i="43"/>
  <c r="AO319" i="43"/>
  <c r="AO320" i="43"/>
  <c r="AO321" i="43"/>
  <c r="AO323" i="43"/>
  <c r="AO324" i="43" s="1"/>
  <c r="AO325" i="43"/>
  <c r="AO326" i="43"/>
  <c r="AO327" i="43"/>
  <c r="AO329" i="43"/>
  <c r="AO330" i="43"/>
  <c r="AO331" i="43"/>
  <c r="AO333" i="43"/>
  <c r="AO334" i="43"/>
  <c r="AO335" i="43"/>
  <c r="AO337" i="43"/>
  <c r="AO338" i="43"/>
  <c r="AO339" i="43"/>
  <c r="AO340" i="43"/>
  <c r="AO341" i="43"/>
  <c r="AO343" i="43"/>
  <c r="AO344" i="43"/>
  <c r="AO346" i="43"/>
  <c r="AO347" i="43"/>
  <c r="AO349" i="43"/>
  <c r="AO350" i="43"/>
  <c r="AO352" i="43"/>
  <c r="AO353" i="43"/>
  <c r="AO355" i="43"/>
  <c r="AO356" i="43"/>
  <c r="AO357" i="43"/>
  <c r="AO359" i="43"/>
  <c r="AO361" i="43"/>
  <c r="AO362" i="43"/>
  <c r="AO364" i="43"/>
  <c r="AO365" i="43"/>
  <c r="AO366" i="43"/>
  <c r="AO367" i="43"/>
  <c r="AO368" i="43"/>
  <c r="AO369" i="43"/>
  <c r="AO371" i="43"/>
  <c r="AO373" i="43"/>
  <c r="AO375" i="43"/>
  <c r="AO376" i="43" s="1"/>
  <c r="AO377" i="43"/>
  <c r="AO379" i="43"/>
  <c r="AO380" i="43"/>
  <c r="AO381" i="43"/>
  <c r="AO382" i="43"/>
  <c r="AO385" i="43"/>
  <c r="AO386" i="43"/>
  <c r="AO387" i="43"/>
  <c r="AO388" i="43"/>
  <c r="AO391" i="43"/>
  <c r="AO392" i="43"/>
  <c r="AO394" i="43"/>
  <c r="AO395" i="43"/>
  <c r="AO396" i="43"/>
  <c r="AO397" i="43"/>
  <c r="AO398" i="43"/>
  <c r="AO399" i="43"/>
  <c r="AO401" i="43"/>
  <c r="AO403" i="43"/>
  <c r="AO404" i="43"/>
  <c r="AO405" i="43"/>
  <c r="AO406" i="43"/>
  <c r="AO409" i="43"/>
  <c r="AO410" i="43"/>
  <c r="AO411" i="43"/>
  <c r="AO412" i="43"/>
  <c r="AO413" i="43"/>
  <c r="AO415" i="43"/>
  <c r="AO416" i="43"/>
  <c r="AO417" i="43"/>
  <c r="AO418" i="43"/>
  <c r="AO419" i="43"/>
  <c r="AO422" i="43"/>
  <c r="AO423" i="43"/>
  <c r="AO424" i="43"/>
  <c r="AO425" i="43"/>
  <c r="AO427" i="43"/>
  <c r="AO429" i="43"/>
  <c r="AO430" i="43"/>
  <c r="AO431" i="43"/>
  <c r="AO433" i="43"/>
  <c r="AO434" i="43"/>
  <c r="AO436" i="43"/>
  <c r="AO437" i="43"/>
  <c r="AO438" i="43"/>
  <c r="AO439" i="43"/>
  <c r="AO440" i="43"/>
  <c r="AO441" i="43"/>
  <c r="AO443" i="43"/>
  <c r="AO445" i="43"/>
  <c r="AO446" i="43"/>
  <c r="AO447" i="43"/>
  <c r="AO448" i="43"/>
  <c r="AO451" i="43"/>
  <c r="AO452" i="43"/>
  <c r="AO453" i="43"/>
  <c r="AO454" i="43"/>
  <c r="AO455" i="43"/>
  <c r="AO457" i="43"/>
  <c r="AO458" i="43"/>
  <c r="AO460" i="43"/>
  <c r="AO461" i="43"/>
  <c r="AO12" i="43"/>
  <c r="AO13" i="43" s="1"/>
  <c r="AK203" i="42"/>
  <c r="AK204" i="42"/>
  <c r="AK205" i="42"/>
  <c r="AK206" i="42"/>
  <c r="AK207" i="42"/>
  <c r="AK208" i="42"/>
  <c r="AK209" i="42"/>
  <c r="AK210" i="42"/>
  <c r="AK211" i="42"/>
  <c r="AK212" i="42"/>
  <c r="AK198" i="42"/>
  <c r="AK191" i="42"/>
  <c r="AK185" i="42"/>
  <c r="AK179" i="42"/>
  <c r="AK172" i="42"/>
  <c r="AK166" i="42"/>
  <c r="AK162" i="42"/>
  <c r="AK156" i="42"/>
  <c r="AK153" i="42"/>
  <c r="AK148" i="42"/>
  <c r="AK145" i="42"/>
  <c r="AK138" i="42"/>
  <c r="AK135" i="42"/>
  <c r="AK131" i="42"/>
  <c r="AK125" i="42"/>
  <c r="AK121" i="42"/>
  <c r="AK115" i="42"/>
  <c r="AK112" i="42"/>
  <c r="AK105" i="42"/>
  <c r="AK99" i="42"/>
  <c r="AK95" i="42"/>
  <c r="AK89" i="42"/>
  <c r="AK85" i="42"/>
  <c r="AK78" i="42"/>
  <c r="AK76" i="42"/>
  <c r="AK69" i="42"/>
  <c r="AK64" i="42"/>
  <c r="AK58" i="42"/>
  <c r="AK52" i="42"/>
  <c r="AK46" i="42"/>
  <c r="AK44" i="42"/>
  <c r="AK40" i="42"/>
  <c r="AK37" i="42"/>
  <c r="AK33" i="42"/>
  <c r="AK29" i="42"/>
  <c r="AK25" i="42"/>
  <c r="AK21" i="42"/>
  <c r="AK142" i="41"/>
  <c r="AK143" i="41"/>
  <c r="AK144" i="41"/>
  <c r="AK145" i="41"/>
  <c r="AK146" i="41"/>
  <c r="AK147" i="41"/>
  <c r="AK148" i="41"/>
  <c r="AK149" i="41"/>
  <c r="AK150" i="41"/>
  <c r="AK151" i="41"/>
  <c r="AK137" i="41"/>
  <c r="AK130" i="41"/>
  <c r="AK124" i="41"/>
  <c r="AK120" i="41"/>
  <c r="AK112" i="41"/>
  <c r="AK105" i="41"/>
  <c r="AK97" i="41"/>
  <c r="AK93" i="41"/>
  <c r="AK87" i="41"/>
  <c r="AK83" i="41"/>
  <c r="AK79" i="41"/>
  <c r="AK72" i="41"/>
  <c r="AK65" i="41"/>
  <c r="AK61" i="41"/>
  <c r="AK58" i="41"/>
  <c r="AK50" i="41"/>
  <c r="AK43" i="41"/>
  <c r="AK36" i="41"/>
  <c r="AK29" i="41"/>
  <c r="AK27" i="41"/>
  <c r="AK21" i="41"/>
  <c r="AK16" i="41"/>
  <c r="AK170" i="40"/>
  <c r="AK171" i="40"/>
  <c r="AK172" i="40"/>
  <c r="AK173" i="40"/>
  <c r="AK174" i="40"/>
  <c r="AK175" i="40"/>
  <c r="AK176" i="40"/>
  <c r="AK177" i="40"/>
  <c r="AK178" i="40"/>
  <c r="AK179" i="40"/>
  <c r="AK165" i="40"/>
  <c r="AK161" i="40"/>
  <c r="AK155" i="40"/>
  <c r="AK151" i="40"/>
  <c r="AK144" i="40"/>
  <c r="AK137" i="40"/>
  <c r="AK130" i="40"/>
  <c r="AK127" i="40"/>
  <c r="AK124" i="40"/>
  <c r="AK118" i="40"/>
  <c r="AK114" i="40"/>
  <c r="AK110" i="40"/>
  <c r="AK108" i="40"/>
  <c r="AK102" i="40"/>
  <c r="AK98" i="40"/>
  <c r="AK92" i="40"/>
  <c r="AK88" i="40"/>
  <c r="AK81" i="40"/>
  <c r="AK74" i="40"/>
  <c r="AK67" i="40"/>
  <c r="AK60" i="40"/>
  <c r="AK53" i="40"/>
  <c r="AK51" i="40"/>
  <c r="AK44" i="40"/>
  <c r="AK38" i="40"/>
  <c r="AK32" i="40"/>
  <c r="AK25" i="40"/>
  <c r="AK23" i="40"/>
  <c r="AK19" i="40"/>
  <c r="AK15" i="40"/>
  <c r="AK128" i="39"/>
  <c r="AK129" i="39"/>
  <c r="AK130" i="39"/>
  <c r="AK131" i="39"/>
  <c r="AK132" i="39"/>
  <c r="AK133" i="39"/>
  <c r="AK134" i="39"/>
  <c r="AK135" i="39"/>
  <c r="AK136" i="39"/>
  <c r="AK137" i="39"/>
  <c r="AK123" i="39"/>
  <c r="AK118" i="39"/>
  <c r="AK114" i="39"/>
  <c r="AK107" i="39"/>
  <c r="AK100" i="39"/>
  <c r="AK93" i="39"/>
  <c r="AK86" i="39"/>
  <c r="AK79" i="39"/>
  <c r="AK72" i="39"/>
  <c r="AK65" i="39"/>
  <c r="AK58" i="39"/>
  <c r="AK56" i="39"/>
  <c r="AK50" i="39"/>
  <c r="AK46" i="39"/>
  <c r="AK44" i="39"/>
  <c r="AK42" i="39"/>
  <c r="AK36" i="39"/>
  <c r="AK30" i="39"/>
  <c r="AK24" i="39"/>
  <c r="AK18" i="39"/>
  <c r="AK13" i="39"/>
  <c r="AK297" i="32"/>
  <c r="AK298" i="32"/>
  <c r="AK299" i="32"/>
  <c r="AK300" i="32"/>
  <c r="AK301" i="32"/>
  <c r="AK302" i="32"/>
  <c r="AK303" i="32"/>
  <c r="AK304" i="32"/>
  <c r="AK305" i="32"/>
  <c r="AK306" i="32"/>
  <c r="AK292" i="32"/>
  <c r="AK290" i="32"/>
  <c r="AK283" i="32"/>
  <c r="AK276" i="32"/>
  <c r="AK269" i="32"/>
  <c r="AK262" i="32"/>
  <c r="AK255" i="32"/>
  <c r="AK248" i="32"/>
  <c r="AK245" i="32"/>
  <c r="AK238" i="32"/>
  <c r="AK234" i="32"/>
  <c r="AK227" i="32"/>
  <c r="AK220" i="32"/>
  <c r="AK216" i="32"/>
  <c r="AK214" i="32"/>
  <c r="AK205" i="32"/>
  <c r="AK199" i="32"/>
  <c r="AK195" i="32"/>
  <c r="AK188" i="32"/>
  <c r="AK182" i="32"/>
  <c r="AK178" i="32"/>
  <c r="AK171" i="32"/>
  <c r="AK164" i="32"/>
  <c r="AK157" i="32"/>
  <c r="AK150" i="32"/>
  <c r="AK146" i="32"/>
  <c r="AK144" i="32"/>
  <c r="AK137" i="32"/>
  <c r="AK130" i="32"/>
  <c r="AK124" i="32"/>
  <c r="AK120" i="32"/>
  <c r="AK113" i="32"/>
  <c r="AK109" i="32"/>
  <c r="AK107" i="32"/>
  <c r="AK96" i="32"/>
  <c r="AK90" i="32"/>
  <c r="AK84" i="32"/>
  <c r="AK77" i="32"/>
  <c r="AK71" i="32"/>
  <c r="AK65" i="32"/>
  <c r="AK58" i="32"/>
  <c r="AK52" i="32"/>
  <c r="AK45" i="32"/>
  <c r="AK43" i="32"/>
  <c r="AK39" i="32"/>
  <c r="AK35" i="32"/>
  <c r="AK31" i="32"/>
  <c r="AK27" i="32"/>
  <c r="AK22" i="32"/>
  <c r="AK17" i="32"/>
  <c r="AK13" i="32"/>
  <c r="AK78" i="31"/>
  <c r="AK79" i="31"/>
  <c r="AK80" i="31"/>
  <c r="AK81" i="31"/>
  <c r="AK82" i="31"/>
  <c r="AK83" i="31"/>
  <c r="AK84" i="31"/>
  <c r="AK85" i="31"/>
  <c r="AK86" i="31"/>
  <c r="AK87" i="31"/>
  <c r="AK73" i="31"/>
  <c r="AK67" i="31"/>
  <c r="AK64" i="31"/>
  <c r="AK57" i="31"/>
  <c r="AK52" i="31"/>
  <c r="AK48" i="31"/>
  <c r="AK43" i="31"/>
  <c r="AK40" i="31"/>
  <c r="AK38" i="31"/>
  <c r="AK32" i="31"/>
  <c r="AK25" i="31"/>
  <c r="AK23" i="31"/>
  <c r="AK19" i="31"/>
  <c r="AK15" i="31"/>
  <c r="AK104" i="30"/>
  <c r="AK105" i="30"/>
  <c r="AK106" i="30"/>
  <c r="AK107" i="30"/>
  <c r="AK108" i="30"/>
  <c r="AK109" i="30"/>
  <c r="AK110" i="30"/>
  <c r="AK111" i="30"/>
  <c r="AK112" i="30"/>
  <c r="AK113" i="30"/>
  <c r="AK99" i="30"/>
  <c r="AK92" i="30"/>
  <c r="AK85" i="30"/>
  <c r="AK81" i="30"/>
  <c r="AK75" i="30"/>
  <c r="AK71" i="30"/>
  <c r="AK65" i="30"/>
  <c r="AK61" i="30"/>
  <c r="AK54" i="30"/>
  <c r="AK48" i="30"/>
  <c r="AK44" i="30"/>
  <c r="AK37" i="30"/>
  <c r="AK30" i="30"/>
  <c r="AK28" i="30"/>
  <c r="AK23" i="30"/>
  <c r="AK17" i="30"/>
  <c r="AK15" i="30"/>
  <c r="AK195" i="29"/>
  <c r="AK196" i="29"/>
  <c r="AK197" i="29"/>
  <c r="AK198" i="29"/>
  <c r="AK199" i="29"/>
  <c r="AK200" i="29"/>
  <c r="AK201" i="29"/>
  <c r="AK202" i="29"/>
  <c r="AK203" i="29"/>
  <c r="AK204" i="29"/>
  <c r="AK190" i="29"/>
  <c r="AK183" i="29"/>
  <c r="AK177" i="29"/>
  <c r="AK174" i="29"/>
  <c r="AK167" i="29"/>
  <c r="AK163" i="29"/>
  <c r="AK158" i="29"/>
  <c r="AK154" i="29"/>
  <c r="AK147" i="29"/>
  <c r="AK139" i="29"/>
  <c r="AK137" i="29"/>
  <c r="AK131" i="29"/>
  <c r="AK125" i="29"/>
  <c r="AK119" i="29"/>
  <c r="AK113" i="29"/>
  <c r="AK107" i="29"/>
  <c r="AK101" i="29"/>
  <c r="AK95" i="29"/>
  <c r="AK89" i="29"/>
  <c r="AK83" i="29"/>
  <c r="AK78" i="29"/>
  <c r="AK74" i="29"/>
  <c r="AK70" i="29"/>
  <c r="AK66" i="29"/>
  <c r="AK62" i="29"/>
  <c r="AK58" i="29"/>
  <c r="AK55" i="29"/>
  <c r="AK51" i="29"/>
  <c r="AK47" i="29"/>
  <c r="AK43" i="29"/>
  <c r="AK39" i="29"/>
  <c r="AK35" i="29"/>
  <c r="AK31" i="29"/>
  <c r="AK28" i="29"/>
  <c r="AK24" i="29"/>
  <c r="AK20" i="29"/>
  <c r="AK17" i="29"/>
  <c r="AK13" i="29"/>
  <c r="AK135" i="44"/>
  <c r="AK137" i="44"/>
  <c r="AK138" i="44"/>
  <c r="AK141" i="44"/>
  <c r="AK142" i="44"/>
  <c r="AK471" i="43"/>
  <c r="AK472" i="43"/>
  <c r="AK473" i="43"/>
  <c r="AK477" i="43"/>
  <c r="S13" i="42"/>
  <c r="S14" i="42"/>
  <c r="S15" i="42"/>
  <c r="S16" i="42"/>
  <c r="S17" i="42"/>
  <c r="S18" i="42"/>
  <c r="S19" i="42"/>
  <c r="S20" i="42"/>
  <c r="S22" i="42"/>
  <c r="S23" i="42"/>
  <c r="S24" i="42"/>
  <c r="S26" i="42"/>
  <c r="S27" i="42"/>
  <c r="S28" i="42"/>
  <c r="S30" i="42"/>
  <c r="S31" i="42"/>
  <c r="S32" i="42"/>
  <c r="S34" i="42"/>
  <c r="S35" i="42"/>
  <c r="S36" i="42"/>
  <c r="S38" i="42"/>
  <c r="S39" i="42"/>
  <c r="S41" i="42"/>
  <c r="S42" i="42"/>
  <c r="S43" i="42"/>
  <c r="S45" i="42"/>
  <c r="S46" i="42" s="1"/>
  <c r="S47" i="42"/>
  <c r="S48" i="42"/>
  <c r="S49" i="42"/>
  <c r="S50" i="42"/>
  <c r="S51" i="42"/>
  <c r="S53" i="42"/>
  <c r="S54" i="42"/>
  <c r="S55" i="42"/>
  <c r="S56" i="42"/>
  <c r="S57" i="42"/>
  <c r="S59" i="42"/>
  <c r="S60" i="42"/>
  <c r="S61" i="42"/>
  <c r="S62" i="42"/>
  <c r="S63" i="42"/>
  <c r="S65" i="42"/>
  <c r="S66" i="42"/>
  <c r="S67" i="42"/>
  <c r="S68" i="42"/>
  <c r="S70" i="42"/>
  <c r="S71" i="42"/>
  <c r="S72" i="42"/>
  <c r="S73" i="42"/>
  <c r="S74" i="42"/>
  <c r="S75" i="42"/>
  <c r="S77" i="42"/>
  <c r="S78" i="42" s="1"/>
  <c r="S79" i="42"/>
  <c r="S80" i="42"/>
  <c r="S81" i="42"/>
  <c r="S82" i="42"/>
  <c r="S83" i="42"/>
  <c r="S84" i="42"/>
  <c r="S86" i="42"/>
  <c r="S87" i="42"/>
  <c r="S88" i="42"/>
  <c r="S90" i="42"/>
  <c r="S91" i="42"/>
  <c r="S92" i="42"/>
  <c r="S93" i="42"/>
  <c r="S94" i="42"/>
  <c r="S96" i="42"/>
  <c r="S97" i="42"/>
  <c r="S98" i="42"/>
  <c r="S100" i="42"/>
  <c r="S101" i="42"/>
  <c r="S102" i="42"/>
  <c r="S103" i="42"/>
  <c r="S104" i="42"/>
  <c r="S106" i="42"/>
  <c r="S107" i="42"/>
  <c r="S108" i="42"/>
  <c r="S109" i="42"/>
  <c r="S110" i="42"/>
  <c r="S111" i="42"/>
  <c r="S113" i="42"/>
  <c r="S114" i="42"/>
  <c r="S116" i="42"/>
  <c r="S117" i="42"/>
  <c r="S118" i="42"/>
  <c r="S119" i="42"/>
  <c r="S120" i="42"/>
  <c r="S122" i="42"/>
  <c r="S123" i="42"/>
  <c r="S124" i="42"/>
  <c r="S126" i="42"/>
  <c r="S127" i="42"/>
  <c r="S128" i="42"/>
  <c r="S129" i="42"/>
  <c r="S130" i="42"/>
  <c r="S132" i="42"/>
  <c r="S133" i="42"/>
  <c r="S134" i="42"/>
  <c r="S136" i="42"/>
  <c r="S137" i="42"/>
  <c r="S139" i="42"/>
  <c r="S140" i="42"/>
  <c r="S141" i="42"/>
  <c r="S142" i="42"/>
  <c r="S143" i="42"/>
  <c r="S144" i="42"/>
  <c r="S146" i="42"/>
  <c r="S147" i="42"/>
  <c r="S149" i="42"/>
  <c r="S150" i="42"/>
  <c r="S151" i="42"/>
  <c r="S152" i="42"/>
  <c r="S154" i="42"/>
  <c r="S155" i="42"/>
  <c r="S157" i="42"/>
  <c r="S158" i="42"/>
  <c r="S159" i="42"/>
  <c r="S160" i="42"/>
  <c r="S161" i="42"/>
  <c r="S163" i="42"/>
  <c r="S164" i="42"/>
  <c r="S165" i="42"/>
  <c r="S167" i="42"/>
  <c r="S168" i="42"/>
  <c r="S169" i="42"/>
  <c r="S170" i="42"/>
  <c r="S171" i="42"/>
  <c r="S173" i="42"/>
  <c r="S174" i="42"/>
  <c r="S175" i="42"/>
  <c r="S176" i="42"/>
  <c r="S177" i="42"/>
  <c r="S178" i="42"/>
  <c r="S180" i="42"/>
  <c r="S181" i="42"/>
  <c r="S182" i="42"/>
  <c r="S183" i="42"/>
  <c r="S184" i="42"/>
  <c r="S186" i="42"/>
  <c r="S187" i="42"/>
  <c r="S188" i="42"/>
  <c r="S189" i="42"/>
  <c r="S190" i="42"/>
  <c r="S192" i="42"/>
  <c r="S193" i="42"/>
  <c r="S194" i="42"/>
  <c r="S195" i="42"/>
  <c r="S196" i="42"/>
  <c r="S197" i="42"/>
  <c r="BJ212" i="42"/>
  <c r="BI212" i="42"/>
  <c r="BH212" i="42"/>
  <c r="BG212" i="42"/>
  <c r="BF212" i="42"/>
  <c r="BE212" i="42"/>
  <c r="BD212" i="42"/>
  <c r="BC212" i="42"/>
  <c r="BB212" i="42"/>
  <c r="BA212" i="42"/>
  <c r="AX212" i="42"/>
  <c r="AW212" i="42"/>
  <c r="AN212" i="42"/>
  <c r="AM212" i="42"/>
  <c r="AL212" i="42"/>
  <c r="AJ212" i="42"/>
  <c r="AI212" i="42"/>
  <c r="AE212" i="42"/>
  <c r="AD212" i="42"/>
  <c r="AC212" i="42"/>
  <c r="AB212" i="42"/>
  <c r="AA212" i="42"/>
  <c r="Z212" i="42"/>
  <c r="Y212" i="42"/>
  <c r="X212" i="42"/>
  <c r="U212" i="42"/>
  <c r="T212" i="42"/>
  <c r="R212" i="42"/>
  <c r="O212" i="42"/>
  <c r="N212" i="42"/>
  <c r="L212" i="42"/>
  <c r="K212" i="42"/>
  <c r="BJ211" i="42"/>
  <c r="BI211" i="42"/>
  <c r="BH211" i="42"/>
  <c r="BG211" i="42"/>
  <c r="BF211" i="42"/>
  <c r="BE211" i="42"/>
  <c r="BD211" i="42"/>
  <c r="BC211" i="42"/>
  <c r="BB211" i="42"/>
  <c r="BA211" i="42"/>
  <c r="AX211" i="42"/>
  <c r="AW211" i="42"/>
  <c r="AN211" i="42"/>
  <c r="AM211" i="42"/>
  <c r="AL211" i="42"/>
  <c r="AJ211" i="42"/>
  <c r="AI211" i="42"/>
  <c r="AE211" i="42"/>
  <c r="AD211" i="42"/>
  <c r="AC211" i="42"/>
  <c r="AB211" i="42"/>
  <c r="AA211" i="42"/>
  <c r="Z211" i="42"/>
  <c r="Y211" i="42"/>
  <c r="X211" i="42"/>
  <c r="U211" i="42"/>
  <c r="T211" i="42"/>
  <c r="R211" i="42"/>
  <c r="O211" i="42"/>
  <c r="N211" i="42"/>
  <c r="L211" i="42"/>
  <c r="K211" i="42"/>
  <c r="BJ210" i="42"/>
  <c r="BI210" i="42"/>
  <c r="BH210" i="42"/>
  <c r="BG210" i="42"/>
  <c r="BF210" i="42"/>
  <c r="BE210" i="42"/>
  <c r="BD210" i="42"/>
  <c r="BC210" i="42"/>
  <c r="BB210" i="42"/>
  <c r="BA210" i="42"/>
  <c r="AX210" i="42"/>
  <c r="AW210" i="42"/>
  <c r="AN210" i="42"/>
  <c r="AM210" i="42"/>
  <c r="AL210" i="42"/>
  <c r="AJ210" i="42"/>
  <c r="AI210" i="42"/>
  <c r="AE210" i="42"/>
  <c r="AD210" i="42"/>
  <c r="AC210" i="42"/>
  <c r="AB210" i="42"/>
  <c r="AA210" i="42"/>
  <c r="Z210" i="42"/>
  <c r="Y210" i="42"/>
  <c r="X210" i="42"/>
  <c r="U210" i="42"/>
  <c r="T210" i="42"/>
  <c r="R210" i="42"/>
  <c r="O210" i="42"/>
  <c r="N210" i="42"/>
  <c r="L210" i="42"/>
  <c r="K210" i="42"/>
  <c r="BJ209" i="42"/>
  <c r="BI209" i="42"/>
  <c r="BH209" i="42"/>
  <c r="BG209" i="42"/>
  <c r="BF209" i="42"/>
  <c r="BE209" i="42"/>
  <c r="BD209" i="42"/>
  <c r="BC209" i="42"/>
  <c r="BB209" i="42"/>
  <c r="BA209" i="42"/>
  <c r="AX209" i="42"/>
  <c r="AW209" i="42"/>
  <c r="AN209" i="42"/>
  <c r="AM209" i="42"/>
  <c r="AL209" i="42"/>
  <c r="AI209" i="42"/>
  <c r="AE209" i="42"/>
  <c r="AD209" i="42"/>
  <c r="AC209" i="42"/>
  <c r="AB209" i="42"/>
  <c r="AA209" i="42"/>
  <c r="Z209" i="42"/>
  <c r="Y209" i="42"/>
  <c r="X209" i="42"/>
  <c r="U209" i="42"/>
  <c r="T209" i="42"/>
  <c r="R209" i="42"/>
  <c r="O209" i="42"/>
  <c r="N209" i="42"/>
  <c r="L209" i="42"/>
  <c r="K209" i="42"/>
  <c r="BZ208" i="42"/>
  <c r="BY208" i="42"/>
  <c r="BX208" i="42"/>
  <c r="BW208" i="42"/>
  <c r="BV208" i="42"/>
  <c r="BU208" i="42"/>
  <c r="BT208" i="42"/>
  <c r="BS208" i="42"/>
  <c r="BR208" i="42"/>
  <c r="BQ208" i="42"/>
  <c r="BP208" i="42"/>
  <c r="BO208" i="42"/>
  <c r="BN208" i="42"/>
  <c r="BM208" i="42"/>
  <c r="BL208" i="42"/>
  <c r="BK208" i="42"/>
  <c r="BJ208" i="42"/>
  <c r="BI208" i="42"/>
  <c r="BH208" i="42"/>
  <c r="BG208" i="42"/>
  <c r="BF208" i="42"/>
  <c r="BE208" i="42"/>
  <c r="BD208" i="42"/>
  <c r="BC208" i="42"/>
  <c r="BB208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Z207" i="42"/>
  <c r="BY207" i="42"/>
  <c r="BX207" i="42"/>
  <c r="BW207" i="42"/>
  <c r="BV207" i="42"/>
  <c r="BU207" i="42"/>
  <c r="BT207" i="42"/>
  <c r="BS207" i="42"/>
  <c r="BR207" i="42"/>
  <c r="BQ207" i="42"/>
  <c r="BP207" i="42"/>
  <c r="BO207" i="42"/>
  <c r="BN207" i="42"/>
  <c r="BM207" i="42"/>
  <c r="BL207" i="42"/>
  <c r="BK207" i="42"/>
  <c r="BJ207" i="42"/>
  <c r="BI207" i="42"/>
  <c r="BH207" i="42"/>
  <c r="BG207" i="42"/>
  <c r="BF207" i="42"/>
  <c r="BE207" i="42"/>
  <c r="BD207" i="42"/>
  <c r="BC207" i="42"/>
  <c r="BB207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T207" i="42"/>
  <c r="S207" i="42"/>
  <c r="R207" i="42"/>
  <c r="Q207" i="42"/>
  <c r="P207" i="42"/>
  <c r="O207" i="42"/>
  <c r="N207" i="42"/>
  <c r="M207" i="42"/>
  <c r="L207" i="42"/>
  <c r="K207" i="42"/>
  <c r="J207" i="42"/>
  <c r="I207" i="42"/>
  <c r="BJ206" i="42"/>
  <c r="BI206" i="42"/>
  <c r="BH206" i="42"/>
  <c r="BG206" i="42"/>
  <c r="BF206" i="42"/>
  <c r="BE206" i="42"/>
  <c r="BD206" i="42"/>
  <c r="BB206" i="42"/>
  <c r="BA206" i="42"/>
  <c r="AX206" i="42"/>
  <c r="AW206" i="42"/>
  <c r="AN206" i="42"/>
  <c r="AM206" i="42"/>
  <c r="AL206" i="42"/>
  <c r="AJ206" i="42"/>
  <c r="AE206" i="42"/>
  <c r="AD206" i="42"/>
  <c r="AC206" i="42"/>
  <c r="AB206" i="42"/>
  <c r="AA206" i="42"/>
  <c r="Z206" i="42"/>
  <c r="Y206" i="42"/>
  <c r="U206" i="42"/>
  <c r="T206" i="42"/>
  <c r="R206" i="42"/>
  <c r="O206" i="42"/>
  <c r="N206" i="42"/>
  <c r="L206" i="42"/>
  <c r="K206" i="42"/>
  <c r="BJ205" i="42"/>
  <c r="BI205" i="42"/>
  <c r="BH205" i="42"/>
  <c r="BG205" i="42"/>
  <c r="BF205" i="42"/>
  <c r="BE205" i="42"/>
  <c r="BD205" i="42"/>
  <c r="BB205" i="42"/>
  <c r="BA205" i="42"/>
  <c r="AX205" i="42"/>
  <c r="AW205" i="42"/>
  <c r="AN205" i="42"/>
  <c r="AM205" i="42"/>
  <c r="AL205" i="42"/>
  <c r="AJ205" i="42"/>
  <c r="AI205" i="42"/>
  <c r="AE205" i="42"/>
  <c r="AD205" i="42"/>
  <c r="AC205" i="42"/>
  <c r="AB205" i="42"/>
  <c r="AA205" i="42"/>
  <c r="Z205" i="42"/>
  <c r="Y205" i="42"/>
  <c r="U205" i="42"/>
  <c r="T205" i="42"/>
  <c r="R205" i="42"/>
  <c r="O205" i="42"/>
  <c r="N205" i="42"/>
  <c r="L205" i="42"/>
  <c r="K205" i="42"/>
  <c r="BJ204" i="42"/>
  <c r="BI204" i="42"/>
  <c r="BH204" i="42"/>
  <c r="BG204" i="42"/>
  <c r="BF204" i="42"/>
  <c r="BE204" i="42"/>
  <c r="BD204" i="42"/>
  <c r="BB204" i="42"/>
  <c r="BA204" i="42"/>
  <c r="AX204" i="42"/>
  <c r="AW204" i="42"/>
  <c r="AN204" i="42"/>
  <c r="AM204" i="42"/>
  <c r="AL204" i="42"/>
  <c r="AE204" i="42"/>
  <c r="AD204" i="42"/>
  <c r="AC204" i="42"/>
  <c r="AB204" i="42"/>
  <c r="AA204" i="42"/>
  <c r="Z204" i="42"/>
  <c r="Y204" i="42"/>
  <c r="U204" i="42"/>
  <c r="T204" i="42"/>
  <c r="R204" i="42"/>
  <c r="O204" i="42"/>
  <c r="N204" i="42"/>
  <c r="L204" i="42"/>
  <c r="K204" i="42"/>
  <c r="BJ203" i="42"/>
  <c r="BI203" i="42"/>
  <c r="BH203" i="42"/>
  <c r="BG203" i="42"/>
  <c r="BF203" i="42"/>
  <c r="BE203" i="42"/>
  <c r="BD203" i="42"/>
  <c r="BC203" i="42"/>
  <c r="BB203" i="42"/>
  <c r="BA203" i="42"/>
  <c r="AX203" i="42"/>
  <c r="AW203" i="42"/>
  <c r="AN203" i="42"/>
  <c r="AM203" i="42"/>
  <c r="AL203" i="42"/>
  <c r="AJ203" i="42"/>
  <c r="AI203" i="42"/>
  <c r="AE203" i="42"/>
  <c r="AD203" i="42"/>
  <c r="AC203" i="42"/>
  <c r="AB203" i="42"/>
  <c r="AA203" i="42"/>
  <c r="Z203" i="42"/>
  <c r="Y203" i="42"/>
  <c r="X203" i="42"/>
  <c r="U203" i="42"/>
  <c r="T203" i="42"/>
  <c r="R203" i="42"/>
  <c r="O203" i="42"/>
  <c r="N203" i="42"/>
  <c r="L203" i="42"/>
  <c r="K203" i="42"/>
  <c r="BJ198" i="42"/>
  <c r="BI198" i="42"/>
  <c r="BH198" i="42"/>
  <c r="BG198" i="42"/>
  <c r="BF198" i="42"/>
  <c r="BE198" i="42"/>
  <c r="BD198" i="42"/>
  <c r="BC198" i="42"/>
  <c r="BB198" i="42"/>
  <c r="BA198" i="42"/>
  <c r="AX198" i="42"/>
  <c r="AW198" i="42"/>
  <c r="AN198" i="42"/>
  <c r="AM198" i="42"/>
  <c r="AL198" i="42"/>
  <c r="AJ198" i="42"/>
  <c r="AI198" i="42"/>
  <c r="AE198" i="42"/>
  <c r="AD198" i="42"/>
  <c r="AC198" i="42"/>
  <c r="AB198" i="42"/>
  <c r="AA198" i="42"/>
  <c r="Z198" i="42"/>
  <c r="Y198" i="42"/>
  <c r="X198" i="42"/>
  <c r="U198" i="42"/>
  <c r="T198" i="42"/>
  <c r="R198" i="42"/>
  <c r="O198" i="42"/>
  <c r="N198" i="42"/>
  <c r="L198" i="42"/>
  <c r="K198" i="42"/>
  <c r="BL197" i="42"/>
  <c r="BZ197" i="42" s="1"/>
  <c r="BK197" i="42"/>
  <c r="AY197" i="42"/>
  <c r="BW197" i="42" s="1"/>
  <c r="AP197" i="42"/>
  <c r="BT197" i="42" s="1"/>
  <c r="W197" i="42"/>
  <c r="AG197" i="42" s="1"/>
  <c r="BQ197" i="42" s="1"/>
  <c r="V197" i="42"/>
  <c r="AF197" i="42" s="1"/>
  <c r="M197" i="42"/>
  <c r="J197" i="42"/>
  <c r="BL196" i="42"/>
  <c r="BZ196" i="42" s="1"/>
  <c r="BK196" i="42"/>
  <c r="AY196" i="42"/>
  <c r="BW196" i="42" s="1"/>
  <c r="AP196" i="42"/>
  <c r="BT196" i="42" s="1"/>
  <c r="W196" i="42"/>
  <c r="AG196" i="42" s="1"/>
  <c r="V196" i="42"/>
  <c r="AF196" i="42" s="1"/>
  <c r="BP196" i="42" s="1"/>
  <c r="M196" i="42"/>
  <c r="J196" i="42"/>
  <c r="Q196" i="42" s="1"/>
  <c r="BL195" i="42"/>
  <c r="BZ195" i="42" s="1"/>
  <c r="BK195" i="42"/>
  <c r="BY195" i="42" s="1"/>
  <c r="AY195" i="42"/>
  <c r="BW195" i="42" s="1"/>
  <c r="AP195" i="42"/>
  <c r="BT195" i="42" s="1"/>
  <c r="W195" i="42"/>
  <c r="AG195" i="42" s="1"/>
  <c r="BQ195" i="42" s="1"/>
  <c r="V195" i="42"/>
  <c r="AF195" i="42" s="1"/>
  <c r="M195" i="42"/>
  <c r="J195" i="42"/>
  <c r="Q195" i="42" s="1"/>
  <c r="BL194" i="42"/>
  <c r="BZ194" i="42" s="1"/>
  <c r="BK194" i="42"/>
  <c r="BY194" i="42" s="1"/>
  <c r="AY194" i="42"/>
  <c r="BW194" i="42" s="1"/>
  <c r="AP194" i="42"/>
  <c r="BT194" i="42" s="1"/>
  <c r="W194" i="42"/>
  <c r="AG194" i="42" s="1"/>
  <c r="V194" i="42"/>
  <c r="M194" i="42"/>
  <c r="J194" i="42"/>
  <c r="BL193" i="42"/>
  <c r="BZ193" i="42" s="1"/>
  <c r="BK193" i="42"/>
  <c r="BY193" i="42" s="1"/>
  <c r="AY193" i="42"/>
  <c r="BW193" i="42" s="1"/>
  <c r="AP193" i="42"/>
  <c r="BS193" i="42"/>
  <c r="W193" i="42"/>
  <c r="AG193" i="42" s="1"/>
  <c r="V193" i="42"/>
  <c r="AF193" i="42" s="1"/>
  <c r="BP193" i="42" s="1"/>
  <c r="M193" i="42"/>
  <c r="J193" i="42"/>
  <c r="BL192" i="42"/>
  <c r="BZ192" i="42" s="1"/>
  <c r="BK192" i="42"/>
  <c r="AY192" i="42"/>
  <c r="AP192" i="42"/>
  <c r="BT192" i="42" s="1"/>
  <c r="W192" i="42"/>
  <c r="AG192" i="42" s="1"/>
  <c r="V192" i="42"/>
  <c r="AF192" i="42" s="1"/>
  <c r="BP192" i="42" s="1"/>
  <c r="M192" i="42"/>
  <c r="J192" i="42"/>
  <c r="BJ191" i="42"/>
  <c r="BI191" i="42"/>
  <c r="BH191" i="42"/>
  <c r="BG191" i="42"/>
  <c r="BF191" i="42"/>
  <c r="BE191" i="42"/>
  <c r="BD191" i="42"/>
  <c r="BC191" i="42"/>
  <c r="BB191" i="42"/>
  <c r="BA191" i="42"/>
  <c r="AX191" i="42"/>
  <c r="AW191" i="42"/>
  <c r="AN191" i="42"/>
  <c r="AM191" i="42"/>
  <c r="AL191" i="42"/>
  <c r="AJ191" i="42"/>
  <c r="AI191" i="42"/>
  <c r="AE191" i="42"/>
  <c r="AD191" i="42"/>
  <c r="AC191" i="42"/>
  <c r="AB191" i="42"/>
  <c r="AA191" i="42"/>
  <c r="Z191" i="42"/>
  <c r="Y191" i="42"/>
  <c r="X191" i="42"/>
  <c r="U191" i="42"/>
  <c r="T191" i="42"/>
  <c r="R191" i="42"/>
  <c r="O191" i="42"/>
  <c r="N191" i="42"/>
  <c r="L191" i="42"/>
  <c r="K191" i="42"/>
  <c r="BL190" i="42"/>
  <c r="BK190" i="42"/>
  <c r="BY190" i="42" s="1"/>
  <c r="AY190" i="42"/>
  <c r="BW190" i="42" s="1"/>
  <c r="AP190" i="42"/>
  <c r="BT190" i="42" s="1"/>
  <c r="W190" i="42"/>
  <c r="AG190" i="42" s="1"/>
  <c r="V190" i="42"/>
  <c r="AF190" i="42" s="1"/>
  <c r="M190" i="42"/>
  <c r="J190" i="42"/>
  <c r="Q190" i="42" s="1"/>
  <c r="BL189" i="42"/>
  <c r="BZ189" i="42" s="1"/>
  <c r="BK189" i="42"/>
  <c r="BY189" i="42" s="1"/>
  <c r="AY189" i="42"/>
  <c r="BW189" i="42" s="1"/>
  <c r="AP189" i="42"/>
  <c r="W189" i="42"/>
  <c r="AG189" i="42" s="1"/>
  <c r="V189" i="42"/>
  <c r="AF189" i="42" s="1"/>
  <c r="BP189" i="42" s="1"/>
  <c r="M189" i="42"/>
  <c r="J189" i="42"/>
  <c r="Q189" i="42" s="1"/>
  <c r="BL188" i="42"/>
  <c r="BZ188" i="42" s="1"/>
  <c r="BK188" i="42"/>
  <c r="AY188" i="42"/>
  <c r="BW188" i="42" s="1"/>
  <c r="AP188" i="42"/>
  <c r="BT188" i="42" s="1"/>
  <c r="W188" i="42"/>
  <c r="AG188" i="42" s="1"/>
  <c r="BQ188" i="42" s="1"/>
  <c r="V188" i="42"/>
  <c r="AF188" i="42" s="1"/>
  <c r="M188" i="42"/>
  <c r="J188" i="42"/>
  <c r="Q188" i="42" s="1"/>
  <c r="BL187" i="42"/>
  <c r="BZ187" i="42" s="1"/>
  <c r="BK187" i="42"/>
  <c r="AY187" i="42"/>
  <c r="BW187" i="42" s="1"/>
  <c r="AP187" i="42"/>
  <c r="BT187" i="42" s="1"/>
  <c r="BS187" i="42"/>
  <c r="W187" i="42"/>
  <c r="AG187" i="42" s="1"/>
  <c r="BQ187" i="42" s="1"/>
  <c r="V187" i="42"/>
  <c r="AF187" i="42" s="1"/>
  <c r="M187" i="42"/>
  <c r="J187" i="42"/>
  <c r="Q187" i="42" s="1"/>
  <c r="BL186" i="42"/>
  <c r="BZ186" i="42" s="1"/>
  <c r="BK186" i="42"/>
  <c r="BY186" i="42" s="1"/>
  <c r="AY186" i="42"/>
  <c r="AP186" i="42"/>
  <c r="BT186" i="42" s="1"/>
  <c r="W186" i="42"/>
  <c r="V186" i="42"/>
  <c r="M186" i="42"/>
  <c r="J186" i="42"/>
  <c r="Q186" i="42" s="1"/>
  <c r="BJ185" i="42"/>
  <c r="BI185" i="42"/>
  <c r="BH185" i="42"/>
  <c r="BG185" i="42"/>
  <c r="BF185" i="42"/>
  <c r="BE185" i="42"/>
  <c r="BD185" i="42"/>
  <c r="BC185" i="42"/>
  <c r="BB185" i="42"/>
  <c r="BA185" i="42"/>
  <c r="AX185" i="42"/>
  <c r="AW185" i="42"/>
  <c r="AN185" i="42"/>
  <c r="AM185" i="42"/>
  <c r="AL185" i="42"/>
  <c r="AJ185" i="42"/>
  <c r="AI185" i="42"/>
  <c r="AE185" i="42"/>
  <c r="AD185" i="42"/>
  <c r="AC185" i="42"/>
  <c r="AB185" i="42"/>
  <c r="AA185" i="42"/>
  <c r="Z185" i="42"/>
  <c r="Y185" i="42"/>
  <c r="X185" i="42"/>
  <c r="U185" i="42"/>
  <c r="T185" i="42"/>
  <c r="R185" i="42"/>
  <c r="O185" i="42"/>
  <c r="N185" i="42"/>
  <c r="L185" i="42"/>
  <c r="K185" i="42"/>
  <c r="BL184" i="42"/>
  <c r="BZ184" i="42" s="1"/>
  <c r="BK184" i="42"/>
  <c r="BY184" i="42" s="1"/>
  <c r="AY184" i="42"/>
  <c r="BW184" i="42" s="1"/>
  <c r="AP184" i="42"/>
  <c r="BT184" i="42" s="1"/>
  <c r="W184" i="42"/>
  <c r="AG184" i="42" s="1"/>
  <c r="BQ184" i="42" s="1"/>
  <c r="V184" i="42"/>
  <c r="AF184" i="42" s="1"/>
  <c r="M184" i="42"/>
  <c r="J184" i="42"/>
  <c r="BL183" i="42"/>
  <c r="BZ183" i="42" s="1"/>
  <c r="BK183" i="42"/>
  <c r="AY183" i="42"/>
  <c r="BW183" i="42" s="1"/>
  <c r="AP183" i="42"/>
  <c r="BT183" i="42" s="1"/>
  <c r="W183" i="42"/>
  <c r="AG183" i="42" s="1"/>
  <c r="BQ183" i="42" s="1"/>
  <c r="V183" i="42"/>
  <c r="AF183" i="42" s="1"/>
  <c r="M183" i="42"/>
  <c r="J183" i="42"/>
  <c r="BL182" i="42"/>
  <c r="BZ182" i="42" s="1"/>
  <c r="BK182" i="42"/>
  <c r="AY182" i="42"/>
  <c r="BW182" i="42" s="1"/>
  <c r="AP182" i="42"/>
  <c r="BT182" i="42" s="1"/>
  <c r="W182" i="42"/>
  <c r="AG182" i="42" s="1"/>
  <c r="V182" i="42"/>
  <c r="AF182" i="42" s="1"/>
  <c r="M182" i="42"/>
  <c r="J182" i="42"/>
  <c r="Q182" i="42" s="1"/>
  <c r="BL181" i="42"/>
  <c r="BZ181" i="42" s="1"/>
  <c r="BK181" i="42"/>
  <c r="BY181" i="42" s="1"/>
  <c r="AY181" i="42"/>
  <c r="BW181" i="42" s="1"/>
  <c r="AP181" i="42"/>
  <c r="BT181" i="42" s="1"/>
  <c r="W181" i="42"/>
  <c r="AG181" i="42" s="1"/>
  <c r="V181" i="42"/>
  <c r="AF181" i="42" s="1"/>
  <c r="BP181" i="42" s="1"/>
  <c r="M181" i="42"/>
  <c r="J181" i="42"/>
  <c r="BL180" i="42"/>
  <c r="BK180" i="42"/>
  <c r="AY180" i="42"/>
  <c r="BW180" i="42" s="1"/>
  <c r="AP180" i="42"/>
  <c r="W180" i="42"/>
  <c r="AG180" i="42" s="1"/>
  <c r="BQ180" i="42" s="1"/>
  <c r="V180" i="42"/>
  <c r="AF180" i="42" s="1"/>
  <c r="BP180" i="42" s="1"/>
  <c r="M180" i="42"/>
  <c r="J180" i="42"/>
  <c r="Q180" i="42" s="1"/>
  <c r="BJ179" i="42"/>
  <c r="BI179" i="42"/>
  <c r="BH179" i="42"/>
  <c r="BG179" i="42"/>
  <c r="BF179" i="42"/>
  <c r="BE179" i="42"/>
  <c r="BD179" i="42"/>
  <c r="BC179" i="42"/>
  <c r="BB179" i="42"/>
  <c r="BA179" i="42"/>
  <c r="AX179" i="42"/>
  <c r="AW179" i="42"/>
  <c r="AN179" i="42"/>
  <c r="AM179" i="42"/>
  <c r="AL179" i="42"/>
  <c r="AJ179" i="42"/>
  <c r="AI179" i="42"/>
  <c r="AE179" i="42"/>
  <c r="AD179" i="42"/>
  <c r="AC179" i="42"/>
  <c r="AB179" i="42"/>
  <c r="AA179" i="42"/>
  <c r="Z179" i="42"/>
  <c r="Y179" i="42"/>
  <c r="X179" i="42"/>
  <c r="U179" i="42"/>
  <c r="T179" i="42"/>
  <c r="R179" i="42"/>
  <c r="O179" i="42"/>
  <c r="N179" i="42"/>
  <c r="L179" i="42"/>
  <c r="K179" i="42"/>
  <c r="BL178" i="42"/>
  <c r="BK178" i="42"/>
  <c r="BY178" i="42" s="1"/>
  <c r="AY178" i="42"/>
  <c r="BW178" i="42" s="1"/>
  <c r="AP178" i="42"/>
  <c r="W178" i="42"/>
  <c r="AG178" i="42" s="1"/>
  <c r="V178" i="42"/>
  <c r="AF178" i="42" s="1"/>
  <c r="BP178" i="42" s="1"/>
  <c r="M178" i="42"/>
  <c r="J178" i="42"/>
  <c r="BL177" i="42"/>
  <c r="BZ177" i="42" s="1"/>
  <c r="BK177" i="42"/>
  <c r="AY177" i="42"/>
  <c r="BW177" i="42" s="1"/>
  <c r="AP177" i="42"/>
  <c r="BT177" i="42" s="1"/>
  <c r="BS177" i="42"/>
  <c r="W177" i="42"/>
  <c r="AG177" i="42" s="1"/>
  <c r="V177" i="42"/>
  <c r="AF177" i="42" s="1"/>
  <c r="M177" i="42"/>
  <c r="J177" i="42"/>
  <c r="BL176" i="42"/>
  <c r="BZ176" i="42" s="1"/>
  <c r="BK176" i="42"/>
  <c r="BY176" i="42" s="1"/>
  <c r="AY176" i="42"/>
  <c r="BW176" i="42" s="1"/>
  <c r="AP176" i="42"/>
  <c r="BT176" i="42" s="1"/>
  <c r="W176" i="42"/>
  <c r="AG176" i="42" s="1"/>
  <c r="V176" i="42"/>
  <c r="AF176" i="42" s="1"/>
  <c r="M176" i="42"/>
  <c r="J176" i="42"/>
  <c r="BL175" i="42"/>
  <c r="BZ175" i="42" s="1"/>
  <c r="BK175" i="42"/>
  <c r="AY175" i="42"/>
  <c r="BW175" i="42" s="1"/>
  <c r="AP175" i="42"/>
  <c r="BT175" i="42" s="1"/>
  <c r="BS175" i="42"/>
  <c r="W175" i="42"/>
  <c r="AG175" i="42" s="1"/>
  <c r="V175" i="42"/>
  <c r="AF175" i="42" s="1"/>
  <c r="M175" i="42"/>
  <c r="J175" i="42"/>
  <c r="Q175" i="42" s="1"/>
  <c r="BL174" i="42"/>
  <c r="BZ174" i="42" s="1"/>
  <c r="BK174" i="42"/>
  <c r="BY174" i="42" s="1"/>
  <c r="AY174" i="42"/>
  <c r="BW174" i="42" s="1"/>
  <c r="AP174" i="42"/>
  <c r="BT174" i="42" s="1"/>
  <c r="W174" i="42"/>
  <c r="AG174" i="42" s="1"/>
  <c r="V174" i="42"/>
  <c r="AF174" i="42" s="1"/>
  <c r="M174" i="42"/>
  <c r="J174" i="42"/>
  <c r="BL173" i="42"/>
  <c r="BZ173" i="42" s="1"/>
  <c r="BK173" i="42"/>
  <c r="BY173" i="42" s="1"/>
  <c r="AY173" i="42"/>
  <c r="BW173" i="42" s="1"/>
  <c r="AP173" i="42"/>
  <c r="BT173" i="42" s="1"/>
  <c r="W173" i="42"/>
  <c r="V173" i="42"/>
  <c r="M173" i="42"/>
  <c r="J173" i="42"/>
  <c r="Q173" i="42" s="1"/>
  <c r="BJ172" i="42"/>
  <c r="BI172" i="42"/>
  <c r="BH172" i="42"/>
  <c r="BG172" i="42"/>
  <c r="BF172" i="42"/>
  <c r="BE172" i="42"/>
  <c r="BD172" i="42"/>
  <c r="BB172" i="42"/>
  <c r="BA172" i="42"/>
  <c r="AX172" i="42"/>
  <c r="AW172" i="42"/>
  <c r="AN172" i="42"/>
  <c r="AM172" i="42"/>
  <c r="AL172" i="42"/>
  <c r="AJ172" i="42"/>
  <c r="AI172" i="42"/>
  <c r="AE172" i="42"/>
  <c r="AD172" i="42"/>
  <c r="AC172" i="42"/>
  <c r="AB172" i="42"/>
  <c r="AA172" i="42"/>
  <c r="Z172" i="42"/>
  <c r="Y172" i="42"/>
  <c r="U172" i="42"/>
  <c r="T172" i="42"/>
  <c r="R172" i="42"/>
  <c r="O172" i="42"/>
  <c r="N172" i="42"/>
  <c r="L172" i="42"/>
  <c r="K172" i="42"/>
  <c r="BL171" i="42"/>
  <c r="BZ171" i="42" s="1"/>
  <c r="BK171" i="42"/>
  <c r="BY171" i="42" s="1"/>
  <c r="AY171" i="42"/>
  <c r="BW171" i="42" s="1"/>
  <c r="AP171" i="42"/>
  <c r="BT171" i="42" s="1"/>
  <c r="BS171" i="42"/>
  <c r="W171" i="42"/>
  <c r="AG171" i="42" s="1"/>
  <c r="BQ171" i="42" s="1"/>
  <c r="V171" i="42"/>
  <c r="AF171" i="42" s="1"/>
  <c r="M171" i="42"/>
  <c r="J171" i="42"/>
  <c r="BL170" i="42"/>
  <c r="BZ170" i="42" s="1"/>
  <c r="BK170" i="42"/>
  <c r="AY170" i="42"/>
  <c r="BW170" i="42" s="1"/>
  <c r="AP170" i="42"/>
  <c r="BT170" i="42" s="1"/>
  <c r="W170" i="42"/>
  <c r="AG170" i="42" s="1"/>
  <c r="BQ170" i="42" s="1"/>
  <c r="V170" i="42"/>
  <c r="AF170" i="42" s="1"/>
  <c r="M170" i="42"/>
  <c r="J170" i="42"/>
  <c r="Q170" i="42" s="1"/>
  <c r="BL169" i="42"/>
  <c r="BZ169" i="42" s="1"/>
  <c r="BK169" i="42"/>
  <c r="AY169" i="42"/>
  <c r="BW169" i="42" s="1"/>
  <c r="AP169" i="42"/>
  <c r="BT169" i="42" s="1"/>
  <c r="W169" i="42"/>
  <c r="AG169" i="42" s="1"/>
  <c r="BQ169" i="42" s="1"/>
  <c r="V169" i="42"/>
  <c r="M169" i="42"/>
  <c r="J169" i="42"/>
  <c r="Q169" i="42" s="1"/>
  <c r="BL168" i="42"/>
  <c r="BZ168" i="42" s="1"/>
  <c r="BC168" i="42"/>
  <c r="AY168" i="42"/>
  <c r="BW168" i="42" s="1"/>
  <c r="AP168" i="42"/>
  <c r="BT168" i="42" s="1"/>
  <c r="X168" i="42"/>
  <c r="X172" i="42" s="1"/>
  <c r="W168" i="42"/>
  <c r="AG168" i="42" s="1"/>
  <c r="V168" i="42"/>
  <c r="M168" i="42"/>
  <c r="J168" i="42"/>
  <c r="BL167" i="42"/>
  <c r="BK167" i="42"/>
  <c r="AY167" i="42"/>
  <c r="AP167" i="42"/>
  <c r="BT167" i="42" s="1"/>
  <c r="W167" i="42"/>
  <c r="AG167" i="42" s="1"/>
  <c r="BQ167" i="42" s="1"/>
  <c r="V167" i="42"/>
  <c r="AF167" i="42" s="1"/>
  <c r="BP167" i="42" s="1"/>
  <c r="M167" i="42"/>
  <c r="J167" i="42"/>
  <c r="Q167" i="42" s="1"/>
  <c r="BJ166" i="42"/>
  <c r="BI166" i="42"/>
  <c r="BH166" i="42"/>
  <c r="BG166" i="42"/>
  <c r="BF166" i="42"/>
  <c r="BE166" i="42"/>
  <c r="BD166" i="42"/>
  <c r="BC166" i="42"/>
  <c r="BB166" i="42"/>
  <c r="BA166" i="42"/>
  <c r="AX166" i="42"/>
  <c r="AW166" i="42"/>
  <c r="AN166" i="42"/>
  <c r="AM166" i="42"/>
  <c r="AL166" i="42"/>
  <c r="AJ166" i="42"/>
  <c r="AI166" i="42"/>
  <c r="AE166" i="42"/>
  <c r="AD166" i="42"/>
  <c r="AC166" i="42"/>
  <c r="AB166" i="42"/>
  <c r="AA166" i="42"/>
  <c r="Z166" i="42"/>
  <c r="Y166" i="42"/>
  <c r="X166" i="42"/>
  <c r="U166" i="42"/>
  <c r="T166" i="42"/>
  <c r="R166" i="42"/>
  <c r="O166" i="42"/>
  <c r="N166" i="42"/>
  <c r="L166" i="42"/>
  <c r="K166" i="42"/>
  <c r="BL165" i="42"/>
  <c r="BZ165" i="42" s="1"/>
  <c r="BK165" i="42"/>
  <c r="BY165" i="42" s="1"/>
  <c r="AY165" i="42"/>
  <c r="BW165" i="42" s="1"/>
  <c r="AP165" i="42"/>
  <c r="BT165" i="42" s="1"/>
  <c r="W165" i="42"/>
  <c r="AG165" i="42" s="1"/>
  <c r="V165" i="42"/>
  <c r="AF165" i="42" s="1"/>
  <c r="M165" i="42"/>
  <c r="J165" i="42"/>
  <c r="BL164" i="42"/>
  <c r="BZ164" i="42" s="1"/>
  <c r="BK164" i="42"/>
  <c r="AY164" i="42"/>
  <c r="AP164" i="42"/>
  <c r="BT164" i="42" s="1"/>
  <c r="BS164" i="42"/>
  <c r="W164" i="42"/>
  <c r="AG164" i="42" s="1"/>
  <c r="BQ164" i="42" s="1"/>
  <c r="V164" i="42"/>
  <c r="M164" i="42"/>
  <c r="J164" i="42"/>
  <c r="BL163" i="42"/>
  <c r="BK163" i="42"/>
  <c r="AY163" i="42"/>
  <c r="BW163" i="42" s="1"/>
  <c r="AP163" i="42"/>
  <c r="BT163" i="42" s="1"/>
  <c r="W163" i="42"/>
  <c r="AG163" i="42" s="1"/>
  <c r="V163" i="42"/>
  <c r="AF163" i="42" s="1"/>
  <c r="M163" i="42"/>
  <c r="J163" i="42"/>
  <c r="BJ162" i="42"/>
  <c r="BI162" i="42"/>
  <c r="BH162" i="42"/>
  <c r="BG162" i="42"/>
  <c r="BF162" i="42"/>
  <c r="BE162" i="42"/>
  <c r="BD162" i="42"/>
  <c r="BC162" i="42"/>
  <c r="BB162" i="42"/>
  <c r="BA162" i="42"/>
  <c r="AX162" i="42"/>
  <c r="AW162" i="42"/>
  <c r="AN162" i="42"/>
  <c r="AM162" i="42"/>
  <c r="AL162" i="42"/>
  <c r="AJ162" i="42"/>
  <c r="AI162" i="42"/>
  <c r="AE162" i="42"/>
  <c r="AD162" i="42"/>
  <c r="AC162" i="42"/>
  <c r="AB162" i="42"/>
  <c r="AA162" i="42"/>
  <c r="Z162" i="42"/>
  <c r="Y162" i="42"/>
  <c r="X162" i="42"/>
  <c r="U162" i="42"/>
  <c r="T162" i="42"/>
  <c r="R162" i="42"/>
  <c r="O162" i="42"/>
  <c r="N162" i="42"/>
  <c r="L162" i="42"/>
  <c r="K162" i="42"/>
  <c r="BL161" i="42"/>
  <c r="BZ161" i="42" s="1"/>
  <c r="BK161" i="42"/>
  <c r="BY161" i="42" s="1"/>
  <c r="AY161" i="42"/>
  <c r="BW161" i="42" s="1"/>
  <c r="AP161" i="42"/>
  <c r="BT161" i="42" s="1"/>
  <c r="W161" i="42"/>
  <c r="AG161" i="42" s="1"/>
  <c r="V161" i="42"/>
  <c r="AF161" i="42" s="1"/>
  <c r="M161" i="42"/>
  <c r="J161" i="42"/>
  <c r="BL160" i="42"/>
  <c r="BZ160" i="42" s="1"/>
  <c r="BK160" i="42"/>
  <c r="AY160" i="42"/>
  <c r="BW160" i="42" s="1"/>
  <c r="AP160" i="42"/>
  <c r="W160" i="42"/>
  <c r="AG160" i="42" s="1"/>
  <c r="BQ160" i="42" s="1"/>
  <c r="V160" i="42"/>
  <c r="AF160" i="42" s="1"/>
  <c r="M160" i="42"/>
  <c r="J160" i="42"/>
  <c r="BL159" i="42"/>
  <c r="BZ159" i="42" s="1"/>
  <c r="BK159" i="42"/>
  <c r="AY159" i="42"/>
  <c r="BW159" i="42" s="1"/>
  <c r="AP159" i="42"/>
  <c r="BT159" i="42" s="1"/>
  <c r="W159" i="42"/>
  <c r="AG159" i="42" s="1"/>
  <c r="BQ159" i="42" s="1"/>
  <c r="V159" i="42"/>
  <c r="AF159" i="42" s="1"/>
  <c r="BP159" i="42" s="1"/>
  <c r="M159" i="42"/>
  <c r="J159" i="42"/>
  <c r="BL158" i="42"/>
  <c r="BZ158" i="42" s="1"/>
  <c r="BK158" i="42"/>
  <c r="BY158" i="42" s="1"/>
  <c r="AY158" i="42"/>
  <c r="BW158" i="42" s="1"/>
  <c r="AP158" i="42"/>
  <c r="BT158" i="42" s="1"/>
  <c r="W158" i="42"/>
  <c r="AG158" i="42" s="1"/>
  <c r="BQ158" i="42" s="1"/>
  <c r="V158" i="42"/>
  <c r="AF158" i="42" s="1"/>
  <c r="M158" i="42"/>
  <c r="J158" i="42"/>
  <c r="BL157" i="42"/>
  <c r="BZ157" i="42" s="1"/>
  <c r="BK157" i="42"/>
  <c r="AY157" i="42"/>
  <c r="AP157" i="42"/>
  <c r="W157" i="42"/>
  <c r="AG157" i="42" s="1"/>
  <c r="BQ157" i="42" s="1"/>
  <c r="V157" i="42"/>
  <c r="M157" i="42"/>
  <c r="J157" i="42"/>
  <c r="Q157" i="42" s="1"/>
  <c r="BJ156" i="42"/>
  <c r="BI156" i="42"/>
  <c r="BH156" i="42"/>
  <c r="BG156" i="42"/>
  <c r="BF156" i="42"/>
  <c r="BE156" i="42"/>
  <c r="BD156" i="42"/>
  <c r="BC156" i="42"/>
  <c r="BB156" i="42"/>
  <c r="BA156" i="42"/>
  <c r="AX156" i="42"/>
  <c r="AW156" i="42"/>
  <c r="AN156" i="42"/>
  <c r="AM156" i="42"/>
  <c r="AL156" i="42"/>
  <c r="AJ156" i="42"/>
  <c r="AI156" i="42"/>
  <c r="AE156" i="42"/>
  <c r="AD156" i="42"/>
  <c r="AC156" i="42"/>
  <c r="AB156" i="42"/>
  <c r="AA156" i="42"/>
  <c r="Z156" i="42"/>
  <c r="Y156" i="42"/>
  <c r="X156" i="42"/>
  <c r="U156" i="42"/>
  <c r="T156" i="42"/>
  <c r="R156" i="42"/>
  <c r="O156" i="42"/>
  <c r="N156" i="42"/>
  <c r="L156" i="42"/>
  <c r="K156" i="42"/>
  <c r="BL155" i="42"/>
  <c r="BZ155" i="42" s="1"/>
  <c r="BK155" i="42"/>
  <c r="AY155" i="42"/>
  <c r="BW155" i="42" s="1"/>
  <c r="AP155" i="42"/>
  <c r="BT155" i="42" s="1"/>
  <c r="W155" i="42"/>
  <c r="AG155" i="42" s="1"/>
  <c r="V155" i="42"/>
  <c r="AF155" i="42" s="1"/>
  <c r="BP155" i="42" s="1"/>
  <c r="M155" i="42"/>
  <c r="J155" i="42"/>
  <c r="BL154" i="42"/>
  <c r="BK154" i="42"/>
  <c r="AY154" i="42"/>
  <c r="BW154" i="42" s="1"/>
  <c r="AP154" i="42"/>
  <c r="BT154" i="42" s="1"/>
  <c r="BS154" i="42"/>
  <c r="W154" i="42"/>
  <c r="V154" i="42"/>
  <c r="AF154" i="42" s="1"/>
  <c r="BP154" i="42" s="1"/>
  <c r="M154" i="42"/>
  <c r="J154" i="42"/>
  <c r="BJ153" i="42"/>
  <c r="BI153" i="42"/>
  <c r="BH153" i="42"/>
  <c r="BG153" i="42"/>
  <c r="BF153" i="42"/>
  <c r="BE153" i="42"/>
  <c r="BD153" i="42"/>
  <c r="BC153" i="42"/>
  <c r="BB153" i="42"/>
  <c r="BA153" i="42"/>
  <c r="AX153" i="42"/>
  <c r="AW153" i="42"/>
  <c r="AN153" i="42"/>
  <c r="AM153" i="42"/>
  <c r="AL153" i="42"/>
  <c r="AJ153" i="42"/>
  <c r="AI153" i="42"/>
  <c r="AE153" i="42"/>
  <c r="AD153" i="42"/>
  <c r="AC153" i="42"/>
  <c r="AB153" i="42"/>
  <c r="AA153" i="42"/>
  <c r="Z153" i="42"/>
  <c r="Y153" i="42"/>
  <c r="X153" i="42"/>
  <c r="U153" i="42"/>
  <c r="T153" i="42"/>
  <c r="R153" i="42"/>
  <c r="O153" i="42"/>
  <c r="N153" i="42"/>
  <c r="L153" i="42"/>
  <c r="K153" i="42"/>
  <c r="BL152" i="42"/>
  <c r="BZ152" i="42" s="1"/>
  <c r="BK152" i="42"/>
  <c r="AY152" i="42"/>
  <c r="BW152" i="42" s="1"/>
  <c r="AP152" i="42"/>
  <c r="BT152" i="42" s="1"/>
  <c r="W152" i="42"/>
  <c r="AG152" i="42" s="1"/>
  <c r="V152" i="42"/>
  <c r="AF152" i="42" s="1"/>
  <c r="BP152" i="42" s="1"/>
  <c r="M152" i="42"/>
  <c r="J152" i="42"/>
  <c r="BL151" i="42"/>
  <c r="BZ151" i="42" s="1"/>
  <c r="BK151" i="42"/>
  <c r="AY151" i="42"/>
  <c r="BW151" i="42" s="1"/>
  <c r="AP151" i="42"/>
  <c r="BT151" i="42" s="1"/>
  <c r="BS151" i="42"/>
  <c r="W151" i="42"/>
  <c r="AG151" i="42" s="1"/>
  <c r="V151" i="42"/>
  <c r="AF151" i="42" s="1"/>
  <c r="M151" i="42"/>
  <c r="J151" i="42"/>
  <c r="BL150" i="42"/>
  <c r="BZ150" i="42" s="1"/>
  <c r="BK150" i="42"/>
  <c r="BY150" i="42" s="1"/>
  <c r="AY150" i="42"/>
  <c r="BW150" i="42" s="1"/>
  <c r="AP150" i="42"/>
  <c r="BT150" i="42" s="1"/>
  <c r="W150" i="42"/>
  <c r="AG150" i="42" s="1"/>
  <c r="V150" i="42"/>
  <c r="M150" i="42"/>
  <c r="J150" i="42"/>
  <c r="BL149" i="42"/>
  <c r="BK149" i="42"/>
  <c r="BY149" i="42" s="1"/>
  <c r="AY149" i="42"/>
  <c r="BW149" i="42" s="1"/>
  <c r="AP149" i="42"/>
  <c r="W149" i="42"/>
  <c r="AG149" i="42" s="1"/>
  <c r="V149" i="42"/>
  <c r="AF149" i="42" s="1"/>
  <c r="BP149" i="42" s="1"/>
  <c r="M149" i="42"/>
  <c r="J149" i="42"/>
  <c r="BJ148" i="42"/>
  <c r="BI148" i="42"/>
  <c r="BH148" i="42"/>
  <c r="BG148" i="42"/>
  <c r="BF148" i="42"/>
  <c r="BE148" i="42"/>
  <c r="BD148" i="42"/>
  <c r="BC148" i="42"/>
  <c r="BB148" i="42"/>
  <c r="BA148" i="42"/>
  <c r="AX148" i="42"/>
  <c r="AW148" i="42"/>
  <c r="AN148" i="42"/>
  <c r="AM148" i="42"/>
  <c r="AL148" i="42"/>
  <c r="AJ148" i="42"/>
  <c r="AI148" i="42"/>
  <c r="AE148" i="42"/>
  <c r="AD148" i="42"/>
  <c r="AC148" i="42"/>
  <c r="AB148" i="42"/>
  <c r="AA148" i="42"/>
  <c r="Z148" i="42"/>
  <c r="Y148" i="42"/>
  <c r="X148" i="42"/>
  <c r="U148" i="42"/>
  <c r="T148" i="42"/>
  <c r="R148" i="42"/>
  <c r="O148" i="42"/>
  <c r="N148" i="42"/>
  <c r="L148" i="42"/>
  <c r="K148" i="42"/>
  <c r="BL147" i="42"/>
  <c r="BZ147" i="42" s="1"/>
  <c r="BK147" i="42"/>
  <c r="BY147" i="42" s="1"/>
  <c r="AY147" i="42"/>
  <c r="BW147" i="42" s="1"/>
  <c r="AP147" i="42"/>
  <c r="BT147" i="42" s="1"/>
  <c r="BS147" i="42"/>
  <c r="W147" i="42"/>
  <c r="AG147" i="42" s="1"/>
  <c r="BQ147" i="42" s="1"/>
  <c r="V147" i="42"/>
  <c r="AF147" i="42" s="1"/>
  <c r="M147" i="42"/>
  <c r="J147" i="42"/>
  <c r="BL146" i="42"/>
  <c r="BZ146" i="42" s="1"/>
  <c r="BK146" i="42"/>
  <c r="AY146" i="42"/>
  <c r="AP146" i="42"/>
  <c r="BT146" i="42" s="1"/>
  <c r="W146" i="42"/>
  <c r="V146" i="42"/>
  <c r="M146" i="42"/>
  <c r="J146" i="42"/>
  <c r="BJ145" i="42"/>
  <c r="BI145" i="42"/>
  <c r="BH145" i="42"/>
  <c r="BG145" i="42"/>
  <c r="BF145" i="42"/>
  <c r="BE145" i="42"/>
  <c r="BD145" i="42"/>
  <c r="BC145" i="42"/>
  <c r="BB145" i="42"/>
  <c r="BA145" i="42"/>
  <c r="AX145" i="42"/>
  <c r="AW145" i="42"/>
  <c r="AN145" i="42"/>
  <c r="AM145" i="42"/>
  <c r="AL145" i="42"/>
  <c r="AJ145" i="42"/>
  <c r="AI145" i="42"/>
  <c r="AE145" i="42"/>
  <c r="AD145" i="42"/>
  <c r="AC145" i="42"/>
  <c r="AB145" i="42"/>
  <c r="AA145" i="42"/>
  <c r="Z145" i="42"/>
  <c r="Y145" i="42"/>
  <c r="X145" i="42"/>
  <c r="U145" i="42"/>
  <c r="T145" i="42"/>
  <c r="R145" i="42"/>
  <c r="O145" i="42"/>
  <c r="N145" i="42"/>
  <c r="L145" i="42"/>
  <c r="K145" i="42"/>
  <c r="BL144" i="42"/>
  <c r="BZ144" i="42" s="1"/>
  <c r="BK144" i="42"/>
  <c r="AY144" i="42"/>
  <c r="BW144" i="42" s="1"/>
  <c r="AP144" i="42"/>
  <c r="BT144" i="42" s="1"/>
  <c r="W144" i="42"/>
  <c r="AG144" i="42" s="1"/>
  <c r="BQ144" i="42" s="1"/>
  <c r="V144" i="42"/>
  <c r="AF144" i="42" s="1"/>
  <c r="M144" i="42"/>
  <c r="J144" i="42"/>
  <c r="BL143" i="42"/>
  <c r="BZ143" i="42" s="1"/>
  <c r="BK143" i="42"/>
  <c r="AY143" i="42"/>
  <c r="BW143" i="42" s="1"/>
  <c r="AP143" i="42"/>
  <c r="BT143" i="42" s="1"/>
  <c r="BS143" i="42"/>
  <c r="W143" i="42"/>
  <c r="AG143" i="42" s="1"/>
  <c r="V143" i="42"/>
  <c r="AF143" i="42" s="1"/>
  <c r="M143" i="42"/>
  <c r="J143" i="42"/>
  <c r="Q143" i="42" s="1"/>
  <c r="BL142" i="42"/>
  <c r="BZ142" i="42" s="1"/>
  <c r="BK142" i="42"/>
  <c r="AY142" i="42"/>
  <c r="BW142" i="42" s="1"/>
  <c r="AP142" i="42"/>
  <c r="BT142" i="42" s="1"/>
  <c r="BS142" i="42"/>
  <c r="W142" i="42"/>
  <c r="AG142" i="42" s="1"/>
  <c r="V142" i="42"/>
  <c r="AF142" i="42" s="1"/>
  <c r="M142" i="42"/>
  <c r="J142" i="42"/>
  <c r="BL141" i="42"/>
  <c r="BZ141" i="42" s="1"/>
  <c r="BK141" i="42"/>
  <c r="BY141" i="42" s="1"/>
  <c r="AY141" i="42"/>
  <c r="BW141" i="42" s="1"/>
  <c r="AP141" i="42"/>
  <c r="BT141" i="42" s="1"/>
  <c r="W141" i="42"/>
  <c r="AG141" i="42" s="1"/>
  <c r="V141" i="42"/>
  <c r="AF141" i="42" s="1"/>
  <c r="M141" i="42"/>
  <c r="J141" i="42"/>
  <c r="BL140" i="42"/>
  <c r="BZ140" i="42" s="1"/>
  <c r="BK140" i="42"/>
  <c r="AY140" i="42"/>
  <c r="BW140" i="42" s="1"/>
  <c r="AP140" i="42"/>
  <c r="BT140" i="42" s="1"/>
  <c r="W140" i="42"/>
  <c r="AG140" i="42" s="1"/>
  <c r="BQ140" i="42" s="1"/>
  <c r="V140" i="42"/>
  <c r="AF140" i="42" s="1"/>
  <c r="BP140" i="42" s="1"/>
  <c r="M140" i="42"/>
  <c r="J140" i="42"/>
  <c r="BL139" i="42"/>
  <c r="BK139" i="42"/>
  <c r="AY139" i="42"/>
  <c r="BW139" i="42" s="1"/>
  <c r="AP139" i="42"/>
  <c r="W139" i="42"/>
  <c r="AG139" i="42" s="1"/>
  <c r="BQ139" i="42" s="1"/>
  <c r="V139" i="42"/>
  <c r="AF139" i="42" s="1"/>
  <c r="BP139" i="42" s="1"/>
  <c r="M139" i="42"/>
  <c r="J139" i="42"/>
  <c r="Q139" i="42" s="1"/>
  <c r="BJ138" i="42"/>
  <c r="BI138" i="42"/>
  <c r="BH138" i="42"/>
  <c r="BG138" i="42"/>
  <c r="BF138" i="42"/>
  <c r="BE138" i="42"/>
  <c r="BD138" i="42"/>
  <c r="BC138" i="42"/>
  <c r="BB138" i="42"/>
  <c r="BA138" i="42"/>
  <c r="AX138" i="42"/>
  <c r="AW138" i="42"/>
  <c r="AN138" i="42"/>
  <c r="AM138" i="42"/>
  <c r="AL138" i="42"/>
  <c r="AJ138" i="42"/>
  <c r="AI138" i="42"/>
  <c r="AE138" i="42"/>
  <c r="AD138" i="42"/>
  <c r="AC138" i="42"/>
  <c r="AB138" i="42"/>
  <c r="AA138" i="42"/>
  <c r="Z138" i="42"/>
  <c r="Y138" i="42"/>
  <c r="X138" i="42"/>
  <c r="U138" i="42"/>
  <c r="T138" i="42"/>
  <c r="R138" i="42"/>
  <c r="O138" i="42"/>
  <c r="N138" i="42"/>
  <c r="L138" i="42"/>
  <c r="K138" i="42"/>
  <c r="BL137" i="42"/>
  <c r="BZ137" i="42" s="1"/>
  <c r="BK137" i="42"/>
  <c r="BY137" i="42" s="1"/>
  <c r="AY137" i="42"/>
  <c r="BW137" i="42" s="1"/>
  <c r="AP137" i="42"/>
  <c r="BT137" i="42" s="1"/>
  <c r="W137" i="42"/>
  <c r="AG137" i="42" s="1"/>
  <c r="V137" i="42"/>
  <c r="AF137" i="42" s="1"/>
  <c r="M137" i="42"/>
  <c r="J137" i="42"/>
  <c r="BL136" i="42"/>
  <c r="BK136" i="42"/>
  <c r="AY136" i="42"/>
  <c r="AP136" i="42"/>
  <c r="BT136" i="42" s="1"/>
  <c r="W136" i="42"/>
  <c r="V136" i="42"/>
  <c r="M136" i="42"/>
  <c r="J136" i="42"/>
  <c r="BJ135" i="42"/>
  <c r="BI135" i="42"/>
  <c r="BH135" i="42"/>
  <c r="BG135" i="42"/>
  <c r="BF135" i="42"/>
  <c r="BE135" i="42"/>
  <c r="BD135" i="42"/>
  <c r="BC135" i="42"/>
  <c r="BB135" i="42"/>
  <c r="BA135" i="42"/>
  <c r="AX135" i="42"/>
  <c r="AW135" i="42"/>
  <c r="AN135" i="42"/>
  <c r="AM135" i="42"/>
  <c r="AL135" i="42"/>
  <c r="AJ135" i="42"/>
  <c r="AI135" i="42"/>
  <c r="AE135" i="42"/>
  <c r="AD135" i="42"/>
  <c r="AC135" i="42"/>
  <c r="AB135" i="42"/>
  <c r="AA135" i="42"/>
  <c r="Z135" i="42"/>
  <c r="Y135" i="42"/>
  <c r="X135" i="42"/>
  <c r="U135" i="42"/>
  <c r="T135" i="42"/>
  <c r="R135" i="42"/>
  <c r="O135" i="42"/>
  <c r="N135" i="42"/>
  <c r="L135" i="42"/>
  <c r="K135" i="42"/>
  <c r="BL134" i="42"/>
  <c r="BZ134" i="42" s="1"/>
  <c r="BK134" i="42"/>
  <c r="BY134" i="42" s="1"/>
  <c r="AY134" i="42"/>
  <c r="BW134" i="42" s="1"/>
  <c r="AP134" i="42"/>
  <c r="BT134" i="42" s="1"/>
  <c r="W134" i="42"/>
  <c r="AG134" i="42" s="1"/>
  <c r="V134" i="42"/>
  <c r="AF134" i="42" s="1"/>
  <c r="M134" i="42"/>
  <c r="J134" i="42"/>
  <c r="BL133" i="42"/>
  <c r="BZ133" i="42" s="1"/>
  <c r="BK133" i="42"/>
  <c r="BY133" i="42" s="1"/>
  <c r="AY133" i="42"/>
  <c r="BW133" i="42" s="1"/>
  <c r="AP133" i="42"/>
  <c r="BT133" i="42" s="1"/>
  <c r="W133" i="42"/>
  <c r="AG133" i="42" s="1"/>
  <c r="V133" i="42"/>
  <c r="AF133" i="42" s="1"/>
  <c r="M133" i="42"/>
  <c r="J133" i="42"/>
  <c r="Q133" i="42" s="1"/>
  <c r="BL132" i="42"/>
  <c r="BZ132" i="42" s="1"/>
  <c r="BK132" i="42"/>
  <c r="AY132" i="42"/>
  <c r="BW132" i="42" s="1"/>
  <c r="AP132" i="42"/>
  <c r="BT132" i="42" s="1"/>
  <c r="W132" i="42"/>
  <c r="V132" i="42"/>
  <c r="AF132" i="42" s="1"/>
  <c r="M132" i="42"/>
  <c r="J132" i="42"/>
  <c r="Q132" i="42" s="1"/>
  <c r="BJ131" i="42"/>
  <c r="BI131" i="42"/>
  <c r="BH131" i="42"/>
  <c r="BG131" i="42"/>
  <c r="BF131" i="42"/>
  <c r="BE131" i="42"/>
  <c r="BD131" i="42"/>
  <c r="BC131" i="42"/>
  <c r="BB131" i="42"/>
  <c r="BA131" i="42"/>
  <c r="AX131" i="42"/>
  <c r="AW131" i="42"/>
  <c r="AN131" i="42"/>
  <c r="AM131" i="42"/>
  <c r="AL131" i="42"/>
  <c r="AJ131" i="42"/>
  <c r="AI131" i="42"/>
  <c r="AE131" i="42"/>
  <c r="AD131" i="42"/>
  <c r="AC131" i="42"/>
  <c r="AB131" i="42"/>
  <c r="AA131" i="42"/>
  <c r="Z131" i="42"/>
  <c r="Y131" i="42"/>
  <c r="X131" i="42"/>
  <c r="U131" i="42"/>
  <c r="T131" i="42"/>
  <c r="R131" i="42"/>
  <c r="O131" i="42"/>
  <c r="N131" i="42"/>
  <c r="L131" i="42"/>
  <c r="K131" i="42"/>
  <c r="BL130" i="42"/>
  <c r="BZ130" i="42" s="1"/>
  <c r="BK130" i="42"/>
  <c r="BY130" i="42" s="1"/>
  <c r="AY130" i="42"/>
  <c r="BW130" i="42" s="1"/>
  <c r="AP130" i="42"/>
  <c r="BT130" i="42" s="1"/>
  <c r="W130" i="42"/>
  <c r="AG130" i="42" s="1"/>
  <c r="V130" i="42"/>
  <c r="AF130" i="42" s="1"/>
  <c r="M130" i="42"/>
  <c r="J130" i="42"/>
  <c r="BL129" i="42"/>
  <c r="BZ129" i="42" s="1"/>
  <c r="BK129" i="42"/>
  <c r="BY129" i="42" s="1"/>
  <c r="AY129" i="42"/>
  <c r="BW129" i="42" s="1"/>
  <c r="AP129" i="42"/>
  <c r="BT129" i="42" s="1"/>
  <c r="W129" i="42"/>
  <c r="AG129" i="42" s="1"/>
  <c r="BQ129" i="42" s="1"/>
  <c r="V129" i="42"/>
  <c r="AF129" i="42" s="1"/>
  <c r="M129" i="42"/>
  <c r="J129" i="42"/>
  <c r="BL128" i="42"/>
  <c r="BZ128" i="42" s="1"/>
  <c r="BK128" i="42"/>
  <c r="AY128" i="42"/>
  <c r="BW128" i="42" s="1"/>
  <c r="AP128" i="42"/>
  <c r="BT128" i="42" s="1"/>
  <c r="W128" i="42"/>
  <c r="AG128" i="42" s="1"/>
  <c r="BQ128" i="42" s="1"/>
  <c r="V128" i="42"/>
  <c r="AF128" i="42" s="1"/>
  <c r="BP128" i="42" s="1"/>
  <c r="M128" i="42"/>
  <c r="J128" i="42"/>
  <c r="Q128" i="42" s="1"/>
  <c r="BL127" i="42"/>
  <c r="BZ127" i="42" s="1"/>
  <c r="BK127" i="42"/>
  <c r="BY127" i="42" s="1"/>
  <c r="AY127" i="42"/>
  <c r="BW127" i="42" s="1"/>
  <c r="AP127" i="42"/>
  <c r="BT127" i="42" s="1"/>
  <c r="W127" i="42"/>
  <c r="AG127" i="42" s="1"/>
  <c r="BQ127" i="42" s="1"/>
  <c r="V127" i="42"/>
  <c r="AF127" i="42" s="1"/>
  <c r="M127" i="42"/>
  <c r="J127" i="42"/>
  <c r="BL126" i="42"/>
  <c r="BK126" i="42"/>
  <c r="AY126" i="42"/>
  <c r="BW126" i="42" s="1"/>
  <c r="AP126" i="42"/>
  <c r="W126" i="42"/>
  <c r="AG126" i="42" s="1"/>
  <c r="BQ126" i="42" s="1"/>
  <c r="V126" i="42"/>
  <c r="M126" i="42"/>
  <c r="J126" i="42"/>
  <c r="Q126" i="42" s="1"/>
  <c r="BJ125" i="42"/>
  <c r="BI125" i="42"/>
  <c r="BH125" i="42"/>
  <c r="BG125" i="42"/>
  <c r="BF125" i="42"/>
  <c r="BE125" i="42"/>
  <c r="BD125" i="42"/>
  <c r="BC125" i="42"/>
  <c r="BB125" i="42"/>
  <c r="BA125" i="42"/>
  <c r="AX125" i="42"/>
  <c r="AW125" i="42"/>
  <c r="AN125" i="42"/>
  <c r="AM125" i="42"/>
  <c r="AL125" i="42"/>
  <c r="AJ125" i="42"/>
  <c r="AI125" i="42"/>
  <c r="AE125" i="42"/>
  <c r="AD125" i="42"/>
  <c r="AC125" i="42"/>
  <c r="AB125" i="42"/>
  <c r="AA125" i="42"/>
  <c r="Z125" i="42"/>
  <c r="Y125" i="42"/>
  <c r="X125" i="42"/>
  <c r="U125" i="42"/>
  <c r="T125" i="42"/>
  <c r="R125" i="42"/>
  <c r="O125" i="42"/>
  <c r="N125" i="42"/>
  <c r="L125" i="42"/>
  <c r="K125" i="42"/>
  <c r="BL124" i="42"/>
  <c r="BZ124" i="42" s="1"/>
  <c r="BK124" i="42"/>
  <c r="BY124" i="42" s="1"/>
  <c r="AY124" i="42"/>
  <c r="BW124" i="42" s="1"/>
  <c r="AP124" i="42"/>
  <c r="BT124" i="42" s="1"/>
  <c r="BS124" i="42"/>
  <c r="W124" i="42"/>
  <c r="AG124" i="42" s="1"/>
  <c r="V124" i="42"/>
  <c r="AF124" i="42" s="1"/>
  <c r="M124" i="42"/>
  <c r="J124" i="42"/>
  <c r="Q124" i="42" s="1"/>
  <c r="BL123" i="42"/>
  <c r="BZ123" i="42" s="1"/>
  <c r="BK123" i="42"/>
  <c r="BY123" i="42" s="1"/>
  <c r="AY123" i="42"/>
  <c r="AP123" i="42"/>
  <c r="BT123" i="42" s="1"/>
  <c r="W123" i="42"/>
  <c r="V123" i="42"/>
  <c r="AF123" i="42" s="1"/>
  <c r="M123" i="42"/>
  <c r="J123" i="42"/>
  <c r="Q123" i="42" s="1"/>
  <c r="BL122" i="42"/>
  <c r="BZ122" i="42" s="1"/>
  <c r="BK122" i="42"/>
  <c r="BY122" i="42" s="1"/>
  <c r="AY122" i="42"/>
  <c r="BW122" i="42" s="1"/>
  <c r="AP122" i="42"/>
  <c r="W122" i="42"/>
  <c r="AG122" i="42" s="1"/>
  <c r="V122" i="42"/>
  <c r="M122" i="42"/>
  <c r="J122" i="42"/>
  <c r="Q122" i="42" s="1"/>
  <c r="BJ121" i="42"/>
  <c r="BI121" i="42"/>
  <c r="BH121" i="42"/>
  <c r="BG121" i="42"/>
  <c r="BF121" i="42"/>
  <c r="BE121" i="42"/>
  <c r="BD121" i="42"/>
  <c r="BB121" i="42"/>
  <c r="BA121" i="42"/>
  <c r="AX121" i="42"/>
  <c r="AW121" i="42"/>
  <c r="AN121" i="42"/>
  <c r="AM121" i="42"/>
  <c r="AL121" i="42"/>
  <c r="AJ121" i="42"/>
  <c r="AI121" i="42"/>
  <c r="AE121" i="42"/>
  <c r="AD121" i="42"/>
  <c r="AC121" i="42"/>
  <c r="AB121" i="42"/>
  <c r="AA121" i="42"/>
  <c r="Z121" i="42"/>
  <c r="Y121" i="42"/>
  <c r="U121" i="42"/>
  <c r="T121" i="42"/>
  <c r="R121" i="42"/>
  <c r="O121" i="42"/>
  <c r="N121" i="42"/>
  <c r="L121" i="42"/>
  <c r="K121" i="42"/>
  <c r="BL120" i="42"/>
  <c r="BZ120" i="42" s="1"/>
  <c r="BK120" i="42"/>
  <c r="BY120" i="42" s="1"/>
  <c r="AY120" i="42"/>
  <c r="BW120" i="42" s="1"/>
  <c r="AP120" i="42"/>
  <c r="BT120" i="42" s="1"/>
  <c r="W120" i="42"/>
  <c r="AG120" i="42" s="1"/>
  <c r="V120" i="42"/>
  <c r="AF120" i="42" s="1"/>
  <c r="BP120" i="42" s="1"/>
  <c r="M120" i="42"/>
  <c r="J120" i="42"/>
  <c r="Q120" i="42" s="1"/>
  <c r="BL119" i="42"/>
  <c r="BZ119" i="42" s="1"/>
  <c r="BK119" i="42"/>
  <c r="BY119" i="42" s="1"/>
  <c r="AY119" i="42"/>
  <c r="BW119" i="42" s="1"/>
  <c r="AP119" i="42"/>
  <c r="BT119" i="42" s="1"/>
  <c r="W119" i="42"/>
  <c r="AG119" i="42" s="1"/>
  <c r="BQ119" i="42" s="1"/>
  <c r="V119" i="42"/>
  <c r="AF119" i="42" s="1"/>
  <c r="M119" i="42"/>
  <c r="J119" i="42"/>
  <c r="Q119" i="42" s="1"/>
  <c r="BL118" i="42"/>
  <c r="BZ118" i="42" s="1"/>
  <c r="BK118" i="42"/>
  <c r="BY118" i="42" s="1"/>
  <c r="AY118" i="42"/>
  <c r="BW118" i="42" s="1"/>
  <c r="AP118" i="42"/>
  <c r="BT118" i="42" s="1"/>
  <c r="W118" i="42"/>
  <c r="AG118" i="42" s="1"/>
  <c r="BQ118" i="42" s="1"/>
  <c r="V118" i="42"/>
  <c r="AF118" i="42" s="1"/>
  <c r="M118" i="42"/>
  <c r="J118" i="42"/>
  <c r="BL117" i="42"/>
  <c r="BZ117" i="42" s="1"/>
  <c r="BC117" i="42"/>
  <c r="BK117" i="42" s="1"/>
  <c r="BY117" i="42" s="1"/>
  <c r="AY117" i="42"/>
  <c r="BW117" i="42" s="1"/>
  <c r="AP117" i="42"/>
  <c r="BT117" i="42" s="1"/>
  <c r="X117" i="42"/>
  <c r="X121" i="42" s="1"/>
  <c r="W117" i="42"/>
  <c r="AG117" i="42" s="1"/>
  <c r="V117" i="42"/>
  <c r="M117" i="42"/>
  <c r="J117" i="42"/>
  <c r="Q117" i="42" s="1"/>
  <c r="BL116" i="42"/>
  <c r="BK116" i="42"/>
  <c r="AY116" i="42"/>
  <c r="BW116" i="42" s="1"/>
  <c r="AP116" i="42"/>
  <c r="W116" i="42"/>
  <c r="V116" i="42"/>
  <c r="M116" i="42"/>
  <c r="J116" i="42"/>
  <c r="Q116" i="42" s="1"/>
  <c r="BJ115" i="42"/>
  <c r="BI115" i="42"/>
  <c r="BH115" i="42"/>
  <c r="BG115" i="42"/>
  <c r="BF115" i="42"/>
  <c r="BE115" i="42"/>
  <c r="BD115" i="42"/>
  <c r="BC115" i="42"/>
  <c r="BB115" i="42"/>
  <c r="BA115" i="42"/>
  <c r="AX115" i="42"/>
  <c r="AW115" i="42"/>
  <c r="AN115" i="42"/>
  <c r="AM115" i="42"/>
  <c r="AL115" i="42"/>
  <c r="AJ115" i="42"/>
  <c r="AI115" i="42"/>
  <c r="AE115" i="42"/>
  <c r="AD115" i="42"/>
  <c r="AC115" i="42"/>
  <c r="AB115" i="42"/>
  <c r="AA115" i="42"/>
  <c r="Z115" i="42"/>
  <c r="Y115" i="42"/>
  <c r="X115" i="42"/>
  <c r="U115" i="42"/>
  <c r="T115" i="42"/>
  <c r="R115" i="42"/>
  <c r="O115" i="42"/>
  <c r="N115" i="42"/>
  <c r="L115" i="42"/>
  <c r="K115" i="42"/>
  <c r="BL114" i="42"/>
  <c r="BZ114" i="42" s="1"/>
  <c r="BK114" i="42"/>
  <c r="BY114" i="42" s="1"/>
  <c r="AY114" i="42"/>
  <c r="BW114" i="42" s="1"/>
  <c r="AP114" i="42"/>
  <c r="BT114" i="42" s="1"/>
  <c r="W114" i="42"/>
  <c r="AG114" i="42" s="1"/>
  <c r="V114" i="42"/>
  <c r="AF114" i="42" s="1"/>
  <c r="M114" i="42"/>
  <c r="J114" i="42"/>
  <c r="BL113" i="42"/>
  <c r="BK113" i="42"/>
  <c r="AY113" i="42"/>
  <c r="AP113" i="42"/>
  <c r="BT113" i="42" s="1"/>
  <c r="W113" i="42"/>
  <c r="V113" i="42"/>
  <c r="AF113" i="42" s="1"/>
  <c r="M113" i="42"/>
  <c r="J113" i="42"/>
  <c r="BJ112" i="42"/>
  <c r="BI112" i="42"/>
  <c r="BH112" i="42"/>
  <c r="BG112" i="42"/>
  <c r="BF112" i="42"/>
  <c r="BE112" i="42"/>
  <c r="BD112" i="42"/>
  <c r="BB112" i="42"/>
  <c r="BA112" i="42"/>
  <c r="AX112" i="42"/>
  <c r="AW112" i="42"/>
  <c r="AN112" i="42"/>
  <c r="AM112" i="42"/>
  <c r="AL112" i="42"/>
  <c r="AJ112" i="42"/>
  <c r="AI112" i="42"/>
  <c r="AE112" i="42"/>
  <c r="AD112" i="42"/>
  <c r="AC112" i="42"/>
  <c r="AB112" i="42"/>
  <c r="AA112" i="42"/>
  <c r="Z112" i="42"/>
  <c r="Y112" i="42"/>
  <c r="U112" i="42"/>
  <c r="T112" i="42"/>
  <c r="R112" i="42"/>
  <c r="O112" i="42"/>
  <c r="N112" i="42"/>
  <c r="L112" i="42"/>
  <c r="K112" i="42"/>
  <c r="BL111" i="42"/>
  <c r="BZ111" i="42" s="1"/>
  <c r="BK111" i="42"/>
  <c r="BY111" i="42" s="1"/>
  <c r="AY111" i="42"/>
  <c r="BW111" i="42" s="1"/>
  <c r="AP111" i="42"/>
  <c r="BT111" i="42" s="1"/>
  <c r="W111" i="42"/>
  <c r="AG111" i="42" s="1"/>
  <c r="V111" i="42"/>
  <c r="AF111" i="42" s="1"/>
  <c r="M111" i="42"/>
  <c r="J111" i="42"/>
  <c r="BL110" i="42"/>
  <c r="BZ110" i="42" s="1"/>
  <c r="BK110" i="42"/>
  <c r="BY110" i="42" s="1"/>
  <c r="AY110" i="42"/>
  <c r="BW110" i="42" s="1"/>
  <c r="AP110" i="42"/>
  <c r="BT110" i="42" s="1"/>
  <c r="BS110" i="42"/>
  <c r="W110" i="42"/>
  <c r="AG110" i="42" s="1"/>
  <c r="V110" i="42"/>
  <c r="AF110" i="42" s="1"/>
  <c r="M110" i="42"/>
  <c r="J110" i="42"/>
  <c r="BL109" i="42"/>
  <c r="BZ109" i="42" s="1"/>
  <c r="BK109" i="42"/>
  <c r="AY109" i="42"/>
  <c r="BW109" i="42" s="1"/>
  <c r="AP109" i="42"/>
  <c r="BT109" i="42" s="1"/>
  <c r="W109" i="42"/>
  <c r="AG109" i="42" s="1"/>
  <c r="BQ109" i="42" s="1"/>
  <c r="V109" i="42"/>
  <c r="AF109" i="42" s="1"/>
  <c r="BP109" i="42" s="1"/>
  <c r="M109" i="42"/>
  <c r="J109" i="42"/>
  <c r="BL108" i="42"/>
  <c r="BZ108" i="42" s="1"/>
  <c r="BC108" i="42"/>
  <c r="BC112" i="42" s="1"/>
  <c r="AY108" i="42"/>
  <c r="BW108" i="42" s="1"/>
  <c r="AP108" i="42"/>
  <c r="BT108" i="42" s="1"/>
  <c r="X108" i="42"/>
  <c r="X112" i="42" s="1"/>
  <c r="W108" i="42"/>
  <c r="AG108" i="42" s="1"/>
  <c r="V108" i="42"/>
  <c r="AF108" i="42" s="1"/>
  <c r="M108" i="42"/>
  <c r="J108" i="42"/>
  <c r="Q108" i="42" s="1"/>
  <c r="BL107" i="42"/>
  <c r="BZ107" i="42" s="1"/>
  <c r="BK107" i="42"/>
  <c r="BY107" i="42" s="1"/>
  <c r="AY107" i="42"/>
  <c r="BW107" i="42" s="1"/>
  <c r="AP107" i="42"/>
  <c r="BT107" i="42" s="1"/>
  <c r="BS107" i="42"/>
  <c r="W107" i="42"/>
  <c r="AG107" i="42" s="1"/>
  <c r="V107" i="42"/>
  <c r="AF107" i="42" s="1"/>
  <c r="M107" i="42"/>
  <c r="J107" i="42"/>
  <c r="BL106" i="42"/>
  <c r="BK106" i="42"/>
  <c r="AY106" i="42"/>
  <c r="AP106" i="42"/>
  <c r="BT106" i="42" s="1"/>
  <c r="W106" i="42"/>
  <c r="V106" i="42"/>
  <c r="M106" i="42"/>
  <c r="J106" i="42"/>
  <c r="BJ105" i="42"/>
  <c r="BI105" i="42"/>
  <c r="BH105" i="42"/>
  <c r="BG105" i="42"/>
  <c r="BF105" i="42"/>
  <c r="BE105" i="42"/>
  <c r="BD105" i="42"/>
  <c r="BC105" i="42"/>
  <c r="BB105" i="42"/>
  <c r="BA105" i="42"/>
  <c r="AX105" i="42"/>
  <c r="AW105" i="42"/>
  <c r="AN105" i="42"/>
  <c r="AM105" i="42"/>
  <c r="AL105" i="42"/>
  <c r="AJ105" i="42"/>
  <c r="AI105" i="42"/>
  <c r="AE105" i="42"/>
  <c r="AD105" i="42"/>
  <c r="AC105" i="42"/>
  <c r="AB105" i="42"/>
  <c r="AA105" i="42"/>
  <c r="Z105" i="42"/>
  <c r="Y105" i="42"/>
  <c r="X105" i="42"/>
  <c r="U105" i="42"/>
  <c r="T105" i="42"/>
  <c r="R105" i="42"/>
  <c r="O105" i="42"/>
  <c r="N105" i="42"/>
  <c r="L105" i="42"/>
  <c r="K105" i="42"/>
  <c r="BL104" i="42"/>
  <c r="BZ104" i="42" s="1"/>
  <c r="BK104" i="42"/>
  <c r="BY104" i="42" s="1"/>
  <c r="AY104" i="42"/>
  <c r="BW104" i="42" s="1"/>
  <c r="AP104" i="42"/>
  <c r="BT104" i="42" s="1"/>
  <c r="BS104" i="42"/>
  <c r="W104" i="42"/>
  <c r="AG104" i="42" s="1"/>
  <c r="V104" i="42"/>
  <c r="AF104" i="42" s="1"/>
  <c r="M104" i="42"/>
  <c r="J104" i="42"/>
  <c r="Q104" i="42" s="1"/>
  <c r="BL103" i="42"/>
  <c r="BZ103" i="42" s="1"/>
  <c r="BK103" i="42"/>
  <c r="BY103" i="42" s="1"/>
  <c r="AY103" i="42"/>
  <c r="BW103" i="42" s="1"/>
  <c r="AP103" i="42"/>
  <c r="BT103" i="42" s="1"/>
  <c r="W103" i="42"/>
  <c r="AG103" i="42" s="1"/>
  <c r="V103" i="42"/>
  <c r="AF103" i="42" s="1"/>
  <c r="M103" i="42"/>
  <c r="J103" i="42"/>
  <c r="BL102" i="42"/>
  <c r="BZ102" i="42" s="1"/>
  <c r="BK102" i="42"/>
  <c r="BY102" i="42" s="1"/>
  <c r="AY102" i="42"/>
  <c r="BW102" i="42" s="1"/>
  <c r="AP102" i="42"/>
  <c r="BT102" i="42" s="1"/>
  <c r="W102" i="42"/>
  <c r="AG102" i="42" s="1"/>
  <c r="V102" i="42"/>
  <c r="AF102" i="42" s="1"/>
  <c r="M102" i="42"/>
  <c r="J102" i="42"/>
  <c r="BL101" i="42"/>
  <c r="BZ101" i="42" s="1"/>
  <c r="BK101" i="42"/>
  <c r="AY101" i="42"/>
  <c r="BW101" i="42" s="1"/>
  <c r="AP101" i="42"/>
  <c r="BT101" i="42" s="1"/>
  <c r="W101" i="42"/>
  <c r="AG101" i="42" s="1"/>
  <c r="BQ101" i="42" s="1"/>
  <c r="V101" i="42"/>
  <c r="AF101" i="42" s="1"/>
  <c r="M101" i="42"/>
  <c r="J101" i="42"/>
  <c r="BL100" i="42"/>
  <c r="BK100" i="42"/>
  <c r="BY100" i="42" s="1"/>
  <c r="AY100" i="42"/>
  <c r="BW100" i="42" s="1"/>
  <c r="AP100" i="42"/>
  <c r="W100" i="42"/>
  <c r="AG100" i="42" s="1"/>
  <c r="BQ100" i="42" s="1"/>
  <c r="V100" i="42"/>
  <c r="AF100" i="42" s="1"/>
  <c r="BP100" i="42" s="1"/>
  <c r="M100" i="42"/>
  <c r="J100" i="42"/>
  <c r="Q100" i="42" s="1"/>
  <c r="BJ99" i="42"/>
  <c r="BI99" i="42"/>
  <c r="BH99" i="42"/>
  <c r="BG99" i="42"/>
  <c r="BF99" i="42"/>
  <c r="BE99" i="42"/>
  <c r="BD99" i="42"/>
  <c r="BC99" i="42"/>
  <c r="BB99" i="42"/>
  <c r="BA99" i="42"/>
  <c r="AX99" i="42"/>
  <c r="AW99" i="42"/>
  <c r="AN99" i="42"/>
  <c r="AM99" i="42"/>
  <c r="AL99" i="42"/>
  <c r="AJ99" i="42"/>
  <c r="AI99" i="42"/>
  <c r="AE99" i="42"/>
  <c r="AD99" i="42"/>
  <c r="AC99" i="42"/>
  <c r="AB99" i="42"/>
  <c r="AA99" i="42"/>
  <c r="Z99" i="42"/>
  <c r="Y99" i="42"/>
  <c r="X99" i="42"/>
  <c r="U99" i="42"/>
  <c r="T99" i="42"/>
  <c r="R99" i="42"/>
  <c r="O99" i="42"/>
  <c r="N99" i="42"/>
  <c r="L99" i="42"/>
  <c r="K99" i="42"/>
  <c r="BL98" i="42"/>
  <c r="BZ98" i="42" s="1"/>
  <c r="BK98" i="42"/>
  <c r="BY98" i="42" s="1"/>
  <c r="AY98" i="42"/>
  <c r="BW98" i="42" s="1"/>
  <c r="AP98" i="42"/>
  <c r="BT98" i="42" s="1"/>
  <c r="W98" i="42"/>
  <c r="AG98" i="42" s="1"/>
  <c r="BQ98" i="42" s="1"/>
  <c r="V98" i="42"/>
  <c r="AF98" i="42" s="1"/>
  <c r="M98" i="42"/>
  <c r="J98" i="42"/>
  <c r="BL97" i="42"/>
  <c r="BZ97" i="42" s="1"/>
  <c r="BK97" i="42"/>
  <c r="AY97" i="42"/>
  <c r="BW97" i="42" s="1"/>
  <c r="AP97" i="42"/>
  <c r="BT97" i="42" s="1"/>
  <c r="W97" i="42"/>
  <c r="AG97" i="42" s="1"/>
  <c r="V97" i="42"/>
  <c r="AF97" i="42" s="1"/>
  <c r="M97" i="42"/>
  <c r="J97" i="42"/>
  <c r="BL96" i="42"/>
  <c r="BK96" i="42"/>
  <c r="BY96" i="42" s="1"/>
  <c r="AY96" i="42"/>
  <c r="AP96" i="42"/>
  <c r="W96" i="42"/>
  <c r="AG96" i="42" s="1"/>
  <c r="V96" i="42"/>
  <c r="AF96" i="42" s="1"/>
  <c r="BP96" i="42" s="1"/>
  <c r="M96" i="42"/>
  <c r="J96" i="42"/>
  <c r="Q96" i="42" s="1"/>
  <c r="BJ95" i="42"/>
  <c r="BI95" i="42"/>
  <c r="BH95" i="42"/>
  <c r="BG95" i="42"/>
  <c r="BF95" i="42"/>
  <c r="BE95" i="42"/>
  <c r="BD95" i="42"/>
  <c r="BC95" i="42"/>
  <c r="BB95" i="42"/>
  <c r="BA95" i="42"/>
  <c r="AX95" i="42"/>
  <c r="AW95" i="42"/>
  <c r="AN95" i="42"/>
  <c r="AM95" i="42"/>
  <c r="AL95" i="42"/>
  <c r="AJ95" i="42"/>
  <c r="AI95" i="42"/>
  <c r="AE95" i="42"/>
  <c r="AD95" i="42"/>
  <c r="AC95" i="42"/>
  <c r="AB95" i="42"/>
  <c r="AA95" i="42"/>
  <c r="Z95" i="42"/>
  <c r="Y95" i="42"/>
  <c r="X95" i="42"/>
  <c r="U95" i="42"/>
  <c r="T95" i="42"/>
  <c r="R95" i="42"/>
  <c r="O95" i="42"/>
  <c r="N95" i="42"/>
  <c r="L95" i="42"/>
  <c r="K95" i="42"/>
  <c r="BL94" i="42"/>
  <c r="BZ94" i="42" s="1"/>
  <c r="BK94" i="42"/>
  <c r="BY94" i="42" s="1"/>
  <c r="AY94" i="42"/>
  <c r="BW94" i="42" s="1"/>
  <c r="AP94" i="42"/>
  <c r="BT94" i="42" s="1"/>
  <c r="BS94" i="42"/>
  <c r="W94" i="42"/>
  <c r="AG94" i="42" s="1"/>
  <c r="BQ94" i="42" s="1"/>
  <c r="V94" i="42"/>
  <c r="AF94" i="42" s="1"/>
  <c r="M94" i="42"/>
  <c r="J94" i="42"/>
  <c r="Q94" i="42" s="1"/>
  <c r="BL93" i="42"/>
  <c r="BZ93" i="42" s="1"/>
  <c r="BK93" i="42"/>
  <c r="BY93" i="42" s="1"/>
  <c r="AY93" i="42"/>
  <c r="BW93" i="42" s="1"/>
  <c r="AP93" i="42"/>
  <c r="BT93" i="42" s="1"/>
  <c r="BS93" i="42"/>
  <c r="W93" i="42"/>
  <c r="AG93" i="42" s="1"/>
  <c r="V93" i="42"/>
  <c r="AF93" i="42" s="1"/>
  <c r="M93" i="42"/>
  <c r="J93" i="42"/>
  <c r="BL92" i="42"/>
  <c r="BZ92" i="42" s="1"/>
  <c r="BK92" i="42"/>
  <c r="BY92" i="42" s="1"/>
  <c r="AY92" i="42"/>
  <c r="BW92" i="42" s="1"/>
  <c r="AP92" i="42"/>
  <c r="BT92" i="42" s="1"/>
  <c r="W92" i="42"/>
  <c r="AG92" i="42" s="1"/>
  <c r="V92" i="42"/>
  <c r="AF92" i="42" s="1"/>
  <c r="M92" i="42"/>
  <c r="J92" i="42"/>
  <c r="Q92" i="42" s="1"/>
  <c r="BL91" i="42"/>
  <c r="BZ91" i="42" s="1"/>
  <c r="BK91" i="42"/>
  <c r="AY91" i="42"/>
  <c r="BW91" i="42" s="1"/>
  <c r="AP91" i="42"/>
  <c r="BT91" i="42" s="1"/>
  <c r="W91" i="42"/>
  <c r="AG91" i="42" s="1"/>
  <c r="BQ91" i="42" s="1"/>
  <c r="V91" i="42"/>
  <c r="AF91" i="42" s="1"/>
  <c r="M91" i="42"/>
  <c r="J91" i="42"/>
  <c r="BL90" i="42"/>
  <c r="BK90" i="42"/>
  <c r="BY90" i="42" s="1"/>
  <c r="AY90" i="42"/>
  <c r="BW90" i="42" s="1"/>
  <c r="AP90" i="42"/>
  <c r="W90" i="42"/>
  <c r="AG90" i="42" s="1"/>
  <c r="V90" i="42"/>
  <c r="AF90" i="42" s="1"/>
  <c r="M90" i="42"/>
  <c r="J90" i="42"/>
  <c r="BJ89" i="42"/>
  <c r="BI89" i="42"/>
  <c r="BH89" i="42"/>
  <c r="BG89" i="42"/>
  <c r="BF89" i="42"/>
  <c r="BE89" i="42"/>
  <c r="BD89" i="42"/>
  <c r="BC89" i="42"/>
  <c r="BB89" i="42"/>
  <c r="BA89" i="42"/>
  <c r="AX89" i="42"/>
  <c r="AW89" i="42"/>
  <c r="AN89" i="42"/>
  <c r="AM89" i="42"/>
  <c r="AL89" i="42"/>
  <c r="AJ89" i="42"/>
  <c r="AI89" i="42"/>
  <c r="AE89" i="42"/>
  <c r="AD89" i="42"/>
  <c r="AC89" i="42"/>
  <c r="AB89" i="42"/>
  <c r="AA89" i="42"/>
  <c r="Z89" i="42"/>
  <c r="Y89" i="42"/>
  <c r="X89" i="42"/>
  <c r="U89" i="42"/>
  <c r="T89" i="42"/>
  <c r="R89" i="42"/>
  <c r="O89" i="42"/>
  <c r="N89" i="42"/>
  <c r="L89" i="42"/>
  <c r="K89" i="42"/>
  <c r="BL88" i="42"/>
  <c r="BZ88" i="42" s="1"/>
  <c r="BK88" i="42"/>
  <c r="BY88" i="42" s="1"/>
  <c r="AY88" i="42"/>
  <c r="BW88" i="42" s="1"/>
  <c r="AP88" i="42"/>
  <c r="BT88" i="42" s="1"/>
  <c r="W88" i="42"/>
  <c r="AG88" i="42" s="1"/>
  <c r="V88" i="42"/>
  <c r="AF88" i="42" s="1"/>
  <c r="M88" i="42"/>
  <c r="J88" i="42"/>
  <c r="BL87" i="42"/>
  <c r="BZ87" i="42" s="1"/>
  <c r="BK87" i="42"/>
  <c r="AY87" i="42"/>
  <c r="BW87" i="42" s="1"/>
  <c r="AP87" i="42"/>
  <c r="BT87" i="42" s="1"/>
  <c r="W87" i="42"/>
  <c r="AG87" i="42" s="1"/>
  <c r="V87" i="42"/>
  <c r="AF87" i="42" s="1"/>
  <c r="M87" i="42"/>
  <c r="J87" i="42"/>
  <c r="BL86" i="42"/>
  <c r="BK86" i="42"/>
  <c r="AY86" i="42"/>
  <c r="BW86" i="42" s="1"/>
  <c r="AP86" i="42"/>
  <c r="W86" i="42"/>
  <c r="AG86" i="42" s="1"/>
  <c r="V86" i="42"/>
  <c r="AF86" i="42" s="1"/>
  <c r="M86" i="42"/>
  <c r="J86" i="42"/>
  <c r="Q86" i="42" s="1"/>
  <c r="BJ85" i="42"/>
  <c r="BI85" i="42"/>
  <c r="BH85" i="42"/>
  <c r="BG85" i="42"/>
  <c r="BF85" i="42"/>
  <c r="BE85" i="42"/>
  <c r="BD85" i="42"/>
  <c r="BC85" i="42"/>
  <c r="BB85" i="42"/>
  <c r="BA85" i="42"/>
  <c r="AX85" i="42"/>
  <c r="AW85" i="42"/>
  <c r="AN85" i="42"/>
  <c r="AM85" i="42"/>
  <c r="AL85" i="42"/>
  <c r="AJ85" i="42"/>
  <c r="AI85" i="42"/>
  <c r="AE85" i="42"/>
  <c r="AD85" i="42"/>
  <c r="AC85" i="42"/>
  <c r="AB85" i="42"/>
  <c r="AA85" i="42"/>
  <c r="Z85" i="42"/>
  <c r="Y85" i="42"/>
  <c r="X85" i="42"/>
  <c r="U85" i="42"/>
  <c r="T85" i="42"/>
  <c r="R85" i="42"/>
  <c r="O85" i="42"/>
  <c r="N85" i="42"/>
  <c r="L85" i="42"/>
  <c r="K85" i="42"/>
  <c r="BL84" i="42"/>
  <c r="BZ84" i="42" s="1"/>
  <c r="BK84" i="42"/>
  <c r="BY84" i="42" s="1"/>
  <c r="AY84" i="42"/>
  <c r="BW84" i="42" s="1"/>
  <c r="AP84" i="42"/>
  <c r="BT84" i="42" s="1"/>
  <c r="W84" i="42"/>
  <c r="AG84" i="42" s="1"/>
  <c r="BQ84" i="42" s="1"/>
  <c r="V84" i="42"/>
  <c r="AF84" i="42" s="1"/>
  <c r="M84" i="42"/>
  <c r="J84" i="42"/>
  <c r="Q84" i="42" s="1"/>
  <c r="BL83" i="42"/>
  <c r="BZ83" i="42" s="1"/>
  <c r="BK83" i="42"/>
  <c r="AY83" i="42"/>
  <c r="BW83" i="42" s="1"/>
  <c r="AP83" i="42"/>
  <c r="BT83" i="42" s="1"/>
  <c r="W83" i="42"/>
  <c r="AG83" i="42" s="1"/>
  <c r="V83" i="42"/>
  <c r="AF83" i="42" s="1"/>
  <c r="BP83" i="42" s="1"/>
  <c r="M83" i="42"/>
  <c r="J83" i="42"/>
  <c r="BL82" i="42"/>
  <c r="BZ82" i="42" s="1"/>
  <c r="BK82" i="42"/>
  <c r="BY82" i="42" s="1"/>
  <c r="AY82" i="42"/>
  <c r="BW82" i="42" s="1"/>
  <c r="AP82" i="42"/>
  <c r="BT82" i="42" s="1"/>
  <c r="W82" i="42"/>
  <c r="AG82" i="42" s="1"/>
  <c r="BQ82" i="42" s="1"/>
  <c r="V82" i="42"/>
  <c r="AF82" i="42" s="1"/>
  <c r="BP82" i="42" s="1"/>
  <c r="M82" i="42"/>
  <c r="J82" i="42"/>
  <c r="Q82" i="42" s="1"/>
  <c r="BL81" i="42"/>
  <c r="BZ81" i="42" s="1"/>
  <c r="BK81" i="42"/>
  <c r="AY81" i="42"/>
  <c r="BW81" i="42" s="1"/>
  <c r="AP81" i="42"/>
  <c r="BT81" i="42" s="1"/>
  <c r="W81" i="42"/>
  <c r="AG81" i="42" s="1"/>
  <c r="V81" i="42"/>
  <c r="AF81" i="42" s="1"/>
  <c r="M81" i="42"/>
  <c r="J81" i="42"/>
  <c r="Q81" i="42" s="1"/>
  <c r="BL80" i="42"/>
  <c r="BZ80" i="42" s="1"/>
  <c r="BK80" i="42"/>
  <c r="AY80" i="42"/>
  <c r="BW80" i="42" s="1"/>
  <c r="AP80" i="42"/>
  <c r="BT80" i="42" s="1"/>
  <c r="W80" i="42"/>
  <c r="AG80" i="42" s="1"/>
  <c r="V80" i="42"/>
  <c r="AF80" i="42" s="1"/>
  <c r="M80" i="42"/>
  <c r="J80" i="42"/>
  <c r="Q80" i="42" s="1"/>
  <c r="BL79" i="42"/>
  <c r="BK79" i="42"/>
  <c r="AY79" i="42"/>
  <c r="AP79" i="42"/>
  <c r="BT79" i="42" s="1"/>
  <c r="W79" i="42"/>
  <c r="V79" i="42"/>
  <c r="AF79" i="42" s="1"/>
  <c r="M79" i="42"/>
  <c r="J79" i="42"/>
  <c r="BJ78" i="42"/>
  <c r="BI78" i="42"/>
  <c r="BH78" i="42"/>
  <c r="BG78" i="42"/>
  <c r="BF78" i="42"/>
  <c r="BE78" i="42"/>
  <c r="BD78" i="42"/>
  <c r="BC78" i="42"/>
  <c r="BB78" i="42"/>
  <c r="BA78" i="42"/>
  <c r="AX78" i="42"/>
  <c r="AW78" i="42"/>
  <c r="AN78" i="42"/>
  <c r="AM78" i="42"/>
  <c r="AL78" i="42"/>
  <c r="AJ78" i="42"/>
  <c r="AI78" i="42"/>
  <c r="AE78" i="42"/>
  <c r="AD78" i="42"/>
  <c r="AC78" i="42"/>
  <c r="AB78" i="42"/>
  <c r="AA78" i="42"/>
  <c r="Z78" i="42"/>
  <c r="Y78" i="42"/>
  <c r="X78" i="42"/>
  <c r="U78" i="42"/>
  <c r="T78" i="42"/>
  <c r="R78" i="42"/>
  <c r="O78" i="42"/>
  <c r="N78" i="42"/>
  <c r="L78" i="42"/>
  <c r="K78" i="42"/>
  <c r="BL77" i="42"/>
  <c r="BL211" i="42" s="1"/>
  <c r="BK77" i="42"/>
  <c r="AY77" i="42"/>
  <c r="AY211" i="42" s="1"/>
  <c r="AP77" i="42"/>
  <c r="AP211" i="42" s="1"/>
  <c r="W77" i="42"/>
  <c r="W211" i="42" s="1"/>
  <c r="V77" i="42"/>
  <c r="V211" i="42" s="1"/>
  <c r="M77" i="42"/>
  <c r="M211" i="42" s="1"/>
  <c r="J77" i="42"/>
  <c r="J211" i="42" s="1"/>
  <c r="BJ76" i="42"/>
  <c r="BI76" i="42"/>
  <c r="BH76" i="42"/>
  <c r="BG76" i="42"/>
  <c r="BF76" i="42"/>
  <c r="BE76" i="42"/>
  <c r="BD76" i="42"/>
  <c r="BC76" i="42"/>
  <c r="BB76" i="42"/>
  <c r="BA76" i="42"/>
  <c r="AX76" i="42"/>
  <c r="AW76" i="42"/>
  <c r="AN76" i="42"/>
  <c r="AM76" i="42"/>
  <c r="AL76" i="42"/>
  <c r="AJ76" i="42"/>
  <c r="AI76" i="42"/>
  <c r="AE76" i="42"/>
  <c r="AD76" i="42"/>
  <c r="AC76" i="42"/>
  <c r="AB76" i="42"/>
  <c r="AA76" i="42"/>
  <c r="Z76" i="42"/>
  <c r="Y76" i="42"/>
  <c r="X76" i="42"/>
  <c r="U76" i="42"/>
  <c r="T76" i="42"/>
  <c r="R76" i="42"/>
  <c r="O76" i="42"/>
  <c r="N76" i="42"/>
  <c r="L76" i="42"/>
  <c r="K76" i="42"/>
  <c r="BL75" i="42"/>
  <c r="BZ75" i="42" s="1"/>
  <c r="BK75" i="42"/>
  <c r="AY75" i="42"/>
  <c r="BW75" i="42" s="1"/>
  <c r="AP75" i="42"/>
  <c r="BT75" i="42" s="1"/>
  <c r="W75" i="42"/>
  <c r="AG75" i="42" s="1"/>
  <c r="V75" i="42"/>
  <c r="AF75" i="42" s="1"/>
  <c r="M75" i="42"/>
  <c r="J75" i="42"/>
  <c r="Q75" i="42" s="1"/>
  <c r="BL74" i="42"/>
  <c r="BK74" i="42"/>
  <c r="BY74" i="42" s="1"/>
  <c r="AY74" i="42"/>
  <c r="BW74" i="42" s="1"/>
  <c r="AP74" i="42"/>
  <c r="BT74" i="42" s="1"/>
  <c r="W74" i="42"/>
  <c r="AG74" i="42" s="1"/>
  <c r="BQ74" i="42" s="1"/>
  <c r="V74" i="42"/>
  <c r="AF74" i="42" s="1"/>
  <c r="M74" i="42"/>
  <c r="J74" i="42"/>
  <c r="Q74" i="42" s="1"/>
  <c r="BL73" i="42"/>
  <c r="BZ73" i="42" s="1"/>
  <c r="BK73" i="42"/>
  <c r="AY73" i="42"/>
  <c r="BW73" i="42" s="1"/>
  <c r="AP73" i="42"/>
  <c r="BT73" i="42" s="1"/>
  <c r="BS73" i="42"/>
  <c r="W73" i="42"/>
  <c r="AG73" i="42" s="1"/>
  <c r="V73" i="42"/>
  <c r="AF73" i="42" s="1"/>
  <c r="M73" i="42"/>
  <c r="J73" i="42"/>
  <c r="Q73" i="42" s="1"/>
  <c r="BL72" i="42"/>
  <c r="BZ72" i="42" s="1"/>
  <c r="BK72" i="42"/>
  <c r="BY72" i="42" s="1"/>
  <c r="AY72" i="42"/>
  <c r="BW72" i="42" s="1"/>
  <c r="AP72" i="42"/>
  <c r="BT72" i="42" s="1"/>
  <c r="W72" i="42"/>
  <c r="AG72" i="42" s="1"/>
  <c r="BQ72" i="42" s="1"/>
  <c r="V72" i="42"/>
  <c r="AF72" i="42" s="1"/>
  <c r="M72" i="42"/>
  <c r="J72" i="42"/>
  <c r="Q72" i="42" s="1"/>
  <c r="BL71" i="42"/>
  <c r="BZ71" i="42" s="1"/>
  <c r="BK71" i="42"/>
  <c r="BY71" i="42" s="1"/>
  <c r="AY71" i="42"/>
  <c r="BW71" i="42" s="1"/>
  <c r="AP71" i="42"/>
  <c r="BT71" i="42" s="1"/>
  <c r="W71" i="42"/>
  <c r="V71" i="42"/>
  <c r="AF71" i="42" s="1"/>
  <c r="M71" i="42"/>
  <c r="J71" i="42"/>
  <c r="BL70" i="42"/>
  <c r="BK70" i="42"/>
  <c r="AY70" i="42"/>
  <c r="AP70" i="42"/>
  <c r="W70" i="42"/>
  <c r="AG70" i="42" s="1"/>
  <c r="V70" i="42"/>
  <c r="AF70" i="42" s="1"/>
  <c r="BP70" i="42" s="1"/>
  <c r="M70" i="42"/>
  <c r="J70" i="42"/>
  <c r="BJ69" i="42"/>
  <c r="BI69" i="42"/>
  <c r="BH69" i="42"/>
  <c r="BG69" i="42"/>
  <c r="BF69" i="42"/>
  <c r="BE69" i="42"/>
  <c r="BD69" i="42"/>
  <c r="BC69" i="42"/>
  <c r="BB69" i="42"/>
  <c r="BA69" i="42"/>
  <c r="AX69" i="42"/>
  <c r="AW69" i="42"/>
  <c r="AN69" i="42"/>
  <c r="AM69" i="42"/>
  <c r="AL69" i="42"/>
  <c r="AJ69" i="42"/>
  <c r="AI69" i="42"/>
  <c r="AE69" i="42"/>
  <c r="AD69" i="42"/>
  <c r="AC69" i="42"/>
  <c r="AB69" i="42"/>
  <c r="AA69" i="42"/>
  <c r="Z69" i="42"/>
  <c r="Y69" i="42"/>
  <c r="X69" i="42"/>
  <c r="U69" i="42"/>
  <c r="T69" i="42"/>
  <c r="R69" i="42"/>
  <c r="O69" i="42"/>
  <c r="N69" i="42"/>
  <c r="L69" i="42"/>
  <c r="K69" i="42"/>
  <c r="BL68" i="42"/>
  <c r="BZ68" i="42" s="1"/>
  <c r="BK68" i="42"/>
  <c r="BY68" i="42" s="1"/>
  <c r="AY68" i="42"/>
  <c r="BW68" i="42" s="1"/>
  <c r="AP68" i="42"/>
  <c r="BT68" i="42" s="1"/>
  <c r="W68" i="42"/>
  <c r="AG68" i="42" s="1"/>
  <c r="V68" i="42"/>
  <c r="AF68" i="42" s="1"/>
  <c r="M68" i="42"/>
  <c r="J68" i="42"/>
  <c r="BL67" i="42"/>
  <c r="BZ67" i="42" s="1"/>
  <c r="BK67" i="42"/>
  <c r="AY67" i="42"/>
  <c r="BW67" i="42" s="1"/>
  <c r="AP67" i="42"/>
  <c r="BT67" i="42" s="1"/>
  <c r="BS67" i="42"/>
  <c r="W67" i="42"/>
  <c r="AG67" i="42" s="1"/>
  <c r="V67" i="42"/>
  <c r="AF67" i="42" s="1"/>
  <c r="BP67" i="42" s="1"/>
  <c r="M67" i="42"/>
  <c r="J67" i="42"/>
  <c r="BL66" i="42"/>
  <c r="BK66" i="42"/>
  <c r="BY66" i="42" s="1"/>
  <c r="AY66" i="42"/>
  <c r="BW66" i="42" s="1"/>
  <c r="AP66" i="42"/>
  <c r="BT66" i="42" s="1"/>
  <c r="W66" i="42"/>
  <c r="AG66" i="42" s="1"/>
  <c r="V66" i="42"/>
  <c r="AF66" i="42" s="1"/>
  <c r="M66" i="42"/>
  <c r="J66" i="42"/>
  <c r="BL65" i="42"/>
  <c r="BZ65" i="42" s="1"/>
  <c r="BK65" i="42"/>
  <c r="AY65" i="42"/>
  <c r="BW65" i="42" s="1"/>
  <c r="AP65" i="42"/>
  <c r="W65" i="42"/>
  <c r="AG65" i="42" s="1"/>
  <c r="V65" i="42"/>
  <c r="M65" i="42"/>
  <c r="J65" i="42"/>
  <c r="Q65" i="42" s="1"/>
  <c r="BJ64" i="42"/>
  <c r="BI64" i="42"/>
  <c r="BH64" i="42"/>
  <c r="BG64" i="42"/>
  <c r="BF64" i="42"/>
  <c r="BE64" i="42"/>
  <c r="BD64" i="42"/>
  <c r="BB64" i="42"/>
  <c r="BA64" i="42"/>
  <c r="AX64" i="42"/>
  <c r="AW64" i="42"/>
  <c r="AN64" i="42"/>
  <c r="AM64" i="42"/>
  <c r="AL64" i="42"/>
  <c r="AJ64" i="42"/>
  <c r="AE64" i="42"/>
  <c r="AD64" i="42"/>
  <c r="AC64" i="42"/>
  <c r="AB64" i="42"/>
  <c r="AA64" i="42"/>
  <c r="Z64" i="42"/>
  <c r="Y64" i="42"/>
  <c r="U64" i="42"/>
  <c r="T64" i="42"/>
  <c r="R64" i="42"/>
  <c r="O64" i="42"/>
  <c r="N64" i="42"/>
  <c r="L64" i="42"/>
  <c r="K64" i="42"/>
  <c r="BL63" i="42"/>
  <c r="BZ63" i="42" s="1"/>
  <c r="BK63" i="42"/>
  <c r="BY63" i="42" s="1"/>
  <c r="AY63" i="42"/>
  <c r="BW63" i="42" s="1"/>
  <c r="AP63" i="42"/>
  <c r="BT63" i="42" s="1"/>
  <c r="W63" i="42"/>
  <c r="AG63" i="42" s="1"/>
  <c r="V63" i="42"/>
  <c r="AF63" i="42" s="1"/>
  <c r="M63" i="42"/>
  <c r="J63" i="42"/>
  <c r="BL62" i="42"/>
  <c r="BZ62" i="42" s="1"/>
  <c r="BK62" i="42"/>
  <c r="BY62" i="42" s="1"/>
  <c r="AY62" i="42"/>
  <c r="BW62" i="42" s="1"/>
  <c r="AP62" i="42"/>
  <c r="BT62" i="42" s="1"/>
  <c r="W62" i="42"/>
  <c r="AG62" i="42" s="1"/>
  <c r="V62" i="42"/>
  <c r="AF62" i="42" s="1"/>
  <c r="M62" i="42"/>
  <c r="J62" i="42"/>
  <c r="BL61" i="42"/>
  <c r="BZ61" i="42" s="1"/>
  <c r="BK61" i="42"/>
  <c r="AY61" i="42"/>
  <c r="BW61" i="42" s="1"/>
  <c r="AP61" i="42"/>
  <c r="W61" i="42"/>
  <c r="AG61" i="42" s="1"/>
  <c r="V61" i="42"/>
  <c r="AF61" i="42" s="1"/>
  <c r="M61" i="42"/>
  <c r="J61" i="42"/>
  <c r="BL60" i="42"/>
  <c r="BZ60" i="42" s="1"/>
  <c r="BC60" i="42"/>
  <c r="AY60" i="42"/>
  <c r="BW60" i="42" s="1"/>
  <c r="AP60" i="42"/>
  <c r="BT60" i="42" s="1"/>
  <c r="X60" i="42"/>
  <c r="X64" i="42" s="1"/>
  <c r="W60" i="42"/>
  <c r="AG60" i="42" s="1"/>
  <c r="BQ60" i="42" s="1"/>
  <c r="V60" i="42"/>
  <c r="M60" i="42"/>
  <c r="J60" i="42"/>
  <c r="Q60" i="42" s="1"/>
  <c r="BL59" i="42"/>
  <c r="BK59" i="42"/>
  <c r="BY59" i="42" s="1"/>
  <c r="AY59" i="42"/>
  <c r="AP59" i="42"/>
  <c r="AI59" i="42"/>
  <c r="AO59" i="42" s="1"/>
  <c r="W59" i="42"/>
  <c r="M59" i="42"/>
  <c r="J59" i="42"/>
  <c r="BJ58" i="42"/>
  <c r="BI58" i="42"/>
  <c r="BH58" i="42"/>
  <c r="BG58" i="42"/>
  <c r="BF58" i="42"/>
  <c r="BE58" i="42"/>
  <c r="BD58" i="42"/>
  <c r="BC58" i="42"/>
  <c r="BB58" i="42"/>
  <c r="BA58" i="42"/>
  <c r="AX58" i="42"/>
  <c r="AW58" i="42"/>
  <c r="AN58" i="42"/>
  <c r="AM58" i="42"/>
  <c r="AL58" i="42"/>
  <c r="AE58" i="42"/>
  <c r="AD58" i="42"/>
  <c r="AC58" i="42"/>
  <c r="AB58" i="42"/>
  <c r="AA58" i="42"/>
  <c r="Z58" i="42"/>
  <c r="Y58" i="42"/>
  <c r="X58" i="42"/>
  <c r="U58" i="42"/>
  <c r="T58" i="42"/>
  <c r="R58" i="42"/>
  <c r="O58" i="42"/>
  <c r="N58" i="42"/>
  <c r="L58" i="42"/>
  <c r="K58" i="42"/>
  <c r="BL57" i="42"/>
  <c r="BZ57" i="42" s="1"/>
  <c r="BK57" i="42"/>
  <c r="BY57" i="42" s="1"/>
  <c r="AY57" i="42"/>
  <c r="BW57" i="42" s="1"/>
  <c r="AP57" i="42"/>
  <c r="BT57" i="42" s="1"/>
  <c r="W57" i="42"/>
  <c r="AG57" i="42" s="1"/>
  <c r="BQ57" i="42" s="1"/>
  <c r="V57" i="42"/>
  <c r="AF57" i="42" s="1"/>
  <c r="M57" i="42"/>
  <c r="J57" i="42"/>
  <c r="Q57" i="42" s="1"/>
  <c r="BL56" i="42"/>
  <c r="BZ56" i="42" s="1"/>
  <c r="BK56" i="42"/>
  <c r="BY56" i="42" s="1"/>
  <c r="AY56" i="42"/>
  <c r="BW56" i="42" s="1"/>
  <c r="AP56" i="42"/>
  <c r="BT56" i="42" s="1"/>
  <c r="W56" i="42"/>
  <c r="AG56" i="42" s="1"/>
  <c r="V56" i="42"/>
  <c r="AF56" i="42" s="1"/>
  <c r="M56" i="42"/>
  <c r="J56" i="42"/>
  <c r="BL55" i="42"/>
  <c r="BK55" i="42"/>
  <c r="BY55" i="42" s="1"/>
  <c r="AY55" i="42"/>
  <c r="BW55" i="42" s="1"/>
  <c r="AP55" i="42"/>
  <c r="BT55" i="42" s="1"/>
  <c r="W55" i="42"/>
  <c r="AG55" i="42" s="1"/>
  <c r="V55" i="42"/>
  <c r="AF55" i="42" s="1"/>
  <c r="M55" i="42"/>
  <c r="J55" i="42"/>
  <c r="BL54" i="42"/>
  <c r="BZ54" i="42" s="1"/>
  <c r="BK54" i="42"/>
  <c r="AY54" i="42"/>
  <c r="BW54" i="42" s="1"/>
  <c r="AP54" i="42"/>
  <c r="BS54" i="42"/>
  <c r="W54" i="42"/>
  <c r="AG54" i="42" s="1"/>
  <c r="V54" i="42"/>
  <c r="AF54" i="42" s="1"/>
  <c r="M54" i="42"/>
  <c r="J54" i="42"/>
  <c r="BL53" i="42"/>
  <c r="BK53" i="42"/>
  <c r="BY53" i="42" s="1"/>
  <c r="AY53" i="42"/>
  <c r="BW53" i="42" s="1"/>
  <c r="AJ53" i="42"/>
  <c r="AI53" i="42"/>
  <c r="M53" i="42"/>
  <c r="J53" i="42"/>
  <c r="BJ52" i="42"/>
  <c r="BI52" i="42"/>
  <c r="BH52" i="42"/>
  <c r="BG52" i="42"/>
  <c r="BF52" i="42"/>
  <c r="BE52" i="42"/>
  <c r="BD52" i="42"/>
  <c r="BB52" i="42"/>
  <c r="BA52" i="42"/>
  <c r="AX52" i="42"/>
  <c r="AW52" i="42"/>
  <c r="AN52" i="42"/>
  <c r="AM52" i="42"/>
  <c r="AL52" i="42"/>
  <c r="AJ52" i="42"/>
  <c r="AE52" i="42"/>
  <c r="AD52" i="42"/>
  <c r="AC52" i="42"/>
  <c r="AB52" i="42"/>
  <c r="AA52" i="42"/>
  <c r="Z52" i="42"/>
  <c r="Y52" i="42"/>
  <c r="U52" i="42"/>
  <c r="T52" i="42"/>
  <c r="R52" i="42"/>
  <c r="O52" i="42"/>
  <c r="N52" i="42"/>
  <c r="L52" i="42"/>
  <c r="K52" i="42"/>
  <c r="BL51" i="42"/>
  <c r="BZ51" i="42" s="1"/>
  <c r="BK51" i="42"/>
  <c r="BY51" i="42" s="1"/>
  <c r="AY51" i="42"/>
  <c r="BW51" i="42" s="1"/>
  <c r="AP51" i="42"/>
  <c r="BT51" i="42" s="1"/>
  <c r="W51" i="42"/>
  <c r="AG51" i="42" s="1"/>
  <c r="V51" i="42"/>
  <c r="AF51" i="42" s="1"/>
  <c r="BP51" i="42" s="1"/>
  <c r="M51" i="42"/>
  <c r="J51" i="42"/>
  <c r="Q51" i="42" s="1"/>
  <c r="BL50" i="42"/>
  <c r="BZ50" i="42" s="1"/>
  <c r="BK50" i="42"/>
  <c r="BY50" i="42" s="1"/>
  <c r="AY50" i="42"/>
  <c r="BW50" i="42" s="1"/>
  <c r="AP50" i="42"/>
  <c r="BT50" i="42" s="1"/>
  <c r="W50" i="42"/>
  <c r="AG50" i="42" s="1"/>
  <c r="BQ50" i="42" s="1"/>
  <c r="V50" i="42"/>
  <c r="AF50" i="42" s="1"/>
  <c r="M50" i="42"/>
  <c r="J50" i="42"/>
  <c r="BL49" i="42"/>
  <c r="BZ49" i="42" s="1"/>
  <c r="BK49" i="42"/>
  <c r="BY49" i="42" s="1"/>
  <c r="AY49" i="42"/>
  <c r="BW49" i="42" s="1"/>
  <c r="AP49" i="42"/>
  <c r="BT49" i="42" s="1"/>
  <c r="BS49" i="42"/>
  <c r="W49" i="42"/>
  <c r="AG49" i="42" s="1"/>
  <c r="BQ49" i="42" s="1"/>
  <c r="V49" i="42"/>
  <c r="AF49" i="42" s="1"/>
  <c r="M49" i="42"/>
  <c r="J49" i="42"/>
  <c r="Q49" i="42" s="1"/>
  <c r="BL48" i="42"/>
  <c r="BZ48" i="42" s="1"/>
  <c r="BC48" i="42"/>
  <c r="BC52" i="42" s="1"/>
  <c r="AY48" i="42"/>
  <c r="BW48" i="42" s="1"/>
  <c r="AP48" i="42"/>
  <c r="X48" i="42"/>
  <c r="X204" i="42" s="1"/>
  <c r="W48" i="42"/>
  <c r="V48" i="42"/>
  <c r="M48" i="42"/>
  <c r="J48" i="42"/>
  <c r="BL47" i="42"/>
  <c r="BK47" i="42"/>
  <c r="AY47" i="42"/>
  <c r="AP47" i="42"/>
  <c r="AI47" i="42"/>
  <c r="AO47" i="42" s="1"/>
  <c r="W47" i="42"/>
  <c r="AG47" i="42" s="1"/>
  <c r="M47" i="42"/>
  <c r="J47" i="42"/>
  <c r="Q47" i="42" s="1"/>
  <c r="BJ46" i="42"/>
  <c r="BI46" i="42"/>
  <c r="BH46" i="42"/>
  <c r="BG46" i="42"/>
  <c r="BF46" i="42"/>
  <c r="BE46" i="42"/>
  <c r="BD46" i="42"/>
  <c r="BC46" i="42"/>
  <c r="BB46" i="42"/>
  <c r="BA46" i="42"/>
  <c r="AX46" i="42"/>
  <c r="AW46" i="42"/>
  <c r="AN46" i="42"/>
  <c r="AM46" i="42"/>
  <c r="AL46" i="42"/>
  <c r="AJ46" i="42"/>
  <c r="AI46" i="42"/>
  <c r="AE46" i="42"/>
  <c r="AD46" i="42"/>
  <c r="AC46" i="42"/>
  <c r="AB46" i="42"/>
  <c r="AA46" i="42"/>
  <c r="Z46" i="42"/>
  <c r="Y46" i="42"/>
  <c r="X46" i="42"/>
  <c r="U46" i="42"/>
  <c r="T46" i="42"/>
  <c r="R46" i="42"/>
  <c r="O46" i="42"/>
  <c r="N46" i="42"/>
  <c r="L46" i="42"/>
  <c r="K46" i="42"/>
  <c r="BL45" i="42"/>
  <c r="BK45" i="42"/>
  <c r="AY45" i="42"/>
  <c r="AY212" i="42" s="1"/>
  <c r="AP45" i="42"/>
  <c r="AP212" i="42" s="1"/>
  <c r="AO212" i="42"/>
  <c r="W45" i="42"/>
  <c r="V45" i="42"/>
  <c r="V212" i="42" s="1"/>
  <c r="M45" i="42"/>
  <c r="M212" i="42" s="1"/>
  <c r="J45" i="42"/>
  <c r="J212" i="42" s="1"/>
  <c r="BJ44" i="42"/>
  <c r="BI44" i="42"/>
  <c r="BH44" i="42"/>
  <c r="BG44" i="42"/>
  <c r="BF44" i="42"/>
  <c r="BE44" i="42"/>
  <c r="BD44" i="42"/>
  <c r="BC44" i="42"/>
  <c r="BB44" i="42"/>
  <c r="BA44" i="42"/>
  <c r="AX44" i="42"/>
  <c r="AW44" i="42"/>
  <c r="AN44" i="42"/>
  <c r="AM44" i="42"/>
  <c r="AL44" i="42"/>
  <c r="AI44" i="42"/>
  <c r="AE44" i="42"/>
  <c r="AD44" i="42"/>
  <c r="AC44" i="42"/>
  <c r="AB44" i="42"/>
  <c r="AA44" i="42"/>
  <c r="Z44" i="42"/>
  <c r="Y44" i="42"/>
  <c r="X44" i="42"/>
  <c r="U44" i="42"/>
  <c r="T44" i="42"/>
  <c r="R44" i="42"/>
  <c r="O44" i="42"/>
  <c r="N44" i="42"/>
  <c r="L44" i="42"/>
  <c r="K44" i="42"/>
  <c r="BL43" i="42"/>
  <c r="BZ43" i="42" s="1"/>
  <c r="BK43" i="42"/>
  <c r="BY43" i="42" s="1"/>
  <c r="AY43" i="42"/>
  <c r="BW43" i="42" s="1"/>
  <c r="AJ43" i="42"/>
  <c r="AJ209" i="42" s="1"/>
  <c r="V43" i="42"/>
  <c r="AF43" i="42" s="1"/>
  <c r="M43" i="42"/>
  <c r="J43" i="42"/>
  <c r="Q43" i="42" s="1"/>
  <c r="BL42" i="42"/>
  <c r="BZ42" i="42" s="1"/>
  <c r="BK42" i="42"/>
  <c r="AY42" i="42"/>
  <c r="BW42" i="42" s="1"/>
  <c r="AP42" i="42"/>
  <c r="W42" i="42"/>
  <c r="AG42" i="42" s="1"/>
  <c r="V42" i="42"/>
  <c r="AF42" i="42" s="1"/>
  <c r="M42" i="42"/>
  <c r="J42" i="42"/>
  <c r="BL41" i="42"/>
  <c r="BZ41" i="42" s="1"/>
  <c r="BK41" i="42"/>
  <c r="AY41" i="42"/>
  <c r="AP41" i="42"/>
  <c r="W41" i="42"/>
  <c r="AG41" i="42" s="1"/>
  <c r="V41" i="42"/>
  <c r="M41" i="42"/>
  <c r="J41" i="42"/>
  <c r="BJ40" i="42"/>
  <c r="BI40" i="42"/>
  <c r="BH40" i="42"/>
  <c r="BG40" i="42"/>
  <c r="BF40" i="42"/>
  <c r="BE40" i="42"/>
  <c r="BD40" i="42"/>
  <c r="BC40" i="42"/>
  <c r="BB40" i="42"/>
  <c r="BA40" i="42"/>
  <c r="AX40" i="42"/>
  <c r="AW40" i="42"/>
  <c r="AN40" i="42"/>
  <c r="AM40" i="42"/>
  <c r="AL40" i="42"/>
  <c r="AJ40" i="42"/>
  <c r="AI40" i="42"/>
  <c r="AE40" i="42"/>
  <c r="AD40" i="42"/>
  <c r="AC40" i="42"/>
  <c r="AB40" i="42"/>
  <c r="AA40" i="42"/>
  <c r="Z40" i="42"/>
  <c r="Y40" i="42"/>
  <c r="X40" i="42"/>
  <c r="U40" i="42"/>
  <c r="T40" i="42"/>
  <c r="R40" i="42"/>
  <c r="O40" i="42"/>
  <c r="N40" i="42"/>
  <c r="L40" i="42"/>
  <c r="K40" i="42"/>
  <c r="BL39" i="42"/>
  <c r="BZ39" i="42" s="1"/>
  <c r="BK39" i="42"/>
  <c r="BY39" i="42" s="1"/>
  <c r="AY39" i="42"/>
  <c r="BW39" i="42" s="1"/>
  <c r="AP39" i="42"/>
  <c r="BT39" i="42" s="1"/>
  <c r="W39" i="42"/>
  <c r="AG39" i="42" s="1"/>
  <c r="V39" i="42"/>
  <c r="AF39" i="42" s="1"/>
  <c r="M39" i="42"/>
  <c r="J39" i="42"/>
  <c r="BL38" i="42"/>
  <c r="BK38" i="42"/>
  <c r="AY38" i="42"/>
  <c r="AP38" i="42"/>
  <c r="W38" i="42"/>
  <c r="AG38" i="42" s="1"/>
  <c r="V38" i="42"/>
  <c r="AF38" i="42" s="1"/>
  <c r="M38" i="42"/>
  <c r="J38" i="42"/>
  <c r="BJ37" i="42"/>
  <c r="BI37" i="42"/>
  <c r="BH37" i="42"/>
  <c r="BG37" i="42"/>
  <c r="BF37" i="42"/>
  <c r="BE37" i="42"/>
  <c r="BD37" i="42"/>
  <c r="BC37" i="42"/>
  <c r="BB37" i="42"/>
  <c r="BA37" i="42"/>
  <c r="AX37" i="42"/>
  <c r="AW37" i="42"/>
  <c r="AN37" i="42"/>
  <c r="AM37" i="42"/>
  <c r="AL37" i="42"/>
  <c r="AJ37" i="42"/>
  <c r="AI37" i="42"/>
  <c r="AE37" i="42"/>
  <c r="AD37" i="42"/>
  <c r="AC37" i="42"/>
  <c r="AB37" i="42"/>
  <c r="AA37" i="42"/>
  <c r="Z37" i="42"/>
  <c r="Y37" i="42"/>
  <c r="X37" i="42"/>
  <c r="U37" i="42"/>
  <c r="T37" i="42"/>
  <c r="R37" i="42"/>
  <c r="O37" i="42"/>
  <c r="N37" i="42"/>
  <c r="L37" i="42"/>
  <c r="K37" i="42"/>
  <c r="BL36" i="42"/>
  <c r="BZ36" i="42" s="1"/>
  <c r="BK36" i="42"/>
  <c r="BY36" i="42" s="1"/>
  <c r="AY36" i="42"/>
  <c r="BW36" i="42" s="1"/>
  <c r="AP36" i="42"/>
  <c r="BT36" i="42" s="1"/>
  <c r="BS36" i="42"/>
  <c r="W36" i="42"/>
  <c r="AG36" i="42" s="1"/>
  <c r="V36" i="42"/>
  <c r="AF36" i="42" s="1"/>
  <c r="M36" i="42"/>
  <c r="J36" i="42"/>
  <c r="BL35" i="42"/>
  <c r="BZ35" i="42" s="1"/>
  <c r="BK35" i="42"/>
  <c r="BY35" i="42" s="1"/>
  <c r="AY35" i="42"/>
  <c r="BW35" i="42" s="1"/>
  <c r="AP35" i="42"/>
  <c r="BT35" i="42" s="1"/>
  <c r="W35" i="42"/>
  <c r="AG35" i="42" s="1"/>
  <c r="V35" i="42"/>
  <c r="AF35" i="42" s="1"/>
  <c r="M35" i="42"/>
  <c r="J35" i="42"/>
  <c r="BL34" i="42"/>
  <c r="BZ34" i="42" s="1"/>
  <c r="BK34" i="42"/>
  <c r="AY34" i="42"/>
  <c r="BW34" i="42" s="1"/>
  <c r="AP34" i="42"/>
  <c r="BS34" i="42"/>
  <c r="W34" i="42"/>
  <c r="AG34" i="42" s="1"/>
  <c r="V34" i="42"/>
  <c r="AF34" i="42" s="1"/>
  <c r="M34" i="42"/>
  <c r="J34" i="42"/>
  <c r="BJ33" i="42"/>
  <c r="BI33" i="42"/>
  <c r="BH33" i="42"/>
  <c r="BG33" i="42"/>
  <c r="BF33" i="42"/>
  <c r="BE33" i="42"/>
  <c r="BD33" i="42"/>
  <c r="BC33" i="42"/>
  <c r="BB33" i="42"/>
  <c r="BA33" i="42"/>
  <c r="AX33" i="42"/>
  <c r="AW33" i="42"/>
  <c r="AN33" i="42"/>
  <c r="AM33" i="42"/>
  <c r="AL33" i="42"/>
  <c r="AJ33" i="42"/>
  <c r="AI33" i="42"/>
  <c r="AE33" i="42"/>
  <c r="AD33" i="42"/>
  <c r="AC33" i="42"/>
  <c r="AB33" i="42"/>
  <c r="AA33" i="42"/>
  <c r="Z33" i="42"/>
  <c r="Y33" i="42"/>
  <c r="X33" i="42"/>
  <c r="U33" i="42"/>
  <c r="T33" i="42"/>
  <c r="R33" i="42"/>
  <c r="O33" i="42"/>
  <c r="N33" i="42"/>
  <c r="L33" i="42"/>
  <c r="K33" i="42"/>
  <c r="BL32" i="42"/>
  <c r="BZ32" i="42" s="1"/>
  <c r="BK32" i="42"/>
  <c r="BY32" i="42" s="1"/>
  <c r="AY32" i="42"/>
  <c r="BW32" i="42" s="1"/>
  <c r="AP32" i="42"/>
  <c r="BT32" i="42" s="1"/>
  <c r="W32" i="42"/>
  <c r="AG32" i="42" s="1"/>
  <c r="V32" i="42"/>
  <c r="AF32" i="42" s="1"/>
  <c r="M32" i="42"/>
  <c r="J32" i="42"/>
  <c r="BL31" i="42"/>
  <c r="BZ31" i="42" s="1"/>
  <c r="BK31" i="42"/>
  <c r="BY31" i="42" s="1"/>
  <c r="AY31" i="42"/>
  <c r="BW31" i="42" s="1"/>
  <c r="AP31" i="42"/>
  <c r="BT31" i="42" s="1"/>
  <c r="W31" i="42"/>
  <c r="AG31" i="42" s="1"/>
  <c r="V31" i="42"/>
  <c r="AF31" i="42" s="1"/>
  <c r="M31" i="42"/>
  <c r="J31" i="42"/>
  <c r="BL30" i="42"/>
  <c r="BZ30" i="42" s="1"/>
  <c r="BK30" i="42"/>
  <c r="AY30" i="42"/>
  <c r="BW30" i="42" s="1"/>
  <c r="AP30" i="42"/>
  <c r="BS30" i="42"/>
  <c r="W30" i="42"/>
  <c r="V30" i="42"/>
  <c r="M30" i="42"/>
  <c r="J30" i="42"/>
  <c r="BJ29" i="42"/>
  <c r="BI29" i="42"/>
  <c r="BH29" i="42"/>
  <c r="BG29" i="42"/>
  <c r="BF29" i="42"/>
  <c r="BE29" i="42"/>
  <c r="BD29" i="42"/>
  <c r="BC29" i="42"/>
  <c r="BB29" i="42"/>
  <c r="BA29" i="42"/>
  <c r="AX29" i="42"/>
  <c r="AW29" i="42"/>
  <c r="AN29" i="42"/>
  <c r="AM29" i="42"/>
  <c r="AL29" i="42"/>
  <c r="AJ29" i="42"/>
  <c r="AI29" i="42"/>
  <c r="AE29" i="42"/>
  <c r="AD29" i="42"/>
  <c r="AC29" i="42"/>
  <c r="AB29" i="42"/>
  <c r="AA29" i="42"/>
  <c r="Z29" i="42"/>
  <c r="Y29" i="42"/>
  <c r="X29" i="42"/>
  <c r="U29" i="42"/>
  <c r="T29" i="42"/>
  <c r="R29" i="42"/>
  <c r="O29" i="42"/>
  <c r="N29" i="42"/>
  <c r="L29" i="42"/>
  <c r="K29" i="42"/>
  <c r="BL28" i="42"/>
  <c r="BK28" i="42"/>
  <c r="BY28" i="42" s="1"/>
  <c r="AY28" i="42"/>
  <c r="BW28" i="42" s="1"/>
  <c r="AP28" i="42"/>
  <c r="BT28" i="42" s="1"/>
  <c r="W28" i="42"/>
  <c r="AG28" i="42" s="1"/>
  <c r="V28" i="42"/>
  <c r="AF28" i="42" s="1"/>
  <c r="M28" i="42"/>
  <c r="J28" i="42"/>
  <c r="Q28" i="42" s="1"/>
  <c r="BL27" i="42"/>
  <c r="BK27" i="42"/>
  <c r="BY27" i="42" s="1"/>
  <c r="AY27" i="42"/>
  <c r="BW27" i="42" s="1"/>
  <c r="AP27" i="42"/>
  <c r="BT27" i="42" s="1"/>
  <c r="W27" i="42"/>
  <c r="AG27" i="42" s="1"/>
  <c r="V27" i="42"/>
  <c r="AF27" i="42" s="1"/>
  <c r="BP27" i="42" s="1"/>
  <c r="M27" i="42"/>
  <c r="J27" i="42"/>
  <c r="BL26" i="42"/>
  <c r="BZ26" i="42" s="1"/>
  <c r="BK26" i="42"/>
  <c r="AY26" i="42"/>
  <c r="AP26" i="42"/>
  <c r="BS26" i="42"/>
  <c r="W26" i="42"/>
  <c r="AG26" i="42" s="1"/>
  <c r="BQ26" i="42" s="1"/>
  <c r="V26" i="42"/>
  <c r="M26" i="42"/>
  <c r="J26" i="42"/>
  <c r="BJ25" i="42"/>
  <c r="BI25" i="42"/>
  <c r="BH25" i="42"/>
  <c r="BG25" i="42"/>
  <c r="BF25" i="42"/>
  <c r="BE25" i="42"/>
  <c r="BD25" i="42"/>
  <c r="BC25" i="42"/>
  <c r="BB25" i="42"/>
  <c r="BA25" i="42"/>
  <c r="AX25" i="42"/>
  <c r="AW25" i="42"/>
  <c r="AN25" i="42"/>
  <c r="AM25" i="42"/>
  <c r="AL25" i="42"/>
  <c r="AJ25" i="42"/>
  <c r="AI25" i="42"/>
  <c r="AE25" i="42"/>
  <c r="AD25" i="42"/>
  <c r="AC25" i="42"/>
  <c r="AB25" i="42"/>
  <c r="AA25" i="42"/>
  <c r="Z25" i="42"/>
  <c r="Y25" i="42"/>
  <c r="X25" i="42"/>
  <c r="U25" i="42"/>
  <c r="T25" i="42"/>
  <c r="R25" i="42"/>
  <c r="O25" i="42"/>
  <c r="N25" i="42"/>
  <c r="L25" i="42"/>
  <c r="K25" i="42"/>
  <c r="BL24" i="42"/>
  <c r="BK24" i="42"/>
  <c r="BY24" i="42" s="1"/>
  <c r="AY24" i="42"/>
  <c r="BW24" i="42" s="1"/>
  <c r="AP24" i="42"/>
  <c r="BT24" i="42" s="1"/>
  <c r="W24" i="42"/>
  <c r="AG24" i="42" s="1"/>
  <c r="V24" i="42"/>
  <c r="AF24" i="42" s="1"/>
  <c r="M24" i="42"/>
  <c r="J24" i="42"/>
  <c r="BL23" i="42"/>
  <c r="BZ23" i="42" s="1"/>
  <c r="BK23" i="42"/>
  <c r="BY23" i="42" s="1"/>
  <c r="AY23" i="42"/>
  <c r="BW23" i="42" s="1"/>
  <c r="AP23" i="42"/>
  <c r="BT23" i="42" s="1"/>
  <c r="W23" i="42"/>
  <c r="AG23" i="42" s="1"/>
  <c r="V23" i="42"/>
  <c r="AF23" i="42" s="1"/>
  <c r="M23" i="42"/>
  <c r="J23" i="42"/>
  <c r="BL22" i="42"/>
  <c r="BZ22" i="42" s="1"/>
  <c r="BK22" i="42"/>
  <c r="AY22" i="42"/>
  <c r="BW22" i="42" s="1"/>
  <c r="AP22" i="42"/>
  <c r="BT22" i="42" s="1"/>
  <c r="W22" i="42"/>
  <c r="AG22" i="42" s="1"/>
  <c r="BQ22" i="42" s="1"/>
  <c r="V22" i="42"/>
  <c r="M22" i="42"/>
  <c r="J22" i="42"/>
  <c r="BJ21" i="42"/>
  <c r="BI21" i="42"/>
  <c r="BH21" i="42"/>
  <c r="BG21" i="42"/>
  <c r="BF21" i="42"/>
  <c r="BE21" i="42"/>
  <c r="BD21" i="42"/>
  <c r="BB21" i="42"/>
  <c r="BA21" i="42"/>
  <c r="AX21" i="42"/>
  <c r="AW21" i="42"/>
  <c r="AN21" i="42"/>
  <c r="AM21" i="42"/>
  <c r="AL21" i="42"/>
  <c r="AJ21" i="42"/>
  <c r="AI21" i="42"/>
  <c r="AE21" i="42"/>
  <c r="AD21" i="42"/>
  <c r="AC21" i="42"/>
  <c r="AB21" i="42"/>
  <c r="AA21" i="42"/>
  <c r="Z21" i="42"/>
  <c r="Y21" i="42"/>
  <c r="U21" i="42"/>
  <c r="T21" i="42"/>
  <c r="R21" i="42"/>
  <c r="O21" i="42"/>
  <c r="N21" i="42"/>
  <c r="L21" i="42"/>
  <c r="K21" i="42"/>
  <c r="BL20" i="42"/>
  <c r="BZ20" i="42" s="1"/>
  <c r="BK20" i="42"/>
  <c r="AY20" i="42"/>
  <c r="BW20" i="42" s="1"/>
  <c r="AP20" i="42"/>
  <c r="BT20" i="42" s="1"/>
  <c r="W20" i="42"/>
  <c r="AG20" i="42" s="1"/>
  <c r="V20" i="42"/>
  <c r="AF20" i="42" s="1"/>
  <c r="M20" i="42"/>
  <c r="J20" i="42"/>
  <c r="BL19" i="42"/>
  <c r="BZ19" i="42" s="1"/>
  <c r="BK19" i="42"/>
  <c r="BY19" i="42" s="1"/>
  <c r="AY19" i="42"/>
  <c r="BW19" i="42" s="1"/>
  <c r="AP19" i="42"/>
  <c r="BT19" i="42" s="1"/>
  <c r="W19" i="42"/>
  <c r="AG19" i="42" s="1"/>
  <c r="V19" i="42"/>
  <c r="AF19" i="42" s="1"/>
  <c r="M19" i="42"/>
  <c r="J19" i="42"/>
  <c r="BL18" i="42"/>
  <c r="BZ18" i="42" s="1"/>
  <c r="BK18" i="42"/>
  <c r="AY18" i="42"/>
  <c r="BW18" i="42" s="1"/>
  <c r="AP18" i="42"/>
  <c r="BT18" i="42" s="1"/>
  <c r="W18" i="42"/>
  <c r="AG18" i="42" s="1"/>
  <c r="V18" i="42"/>
  <c r="M18" i="42"/>
  <c r="J18" i="42"/>
  <c r="BL17" i="42"/>
  <c r="BK17" i="42"/>
  <c r="BY17" i="42" s="1"/>
  <c r="AY17" i="42"/>
  <c r="AP17" i="42"/>
  <c r="W17" i="42"/>
  <c r="V17" i="42"/>
  <c r="AF17" i="42" s="1"/>
  <c r="M17" i="42"/>
  <c r="J17" i="42"/>
  <c r="BL16" i="42"/>
  <c r="BZ16" i="42" s="1"/>
  <c r="BK16" i="42"/>
  <c r="AY16" i="42"/>
  <c r="BW16" i="42" s="1"/>
  <c r="AP16" i="42"/>
  <c r="BT16" i="42" s="1"/>
  <c r="BS16" i="42"/>
  <c r="W16" i="42"/>
  <c r="AG16" i="42" s="1"/>
  <c r="V16" i="42"/>
  <c r="AF16" i="42" s="1"/>
  <c r="BP16" i="42" s="1"/>
  <c r="M16" i="42"/>
  <c r="J16" i="42"/>
  <c r="Q16" i="42" s="1"/>
  <c r="BL15" i="42"/>
  <c r="BZ15" i="42" s="1"/>
  <c r="BC15" i="42"/>
  <c r="BC205" i="42" s="1"/>
  <c r="AY15" i="42"/>
  <c r="BW15" i="42" s="1"/>
  <c r="AP15" i="42"/>
  <c r="BT15" i="42" s="1"/>
  <c r="X15" i="42"/>
  <c r="X205" i="42" s="1"/>
  <c r="W15" i="42"/>
  <c r="AG15" i="42" s="1"/>
  <c r="V15" i="42"/>
  <c r="M15" i="42"/>
  <c r="J15" i="42"/>
  <c r="BL14" i="42"/>
  <c r="BK14" i="42"/>
  <c r="BY14" i="42" s="1"/>
  <c r="AY14" i="42"/>
  <c r="BW14" i="42" s="1"/>
  <c r="AP14" i="42"/>
  <c r="W14" i="42"/>
  <c r="AG14" i="42" s="1"/>
  <c r="V14" i="42"/>
  <c r="M14" i="42"/>
  <c r="J14" i="42"/>
  <c r="BL13" i="42"/>
  <c r="BZ13" i="42" s="1"/>
  <c r="BK13" i="42"/>
  <c r="BY13" i="42" s="1"/>
  <c r="AY13" i="42"/>
  <c r="BW13" i="42" s="1"/>
  <c r="AP13" i="42"/>
  <c r="BT13" i="42" s="1"/>
  <c r="W13" i="42"/>
  <c r="AG13" i="42" s="1"/>
  <c r="V13" i="42"/>
  <c r="AF13" i="42" s="1"/>
  <c r="BP13" i="42" s="1"/>
  <c r="M13" i="42"/>
  <c r="J13" i="42"/>
  <c r="Q13" i="42" s="1"/>
  <c r="BL12" i="42"/>
  <c r="BK12" i="42"/>
  <c r="BY12" i="42" s="1"/>
  <c r="AY12" i="42"/>
  <c r="BW12" i="42" s="1"/>
  <c r="AP12" i="42"/>
  <c r="BT12" i="42" s="1"/>
  <c r="W12" i="42"/>
  <c r="AG12" i="42" s="1"/>
  <c r="V12" i="42"/>
  <c r="S12" i="42"/>
  <c r="M12" i="42"/>
  <c r="J12" i="42"/>
  <c r="Q12" i="42" s="1"/>
  <c r="BJ151" i="41"/>
  <c r="BI151" i="41"/>
  <c r="BH151" i="41"/>
  <c r="BG151" i="41"/>
  <c r="BF151" i="41"/>
  <c r="BE151" i="41"/>
  <c r="BD151" i="41"/>
  <c r="BC151" i="41"/>
  <c r="BB151" i="41"/>
  <c r="BA151" i="41"/>
  <c r="AX151" i="41"/>
  <c r="AW151" i="41"/>
  <c r="AN151" i="41"/>
  <c r="AM151" i="41"/>
  <c r="AL151" i="41"/>
  <c r="AJ151" i="41"/>
  <c r="AI151" i="41"/>
  <c r="AE151" i="41"/>
  <c r="AD151" i="41"/>
  <c r="AC151" i="41"/>
  <c r="AB151" i="41"/>
  <c r="AA151" i="41"/>
  <c r="Z151" i="41"/>
  <c r="Y151" i="41"/>
  <c r="X151" i="41"/>
  <c r="U151" i="41"/>
  <c r="T151" i="41"/>
  <c r="R151" i="41"/>
  <c r="O151" i="41"/>
  <c r="N151" i="41"/>
  <c r="L151" i="41"/>
  <c r="K151" i="41"/>
  <c r="BJ150" i="41"/>
  <c r="BI150" i="41"/>
  <c r="BH150" i="41"/>
  <c r="BG150" i="41"/>
  <c r="BF150" i="41"/>
  <c r="BE150" i="41"/>
  <c r="BD150" i="41"/>
  <c r="BC150" i="41"/>
  <c r="BB150" i="41"/>
  <c r="BA150" i="41"/>
  <c r="AX150" i="41"/>
  <c r="AW150" i="41"/>
  <c r="AN150" i="41"/>
  <c r="AM150" i="41"/>
  <c r="AL150" i="41"/>
  <c r="AJ150" i="41"/>
  <c r="AI150" i="41"/>
  <c r="AE150" i="41"/>
  <c r="AD150" i="41"/>
  <c r="AC150" i="41"/>
  <c r="AB150" i="41"/>
  <c r="AA150" i="41"/>
  <c r="Z150" i="41"/>
  <c r="Y150" i="41"/>
  <c r="X150" i="41"/>
  <c r="U150" i="41"/>
  <c r="T150" i="41"/>
  <c r="R150" i="41"/>
  <c r="O150" i="41"/>
  <c r="N150" i="41"/>
  <c r="L150" i="41"/>
  <c r="K150" i="41"/>
  <c r="BJ149" i="41"/>
  <c r="BI149" i="41"/>
  <c r="BH149" i="41"/>
  <c r="BG149" i="41"/>
  <c r="BF149" i="41"/>
  <c r="BE149" i="41"/>
  <c r="BD149" i="41"/>
  <c r="BC149" i="41"/>
  <c r="BB149" i="41"/>
  <c r="BA149" i="41"/>
  <c r="AX149" i="41"/>
  <c r="AW149" i="41"/>
  <c r="AN149" i="41"/>
  <c r="AM149" i="41"/>
  <c r="AL149" i="41"/>
  <c r="AJ149" i="41"/>
  <c r="AI149" i="41"/>
  <c r="AE149" i="41"/>
  <c r="AD149" i="41"/>
  <c r="AC149" i="41"/>
  <c r="AB149" i="41"/>
  <c r="AA149" i="41"/>
  <c r="Z149" i="41"/>
  <c r="Y149" i="41"/>
  <c r="X149" i="41"/>
  <c r="U149" i="41"/>
  <c r="T149" i="41"/>
  <c r="R149" i="41"/>
  <c r="O149" i="41"/>
  <c r="N149" i="41"/>
  <c r="L149" i="41"/>
  <c r="K149" i="41"/>
  <c r="BJ148" i="41"/>
  <c r="BI148" i="41"/>
  <c r="BH148" i="41"/>
  <c r="BG148" i="41"/>
  <c r="BF148" i="41"/>
  <c r="BE148" i="41"/>
  <c r="BD148" i="41"/>
  <c r="BC148" i="41"/>
  <c r="BB148" i="41"/>
  <c r="BA148" i="41"/>
  <c r="AX148" i="41"/>
  <c r="AW148" i="41"/>
  <c r="AN148" i="41"/>
  <c r="AM148" i="41"/>
  <c r="AL148" i="41"/>
  <c r="AJ148" i="41"/>
  <c r="AI148" i="41"/>
  <c r="AE148" i="41"/>
  <c r="AD148" i="41"/>
  <c r="AC148" i="41"/>
  <c r="AB148" i="41"/>
  <c r="AA148" i="41"/>
  <c r="Z148" i="41"/>
  <c r="Y148" i="41"/>
  <c r="X148" i="41"/>
  <c r="U148" i="41"/>
  <c r="T148" i="41"/>
  <c r="R148" i="41"/>
  <c r="O148" i="41"/>
  <c r="N148" i="41"/>
  <c r="L148" i="41"/>
  <c r="K148" i="41"/>
  <c r="BZ147" i="41"/>
  <c r="BY147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BZ146" i="41"/>
  <c r="BY146" i="41"/>
  <c r="BX146" i="41"/>
  <c r="BW146" i="41"/>
  <c r="BV146" i="41"/>
  <c r="BU146" i="41"/>
  <c r="BT146" i="41"/>
  <c r="BS146" i="41"/>
  <c r="BR146" i="41"/>
  <c r="BQ146" i="41"/>
  <c r="BP146" i="41"/>
  <c r="BO146" i="41"/>
  <c r="BN146" i="41"/>
  <c r="BM146" i="41"/>
  <c r="BL146" i="41"/>
  <c r="BK146" i="41"/>
  <c r="BJ146" i="41"/>
  <c r="BI146" i="41"/>
  <c r="BH146" i="41"/>
  <c r="BG146" i="41"/>
  <c r="BF146" i="41"/>
  <c r="BE146" i="41"/>
  <c r="BD146" i="41"/>
  <c r="BC146" i="41"/>
  <c r="BB146" i="41"/>
  <c r="BA146" i="41"/>
  <c r="AZ146" i="41"/>
  <c r="AY146" i="41"/>
  <c r="AX146" i="41"/>
  <c r="AW146" i="41"/>
  <c r="AV146" i="41"/>
  <c r="AU146" i="41"/>
  <c r="AT146" i="41"/>
  <c r="AS146" i="41"/>
  <c r="AR146" i="41"/>
  <c r="AQ146" i="41"/>
  <c r="AP146" i="41"/>
  <c r="AO146" i="41"/>
  <c r="AN146" i="41"/>
  <c r="AM146" i="41"/>
  <c r="AL146" i="41"/>
  <c r="AJ146" i="41"/>
  <c r="AI146" i="41"/>
  <c r="AH146" i="41"/>
  <c r="AG146" i="41"/>
  <c r="AF146" i="41"/>
  <c r="AE146" i="41"/>
  <c r="AD146" i="41"/>
  <c r="AC146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BJ145" i="41"/>
  <c r="BI145" i="41"/>
  <c r="BH145" i="41"/>
  <c r="BG145" i="41"/>
  <c r="BF145" i="41"/>
  <c r="BE145" i="41"/>
  <c r="BD145" i="41"/>
  <c r="BB145" i="41"/>
  <c r="BA145" i="41"/>
  <c r="AX145" i="41"/>
  <c r="AW145" i="41"/>
  <c r="AN145" i="41"/>
  <c r="AM145" i="41"/>
  <c r="AL145" i="41"/>
  <c r="AJ145" i="41"/>
  <c r="AI145" i="41"/>
  <c r="AE145" i="41"/>
  <c r="AD145" i="41"/>
  <c r="AC145" i="41"/>
  <c r="AB145" i="41"/>
  <c r="AA145" i="41"/>
  <c r="Z145" i="41"/>
  <c r="Y145" i="41"/>
  <c r="U145" i="41"/>
  <c r="T145" i="41"/>
  <c r="R145" i="41"/>
  <c r="O145" i="41"/>
  <c r="N145" i="41"/>
  <c r="L145" i="41"/>
  <c r="K145" i="41"/>
  <c r="BZ144" i="41"/>
  <c r="BY144" i="41"/>
  <c r="BX144" i="41"/>
  <c r="BW144" i="41"/>
  <c r="BV144" i="41"/>
  <c r="BU144" i="41"/>
  <c r="BT144" i="41"/>
  <c r="BS144" i="41"/>
  <c r="BR144" i="41"/>
  <c r="BQ144" i="41"/>
  <c r="BP144" i="41"/>
  <c r="BO144" i="41"/>
  <c r="BN144" i="41"/>
  <c r="BM144" i="41"/>
  <c r="BL144" i="41"/>
  <c r="BK144" i="41"/>
  <c r="BJ144" i="41"/>
  <c r="BI144" i="41"/>
  <c r="BH144" i="41"/>
  <c r="BG144" i="41"/>
  <c r="BF144" i="41"/>
  <c r="BE144" i="41"/>
  <c r="BD144" i="41"/>
  <c r="BC144" i="41"/>
  <c r="BB144" i="41"/>
  <c r="BA144" i="41"/>
  <c r="AZ144" i="41"/>
  <c r="AY144" i="41"/>
  <c r="AX144" i="41"/>
  <c r="AW144" i="41"/>
  <c r="AV144" i="41"/>
  <c r="AU144" i="41"/>
  <c r="AT144" i="41"/>
  <c r="AS144" i="41"/>
  <c r="AR144" i="41"/>
  <c r="AQ144" i="41"/>
  <c r="AP144" i="41"/>
  <c r="AO144" i="41"/>
  <c r="AN144" i="41"/>
  <c r="AM144" i="41"/>
  <c r="AL144" i="41"/>
  <c r="AJ144" i="41"/>
  <c r="AI144" i="41"/>
  <c r="AH144" i="41"/>
  <c r="AG144" i="41"/>
  <c r="AF144" i="41"/>
  <c r="AE144" i="41"/>
  <c r="AD144" i="41"/>
  <c r="AC144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BJ143" i="41"/>
  <c r="BI143" i="41"/>
  <c r="BH143" i="41"/>
  <c r="BG143" i="41"/>
  <c r="BF143" i="41"/>
  <c r="BE143" i="41"/>
  <c r="BD143" i="41"/>
  <c r="BB143" i="41"/>
  <c r="BA143" i="41"/>
  <c r="AX143" i="41"/>
  <c r="AN143" i="41"/>
  <c r="AM143" i="41"/>
  <c r="AL143" i="41"/>
  <c r="AE143" i="41"/>
  <c r="AD143" i="41"/>
  <c r="AC143" i="41"/>
  <c r="AB143" i="41"/>
  <c r="AA143" i="41"/>
  <c r="Z143" i="41"/>
  <c r="Y143" i="41"/>
  <c r="U143" i="41"/>
  <c r="T143" i="41"/>
  <c r="R143" i="41"/>
  <c r="O143" i="41"/>
  <c r="N143" i="41"/>
  <c r="L143" i="41"/>
  <c r="K143" i="41"/>
  <c r="BJ142" i="41"/>
  <c r="BI142" i="41"/>
  <c r="BH142" i="41"/>
  <c r="BG142" i="41"/>
  <c r="BF142" i="41"/>
  <c r="BE142" i="41"/>
  <c r="BD142" i="41"/>
  <c r="BC142" i="41"/>
  <c r="BB142" i="41"/>
  <c r="BA142" i="41"/>
  <c r="AX142" i="41"/>
  <c r="AW142" i="41"/>
  <c r="AN142" i="41"/>
  <c r="AM142" i="41"/>
  <c r="AL142" i="41"/>
  <c r="AJ142" i="41"/>
  <c r="AE142" i="41"/>
  <c r="AD142" i="41"/>
  <c r="AC142" i="41"/>
  <c r="AB142" i="41"/>
  <c r="AA142" i="41"/>
  <c r="Z142" i="41"/>
  <c r="Y142" i="41"/>
  <c r="X142" i="41"/>
  <c r="U142" i="41"/>
  <c r="T142" i="41"/>
  <c r="R142" i="41"/>
  <c r="O142" i="41"/>
  <c r="N142" i="41"/>
  <c r="L142" i="41"/>
  <c r="K142" i="41"/>
  <c r="BJ137" i="41"/>
  <c r="BI137" i="41"/>
  <c r="BH137" i="41"/>
  <c r="BG137" i="41"/>
  <c r="BF137" i="41"/>
  <c r="BE137" i="41"/>
  <c r="BD137" i="41"/>
  <c r="BC137" i="41"/>
  <c r="BB137" i="41"/>
  <c r="BA137" i="41"/>
  <c r="AX137" i="41"/>
  <c r="AW137" i="41"/>
  <c r="AN137" i="41"/>
  <c r="AM137" i="41"/>
  <c r="AL137" i="41"/>
  <c r="AJ137" i="41"/>
  <c r="AI137" i="41"/>
  <c r="AE137" i="41"/>
  <c r="AD137" i="41"/>
  <c r="AC137" i="41"/>
  <c r="AB137" i="41"/>
  <c r="AA137" i="41"/>
  <c r="Z137" i="41"/>
  <c r="Y137" i="41"/>
  <c r="X137" i="41"/>
  <c r="U137" i="41"/>
  <c r="T137" i="41"/>
  <c r="R137" i="41"/>
  <c r="O137" i="41"/>
  <c r="N137" i="41"/>
  <c r="L137" i="41"/>
  <c r="K137" i="41"/>
  <c r="BL136" i="41"/>
  <c r="BK136" i="41"/>
  <c r="BY136" i="41" s="1"/>
  <c r="AY136" i="41"/>
  <c r="BW136" i="41" s="1"/>
  <c r="AP136" i="41"/>
  <c r="BS136" i="41"/>
  <c r="W136" i="41"/>
  <c r="AG136" i="41" s="1"/>
  <c r="V136" i="41"/>
  <c r="AF136" i="41" s="1"/>
  <c r="BP136" i="41" s="1"/>
  <c r="S136" i="41"/>
  <c r="M136" i="41"/>
  <c r="J136" i="41"/>
  <c r="BL135" i="41"/>
  <c r="BZ135" i="41" s="1"/>
  <c r="BK135" i="41"/>
  <c r="BY135" i="41" s="1"/>
  <c r="AY135" i="41"/>
  <c r="BW135" i="41" s="1"/>
  <c r="AP135" i="41"/>
  <c r="BT135" i="41" s="1"/>
  <c r="BS135" i="41"/>
  <c r="W135" i="41"/>
  <c r="AG135" i="41" s="1"/>
  <c r="V135" i="41"/>
  <c r="AF135" i="41" s="1"/>
  <c r="S135" i="41"/>
  <c r="M135" i="41"/>
  <c r="J135" i="41"/>
  <c r="BL134" i="41"/>
  <c r="BZ134" i="41" s="1"/>
  <c r="BK134" i="41"/>
  <c r="AY134" i="41"/>
  <c r="BW134" i="41" s="1"/>
  <c r="AP134" i="41"/>
  <c r="BS134" i="41"/>
  <c r="W134" i="41"/>
  <c r="AG134" i="41" s="1"/>
  <c r="V134" i="41"/>
  <c r="AF134" i="41" s="1"/>
  <c r="S134" i="41"/>
  <c r="M134" i="41"/>
  <c r="J134" i="41"/>
  <c r="Q134" i="41" s="1"/>
  <c r="BL133" i="41"/>
  <c r="BK133" i="41"/>
  <c r="BY133" i="41" s="1"/>
  <c r="AY133" i="41"/>
  <c r="BW133" i="41" s="1"/>
  <c r="AP133" i="41"/>
  <c r="BT133" i="41" s="1"/>
  <c r="BS133" i="41"/>
  <c r="W133" i="41"/>
  <c r="AG133" i="41" s="1"/>
  <c r="BQ133" i="41" s="1"/>
  <c r="V133" i="41"/>
  <c r="AF133" i="41" s="1"/>
  <c r="BP133" i="41" s="1"/>
  <c r="S133" i="41"/>
  <c r="M133" i="41"/>
  <c r="J133" i="41"/>
  <c r="BL132" i="41"/>
  <c r="BZ132" i="41" s="1"/>
  <c r="BK132" i="41"/>
  <c r="AY132" i="41"/>
  <c r="BW132" i="41" s="1"/>
  <c r="AP132" i="41"/>
  <c r="BT132" i="41" s="1"/>
  <c r="BS132" i="41"/>
  <c r="W132" i="41"/>
  <c r="AG132" i="41" s="1"/>
  <c r="BQ132" i="41" s="1"/>
  <c r="V132" i="41"/>
  <c r="AF132" i="41" s="1"/>
  <c r="S132" i="41"/>
  <c r="M132" i="41"/>
  <c r="J132" i="41"/>
  <c r="Q132" i="41" s="1"/>
  <c r="BL131" i="41"/>
  <c r="BK131" i="41"/>
  <c r="AY131" i="41"/>
  <c r="AP131" i="41"/>
  <c r="BT131" i="41" s="1"/>
  <c r="W131" i="41"/>
  <c r="AG131" i="41" s="1"/>
  <c r="V131" i="41"/>
  <c r="S131" i="41"/>
  <c r="M131" i="41"/>
  <c r="J131" i="41"/>
  <c r="BJ130" i="41"/>
  <c r="BI130" i="41"/>
  <c r="BH130" i="41"/>
  <c r="BG130" i="41"/>
  <c r="BF130" i="41"/>
  <c r="BE130" i="41"/>
  <c r="BD130" i="41"/>
  <c r="BB130" i="41"/>
  <c r="BA130" i="41"/>
  <c r="AX130" i="41"/>
  <c r="AW130" i="41"/>
  <c r="AN130" i="41"/>
  <c r="AM130" i="41"/>
  <c r="AL130" i="41"/>
  <c r="AJ130" i="41"/>
  <c r="AI130" i="41"/>
  <c r="AE130" i="41"/>
  <c r="AD130" i="41"/>
  <c r="AC130" i="41"/>
  <c r="AB130" i="41"/>
  <c r="AA130" i="41"/>
  <c r="Z130" i="41"/>
  <c r="Y130" i="41"/>
  <c r="U130" i="41"/>
  <c r="T130" i="41"/>
  <c r="R130" i="41"/>
  <c r="O130" i="41"/>
  <c r="N130" i="41"/>
  <c r="L130" i="41"/>
  <c r="K130" i="41"/>
  <c r="BL129" i="41"/>
  <c r="BZ129" i="41" s="1"/>
  <c r="BK129" i="41"/>
  <c r="AY129" i="41"/>
  <c r="BW129" i="41" s="1"/>
  <c r="AP129" i="41"/>
  <c r="BT129" i="41" s="1"/>
  <c r="W129" i="41"/>
  <c r="AG129" i="41" s="1"/>
  <c r="V129" i="41"/>
  <c r="AF129" i="41" s="1"/>
  <c r="BP129" i="41" s="1"/>
  <c r="S129" i="41"/>
  <c r="Q129" i="41"/>
  <c r="M129" i="41"/>
  <c r="BL128" i="41"/>
  <c r="BZ128" i="41" s="1"/>
  <c r="BK128" i="41"/>
  <c r="AY128" i="41"/>
  <c r="BW128" i="41" s="1"/>
  <c r="AP128" i="41"/>
  <c r="W128" i="41"/>
  <c r="AG128" i="41" s="1"/>
  <c r="BQ128" i="41" s="1"/>
  <c r="V128" i="41"/>
  <c r="AF128" i="41" s="1"/>
  <c r="BP128" i="41" s="1"/>
  <c r="S128" i="41"/>
  <c r="M128" i="41"/>
  <c r="J128" i="41"/>
  <c r="Q128" i="41" s="1"/>
  <c r="BL127" i="41"/>
  <c r="BZ127" i="41" s="1"/>
  <c r="BK127" i="41"/>
  <c r="AY127" i="41"/>
  <c r="BW127" i="41" s="1"/>
  <c r="AP127" i="41"/>
  <c r="BT127" i="41" s="1"/>
  <c r="BS127" i="41"/>
  <c r="W127" i="41"/>
  <c r="AG127" i="41" s="1"/>
  <c r="V127" i="41"/>
  <c r="AF127" i="41" s="1"/>
  <c r="S127" i="41"/>
  <c r="M127" i="41"/>
  <c r="J127" i="41"/>
  <c r="Q127" i="41" s="1"/>
  <c r="BL126" i="41"/>
  <c r="BZ126" i="41" s="1"/>
  <c r="BC126" i="41"/>
  <c r="BK126" i="41" s="1"/>
  <c r="AY126" i="41"/>
  <c r="BW126" i="41" s="1"/>
  <c r="AP126" i="41"/>
  <c r="BT126" i="41" s="1"/>
  <c r="X126" i="41"/>
  <c r="X145" i="41" s="1"/>
  <c r="W126" i="41"/>
  <c r="AG126" i="41" s="1"/>
  <c r="V126" i="41"/>
  <c r="S126" i="41"/>
  <c r="M126" i="41"/>
  <c r="J126" i="41"/>
  <c r="BL125" i="41"/>
  <c r="BK125" i="41"/>
  <c r="BY125" i="41" s="1"/>
  <c r="AY125" i="41"/>
  <c r="AP125" i="41"/>
  <c r="BT125" i="41" s="1"/>
  <c r="W125" i="41"/>
  <c r="AG125" i="41" s="1"/>
  <c r="V125" i="41"/>
  <c r="AF125" i="41" s="1"/>
  <c r="S125" i="41"/>
  <c r="M125" i="41"/>
  <c r="J125" i="41"/>
  <c r="Q125" i="41" s="1"/>
  <c r="BJ124" i="41"/>
  <c r="BI124" i="41"/>
  <c r="BH124" i="41"/>
  <c r="BG124" i="41"/>
  <c r="BF124" i="41"/>
  <c r="BE124" i="41"/>
  <c r="BD124" i="41"/>
  <c r="BC124" i="41"/>
  <c r="BB124" i="41"/>
  <c r="BA124" i="41"/>
  <c r="AX124" i="41"/>
  <c r="AW124" i="41"/>
  <c r="AN124" i="41"/>
  <c r="AM124" i="41"/>
  <c r="AL124" i="41"/>
  <c r="AJ124" i="41"/>
  <c r="AE124" i="41"/>
  <c r="AD124" i="41"/>
  <c r="AC124" i="41"/>
  <c r="AB124" i="41"/>
  <c r="AA124" i="41"/>
  <c r="Z124" i="41"/>
  <c r="Y124" i="41"/>
  <c r="X124" i="41"/>
  <c r="U124" i="41"/>
  <c r="T124" i="41"/>
  <c r="R124" i="41"/>
  <c r="O124" i="41"/>
  <c r="N124" i="41"/>
  <c r="L124" i="41"/>
  <c r="K124" i="41"/>
  <c r="BL123" i="41"/>
  <c r="BZ123" i="41" s="1"/>
  <c r="BK123" i="41"/>
  <c r="BY123" i="41" s="1"/>
  <c r="AY123" i="41"/>
  <c r="BW123" i="41" s="1"/>
  <c r="AP123" i="41"/>
  <c r="BS123" i="41"/>
  <c r="W123" i="41"/>
  <c r="AG123" i="41" s="1"/>
  <c r="V123" i="41"/>
  <c r="AF123" i="41" s="1"/>
  <c r="S123" i="41"/>
  <c r="M123" i="41"/>
  <c r="J123" i="41"/>
  <c r="BL122" i="41"/>
  <c r="BK122" i="41"/>
  <c r="BY122" i="41" s="1"/>
  <c r="AY122" i="41"/>
  <c r="BW122" i="41" s="1"/>
  <c r="AP122" i="41"/>
  <c r="BS122" i="41"/>
  <c r="W122" i="41"/>
  <c r="AG122" i="41" s="1"/>
  <c r="V122" i="41"/>
  <c r="AF122" i="41" s="1"/>
  <c r="S122" i="41"/>
  <c r="M122" i="41"/>
  <c r="J122" i="41"/>
  <c r="Q122" i="41" s="1"/>
  <c r="BL121" i="41"/>
  <c r="BK121" i="41"/>
  <c r="BY121" i="41" s="1"/>
  <c r="AY121" i="41"/>
  <c r="BW121" i="41" s="1"/>
  <c r="AP121" i="41"/>
  <c r="AI121" i="41"/>
  <c r="AI142" i="41" s="1"/>
  <c r="W121" i="41"/>
  <c r="S121" i="41"/>
  <c r="M121" i="41"/>
  <c r="J121" i="41"/>
  <c r="BJ120" i="41"/>
  <c r="BI120" i="41"/>
  <c r="BH120" i="41"/>
  <c r="BG120" i="41"/>
  <c r="BF120" i="41"/>
  <c r="BE120" i="41"/>
  <c r="BD120" i="41"/>
  <c r="BB120" i="41"/>
  <c r="BA120" i="41"/>
  <c r="AX120" i="41"/>
  <c r="AW120" i="41"/>
  <c r="AN120" i="41"/>
  <c r="AM120" i="41"/>
  <c r="AL120" i="41"/>
  <c r="AJ120" i="41"/>
  <c r="AI120" i="41"/>
  <c r="AE120" i="41"/>
  <c r="AD120" i="41"/>
  <c r="AC120" i="41"/>
  <c r="AB120" i="41"/>
  <c r="AA120" i="41"/>
  <c r="Z120" i="41"/>
  <c r="Y120" i="41"/>
  <c r="U120" i="41"/>
  <c r="T120" i="41"/>
  <c r="R120" i="41"/>
  <c r="O120" i="41"/>
  <c r="N120" i="41"/>
  <c r="L120" i="41"/>
  <c r="K120" i="41"/>
  <c r="BL119" i="41"/>
  <c r="BK119" i="41"/>
  <c r="BY119" i="41" s="1"/>
  <c r="AY119" i="41"/>
  <c r="BW119" i="41" s="1"/>
  <c r="AP119" i="41"/>
  <c r="W119" i="41"/>
  <c r="AG119" i="41" s="1"/>
  <c r="V119" i="41"/>
  <c r="AF119" i="41" s="1"/>
  <c r="S119" i="41"/>
  <c r="M119" i="41"/>
  <c r="J119" i="41"/>
  <c r="BL118" i="41"/>
  <c r="BZ118" i="41" s="1"/>
  <c r="BK118" i="41"/>
  <c r="BY118" i="41" s="1"/>
  <c r="AY118" i="41"/>
  <c r="BW118" i="41" s="1"/>
  <c r="AP118" i="41"/>
  <c r="BT118" i="41" s="1"/>
  <c r="W118" i="41"/>
  <c r="AG118" i="41" s="1"/>
  <c r="V118" i="41"/>
  <c r="AF118" i="41" s="1"/>
  <c r="S118" i="41"/>
  <c r="M118" i="41"/>
  <c r="J118" i="41"/>
  <c r="BL117" i="41"/>
  <c r="BZ117" i="41" s="1"/>
  <c r="BK117" i="41"/>
  <c r="AY117" i="41"/>
  <c r="BW117" i="41" s="1"/>
  <c r="AP117" i="41"/>
  <c r="BS117" i="41"/>
  <c r="W117" i="41"/>
  <c r="AG117" i="41" s="1"/>
  <c r="V117" i="41"/>
  <c r="AF117" i="41" s="1"/>
  <c r="S117" i="41"/>
  <c r="M117" i="41"/>
  <c r="J117" i="41"/>
  <c r="Q117" i="41" s="1"/>
  <c r="BL116" i="41"/>
  <c r="BZ116" i="41" s="1"/>
  <c r="BK116" i="41"/>
  <c r="BY116" i="41" s="1"/>
  <c r="AY116" i="41"/>
  <c r="BW116" i="41" s="1"/>
  <c r="AP116" i="41"/>
  <c r="BT116" i="41" s="1"/>
  <c r="W116" i="41"/>
  <c r="AG116" i="41" s="1"/>
  <c r="V116" i="41"/>
  <c r="AF116" i="41" s="1"/>
  <c r="S116" i="41"/>
  <c r="M116" i="41"/>
  <c r="J116" i="41"/>
  <c r="Q116" i="41" s="1"/>
  <c r="BL115" i="41"/>
  <c r="BZ115" i="41" s="1"/>
  <c r="BC115" i="41"/>
  <c r="AY115" i="41"/>
  <c r="BW115" i="41" s="1"/>
  <c r="AP115" i="41"/>
  <c r="BT115" i="41" s="1"/>
  <c r="BS115" i="41"/>
  <c r="X115" i="41"/>
  <c r="X120" i="41" s="1"/>
  <c r="W115" i="41"/>
  <c r="AG115" i="41" s="1"/>
  <c r="V115" i="41"/>
  <c r="S115" i="41"/>
  <c r="M115" i="41"/>
  <c r="J115" i="41"/>
  <c r="Q115" i="41" s="1"/>
  <c r="BL114" i="41"/>
  <c r="BZ114" i="41" s="1"/>
  <c r="BK114" i="41"/>
  <c r="AY114" i="41"/>
  <c r="BW114" i="41" s="1"/>
  <c r="AP114" i="41"/>
  <c r="BT114" i="41" s="1"/>
  <c r="BS114" i="41"/>
  <c r="W114" i="41"/>
  <c r="AG114" i="41" s="1"/>
  <c r="V114" i="41"/>
  <c r="AF114" i="41" s="1"/>
  <c r="S114" i="41"/>
  <c r="M114" i="41"/>
  <c r="J114" i="41"/>
  <c r="Q114" i="41" s="1"/>
  <c r="BL113" i="41"/>
  <c r="BK113" i="41"/>
  <c r="AY113" i="41"/>
  <c r="AP113" i="41"/>
  <c r="BT113" i="41" s="1"/>
  <c r="BS113" i="41"/>
  <c r="W113" i="41"/>
  <c r="V113" i="41"/>
  <c r="S113" i="41"/>
  <c r="M113" i="41"/>
  <c r="J113" i="41"/>
  <c r="BJ112" i="41"/>
  <c r="BI112" i="41"/>
  <c r="BH112" i="41"/>
  <c r="BG112" i="41"/>
  <c r="BF112" i="41"/>
  <c r="BE112" i="41"/>
  <c r="BD112" i="41"/>
  <c r="BC112" i="41"/>
  <c r="BB112" i="41"/>
  <c r="BA112" i="41"/>
  <c r="AX112" i="41"/>
  <c r="AN112" i="41"/>
  <c r="AM112" i="41"/>
  <c r="AL112" i="41"/>
  <c r="AJ112" i="41"/>
  <c r="AI112" i="41"/>
  <c r="AE112" i="41"/>
  <c r="AD112" i="41"/>
  <c r="AC112" i="41"/>
  <c r="AB112" i="41"/>
  <c r="AA112" i="41"/>
  <c r="Z112" i="41"/>
  <c r="Y112" i="41"/>
  <c r="X112" i="41"/>
  <c r="U112" i="41"/>
  <c r="T112" i="41"/>
  <c r="R112" i="41"/>
  <c r="O112" i="41"/>
  <c r="N112" i="41"/>
  <c r="L112" i="41"/>
  <c r="K112" i="41"/>
  <c r="BL111" i="41"/>
  <c r="BZ111" i="41" s="1"/>
  <c r="BK111" i="41"/>
  <c r="BY111" i="41" s="1"/>
  <c r="AY111" i="41"/>
  <c r="BW111" i="41" s="1"/>
  <c r="AP111" i="41"/>
  <c r="BT111" i="41" s="1"/>
  <c r="W111" i="41"/>
  <c r="AG111" i="41" s="1"/>
  <c r="V111" i="41"/>
  <c r="AF111" i="41" s="1"/>
  <c r="S111" i="41"/>
  <c r="M111" i="41"/>
  <c r="J111" i="41"/>
  <c r="Q111" i="41" s="1"/>
  <c r="BL110" i="41"/>
  <c r="BZ110" i="41" s="1"/>
  <c r="BK110" i="41"/>
  <c r="BY110" i="41" s="1"/>
  <c r="AY110" i="41"/>
  <c r="BW110" i="41" s="1"/>
  <c r="AP110" i="41"/>
  <c r="BT110" i="41" s="1"/>
  <c r="W110" i="41"/>
  <c r="AG110" i="41" s="1"/>
  <c r="BQ110" i="41" s="1"/>
  <c r="V110" i="41"/>
  <c r="AF110" i="41" s="1"/>
  <c r="S110" i="41"/>
  <c r="M110" i="41"/>
  <c r="J110" i="41"/>
  <c r="BL109" i="41"/>
  <c r="BZ109" i="41" s="1"/>
  <c r="BK109" i="41"/>
  <c r="AY109" i="41"/>
  <c r="BW109" i="41" s="1"/>
  <c r="AP109" i="41"/>
  <c r="BT109" i="41" s="1"/>
  <c r="W109" i="41"/>
  <c r="AG109" i="41" s="1"/>
  <c r="V109" i="41"/>
  <c r="AF109" i="41" s="1"/>
  <c r="BP109" i="41" s="1"/>
  <c r="S109" i="41"/>
  <c r="M109" i="41"/>
  <c r="J109" i="41"/>
  <c r="Q109" i="41" s="1"/>
  <c r="BL108" i="41"/>
  <c r="BZ108" i="41" s="1"/>
  <c r="BK108" i="41"/>
  <c r="BY108" i="41" s="1"/>
  <c r="AW108" i="41"/>
  <c r="AP108" i="41"/>
  <c r="BT108" i="41" s="1"/>
  <c r="BS108" i="41"/>
  <c r="W108" i="41"/>
  <c r="AG108" i="41" s="1"/>
  <c r="V108" i="41"/>
  <c r="AF108" i="41" s="1"/>
  <c r="BP108" i="41" s="1"/>
  <c r="S108" i="41"/>
  <c r="M108" i="41"/>
  <c r="J108" i="41"/>
  <c r="BL107" i="41"/>
  <c r="BZ107" i="41" s="1"/>
  <c r="BK107" i="41"/>
  <c r="BY107" i="41" s="1"/>
  <c r="AY107" i="41"/>
  <c r="BW107" i="41" s="1"/>
  <c r="AP107" i="41"/>
  <c r="BT107" i="41" s="1"/>
  <c r="W107" i="41"/>
  <c r="AG107" i="41" s="1"/>
  <c r="BQ107" i="41" s="1"/>
  <c r="V107" i="41"/>
  <c r="AF107" i="41" s="1"/>
  <c r="BP107" i="41" s="1"/>
  <c r="S107" i="41"/>
  <c r="M107" i="41"/>
  <c r="J107" i="41"/>
  <c r="Q107" i="41" s="1"/>
  <c r="BL106" i="41"/>
  <c r="BK106" i="41"/>
  <c r="AY106" i="41"/>
  <c r="BW106" i="41" s="1"/>
  <c r="AP106" i="41"/>
  <c r="BS106" i="41"/>
  <c r="W106" i="41"/>
  <c r="AG106" i="41" s="1"/>
  <c r="V106" i="41"/>
  <c r="AF106" i="41" s="1"/>
  <c r="BP106" i="41" s="1"/>
  <c r="S106" i="41"/>
  <c r="M106" i="41"/>
  <c r="J106" i="41"/>
  <c r="Q106" i="41" s="1"/>
  <c r="BJ105" i="41"/>
  <c r="BI105" i="41"/>
  <c r="BH105" i="41"/>
  <c r="BG105" i="41"/>
  <c r="BF105" i="41"/>
  <c r="BE105" i="41"/>
  <c r="BD105" i="41"/>
  <c r="BC105" i="41"/>
  <c r="BB105" i="41"/>
  <c r="BA105" i="41"/>
  <c r="AX105" i="41"/>
  <c r="AW105" i="41"/>
  <c r="AN105" i="41"/>
  <c r="AM105" i="41"/>
  <c r="AL105" i="41"/>
  <c r="AJ105" i="41"/>
  <c r="AE105" i="41"/>
  <c r="AD105" i="41"/>
  <c r="AC105" i="41"/>
  <c r="AB105" i="41"/>
  <c r="AA105" i="41"/>
  <c r="Z105" i="41"/>
  <c r="Y105" i="41"/>
  <c r="X105" i="41"/>
  <c r="U105" i="41"/>
  <c r="T105" i="41"/>
  <c r="R105" i="41"/>
  <c r="O105" i="41"/>
  <c r="N105" i="41"/>
  <c r="L105" i="41"/>
  <c r="K105" i="41"/>
  <c r="BL104" i="41"/>
  <c r="BL151" i="41" s="1"/>
  <c r="BK104" i="41"/>
  <c r="AY104" i="41"/>
  <c r="AY151" i="41" s="1"/>
  <c r="AP104" i="41"/>
  <c r="AP151" i="41" s="1"/>
  <c r="W104" i="41"/>
  <c r="W151" i="41" s="1"/>
  <c r="V104" i="41"/>
  <c r="V151" i="41" s="1"/>
  <c r="S104" i="41"/>
  <c r="S151" i="41" s="1"/>
  <c r="M104" i="41"/>
  <c r="M151" i="41" s="1"/>
  <c r="J104" i="41"/>
  <c r="BL103" i="41"/>
  <c r="BZ103" i="41" s="1"/>
  <c r="BK103" i="41"/>
  <c r="BY103" i="41" s="1"/>
  <c r="AY103" i="41"/>
  <c r="BW103" i="41" s="1"/>
  <c r="AP103" i="41"/>
  <c r="BT103" i="41" s="1"/>
  <c r="BS103" i="41"/>
  <c r="W103" i="41"/>
  <c r="AG103" i="41" s="1"/>
  <c r="BQ103" i="41" s="1"/>
  <c r="V103" i="41"/>
  <c r="AF103" i="41" s="1"/>
  <c r="S103" i="41"/>
  <c r="M103" i="41"/>
  <c r="J103" i="41"/>
  <c r="Q103" i="41" s="1"/>
  <c r="BL102" i="41"/>
  <c r="BZ102" i="41" s="1"/>
  <c r="BK102" i="41"/>
  <c r="BY102" i="41" s="1"/>
  <c r="AY102" i="41"/>
  <c r="BW102" i="41" s="1"/>
  <c r="AP102" i="41"/>
  <c r="BT102" i="41" s="1"/>
  <c r="W102" i="41"/>
  <c r="AG102" i="41" s="1"/>
  <c r="V102" i="41"/>
  <c r="AF102" i="41" s="1"/>
  <c r="BP102" i="41" s="1"/>
  <c r="S102" i="41"/>
  <c r="M102" i="41"/>
  <c r="J102" i="41"/>
  <c r="BL101" i="41"/>
  <c r="BZ101" i="41" s="1"/>
  <c r="BK101" i="41"/>
  <c r="BY101" i="41" s="1"/>
  <c r="AY101" i="41"/>
  <c r="BW101" i="41" s="1"/>
  <c r="AP101" i="41"/>
  <c r="W101" i="41"/>
  <c r="AG101" i="41" s="1"/>
  <c r="BQ101" i="41" s="1"/>
  <c r="V101" i="41"/>
  <c r="AF101" i="41" s="1"/>
  <c r="S101" i="41"/>
  <c r="M101" i="41"/>
  <c r="J101" i="41"/>
  <c r="Q101" i="41" s="1"/>
  <c r="BL100" i="41"/>
  <c r="BK100" i="41"/>
  <c r="BY100" i="41" s="1"/>
  <c r="AY100" i="41"/>
  <c r="BW100" i="41" s="1"/>
  <c r="AP100" i="41"/>
  <c r="W100" i="41"/>
  <c r="AG100" i="41" s="1"/>
  <c r="V100" i="41"/>
  <c r="AF100" i="41" s="1"/>
  <c r="S100" i="41"/>
  <c r="M100" i="41"/>
  <c r="J100" i="41"/>
  <c r="BL99" i="41"/>
  <c r="BZ99" i="41" s="1"/>
  <c r="BK99" i="41"/>
  <c r="BY99" i="41" s="1"/>
  <c r="AY99" i="41"/>
  <c r="BW99" i="41" s="1"/>
  <c r="AP99" i="41"/>
  <c r="BT99" i="41" s="1"/>
  <c r="W99" i="41"/>
  <c r="AG99" i="41" s="1"/>
  <c r="V99" i="41"/>
  <c r="AF99" i="41" s="1"/>
  <c r="S99" i="41"/>
  <c r="M99" i="41"/>
  <c r="J99" i="41"/>
  <c r="BL98" i="41"/>
  <c r="BZ98" i="41" s="1"/>
  <c r="BK98" i="41"/>
  <c r="AY98" i="41"/>
  <c r="AP98" i="41"/>
  <c r="BT98" i="41" s="1"/>
  <c r="AI98" i="41"/>
  <c r="AI105" i="41" s="1"/>
  <c r="W98" i="41"/>
  <c r="AG98" i="41" s="1"/>
  <c r="S98" i="41"/>
  <c r="M98" i="41"/>
  <c r="J98" i="41"/>
  <c r="Q98" i="41" s="1"/>
  <c r="BJ97" i="41"/>
  <c r="BI97" i="41"/>
  <c r="BH97" i="41"/>
  <c r="BG97" i="41"/>
  <c r="BF97" i="41"/>
  <c r="BE97" i="41"/>
  <c r="BD97" i="41"/>
  <c r="BC97" i="41"/>
  <c r="BB97" i="41"/>
  <c r="BA97" i="41"/>
  <c r="AX97" i="41"/>
  <c r="AW97" i="41"/>
  <c r="AN97" i="41"/>
  <c r="AM97" i="41"/>
  <c r="AL97" i="41"/>
  <c r="AJ97" i="41"/>
  <c r="AI97" i="41"/>
  <c r="AE97" i="41"/>
  <c r="AD97" i="41"/>
  <c r="AC97" i="41"/>
  <c r="AB97" i="41"/>
  <c r="AA97" i="41"/>
  <c r="Z97" i="41"/>
  <c r="Y97" i="41"/>
  <c r="X97" i="41"/>
  <c r="U97" i="41"/>
  <c r="T97" i="41"/>
  <c r="R97" i="41"/>
  <c r="O97" i="41"/>
  <c r="N97" i="41"/>
  <c r="L97" i="41"/>
  <c r="K97" i="41"/>
  <c r="BL96" i="41"/>
  <c r="BZ96" i="41" s="1"/>
  <c r="BK96" i="41"/>
  <c r="AY96" i="41"/>
  <c r="BW96" i="41" s="1"/>
  <c r="AP96" i="41"/>
  <c r="BT96" i="41" s="1"/>
  <c r="BS96" i="41"/>
  <c r="W96" i="41"/>
  <c r="AG96" i="41" s="1"/>
  <c r="V96" i="41"/>
  <c r="AF96" i="41" s="1"/>
  <c r="S96" i="41"/>
  <c r="M96" i="41"/>
  <c r="J96" i="41"/>
  <c r="BL95" i="41"/>
  <c r="BZ95" i="41" s="1"/>
  <c r="BK95" i="41"/>
  <c r="AY95" i="41"/>
  <c r="AP95" i="41"/>
  <c r="BT95" i="41" s="1"/>
  <c r="BS95" i="41"/>
  <c r="W95" i="41"/>
  <c r="AG95" i="41" s="1"/>
  <c r="V95" i="41"/>
  <c r="S95" i="41"/>
  <c r="M95" i="41"/>
  <c r="J95" i="41"/>
  <c r="Q95" i="41" s="1"/>
  <c r="BL94" i="41"/>
  <c r="BK94" i="41"/>
  <c r="AY94" i="41"/>
  <c r="BW94" i="41" s="1"/>
  <c r="AP94" i="41"/>
  <c r="BS94" i="41"/>
  <c r="W94" i="41"/>
  <c r="AG94" i="41" s="1"/>
  <c r="V94" i="41"/>
  <c r="AF94" i="41" s="1"/>
  <c r="M94" i="41"/>
  <c r="J94" i="41"/>
  <c r="I94" i="41" s="1"/>
  <c r="BJ93" i="41"/>
  <c r="BI93" i="41"/>
  <c r="BH93" i="41"/>
  <c r="BG93" i="41"/>
  <c r="BF93" i="41"/>
  <c r="BE93" i="41"/>
  <c r="BD93" i="41"/>
  <c r="BC93" i="41"/>
  <c r="BB93" i="41"/>
  <c r="BA93" i="41"/>
  <c r="AX93" i="41"/>
  <c r="AW93" i="41"/>
  <c r="AN93" i="41"/>
  <c r="AM93" i="41"/>
  <c r="AL93" i="41"/>
  <c r="AJ93" i="41"/>
  <c r="AI93" i="41"/>
  <c r="AE93" i="41"/>
  <c r="AD93" i="41"/>
  <c r="AC93" i="41"/>
  <c r="AB93" i="41"/>
  <c r="AA93" i="41"/>
  <c r="Z93" i="41"/>
  <c r="Y93" i="41"/>
  <c r="X93" i="41"/>
  <c r="U93" i="41"/>
  <c r="T93" i="41"/>
  <c r="R93" i="41"/>
  <c r="O93" i="41"/>
  <c r="N93" i="41"/>
  <c r="L93" i="41"/>
  <c r="K93" i="41"/>
  <c r="BL92" i="41"/>
  <c r="BZ92" i="41" s="1"/>
  <c r="BK92" i="41"/>
  <c r="BY92" i="41" s="1"/>
  <c r="AY92" i="41"/>
  <c r="BW92" i="41" s="1"/>
  <c r="AP92" i="41"/>
  <c r="BT92" i="41" s="1"/>
  <c r="W92" i="41"/>
  <c r="AG92" i="41" s="1"/>
  <c r="V92" i="41"/>
  <c r="AF92" i="41" s="1"/>
  <c r="S92" i="41"/>
  <c r="M92" i="41"/>
  <c r="J92" i="41"/>
  <c r="Q92" i="41" s="1"/>
  <c r="BL91" i="41"/>
  <c r="BZ91" i="41" s="1"/>
  <c r="BK91" i="41"/>
  <c r="BY91" i="41" s="1"/>
  <c r="AY91" i="41"/>
  <c r="BW91" i="41" s="1"/>
  <c r="AP91" i="41"/>
  <c r="BT91" i="41" s="1"/>
  <c r="W91" i="41"/>
  <c r="AG91" i="41" s="1"/>
  <c r="V91" i="41"/>
  <c r="AF91" i="41" s="1"/>
  <c r="S91" i="41"/>
  <c r="M91" i="41"/>
  <c r="J91" i="41"/>
  <c r="Q91" i="41" s="1"/>
  <c r="BL90" i="41"/>
  <c r="BK90" i="41"/>
  <c r="BY90" i="41" s="1"/>
  <c r="AY90" i="41"/>
  <c r="BW90" i="41" s="1"/>
  <c r="AP90" i="41"/>
  <c r="W90" i="41"/>
  <c r="AG90" i="41" s="1"/>
  <c r="BQ90" i="41" s="1"/>
  <c r="V90" i="41"/>
  <c r="AF90" i="41" s="1"/>
  <c r="S90" i="41"/>
  <c r="M90" i="41"/>
  <c r="J90" i="41"/>
  <c r="BL89" i="41"/>
  <c r="BZ89" i="41" s="1"/>
  <c r="BK89" i="41"/>
  <c r="BY89" i="41" s="1"/>
  <c r="AY89" i="41"/>
  <c r="BW89" i="41" s="1"/>
  <c r="AP89" i="41"/>
  <c r="BT89" i="41" s="1"/>
  <c r="W89" i="41"/>
  <c r="AG89" i="41" s="1"/>
  <c r="V89" i="41"/>
  <c r="AF89" i="41" s="1"/>
  <c r="S89" i="41"/>
  <c r="M89" i="41"/>
  <c r="J89" i="41"/>
  <c r="BL88" i="41"/>
  <c r="BZ88" i="41" s="1"/>
  <c r="BK88" i="41"/>
  <c r="AY88" i="41"/>
  <c r="BW88" i="41" s="1"/>
  <c r="AP88" i="41"/>
  <c r="BT88" i="41" s="1"/>
  <c r="W88" i="41"/>
  <c r="V88" i="41"/>
  <c r="S88" i="41"/>
  <c r="M88" i="41"/>
  <c r="J88" i="41"/>
  <c r="BJ87" i="41"/>
  <c r="BI87" i="41"/>
  <c r="BH87" i="41"/>
  <c r="BG87" i="41"/>
  <c r="BF87" i="41"/>
  <c r="BE87" i="41"/>
  <c r="BD87" i="41"/>
  <c r="BC87" i="41"/>
  <c r="BB87" i="41"/>
  <c r="BA87" i="41"/>
  <c r="AX87" i="41"/>
  <c r="AW87" i="41"/>
  <c r="AN87" i="41"/>
  <c r="AM87" i="41"/>
  <c r="AL87" i="41"/>
  <c r="AJ87" i="41"/>
  <c r="AI87" i="41"/>
  <c r="AE87" i="41"/>
  <c r="AD87" i="41"/>
  <c r="AC87" i="41"/>
  <c r="AB87" i="41"/>
  <c r="AA87" i="41"/>
  <c r="Z87" i="41"/>
  <c r="Y87" i="41"/>
  <c r="X87" i="41"/>
  <c r="U87" i="41"/>
  <c r="T87" i="41"/>
  <c r="R87" i="41"/>
  <c r="O87" i="41"/>
  <c r="N87" i="41"/>
  <c r="L87" i="41"/>
  <c r="K87" i="41"/>
  <c r="BL86" i="41"/>
  <c r="BK86" i="41"/>
  <c r="BY86" i="41" s="1"/>
  <c r="AY86" i="41"/>
  <c r="AP86" i="41"/>
  <c r="BT86" i="41" s="1"/>
  <c r="W86" i="41"/>
  <c r="AG86" i="41" s="1"/>
  <c r="V86" i="41"/>
  <c r="AF86" i="41" s="1"/>
  <c r="S86" i="41"/>
  <c r="M86" i="41"/>
  <c r="J86" i="41"/>
  <c r="BL85" i="41"/>
  <c r="BK85" i="41"/>
  <c r="BY85" i="41" s="1"/>
  <c r="AY85" i="41"/>
  <c r="BW85" i="41" s="1"/>
  <c r="AP85" i="41"/>
  <c r="BT85" i="41" s="1"/>
  <c r="BS85" i="41"/>
  <c r="W85" i="41"/>
  <c r="AG85" i="41" s="1"/>
  <c r="V85" i="41"/>
  <c r="AF85" i="41" s="1"/>
  <c r="S85" i="41"/>
  <c r="M85" i="41"/>
  <c r="J85" i="41"/>
  <c r="Q85" i="41" s="1"/>
  <c r="BL84" i="41"/>
  <c r="BZ84" i="41" s="1"/>
  <c r="BK84" i="41"/>
  <c r="AY84" i="41"/>
  <c r="BW84" i="41" s="1"/>
  <c r="AP84" i="41"/>
  <c r="BT84" i="41" s="1"/>
  <c r="W84" i="41"/>
  <c r="AG84" i="41" s="1"/>
  <c r="BQ84" i="41" s="1"/>
  <c r="V84" i="41"/>
  <c r="AF84" i="41" s="1"/>
  <c r="BP84" i="41" s="1"/>
  <c r="S84" i="41"/>
  <c r="M84" i="41"/>
  <c r="J84" i="41"/>
  <c r="BJ83" i="41"/>
  <c r="BI83" i="41"/>
  <c r="BH83" i="41"/>
  <c r="BG83" i="41"/>
  <c r="BF83" i="41"/>
  <c r="BE83" i="41"/>
  <c r="BD83" i="41"/>
  <c r="BC83" i="41"/>
  <c r="BB83" i="41"/>
  <c r="BA83" i="41"/>
  <c r="AX83" i="41"/>
  <c r="AW83" i="41"/>
  <c r="AN83" i="41"/>
  <c r="AM83" i="41"/>
  <c r="AL83" i="41"/>
  <c r="AJ83" i="41"/>
  <c r="AI83" i="41"/>
  <c r="AE83" i="41"/>
  <c r="AD83" i="41"/>
  <c r="AC83" i="41"/>
  <c r="AB83" i="41"/>
  <c r="AA83" i="41"/>
  <c r="Z83" i="41"/>
  <c r="Y83" i="41"/>
  <c r="X83" i="41"/>
  <c r="U83" i="41"/>
  <c r="T83" i="41"/>
  <c r="R83" i="41"/>
  <c r="O83" i="41"/>
  <c r="N83" i="41"/>
  <c r="L83" i="41"/>
  <c r="K83" i="41"/>
  <c r="BL82" i="41"/>
  <c r="BK82" i="41"/>
  <c r="BY82" i="41" s="1"/>
  <c r="AY82" i="41"/>
  <c r="BW82" i="41" s="1"/>
  <c r="AP82" i="41"/>
  <c r="BS82" i="41"/>
  <c r="W82" i="41"/>
  <c r="AG82" i="41" s="1"/>
  <c r="V82" i="41"/>
  <c r="AF82" i="41" s="1"/>
  <c r="S82" i="41"/>
  <c r="M82" i="41"/>
  <c r="J82" i="41"/>
  <c r="BL81" i="41"/>
  <c r="BZ81" i="41" s="1"/>
  <c r="BK81" i="41"/>
  <c r="BY81" i="41" s="1"/>
  <c r="AY81" i="41"/>
  <c r="BW81" i="41" s="1"/>
  <c r="AP81" i="41"/>
  <c r="BT81" i="41" s="1"/>
  <c r="W81" i="41"/>
  <c r="AG81" i="41" s="1"/>
  <c r="V81" i="41"/>
  <c r="AF81" i="41" s="1"/>
  <c r="BP81" i="41" s="1"/>
  <c r="S81" i="41"/>
  <c r="M81" i="41"/>
  <c r="J81" i="41"/>
  <c r="Q81" i="41" s="1"/>
  <c r="BL80" i="41"/>
  <c r="BZ80" i="41" s="1"/>
  <c r="BK80" i="41"/>
  <c r="AY80" i="41"/>
  <c r="BW80" i="41" s="1"/>
  <c r="AP80" i="41"/>
  <c r="BT80" i="41" s="1"/>
  <c r="W80" i="41"/>
  <c r="AG80" i="41" s="1"/>
  <c r="BQ80" i="41" s="1"/>
  <c r="V80" i="41"/>
  <c r="AF80" i="41" s="1"/>
  <c r="S80" i="41"/>
  <c r="M80" i="41"/>
  <c r="J80" i="41"/>
  <c r="BJ79" i="41"/>
  <c r="BI79" i="41"/>
  <c r="BH79" i="41"/>
  <c r="BG79" i="41"/>
  <c r="BF79" i="41"/>
  <c r="BE79" i="41"/>
  <c r="BD79" i="41"/>
  <c r="BC79" i="41"/>
  <c r="BB79" i="41"/>
  <c r="BA79" i="41"/>
  <c r="AX79" i="41"/>
  <c r="AW79" i="41"/>
  <c r="AN79" i="41"/>
  <c r="AM79" i="41"/>
  <c r="AL79" i="41"/>
  <c r="AJ79" i="41"/>
  <c r="AI79" i="41"/>
  <c r="AE79" i="41"/>
  <c r="AD79" i="41"/>
  <c r="AC79" i="41"/>
  <c r="AB79" i="41"/>
  <c r="AA79" i="41"/>
  <c r="Z79" i="41"/>
  <c r="Y79" i="41"/>
  <c r="X79" i="41"/>
  <c r="U79" i="41"/>
  <c r="T79" i="41"/>
  <c r="R79" i="41"/>
  <c r="O79" i="41"/>
  <c r="N79" i="41"/>
  <c r="L79" i="41"/>
  <c r="K79" i="41"/>
  <c r="BL78" i="41"/>
  <c r="BK78" i="41"/>
  <c r="BY78" i="41" s="1"/>
  <c r="AY78" i="41"/>
  <c r="BW78" i="41" s="1"/>
  <c r="AP78" i="41"/>
  <c r="BT78" i="41" s="1"/>
  <c r="BS78" i="41"/>
  <c r="W78" i="41"/>
  <c r="AG78" i="41" s="1"/>
  <c r="BQ78" i="41" s="1"/>
  <c r="V78" i="41"/>
  <c r="AF78" i="41" s="1"/>
  <c r="S78" i="41"/>
  <c r="M78" i="41"/>
  <c r="J78" i="41"/>
  <c r="BL77" i="41"/>
  <c r="BK77" i="41"/>
  <c r="BY77" i="41" s="1"/>
  <c r="AY77" i="41"/>
  <c r="BW77" i="41" s="1"/>
  <c r="AP77" i="41"/>
  <c r="BT77" i="41" s="1"/>
  <c r="BS77" i="41"/>
  <c r="W77" i="41"/>
  <c r="AG77" i="41" s="1"/>
  <c r="V77" i="41"/>
  <c r="AF77" i="41" s="1"/>
  <c r="S77" i="41"/>
  <c r="M77" i="41"/>
  <c r="J77" i="41"/>
  <c r="BL76" i="41"/>
  <c r="BZ76" i="41" s="1"/>
  <c r="BK76" i="41"/>
  <c r="AY76" i="41"/>
  <c r="BW76" i="41" s="1"/>
  <c r="AP76" i="41"/>
  <c r="BT76" i="41" s="1"/>
  <c r="W76" i="41"/>
  <c r="AG76" i="41" s="1"/>
  <c r="BQ76" i="41" s="1"/>
  <c r="V76" i="41"/>
  <c r="AF76" i="41" s="1"/>
  <c r="BP76" i="41" s="1"/>
  <c r="S76" i="41"/>
  <c r="M76" i="41"/>
  <c r="J76" i="41"/>
  <c r="BL75" i="41"/>
  <c r="BZ75" i="41" s="1"/>
  <c r="BK75" i="41"/>
  <c r="AY75" i="41"/>
  <c r="BW75" i="41" s="1"/>
  <c r="AP75" i="41"/>
  <c r="BS75" i="41"/>
  <c r="W75" i="41"/>
  <c r="AG75" i="41" s="1"/>
  <c r="V75" i="41"/>
  <c r="AF75" i="41" s="1"/>
  <c r="S75" i="41"/>
  <c r="M75" i="41"/>
  <c r="J75" i="41"/>
  <c r="Q75" i="41" s="1"/>
  <c r="BL74" i="41"/>
  <c r="BZ74" i="41" s="1"/>
  <c r="BK74" i="41"/>
  <c r="AY74" i="41"/>
  <c r="BW74" i="41" s="1"/>
  <c r="AP74" i="41"/>
  <c r="BS74" i="41"/>
  <c r="W74" i="41"/>
  <c r="AG74" i="41" s="1"/>
  <c r="BQ74" i="41" s="1"/>
  <c r="V74" i="41"/>
  <c r="AF74" i="41" s="1"/>
  <c r="S74" i="41"/>
  <c r="M74" i="41"/>
  <c r="J74" i="41"/>
  <c r="Q74" i="41" s="1"/>
  <c r="BL73" i="41"/>
  <c r="BZ73" i="41" s="1"/>
  <c r="BK73" i="41"/>
  <c r="AY73" i="41"/>
  <c r="BW73" i="41" s="1"/>
  <c r="AP73" i="41"/>
  <c r="BT73" i="41" s="1"/>
  <c r="W73" i="41"/>
  <c r="AG73" i="41" s="1"/>
  <c r="V73" i="41"/>
  <c r="AF73" i="41" s="1"/>
  <c r="S73" i="41"/>
  <c r="M73" i="41"/>
  <c r="J73" i="41"/>
  <c r="Q73" i="41" s="1"/>
  <c r="BJ72" i="41"/>
  <c r="BI72" i="41"/>
  <c r="BH72" i="41"/>
  <c r="BG72" i="41"/>
  <c r="BF72" i="41"/>
  <c r="BE72" i="41"/>
  <c r="BD72" i="41"/>
  <c r="BC72" i="41"/>
  <c r="BB72" i="41"/>
  <c r="BA72" i="41"/>
  <c r="AX72" i="41"/>
  <c r="AW72" i="41"/>
  <c r="AN72" i="41"/>
  <c r="AM72" i="41"/>
  <c r="AL72" i="41"/>
  <c r="AJ72" i="41"/>
  <c r="AI72" i="41"/>
  <c r="AE72" i="41"/>
  <c r="AD72" i="41"/>
  <c r="AC72" i="41"/>
  <c r="AB72" i="41"/>
  <c r="AA72" i="41"/>
  <c r="Z72" i="41"/>
  <c r="Y72" i="41"/>
  <c r="X72" i="41"/>
  <c r="U72" i="41"/>
  <c r="T72" i="41"/>
  <c r="R72" i="41"/>
  <c r="O72" i="41"/>
  <c r="N72" i="41"/>
  <c r="L72" i="41"/>
  <c r="K72" i="41"/>
  <c r="BL71" i="41"/>
  <c r="BZ71" i="41" s="1"/>
  <c r="BK71" i="41"/>
  <c r="AY71" i="41"/>
  <c r="BW71" i="41" s="1"/>
  <c r="AP71" i="41"/>
  <c r="BT71" i="41" s="1"/>
  <c r="W71" i="41"/>
  <c r="AG71" i="41" s="1"/>
  <c r="V71" i="41"/>
  <c r="AF71" i="41" s="1"/>
  <c r="S71" i="41"/>
  <c r="M71" i="41"/>
  <c r="J71" i="41"/>
  <c r="Q71" i="41" s="1"/>
  <c r="BL70" i="41"/>
  <c r="BZ70" i="41" s="1"/>
  <c r="BK70" i="41"/>
  <c r="AY70" i="41"/>
  <c r="BW70" i="41" s="1"/>
  <c r="AP70" i="41"/>
  <c r="BT70" i="41" s="1"/>
  <c r="W70" i="41"/>
  <c r="AG70" i="41" s="1"/>
  <c r="V70" i="41"/>
  <c r="AF70" i="41" s="1"/>
  <c r="S70" i="41"/>
  <c r="M70" i="41"/>
  <c r="J70" i="41"/>
  <c r="Q70" i="41" s="1"/>
  <c r="BL69" i="41"/>
  <c r="BZ69" i="41" s="1"/>
  <c r="BK69" i="41"/>
  <c r="BY69" i="41" s="1"/>
  <c r="AY69" i="41"/>
  <c r="BW69" i="41" s="1"/>
  <c r="AP69" i="41"/>
  <c r="BT69" i="41" s="1"/>
  <c r="W69" i="41"/>
  <c r="AG69" i="41" s="1"/>
  <c r="V69" i="41"/>
  <c r="AF69" i="41" s="1"/>
  <c r="BP69" i="41" s="1"/>
  <c r="S69" i="41"/>
  <c r="M69" i="41"/>
  <c r="J69" i="41"/>
  <c r="Q69" i="41" s="1"/>
  <c r="BL68" i="41"/>
  <c r="BZ68" i="41" s="1"/>
  <c r="BK68" i="41"/>
  <c r="AY68" i="41"/>
  <c r="BW68" i="41" s="1"/>
  <c r="AP68" i="41"/>
  <c r="BT68" i="41" s="1"/>
  <c r="BS68" i="41"/>
  <c r="W68" i="41"/>
  <c r="AG68" i="41" s="1"/>
  <c r="BQ68" i="41" s="1"/>
  <c r="V68" i="41"/>
  <c r="AF68" i="41" s="1"/>
  <c r="BP68" i="41" s="1"/>
  <c r="S68" i="41"/>
  <c r="M68" i="41"/>
  <c r="J68" i="41"/>
  <c r="Q68" i="41" s="1"/>
  <c r="BL67" i="41"/>
  <c r="BZ67" i="41" s="1"/>
  <c r="BK67" i="41"/>
  <c r="AY67" i="41"/>
  <c r="BW67" i="41" s="1"/>
  <c r="AP67" i="41"/>
  <c r="BT67" i="41" s="1"/>
  <c r="BS67" i="41"/>
  <c r="W67" i="41"/>
  <c r="AG67" i="41" s="1"/>
  <c r="BQ67" i="41" s="1"/>
  <c r="V67" i="41"/>
  <c r="S67" i="41"/>
  <c r="M67" i="41"/>
  <c r="J67" i="41"/>
  <c r="BL66" i="41"/>
  <c r="BK66" i="41"/>
  <c r="AY66" i="41"/>
  <c r="AP66" i="41"/>
  <c r="BT66" i="41" s="1"/>
  <c r="W66" i="41"/>
  <c r="AG66" i="41" s="1"/>
  <c r="BQ66" i="41" s="1"/>
  <c r="V66" i="41"/>
  <c r="AF66" i="41" s="1"/>
  <c r="BP66" i="41" s="1"/>
  <c r="S66" i="41"/>
  <c r="M66" i="41"/>
  <c r="J66" i="41"/>
  <c r="BJ65" i="41"/>
  <c r="BI65" i="41"/>
  <c r="BH65" i="41"/>
  <c r="BG65" i="41"/>
  <c r="BF65" i="41"/>
  <c r="BE65" i="41"/>
  <c r="BD65" i="41"/>
  <c r="BC65" i="41"/>
  <c r="BB65" i="41"/>
  <c r="BA65" i="41"/>
  <c r="AX65" i="41"/>
  <c r="AW65" i="41"/>
  <c r="AN65" i="41"/>
  <c r="AM65" i="41"/>
  <c r="AL65" i="41"/>
  <c r="AJ65" i="41"/>
  <c r="AI65" i="41"/>
  <c r="AE65" i="41"/>
  <c r="AD65" i="41"/>
  <c r="AC65" i="41"/>
  <c r="AB65" i="41"/>
  <c r="AA65" i="41"/>
  <c r="Z65" i="41"/>
  <c r="Y65" i="41"/>
  <c r="X65" i="41"/>
  <c r="U65" i="41"/>
  <c r="T65" i="41"/>
  <c r="R65" i="41"/>
  <c r="O65" i="41"/>
  <c r="N65" i="41"/>
  <c r="L65" i="41"/>
  <c r="K65" i="41"/>
  <c r="BL64" i="41"/>
  <c r="BZ64" i="41" s="1"/>
  <c r="BK64" i="41"/>
  <c r="AY64" i="41"/>
  <c r="BW64" i="41" s="1"/>
  <c r="AP64" i="41"/>
  <c r="BT64" i="41" s="1"/>
  <c r="BS64" i="41"/>
  <c r="W64" i="41"/>
  <c r="AG64" i="41" s="1"/>
  <c r="V64" i="41"/>
  <c r="AF64" i="41" s="1"/>
  <c r="S64" i="41"/>
  <c r="M64" i="41"/>
  <c r="J64" i="41"/>
  <c r="BL63" i="41"/>
  <c r="BZ63" i="41" s="1"/>
  <c r="BK63" i="41"/>
  <c r="AY63" i="41"/>
  <c r="BW63" i="41" s="1"/>
  <c r="AP63" i="41"/>
  <c r="BT63" i="41" s="1"/>
  <c r="BS63" i="41"/>
  <c r="W63" i="41"/>
  <c r="AG63" i="41" s="1"/>
  <c r="BQ63" i="41" s="1"/>
  <c r="V63" i="41"/>
  <c r="AF63" i="41" s="1"/>
  <c r="S63" i="41"/>
  <c r="M63" i="41"/>
  <c r="J63" i="41"/>
  <c r="Q63" i="41" s="1"/>
  <c r="BL62" i="41"/>
  <c r="BK62" i="41"/>
  <c r="AY62" i="41"/>
  <c r="BW62" i="41" s="1"/>
  <c r="AP62" i="41"/>
  <c r="BT62" i="41" s="1"/>
  <c r="W62" i="41"/>
  <c r="V62" i="41"/>
  <c r="AF62" i="41" s="1"/>
  <c r="S62" i="41"/>
  <c r="M62" i="41"/>
  <c r="J62" i="41"/>
  <c r="BJ61" i="41"/>
  <c r="BI61" i="41"/>
  <c r="BH61" i="41"/>
  <c r="BG61" i="41"/>
  <c r="BF61" i="41"/>
  <c r="BE61" i="41"/>
  <c r="BD61" i="41"/>
  <c r="BC61" i="41"/>
  <c r="BB61" i="41"/>
  <c r="BA61" i="41"/>
  <c r="AX61" i="41"/>
  <c r="AW61" i="41"/>
  <c r="AN61" i="41"/>
  <c r="AM61" i="41"/>
  <c r="AL61" i="41"/>
  <c r="AJ61" i="41"/>
  <c r="AI61" i="41"/>
  <c r="AE61" i="41"/>
  <c r="AD61" i="41"/>
  <c r="AC61" i="41"/>
  <c r="AB61" i="41"/>
  <c r="AA61" i="41"/>
  <c r="Z61" i="41"/>
  <c r="Y61" i="41"/>
  <c r="X61" i="41"/>
  <c r="U61" i="41"/>
  <c r="T61" i="41"/>
  <c r="R61" i="41"/>
  <c r="O61" i="41"/>
  <c r="N61" i="41"/>
  <c r="L61" i="41"/>
  <c r="K61" i="41"/>
  <c r="BL60" i="41"/>
  <c r="BZ60" i="41" s="1"/>
  <c r="BK60" i="41"/>
  <c r="AY60" i="41"/>
  <c r="BW60" i="41" s="1"/>
  <c r="AP60" i="41"/>
  <c r="W60" i="41"/>
  <c r="AG60" i="41" s="1"/>
  <c r="BQ60" i="41" s="1"/>
  <c r="V60" i="41"/>
  <c r="AF60" i="41" s="1"/>
  <c r="S60" i="41"/>
  <c r="M60" i="41"/>
  <c r="J60" i="41"/>
  <c r="BL59" i="41"/>
  <c r="BZ59" i="41" s="1"/>
  <c r="BK59" i="41"/>
  <c r="AY59" i="41"/>
  <c r="BW59" i="41" s="1"/>
  <c r="AP59" i="41"/>
  <c r="BT59" i="41" s="1"/>
  <c r="BS59" i="41"/>
  <c r="W59" i="41"/>
  <c r="V59" i="41"/>
  <c r="AF59" i="41" s="1"/>
  <c r="S59" i="41"/>
  <c r="M59" i="41"/>
  <c r="J59" i="41"/>
  <c r="Q59" i="41" s="1"/>
  <c r="BJ58" i="41"/>
  <c r="BI58" i="41"/>
  <c r="BH58" i="41"/>
  <c r="BG58" i="41"/>
  <c r="BF58" i="41"/>
  <c r="BE58" i="41"/>
  <c r="BD58" i="41"/>
  <c r="BC58" i="41"/>
  <c r="BB58" i="41"/>
  <c r="BA58" i="41"/>
  <c r="AX58" i="41"/>
  <c r="AW58" i="41"/>
  <c r="AN58" i="41"/>
  <c r="AM58" i="41"/>
  <c r="AL58" i="41"/>
  <c r="AJ58" i="41"/>
  <c r="AI58" i="41"/>
  <c r="AE58" i="41"/>
  <c r="AD58" i="41"/>
  <c r="AC58" i="41"/>
  <c r="AB58" i="41"/>
  <c r="AA58" i="41"/>
  <c r="Z58" i="41"/>
  <c r="Y58" i="41"/>
  <c r="X58" i="41"/>
  <c r="U58" i="41"/>
  <c r="T58" i="41"/>
  <c r="R58" i="41"/>
  <c r="O58" i="41"/>
  <c r="N58" i="41"/>
  <c r="L58" i="41"/>
  <c r="K58" i="41"/>
  <c r="BL57" i="41"/>
  <c r="BZ57" i="41" s="1"/>
  <c r="BK57" i="41"/>
  <c r="BY57" i="41" s="1"/>
  <c r="AY57" i="41"/>
  <c r="BW57" i="41" s="1"/>
  <c r="AP57" i="41"/>
  <c r="BT57" i="41" s="1"/>
  <c r="W57" i="41"/>
  <c r="AG57" i="41" s="1"/>
  <c r="V57" i="41"/>
  <c r="AF57" i="41" s="1"/>
  <c r="S57" i="41"/>
  <c r="M57" i="41"/>
  <c r="J57" i="41"/>
  <c r="Q57" i="41" s="1"/>
  <c r="BL56" i="41"/>
  <c r="BZ56" i="41" s="1"/>
  <c r="BK56" i="41"/>
  <c r="BY56" i="41" s="1"/>
  <c r="AY56" i="41"/>
  <c r="BW56" i="41" s="1"/>
  <c r="AP56" i="41"/>
  <c r="BS56" i="41"/>
  <c r="W56" i="41"/>
  <c r="AG56" i="41" s="1"/>
  <c r="V56" i="41"/>
  <c r="AF56" i="41" s="1"/>
  <c r="S56" i="41"/>
  <c r="M56" i="41"/>
  <c r="J56" i="41"/>
  <c r="BL55" i="41"/>
  <c r="BZ55" i="41" s="1"/>
  <c r="BK55" i="41"/>
  <c r="AY55" i="41"/>
  <c r="BW55" i="41" s="1"/>
  <c r="AP55" i="41"/>
  <c r="BT55" i="41" s="1"/>
  <c r="BS55" i="41"/>
  <c r="W55" i="41"/>
  <c r="AG55" i="41" s="1"/>
  <c r="V55" i="41"/>
  <c r="AF55" i="41" s="1"/>
  <c r="S55" i="41"/>
  <c r="M55" i="41"/>
  <c r="J55" i="41"/>
  <c r="BL54" i="41"/>
  <c r="BZ54" i="41" s="1"/>
  <c r="BK54" i="41"/>
  <c r="AY54" i="41"/>
  <c r="BW54" i="41" s="1"/>
  <c r="AP54" i="41"/>
  <c r="BT54" i="41" s="1"/>
  <c r="W54" i="41"/>
  <c r="AG54" i="41" s="1"/>
  <c r="V54" i="41"/>
  <c r="AF54" i="41" s="1"/>
  <c r="S54" i="41"/>
  <c r="M54" i="41"/>
  <c r="J54" i="41"/>
  <c r="Q54" i="41" s="1"/>
  <c r="BL53" i="41"/>
  <c r="BZ53" i="41" s="1"/>
  <c r="BK53" i="41"/>
  <c r="BY53" i="41" s="1"/>
  <c r="AY53" i="41"/>
  <c r="BW53" i="41" s="1"/>
  <c r="AP53" i="41"/>
  <c r="BT53" i="41" s="1"/>
  <c r="BS53" i="41"/>
  <c r="W53" i="41"/>
  <c r="AG53" i="41" s="1"/>
  <c r="V53" i="41"/>
  <c r="AF53" i="41" s="1"/>
  <c r="S53" i="41"/>
  <c r="M53" i="41"/>
  <c r="J53" i="41"/>
  <c r="Q53" i="41" s="1"/>
  <c r="BL52" i="41"/>
  <c r="BZ52" i="41" s="1"/>
  <c r="BK52" i="41"/>
  <c r="AY52" i="41"/>
  <c r="BW52" i="41" s="1"/>
  <c r="AP52" i="41"/>
  <c r="BT52" i="41" s="1"/>
  <c r="W52" i="41"/>
  <c r="AG52" i="41" s="1"/>
  <c r="V52" i="41"/>
  <c r="AF52" i="41" s="1"/>
  <c r="S52" i="41"/>
  <c r="M52" i="41"/>
  <c r="J52" i="41"/>
  <c r="Q52" i="41" s="1"/>
  <c r="BL51" i="41"/>
  <c r="BK51" i="41"/>
  <c r="BY51" i="41" s="1"/>
  <c r="AY51" i="41"/>
  <c r="BW51" i="41" s="1"/>
  <c r="AP51" i="41"/>
  <c r="BT51" i="41" s="1"/>
  <c r="W51" i="41"/>
  <c r="V51" i="41"/>
  <c r="AF51" i="41" s="1"/>
  <c r="S51" i="41"/>
  <c r="M51" i="41"/>
  <c r="J51" i="41"/>
  <c r="Q51" i="41" s="1"/>
  <c r="BJ50" i="41"/>
  <c r="BI50" i="41"/>
  <c r="BH50" i="41"/>
  <c r="BG50" i="41"/>
  <c r="BF50" i="41"/>
  <c r="BE50" i="41"/>
  <c r="BD50" i="41"/>
  <c r="BB50" i="41"/>
  <c r="BA50" i="41"/>
  <c r="AX50" i="41"/>
  <c r="AW50" i="41"/>
  <c r="AN50" i="41"/>
  <c r="AM50" i="41"/>
  <c r="AL50" i="41"/>
  <c r="AJ50" i="41"/>
  <c r="AI50" i="41"/>
  <c r="AE50" i="41"/>
  <c r="AD50" i="41"/>
  <c r="AC50" i="41"/>
  <c r="AB50" i="41"/>
  <c r="AA50" i="41"/>
  <c r="Z50" i="41"/>
  <c r="Y50" i="41"/>
  <c r="U50" i="41"/>
  <c r="T50" i="41"/>
  <c r="R50" i="41"/>
  <c r="O50" i="41"/>
  <c r="N50" i="41"/>
  <c r="L50" i="41"/>
  <c r="K50" i="41"/>
  <c r="BL49" i="41"/>
  <c r="BZ49" i="41" s="1"/>
  <c r="BK49" i="41"/>
  <c r="AY49" i="41"/>
  <c r="BW49" i="41" s="1"/>
  <c r="AP49" i="41"/>
  <c r="BT49" i="41" s="1"/>
  <c r="BS49" i="41"/>
  <c r="W49" i="41"/>
  <c r="AG49" i="41" s="1"/>
  <c r="BQ49" i="41" s="1"/>
  <c r="V49" i="41"/>
  <c r="AF49" i="41" s="1"/>
  <c r="S49" i="41"/>
  <c r="M49" i="41"/>
  <c r="J49" i="41"/>
  <c r="Q49" i="41" s="1"/>
  <c r="BL48" i="41"/>
  <c r="BK48" i="41"/>
  <c r="BY48" i="41" s="1"/>
  <c r="AY48" i="41"/>
  <c r="BW48" i="41" s="1"/>
  <c r="AP48" i="41"/>
  <c r="BT48" i="41" s="1"/>
  <c r="W48" i="41"/>
  <c r="AG48" i="41" s="1"/>
  <c r="BQ48" i="41" s="1"/>
  <c r="V48" i="41"/>
  <c r="AF48" i="41" s="1"/>
  <c r="BP48" i="41" s="1"/>
  <c r="S48" i="41"/>
  <c r="M48" i="41"/>
  <c r="J48" i="41"/>
  <c r="BL47" i="41"/>
  <c r="BK47" i="41"/>
  <c r="BY47" i="41" s="1"/>
  <c r="AY47" i="41"/>
  <c r="BW47" i="41" s="1"/>
  <c r="AP47" i="41"/>
  <c r="BT47" i="41" s="1"/>
  <c r="W47" i="41"/>
  <c r="AG47" i="41" s="1"/>
  <c r="BQ47" i="41" s="1"/>
  <c r="V47" i="41"/>
  <c r="S47" i="41"/>
  <c r="M47" i="41"/>
  <c r="J47" i="41"/>
  <c r="BL46" i="41"/>
  <c r="BZ46" i="41" s="1"/>
  <c r="BC46" i="41"/>
  <c r="BC50" i="41" s="1"/>
  <c r="AY46" i="41"/>
  <c r="BW46" i="41" s="1"/>
  <c r="AP46" i="41"/>
  <c r="X46" i="41"/>
  <c r="W46" i="41"/>
  <c r="AG46" i="41" s="1"/>
  <c r="V46" i="41"/>
  <c r="S46" i="41"/>
  <c r="M46" i="41"/>
  <c r="J46" i="41"/>
  <c r="BL45" i="41"/>
  <c r="BZ45" i="41" s="1"/>
  <c r="BK45" i="41"/>
  <c r="AY45" i="41"/>
  <c r="BW45" i="41" s="1"/>
  <c r="AP45" i="41"/>
  <c r="BT45" i="41" s="1"/>
  <c r="BS45" i="41"/>
  <c r="W45" i="41"/>
  <c r="AG45" i="41" s="1"/>
  <c r="BQ45" i="41" s="1"/>
  <c r="V45" i="41"/>
  <c r="AF45" i="41" s="1"/>
  <c r="S45" i="41"/>
  <c r="M45" i="41"/>
  <c r="J45" i="41"/>
  <c r="BL44" i="41"/>
  <c r="BK44" i="41"/>
  <c r="BY44" i="41" s="1"/>
  <c r="AY44" i="41"/>
  <c r="BW44" i="41" s="1"/>
  <c r="AP44" i="41"/>
  <c r="BT44" i="41" s="1"/>
  <c r="BS44" i="41"/>
  <c r="W44" i="41"/>
  <c r="AG44" i="41" s="1"/>
  <c r="V44" i="41"/>
  <c r="AF44" i="41" s="1"/>
  <c r="S44" i="41"/>
  <c r="M44" i="41"/>
  <c r="J44" i="41"/>
  <c r="BJ43" i="41"/>
  <c r="BI43" i="41"/>
  <c r="BH43" i="41"/>
  <c r="BG43" i="41"/>
  <c r="BF43" i="41"/>
  <c r="BE43" i="41"/>
  <c r="BD43" i="41"/>
  <c r="BC43" i="41"/>
  <c r="BB43" i="41"/>
  <c r="BA43" i="41"/>
  <c r="AX43" i="41"/>
  <c r="AW43" i="41"/>
  <c r="AN43" i="41"/>
  <c r="AM43" i="41"/>
  <c r="AL43" i="41"/>
  <c r="AJ43" i="41"/>
  <c r="AI43" i="41"/>
  <c r="AE43" i="41"/>
  <c r="AD43" i="41"/>
  <c r="AC43" i="41"/>
  <c r="AB43" i="41"/>
  <c r="AA43" i="41"/>
  <c r="Z43" i="41"/>
  <c r="Y43" i="41"/>
  <c r="X43" i="41"/>
  <c r="U43" i="41"/>
  <c r="T43" i="41"/>
  <c r="R43" i="41"/>
  <c r="O43" i="41"/>
  <c r="N43" i="41"/>
  <c r="L43" i="41"/>
  <c r="K43" i="41"/>
  <c r="BL42" i="41"/>
  <c r="BZ42" i="41" s="1"/>
  <c r="BK42" i="41"/>
  <c r="AY42" i="41"/>
  <c r="BW42" i="41" s="1"/>
  <c r="AP42" i="41"/>
  <c r="BT42" i="41" s="1"/>
  <c r="W42" i="41"/>
  <c r="AG42" i="41" s="1"/>
  <c r="V42" i="41"/>
  <c r="AF42" i="41" s="1"/>
  <c r="S42" i="41"/>
  <c r="M42" i="41"/>
  <c r="J42" i="41"/>
  <c r="Q42" i="41" s="1"/>
  <c r="BL41" i="41"/>
  <c r="BZ41" i="41" s="1"/>
  <c r="BK41" i="41"/>
  <c r="AY41" i="41"/>
  <c r="BW41" i="41" s="1"/>
  <c r="AP41" i="41"/>
  <c r="BT41" i="41" s="1"/>
  <c r="W41" i="41"/>
  <c r="AG41" i="41" s="1"/>
  <c r="V41" i="41"/>
  <c r="AF41" i="41" s="1"/>
  <c r="S41" i="41"/>
  <c r="M41" i="41"/>
  <c r="J41" i="41"/>
  <c r="Q41" i="41" s="1"/>
  <c r="BL40" i="41"/>
  <c r="BZ40" i="41" s="1"/>
  <c r="BK40" i="41"/>
  <c r="BY40" i="41" s="1"/>
  <c r="AY40" i="41"/>
  <c r="BW40" i="41" s="1"/>
  <c r="AP40" i="41"/>
  <c r="BT40" i="41" s="1"/>
  <c r="BS40" i="41"/>
  <c r="W40" i="41"/>
  <c r="AG40" i="41" s="1"/>
  <c r="BQ40" i="41" s="1"/>
  <c r="V40" i="41"/>
  <c r="S40" i="41"/>
  <c r="M40" i="41"/>
  <c r="J40" i="41"/>
  <c r="Q40" i="41" s="1"/>
  <c r="BL39" i="41"/>
  <c r="BZ39" i="41" s="1"/>
  <c r="BK39" i="41"/>
  <c r="BY39" i="41" s="1"/>
  <c r="AY39" i="41"/>
  <c r="BW39" i="41" s="1"/>
  <c r="AP39" i="41"/>
  <c r="BS39" i="41"/>
  <c r="W39" i="41"/>
  <c r="AG39" i="41" s="1"/>
  <c r="V39" i="41"/>
  <c r="AF39" i="41" s="1"/>
  <c r="S39" i="41"/>
  <c r="M39" i="41"/>
  <c r="J39" i="41"/>
  <c r="BL38" i="41"/>
  <c r="BZ38" i="41" s="1"/>
  <c r="BK38" i="41"/>
  <c r="BY38" i="41" s="1"/>
  <c r="AY38" i="41"/>
  <c r="BW38" i="41" s="1"/>
  <c r="AP38" i="41"/>
  <c r="BT38" i="41" s="1"/>
  <c r="BS38" i="41"/>
  <c r="W38" i="41"/>
  <c r="AG38" i="41" s="1"/>
  <c r="V38" i="41"/>
  <c r="AF38" i="41" s="1"/>
  <c r="BP38" i="41" s="1"/>
  <c r="S38" i="41"/>
  <c r="M38" i="41"/>
  <c r="J38" i="41"/>
  <c r="Q38" i="41" s="1"/>
  <c r="BL37" i="41"/>
  <c r="BZ37" i="41" s="1"/>
  <c r="BK37" i="41"/>
  <c r="AY37" i="41"/>
  <c r="BW37" i="41" s="1"/>
  <c r="AP37" i="41"/>
  <c r="W37" i="41"/>
  <c r="AG37" i="41" s="1"/>
  <c r="V37" i="41"/>
  <c r="AF37" i="41" s="1"/>
  <c r="BP37" i="41" s="1"/>
  <c r="S37" i="41"/>
  <c r="M37" i="41"/>
  <c r="J37" i="41"/>
  <c r="BJ36" i="41"/>
  <c r="BI36" i="41"/>
  <c r="BH36" i="41"/>
  <c r="BG36" i="41"/>
  <c r="BF36" i="41"/>
  <c r="BE36" i="41"/>
  <c r="BD36" i="41"/>
  <c r="BC36" i="41"/>
  <c r="BB36" i="41"/>
  <c r="BA36" i="41"/>
  <c r="AX36" i="41"/>
  <c r="AW36" i="41"/>
  <c r="AN36" i="41"/>
  <c r="AM36" i="41"/>
  <c r="AL36" i="41"/>
  <c r="AJ36" i="41"/>
  <c r="AI36" i="41"/>
  <c r="AE36" i="41"/>
  <c r="AD36" i="41"/>
  <c r="AC36" i="41"/>
  <c r="AB36" i="41"/>
  <c r="AA36" i="41"/>
  <c r="Z36" i="41"/>
  <c r="Y36" i="41"/>
  <c r="X36" i="41"/>
  <c r="U36" i="41"/>
  <c r="T36" i="41"/>
  <c r="R36" i="41"/>
  <c r="O36" i="41"/>
  <c r="N36" i="41"/>
  <c r="L36" i="41"/>
  <c r="K36" i="41"/>
  <c r="BL35" i="41"/>
  <c r="BZ35" i="41" s="1"/>
  <c r="BK35" i="41"/>
  <c r="BY35" i="41" s="1"/>
  <c r="AY35" i="41"/>
  <c r="BW35" i="41" s="1"/>
  <c r="AP35" i="41"/>
  <c r="BT35" i="41" s="1"/>
  <c r="BS35" i="41"/>
  <c r="W35" i="41"/>
  <c r="AG35" i="41" s="1"/>
  <c r="V35" i="41"/>
  <c r="AF35" i="41" s="1"/>
  <c r="S35" i="41"/>
  <c r="M35" i="41"/>
  <c r="J35" i="41"/>
  <c r="BL34" i="41"/>
  <c r="BZ34" i="41" s="1"/>
  <c r="BK34" i="41"/>
  <c r="BY34" i="41" s="1"/>
  <c r="AY34" i="41"/>
  <c r="BW34" i="41" s="1"/>
  <c r="AP34" i="41"/>
  <c r="BT34" i="41" s="1"/>
  <c r="W34" i="41"/>
  <c r="AG34" i="41" s="1"/>
  <c r="V34" i="41"/>
  <c r="AF34" i="41" s="1"/>
  <c r="S34" i="41"/>
  <c r="M34" i="41"/>
  <c r="J34" i="41"/>
  <c r="Q34" i="41" s="1"/>
  <c r="BL33" i="41"/>
  <c r="BZ33" i="41" s="1"/>
  <c r="BK33" i="41"/>
  <c r="AY33" i="41"/>
  <c r="BW33" i="41" s="1"/>
  <c r="AP33" i="41"/>
  <c r="BT33" i="41" s="1"/>
  <c r="W33" i="41"/>
  <c r="AG33" i="41" s="1"/>
  <c r="V33" i="41"/>
  <c r="AF33" i="41" s="1"/>
  <c r="BP33" i="41" s="1"/>
  <c r="S33" i="41"/>
  <c r="M33" i="41"/>
  <c r="J33" i="41"/>
  <c r="BL32" i="41"/>
  <c r="BZ32" i="41" s="1"/>
  <c r="BK32" i="41"/>
  <c r="BY32" i="41" s="1"/>
  <c r="AY32" i="41"/>
  <c r="BW32" i="41" s="1"/>
  <c r="AP32" i="41"/>
  <c r="W32" i="41"/>
  <c r="AG32" i="41" s="1"/>
  <c r="BQ32" i="41" s="1"/>
  <c r="V32" i="41"/>
  <c r="AF32" i="41" s="1"/>
  <c r="S32" i="41"/>
  <c r="M32" i="41"/>
  <c r="J32" i="41"/>
  <c r="Q32" i="41" s="1"/>
  <c r="BL31" i="41"/>
  <c r="BK31" i="41"/>
  <c r="BY31" i="41" s="1"/>
  <c r="AY31" i="41"/>
  <c r="AP31" i="41"/>
  <c r="BS31" i="41"/>
  <c r="W31" i="41"/>
  <c r="V31" i="41"/>
  <c r="AF31" i="41" s="1"/>
  <c r="S31" i="41"/>
  <c r="M31" i="41"/>
  <c r="J31" i="41"/>
  <c r="BL30" i="41"/>
  <c r="BZ30" i="41" s="1"/>
  <c r="BK30" i="41"/>
  <c r="AY30" i="41"/>
  <c r="BW30" i="41" s="1"/>
  <c r="AP30" i="41"/>
  <c r="BS30" i="41"/>
  <c r="W30" i="41"/>
  <c r="AG30" i="41" s="1"/>
  <c r="BQ30" i="41" s="1"/>
  <c r="V30" i="41"/>
  <c r="S30" i="41"/>
  <c r="M30" i="41"/>
  <c r="J30" i="41"/>
  <c r="BJ29" i="41"/>
  <c r="BI29" i="41"/>
  <c r="BH29" i="41"/>
  <c r="BG29" i="41"/>
  <c r="BF29" i="41"/>
  <c r="BE29" i="41"/>
  <c r="BD29" i="41"/>
  <c r="BC29" i="41"/>
  <c r="BB29" i="41"/>
  <c r="BA29" i="41"/>
  <c r="AX29" i="41"/>
  <c r="AW29" i="41"/>
  <c r="AN29" i="41"/>
  <c r="AM29" i="41"/>
  <c r="AL29" i="41"/>
  <c r="AJ29" i="41"/>
  <c r="AI29" i="41"/>
  <c r="AE29" i="41"/>
  <c r="AD29" i="41"/>
  <c r="AC29" i="41"/>
  <c r="AB29" i="41"/>
  <c r="AA29" i="41"/>
  <c r="Z29" i="41"/>
  <c r="Y29" i="41"/>
  <c r="X29" i="41"/>
  <c r="U29" i="41"/>
  <c r="T29" i="41"/>
  <c r="R29" i="41"/>
  <c r="O29" i="41"/>
  <c r="N29" i="41"/>
  <c r="L29" i="41"/>
  <c r="K29" i="41"/>
  <c r="BL28" i="41"/>
  <c r="BZ28" i="41" s="1"/>
  <c r="BK28" i="41"/>
  <c r="AY28" i="41"/>
  <c r="AP28" i="41"/>
  <c r="BT28" i="41" s="1"/>
  <c r="AO29" i="41"/>
  <c r="W28" i="41"/>
  <c r="V28" i="41"/>
  <c r="S28" i="41"/>
  <c r="M28" i="41"/>
  <c r="J28" i="41"/>
  <c r="BJ27" i="41"/>
  <c r="BI27" i="41"/>
  <c r="BH27" i="41"/>
  <c r="BG27" i="41"/>
  <c r="BF27" i="41"/>
  <c r="BE27" i="41"/>
  <c r="BD27" i="41"/>
  <c r="BB27" i="41"/>
  <c r="BA27" i="41"/>
  <c r="AX27" i="41"/>
  <c r="AW27" i="41"/>
  <c r="AN27" i="41"/>
  <c r="AM27" i="41"/>
  <c r="AL27" i="41"/>
  <c r="AE27" i="41"/>
  <c r="AD27" i="41"/>
  <c r="AC27" i="41"/>
  <c r="AB27" i="41"/>
  <c r="AA27" i="41"/>
  <c r="Z27" i="41"/>
  <c r="Y27" i="41"/>
  <c r="U27" i="41"/>
  <c r="T27" i="41"/>
  <c r="R27" i="41"/>
  <c r="O27" i="41"/>
  <c r="N27" i="41"/>
  <c r="L27" i="41"/>
  <c r="K27" i="41"/>
  <c r="BL26" i="41"/>
  <c r="BZ26" i="41" s="1"/>
  <c r="BK26" i="41"/>
  <c r="AY26" i="41"/>
  <c r="BW26" i="41" s="1"/>
  <c r="AP26" i="41"/>
  <c r="BT26" i="41" s="1"/>
  <c r="W26" i="41"/>
  <c r="AG26" i="41" s="1"/>
  <c r="V26" i="41"/>
  <c r="AF26" i="41" s="1"/>
  <c r="S26" i="41"/>
  <c r="M26" i="41"/>
  <c r="J26" i="41"/>
  <c r="Q26" i="41" s="1"/>
  <c r="BL25" i="41"/>
  <c r="BZ25" i="41" s="1"/>
  <c r="BK25" i="41"/>
  <c r="BY25" i="41" s="1"/>
  <c r="AY25" i="41"/>
  <c r="BW25" i="41" s="1"/>
  <c r="AP25" i="41"/>
  <c r="W25" i="41"/>
  <c r="AG25" i="41" s="1"/>
  <c r="BQ25" i="41" s="1"/>
  <c r="V25" i="41"/>
  <c r="AF25" i="41" s="1"/>
  <c r="S25" i="41"/>
  <c r="M25" i="41"/>
  <c r="J25" i="41"/>
  <c r="BL24" i="41"/>
  <c r="BZ24" i="41" s="1"/>
  <c r="BK24" i="41"/>
  <c r="BY24" i="41" s="1"/>
  <c r="AY24" i="41"/>
  <c r="BW24" i="41" s="1"/>
  <c r="AP24" i="41"/>
  <c r="BT24" i="41" s="1"/>
  <c r="BS24" i="41"/>
  <c r="W24" i="41"/>
  <c r="AG24" i="41" s="1"/>
  <c r="V24" i="41"/>
  <c r="AF24" i="41" s="1"/>
  <c r="S24" i="41"/>
  <c r="M24" i="41"/>
  <c r="J24" i="41"/>
  <c r="BL23" i="41"/>
  <c r="BZ23" i="41" s="1"/>
  <c r="BC23" i="41"/>
  <c r="BK23" i="41" s="1"/>
  <c r="BY23" i="41" s="1"/>
  <c r="AY23" i="41"/>
  <c r="BW23" i="41" s="1"/>
  <c r="AP23" i="41"/>
  <c r="BT23" i="41" s="1"/>
  <c r="X23" i="41"/>
  <c r="X27" i="41" s="1"/>
  <c r="W23" i="41"/>
  <c r="AG23" i="41" s="1"/>
  <c r="V23" i="41"/>
  <c r="S23" i="41"/>
  <c r="M23" i="41"/>
  <c r="J23" i="41"/>
  <c r="Q23" i="41" s="1"/>
  <c r="BL22" i="41"/>
  <c r="BK22" i="41"/>
  <c r="BY22" i="41" s="1"/>
  <c r="AY22" i="41"/>
  <c r="AJ22" i="41"/>
  <c r="AI22" i="41"/>
  <c r="S22" i="41"/>
  <c r="M22" i="41"/>
  <c r="J22" i="41"/>
  <c r="Q22" i="41" s="1"/>
  <c r="BJ21" i="41"/>
  <c r="BI21" i="41"/>
  <c r="BH21" i="41"/>
  <c r="BG21" i="41"/>
  <c r="BF21" i="41"/>
  <c r="BE21" i="41"/>
  <c r="BD21" i="41"/>
  <c r="BB21" i="41"/>
  <c r="BA21" i="41"/>
  <c r="AX21" i="41"/>
  <c r="AW21" i="41"/>
  <c r="AN21" i="41"/>
  <c r="AM21" i="41"/>
  <c r="AL21" i="41"/>
  <c r="AJ21" i="41"/>
  <c r="AI21" i="41"/>
  <c r="AE21" i="41"/>
  <c r="AD21" i="41"/>
  <c r="AC21" i="41"/>
  <c r="AB21" i="41"/>
  <c r="AA21" i="41"/>
  <c r="Z21" i="41"/>
  <c r="Y21" i="41"/>
  <c r="U21" i="41"/>
  <c r="T21" i="41"/>
  <c r="R21" i="41"/>
  <c r="O21" i="41"/>
  <c r="N21" i="41"/>
  <c r="L21" i="41"/>
  <c r="K21" i="41"/>
  <c r="BL20" i="41"/>
  <c r="BZ20" i="41" s="1"/>
  <c r="BK20" i="41"/>
  <c r="BY20" i="41" s="1"/>
  <c r="AY20" i="41"/>
  <c r="BW20" i="41" s="1"/>
  <c r="AP20" i="41"/>
  <c r="BT20" i="41" s="1"/>
  <c r="BS20" i="41"/>
  <c r="W20" i="41"/>
  <c r="AG20" i="41" s="1"/>
  <c r="V20" i="41"/>
  <c r="AF20" i="41" s="1"/>
  <c r="S20" i="41"/>
  <c r="M20" i="41"/>
  <c r="J20" i="41"/>
  <c r="Q20" i="41" s="1"/>
  <c r="BL19" i="41"/>
  <c r="BZ19" i="41" s="1"/>
  <c r="BK19" i="41"/>
  <c r="AY19" i="41"/>
  <c r="AP19" i="41"/>
  <c r="BS19" i="41"/>
  <c r="W19" i="41"/>
  <c r="AG19" i="41" s="1"/>
  <c r="V19" i="41"/>
  <c r="AF19" i="41" s="1"/>
  <c r="S19" i="41"/>
  <c r="M19" i="41"/>
  <c r="J19" i="41"/>
  <c r="BL18" i="41"/>
  <c r="BZ18" i="41" s="1"/>
  <c r="BC18" i="41"/>
  <c r="BC21" i="41" s="1"/>
  <c r="AY18" i="41"/>
  <c r="BW18" i="41" s="1"/>
  <c r="AP18" i="41"/>
  <c r="BT18" i="41" s="1"/>
  <c r="BS18" i="41"/>
  <c r="X18" i="41"/>
  <c r="X21" i="41" s="1"/>
  <c r="W18" i="41"/>
  <c r="AG18" i="41" s="1"/>
  <c r="V18" i="41"/>
  <c r="S18" i="41"/>
  <c r="M18" i="41"/>
  <c r="J18" i="41"/>
  <c r="Q18" i="41" s="1"/>
  <c r="BL17" i="41"/>
  <c r="BK17" i="41"/>
  <c r="AY17" i="41"/>
  <c r="BW17" i="41" s="1"/>
  <c r="AP17" i="41"/>
  <c r="BS17" i="41"/>
  <c r="W17" i="41"/>
  <c r="AG17" i="41" s="1"/>
  <c r="V17" i="41"/>
  <c r="S17" i="41"/>
  <c r="M17" i="41"/>
  <c r="J17" i="41"/>
  <c r="BJ16" i="41"/>
  <c r="BI16" i="41"/>
  <c r="BH16" i="41"/>
  <c r="BG16" i="41"/>
  <c r="BF16" i="41"/>
  <c r="BE16" i="41"/>
  <c r="BD16" i="41"/>
  <c r="BC16" i="41"/>
  <c r="BB16" i="41"/>
  <c r="BA16" i="41"/>
  <c r="AX16" i="41"/>
  <c r="AW16" i="41"/>
  <c r="AN16" i="41"/>
  <c r="AM16" i="41"/>
  <c r="AL16" i="41"/>
  <c r="AJ16" i="41"/>
  <c r="AI16" i="41"/>
  <c r="AE16" i="41"/>
  <c r="AD16" i="41"/>
  <c r="AC16" i="41"/>
  <c r="AB16" i="41"/>
  <c r="AA16" i="41"/>
  <c r="Z16" i="41"/>
  <c r="Y16" i="41"/>
  <c r="X16" i="41"/>
  <c r="U16" i="41"/>
  <c r="T16" i="41"/>
  <c r="R16" i="41"/>
  <c r="O16" i="41"/>
  <c r="N16" i="41"/>
  <c r="L16" i="41"/>
  <c r="K16" i="41"/>
  <c r="BL15" i="41"/>
  <c r="BK15" i="41"/>
  <c r="AY15" i="41"/>
  <c r="AP15" i="41"/>
  <c r="BS15" i="41"/>
  <c r="W15" i="41"/>
  <c r="V15" i="41"/>
  <c r="AF15" i="41" s="1"/>
  <c r="BP15" i="41" s="1"/>
  <c r="S15" i="41"/>
  <c r="M15" i="41"/>
  <c r="J15" i="41"/>
  <c r="Q15" i="41" s="1"/>
  <c r="BL14" i="41"/>
  <c r="BZ14" i="41" s="1"/>
  <c r="BK14" i="41"/>
  <c r="AY14" i="41"/>
  <c r="BW14" i="41" s="1"/>
  <c r="AP14" i="41"/>
  <c r="BT14" i="41" s="1"/>
  <c r="BS14" i="41"/>
  <c r="W14" i="41"/>
  <c r="AG14" i="41" s="1"/>
  <c r="BQ14" i="41" s="1"/>
  <c r="V14" i="41"/>
  <c r="AF14" i="41" s="1"/>
  <c r="S14" i="41"/>
  <c r="M14" i="41"/>
  <c r="J14" i="41"/>
  <c r="Q14" i="41" s="1"/>
  <c r="BL13" i="41"/>
  <c r="BZ13" i="41" s="1"/>
  <c r="BK13" i="41"/>
  <c r="BY13" i="41" s="1"/>
  <c r="AY13" i="41"/>
  <c r="BW13" i="41" s="1"/>
  <c r="AP13" i="41"/>
  <c r="BT13" i="41" s="1"/>
  <c r="BS13" i="41"/>
  <c r="W13" i="41"/>
  <c r="AG13" i="41" s="1"/>
  <c r="V13" i="41"/>
  <c r="AF13" i="41" s="1"/>
  <c r="S13" i="41"/>
  <c r="M13" i="41"/>
  <c r="J13" i="41"/>
  <c r="Q13" i="41" s="1"/>
  <c r="BL12" i="41"/>
  <c r="BK12" i="41"/>
  <c r="AY12" i="41"/>
  <c r="AP12" i="41"/>
  <c r="W12" i="41"/>
  <c r="V12" i="41"/>
  <c r="AF12" i="41" s="1"/>
  <c r="S12" i="41"/>
  <c r="M12" i="41"/>
  <c r="J12" i="41"/>
  <c r="Q12" i="41" s="1"/>
  <c r="BJ179" i="40"/>
  <c r="BI179" i="40"/>
  <c r="BH179" i="40"/>
  <c r="BG179" i="40"/>
  <c r="BF179" i="40"/>
  <c r="BE179" i="40"/>
  <c r="BD179" i="40"/>
  <c r="BC179" i="40"/>
  <c r="BB179" i="40"/>
  <c r="BA179" i="40"/>
  <c r="AX179" i="40"/>
  <c r="AW179" i="40"/>
  <c r="AN179" i="40"/>
  <c r="AM179" i="40"/>
  <c r="AL179" i="40"/>
  <c r="AJ179" i="40"/>
  <c r="AI179" i="40"/>
  <c r="AE179" i="40"/>
  <c r="AD179" i="40"/>
  <c r="AC179" i="40"/>
  <c r="AB179" i="40"/>
  <c r="AA179" i="40"/>
  <c r="Z179" i="40"/>
  <c r="Y179" i="40"/>
  <c r="X179" i="40"/>
  <c r="U179" i="40"/>
  <c r="T179" i="40"/>
  <c r="R179" i="40"/>
  <c r="O179" i="40"/>
  <c r="N179" i="40"/>
  <c r="L179" i="40"/>
  <c r="K179" i="40"/>
  <c r="BJ178" i="40"/>
  <c r="BI178" i="40"/>
  <c r="BH178" i="40"/>
  <c r="BG178" i="40"/>
  <c r="BF178" i="40"/>
  <c r="BE178" i="40"/>
  <c r="BD178" i="40"/>
  <c r="BC178" i="40"/>
  <c r="BB178" i="40"/>
  <c r="BA178" i="40"/>
  <c r="AX178" i="40"/>
  <c r="AW178" i="40"/>
  <c r="AN178" i="40"/>
  <c r="AM178" i="40"/>
  <c r="AL178" i="40"/>
  <c r="AJ178" i="40"/>
  <c r="AE178" i="40"/>
  <c r="AD178" i="40"/>
  <c r="AC178" i="40"/>
  <c r="AB178" i="40"/>
  <c r="AA178" i="40"/>
  <c r="Z178" i="40"/>
  <c r="Y178" i="40"/>
  <c r="X178" i="40"/>
  <c r="U178" i="40"/>
  <c r="T178" i="40"/>
  <c r="R178" i="40"/>
  <c r="O178" i="40"/>
  <c r="N178" i="40"/>
  <c r="L178" i="40"/>
  <c r="K178" i="40"/>
  <c r="BJ177" i="40"/>
  <c r="BI177" i="40"/>
  <c r="BH177" i="40"/>
  <c r="BG177" i="40"/>
  <c r="BF177" i="40"/>
  <c r="BE177" i="40"/>
  <c r="BD177" i="40"/>
  <c r="BC177" i="40"/>
  <c r="BB177" i="40"/>
  <c r="BA177" i="40"/>
  <c r="AX177" i="40"/>
  <c r="AW177" i="40"/>
  <c r="AN177" i="40"/>
  <c r="AM177" i="40"/>
  <c r="AL177" i="40"/>
  <c r="AJ177" i="40"/>
  <c r="AI177" i="40"/>
  <c r="AE177" i="40"/>
  <c r="AD177" i="40"/>
  <c r="AC177" i="40"/>
  <c r="AB177" i="40"/>
  <c r="AA177" i="40"/>
  <c r="Z177" i="40"/>
  <c r="Y177" i="40"/>
  <c r="X177" i="40"/>
  <c r="U177" i="40"/>
  <c r="T177" i="40"/>
  <c r="R177" i="40"/>
  <c r="O177" i="40"/>
  <c r="N177" i="40"/>
  <c r="L177" i="40"/>
  <c r="K177" i="40"/>
  <c r="BJ176" i="40"/>
  <c r="BI176" i="40"/>
  <c r="BH176" i="40"/>
  <c r="BG176" i="40"/>
  <c r="BF176" i="40"/>
  <c r="BE176" i="40"/>
  <c r="BD176" i="40"/>
  <c r="BC176" i="40"/>
  <c r="BB176" i="40"/>
  <c r="BA176" i="40"/>
  <c r="AX176" i="40"/>
  <c r="AW176" i="40"/>
  <c r="AN176" i="40"/>
  <c r="AM176" i="40"/>
  <c r="AL176" i="40"/>
  <c r="AJ176" i="40"/>
  <c r="AI176" i="40"/>
  <c r="AE176" i="40"/>
  <c r="AD176" i="40"/>
  <c r="AC176" i="40"/>
  <c r="AB176" i="40"/>
  <c r="AA176" i="40"/>
  <c r="Z176" i="40"/>
  <c r="Y176" i="40"/>
  <c r="X176" i="40"/>
  <c r="U176" i="40"/>
  <c r="T176" i="40"/>
  <c r="R176" i="40"/>
  <c r="O176" i="40"/>
  <c r="N176" i="40"/>
  <c r="L176" i="40"/>
  <c r="K176" i="40"/>
  <c r="BZ175" i="40"/>
  <c r="BY175" i="40"/>
  <c r="BX175" i="40"/>
  <c r="BW175" i="40"/>
  <c r="BV175" i="40"/>
  <c r="BU175" i="40"/>
  <c r="BT175" i="40"/>
  <c r="BS175" i="40"/>
  <c r="BR175" i="40"/>
  <c r="BQ175" i="40"/>
  <c r="BP175" i="40"/>
  <c r="BO175" i="40"/>
  <c r="BN175" i="40"/>
  <c r="BM175" i="40"/>
  <c r="BL175" i="40"/>
  <c r="BK175" i="40"/>
  <c r="BJ175" i="40"/>
  <c r="BI175" i="40"/>
  <c r="BH175" i="40"/>
  <c r="BG175" i="40"/>
  <c r="BF175" i="40"/>
  <c r="BE175" i="40"/>
  <c r="BD175" i="40"/>
  <c r="BC175" i="40"/>
  <c r="BB175" i="40"/>
  <c r="BA175" i="40"/>
  <c r="AZ175" i="40"/>
  <c r="AY175" i="40"/>
  <c r="AX175" i="40"/>
  <c r="AW175" i="40"/>
  <c r="AV175" i="40"/>
  <c r="AU175" i="40"/>
  <c r="AT175" i="40"/>
  <c r="AS175" i="40"/>
  <c r="AR175" i="40"/>
  <c r="AQ175" i="40"/>
  <c r="AP175" i="40"/>
  <c r="AO175" i="40"/>
  <c r="AN175" i="40"/>
  <c r="AM175" i="40"/>
  <c r="AL175" i="40"/>
  <c r="AJ175" i="40"/>
  <c r="AI175" i="40"/>
  <c r="AH175" i="40"/>
  <c r="AG175" i="40"/>
  <c r="AF175" i="40"/>
  <c r="AE175" i="40"/>
  <c r="AD175" i="40"/>
  <c r="AC175" i="40"/>
  <c r="AB175" i="40"/>
  <c r="AA175" i="40"/>
  <c r="Z175" i="40"/>
  <c r="Y175" i="40"/>
  <c r="X175" i="40"/>
  <c r="W175" i="40"/>
  <c r="V175" i="40"/>
  <c r="U175" i="40"/>
  <c r="T175" i="40"/>
  <c r="S175" i="40"/>
  <c r="R175" i="40"/>
  <c r="Q175" i="40"/>
  <c r="P175" i="40"/>
  <c r="O175" i="40"/>
  <c r="N175" i="40"/>
  <c r="M175" i="40"/>
  <c r="L175" i="40"/>
  <c r="K175" i="40"/>
  <c r="J175" i="40"/>
  <c r="I175" i="40"/>
  <c r="BJ174" i="40"/>
  <c r="BI174" i="40"/>
  <c r="BH174" i="40"/>
  <c r="BG174" i="40"/>
  <c r="BF174" i="40"/>
  <c r="BE174" i="40"/>
  <c r="BD174" i="40"/>
  <c r="BC174" i="40"/>
  <c r="BB174" i="40"/>
  <c r="BA174" i="40"/>
  <c r="AX174" i="40"/>
  <c r="AW174" i="40"/>
  <c r="AN174" i="40"/>
  <c r="AM174" i="40"/>
  <c r="AL174" i="40"/>
  <c r="AJ174" i="40"/>
  <c r="AE174" i="40"/>
  <c r="AD174" i="40"/>
  <c r="AC174" i="40"/>
  <c r="AB174" i="40"/>
  <c r="AA174" i="40"/>
  <c r="Z174" i="40"/>
  <c r="Y174" i="40"/>
  <c r="X174" i="40"/>
  <c r="U174" i="40"/>
  <c r="T174" i="40"/>
  <c r="R174" i="40"/>
  <c r="O174" i="40"/>
  <c r="N174" i="40"/>
  <c r="L174" i="40"/>
  <c r="K174" i="40"/>
  <c r="BJ173" i="40"/>
  <c r="BI173" i="40"/>
  <c r="BH173" i="40"/>
  <c r="BG173" i="40"/>
  <c r="BF173" i="40"/>
  <c r="BE173" i="40"/>
  <c r="BD173" i="40"/>
  <c r="BB173" i="40"/>
  <c r="BA173" i="40"/>
  <c r="AX173" i="40"/>
  <c r="AW173" i="40"/>
  <c r="AN173" i="40"/>
  <c r="AM173" i="40"/>
  <c r="AL173" i="40"/>
  <c r="AI173" i="40"/>
  <c r="AE173" i="40"/>
  <c r="AD173" i="40"/>
  <c r="AC173" i="40"/>
  <c r="AB173" i="40"/>
  <c r="AA173" i="40"/>
  <c r="Z173" i="40"/>
  <c r="Y173" i="40"/>
  <c r="U173" i="40"/>
  <c r="T173" i="40"/>
  <c r="R173" i="40"/>
  <c r="O173" i="40"/>
  <c r="N173" i="40"/>
  <c r="L173" i="40"/>
  <c r="K173" i="40"/>
  <c r="BJ172" i="40"/>
  <c r="BI172" i="40"/>
  <c r="BH172" i="40"/>
  <c r="BG172" i="40"/>
  <c r="BF172" i="40"/>
  <c r="BE172" i="40"/>
  <c r="BD172" i="40"/>
  <c r="BC172" i="40"/>
  <c r="BB172" i="40"/>
  <c r="BA172" i="40"/>
  <c r="AX172" i="40"/>
  <c r="AW172" i="40"/>
  <c r="AN172" i="40"/>
  <c r="AM172" i="40"/>
  <c r="AL172" i="40"/>
  <c r="AJ172" i="40"/>
  <c r="AI172" i="40"/>
  <c r="AE172" i="40"/>
  <c r="AD172" i="40"/>
  <c r="AC172" i="40"/>
  <c r="AB172" i="40"/>
  <c r="AA172" i="40"/>
  <c r="Z172" i="40"/>
  <c r="Y172" i="40"/>
  <c r="X172" i="40"/>
  <c r="U172" i="40"/>
  <c r="T172" i="40"/>
  <c r="R172" i="40"/>
  <c r="O172" i="40"/>
  <c r="N172" i="40"/>
  <c r="L172" i="40"/>
  <c r="K172" i="40"/>
  <c r="BJ171" i="40"/>
  <c r="BI171" i="40"/>
  <c r="BH171" i="40"/>
  <c r="BG171" i="40"/>
  <c r="BF171" i="40"/>
  <c r="BE171" i="40"/>
  <c r="BD171" i="40"/>
  <c r="BB171" i="40"/>
  <c r="BA171" i="40"/>
  <c r="AX171" i="40"/>
  <c r="AW171" i="40"/>
  <c r="AN171" i="40"/>
  <c r="AM171" i="40"/>
  <c r="AL171" i="40"/>
  <c r="AE171" i="40"/>
  <c r="AD171" i="40"/>
  <c r="AC171" i="40"/>
  <c r="AB171" i="40"/>
  <c r="AA171" i="40"/>
  <c r="Z171" i="40"/>
  <c r="Y171" i="40"/>
  <c r="U171" i="40"/>
  <c r="T171" i="40"/>
  <c r="R171" i="40"/>
  <c r="O171" i="40"/>
  <c r="N171" i="40"/>
  <c r="L171" i="40"/>
  <c r="K171" i="40"/>
  <c r="BJ170" i="40"/>
  <c r="BI170" i="40"/>
  <c r="BH170" i="40"/>
  <c r="BG170" i="40"/>
  <c r="BF170" i="40"/>
  <c r="BE170" i="40"/>
  <c r="BD170" i="40"/>
  <c r="BC170" i="40"/>
  <c r="BB170" i="40"/>
  <c r="BA170" i="40"/>
  <c r="AX170" i="40"/>
  <c r="AW170" i="40"/>
  <c r="AN170" i="40"/>
  <c r="AM170" i="40"/>
  <c r="AL170" i="40"/>
  <c r="AJ170" i="40"/>
  <c r="AE170" i="40"/>
  <c r="AD170" i="40"/>
  <c r="AC170" i="40"/>
  <c r="AB170" i="40"/>
  <c r="AA170" i="40"/>
  <c r="Z170" i="40"/>
  <c r="Y170" i="40"/>
  <c r="X170" i="40"/>
  <c r="U170" i="40"/>
  <c r="T170" i="40"/>
  <c r="R170" i="40"/>
  <c r="O170" i="40"/>
  <c r="N170" i="40"/>
  <c r="L170" i="40"/>
  <c r="K170" i="40"/>
  <c r="BJ165" i="40"/>
  <c r="BI165" i="40"/>
  <c r="BH165" i="40"/>
  <c r="BG165" i="40"/>
  <c r="BF165" i="40"/>
  <c r="BE165" i="40"/>
  <c r="BD165" i="40"/>
  <c r="BC165" i="40"/>
  <c r="BB165" i="40"/>
  <c r="BA165" i="40"/>
  <c r="AX165" i="40"/>
  <c r="AW165" i="40"/>
  <c r="AN165" i="40"/>
  <c r="AM165" i="40"/>
  <c r="AL165" i="40"/>
  <c r="AJ165" i="40"/>
  <c r="AI165" i="40"/>
  <c r="AE165" i="40"/>
  <c r="AD165" i="40"/>
  <c r="AC165" i="40"/>
  <c r="AB165" i="40"/>
  <c r="AA165" i="40"/>
  <c r="Z165" i="40"/>
  <c r="Y165" i="40"/>
  <c r="X165" i="40"/>
  <c r="U165" i="40"/>
  <c r="T165" i="40"/>
  <c r="R165" i="40"/>
  <c r="O165" i="40"/>
  <c r="N165" i="40"/>
  <c r="L165" i="40"/>
  <c r="K165" i="40"/>
  <c r="BL164" i="40"/>
  <c r="BZ164" i="40" s="1"/>
  <c r="BK164" i="40"/>
  <c r="BY164" i="40" s="1"/>
  <c r="AY164" i="40"/>
  <c r="BW164" i="40" s="1"/>
  <c r="AP164" i="40"/>
  <c r="BT164" i="40" s="1"/>
  <c r="W164" i="40"/>
  <c r="AG164" i="40" s="1"/>
  <c r="BQ164" i="40" s="1"/>
  <c r="V164" i="40"/>
  <c r="AF164" i="40" s="1"/>
  <c r="S164" i="40"/>
  <c r="Q164" i="40"/>
  <c r="M164" i="40"/>
  <c r="P164" i="40" s="1"/>
  <c r="BL163" i="40"/>
  <c r="BZ163" i="40" s="1"/>
  <c r="BK163" i="40"/>
  <c r="BY163" i="40" s="1"/>
  <c r="AY163" i="40"/>
  <c r="BW163" i="40" s="1"/>
  <c r="AP163" i="40"/>
  <c r="BT163" i="40" s="1"/>
  <c r="BS163" i="40"/>
  <c r="W163" i="40"/>
  <c r="AG163" i="40" s="1"/>
  <c r="V163" i="40"/>
  <c r="AF163" i="40" s="1"/>
  <c r="S163" i="40"/>
  <c r="M163" i="40"/>
  <c r="Q163" i="40"/>
  <c r="BL162" i="40"/>
  <c r="BK162" i="40"/>
  <c r="AY162" i="40"/>
  <c r="AP162" i="40"/>
  <c r="BS162" i="40"/>
  <c r="W162" i="40"/>
  <c r="V162" i="40"/>
  <c r="S162" i="40"/>
  <c r="M162" i="40"/>
  <c r="BJ161" i="40"/>
  <c r="BI161" i="40"/>
  <c r="BH161" i="40"/>
  <c r="BG161" i="40"/>
  <c r="BF161" i="40"/>
  <c r="BE161" i="40"/>
  <c r="BD161" i="40"/>
  <c r="BC161" i="40"/>
  <c r="BB161" i="40"/>
  <c r="BA161" i="40"/>
  <c r="AX161" i="40"/>
  <c r="AW161" i="40"/>
  <c r="AN161" i="40"/>
  <c r="AM161" i="40"/>
  <c r="AL161" i="40"/>
  <c r="AJ161" i="40"/>
  <c r="AI161" i="40"/>
  <c r="AE161" i="40"/>
  <c r="AD161" i="40"/>
  <c r="AC161" i="40"/>
  <c r="AB161" i="40"/>
  <c r="AA161" i="40"/>
  <c r="Z161" i="40"/>
  <c r="Y161" i="40"/>
  <c r="X161" i="40"/>
  <c r="U161" i="40"/>
  <c r="T161" i="40"/>
  <c r="R161" i="40"/>
  <c r="O161" i="40"/>
  <c r="N161" i="40"/>
  <c r="L161" i="40"/>
  <c r="K161" i="40"/>
  <c r="BL160" i="40"/>
  <c r="BZ160" i="40" s="1"/>
  <c r="BK160" i="40"/>
  <c r="BY160" i="40" s="1"/>
  <c r="AY160" i="40"/>
  <c r="BW160" i="40" s="1"/>
  <c r="AP160" i="40"/>
  <c r="BT160" i="40" s="1"/>
  <c r="W160" i="40"/>
  <c r="AG160" i="40" s="1"/>
  <c r="BQ160" i="40" s="1"/>
  <c r="V160" i="40"/>
  <c r="AF160" i="40" s="1"/>
  <c r="BP160" i="40" s="1"/>
  <c r="S160" i="40"/>
  <c r="M160" i="40"/>
  <c r="BL159" i="40"/>
  <c r="BZ159" i="40" s="1"/>
  <c r="BK159" i="40"/>
  <c r="AY159" i="40"/>
  <c r="BW159" i="40" s="1"/>
  <c r="AP159" i="40"/>
  <c r="BT159" i="40" s="1"/>
  <c r="W159" i="40"/>
  <c r="AG159" i="40" s="1"/>
  <c r="V159" i="40"/>
  <c r="AF159" i="40" s="1"/>
  <c r="S159" i="40"/>
  <c r="M159" i="40"/>
  <c r="BL158" i="40"/>
  <c r="BZ158" i="40" s="1"/>
  <c r="BK158" i="40"/>
  <c r="AY158" i="40"/>
  <c r="BW158" i="40" s="1"/>
  <c r="AP158" i="40"/>
  <c r="BT158" i="40" s="1"/>
  <c r="BS158" i="40"/>
  <c r="W158" i="40"/>
  <c r="AG158" i="40" s="1"/>
  <c r="V158" i="40"/>
  <c r="AF158" i="40" s="1"/>
  <c r="S158" i="40"/>
  <c r="M158" i="40"/>
  <c r="P158" i="40" s="1"/>
  <c r="BL157" i="40"/>
  <c r="BZ157" i="40" s="1"/>
  <c r="BK157" i="40"/>
  <c r="AY157" i="40"/>
  <c r="BW157" i="40" s="1"/>
  <c r="AP157" i="40"/>
  <c r="BT157" i="40" s="1"/>
  <c r="W157" i="40"/>
  <c r="AG157" i="40" s="1"/>
  <c r="V157" i="40"/>
  <c r="AF157" i="40" s="1"/>
  <c r="S157" i="40"/>
  <c r="M157" i="40"/>
  <c r="BL156" i="40"/>
  <c r="BZ156" i="40" s="1"/>
  <c r="BK156" i="40"/>
  <c r="BY156" i="40" s="1"/>
  <c r="AY156" i="40"/>
  <c r="AP156" i="40"/>
  <c r="BT156" i="40" s="1"/>
  <c r="W156" i="40"/>
  <c r="V156" i="40"/>
  <c r="AF156" i="40" s="1"/>
  <c r="S156" i="40"/>
  <c r="M156" i="40"/>
  <c r="BJ155" i="40"/>
  <c r="BI155" i="40"/>
  <c r="BH155" i="40"/>
  <c r="BG155" i="40"/>
  <c r="BF155" i="40"/>
  <c r="BE155" i="40"/>
  <c r="BD155" i="40"/>
  <c r="BC155" i="40"/>
  <c r="BB155" i="40"/>
  <c r="BA155" i="40"/>
  <c r="AX155" i="40"/>
  <c r="AW155" i="40"/>
  <c r="AN155" i="40"/>
  <c r="AM155" i="40"/>
  <c r="AL155" i="40"/>
  <c r="AJ155" i="40"/>
  <c r="AI155" i="40"/>
  <c r="AE155" i="40"/>
  <c r="AD155" i="40"/>
  <c r="AC155" i="40"/>
  <c r="AB155" i="40"/>
  <c r="AA155" i="40"/>
  <c r="Z155" i="40"/>
  <c r="Y155" i="40"/>
  <c r="X155" i="40"/>
  <c r="U155" i="40"/>
  <c r="T155" i="40"/>
  <c r="R155" i="40"/>
  <c r="O155" i="40"/>
  <c r="N155" i="40"/>
  <c r="L155" i="40"/>
  <c r="K155" i="40"/>
  <c r="BL154" i="40"/>
  <c r="BZ154" i="40" s="1"/>
  <c r="BK154" i="40"/>
  <c r="AY154" i="40"/>
  <c r="BW154" i="40" s="1"/>
  <c r="AP154" i="40"/>
  <c r="BT154" i="40" s="1"/>
  <c r="BS154" i="40"/>
  <c r="W154" i="40"/>
  <c r="AG154" i="40" s="1"/>
  <c r="V154" i="40"/>
  <c r="AF154" i="40" s="1"/>
  <c r="S154" i="40"/>
  <c r="Q154" i="40"/>
  <c r="M154" i="40"/>
  <c r="BL153" i="40"/>
  <c r="BK153" i="40"/>
  <c r="BY153" i="40" s="1"/>
  <c r="AY153" i="40"/>
  <c r="BW153" i="40" s="1"/>
  <c r="AP153" i="40"/>
  <c r="BT153" i="40" s="1"/>
  <c r="BS153" i="40"/>
  <c r="W153" i="40"/>
  <c r="AG153" i="40" s="1"/>
  <c r="V153" i="40"/>
  <c r="AF153" i="40" s="1"/>
  <c r="S153" i="40"/>
  <c r="M153" i="40"/>
  <c r="BL152" i="40"/>
  <c r="BZ152" i="40" s="1"/>
  <c r="BK152" i="40"/>
  <c r="AY152" i="40"/>
  <c r="AP152" i="40"/>
  <c r="W152" i="40"/>
  <c r="V152" i="40"/>
  <c r="S152" i="40"/>
  <c r="M152" i="40"/>
  <c r="BJ151" i="40"/>
  <c r="BI151" i="40"/>
  <c r="BH151" i="40"/>
  <c r="BG151" i="40"/>
  <c r="BF151" i="40"/>
  <c r="BE151" i="40"/>
  <c r="BD151" i="40"/>
  <c r="BC151" i="40"/>
  <c r="BB151" i="40"/>
  <c r="BA151" i="40"/>
  <c r="AX151" i="40"/>
  <c r="AW151" i="40"/>
  <c r="AN151" i="40"/>
  <c r="AM151" i="40"/>
  <c r="AL151" i="40"/>
  <c r="AJ151" i="40"/>
  <c r="AI151" i="40"/>
  <c r="AE151" i="40"/>
  <c r="AD151" i="40"/>
  <c r="AC151" i="40"/>
  <c r="AB151" i="40"/>
  <c r="AA151" i="40"/>
  <c r="Z151" i="40"/>
  <c r="Y151" i="40"/>
  <c r="X151" i="40"/>
  <c r="U151" i="40"/>
  <c r="T151" i="40"/>
  <c r="R151" i="40"/>
  <c r="O151" i="40"/>
  <c r="N151" i="40"/>
  <c r="L151" i="40"/>
  <c r="K151" i="40"/>
  <c r="BL150" i="40"/>
  <c r="BZ150" i="40" s="1"/>
  <c r="BK150" i="40"/>
  <c r="BY150" i="40" s="1"/>
  <c r="AY150" i="40"/>
  <c r="BW150" i="40" s="1"/>
  <c r="AP150" i="40"/>
  <c r="BT150" i="40" s="1"/>
  <c r="W150" i="40"/>
  <c r="AG150" i="40" s="1"/>
  <c r="BQ150" i="40" s="1"/>
  <c r="V150" i="40"/>
  <c r="AF150" i="40" s="1"/>
  <c r="S150" i="40"/>
  <c r="M150" i="40"/>
  <c r="BL149" i="40"/>
  <c r="BZ149" i="40" s="1"/>
  <c r="BK149" i="40"/>
  <c r="BY149" i="40" s="1"/>
  <c r="AY149" i="40"/>
  <c r="BW149" i="40" s="1"/>
  <c r="AP149" i="40"/>
  <c r="BT149" i="40" s="1"/>
  <c r="W149" i="40"/>
  <c r="AG149" i="40" s="1"/>
  <c r="V149" i="40"/>
  <c r="AF149" i="40" s="1"/>
  <c r="S149" i="40"/>
  <c r="M149" i="40"/>
  <c r="BL148" i="40"/>
  <c r="BK148" i="40"/>
  <c r="BY148" i="40" s="1"/>
  <c r="AY148" i="40"/>
  <c r="BW148" i="40" s="1"/>
  <c r="AP148" i="40"/>
  <c r="BT148" i="40" s="1"/>
  <c r="W148" i="40"/>
  <c r="AG148" i="40" s="1"/>
  <c r="V148" i="40"/>
  <c r="AF148" i="40" s="1"/>
  <c r="S148" i="40"/>
  <c r="M148" i="40"/>
  <c r="BL147" i="40"/>
  <c r="BK147" i="40"/>
  <c r="BY147" i="40" s="1"/>
  <c r="AY147" i="40"/>
  <c r="BW147" i="40" s="1"/>
  <c r="AP147" i="40"/>
  <c r="BT147" i="40" s="1"/>
  <c r="W147" i="40"/>
  <c r="AG147" i="40" s="1"/>
  <c r="V147" i="40"/>
  <c r="AF147" i="40" s="1"/>
  <c r="S147" i="40"/>
  <c r="M147" i="40"/>
  <c r="BL146" i="40"/>
  <c r="BK146" i="40"/>
  <c r="BY146" i="40" s="1"/>
  <c r="AY146" i="40"/>
  <c r="BW146" i="40" s="1"/>
  <c r="AP146" i="40"/>
  <c r="W146" i="40"/>
  <c r="AG146" i="40" s="1"/>
  <c r="V146" i="40"/>
  <c r="AF146" i="40" s="1"/>
  <c r="S146" i="40"/>
  <c r="M146" i="40"/>
  <c r="BL145" i="40"/>
  <c r="BZ145" i="40" s="1"/>
  <c r="BK145" i="40"/>
  <c r="AY145" i="40"/>
  <c r="AP145" i="40"/>
  <c r="BT145" i="40" s="1"/>
  <c r="BS145" i="40"/>
  <c r="W145" i="40"/>
  <c r="V145" i="40"/>
  <c r="AF145" i="40" s="1"/>
  <c r="S145" i="40"/>
  <c r="M145" i="40"/>
  <c r="Q145" i="40"/>
  <c r="BJ144" i="40"/>
  <c r="BI144" i="40"/>
  <c r="BH144" i="40"/>
  <c r="BG144" i="40"/>
  <c r="BF144" i="40"/>
  <c r="BE144" i="40"/>
  <c r="BD144" i="40"/>
  <c r="BB144" i="40"/>
  <c r="BA144" i="40"/>
  <c r="AX144" i="40"/>
  <c r="AW144" i="40"/>
  <c r="AN144" i="40"/>
  <c r="AM144" i="40"/>
  <c r="AL144" i="40"/>
  <c r="AJ144" i="40"/>
  <c r="AI144" i="40"/>
  <c r="AE144" i="40"/>
  <c r="AD144" i="40"/>
  <c r="AC144" i="40"/>
  <c r="AB144" i="40"/>
  <c r="AA144" i="40"/>
  <c r="Z144" i="40"/>
  <c r="Y144" i="40"/>
  <c r="U144" i="40"/>
  <c r="T144" i="40"/>
  <c r="R144" i="40"/>
  <c r="O144" i="40"/>
  <c r="N144" i="40"/>
  <c r="L144" i="40"/>
  <c r="K144" i="40"/>
  <c r="BL143" i="40"/>
  <c r="BZ143" i="40" s="1"/>
  <c r="BK143" i="40"/>
  <c r="AY143" i="40"/>
  <c r="BW143" i="40" s="1"/>
  <c r="AP143" i="40"/>
  <c r="BT143" i="40" s="1"/>
  <c r="W143" i="40"/>
  <c r="AG143" i="40" s="1"/>
  <c r="V143" i="40"/>
  <c r="AF143" i="40" s="1"/>
  <c r="S143" i="40"/>
  <c r="M143" i="40"/>
  <c r="BL142" i="40"/>
  <c r="BZ142" i="40" s="1"/>
  <c r="BK142" i="40"/>
  <c r="BY142" i="40" s="1"/>
  <c r="AY142" i="40"/>
  <c r="BW142" i="40" s="1"/>
  <c r="AP142" i="40"/>
  <c r="BT142" i="40" s="1"/>
  <c r="W142" i="40"/>
  <c r="AG142" i="40" s="1"/>
  <c r="BQ142" i="40" s="1"/>
  <c r="V142" i="40"/>
  <c r="AF142" i="40" s="1"/>
  <c r="S142" i="40"/>
  <c r="M142" i="40"/>
  <c r="BL141" i="40"/>
  <c r="BZ141" i="40" s="1"/>
  <c r="BK141" i="40"/>
  <c r="AY141" i="40"/>
  <c r="BW141" i="40" s="1"/>
  <c r="AP141" i="40"/>
  <c r="BT141" i="40" s="1"/>
  <c r="BS141" i="40"/>
  <c r="W141" i="40"/>
  <c r="AG141" i="40" s="1"/>
  <c r="BQ141" i="40" s="1"/>
  <c r="V141" i="40"/>
  <c r="AF141" i="40" s="1"/>
  <c r="S141" i="40"/>
  <c r="M141" i="40"/>
  <c r="BL140" i="40"/>
  <c r="BZ140" i="40" s="1"/>
  <c r="BC140" i="40"/>
  <c r="BC144" i="40" s="1"/>
  <c r="AY140" i="40"/>
  <c r="BW140" i="40" s="1"/>
  <c r="AP140" i="40"/>
  <c r="BT140" i="40" s="1"/>
  <c r="X140" i="40"/>
  <c r="X144" i="40" s="1"/>
  <c r="W140" i="40"/>
  <c r="AG140" i="40" s="1"/>
  <c r="V140" i="40"/>
  <c r="S140" i="40"/>
  <c r="M140" i="40"/>
  <c r="BL139" i="40"/>
  <c r="BZ139" i="40" s="1"/>
  <c r="BK139" i="40"/>
  <c r="BY139" i="40" s="1"/>
  <c r="AY139" i="40"/>
  <c r="BW139" i="40" s="1"/>
  <c r="AP139" i="40"/>
  <c r="BT139" i="40" s="1"/>
  <c r="BS139" i="40"/>
  <c r="W139" i="40"/>
  <c r="AG139" i="40" s="1"/>
  <c r="BQ139" i="40" s="1"/>
  <c r="V139" i="40"/>
  <c r="AF139" i="40" s="1"/>
  <c r="S139" i="40"/>
  <c r="M139" i="40"/>
  <c r="BL138" i="40"/>
  <c r="BZ138" i="40" s="1"/>
  <c r="BK138" i="40"/>
  <c r="BY138" i="40" s="1"/>
  <c r="AY138" i="40"/>
  <c r="BW138" i="40" s="1"/>
  <c r="AP138" i="40"/>
  <c r="BT138" i="40" s="1"/>
  <c r="W138" i="40"/>
  <c r="V138" i="40"/>
  <c r="AF138" i="40" s="1"/>
  <c r="BP138" i="40" s="1"/>
  <c r="S138" i="40"/>
  <c r="M138" i="40"/>
  <c r="BJ137" i="40"/>
  <c r="BI137" i="40"/>
  <c r="BH137" i="40"/>
  <c r="BG137" i="40"/>
  <c r="BF137" i="40"/>
  <c r="BE137" i="40"/>
  <c r="BD137" i="40"/>
  <c r="BC137" i="40"/>
  <c r="BB137" i="40"/>
  <c r="BA137" i="40"/>
  <c r="AX137" i="40"/>
  <c r="AW137" i="40"/>
  <c r="AN137" i="40"/>
  <c r="AM137" i="40"/>
  <c r="AL137" i="40"/>
  <c r="AJ137" i="40"/>
  <c r="AI137" i="40"/>
  <c r="AE137" i="40"/>
  <c r="AD137" i="40"/>
  <c r="AC137" i="40"/>
  <c r="AB137" i="40"/>
  <c r="AA137" i="40"/>
  <c r="Z137" i="40"/>
  <c r="Y137" i="40"/>
  <c r="X137" i="40"/>
  <c r="U137" i="40"/>
  <c r="T137" i="40"/>
  <c r="R137" i="40"/>
  <c r="O137" i="40"/>
  <c r="N137" i="40"/>
  <c r="L137" i="40"/>
  <c r="K137" i="40"/>
  <c r="BL136" i="40"/>
  <c r="BZ136" i="40" s="1"/>
  <c r="BK136" i="40"/>
  <c r="AY136" i="40"/>
  <c r="BW136" i="40" s="1"/>
  <c r="AP136" i="40"/>
  <c r="BT136" i="40" s="1"/>
  <c r="W136" i="40"/>
  <c r="AG136" i="40" s="1"/>
  <c r="BQ136" i="40" s="1"/>
  <c r="V136" i="40"/>
  <c r="AF136" i="40" s="1"/>
  <c r="S136" i="40"/>
  <c r="M136" i="40"/>
  <c r="Q136" i="40"/>
  <c r="BL135" i="40"/>
  <c r="BZ135" i="40" s="1"/>
  <c r="BK135" i="40"/>
  <c r="BY135" i="40" s="1"/>
  <c r="AY135" i="40"/>
  <c r="BW135" i="40" s="1"/>
  <c r="AP135" i="40"/>
  <c r="BT135" i="40" s="1"/>
  <c r="W135" i="40"/>
  <c r="AG135" i="40" s="1"/>
  <c r="V135" i="40"/>
  <c r="AF135" i="40" s="1"/>
  <c r="S135" i="40"/>
  <c r="M135" i="40"/>
  <c r="Q135" i="40"/>
  <c r="BL134" i="40"/>
  <c r="BK134" i="40"/>
  <c r="BY134" i="40" s="1"/>
  <c r="AY134" i="40"/>
  <c r="BW134" i="40" s="1"/>
  <c r="AP134" i="40"/>
  <c r="BT134" i="40" s="1"/>
  <c r="BS134" i="40"/>
  <c r="W134" i="40"/>
  <c r="AG134" i="40" s="1"/>
  <c r="V134" i="40"/>
  <c r="AF134" i="40" s="1"/>
  <c r="S134" i="40"/>
  <c r="Q134" i="40"/>
  <c r="M134" i="40"/>
  <c r="P134" i="40" s="1"/>
  <c r="BL133" i="40"/>
  <c r="BK133" i="40"/>
  <c r="BY133" i="40" s="1"/>
  <c r="AY133" i="40"/>
  <c r="BW133" i="40" s="1"/>
  <c r="AP133" i="40"/>
  <c r="BS133" i="40"/>
  <c r="W133" i="40"/>
  <c r="AG133" i="40" s="1"/>
  <c r="V133" i="40"/>
  <c r="AF133" i="40" s="1"/>
  <c r="S133" i="40"/>
  <c r="M133" i="40"/>
  <c r="BL132" i="40"/>
  <c r="BZ132" i="40" s="1"/>
  <c r="BK132" i="40"/>
  <c r="AY132" i="40"/>
  <c r="BW132" i="40" s="1"/>
  <c r="AP132" i="40"/>
  <c r="BS132" i="40"/>
  <c r="W132" i="40"/>
  <c r="AG132" i="40" s="1"/>
  <c r="V132" i="40"/>
  <c r="AF132" i="40" s="1"/>
  <c r="S132" i="40"/>
  <c r="M132" i="40"/>
  <c r="BL131" i="40"/>
  <c r="BZ131" i="40" s="1"/>
  <c r="BK131" i="40"/>
  <c r="BY131" i="40" s="1"/>
  <c r="AY131" i="40"/>
  <c r="BW131" i="40" s="1"/>
  <c r="AP131" i="40"/>
  <c r="W131" i="40"/>
  <c r="V131" i="40"/>
  <c r="AF131" i="40" s="1"/>
  <c r="BP131" i="40" s="1"/>
  <c r="S131" i="40"/>
  <c r="M131" i="40"/>
  <c r="BJ130" i="40"/>
  <c r="BI130" i="40"/>
  <c r="BH130" i="40"/>
  <c r="BG130" i="40"/>
  <c r="BF130" i="40"/>
  <c r="BE130" i="40"/>
  <c r="BD130" i="40"/>
  <c r="BC130" i="40"/>
  <c r="BB130" i="40"/>
  <c r="BA130" i="40"/>
  <c r="AX130" i="40"/>
  <c r="AW130" i="40"/>
  <c r="AN130" i="40"/>
  <c r="AM130" i="40"/>
  <c r="AL130" i="40"/>
  <c r="AJ130" i="40"/>
  <c r="AI130" i="40"/>
  <c r="AE130" i="40"/>
  <c r="AD130" i="40"/>
  <c r="AC130" i="40"/>
  <c r="AB130" i="40"/>
  <c r="AA130" i="40"/>
  <c r="Z130" i="40"/>
  <c r="Y130" i="40"/>
  <c r="X130" i="40"/>
  <c r="U130" i="40"/>
  <c r="T130" i="40"/>
  <c r="R130" i="40"/>
  <c r="O130" i="40"/>
  <c r="N130" i="40"/>
  <c r="L130" i="40"/>
  <c r="K130" i="40"/>
  <c r="BL129" i="40"/>
  <c r="BK129" i="40"/>
  <c r="BY129" i="40" s="1"/>
  <c r="AY129" i="40"/>
  <c r="AP129" i="40"/>
  <c r="BT129" i="40" s="1"/>
  <c r="W129" i="40"/>
  <c r="AG129" i="40" s="1"/>
  <c r="V129" i="40"/>
  <c r="AF129" i="40" s="1"/>
  <c r="S129" i="40"/>
  <c r="M129" i="40"/>
  <c r="BL128" i="40"/>
  <c r="BK128" i="40"/>
  <c r="BY128" i="40" s="1"/>
  <c r="AY128" i="40"/>
  <c r="BW128" i="40" s="1"/>
  <c r="AP128" i="40"/>
  <c r="BT128" i="40" s="1"/>
  <c r="W128" i="40"/>
  <c r="AG128" i="40" s="1"/>
  <c r="V128" i="40"/>
  <c r="S128" i="40"/>
  <c r="M128" i="40"/>
  <c r="Q128" i="40"/>
  <c r="BJ127" i="40"/>
  <c r="BI127" i="40"/>
  <c r="BH127" i="40"/>
  <c r="BG127" i="40"/>
  <c r="BF127" i="40"/>
  <c r="BE127" i="40"/>
  <c r="BD127" i="40"/>
  <c r="BC127" i="40"/>
  <c r="BB127" i="40"/>
  <c r="BA127" i="40"/>
  <c r="AX127" i="40"/>
  <c r="AW127" i="40"/>
  <c r="AN127" i="40"/>
  <c r="AM127" i="40"/>
  <c r="AL127" i="40"/>
  <c r="AJ127" i="40"/>
  <c r="AI127" i="40"/>
  <c r="AE127" i="40"/>
  <c r="AD127" i="40"/>
  <c r="AC127" i="40"/>
  <c r="AB127" i="40"/>
  <c r="AA127" i="40"/>
  <c r="Z127" i="40"/>
  <c r="Y127" i="40"/>
  <c r="X127" i="40"/>
  <c r="U127" i="40"/>
  <c r="T127" i="40"/>
  <c r="R127" i="40"/>
  <c r="O127" i="40"/>
  <c r="N127" i="40"/>
  <c r="L127" i="40"/>
  <c r="K127" i="40"/>
  <c r="BL126" i="40"/>
  <c r="BZ126" i="40" s="1"/>
  <c r="BK126" i="40"/>
  <c r="AY126" i="40"/>
  <c r="BW126" i="40" s="1"/>
  <c r="AP126" i="40"/>
  <c r="BT126" i="40" s="1"/>
  <c r="W126" i="40"/>
  <c r="AG126" i="40" s="1"/>
  <c r="BQ126" i="40" s="1"/>
  <c r="V126" i="40"/>
  <c r="AF126" i="40" s="1"/>
  <c r="BP126" i="40" s="1"/>
  <c r="S126" i="40"/>
  <c r="M126" i="40"/>
  <c r="BL125" i="40"/>
  <c r="BZ125" i="40" s="1"/>
  <c r="BK125" i="40"/>
  <c r="AY125" i="40"/>
  <c r="AP125" i="40"/>
  <c r="W125" i="40"/>
  <c r="AG125" i="40" s="1"/>
  <c r="V125" i="40"/>
  <c r="AF125" i="40" s="1"/>
  <c r="S125" i="40"/>
  <c r="M125" i="40"/>
  <c r="BJ124" i="40"/>
  <c r="BI124" i="40"/>
  <c r="BH124" i="40"/>
  <c r="BG124" i="40"/>
  <c r="BF124" i="40"/>
  <c r="BE124" i="40"/>
  <c r="BD124" i="40"/>
  <c r="BB124" i="40"/>
  <c r="BA124" i="40"/>
  <c r="AX124" i="40"/>
  <c r="AW124" i="40"/>
  <c r="AN124" i="40"/>
  <c r="AM124" i="40"/>
  <c r="AL124" i="40"/>
  <c r="AJ124" i="40"/>
  <c r="AI124" i="40"/>
  <c r="AE124" i="40"/>
  <c r="AD124" i="40"/>
  <c r="AC124" i="40"/>
  <c r="AB124" i="40"/>
  <c r="AA124" i="40"/>
  <c r="Z124" i="40"/>
  <c r="Y124" i="40"/>
  <c r="U124" i="40"/>
  <c r="T124" i="40"/>
  <c r="R124" i="40"/>
  <c r="O124" i="40"/>
  <c r="N124" i="40"/>
  <c r="L124" i="40"/>
  <c r="K124" i="40"/>
  <c r="BL123" i="40"/>
  <c r="BZ123" i="40" s="1"/>
  <c r="BK123" i="40"/>
  <c r="AY123" i="40"/>
  <c r="BW123" i="40" s="1"/>
  <c r="AP123" i="40"/>
  <c r="BT123" i="40" s="1"/>
  <c r="BS123" i="40"/>
  <c r="W123" i="40"/>
  <c r="AG123" i="40" s="1"/>
  <c r="V123" i="40"/>
  <c r="AF123" i="40" s="1"/>
  <c r="S123" i="40"/>
  <c r="M123" i="40"/>
  <c r="BL122" i="40"/>
  <c r="BK122" i="40"/>
  <c r="BY122" i="40" s="1"/>
  <c r="AY122" i="40"/>
  <c r="BW122" i="40" s="1"/>
  <c r="AP122" i="40"/>
  <c r="BT122" i="40" s="1"/>
  <c r="W122" i="40"/>
  <c r="AG122" i="40" s="1"/>
  <c r="V122" i="40"/>
  <c r="AF122" i="40" s="1"/>
  <c r="BP122" i="40" s="1"/>
  <c r="S122" i="40"/>
  <c r="M122" i="40"/>
  <c r="Q122" i="40"/>
  <c r="BL121" i="40"/>
  <c r="BZ121" i="40" s="1"/>
  <c r="BK121" i="40"/>
  <c r="BY121" i="40" s="1"/>
  <c r="AY121" i="40"/>
  <c r="BW121" i="40" s="1"/>
  <c r="AP121" i="40"/>
  <c r="BS121" i="40"/>
  <c r="W121" i="40"/>
  <c r="AG121" i="40" s="1"/>
  <c r="V121" i="40"/>
  <c r="AF121" i="40" s="1"/>
  <c r="S121" i="40"/>
  <c r="M121" i="40"/>
  <c r="BL120" i="40"/>
  <c r="BZ120" i="40" s="1"/>
  <c r="BC120" i="40"/>
  <c r="BK120" i="40" s="1"/>
  <c r="AY120" i="40"/>
  <c r="BW120" i="40" s="1"/>
  <c r="AP120" i="40"/>
  <c r="BT120" i="40" s="1"/>
  <c r="X120" i="40"/>
  <c r="X124" i="40" s="1"/>
  <c r="W120" i="40"/>
  <c r="AG120" i="40" s="1"/>
  <c r="V120" i="40"/>
  <c r="S120" i="40"/>
  <c r="M120" i="40"/>
  <c r="BL119" i="40"/>
  <c r="BK119" i="40"/>
  <c r="AY119" i="40"/>
  <c r="AP119" i="40"/>
  <c r="BS119" i="40"/>
  <c r="W119" i="40"/>
  <c r="AG119" i="40" s="1"/>
  <c r="V119" i="40"/>
  <c r="S119" i="40"/>
  <c r="M119" i="40"/>
  <c r="BJ118" i="40"/>
  <c r="BI118" i="40"/>
  <c r="BH118" i="40"/>
  <c r="BG118" i="40"/>
  <c r="BF118" i="40"/>
  <c r="BE118" i="40"/>
  <c r="BD118" i="40"/>
  <c r="BC118" i="40"/>
  <c r="BB118" i="40"/>
  <c r="BA118" i="40"/>
  <c r="AX118" i="40"/>
  <c r="AW118" i="40"/>
  <c r="AN118" i="40"/>
  <c r="AM118" i="40"/>
  <c r="AL118" i="40"/>
  <c r="AJ118" i="40"/>
  <c r="AI118" i="40"/>
  <c r="AE118" i="40"/>
  <c r="AD118" i="40"/>
  <c r="AC118" i="40"/>
  <c r="AB118" i="40"/>
  <c r="AA118" i="40"/>
  <c r="Z118" i="40"/>
  <c r="Y118" i="40"/>
  <c r="X118" i="40"/>
  <c r="U118" i="40"/>
  <c r="T118" i="40"/>
  <c r="R118" i="40"/>
  <c r="O118" i="40"/>
  <c r="N118" i="40"/>
  <c r="L118" i="40"/>
  <c r="K118" i="40"/>
  <c r="BL117" i="40"/>
  <c r="BK117" i="40"/>
  <c r="BY117" i="40" s="1"/>
  <c r="AY117" i="40"/>
  <c r="BW117" i="40" s="1"/>
  <c r="AP117" i="40"/>
  <c r="BT117" i="40" s="1"/>
  <c r="W117" i="40"/>
  <c r="AG117" i="40" s="1"/>
  <c r="V117" i="40"/>
  <c r="AF117" i="40" s="1"/>
  <c r="S117" i="40"/>
  <c r="Q117" i="40"/>
  <c r="M117" i="40"/>
  <c r="BL116" i="40"/>
  <c r="BZ116" i="40" s="1"/>
  <c r="BK116" i="40"/>
  <c r="AY116" i="40"/>
  <c r="BW116" i="40" s="1"/>
  <c r="AP116" i="40"/>
  <c r="BT116" i="40" s="1"/>
  <c r="W116" i="40"/>
  <c r="AG116" i="40" s="1"/>
  <c r="BQ116" i="40" s="1"/>
  <c r="V116" i="40"/>
  <c r="AF116" i="40" s="1"/>
  <c r="S116" i="40"/>
  <c r="M116" i="40"/>
  <c r="Q116" i="40"/>
  <c r="BL115" i="40"/>
  <c r="BK115" i="40"/>
  <c r="BY115" i="40" s="1"/>
  <c r="AY115" i="40"/>
  <c r="AP115" i="40"/>
  <c r="BS115" i="40"/>
  <c r="W115" i="40"/>
  <c r="V115" i="40"/>
  <c r="S115" i="40"/>
  <c r="M115" i="40"/>
  <c r="BJ114" i="40"/>
  <c r="BI114" i="40"/>
  <c r="BH114" i="40"/>
  <c r="BG114" i="40"/>
  <c r="BF114" i="40"/>
  <c r="BE114" i="40"/>
  <c r="BD114" i="40"/>
  <c r="BC114" i="40"/>
  <c r="BB114" i="40"/>
  <c r="BA114" i="40"/>
  <c r="AX114" i="40"/>
  <c r="AW114" i="40"/>
  <c r="AN114" i="40"/>
  <c r="AM114" i="40"/>
  <c r="AL114" i="40"/>
  <c r="AJ114" i="40"/>
  <c r="AI114" i="40"/>
  <c r="AE114" i="40"/>
  <c r="AD114" i="40"/>
  <c r="AC114" i="40"/>
  <c r="AB114" i="40"/>
  <c r="AA114" i="40"/>
  <c r="Z114" i="40"/>
  <c r="Y114" i="40"/>
  <c r="X114" i="40"/>
  <c r="U114" i="40"/>
  <c r="T114" i="40"/>
  <c r="R114" i="40"/>
  <c r="O114" i="40"/>
  <c r="N114" i="40"/>
  <c r="L114" i="40"/>
  <c r="K114" i="40"/>
  <c r="BL113" i="40"/>
  <c r="BZ113" i="40" s="1"/>
  <c r="BK113" i="40"/>
  <c r="BY113" i="40" s="1"/>
  <c r="AY113" i="40"/>
  <c r="BW113" i="40" s="1"/>
  <c r="AP113" i="40"/>
  <c r="BT113" i="40" s="1"/>
  <c r="W113" i="40"/>
  <c r="AG113" i="40" s="1"/>
  <c r="BQ113" i="40" s="1"/>
  <c r="V113" i="40"/>
  <c r="AF113" i="40" s="1"/>
  <c r="S113" i="40"/>
  <c r="Q113" i="40"/>
  <c r="M113" i="40"/>
  <c r="P113" i="40" s="1"/>
  <c r="BL112" i="40"/>
  <c r="BZ112" i="40" s="1"/>
  <c r="BK112" i="40"/>
  <c r="BY112" i="40" s="1"/>
  <c r="AY112" i="40"/>
  <c r="BW112" i="40" s="1"/>
  <c r="AP112" i="40"/>
  <c r="BT112" i="40" s="1"/>
  <c r="W112" i="40"/>
  <c r="AG112" i="40" s="1"/>
  <c r="V112" i="40"/>
  <c r="AF112" i="40" s="1"/>
  <c r="S112" i="40"/>
  <c r="M112" i="40"/>
  <c r="Q112" i="40"/>
  <c r="BL111" i="40"/>
  <c r="BZ111" i="40" s="1"/>
  <c r="BK111" i="40"/>
  <c r="AY111" i="40"/>
  <c r="BW111" i="40" s="1"/>
  <c r="AP111" i="40"/>
  <c r="BS111" i="40"/>
  <c r="W111" i="40"/>
  <c r="AG111" i="40" s="1"/>
  <c r="V111" i="40"/>
  <c r="S111" i="40"/>
  <c r="M111" i="40"/>
  <c r="BJ110" i="40"/>
  <c r="BI110" i="40"/>
  <c r="BH110" i="40"/>
  <c r="BG110" i="40"/>
  <c r="BF110" i="40"/>
  <c r="BE110" i="40"/>
  <c r="BD110" i="40"/>
  <c r="BC110" i="40"/>
  <c r="BB110" i="40"/>
  <c r="BA110" i="40"/>
  <c r="AX110" i="40"/>
  <c r="AW110" i="40"/>
  <c r="AN110" i="40"/>
  <c r="AM110" i="40"/>
  <c r="AL110" i="40"/>
  <c r="AJ110" i="40"/>
  <c r="AI110" i="40"/>
  <c r="AE110" i="40"/>
  <c r="AD110" i="40"/>
  <c r="AC110" i="40"/>
  <c r="AB110" i="40"/>
  <c r="AA110" i="40"/>
  <c r="Z110" i="40"/>
  <c r="Y110" i="40"/>
  <c r="X110" i="40"/>
  <c r="U110" i="40"/>
  <c r="T110" i="40"/>
  <c r="R110" i="40"/>
  <c r="O110" i="40"/>
  <c r="N110" i="40"/>
  <c r="L110" i="40"/>
  <c r="K110" i="40"/>
  <c r="BL109" i="40"/>
  <c r="BZ109" i="40" s="1"/>
  <c r="BZ110" i="40" s="1"/>
  <c r="BK109" i="40"/>
  <c r="AY109" i="40"/>
  <c r="AY110" i="40" s="1"/>
  <c r="AP109" i="40"/>
  <c r="BT109" i="40" s="1"/>
  <c r="BT110" i="40" s="1"/>
  <c r="BS109" i="40"/>
  <c r="BS110" i="40" s="1"/>
  <c r="W109" i="40"/>
  <c r="AG109" i="40" s="1"/>
  <c r="V109" i="40"/>
  <c r="V110" i="40" s="1"/>
  <c r="S109" i="40"/>
  <c r="S110" i="40" s="1"/>
  <c r="M109" i="40"/>
  <c r="M110" i="40" s="1"/>
  <c r="BJ108" i="40"/>
  <c r="BI108" i="40"/>
  <c r="BH108" i="40"/>
  <c r="BG108" i="40"/>
  <c r="BF108" i="40"/>
  <c r="BE108" i="40"/>
  <c r="BD108" i="40"/>
  <c r="BC108" i="40"/>
  <c r="BB108" i="40"/>
  <c r="BA108" i="40"/>
  <c r="AX108" i="40"/>
  <c r="AW108" i="40"/>
  <c r="AN108" i="40"/>
  <c r="AM108" i="40"/>
  <c r="AL108" i="40"/>
  <c r="AE108" i="40"/>
  <c r="AD108" i="40"/>
  <c r="AC108" i="40"/>
  <c r="AB108" i="40"/>
  <c r="AA108" i="40"/>
  <c r="Z108" i="40"/>
  <c r="Y108" i="40"/>
  <c r="X108" i="40"/>
  <c r="U108" i="40"/>
  <c r="T108" i="40"/>
  <c r="R108" i="40"/>
  <c r="O108" i="40"/>
  <c r="N108" i="40"/>
  <c r="L108" i="40"/>
  <c r="K108" i="40"/>
  <c r="BL107" i="40"/>
  <c r="BZ107" i="40" s="1"/>
  <c r="BK107" i="40"/>
  <c r="AY107" i="40"/>
  <c r="BW107" i="40" s="1"/>
  <c r="AP107" i="40"/>
  <c r="BT107" i="40" s="1"/>
  <c r="BS107" i="40"/>
  <c r="W107" i="40"/>
  <c r="AG107" i="40" s="1"/>
  <c r="V107" i="40"/>
  <c r="AF107" i="40" s="1"/>
  <c r="S107" i="40"/>
  <c r="M107" i="40"/>
  <c r="BL106" i="40"/>
  <c r="BZ106" i="40" s="1"/>
  <c r="BK106" i="40"/>
  <c r="AY106" i="40"/>
  <c r="BW106" i="40" s="1"/>
  <c r="AP106" i="40"/>
  <c r="BT106" i="40" s="1"/>
  <c r="W106" i="40"/>
  <c r="AG106" i="40" s="1"/>
  <c r="BQ106" i="40" s="1"/>
  <c r="V106" i="40"/>
  <c r="AF106" i="40" s="1"/>
  <c r="S106" i="40"/>
  <c r="M106" i="40"/>
  <c r="Q106" i="40"/>
  <c r="BL105" i="40"/>
  <c r="BZ105" i="40" s="1"/>
  <c r="BK105" i="40"/>
  <c r="AY105" i="40"/>
  <c r="BW105" i="40" s="1"/>
  <c r="AP105" i="40"/>
  <c r="BT105" i="40" s="1"/>
  <c r="W105" i="40"/>
  <c r="AG105" i="40" s="1"/>
  <c r="V105" i="40"/>
  <c r="AF105" i="40" s="1"/>
  <c r="S105" i="40"/>
  <c r="Q105" i="40"/>
  <c r="M105" i="40"/>
  <c r="BL104" i="40"/>
  <c r="BZ104" i="40" s="1"/>
  <c r="BK104" i="40"/>
  <c r="AY104" i="40"/>
  <c r="BW104" i="40" s="1"/>
  <c r="AP104" i="40"/>
  <c r="BT104" i="40" s="1"/>
  <c r="W104" i="40"/>
  <c r="AG104" i="40" s="1"/>
  <c r="V104" i="40"/>
  <c r="AF104" i="40" s="1"/>
  <c r="S104" i="40"/>
  <c r="M104" i="40"/>
  <c r="BL103" i="40"/>
  <c r="BZ103" i="40" s="1"/>
  <c r="BK103" i="40"/>
  <c r="AY103" i="40"/>
  <c r="BW103" i="40" s="1"/>
  <c r="AJ103" i="40"/>
  <c r="AI103" i="40"/>
  <c r="S103" i="40"/>
  <c r="M103" i="40"/>
  <c r="Q103" i="40"/>
  <c r="BJ102" i="40"/>
  <c r="BI102" i="40"/>
  <c r="BH102" i="40"/>
  <c r="BG102" i="40"/>
  <c r="BF102" i="40"/>
  <c r="BE102" i="40"/>
  <c r="BD102" i="40"/>
  <c r="BC102" i="40"/>
  <c r="BB102" i="40"/>
  <c r="BA102" i="40"/>
  <c r="AX102" i="40"/>
  <c r="AW102" i="40"/>
  <c r="AN102" i="40"/>
  <c r="AM102" i="40"/>
  <c r="AL102" i="40"/>
  <c r="AJ102" i="40"/>
  <c r="AI102" i="40"/>
  <c r="AE102" i="40"/>
  <c r="AD102" i="40"/>
  <c r="AC102" i="40"/>
  <c r="AB102" i="40"/>
  <c r="AA102" i="40"/>
  <c r="Z102" i="40"/>
  <c r="Y102" i="40"/>
  <c r="X102" i="40"/>
  <c r="U102" i="40"/>
  <c r="T102" i="40"/>
  <c r="R102" i="40"/>
  <c r="O102" i="40"/>
  <c r="N102" i="40"/>
  <c r="L102" i="40"/>
  <c r="K102" i="40"/>
  <c r="BL101" i="40"/>
  <c r="BZ101" i="40" s="1"/>
  <c r="BK101" i="40"/>
  <c r="AY101" i="40"/>
  <c r="BW101" i="40" s="1"/>
  <c r="AP101" i="40"/>
  <c r="BT101" i="40" s="1"/>
  <c r="W101" i="40"/>
  <c r="AG101" i="40" s="1"/>
  <c r="V101" i="40"/>
  <c r="AF101" i="40" s="1"/>
  <c r="BP101" i="40" s="1"/>
  <c r="S101" i="40"/>
  <c r="Q101" i="40"/>
  <c r="M101" i="40"/>
  <c r="P101" i="40" s="1"/>
  <c r="BL100" i="40"/>
  <c r="BZ100" i="40" s="1"/>
  <c r="BK100" i="40"/>
  <c r="BY100" i="40" s="1"/>
  <c r="AY100" i="40"/>
  <c r="BW100" i="40" s="1"/>
  <c r="AP100" i="40"/>
  <c r="W100" i="40"/>
  <c r="AG100" i="40" s="1"/>
  <c r="BQ100" i="40" s="1"/>
  <c r="V100" i="40"/>
  <c r="AF100" i="40" s="1"/>
  <c r="S100" i="40"/>
  <c r="M100" i="40"/>
  <c r="BL99" i="40"/>
  <c r="BK99" i="40"/>
  <c r="AY99" i="40"/>
  <c r="BW99" i="40" s="1"/>
  <c r="AP99" i="40"/>
  <c r="BT99" i="40" s="1"/>
  <c r="BS99" i="40"/>
  <c r="W99" i="40"/>
  <c r="AG99" i="40" s="1"/>
  <c r="V99" i="40"/>
  <c r="AF99" i="40" s="1"/>
  <c r="S99" i="40"/>
  <c r="M99" i="40"/>
  <c r="BJ98" i="40"/>
  <c r="BI98" i="40"/>
  <c r="BH98" i="40"/>
  <c r="BG98" i="40"/>
  <c r="BF98" i="40"/>
  <c r="BE98" i="40"/>
  <c r="BD98" i="40"/>
  <c r="BC98" i="40"/>
  <c r="BB98" i="40"/>
  <c r="BA98" i="40"/>
  <c r="AX98" i="40"/>
  <c r="AW98" i="40"/>
  <c r="AN98" i="40"/>
  <c r="AM98" i="40"/>
  <c r="AL98" i="40"/>
  <c r="AJ98" i="40"/>
  <c r="AI98" i="40"/>
  <c r="AE98" i="40"/>
  <c r="AD98" i="40"/>
  <c r="AC98" i="40"/>
  <c r="AB98" i="40"/>
  <c r="AA98" i="40"/>
  <c r="Z98" i="40"/>
  <c r="Y98" i="40"/>
  <c r="X98" i="40"/>
  <c r="U98" i="40"/>
  <c r="T98" i="40"/>
  <c r="R98" i="40"/>
  <c r="O98" i="40"/>
  <c r="N98" i="40"/>
  <c r="L98" i="40"/>
  <c r="K98" i="40"/>
  <c r="BL97" i="40"/>
  <c r="BZ97" i="40" s="1"/>
  <c r="BK97" i="40"/>
  <c r="AY97" i="40"/>
  <c r="BW97" i="40" s="1"/>
  <c r="AP97" i="40"/>
  <c r="BT97" i="40" s="1"/>
  <c r="W97" i="40"/>
  <c r="AG97" i="40" s="1"/>
  <c r="V97" i="40"/>
  <c r="AF97" i="40" s="1"/>
  <c r="BP97" i="40" s="1"/>
  <c r="S97" i="40"/>
  <c r="M97" i="40"/>
  <c r="BL96" i="40"/>
  <c r="BK96" i="40"/>
  <c r="BY96" i="40" s="1"/>
  <c r="AY96" i="40"/>
  <c r="BW96" i="40" s="1"/>
  <c r="AP96" i="40"/>
  <c r="BT96" i="40" s="1"/>
  <c r="W96" i="40"/>
  <c r="AG96" i="40" s="1"/>
  <c r="BQ96" i="40" s="1"/>
  <c r="V96" i="40"/>
  <c r="AF96" i="40" s="1"/>
  <c r="S96" i="40"/>
  <c r="M96" i="40"/>
  <c r="BL95" i="40"/>
  <c r="BZ95" i="40" s="1"/>
  <c r="BK95" i="40"/>
  <c r="BY95" i="40" s="1"/>
  <c r="AY95" i="40"/>
  <c r="BW95" i="40" s="1"/>
  <c r="AP95" i="40"/>
  <c r="W95" i="40"/>
  <c r="AG95" i="40" s="1"/>
  <c r="V95" i="40"/>
  <c r="AF95" i="40" s="1"/>
  <c r="S95" i="40"/>
  <c r="Q95" i="40"/>
  <c r="M95" i="40"/>
  <c r="P95" i="40" s="1"/>
  <c r="BL94" i="40"/>
  <c r="BZ94" i="40" s="1"/>
  <c r="BK94" i="40"/>
  <c r="AY94" i="40"/>
  <c r="BW94" i="40" s="1"/>
  <c r="AP94" i="40"/>
  <c r="BT94" i="40" s="1"/>
  <c r="BS94" i="40"/>
  <c r="W94" i="40"/>
  <c r="AG94" i="40" s="1"/>
  <c r="V94" i="40"/>
  <c r="AF94" i="40" s="1"/>
  <c r="S94" i="40"/>
  <c r="M94" i="40"/>
  <c r="BL93" i="40"/>
  <c r="BK93" i="40"/>
  <c r="BY93" i="40" s="1"/>
  <c r="AY93" i="40"/>
  <c r="AP93" i="40"/>
  <c r="W93" i="40"/>
  <c r="AG93" i="40" s="1"/>
  <c r="V93" i="40"/>
  <c r="S93" i="40"/>
  <c r="M93" i="40"/>
  <c r="BJ92" i="40"/>
  <c r="BI92" i="40"/>
  <c r="BH92" i="40"/>
  <c r="BG92" i="40"/>
  <c r="BF92" i="40"/>
  <c r="BE92" i="40"/>
  <c r="BD92" i="40"/>
  <c r="BC92" i="40"/>
  <c r="BB92" i="40"/>
  <c r="BA92" i="40"/>
  <c r="AX92" i="40"/>
  <c r="AW92" i="40"/>
  <c r="AN92" i="40"/>
  <c r="AM92" i="40"/>
  <c r="AL92" i="40"/>
  <c r="AJ92" i="40"/>
  <c r="AI92" i="40"/>
  <c r="AE92" i="40"/>
  <c r="AD92" i="40"/>
  <c r="AC92" i="40"/>
  <c r="AB92" i="40"/>
  <c r="AA92" i="40"/>
  <c r="Z92" i="40"/>
  <c r="Y92" i="40"/>
  <c r="X92" i="40"/>
  <c r="U92" i="40"/>
  <c r="T92" i="40"/>
  <c r="R92" i="40"/>
  <c r="O92" i="40"/>
  <c r="N92" i="40"/>
  <c r="L92" i="40"/>
  <c r="K92" i="40"/>
  <c r="BL91" i="40"/>
  <c r="BZ91" i="40" s="1"/>
  <c r="BK91" i="40"/>
  <c r="AY91" i="40"/>
  <c r="BW91" i="40" s="1"/>
  <c r="AP91" i="40"/>
  <c r="BT91" i="40" s="1"/>
  <c r="W91" i="40"/>
  <c r="AG91" i="40" s="1"/>
  <c r="BQ91" i="40" s="1"/>
  <c r="V91" i="40"/>
  <c r="AF91" i="40" s="1"/>
  <c r="BP91" i="40" s="1"/>
  <c r="S91" i="40"/>
  <c r="Q91" i="40"/>
  <c r="M91" i="40"/>
  <c r="P91" i="40" s="1"/>
  <c r="BL90" i="40"/>
  <c r="BZ90" i="40" s="1"/>
  <c r="BK90" i="40"/>
  <c r="AY90" i="40"/>
  <c r="BW90" i="40" s="1"/>
  <c r="AP90" i="40"/>
  <c r="BT90" i="40" s="1"/>
  <c r="BS90" i="40"/>
  <c r="W90" i="40"/>
  <c r="AG90" i="40" s="1"/>
  <c r="BQ90" i="40" s="1"/>
  <c r="V90" i="40"/>
  <c r="AF90" i="40" s="1"/>
  <c r="S90" i="40"/>
  <c r="M90" i="40"/>
  <c r="BL89" i="40"/>
  <c r="BK89" i="40"/>
  <c r="AY89" i="40"/>
  <c r="AP89" i="40"/>
  <c r="BT89" i="40" s="1"/>
  <c r="W89" i="40"/>
  <c r="V89" i="40"/>
  <c r="S89" i="40"/>
  <c r="M89" i="40"/>
  <c r="BJ88" i="40"/>
  <c r="BI88" i="40"/>
  <c r="BH88" i="40"/>
  <c r="BG88" i="40"/>
  <c r="BF88" i="40"/>
  <c r="BE88" i="40"/>
  <c r="BD88" i="40"/>
  <c r="BC88" i="40"/>
  <c r="BB88" i="40"/>
  <c r="BA88" i="40"/>
  <c r="AX88" i="40"/>
  <c r="AW88" i="40"/>
  <c r="AN88" i="40"/>
  <c r="AM88" i="40"/>
  <c r="AL88" i="40"/>
  <c r="AJ88" i="40"/>
  <c r="AI88" i="40"/>
  <c r="AE88" i="40"/>
  <c r="AD88" i="40"/>
  <c r="AC88" i="40"/>
  <c r="AB88" i="40"/>
  <c r="AA88" i="40"/>
  <c r="Z88" i="40"/>
  <c r="Y88" i="40"/>
  <c r="X88" i="40"/>
  <c r="U88" i="40"/>
  <c r="T88" i="40"/>
  <c r="R88" i="40"/>
  <c r="O88" i="40"/>
  <c r="N88" i="40"/>
  <c r="L88" i="40"/>
  <c r="K88" i="40"/>
  <c r="BL87" i="40"/>
  <c r="BZ87" i="40" s="1"/>
  <c r="BK87" i="40"/>
  <c r="AY87" i="40"/>
  <c r="BW87" i="40" s="1"/>
  <c r="AP87" i="40"/>
  <c r="BT87" i="40" s="1"/>
  <c r="W87" i="40"/>
  <c r="AG87" i="40" s="1"/>
  <c r="V87" i="40"/>
  <c r="AF87" i="40" s="1"/>
  <c r="BP87" i="40" s="1"/>
  <c r="S87" i="40"/>
  <c r="M87" i="40"/>
  <c r="BL86" i="40"/>
  <c r="BZ86" i="40" s="1"/>
  <c r="BK86" i="40"/>
  <c r="BY86" i="40" s="1"/>
  <c r="AY86" i="40"/>
  <c r="BW86" i="40" s="1"/>
  <c r="AP86" i="40"/>
  <c r="BT86" i="40" s="1"/>
  <c r="W86" i="40"/>
  <c r="AG86" i="40" s="1"/>
  <c r="V86" i="40"/>
  <c r="AF86" i="40" s="1"/>
  <c r="S86" i="40"/>
  <c r="M86" i="40"/>
  <c r="BL85" i="40"/>
  <c r="BZ85" i="40" s="1"/>
  <c r="BK85" i="40"/>
  <c r="AY85" i="40"/>
  <c r="BW85" i="40" s="1"/>
  <c r="AP85" i="40"/>
  <c r="BT85" i="40" s="1"/>
  <c r="W85" i="40"/>
  <c r="AG85" i="40" s="1"/>
  <c r="V85" i="40"/>
  <c r="AF85" i="40" s="1"/>
  <c r="S85" i="40"/>
  <c r="M85" i="40"/>
  <c r="BL84" i="40"/>
  <c r="BZ84" i="40" s="1"/>
  <c r="BK84" i="40"/>
  <c r="BY84" i="40" s="1"/>
  <c r="AY84" i="40"/>
  <c r="BW84" i="40" s="1"/>
  <c r="AP84" i="40"/>
  <c r="BT84" i="40" s="1"/>
  <c r="W84" i="40"/>
  <c r="AG84" i="40" s="1"/>
  <c r="V84" i="40"/>
  <c r="AF84" i="40" s="1"/>
  <c r="S84" i="40"/>
  <c r="M84" i="40"/>
  <c r="BL83" i="40"/>
  <c r="BZ83" i="40" s="1"/>
  <c r="BK83" i="40"/>
  <c r="AY83" i="40"/>
  <c r="BW83" i="40" s="1"/>
  <c r="AP83" i="40"/>
  <c r="BT83" i="40" s="1"/>
  <c r="W83" i="40"/>
  <c r="AG83" i="40" s="1"/>
  <c r="BQ83" i="40" s="1"/>
  <c r="V83" i="40"/>
  <c r="S83" i="40"/>
  <c r="M83" i="40"/>
  <c r="Q83" i="40"/>
  <c r="BL82" i="40"/>
  <c r="BK82" i="40"/>
  <c r="AY82" i="40"/>
  <c r="BW82" i="40" s="1"/>
  <c r="AP82" i="40"/>
  <c r="BT82" i="40" s="1"/>
  <c r="BS82" i="40"/>
  <c r="W82" i="40"/>
  <c r="V82" i="40"/>
  <c r="AF82" i="40" s="1"/>
  <c r="S82" i="40"/>
  <c r="M82" i="40"/>
  <c r="Q82" i="40"/>
  <c r="BJ81" i="40"/>
  <c r="BI81" i="40"/>
  <c r="BH81" i="40"/>
  <c r="BG81" i="40"/>
  <c r="BF81" i="40"/>
  <c r="BE81" i="40"/>
  <c r="BD81" i="40"/>
  <c r="BC81" i="40"/>
  <c r="BB81" i="40"/>
  <c r="BA81" i="40"/>
  <c r="AX81" i="40"/>
  <c r="AW81" i="40"/>
  <c r="AN81" i="40"/>
  <c r="AM81" i="40"/>
  <c r="AL81" i="40"/>
  <c r="AJ81" i="40"/>
  <c r="AI81" i="40"/>
  <c r="AE81" i="40"/>
  <c r="AD81" i="40"/>
  <c r="AC81" i="40"/>
  <c r="AB81" i="40"/>
  <c r="AA81" i="40"/>
  <c r="Z81" i="40"/>
  <c r="Y81" i="40"/>
  <c r="X81" i="40"/>
  <c r="U81" i="40"/>
  <c r="T81" i="40"/>
  <c r="R81" i="40"/>
  <c r="O81" i="40"/>
  <c r="N81" i="40"/>
  <c r="L81" i="40"/>
  <c r="K81" i="40"/>
  <c r="BL80" i="40"/>
  <c r="BZ80" i="40" s="1"/>
  <c r="BK80" i="40"/>
  <c r="BY80" i="40" s="1"/>
  <c r="AY80" i="40"/>
  <c r="BW80" i="40" s="1"/>
  <c r="AP80" i="40"/>
  <c r="BT80" i="40" s="1"/>
  <c r="W80" i="40"/>
  <c r="AG80" i="40" s="1"/>
  <c r="V80" i="40"/>
  <c r="AF80" i="40" s="1"/>
  <c r="S80" i="40"/>
  <c r="M80" i="40"/>
  <c r="BL79" i="40"/>
  <c r="BZ79" i="40" s="1"/>
  <c r="BK79" i="40"/>
  <c r="AY79" i="40"/>
  <c r="BW79" i="40" s="1"/>
  <c r="AP79" i="40"/>
  <c r="BT79" i="40" s="1"/>
  <c r="BS79" i="40"/>
  <c r="W79" i="40"/>
  <c r="AG79" i="40" s="1"/>
  <c r="BQ79" i="40" s="1"/>
  <c r="V79" i="40"/>
  <c r="AF79" i="40" s="1"/>
  <c r="S79" i="40"/>
  <c r="M79" i="40"/>
  <c r="BL78" i="40"/>
  <c r="BZ78" i="40" s="1"/>
  <c r="BK78" i="40"/>
  <c r="BY78" i="40" s="1"/>
  <c r="AY78" i="40"/>
  <c r="AP78" i="40"/>
  <c r="BT78" i="40" s="1"/>
  <c r="BS78" i="40"/>
  <c r="W78" i="40"/>
  <c r="AG78" i="40" s="1"/>
  <c r="V78" i="40"/>
  <c r="AF78" i="40" s="1"/>
  <c r="S78" i="40"/>
  <c r="M78" i="40"/>
  <c r="BL77" i="40"/>
  <c r="BZ77" i="40" s="1"/>
  <c r="BK77" i="40"/>
  <c r="BY77" i="40" s="1"/>
  <c r="AY77" i="40"/>
  <c r="BW77" i="40" s="1"/>
  <c r="AP77" i="40"/>
  <c r="BT77" i="40" s="1"/>
  <c r="W77" i="40"/>
  <c r="AG77" i="40" s="1"/>
  <c r="V77" i="40"/>
  <c r="AF77" i="40" s="1"/>
  <c r="S77" i="40"/>
  <c r="M77" i="40"/>
  <c r="Q77" i="40"/>
  <c r="BL76" i="40"/>
  <c r="BZ76" i="40" s="1"/>
  <c r="BK76" i="40"/>
  <c r="AY76" i="40"/>
  <c r="BW76" i="40" s="1"/>
  <c r="AP76" i="40"/>
  <c r="W76" i="40"/>
  <c r="AG76" i="40" s="1"/>
  <c r="BQ76" i="40" s="1"/>
  <c r="V76" i="40"/>
  <c r="AF76" i="40" s="1"/>
  <c r="S76" i="40"/>
  <c r="M76" i="40"/>
  <c r="Q76" i="40"/>
  <c r="BL75" i="40"/>
  <c r="BK75" i="40"/>
  <c r="AY75" i="40"/>
  <c r="BW75" i="40" s="1"/>
  <c r="AP75" i="40"/>
  <c r="BT75" i="40" s="1"/>
  <c r="W75" i="40"/>
  <c r="V75" i="40"/>
  <c r="AF75" i="40" s="1"/>
  <c r="S75" i="40"/>
  <c r="M75" i="40"/>
  <c r="BJ74" i="40"/>
  <c r="BI74" i="40"/>
  <c r="BH74" i="40"/>
  <c r="BG74" i="40"/>
  <c r="BF74" i="40"/>
  <c r="BE74" i="40"/>
  <c r="BD74" i="40"/>
  <c r="BC74" i="40"/>
  <c r="BB74" i="40"/>
  <c r="BA74" i="40"/>
  <c r="AX74" i="40"/>
  <c r="AW74" i="40"/>
  <c r="AN74" i="40"/>
  <c r="AM74" i="40"/>
  <c r="AL74" i="40"/>
  <c r="AJ74" i="40"/>
  <c r="AI74" i="40"/>
  <c r="AE74" i="40"/>
  <c r="AD74" i="40"/>
  <c r="AC74" i="40"/>
  <c r="AB74" i="40"/>
  <c r="AA74" i="40"/>
  <c r="Z74" i="40"/>
  <c r="Y74" i="40"/>
  <c r="X74" i="40"/>
  <c r="U74" i="40"/>
  <c r="T74" i="40"/>
  <c r="R74" i="40"/>
  <c r="O74" i="40"/>
  <c r="N74" i="40"/>
  <c r="L74" i="40"/>
  <c r="K74" i="40"/>
  <c r="BL73" i="40"/>
  <c r="BZ73" i="40" s="1"/>
  <c r="BK73" i="40"/>
  <c r="AY73" i="40"/>
  <c r="BW73" i="40" s="1"/>
  <c r="AP73" i="40"/>
  <c r="BT73" i="40" s="1"/>
  <c r="W73" i="40"/>
  <c r="AG73" i="40" s="1"/>
  <c r="V73" i="40"/>
  <c r="AF73" i="40" s="1"/>
  <c r="BP73" i="40" s="1"/>
  <c r="S73" i="40"/>
  <c r="M73" i="40"/>
  <c r="BL72" i="40"/>
  <c r="BZ72" i="40" s="1"/>
  <c r="BK72" i="40"/>
  <c r="AY72" i="40"/>
  <c r="BW72" i="40" s="1"/>
  <c r="AP72" i="40"/>
  <c r="BT72" i="40" s="1"/>
  <c r="BS72" i="40"/>
  <c r="W72" i="40"/>
  <c r="AG72" i="40" s="1"/>
  <c r="BQ72" i="40" s="1"/>
  <c r="V72" i="40"/>
  <c r="AF72" i="40" s="1"/>
  <c r="S72" i="40"/>
  <c r="M72" i="40"/>
  <c r="BL71" i="40"/>
  <c r="BZ71" i="40" s="1"/>
  <c r="BK71" i="40"/>
  <c r="AY71" i="40"/>
  <c r="BW71" i="40" s="1"/>
  <c r="AP71" i="40"/>
  <c r="BT71" i="40" s="1"/>
  <c r="BS71" i="40"/>
  <c r="W71" i="40"/>
  <c r="AG71" i="40" s="1"/>
  <c r="V71" i="40"/>
  <c r="AF71" i="40" s="1"/>
  <c r="S71" i="40"/>
  <c r="M71" i="40"/>
  <c r="BL70" i="40"/>
  <c r="BZ70" i="40" s="1"/>
  <c r="BK70" i="40"/>
  <c r="AY70" i="40"/>
  <c r="BW70" i="40" s="1"/>
  <c r="AP70" i="40"/>
  <c r="BT70" i="40" s="1"/>
  <c r="W70" i="40"/>
  <c r="AG70" i="40" s="1"/>
  <c r="V70" i="40"/>
  <c r="AF70" i="40" s="1"/>
  <c r="S70" i="40"/>
  <c r="M70" i="40"/>
  <c r="BL69" i="40"/>
  <c r="BK69" i="40"/>
  <c r="AY69" i="40"/>
  <c r="BW69" i="40" s="1"/>
  <c r="AP69" i="40"/>
  <c r="BT69" i="40" s="1"/>
  <c r="W69" i="40"/>
  <c r="AG69" i="40" s="1"/>
  <c r="V69" i="40"/>
  <c r="AF69" i="40" s="1"/>
  <c r="S69" i="40"/>
  <c r="M69" i="40"/>
  <c r="BL68" i="40"/>
  <c r="BZ68" i="40" s="1"/>
  <c r="BK68" i="40"/>
  <c r="AY68" i="40"/>
  <c r="AP68" i="40"/>
  <c r="W68" i="40"/>
  <c r="AG68" i="40" s="1"/>
  <c r="V68" i="40"/>
  <c r="S68" i="40"/>
  <c r="M68" i="40"/>
  <c r="Q68" i="40"/>
  <c r="BJ67" i="40"/>
  <c r="BI67" i="40"/>
  <c r="BH67" i="40"/>
  <c r="BG67" i="40"/>
  <c r="BF67" i="40"/>
  <c r="BE67" i="40"/>
  <c r="BD67" i="40"/>
  <c r="BC67" i="40"/>
  <c r="BB67" i="40"/>
  <c r="BA67" i="40"/>
  <c r="AX67" i="40"/>
  <c r="AW67" i="40"/>
  <c r="AN67" i="40"/>
  <c r="AM67" i="40"/>
  <c r="AL67" i="40"/>
  <c r="AJ67" i="40"/>
  <c r="AI67" i="40"/>
  <c r="AE67" i="40"/>
  <c r="AD67" i="40"/>
  <c r="AC67" i="40"/>
  <c r="AB67" i="40"/>
  <c r="AA67" i="40"/>
  <c r="Z67" i="40"/>
  <c r="Y67" i="40"/>
  <c r="X67" i="40"/>
  <c r="U67" i="40"/>
  <c r="T67" i="40"/>
  <c r="R67" i="40"/>
  <c r="O67" i="40"/>
  <c r="N67" i="40"/>
  <c r="L67" i="40"/>
  <c r="K67" i="40"/>
  <c r="BL66" i="40"/>
  <c r="BZ66" i="40" s="1"/>
  <c r="BK66" i="40"/>
  <c r="AY66" i="40"/>
  <c r="BW66" i="40" s="1"/>
  <c r="AP66" i="40"/>
  <c r="BT66" i="40" s="1"/>
  <c r="W66" i="40"/>
  <c r="AG66" i="40" s="1"/>
  <c r="V66" i="40"/>
  <c r="AF66" i="40" s="1"/>
  <c r="S66" i="40"/>
  <c r="M66" i="40"/>
  <c r="BL65" i="40"/>
  <c r="BK65" i="40"/>
  <c r="BY65" i="40" s="1"/>
  <c r="AY65" i="40"/>
  <c r="BW65" i="40" s="1"/>
  <c r="AP65" i="40"/>
  <c r="BT65" i="40" s="1"/>
  <c r="W65" i="40"/>
  <c r="AG65" i="40" s="1"/>
  <c r="V65" i="40"/>
  <c r="AF65" i="40" s="1"/>
  <c r="S65" i="40"/>
  <c r="M65" i="40"/>
  <c r="Q65" i="40"/>
  <c r="BL64" i="40"/>
  <c r="BZ64" i="40" s="1"/>
  <c r="BK64" i="40"/>
  <c r="AY64" i="40"/>
  <c r="BW64" i="40" s="1"/>
  <c r="AP64" i="40"/>
  <c r="BT64" i="40" s="1"/>
  <c r="W64" i="40"/>
  <c r="AG64" i="40" s="1"/>
  <c r="V64" i="40"/>
  <c r="AF64" i="40" s="1"/>
  <c r="S64" i="40"/>
  <c r="M64" i="40"/>
  <c r="BL63" i="40"/>
  <c r="BZ63" i="40" s="1"/>
  <c r="BK63" i="40"/>
  <c r="AY63" i="40"/>
  <c r="BW63" i="40" s="1"/>
  <c r="AP63" i="40"/>
  <c r="BT63" i="40" s="1"/>
  <c r="BS63" i="40"/>
  <c r="W63" i="40"/>
  <c r="AG63" i="40" s="1"/>
  <c r="V63" i="40"/>
  <c r="AF63" i="40" s="1"/>
  <c r="S63" i="40"/>
  <c r="M63" i="40"/>
  <c r="Q63" i="40"/>
  <c r="BL62" i="40"/>
  <c r="BZ62" i="40" s="1"/>
  <c r="BK62" i="40"/>
  <c r="AY62" i="40"/>
  <c r="BW62" i="40" s="1"/>
  <c r="AP62" i="40"/>
  <c r="BS62" i="40"/>
  <c r="W62" i="40"/>
  <c r="AG62" i="40" s="1"/>
  <c r="BQ62" i="40" s="1"/>
  <c r="V62" i="40"/>
  <c r="AF62" i="40" s="1"/>
  <c r="S62" i="40"/>
  <c r="M62" i="40"/>
  <c r="BL61" i="40"/>
  <c r="BZ61" i="40" s="1"/>
  <c r="BK61" i="40"/>
  <c r="AY61" i="40"/>
  <c r="AP61" i="40"/>
  <c r="BT61" i="40" s="1"/>
  <c r="W61" i="40"/>
  <c r="AG61" i="40" s="1"/>
  <c r="V61" i="40"/>
  <c r="AF61" i="40" s="1"/>
  <c r="BP61" i="40" s="1"/>
  <c r="S61" i="40"/>
  <c r="M61" i="40"/>
  <c r="BJ60" i="40"/>
  <c r="BI60" i="40"/>
  <c r="BH60" i="40"/>
  <c r="BG60" i="40"/>
  <c r="BF60" i="40"/>
  <c r="BE60" i="40"/>
  <c r="BD60" i="40"/>
  <c r="BB60" i="40"/>
  <c r="BA60" i="40"/>
  <c r="AX60" i="40"/>
  <c r="AW60" i="40"/>
  <c r="AN60" i="40"/>
  <c r="AM60" i="40"/>
  <c r="AL60" i="40"/>
  <c r="AE60" i="40"/>
  <c r="AD60" i="40"/>
  <c r="AC60" i="40"/>
  <c r="AB60" i="40"/>
  <c r="AA60" i="40"/>
  <c r="Z60" i="40"/>
  <c r="Y60" i="40"/>
  <c r="U60" i="40"/>
  <c r="T60" i="40"/>
  <c r="R60" i="40"/>
  <c r="O60" i="40"/>
  <c r="N60" i="40"/>
  <c r="L60" i="40"/>
  <c r="K60" i="40"/>
  <c r="BL59" i="40"/>
  <c r="BZ59" i="40" s="1"/>
  <c r="BK59" i="40"/>
  <c r="AY59" i="40"/>
  <c r="BW59" i="40" s="1"/>
  <c r="AP59" i="40"/>
  <c r="BT59" i="40" s="1"/>
  <c r="BS59" i="40"/>
  <c r="W59" i="40"/>
  <c r="AG59" i="40" s="1"/>
  <c r="V59" i="40"/>
  <c r="AF59" i="40" s="1"/>
  <c r="S59" i="40"/>
  <c r="M59" i="40"/>
  <c r="BL58" i="40"/>
  <c r="BZ58" i="40" s="1"/>
  <c r="BK58" i="40"/>
  <c r="BY58" i="40" s="1"/>
  <c r="AY58" i="40"/>
  <c r="BW58" i="40" s="1"/>
  <c r="AP58" i="40"/>
  <c r="BT58" i="40" s="1"/>
  <c r="W58" i="40"/>
  <c r="AG58" i="40" s="1"/>
  <c r="BQ58" i="40" s="1"/>
  <c r="V58" i="40"/>
  <c r="AF58" i="40" s="1"/>
  <c r="S58" i="40"/>
  <c r="M58" i="40"/>
  <c r="Q58" i="40"/>
  <c r="BL57" i="40"/>
  <c r="BZ57" i="40" s="1"/>
  <c r="BK57" i="40"/>
  <c r="BY57" i="40" s="1"/>
  <c r="AY57" i="40"/>
  <c r="BW57" i="40" s="1"/>
  <c r="AP57" i="40"/>
  <c r="BT57" i="40" s="1"/>
  <c r="W57" i="40"/>
  <c r="AG57" i="40" s="1"/>
  <c r="V57" i="40"/>
  <c r="AF57" i="40" s="1"/>
  <c r="S57" i="40"/>
  <c r="M57" i="40"/>
  <c r="BL56" i="40"/>
  <c r="BZ56" i="40" s="1"/>
  <c r="BC56" i="40"/>
  <c r="BK56" i="40" s="1"/>
  <c r="AY56" i="40"/>
  <c r="BW56" i="40" s="1"/>
  <c r="AP56" i="40"/>
  <c r="BT56" i="40" s="1"/>
  <c r="X56" i="40"/>
  <c r="W56" i="40"/>
  <c r="AG56" i="40" s="1"/>
  <c r="V56" i="40"/>
  <c r="S56" i="40"/>
  <c r="M56" i="40"/>
  <c r="BL55" i="40"/>
  <c r="BZ55" i="40" s="1"/>
  <c r="BK55" i="40"/>
  <c r="BY55" i="40" s="1"/>
  <c r="AY55" i="40"/>
  <c r="AJ55" i="40"/>
  <c r="W55" i="40" s="1"/>
  <c r="V55" i="40"/>
  <c r="AF55" i="40" s="1"/>
  <c r="S55" i="40"/>
  <c r="M55" i="40"/>
  <c r="Q55" i="40"/>
  <c r="BL54" i="40"/>
  <c r="BZ54" i="40" s="1"/>
  <c r="BK54" i="40"/>
  <c r="AY54" i="40"/>
  <c r="BW54" i="40" s="1"/>
  <c r="AP54" i="40"/>
  <c r="AI54" i="40"/>
  <c r="AI60" i="40" s="1"/>
  <c r="W54" i="40"/>
  <c r="AG54" i="40" s="1"/>
  <c r="BQ54" i="40" s="1"/>
  <c r="S54" i="40"/>
  <c r="M54" i="40"/>
  <c r="BJ53" i="40"/>
  <c r="BI53" i="40"/>
  <c r="BH53" i="40"/>
  <c r="BG53" i="40"/>
  <c r="BF53" i="40"/>
  <c r="BE53" i="40"/>
  <c r="BD53" i="40"/>
  <c r="BC53" i="40"/>
  <c r="BB53" i="40"/>
  <c r="BA53" i="40"/>
  <c r="AX53" i="40"/>
  <c r="AW53" i="40"/>
  <c r="AN53" i="40"/>
  <c r="AM53" i="40"/>
  <c r="AL53" i="40"/>
  <c r="AJ53" i="40"/>
  <c r="AE53" i="40"/>
  <c r="AD53" i="40"/>
  <c r="AC53" i="40"/>
  <c r="AB53" i="40"/>
  <c r="AA53" i="40"/>
  <c r="Z53" i="40"/>
  <c r="Y53" i="40"/>
  <c r="X53" i="40"/>
  <c r="U53" i="40"/>
  <c r="T53" i="40"/>
  <c r="R53" i="40"/>
  <c r="O53" i="40"/>
  <c r="N53" i="40"/>
  <c r="L53" i="40"/>
  <c r="K53" i="40"/>
  <c r="BL52" i="40"/>
  <c r="BL53" i="40" s="1"/>
  <c r="BK52" i="40"/>
  <c r="AY52" i="40"/>
  <c r="AP52" i="40"/>
  <c r="AI52" i="40"/>
  <c r="W52" i="40"/>
  <c r="S52" i="40"/>
  <c r="M52" i="40"/>
  <c r="BJ51" i="40"/>
  <c r="BI51" i="40"/>
  <c r="BH51" i="40"/>
  <c r="BG51" i="40"/>
  <c r="BF51" i="40"/>
  <c r="BE51" i="40"/>
  <c r="BD51" i="40"/>
  <c r="BB51" i="40"/>
  <c r="BA51" i="40"/>
  <c r="AX51" i="40"/>
  <c r="AW51" i="40"/>
  <c r="AN51" i="40"/>
  <c r="AM51" i="40"/>
  <c r="AL51" i="40"/>
  <c r="AJ51" i="40"/>
  <c r="AI51" i="40"/>
  <c r="AE51" i="40"/>
  <c r="AD51" i="40"/>
  <c r="AC51" i="40"/>
  <c r="AB51" i="40"/>
  <c r="AA51" i="40"/>
  <c r="Z51" i="40"/>
  <c r="Y51" i="40"/>
  <c r="U51" i="40"/>
  <c r="T51" i="40"/>
  <c r="R51" i="40"/>
  <c r="O51" i="40"/>
  <c r="N51" i="40"/>
  <c r="L51" i="40"/>
  <c r="K51" i="40"/>
  <c r="BL50" i="40"/>
  <c r="BZ50" i="40" s="1"/>
  <c r="BK50" i="40"/>
  <c r="AY50" i="40"/>
  <c r="BW50" i="40" s="1"/>
  <c r="AP50" i="40"/>
  <c r="BT50" i="40" s="1"/>
  <c r="BS50" i="40"/>
  <c r="W50" i="40"/>
  <c r="AG50" i="40" s="1"/>
  <c r="BQ50" i="40" s="1"/>
  <c r="V50" i="40"/>
  <c r="AF50" i="40" s="1"/>
  <c r="S50" i="40"/>
  <c r="M50" i="40"/>
  <c r="BL49" i="40"/>
  <c r="BZ49" i="40" s="1"/>
  <c r="BK49" i="40"/>
  <c r="BY49" i="40" s="1"/>
  <c r="AY49" i="40"/>
  <c r="BW49" i="40" s="1"/>
  <c r="AP49" i="40"/>
  <c r="BT49" i="40" s="1"/>
  <c r="BS49" i="40"/>
  <c r="W49" i="40"/>
  <c r="AG49" i="40" s="1"/>
  <c r="V49" i="40"/>
  <c r="AF49" i="40" s="1"/>
  <c r="S49" i="40"/>
  <c r="M49" i="40"/>
  <c r="BL48" i="40"/>
  <c r="BK48" i="40"/>
  <c r="BY48" i="40" s="1"/>
  <c r="AY48" i="40"/>
  <c r="BW48" i="40" s="1"/>
  <c r="AP48" i="40"/>
  <c r="BT48" i="40" s="1"/>
  <c r="W48" i="40"/>
  <c r="AG48" i="40" s="1"/>
  <c r="BQ48" i="40" s="1"/>
  <c r="V48" i="40"/>
  <c r="AF48" i="40" s="1"/>
  <c r="S48" i="40"/>
  <c r="M48" i="40"/>
  <c r="BL47" i="40"/>
  <c r="BZ47" i="40" s="1"/>
  <c r="BK47" i="40"/>
  <c r="AY47" i="40"/>
  <c r="BW47" i="40" s="1"/>
  <c r="AP47" i="40"/>
  <c r="BT47" i="40" s="1"/>
  <c r="W47" i="40"/>
  <c r="AG47" i="40" s="1"/>
  <c r="V47" i="40"/>
  <c r="AF47" i="40" s="1"/>
  <c r="S47" i="40"/>
  <c r="Q47" i="40"/>
  <c r="M47" i="40"/>
  <c r="P47" i="40" s="1"/>
  <c r="BL46" i="40"/>
  <c r="BC46" i="40"/>
  <c r="BC51" i="40" s="1"/>
  <c r="AY46" i="40"/>
  <c r="BW46" i="40" s="1"/>
  <c r="AP46" i="40"/>
  <c r="BT46" i="40" s="1"/>
  <c r="X46" i="40"/>
  <c r="X51" i="40" s="1"/>
  <c r="W46" i="40"/>
  <c r="AG46" i="40" s="1"/>
  <c r="BQ46" i="40" s="1"/>
  <c r="V46" i="40"/>
  <c r="S46" i="40"/>
  <c r="M46" i="40"/>
  <c r="Q46" i="40"/>
  <c r="BL45" i="40"/>
  <c r="BZ45" i="40" s="1"/>
  <c r="BK45" i="40"/>
  <c r="AY45" i="40"/>
  <c r="BW45" i="40" s="1"/>
  <c r="AP45" i="40"/>
  <c r="BS45" i="40"/>
  <c r="W45" i="40"/>
  <c r="AG45" i="40" s="1"/>
  <c r="V45" i="40"/>
  <c r="S45" i="40"/>
  <c r="M45" i="40"/>
  <c r="BJ44" i="40"/>
  <c r="BI44" i="40"/>
  <c r="BH44" i="40"/>
  <c r="BG44" i="40"/>
  <c r="BF44" i="40"/>
  <c r="BE44" i="40"/>
  <c r="BD44" i="40"/>
  <c r="BB44" i="40"/>
  <c r="BA44" i="40"/>
  <c r="AX44" i="40"/>
  <c r="AW44" i="40"/>
  <c r="AN44" i="40"/>
  <c r="AM44" i="40"/>
  <c r="AL44" i="40"/>
  <c r="AJ44" i="40"/>
  <c r="AI44" i="40"/>
  <c r="AE44" i="40"/>
  <c r="AD44" i="40"/>
  <c r="AC44" i="40"/>
  <c r="AB44" i="40"/>
  <c r="AA44" i="40"/>
  <c r="Z44" i="40"/>
  <c r="Y44" i="40"/>
  <c r="U44" i="40"/>
  <c r="T44" i="40"/>
  <c r="R44" i="40"/>
  <c r="O44" i="40"/>
  <c r="N44" i="40"/>
  <c r="L44" i="40"/>
  <c r="K44" i="40"/>
  <c r="BL43" i="40"/>
  <c r="BZ43" i="40" s="1"/>
  <c r="BK43" i="40"/>
  <c r="BY43" i="40" s="1"/>
  <c r="AY43" i="40"/>
  <c r="BW43" i="40" s="1"/>
  <c r="AP43" i="40"/>
  <c r="BT43" i="40" s="1"/>
  <c r="BS43" i="40"/>
  <c r="W43" i="40"/>
  <c r="AG43" i="40" s="1"/>
  <c r="V43" i="40"/>
  <c r="AF43" i="40" s="1"/>
  <c r="S43" i="40"/>
  <c r="M43" i="40"/>
  <c r="Q43" i="40"/>
  <c r="BL42" i="40"/>
  <c r="BZ42" i="40" s="1"/>
  <c r="BK42" i="40"/>
  <c r="AY42" i="40"/>
  <c r="BW42" i="40" s="1"/>
  <c r="AP42" i="40"/>
  <c r="BT42" i="40" s="1"/>
  <c r="BS42" i="40"/>
  <c r="W42" i="40"/>
  <c r="AG42" i="40" s="1"/>
  <c r="V42" i="40"/>
  <c r="AF42" i="40" s="1"/>
  <c r="S42" i="40"/>
  <c r="M42" i="40"/>
  <c r="BL41" i="40"/>
  <c r="BZ41" i="40" s="1"/>
  <c r="BK41" i="40"/>
  <c r="AY41" i="40"/>
  <c r="BW41" i="40" s="1"/>
  <c r="AP41" i="40"/>
  <c r="BS41" i="40"/>
  <c r="W41" i="40"/>
  <c r="AG41" i="40" s="1"/>
  <c r="V41" i="40"/>
  <c r="AF41" i="40" s="1"/>
  <c r="S41" i="40"/>
  <c r="M41" i="40"/>
  <c r="BL40" i="40"/>
  <c r="BZ40" i="40" s="1"/>
  <c r="BC40" i="40"/>
  <c r="BC171" i="40" s="1"/>
  <c r="AY40" i="40"/>
  <c r="BW40" i="40" s="1"/>
  <c r="AP40" i="40"/>
  <c r="BS40" i="40"/>
  <c r="X40" i="40"/>
  <c r="W40" i="40"/>
  <c r="AG40" i="40" s="1"/>
  <c r="V40" i="40"/>
  <c r="S40" i="40"/>
  <c r="M40" i="40"/>
  <c r="BL39" i="40"/>
  <c r="BK39" i="40"/>
  <c r="BY39" i="40" s="1"/>
  <c r="AY39" i="40"/>
  <c r="BW39" i="40" s="1"/>
  <c r="AP39" i="40"/>
  <c r="W39" i="40"/>
  <c r="V39" i="40"/>
  <c r="AF39" i="40" s="1"/>
  <c r="S39" i="40"/>
  <c r="M39" i="40"/>
  <c r="Q39" i="40"/>
  <c r="BJ38" i="40"/>
  <c r="BI38" i="40"/>
  <c r="BH38" i="40"/>
  <c r="BG38" i="40"/>
  <c r="BF38" i="40"/>
  <c r="BE38" i="40"/>
  <c r="BD38" i="40"/>
  <c r="BC38" i="40"/>
  <c r="BB38" i="40"/>
  <c r="BA38" i="40"/>
  <c r="AX38" i="40"/>
  <c r="AW38" i="40"/>
  <c r="AN38" i="40"/>
  <c r="AM38" i="40"/>
  <c r="AL38" i="40"/>
  <c r="AJ38" i="40"/>
  <c r="AI38" i="40"/>
  <c r="AE38" i="40"/>
  <c r="AD38" i="40"/>
  <c r="AC38" i="40"/>
  <c r="AB38" i="40"/>
  <c r="AA38" i="40"/>
  <c r="Z38" i="40"/>
  <c r="Y38" i="40"/>
  <c r="X38" i="40"/>
  <c r="U38" i="40"/>
  <c r="T38" i="40"/>
  <c r="R38" i="40"/>
  <c r="O38" i="40"/>
  <c r="N38" i="40"/>
  <c r="L38" i="40"/>
  <c r="K38" i="40"/>
  <c r="BL37" i="40"/>
  <c r="BK37" i="40"/>
  <c r="BY37" i="40" s="1"/>
  <c r="AY37" i="40"/>
  <c r="BW37" i="40" s="1"/>
  <c r="AP37" i="40"/>
  <c r="W37" i="40"/>
  <c r="AG37" i="40" s="1"/>
  <c r="V37" i="40"/>
  <c r="AF37" i="40" s="1"/>
  <c r="S37" i="40"/>
  <c r="M37" i="40"/>
  <c r="BL36" i="40"/>
  <c r="BZ36" i="40" s="1"/>
  <c r="BK36" i="40"/>
  <c r="BY36" i="40" s="1"/>
  <c r="AY36" i="40"/>
  <c r="BW36" i="40" s="1"/>
  <c r="AP36" i="40"/>
  <c r="BT36" i="40" s="1"/>
  <c r="BS36" i="40"/>
  <c r="W36" i="40"/>
  <c r="AG36" i="40" s="1"/>
  <c r="V36" i="40"/>
  <c r="AF36" i="40" s="1"/>
  <c r="BP36" i="40" s="1"/>
  <c r="S36" i="40"/>
  <c r="M36" i="40"/>
  <c r="BL35" i="40"/>
  <c r="BZ35" i="40" s="1"/>
  <c r="BK35" i="40"/>
  <c r="BY35" i="40" s="1"/>
  <c r="AY35" i="40"/>
  <c r="BW35" i="40" s="1"/>
  <c r="AP35" i="40"/>
  <c r="BS35" i="40"/>
  <c r="W35" i="40"/>
  <c r="AG35" i="40" s="1"/>
  <c r="BQ35" i="40" s="1"/>
  <c r="V35" i="40"/>
  <c r="AF35" i="40" s="1"/>
  <c r="S35" i="40"/>
  <c r="M35" i="40"/>
  <c r="BL34" i="40"/>
  <c r="BZ34" i="40" s="1"/>
  <c r="BK34" i="40"/>
  <c r="BY34" i="40" s="1"/>
  <c r="AY34" i="40"/>
  <c r="BW34" i="40" s="1"/>
  <c r="AP34" i="40"/>
  <c r="BS34" i="40"/>
  <c r="W34" i="40"/>
  <c r="AG34" i="40" s="1"/>
  <c r="V34" i="40"/>
  <c r="AF34" i="40" s="1"/>
  <c r="BP34" i="40" s="1"/>
  <c r="S34" i="40"/>
  <c r="M34" i="40"/>
  <c r="BL33" i="40"/>
  <c r="BK33" i="40"/>
  <c r="BY33" i="40" s="1"/>
  <c r="AY33" i="40"/>
  <c r="BW33" i="40" s="1"/>
  <c r="AP33" i="40"/>
  <c r="W33" i="40"/>
  <c r="AG33" i="40" s="1"/>
  <c r="V33" i="40"/>
  <c r="S33" i="40"/>
  <c r="M33" i="40"/>
  <c r="BJ32" i="40"/>
  <c r="BI32" i="40"/>
  <c r="BH32" i="40"/>
  <c r="BG32" i="40"/>
  <c r="BF32" i="40"/>
  <c r="BE32" i="40"/>
  <c r="BD32" i="40"/>
  <c r="BC32" i="40"/>
  <c r="BB32" i="40"/>
  <c r="BA32" i="40"/>
  <c r="AX32" i="40"/>
  <c r="AW32" i="40"/>
  <c r="AN32" i="40"/>
  <c r="AM32" i="40"/>
  <c r="AL32" i="40"/>
  <c r="AJ32" i="40"/>
  <c r="AE32" i="40"/>
  <c r="AD32" i="40"/>
  <c r="AC32" i="40"/>
  <c r="AB32" i="40"/>
  <c r="AA32" i="40"/>
  <c r="Z32" i="40"/>
  <c r="Y32" i="40"/>
  <c r="X32" i="40"/>
  <c r="U32" i="40"/>
  <c r="T32" i="40"/>
  <c r="R32" i="40"/>
  <c r="O32" i="40"/>
  <c r="N32" i="40"/>
  <c r="L32" i="40"/>
  <c r="K32" i="40"/>
  <c r="BL31" i="40"/>
  <c r="BZ31" i="40" s="1"/>
  <c r="BK31" i="40"/>
  <c r="BY31" i="40" s="1"/>
  <c r="AY31" i="40"/>
  <c r="BW31" i="40" s="1"/>
  <c r="AP31" i="40"/>
  <c r="BS31" i="40"/>
  <c r="W31" i="40"/>
  <c r="AG31" i="40" s="1"/>
  <c r="BQ31" i="40" s="1"/>
  <c r="V31" i="40"/>
  <c r="AF31" i="40" s="1"/>
  <c r="S31" i="40"/>
  <c r="M31" i="40"/>
  <c r="BL30" i="40"/>
  <c r="BK30" i="40"/>
  <c r="AY30" i="40"/>
  <c r="BW30" i="40" s="1"/>
  <c r="AP30" i="40"/>
  <c r="W30" i="40"/>
  <c r="V30" i="40"/>
  <c r="AF30" i="40" s="1"/>
  <c r="S30" i="40"/>
  <c r="M30" i="40"/>
  <c r="BL29" i="40"/>
  <c r="BZ29" i="40" s="1"/>
  <c r="BK29" i="40"/>
  <c r="BY29" i="40" s="1"/>
  <c r="AY29" i="40"/>
  <c r="BW29" i="40" s="1"/>
  <c r="AP29" i="40"/>
  <c r="BT29" i="40" s="1"/>
  <c r="W29" i="40"/>
  <c r="AG29" i="40" s="1"/>
  <c r="BQ29" i="40" s="1"/>
  <c r="V29" i="40"/>
  <c r="AF29" i="40" s="1"/>
  <c r="S29" i="40"/>
  <c r="Q29" i="40"/>
  <c r="M29" i="40"/>
  <c r="P29" i="40" s="1"/>
  <c r="BL28" i="40"/>
  <c r="BL174" i="40" s="1"/>
  <c r="BK28" i="40"/>
  <c r="BK174" i="40" s="1"/>
  <c r="AY28" i="40"/>
  <c r="AY174" i="40" s="1"/>
  <c r="AP28" i="40"/>
  <c r="AP174" i="40" s="1"/>
  <c r="AI28" i="40"/>
  <c r="AI174" i="40" s="1"/>
  <c r="W28" i="40"/>
  <c r="W174" i="40" s="1"/>
  <c r="S28" i="40"/>
  <c r="S174" i="40" s="1"/>
  <c r="M28" i="40"/>
  <c r="BL27" i="40"/>
  <c r="BK27" i="40"/>
  <c r="BY27" i="40" s="1"/>
  <c r="AY27" i="40"/>
  <c r="BW27" i="40" s="1"/>
  <c r="AP27" i="40"/>
  <c r="BS27" i="40"/>
  <c r="W27" i="40"/>
  <c r="AG27" i="40" s="1"/>
  <c r="V27" i="40"/>
  <c r="AF27" i="40" s="1"/>
  <c r="S27" i="40"/>
  <c r="M27" i="40"/>
  <c r="Q27" i="40"/>
  <c r="BL26" i="40"/>
  <c r="BZ26" i="40" s="1"/>
  <c r="BK26" i="40"/>
  <c r="AY26" i="40"/>
  <c r="AP26" i="40"/>
  <c r="AI26" i="40"/>
  <c r="W26" i="40"/>
  <c r="AG26" i="40" s="1"/>
  <c r="S26" i="40"/>
  <c r="M26" i="40"/>
  <c r="Q26" i="40"/>
  <c r="BJ25" i="40"/>
  <c r="BI25" i="40"/>
  <c r="BH25" i="40"/>
  <c r="BG25" i="40"/>
  <c r="BF25" i="40"/>
  <c r="BE25" i="40"/>
  <c r="BD25" i="40"/>
  <c r="BC25" i="40"/>
  <c r="BB25" i="40"/>
  <c r="BA25" i="40"/>
  <c r="AX25" i="40"/>
  <c r="AW25" i="40"/>
  <c r="AN25" i="40"/>
  <c r="AM25" i="40"/>
  <c r="AL25" i="40"/>
  <c r="AJ25" i="40"/>
  <c r="AI25" i="40"/>
  <c r="AE25" i="40"/>
  <c r="AD25" i="40"/>
  <c r="AC25" i="40"/>
  <c r="AB25" i="40"/>
  <c r="AA25" i="40"/>
  <c r="Z25" i="40"/>
  <c r="Y25" i="40"/>
  <c r="X25" i="40"/>
  <c r="U25" i="40"/>
  <c r="T25" i="40"/>
  <c r="R25" i="40"/>
  <c r="O25" i="40"/>
  <c r="N25" i="40"/>
  <c r="L25" i="40"/>
  <c r="K25" i="40"/>
  <c r="BL24" i="40"/>
  <c r="BL179" i="40" s="1"/>
  <c r="BK24" i="40"/>
  <c r="BY24" i="40" s="1"/>
  <c r="BY25" i="40" s="1"/>
  <c r="AY24" i="40"/>
  <c r="AP24" i="40"/>
  <c r="W24" i="40"/>
  <c r="V24" i="40"/>
  <c r="S24" i="40"/>
  <c r="M24" i="40"/>
  <c r="BJ23" i="40"/>
  <c r="BI23" i="40"/>
  <c r="BH23" i="40"/>
  <c r="BG23" i="40"/>
  <c r="BF23" i="40"/>
  <c r="BE23" i="40"/>
  <c r="BD23" i="40"/>
  <c r="BC23" i="40"/>
  <c r="BB23" i="40"/>
  <c r="BA23" i="40"/>
  <c r="AX23" i="40"/>
  <c r="AW23" i="40"/>
  <c r="AN23" i="40"/>
  <c r="AM23" i="40"/>
  <c r="AL23" i="40"/>
  <c r="AJ23" i="40"/>
  <c r="AE23" i="40"/>
  <c r="AD23" i="40"/>
  <c r="AC23" i="40"/>
  <c r="AB23" i="40"/>
  <c r="AA23" i="40"/>
  <c r="Z23" i="40"/>
  <c r="Y23" i="40"/>
  <c r="X23" i="40"/>
  <c r="U23" i="40"/>
  <c r="T23" i="40"/>
  <c r="R23" i="40"/>
  <c r="O23" i="40"/>
  <c r="N23" i="40"/>
  <c r="L23" i="40"/>
  <c r="K23" i="40"/>
  <c r="BL22" i="40"/>
  <c r="BK22" i="40"/>
  <c r="BY22" i="40" s="1"/>
  <c r="AY22" i="40"/>
  <c r="BW22" i="40" s="1"/>
  <c r="AP22" i="40"/>
  <c r="BT22" i="40" s="1"/>
  <c r="BS22" i="40"/>
  <c r="W22" i="40"/>
  <c r="AG22" i="40" s="1"/>
  <c r="BQ22" i="40" s="1"/>
  <c r="V22" i="40"/>
  <c r="AF22" i="40" s="1"/>
  <c r="BP22" i="40" s="1"/>
  <c r="S22" i="40"/>
  <c r="M22" i="40"/>
  <c r="BL21" i="40"/>
  <c r="BK21" i="40"/>
  <c r="BY21" i="40" s="1"/>
  <c r="AY21" i="40"/>
  <c r="BW21" i="40" s="1"/>
  <c r="AP21" i="40"/>
  <c r="BT21" i="40" s="1"/>
  <c r="BS21" i="40"/>
  <c r="W21" i="40"/>
  <c r="AG21" i="40" s="1"/>
  <c r="BQ21" i="40" s="1"/>
  <c r="V21" i="40"/>
  <c r="AF21" i="40" s="1"/>
  <c r="S21" i="40"/>
  <c r="M21" i="40"/>
  <c r="BL20" i="40"/>
  <c r="BZ20" i="40" s="1"/>
  <c r="BK20" i="40"/>
  <c r="AY20" i="40"/>
  <c r="AP20" i="40"/>
  <c r="BT20" i="40" s="1"/>
  <c r="AI20" i="40"/>
  <c r="W20" i="40"/>
  <c r="S20" i="40"/>
  <c r="M20" i="40"/>
  <c r="BJ19" i="40"/>
  <c r="BI19" i="40"/>
  <c r="BH19" i="40"/>
  <c r="BG19" i="40"/>
  <c r="BF19" i="40"/>
  <c r="BE19" i="40"/>
  <c r="BD19" i="40"/>
  <c r="BC19" i="40"/>
  <c r="BB19" i="40"/>
  <c r="BA19" i="40"/>
  <c r="AX19" i="40"/>
  <c r="AW19" i="40"/>
  <c r="AN19" i="40"/>
  <c r="AM19" i="40"/>
  <c r="AL19" i="40"/>
  <c r="AJ19" i="40"/>
  <c r="AI19" i="40"/>
  <c r="AE19" i="40"/>
  <c r="AD19" i="40"/>
  <c r="AC19" i="40"/>
  <c r="AB19" i="40"/>
  <c r="AA19" i="40"/>
  <c r="Z19" i="40"/>
  <c r="Y19" i="40"/>
  <c r="X19" i="40"/>
  <c r="U19" i="40"/>
  <c r="T19" i="40"/>
  <c r="R19" i="40"/>
  <c r="O19" i="40"/>
  <c r="N19" i="40"/>
  <c r="L19" i="40"/>
  <c r="K19" i="40"/>
  <c r="BL18" i="40"/>
  <c r="BZ18" i="40" s="1"/>
  <c r="BK18" i="40"/>
  <c r="BY18" i="40" s="1"/>
  <c r="AY18" i="40"/>
  <c r="BW18" i="40" s="1"/>
  <c r="AP18" i="40"/>
  <c r="BT18" i="40" s="1"/>
  <c r="W18" i="40"/>
  <c r="AG18" i="40" s="1"/>
  <c r="BQ18" i="40" s="1"/>
  <c r="V18" i="40"/>
  <c r="AF18" i="40" s="1"/>
  <c r="S18" i="40"/>
  <c r="M18" i="40"/>
  <c r="BL17" i="40"/>
  <c r="BZ17" i="40" s="1"/>
  <c r="BK17" i="40"/>
  <c r="BY17" i="40" s="1"/>
  <c r="AY17" i="40"/>
  <c r="BW17" i="40" s="1"/>
  <c r="AP17" i="40"/>
  <c r="BT17" i="40" s="1"/>
  <c r="W17" i="40"/>
  <c r="AG17" i="40" s="1"/>
  <c r="BQ17" i="40" s="1"/>
  <c r="V17" i="40"/>
  <c r="AF17" i="40" s="1"/>
  <c r="S17" i="40"/>
  <c r="M17" i="40"/>
  <c r="BL16" i="40"/>
  <c r="BZ16" i="40" s="1"/>
  <c r="BK16" i="40"/>
  <c r="AY16" i="40"/>
  <c r="AP16" i="40"/>
  <c r="W16" i="40"/>
  <c r="AG16" i="40" s="1"/>
  <c r="V16" i="40"/>
  <c r="AF16" i="40" s="1"/>
  <c r="S16" i="40"/>
  <c r="M16" i="40"/>
  <c r="Q16" i="40"/>
  <c r="BJ15" i="40"/>
  <c r="BI15" i="40"/>
  <c r="BH15" i="40"/>
  <c r="BG15" i="40"/>
  <c r="BF15" i="40"/>
  <c r="BE15" i="40"/>
  <c r="BD15" i="40"/>
  <c r="BC15" i="40"/>
  <c r="BB15" i="40"/>
  <c r="BA15" i="40"/>
  <c r="AX15" i="40"/>
  <c r="AW15" i="40"/>
  <c r="AN15" i="40"/>
  <c r="AM15" i="40"/>
  <c r="AL15" i="40"/>
  <c r="AJ15" i="40"/>
  <c r="AI15" i="40"/>
  <c r="AE15" i="40"/>
  <c r="AD15" i="40"/>
  <c r="AC15" i="40"/>
  <c r="AB15" i="40"/>
  <c r="AA15" i="40"/>
  <c r="Z15" i="40"/>
  <c r="Y15" i="40"/>
  <c r="X15" i="40"/>
  <c r="U15" i="40"/>
  <c r="T15" i="40"/>
  <c r="R15" i="40"/>
  <c r="O15" i="40"/>
  <c r="N15" i="40"/>
  <c r="L15" i="40"/>
  <c r="K15" i="40"/>
  <c r="BL14" i="40"/>
  <c r="BK14" i="40"/>
  <c r="AY14" i="40"/>
  <c r="BW14" i="40" s="1"/>
  <c r="AP14" i="40"/>
  <c r="W14" i="40"/>
  <c r="V14" i="40"/>
  <c r="AF14" i="40" s="1"/>
  <c r="BP14" i="40" s="1"/>
  <c r="S14" i="40"/>
  <c r="Q14" i="40"/>
  <c r="M14" i="40"/>
  <c r="P14" i="40" s="1"/>
  <c r="BL13" i="40"/>
  <c r="BZ13" i="40" s="1"/>
  <c r="BK13" i="40"/>
  <c r="AY13" i="40"/>
  <c r="BW13" i="40" s="1"/>
  <c r="AP13" i="40"/>
  <c r="BT13" i="40" s="1"/>
  <c r="W13" i="40"/>
  <c r="V13" i="40"/>
  <c r="AF13" i="40" s="1"/>
  <c r="BP13" i="40" s="1"/>
  <c r="S13" i="40"/>
  <c r="M13" i="40"/>
  <c r="BL12" i="40"/>
  <c r="BK12" i="40"/>
  <c r="BY12" i="40" s="1"/>
  <c r="AY12" i="40"/>
  <c r="BW12" i="40" s="1"/>
  <c r="AP12" i="40"/>
  <c r="W12" i="40"/>
  <c r="AG12" i="40" s="1"/>
  <c r="V12" i="40"/>
  <c r="S12" i="40"/>
  <c r="M12" i="40"/>
  <c r="J12" i="40"/>
  <c r="Q12" i="40" s="1"/>
  <c r="BJ137" i="39"/>
  <c r="BI137" i="39"/>
  <c r="BH137" i="39"/>
  <c r="BG137" i="39"/>
  <c r="BF137" i="39"/>
  <c r="BE137" i="39"/>
  <c r="BD137" i="39"/>
  <c r="BC137" i="39"/>
  <c r="BB137" i="39"/>
  <c r="BA137" i="39"/>
  <c r="AX137" i="39"/>
  <c r="AW137" i="39"/>
  <c r="AN137" i="39"/>
  <c r="AM137" i="39"/>
  <c r="AL137" i="39"/>
  <c r="AJ137" i="39"/>
  <c r="AI137" i="39"/>
  <c r="AE137" i="39"/>
  <c r="AD137" i="39"/>
  <c r="AC137" i="39"/>
  <c r="AB137" i="39"/>
  <c r="AA137" i="39"/>
  <c r="Z137" i="39"/>
  <c r="Y137" i="39"/>
  <c r="X137" i="39"/>
  <c r="U137" i="39"/>
  <c r="T137" i="39"/>
  <c r="R137" i="39"/>
  <c r="O137" i="39"/>
  <c r="N137" i="39"/>
  <c r="L137" i="39"/>
  <c r="K137" i="39"/>
  <c r="BJ136" i="39"/>
  <c r="BI136" i="39"/>
  <c r="BH136" i="39"/>
  <c r="BG136" i="39"/>
  <c r="BF136" i="39"/>
  <c r="BE136" i="39"/>
  <c r="BD136" i="39"/>
  <c r="BC136" i="39"/>
  <c r="BB136" i="39"/>
  <c r="BA136" i="39"/>
  <c r="AX136" i="39"/>
  <c r="AW136" i="39"/>
  <c r="AN136" i="39"/>
  <c r="AM136" i="39"/>
  <c r="AL136" i="39"/>
  <c r="AJ136" i="39"/>
  <c r="AI136" i="39"/>
  <c r="AE136" i="39"/>
  <c r="AD136" i="39"/>
  <c r="AC136" i="39"/>
  <c r="AB136" i="39"/>
  <c r="AA136" i="39"/>
  <c r="Z136" i="39"/>
  <c r="Y136" i="39"/>
  <c r="X136" i="39"/>
  <c r="U136" i="39"/>
  <c r="T136" i="39"/>
  <c r="R136" i="39"/>
  <c r="O136" i="39"/>
  <c r="N136" i="39"/>
  <c r="L136" i="39"/>
  <c r="K136" i="39"/>
  <c r="BJ135" i="39"/>
  <c r="BI135" i="39"/>
  <c r="BH135" i="39"/>
  <c r="BG135" i="39"/>
  <c r="BF135" i="39"/>
  <c r="BE135" i="39"/>
  <c r="BD135" i="39"/>
  <c r="BC135" i="39"/>
  <c r="BB135" i="39"/>
  <c r="BA135" i="39"/>
  <c r="AX135" i="39"/>
  <c r="AW135" i="39"/>
  <c r="AN135" i="39"/>
  <c r="AM135" i="39"/>
  <c r="AL135" i="39"/>
  <c r="AJ135" i="39"/>
  <c r="AI135" i="39"/>
  <c r="AE135" i="39"/>
  <c r="AD135" i="39"/>
  <c r="AC135" i="39"/>
  <c r="AB135" i="39"/>
  <c r="AA135" i="39"/>
  <c r="Z135" i="39"/>
  <c r="Y135" i="39"/>
  <c r="X135" i="39"/>
  <c r="U135" i="39"/>
  <c r="T135" i="39"/>
  <c r="R135" i="39"/>
  <c r="O135" i="39"/>
  <c r="N135" i="39"/>
  <c r="L135" i="39"/>
  <c r="K135" i="39"/>
  <c r="BJ134" i="39"/>
  <c r="BI134" i="39"/>
  <c r="BH134" i="39"/>
  <c r="BG134" i="39"/>
  <c r="BF134" i="39"/>
  <c r="BE134" i="39"/>
  <c r="BD134" i="39"/>
  <c r="BC134" i="39"/>
  <c r="BB134" i="39"/>
  <c r="BA134" i="39"/>
  <c r="AX134" i="39"/>
  <c r="AW134" i="39"/>
  <c r="AN134" i="39"/>
  <c r="AM134" i="39"/>
  <c r="AL134" i="39"/>
  <c r="AI134" i="39"/>
  <c r="AE134" i="39"/>
  <c r="AD134" i="39"/>
  <c r="AC134" i="39"/>
  <c r="AB134" i="39"/>
  <c r="AA134" i="39"/>
  <c r="Z134" i="39"/>
  <c r="Y134" i="39"/>
  <c r="X134" i="39"/>
  <c r="U134" i="39"/>
  <c r="T134" i="39"/>
  <c r="R134" i="39"/>
  <c r="O134" i="39"/>
  <c r="N134" i="39"/>
  <c r="L134" i="39"/>
  <c r="K134" i="39"/>
  <c r="BZ133" i="39"/>
  <c r="BY133" i="39"/>
  <c r="BX133" i="39"/>
  <c r="BW133" i="39"/>
  <c r="BV133" i="39"/>
  <c r="BU133" i="39"/>
  <c r="BT133" i="39"/>
  <c r="BS133" i="39"/>
  <c r="BR133" i="39"/>
  <c r="BQ133" i="39"/>
  <c r="BP133" i="39"/>
  <c r="BO133" i="39"/>
  <c r="BN133" i="39"/>
  <c r="BM133" i="39"/>
  <c r="BL133" i="39"/>
  <c r="BK133" i="39"/>
  <c r="BJ133" i="39"/>
  <c r="BI133" i="39"/>
  <c r="BH133" i="39"/>
  <c r="BG133" i="39"/>
  <c r="BF133" i="39"/>
  <c r="BE133" i="39"/>
  <c r="BD133" i="39"/>
  <c r="BC133" i="39"/>
  <c r="BB133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BZ132" i="39"/>
  <c r="BY132" i="39"/>
  <c r="BX132" i="39"/>
  <c r="BW132" i="39"/>
  <c r="BV132" i="39"/>
  <c r="BU132" i="39"/>
  <c r="BT132" i="39"/>
  <c r="BS132" i="39"/>
  <c r="BR132" i="39"/>
  <c r="BQ132" i="39"/>
  <c r="BP132" i="39"/>
  <c r="BO132" i="39"/>
  <c r="BN132" i="39"/>
  <c r="BM132" i="39"/>
  <c r="BL132" i="39"/>
  <c r="BK132" i="39"/>
  <c r="BJ132" i="39"/>
  <c r="BI132" i="39"/>
  <c r="BH132" i="39"/>
  <c r="BG132" i="39"/>
  <c r="BF132" i="39"/>
  <c r="BE132" i="39"/>
  <c r="BD132" i="39"/>
  <c r="BC132" i="39"/>
  <c r="BB132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J131" i="39"/>
  <c r="BI131" i="39"/>
  <c r="BH131" i="39"/>
  <c r="BG131" i="39"/>
  <c r="BF131" i="39"/>
  <c r="BE131" i="39"/>
  <c r="BD131" i="39"/>
  <c r="BB131" i="39"/>
  <c r="BA131" i="39"/>
  <c r="AX131" i="39"/>
  <c r="AN131" i="39"/>
  <c r="AM131" i="39"/>
  <c r="AL131" i="39"/>
  <c r="AJ131" i="39"/>
  <c r="AI131" i="39"/>
  <c r="AE131" i="39"/>
  <c r="AD131" i="39"/>
  <c r="AC131" i="39"/>
  <c r="AB131" i="39"/>
  <c r="AA131" i="39"/>
  <c r="Z131" i="39"/>
  <c r="Y131" i="39"/>
  <c r="U131" i="39"/>
  <c r="T131" i="39"/>
  <c r="R131" i="39"/>
  <c r="O131" i="39"/>
  <c r="N131" i="39"/>
  <c r="L131" i="39"/>
  <c r="K131" i="39"/>
  <c r="BJ130" i="39"/>
  <c r="BI130" i="39"/>
  <c r="BH130" i="39"/>
  <c r="BG130" i="39"/>
  <c r="BF130" i="39"/>
  <c r="BE130" i="39"/>
  <c r="BD130" i="39"/>
  <c r="BC130" i="39"/>
  <c r="BB130" i="39"/>
  <c r="BA130" i="39"/>
  <c r="AX130" i="39"/>
  <c r="AW130" i="39"/>
  <c r="AN130" i="39"/>
  <c r="AM130" i="39"/>
  <c r="AL130" i="39"/>
  <c r="AJ130" i="39"/>
  <c r="AI130" i="39"/>
  <c r="AE130" i="39"/>
  <c r="AD130" i="39"/>
  <c r="AC130" i="39"/>
  <c r="AB130" i="39"/>
  <c r="AA130" i="39"/>
  <c r="Z130" i="39"/>
  <c r="Y130" i="39"/>
  <c r="X130" i="39"/>
  <c r="U130" i="39"/>
  <c r="T130" i="39"/>
  <c r="R130" i="39"/>
  <c r="O130" i="39"/>
  <c r="N130" i="39"/>
  <c r="L130" i="39"/>
  <c r="K130" i="39"/>
  <c r="BJ129" i="39"/>
  <c r="BI129" i="39"/>
  <c r="BH129" i="39"/>
  <c r="BG129" i="39"/>
  <c r="BF129" i="39"/>
  <c r="BE129" i="39"/>
  <c r="BD129" i="39"/>
  <c r="BB129" i="39"/>
  <c r="BA129" i="39"/>
  <c r="AX129" i="39"/>
  <c r="AW129" i="39"/>
  <c r="AN129" i="39"/>
  <c r="AM129" i="39"/>
  <c r="AL129" i="39"/>
  <c r="AE129" i="39"/>
  <c r="AD129" i="39"/>
  <c r="AC129" i="39"/>
  <c r="AB129" i="39"/>
  <c r="AA129" i="39"/>
  <c r="Z129" i="39"/>
  <c r="Y129" i="39"/>
  <c r="U129" i="39"/>
  <c r="T129" i="39"/>
  <c r="R129" i="39"/>
  <c r="O129" i="39"/>
  <c r="N129" i="39"/>
  <c r="L129" i="39"/>
  <c r="K129" i="39"/>
  <c r="BJ128" i="39"/>
  <c r="BI128" i="39"/>
  <c r="BH128" i="39"/>
  <c r="BG128" i="39"/>
  <c r="BF128" i="39"/>
  <c r="BE128" i="39"/>
  <c r="BD128" i="39"/>
  <c r="BB128" i="39"/>
  <c r="BA128" i="39"/>
  <c r="AX128" i="39"/>
  <c r="AW128" i="39"/>
  <c r="AN128" i="39"/>
  <c r="AM128" i="39"/>
  <c r="AL128" i="39"/>
  <c r="AJ128" i="39"/>
  <c r="AI128" i="39"/>
  <c r="AE128" i="39"/>
  <c r="AD128" i="39"/>
  <c r="AC128" i="39"/>
  <c r="AB128" i="39"/>
  <c r="AA128" i="39"/>
  <c r="Z128" i="39"/>
  <c r="Y128" i="39"/>
  <c r="U128" i="39"/>
  <c r="T128" i="39"/>
  <c r="R128" i="39"/>
  <c r="O128" i="39"/>
  <c r="N128" i="39"/>
  <c r="L128" i="39"/>
  <c r="K128" i="39"/>
  <c r="BJ123" i="39"/>
  <c r="BI123" i="39"/>
  <c r="BH123" i="39"/>
  <c r="BG123" i="39"/>
  <c r="BF123" i="39"/>
  <c r="BE123" i="39"/>
  <c r="BD123" i="39"/>
  <c r="BC123" i="39"/>
  <c r="BB123" i="39"/>
  <c r="BA123" i="39"/>
  <c r="AX123" i="39"/>
  <c r="AW123" i="39"/>
  <c r="AN123" i="39"/>
  <c r="AM123" i="39"/>
  <c r="AL123" i="39"/>
  <c r="AJ123" i="39"/>
  <c r="AI123" i="39"/>
  <c r="AE123" i="39"/>
  <c r="AD123" i="39"/>
  <c r="AC123" i="39"/>
  <c r="AB123" i="39"/>
  <c r="AA123" i="39"/>
  <c r="Z123" i="39"/>
  <c r="Y123" i="39"/>
  <c r="X123" i="39"/>
  <c r="U123" i="39"/>
  <c r="T123" i="39"/>
  <c r="R123" i="39"/>
  <c r="O123" i="39"/>
  <c r="N123" i="39"/>
  <c r="L123" i="39"/>
  <c r="K123" i="39"/>
  <c r="BL122" i="39"/>
  <c r="BZ122" i="39" s="1"/>
  <c r="BK122" i="39"/>
  <c r="AY122" i="39"/>
  <c r="BW122" i="39" s="1"/>
  <c r="AP122" i="39"/>
  <c r="BT122" i="39" s="1"/>
  <c r="W122" i="39"/>
  <c r="AG122" i="39" s="1"/>
  <c r="V122" i="39"/>
  <c r="AF122" i="39" s="1"/>
  <c r="S122" i="39"/>
  <c r="M122" i="39"/>
  <c r="BL121" i="39"/>
  <c r="BZ121" i="39" s="1"/>
  <c r="BK121" i="39"/>
  <c r="AY121" i="39"/>
  <c r="BW121" i="39" s="1"/>
  <c r="AP121" i="39"/>
  <c r="BT121" i="39" s="1"/>
  <c r="W121" i="39"/>
  <c r="AG121" i="39" s="1"/>
  <c r="BQ121" i="39" s="1"/>
  <c r="V121" i="39"/>
  <c r="AF121" i="39" s="1"/>
  <c r="S121" i="39"/>
  <c r="M121" i="39"/>
  <c r="Q121" i="39"/>
  <c r="BL120" i="39"/>
  <c r="BZ120" i="39" s="1"/>
  <c r="BK120" i="39"/>
  <c r="AY120" i="39"/>
  <c r="BW120" i="39" s="1"/>
  <c r="AP120" i="39"/>
  <c r="BT120" i="39" s="1"/>
  <c r="W120" i="39"/>
  <c r="AG120" i="39" s="1"/>
  <c r="V120" i="39"/>
  <c r="AF120" i="39" s="1"/>
  <c r="S120" i="39"/>
  <c r="M120" i="39"/>
  <c r="Q120" i="39"/>
  <c r="BL119" i="39"/>
  <c r="BZ119" i="39" s="1"/>
  <c r="BK119" i="39"/>
  <c r="AY119" i="39"/>
  <c r="AP119" i="39"/>
  <c r="BS119" i="39"/>
  <c r="W119" i="39"/>
  <c r="AG119" i="39" s="1"/>
  <c r="V119" i="39"/>
  <c r="AF119" i="39" s="1"/>
  <c r="S119" i="39"/>
  <c r="M119" i="39"/>
  <c r="Q119" i="39"/>
  <c r="BJ118" i="39"/>
  <c r="BI118" i="39"/>
  <c r="BH118" i="39"/>
  <c r="BG118" i="39"/>
  <c r="BF118" i="39"/>
  <c r="BE118" i="39"/>
  <c r="BD118" i="39"/>
  <c r="BC118" i="39"/>
  <c r="BB118" i="39"/>
  <c r="BA118" i="39"/>
  <c r="AX118" i="39"/>
  <c r="AW118" i="39"/>
  <c r="AN118" i="39"/>
  <c r="AM118" i="39"/>
  <c r="AL118" i="39"/>
  <c r="AJ118" i="39"/>
  <c r="AI118" i="39"/>
  <c r="AE118" i="39"/>
  <c r="AD118" i="39"/>
  <c r="AC118" i="39"/>
  <c r="AB118" i="39"/>
  <c r="AA118" i="39"/>
  <c r="Z118" i="39"/>
  <c r="Y118" i="39"/>
  <c r="X118" i="39"/>
  <c r="U118" i="39"/>
  <c r="T118" i="39"/>
  <c r="R118" i="39"/>
  <c r="O118" i="39"/>
  <c r="N118" i="39"/>
  <c r="L118" i="39"/>
  <c r="K118" i="39"/>
  <c r="BL117" i="39"/>
  <c r="BZ117" i="39" s="1"/>
  <c r="BK117" i="39"/>
  <c r="AY117" i="39"/>
  <c r="BW117" i="39" s="1"/>
  <c r="AP117" i="39"/>
  <c r="BT117" i="39" s="1"/>
  <c r="W117" i="39"/>
  <c r="AG117" i="39" s="1"/>
  <c r="V117" i="39"/>
  <c r="AF117" i="39" s="1"/>
  <c r="BP117" i="39" s="1"/>
  <c r="S117" i="39"/>
  <c r="M117" i="39"/>
  <c r="P117" i="39" s="1"/>
  <c r="BL116" i="39"/>
  <c r="BZ116" i="39" s="1"/>
  <c r="BK116" i="39"/>
  <c r="AY116" i="39"/>
  <c r="BW116" i="39" s="1"/>
  <c r="AP116" i="39"/>
  <c r="BT116" i="39" s="1"/>
  <c r="W116" i="39"/>
  <c r="AG116" i="39" s="1"/>
  <c r="V116" i="39"/>
  <c r="AF116" i="39" s="1"/>
  <c r="BP116" i="39" s="1"/>
  <c r="S116" i="39"/>
  <c r="M116" i="39"/>
  <c r="BL115" i="39"/>
  <c r="BK115" i="39"/>
  <c r="AY115" i="39"/>
  <c r="AP115" i="39"/>
  <c r="BT115" i="39" s="1"/>
  <c r="BS115" i="39"/>
  <c r="W115" i="39"/>
  <c r="AG115" i="39" s="1"/>
  <c r="V115" i="39"/>
  <c r="AF115" i="39" s="1"/>
  <c r="S115" i="39"/>
  <c r="M115" i="39"/>
  <c r="BJ114" i="39"/>
  <c r="BI114" i="39"/>
  <c r="BH114" i="39"/>
  <c r="BG114" i="39"/>
  <c r="BF114" i="39"/>
  <c r="BE114" i="39"/>
  <c r="BD114" i="39"/>
  <c r="BB114" i="39"/>
  <c r="BA114" i="39"/>
  <c r="AX114" i="39"/>
  <c r="AW114" i="39"/>
  <c r="AN114" i="39"/>
  <c r="AM114" i="39"/>
  <c r="AL114" i="39"/>
  <c r="AJ114" i="39"/>
  <c r="AI114" i="39"/>
  <c r="AE114" i="39"/>
  <c r="AD114" i="39"/>
  <c r="AC114" i="39"/>
  <c r="AB114" i="39"/>
  <c r="AA114" i="39"/>
  <c r="Z114" i="39"/>
  <c r="Y114" i="39"/>
  <c r="U114" i="39"/>
  <c r="T114" i="39"/>
  <c r="R114" i="39"/>
  <c r="O114" i="39"/>
  <c r="N114" i="39"/>
  <c r="L114" i="39"/>
  <c r="K114" i="39"/>
  <c r="BL113" i="39"/>
  <c r="BZ113" i="39" s="1"/>
  <c r="BK113" i="39"/>
  <c r="AY113" i="39"/>
  <c r="BW113" i="39" s="1"/>
  <c r="AP113" i="39"/>
  <c r="BT113" i="39" s="1"/>
  <c r="W113" i="39"/>
  <c r="V113" i="39"/>
  <c r="AF113" i="39" s="1"/>
  <c r="BP113" i="39" s="1"/>
  <c r="S113" i="39"/>
  <c r="M113" i="39"/>
  <c r="BL112" i="39"/>
  <c r="BZ112" i="39" s="1"/>
  <c r="BK112" i="39"/>
  <c r="AY112" i="39"/>
  <c r="BW112" i="39" s="1"/>
  <c r="AP112" i="39"/>
  <c r="BT112" i="39" s="1"/>
  <c r="W112" i="39"/>
  <c r="AG112" i="39" s="1"/>
  <c r="V112" i="39"/>
  <c r="AF112" i="39" s="1"/>
  <c r="BP112" i="39" s="1"/>
  <c r="S112" i="39"/>
  <c r="M112" i="39"/>
  <c r="BL111" i="39"/>
  <c r="BZ111" i="39" s="1"/>
  <c r="BK111" i="39"/>
  <c r="BY111" i="39" s="1"/>
  <c r="AY111" i="39"/>
  <c r="BW111" i="39" s="1"/>
  <c r="AP111" i="39"/>
  <c r="BT111" i="39" s="1"/>
  <c r="BS111" i="39"/>
  <c r="W111" i="39"/>
  <c r="AG111" i="39" s="1"/>
  <c r="V111" i="39"/>
  <c r="AF111" i="39" s="1"/>
  <c r="S111" i="39"/>
  <c r="Q111" i="39"/>
  <c r="M111" i="39"/>
  <c r="P111" i="39" s="1"/>
  <c r="BL110" i="39"/>
  <c r="BZ110" i="39" s="1"/>
  <c r="BC110" i="39"/>
  <c r="BK110" i="39" s="1"/>
  <c r="BY110" i="39" s="1"/>
  <c r="AY110" i="39"/>
  <c r="BW110" i="39" s="1"/>
  <c r="AP110" i="39"/>
  <c r="BT110" i="39" s="1"/>
  <c r="BS110" i="39"/>
  <c r="X110" i="39"/>
  <c r="W110" i="39"/>
  <c r="AG110" i="39" s="1"/>
  <c r="V110" i="39"/>
  <c r="AF110" i="39" s="1"/>
  <c r="S110" i="39"/>
  <c r="M110" i="39"/>
  <c r="BL109" i="39"/>
  <c r="BZ109" i="39" s="1"/>
  <c r="BK109" i="39"/>
  <c r="AY109" i="39"/>
  <c r="BW109" i="39" s="1"/>
  <c r="AP109" i="39"/>
  <c r="BS109" i="39"/>
  <c r="W109" i="39"/>
  <c r="AG109" i="39" s="1"/>
  <c r="V109" i="39"/>
  <c r="S109" i="39"/>
  <c r="M109" i="39"/>
  <c r="Q109" i="39"/>
  <c r="BL108" i="39"/>
  <c r="BK108" i="39"/>
  <c r="AY108" i="39"/>
  <c r="AP108" i="39"/>
  <c r="BT108" i="39" s="1"/>
  <c r="W108" i="39"/>
  <c r="AG108" i="39" s="1"/>
  <c r="V108" i="39"/>
  <c r="AF108" i="39" s="1"/>
  <c r="S108" i="39"/>
  <c r="M108" i="39"/>
  <c r="Q108" i="39"/>
  <c r="BJ107" i="39"/>
  <c r="BI107" i="39"/>
  <c r="BH107" i="39"/>
  <c r="BG107" i="39"/>
  <c r="BF107" i="39"/>
  <c r="BE107" i="39"/>
  <c r="BD107" i="39"/>
  <c r="BB107" i="39"/>
  <c r="BA107" i="39"/>
  <c r="AX107" i="39"/>
  <c r="AW107" i="39"/>
  <c r="AN107" i="39"/>
  <c r="AM107" i="39"/>
  <c r="AL107" i="39"/>
  <c r="AI107" i="39"/>
  <c r="AE107" i="39"/>
  <c r="AD107" i="39"/>
  <c r="AC107" i="39"/>
  <c r="AB107" i="39"/>
  <c r="AA107" i="39"/>
  <c r="Z107" i="39"/>
  <c r="Y107" i="39"/>
  <c r="U107" i="39"/>
  <c r="T107" i="39"/>
  <c r="R107" i="39"/>
  <c r="O107" i="39"/>
  <c r="N107" i="39"/>
  <c r="L107" i="39"/>
  <c r="K107" i="39"/>
  <c r="BL106" i="39"/>
  <c r="BZ106" i="39" s="1"/>
  <c r="BK106" i="39"/>
  <c r="AY106" i="39"/>
  <c r="BW106" i="39" s="1"/>
  <c r="AP106" i="39"/>
  <c r="W106" i="39"/>
  <c r="AG106" i="39" s="1"/>
  <c r="V106" i="39"/>
  <c r="AF106" i="39" s="1"/>
  <c r="S106" i="39"/>
  <c r="M106" i="39"/>
  <c r="BL105" i="39"/>
  <c r="BZ105" i="39" s="1"/>
  <c r="BK105" i="39"/>
  <c r="AY105" i="39"/>
  <c r="BW105" i="39" s="1"/>
  <c r="AP105" i="39"/>
  <c r="BT105" i="39" s="1"/>
  <c r="BS105" i="39"/>
  <c r="W105" i="39"/>
  <c r="AG105" i="39" s="1"/>
  <c r="BQ105" i="39" s="1"/>
  <c r="V105" i="39"/>
  <c r="AF105" i="39" s="1"/>
  <c r="BP105" i="39" s="1"/>
  <c r="S105" i="39"/>
  <c r="M105" i="39"/>
  <c r="BL104" i="39"/>
  <c r="BZ104" i="39" s="1"/>
  <c r="BK104" i="39"/>
  <c r="BY104" i="39" s="1"/>
  <c r="AY104" i="39"/>
  <c r="BW104" i="39" s="1"/>
  <c r="AP104" i="39"/>
  <c r="BT104" i="39" s="1"/>
  <c r="W104" i="39"/>
  <c r="AG104" i="39" s="1"/>
  <c r="V104" i="39"/>
  <c r="AF104" i="39" s="1"/>
  <c r="S104" i="39"/>
  <c r="Q104" i="39"/>
  <c r="M104" i="39"/>
  <c r="P104" i="39" s="1"/>
  <c r="BL103" i="39"/>
  <c r="BZ103" i="39" s="1"/>
  <c r="BC103" i="39"/>
  <c r="BC107" i="39" s="1"/>
  <c r="AY103" i="39"/>
  <c r="BW103" i="39" s="1"/>
  <c r="AP103" i="39"/>
  <c r="BT103" i="39" s="1"/>
  <c r="BS103" i="39"/>
  <c r="X103" i="39"/>
  <c r="X107" i="39" s="1"/>
  <c r="W103" i="39"/>
  <c r="AG103" i="39" s="1"/>
  <c r="V103" i="39"/>
  <c r="S103" i="39"/>
  <c r="M103" i="39"/>
  <c r="BL102" i="39"/>
  <c r="BZ102" i="39" s="1"/>
  <c r="BK102" i="39"/>
  <c r="BY102" i="39" s="1"/>
  <c r="AY102" i="39"/>
  <c r="BW102" i="39" s="1"/>
  <c r="AJ102" i="39"/>
  <c r="AP102" i="39" s="1"/>
  <c r="W102" i="39"/>
  <c r="AG102" i="39" s="1"/>
  <c r="BQ102" i="39" s="1"/>
  <c r="V102" i="39"/>
  <c r="AF102" i="39" s="1"/>
  <c r="S102" i="39"/>
  <c r="M102" i="39"/>
  <c r="BL101" i="39"/>
  <c r="BK101" i="39"/>
  <c r="BY101" i="39" s="1"/>
  <c r="AY101" i="39"/>
  <c r="AP101" i="39"/>
  <c r="BT101" i="39" s="1"/>
  <c r="BS101" i="39"/>
  <c r="W101" i="39"/>
  <c r="AG101" i="39" s="1"/>
  <c r="V101" i="39"/>
  <c r="AF101" i="39" s="1"/>
  <c r="BP101" i="39" s="1"/>
  <c r="S101" i="39"/>
  <c r="M101" i="39"/>
  <c r="BJ100" i="39"/>
  <c r="BI100" i="39"/>
  <c r="BH100" i="39"/>
  <c r="BG100" i="39"/>
  <c r="BF100" i="39"/>
  <c r="BE100" i="39"/>
  <c r="BD100" i="39"/>
  <c r="BC100" i="39"/>
  <c r="BB100" i="39"/>
  <c r="BA100" i="39"/>
  <c r="AX100" i="39"/>
  <c r="AW100" i="39"/>
  <c r="AN100" i="39"/>
  <c r="AM100" i="39"/>
  <c r="AL100" i="39"/>
  <c r="AJ100" i="39"/>
  <c r="AI100" i="39"/>
  <c r="AE100" i="39"/>
  <c r="AD100" i="39"/>
  <c r="AC100" i="39"/>
  <c r="AB100" i="39"/>
  <c r="AA100" i="39"/>
  <c r="Z100" i="39"/>
  <c r="Y100" i="39"/>
  <c r="X100" i="39"/>
  <c r="U100" i="39"/>
  <c r="T100" i="39"/>
  <c r="R100" i="39"/>
  <c r="O100" i="39"/>
  <c r="N100" i="39"/>
  <c r="L100" i="39"/>
  <c r="K100" i="39"/>
  <c r="BL99" i="39"/>
  <c r="BZ99" i="39" s="1"/>
  <c r="BK99" i="39"/>
  <c r="AY99" i="39"/>
  <c r="BW99" i="39" s="1"/>
  <c r="AP99" i="39"/>
  <c r="BT99" i="39" s="1"/>
  <c r="BS99" i="39"/>
  <c r="W99" i="39"/>
  <c r="AG99" i="39" s="1"/>
  <c r="V99" i="39"/>
  <c r="AF99" i="39" s="1"/>
  <c r="S99" i="39"/>
  <c r="M99" i="39"/>
  <c r="BL98" i="39"/>
  <c r="BZ98" i="39" s="1"/>
  <c r="BK98" i="39"/>
  <c r="BY98" i="39" s="1"/>
  <c r="AY98" i="39"/>
  <c r="BW98" i="39" s="1"/>
  <c r="AP98" i="39"/>
  <c r="BT98" i="39" s="1"/>
  <c r="W98" i="39"/>
  <c r="AG98" i="39" s="1"/>
  <c r="V98" i="39"/>
  <c r="AF98" i="39" s="1"/>
  <c r="S98" i="39"/>
  <c r="M98" i="39"/>
  <c r="BL97" i="39"/>
  <c r="BZ97" i="39" s="1"/>
  <c r="BK97" i="39"/>
  <c r="BY97" i="39" s="1"/>
  <c r="AY97" i="39"/>
  <c r="BW97" i="39" s="1"/>
  <c r="AP97" i="39"/>
  <c r="BT97" i="39" s="1"/>
  <c r="W97" i="39"/>
  <c r="AG97" i="39" s="1"/>
  <c r="V97" i="39"/>
  <c r="AF97" i="39" s="1"/>
  <c r="BP97" i="39" s="1"/>
  <c r="S97" i="39"/>
  <c r="M97" i="39"/>
  <c r="BL96" i="39"/>
  <c r="BZ96" i="39" s="1"/>
  <c r="BK96" i="39"/>
  <c r="BY96" i="39" s="1"/>
  <c r="AY96" i="39"/>
  <c r="BW96" i="39" s="1"/>
  <c r="AP96" i="39"/>
  <c r="BT96" i="39" s="1"/>
  <c r="BS96" i="39"/>
  <c r="W96" i="39"/>
  <c r="AG96" i="39" s="1"/>
  <c r="V96" i="39"/>
  <c r="AF96" i="39" s="1"/>
  <c r="BP96" i="39" s="1"/>
  <c r="S96" i="39"/>
  <c r="M96" i="39"/>
  <c r="BL95" i="39"/>
  <c r="BZ95" i="39" s="1"/>
  <c r="BK95" i="39"/>
  <c r="AY95" i="39"/>
  <c r="BW95" i="39" s="1"/>
  <c r="AP95" i="39"/>
  <c r="BT95" i="39" s="1"/>
  <c r="W95" i="39"/>
  <c r="AG95" i="39" s="1"/>
  <c r="V95" i="39"/>
  <c r="AF95" i="39" s="1"/>
  <c r="S95" i="39"/>
  <c r="M95" i="39"/>
  <c r="BL94" i="39"/>
  <c r="BK94" i="39"/>
  <c r="AY94" i="39"/>
  <c r="BW94" i="39" s="1"/>
  <c r="AP94" i="39"/>
  <c r="BT94" i="39" s="1"/>
  <c r="W94" i="39"/>
  <c r="V94" i="39"/>
  <c r="S94" i="39"/>
  <c r="M94" i="39"/>
  <c r="BJ93" i="39"/>
  <c r="BI93" i="39"/>
  <c r="BH93" i="39"/>
  <c r="BG93" i="39"/>
  <c r="BF93" i="39"/>
  <c r="BE93" i="39"/>
  <c r="BD93" i="39"/>
  <c r="BC93" i="39"/>
  <c r="BB93" i="39"/>
  <c r="BA93" i="39"/>
  <c r="AX93" i="39"/>
  <c r="AW93" i="39"/>
  <c r="AN93" i="39"/>
  <c r="AM93" i="39"/>
  <c r="AL93" i="39"/>
  <c r="AJ93" i="39"/>
  <c r="AI93" i="39"/>
  <c r="AE93" i="39"/>
  <c r="AD93" i="39"/>
  <c r="AC93" i="39"/>
  <c r="AB93" i="39"/>
  <c r="AA93" i="39"/>
  <c r="Z93" i="39"/>
  <c r="Y93" i="39"/>
  <c r="X93" i="39"/>
  <c r="U93" i="39"/>
  <c r="T93" i="39"/>
  <c r="R93" i="39"/>
  <c r="O93" i="39"/>
  <c r="N93" i="39"/>
  <c r="L93" i="39"/>
  <c r="K93" i="39"/>
  <c r="BL92" i="39"/>
  <c r="BK92" i="39"/>
  <c r="BY92" i="39" s="1"/>
  <c r="AY92" i="39"/>
  <c r="BW92" i="39" s="1"/>
  <c r="AP92" i="39"/>
  <c r="BT92" i="39" s="1"/>
  <c r="BS92" i="39"/>
  <c r="W92" i="39"/>
  <c r="AG92" i="39" s="1"/>
  <c r="V92" i="39"/>
  <c r="AF92" i="39" s="1"/>
  <c r="S92" i="39"/>
  <c r="M92" i="39"/>
  <c r="BL91" i="39"/>
  <c r="BZ91" i="39" s="1"/>
  <c r="BK91" i="39"/>
  <c r="AY91" i="39"/>
  <c r="BW91" i="39" s="1"/>
  <c r="AP91" i="39"/>
  <c r="BT91" i="39" s="1"/>
  <c r="BS91" i="39"/>
  <c r="W91" i="39"/>
  <c r="AG91" i="39" s="1"/>
  <c r="BQ91" i="39" s="1"/>
  <c r="V91" i="39"/>
  <c r="AF91" i="39" s="1"/>
  <c r="S91" i="39"/>
  <c r="M91" i="39"/>
  <c r="Q91" i="39"/>
  <c r="BL90" i="39"/>
  <c r="BZ90" i="39" s="1"/>
  <c r="BK90" i="39"/>
  <c r="BY90" i="39" s="1"/>
  <c r="AY90" i="39"/>
  <c r="BW90" i="39" s="1"/>
  <c r="AP90" i="39"/>
  <c r="BS90" i="39"/>
  <c r="W90" i="39"/>
  <c r="AG90" i="39" s="1"/>
  <c r="V90" i="39"/>
  <c r="AF90" i="39" s="1"/>
  <c r="S90" i="39"/>
  <c r="Q90" i="39"/>
  <c r="M90" i="39"/>
  <c r="BL89" i="39"/>
  <c r="BZ89" i="39" s="1"/>
  <c r="BK89" i="39"/>
  <c r="BY89" i="39" s="1"/>
  <c r="AY89" i="39"/>
  <c r="BW89" i="39" s="1"/>
  <c r="AP89" i="39"/>
  <c r="W89" i="39"/>
  <c r="AG89" i="39" s="1"/>
  <c r="V89" i="39"/>
  <c r="AF89" i="39" s="1"/>
  <c r="S89" i="39"/>
  <c r="M89" i="39"/>
  <c r="BL88" i="39"/>
  <c r="BZ88" i="39" s="1"/>
  <c r="BK88" i="39"/>
  <c r="BY88" i="39" s="1"/>
  <c r="AY88" i="39"/>
  <c r="BW88" i="39" s="1"/>
  <c r="AP88" i="39"/>
  <c r="BT88" i="39" s="1"/>
  <c r="W88" i="39"/>
  <c r="AG88" i="39" s="1"/>
  <c r="V88" i="39"/>
  <c r="AF88" i="39" s="1"/>
  <c r="S88" i="39"/>
  <c r="M88" i="39"/>
  <c r="BL87" i="39"/>
  <c r="BZ87" i="39" s="1"/>
  <c r="BK87" i="39"/>
  <c r="AY87" i="39"/>
  <c r="BW87" i="39" s="1"/>
  <c r="AP87" i="39"/>
  <c r="W87" i="39"/>
  <c r="AG87" i="39" s="1"/>
  <c r="V87" i="39"/>
  <c r="AF87" i="39" s="1"/>
  <c r="S87" i="39"/>
  <c r="M87" i="39"/>
  <c r="BJ86" i="39"/>
  <c r="BI86" i="39"/>
  <c r="BH86" i="39"/>
  <c r="BG86" i="39"/>
  <c r="BF86" i="39"/>
  <c r="BE86" i="39"/>
  <c r="BD86" i="39"/>
  <c r="BC86" i="39"/>
  <c r="BB86" i="39"/>
  <c r="BA86" i="39"/>
  <c r="AX86" i="39"/>
  <c r="AW86" i="39"/>
  <c r="AN86" i="39"/>
  <c r="AM86" i="39"/>
  <c r="AL86" i="39"/>
  <c r="AJ86" i="39"/>
  <c r="AI86" i="39"/>
  <c r="AE86" i="39"/>
  <c r="AD86" i="39"/>
  <c r="AC86" i="39"/>
  <c r="AB86" i="39"/>
  <c r="AA86" i="39"/>
  <c r="Z86" i="39"/>
  <c r="Y86" i="39"/>
  <c r="X86" i="39"/>
  <c r="U86" i="39"/>
  <c r="T86" i="39"/>
  <c r="R86" i="39"/>
  <c r="O86" i="39"/>
  <c r="N86" i="39"/>
  <c r="L86" i="39"/>
  <c r="K86" i="39"/>
  <c r="BL85" i="39"/>
  <c r="BZ85" i="39" s="1"/>
  <c r="BK85" i="39"/>
  <c r="BY85" i="39" s="1"/>
  <c r="AY85" i="39"/>
  <c r="BW85" i="39" s="1"/>
  <c r="AP85" i="39"/>
  <c r="BT85" i="39" s="1"/>
  <c r="W85" i="39"/>
  <c r="AG85" i="39" s="1"/>
  <c r="V85" i="39"/>
  <c r="AF85" i="39" s="1"/>
  <c r="S85" i="39"/>
  <c r="M85" i="39"/>
  <c r="BL84" i="39"/>
  <c r="BZ84" i="39" s="1"/>
  <c r="BK84" i="39"/>
  <c r="BY84" i="39" s="1"/>
  <c r="AY84" i="39"/>
  <c r="BW84" i="39" s="1"/>
  <c r="AP84" i="39"/>
  <c r="BT84" i="39" s="1"/>
  <c r="BS84" i="39"/>
  <c r="W84" i="39"/>
  <c r="AG84" i="39" s="1"/>
  <c r="V84" i="39"/>
  <c r="AF84" i="39" s="1"/>
  <c r="BP84" i="39" s="1"/>
  <c r="S84" i="39"/>
  <c r="M84" i="39"/>
  <c r="BL83" i="39"/>
  <c r="BZ83" i="39" s="1"/>
  <c r="BK83" i="39"/>
  <c r="AY83" i="39"/>
  <c r="BW83" i="39" s="1"/>
  <c r="AP83" i="39"/>
  <c r="BT83" i="39" s="1"/>
  <c r="W83" i="39"/>
  <c r="AG83" i="39" s="1"/>
  <c r="V83" i="39"/>
  <c r="AF83" i="39" s="1"/>
  <c r="S83" i="39"/>
  <c r="M83" i="39"/>
  <c r="BL82" i="39"/>
  <c r="BZ82" i="39" s="1"/>
  <c r="BK82" i="39"/>
  <c r="AY82" i="39"/>
  <c r="BW82" i="39" s="1"/>
  <c r="AP82" i="39"/>
  <c r="BT82" i="39" s="1"/>
  <c r="W82" i="39"/>
  <c r="AG82" i="39" s="1"/>
  <c r="BQ82" i="39" s="1"/>
  <c r="V82" i="39"/>
  <c r="AF82" i="39" s="1"/>
  <c r="S82" i="39"/>
  <c r="M82" i="39"/>
  <c r="BL81" i="39"/>
  <c r="BZ81" i="39" s="1"/>
  <c r="BK81" i="39"/>
  <c r="AY81" i="39"/>
  <c r="BW81" i="39" s="1"/>
  <c r="AP81" i="39"/>
  <c r="BS81" i="39"/>
  <c r="W81" i="39"/>
  <c r="AG81" i="39" s="1"/>
  <c r="V81" i="39"/>
  <c r="AF81" i="39" s="1"/>
  <c r="S81" i="39"/>
  <c r="M81" i="39"/>
  <c r="Q81" i="39"/>
  <c r="BL80" i="39"/>
  <c r="BK80" i="39"/>
  <c r="BY80" i="39" s="1"/>
  <c r="AY80" i="39"/>
  <c r="AP80" i="39"/>
  <c r="BT80" i="39" s="1"/>
  <c r="W80" i="39"/>
  <c r="AG80" i="39" s="1"/>
  <c r="V80" i="39"/>
  <c r="S80" i="39"/>
  <c r="M80" i="39"/>
  <c r="BJ79" i="39"/>
  <c r="BI79" i="39"/>
  <c r="BH79" i="39"/>
  <c r="BG79" i="39"/>
  <c r="BF79" i="39"/>
  <c r="BE79" i="39"/>
  <c r="BD79" i="39"/>
  <c r="BC79" i="39"/>
  <c r="BB79" i="39"/>
  <c r="BA79" i="39"/>
  <c r="AX79" i="39"/>
  <c r="AW79" i="39"/>
  <c r="AN79" i="39"/>
  <c r="AM79" i="39"/>
  <c r="AL79" i="39"/>
  <c r="AJ79" i="39"/>
  <c r="AI79" i="39"/>
  <c r="AE79" i="39"/>
  <c r="AD79" i="39"/>
  <c r="AC79" i="39"/>
  <c r="AB79" i="39"/>
  <c r="AA79" i="39"/>
  <c r="Z79" i="39"/>
  <c r="Y79" i="39"/>
  <c r="X79" i="39"/>
  <c r="U79" i="39"/>
  <c r="T79" i="39"/>
  <c r="R79" i="39"/>
  <c r="O79" i="39"/>
  <c r="N79" i="39"/>
  <c r="L79" i="39"/>
  <c r="K79" i="39"/>
  <c r="BL78" i="39"/>
  <c r="BZ78" i="39" s="1"/>
  <c r="BK78" i="39"/>
  <c r="AY78" i="39"/>
  <c r="BW78" i="39" s="1"/>
  <c r="AP78" i="39"/>
  <c r="BT78" i="39" s="1"/>
  <c r="W78" i="39"/>
  <c r="AG78" i="39" s="1"/>
  <c r="BQ78" i="39" s="1"/>
  <c r="V78" i="39"/>
  <c r="AF78" i="39" s="1"/>
  <c r="BP78" i="39" s="1"/>
  <c r="S78" i="39"/>
  <c r="M78" i="39"/>
  <c r="BL77" i="39"/>
  <c r="BZ77" i="39" s="1"/>
  <c r="BK77" i="39"/>
  <c r="AY77" i="39"/>
  <c r="BW77" i="39" s="1"/>
  <c r="AP77" i="39"/>
  <c r="BS77" i="39"/>
  <c r="W77" i="39"/>
  <c r="AG77" i="39" s="1"/>
  <c r="BQ77" i="39" s="1"/>
  <c r="V77" i="39"/>
  <c r="AF77" i="39" s="1"/>
  <c r="S77" i="39"/>
  <c r="M77" i="39"/>
  <c r="BL76" i="39"/>
  <c r="BZ76" i="39" s="1"/>
  <c r="BK76" i="39"/>
  <c r="BY76" i="39" s="1"/>
  <c r="AY76" i="39"/>
  <c r="BW76" i="39" s="1"/>
  <c r="AP76" i="39"/>
  <c r="BT76" i="39" s="1"/>
  <c r="W76" i="39"/>
  <c r="AG76" i="39" s="1"/>
  <c r="V76" i="39"/>
  <c r="AF76" i="39" s="1"/>
  <c r="BP76" i="39" s="1"/>
  <c r="S76" i="39"/>
  <c r="M76" i="39"/>
  <c r="BL75" i="39"/>
  <c r="BZ75" i="39" s="1"/>
  <c r="BK75" i="39"/>
  <c r="AY75" i="39"/>
  <c r="BW75" i="39" s="1"/>
  <c r="AP75" i="39"/>
  <c r="BT75" i="39" s="1"/>
  <c r="BS75" i="39"/>
  <c r="W75" i="39"/>
  <c r="AG75" i="39" s="1"/>
  <c r="V75" i="39"/>
  <c r="AF75" i="39" s="1"/>
  <c r="S75" i="39"/>
  <c r="M75" i="39"/>
  <c r="BL74" i="39"/>
  <c r="BZ74" i="39" s="1"/>
  <c r="BK74" i="39"/>
  <c r="BY74" i="39" s="1"/>
  <c r="AY74" i="39"/>
  <c r="BW74" i="39" s="1"/>
  <c r="AP74" i="39"/>
  <c r="BT74" i="39" s="1"/>
  <c r="BS74" i="39"/>
  <c r="W74" i="39"/>
  <c r="AG74" i="39" s="1"/>
  <c r="V74" i="39"/>
  <c r="AF74" i="39" s="1"/>
  <c r="S74" i="39"/>
  <c r="M74" i="39"/>
  <c r="Q74" i="39"/>
  <c r="BL73" i="39"/>
  <c r="BZ73" i="39" s="1"/>
  <c r="BK73" i="39"/>
  <c r="BY73" i="39" s="1"/>
  <c r="AY73" i="39"/>
  <c r="AP73" i="39"/>
  <c r="BS73" i="39"/>
  <c r="W73" i="39"/>
  <c r="V73" i="39"/>
  <c r="AF73" i="39" s="1"/>
  <c r="S73" i="39"/>
  <c r="M73" i="39"/>
  <c r="BJ72" i="39"/>
  <c r="BI72" i="39"/>
  <c r="BH72" i="39"/>
  <c r="BG72" i="39"/>
  <c r="BF72" i="39"/>
  <c r="BE72" i="39"/>
  <c r="BD72" i="39"/>
  <c r="BC72" i="39"/>
  <c r="BB72" i="39"/>
  <c r="BA72" i="39"/>
  <c r="AX72" i="39"/>
  <c r="AN72" i="39"/>
  <c r="AM72" i="39"/>
  <c r="AL72" i="39"/>
  <c r="AI72" i="39"/>
  <c r="AE72" i="39"/>
  <c r="AD72" i="39"/>
  <c r="AC72" i="39"/>
  <c r="AB72" i="39"/>
  <c r="AA72" i="39"/>
  <c r="Z72" i="39"/>
  <c r="Y72" i="39"/>
  <c r="X72" i="39"/>
  <c r="U72" i="39"/>
  <c r="T72" i="39"/>
  <c r="R72" i="39"/>
  <c r="O72" i="39"/>
  <c r="N72" i="39"/>
  <c r="L72" i="39"/>
  <c r="K72" i="39"/>
  <c r="BL71" i="39"/>
  <c r="BZ71" i="39" s="1"/>
  <c r="BK71" i="39"/>
  <c r="BY71" i="39" s="1"/>
  <c r="AY71" i="39"/>
  <c r="BW71" i="39" s="1"/>
  <c r="AP71" i="39"/>
  <c r="BT71" i="39" s="1"/>
  <c r="W71" i="39"/>
  <c r="AG71" i="39" s="1"/>
  <c r="V71" i="39"/>
  <c r="AF71" i="39" s="1"/>
  <c r="S71" i="39"/>
  <c r="M71" i="39"/>
  <c r="BL70" i="39"/>
  <c r="BZ70" i="39" s="1"/>
  <c r="BK70" i="39"/>
  <c r="BY70" i="39" s="1"/>
  <c r="AY70" i="39"/>
  <c r="BW70" i="39" s="1"/>
  <c r="AP70" i="39"/>
  <c r="BT70" i="39" s="1"/>
  <c r="W70" i="39"/>
  <c r="AG70" i="39" s="1"/>
  <c r="V70" i="39"/>
  <c r="AF70" i="39" s="1"/>
  <c r="S70" i="39"/>
  <c r="M70" i="39"/>
  <c r="BL69" i="39"/>
  <c r="BZ69" i="39" s="1"/>
  <c r="BK69" i="39"/>
  <c r="BY69" i="39" s="1"/>
  <c r="AY69" i="39"/>
  <c r="BW69" i="39" s="1"/>
  <c r="BS69" i="39"/>
  <c r="AJ69" i="39"/>
  <c r="AJ134" i="39" s="1"/>
  <c r="V69" i="39"/>
  <c r="AF69" i="39" s="1"/>
  <c r="S69" i="39"/>
  <c r="M69" i="39"/>
  <c r="BL68" i="39"/>
  <c r="BZ68" i="39" s="1"/>
  <c r="BK68" i="39"/>
  <c r="AW68" i="39"/>
  <c r="AY68" i="39" s="1"/>
  <c r="BW68" i="39" s="1"/>
  <c r="AP68" i="39"/>
  <c r="BT68" i="39" s="1"/>
  <c r="W68" i="39"/>
  <c r="AG68" i="39" s="1"/>
  <c r="V68" i="39"/>
  <c r="AF68" i="39" s="1"/>
  <c r="S68" i="39"/>
  <c r="M68" i="39"/>
  <c r="BL67" i="39"/>
  <c r="BZ67" i="39" s="1"/>
  <c r="BK67" i="39"/>
  <c r="AY67" i="39"/>
  <c r="BW67" i="39" s="1"/>
  <c r="AP67" i="39"/>
  <c r="BT67" i="39" s="1"/>
  <c r="W67" i="39"/>
  <c r="AG67" i="39" s="1"/>
  <c r="V67" i="39"/>
  <c r="AF67" i="39" s="1"/>
  <c r="S67" i="39"/>
  <c r="M67" i="39"/>
  <c r="Q67" i="39"/>
  <c r="BL66" i="39"/>
  <c r="BK66" i="39"/>
  <c r="BY66" i="39" s="1"/>
  <c r="AY66" i="39"/>
  <c r="BW66" i="39" s="1"/>
  <c r="AP66" i="39"/>
  <c r="W66" i="39"/>
  <c r="V66" i="39"/>
  <c r="AF66" i="39" s="1"/>
  <c r="BP66" i="39" s="1"/>
  <c r="S66" i="39"/>
  <c r="M66" i="39"/>
  <c r="Q66" i="39"/>
  <c r="BJ65" i="39"/>
  <c r="BI65" i="39"/>
  <c r="BH65" i="39"/>
  <c r="BG65" i="39"/>
  <c r="BF65" i="39"/>
  <c r="BE65" i="39"/>
  <c r="BD65" i="39"/>
  <c r="BC65" i="39"/>
  <c r="BB65" i="39"/>
  <c r="BA65" i="39"/>
  <c r="AX65" i="39"/>
  <c r="AW65" i="39"/>
  <c r="AN65" i="39"/>
  <c r="AM65" i="39"/>
  <c r="AL65" i="39"/>
  <c r="AJ65" i="39"/>
  <c r="AI65" i="39"/>
  <c r="AE65" i="39"/>
  <c r="AD65" i="39"/>
  <c r="AC65" i="39"/>
  <c r="AB65" i="39"/>
  <c r="AA65" i="39"/>
  <c r="Z65" i="39"/>
  <c r="Y65" i="39"/>
  <c r="X65" i="39"/>
  <c r="U65" i="39"/>
  <c r="T65" i="39"/>
  <c r="R65" i="39"/>
  <c r="O65" i="39"/>
  <c r="N65" i="39"/>
  <c r="L65" i="39"/>
  <c r="K65" i="39"/>
  <c r="BL64" i="39"/>
  <c r="BZ64" i="39" s="1"/>
  <c r="BK64" i="39"/>
  <c r="AY64" i="39"/>
  <c r="BW64" i="39" s="1"/>
  <c r="AP64" i="39"/>
  <c r="BT64" i="39" s="1"/>
  <c r="BS64" i="39"/>
  <c r="W64" i="39"/>
  <c r="AG64" i="39" s="1"/>
  <c r="V64" i="39"/>
  <c r="AF64" i="39" s="1"/>
  <c r="S64" i="39"/>
  <c r="M64" i="39"/>
  <c r="BL63" i="39"/>
  <c r="BZ63" i="39" s="1"/>
  <c r="BK63" i="39"/>
  <c r="BY63" i="39" s="1"/>
  <c r="AY63" i="39"/>
  <c r="BW63" i="39" s="1"/>
  <c r="AP63" i="39"/>
  <c r="BT63" i="39" s="1"/>
  <c r="BS63" i="39"/>
  <c r="W63" i="39"/>
  <c r="AG63" i="39" s="1"/>
  <c r="BQ63" i="39" s="1"/>
  <c r="V63" i="39"/>
  <c r="AF63" i="39" s="1"/>
  <c r="S63" i="39"/>
  <c r="M63" i="39"/>
  <c r="BL62" i="39"/>
  <c r="BZ62" i="39" s="1"/>
  <c r="BK62" i="39"/>
  <c r="AY62" i="39"/>
  <c r="BW62" i="39" s="1"/>
  <c r="AP62" i="39"/>
  <c r="BT62" i="39" s="1"/>
  <c r="BS62" i="39"/>
  <c r="W62" i="39"/>
  <c r="AG62" i="39" s="1"/>
  <c r="BQ62" i="39" s="1"/>
  <c r="V62" i="39"/>
  <c r="AF62" i="39" s="1"/>
  <c r="S62" i="39"/>
  <c r="Q62" i="39"/>
  <c r="M62" i="39"/>
  <c r="BL61" i="39"/>
  <c r="BK61" i="39"/>
  <c r="BY61" i="39" s="1"/>
  <c r="AY61" i="39"/>
  <c r="BW61" i="39" s="1"/>
  <c r="AP61" i="39"/>
  <c r="BT61" i="39" s="1"/>
  <c r="W61" i="39"/>
  <c r="AG61" i="39" s="1"/>
  <c r="V61" i="39"/>
  <c r="AF61" i="39" s="1"/>
  <c r="BP61" i="39" s="1"/>
  <c r="S61" i="39"/>
  <c r="M61" i="39"/>
  <c r="BL60" i="39"/>
  <c r="BZ60" i="39" s="1"/>
  <c r="BK60" i="39"/>
  <c r="BY60" i="39" s="1"/>
  <c r="AY60" i="39"/>
  <c r="BW60" i="39" s="1"/>
  <c r="AP60" i="39"/>
  <c r="BT60" i="39" s="1"/>
  <c r="BS60" i="39"/>
  <c r="W60" i="39"/>
  <c r="AG60" i="39" s="1"/>
  <c r="V60" i="39"/>
  <c r="AF60" i="39" s="1"/>
  <c r="S60" i="39"/>
  <c r="M60" i="39"/>
  <c r="BL59" i="39"/>
  <c r="BK59" i="39"/>
  <c r="BY59" i="39" s="1"/>
  <c r="AY59" i="39"/>
  <c r="AP59" i="39"/>
  <c r="BT59" i="39" s="1"/>
  <c r="W59" i="39"/>
  <c r="V59" i="39"/>
  <c r="S59" i="39"/>
  <c r="M59" i="39"/>
  <c r="BJ58" i="39"/>
  <c r="BI58" i="39"/>
  <c r="BH58" i="39"/>
  <c r="BG58" i="39"/>
  <c r="BF58" i="39"/>
  <c r="BE58" i="39"/>
  <c r="BD58" i="39"/>
  <c r="BC58" i="39"/>
  <c r="BB58" i="39"/>
  <c r="BA58" i="39"/>
  <c r="AX58" i="39"/>
  <c r="AW58" i="39"/>
  <c r="AN58" i="39"/>
  <c r="AM58" i="39"/>
  <c r="AL58" i="39"/>
  <c r="AJ58" i="39"/>
  <c r="AI58" i="39"/>
  <c r="AE58" i="39"/>
  <c r="AD58" i="39"/>
  <c r="AC58" i="39"/>
  <c r="AB58" i="39"/>
  <c r="AA58" i="39"/>
  <c r="Z58" i="39"/>
  <c r="Y58" i="39"/>
  <c r="X58" i="39"/>
  <c r="U58" i="39"/>
  <c r="T58" i="39"/>
  <c r="R58" i="39"/>
  <c r="O58" i="39"/>
  <c r="N58" i="39"/>
  <c r="L58" i="39"/>
  <c r="K58" i="39"/>
  <c r="BL57" i="39"/>
  <c r="BL58" i="39" s="1"/>
  <c r="BK57" i="39"/>
  <c r="BK58" i="39" s="1"/>
  <c r="AY57" i="39"/>
  <c r="AY58" i="39" s="1"/>
  <c r="AP57" i="39"/>
  <c r="W57" i="39"/>
  <c r="W58" i="39" s="1"/>
  <c r="V57" i="39"/>
  <c r="V58" i="39" s="1"/>
  <c r="S57" i="39"/>
  <c r="M57" i="39"/>
  <c r="M58" i="39" s="1"/>
  <c r="BJ56" i="39"/>
  <c r="BI56" i="39"/>
  <c r="BH56" i="39"/>
  <c r="BG56" i="39"/>
  <c r="BF56" i="39"/>
  <c r="BE56" i="39"/>
  <c r="BD56" i="39"/>
  <c r="BC56" i="39"/>
  <c r="BB56" i="39"/>
  <c r="BA56" i="39"/>
  <c r="AX56" i="39"/>
  <c r="AW56" i="39"/>
  <c r="AN56" i="39"/>
  <c r="AM56" i="39"/>
  <c r="AL56" i="39"/>
  <c r="AJ56" i="39"/>
  <c r="AI56" i="39"/>
  <c r="AE56" i="39"/>
  <c r="AD56" i="39"/>
  <c r="AC56" i="39"/>
  <c r="AB56" i="39"/>
  <c r="AA56" i="39"/>
  <c r="Z56" i="39"/>
  <c r="Y56" i="39"/>
  <c r="X56" i="39"/>
  <c r="U56" i="39"/>
  <c r="T56" i="39"/>
  <c r="R56" i="39"/>
  <c r="O56" i="39"/>
  <c r="N56" i="39"/>
  <c r="L56" i="39"/>
  <c r="K56" i="39"/>
  <c r="BL55" i="39"/>
  <c r="BZ55" i="39" s="1"/>
  <c r="BK55" i="39"/>
  <c r="AY55" i="39"/>
  <c r="BW55" i="39" s="1"/>
  <c r="AP55" i="39"/>
  <c r="BS55" i="39"/>
  <c r="W55" i="39"/>
  <c r="AG55" i="39" s="1"/>
  <c r="BQ55" i="39" s="1"/>
  <c r="V55" i="39"/>
  <c r="AF55" i="39" s="1"/>
  <c r="S55" i="39"/>
  <c r="M55" i="39"/>
  <c r="BL54" i="39"/>
  <c r="BZ54" i="39" s="1"/>
  <c r="BK54" i="39"/>
  <c r="BY54" i="39" s="1"/>
  <c r="AY54" i="39"/>
  <c r="AP54" i="39"/>
  <c r="BT54" i="39" s="1"/>
  <c r="BS54" i="39"/>
  <c r="W54" i="39"/>
  <c r="AG54" i="39" s="1"/>
  <c r="V54" i="39"/>
  <c r="AF54" i="39" s="1"/>
  <c r="BP54" i="39" s="1"/>
  <c r="S54" i="39"/>
  <c r="M54" i="39"/>
  <c r="BL53" i="39"/>
  <c r="BZ53" i="39" s="1"/>
  <c r="BK53" i="39"/>
  <c r="BY53" i="39" s="1"/>
  <c r="AY53" i="39"/>
  <c r="BW53" i="39" s="1"/>
  <c r="AP53" i="39"/>
  <c r="BT53" i="39" s="1"/>
  <c r="W53" i="39"/>
  <c r="AG53" i="39" s="1"/>
  <c r="BQ53" i="39" s="1"/>
  <c r="V53" i="39"/>
  <c r="AF53" i="39" s="1"/>
  <c r="S53" i="39"/>
  <c r="M53" i="39"/>
  <c r="BL52" i="39"/>
  <c r="BZ52" i="39" s="1"/>
  <c r="BK52" i="39"/>
  <c r="BY52" i="39" s="1"/>
  <c r="AY52" i="39"/>
  <c r="BW52" i="39" s="1"/>
  <c r="AP52" i="39"/>
  <c r="BT52" i="39" s="1"/>
  <c r="W52" i="39"/>
  <c r="AG52" i="39" s="1"/>
  <c r="BQ52" i="39" s="1"/>
  <c r="V52" i="39"/>
  <c r="AF52" i="39" s="1"/>
  <c r="S52" i="39"/>
  <c r="M52" i="39"/>
  <c r="Q52" i="39"/>
  <c r="BL51" i="39"/>
  <c r="BK51" i="39"/>
  <c r="AY51" i="39"/>
  <c r="BW51" i="39" s="1"/>
  <c r="AP51" i="39"/>
  <c r="W51" i="39"/>
  <c r="AG51" i="39" s="1"/>
  <c r="V51" i="39"/>
  <c r="S51" i="39"/>
  <c r="M51" i="39"/>
  <c r="BJ50" i="39"/>
  <c r="BI50" i="39"/>
  <c r="BH50" i="39"/>
  <c r="BG50" i="39"/>
  <c r="BF50" i="39"/>
  <c r="BE50" i="39"/>
  <c r="BD50" i="39"/>
  <c r="BC50" i="39"/>
  <c r="BB50" i="39"/>
  <c r="BA50" i="39"/>
  <c r="AX50" i="39"/>
  <c r="AW50" i="39"/>
  <c r="AN50" i="39"/>
  <c r="AM50" i="39"/>
  <c r="AL50" i="39"/>
  <c r="AJ50" i="39"/>
  <c r="AI50" i="39"/>
  <c r="AE50" i="39"/>
  <c r="AD50" i="39"/>
  <c r="AC50" i="39"/>
  <c r="AB50" i="39"/>
  <c r="AA50" i="39"/>
  <c r="Z50" i="39"/>
  <c r="Y50" i="39"/>
  <c r="U50" i="39"/>
  <c r="T50" i="39"/>
  <c r="R50" i="39"/>
  <c r="O50" i="39"/>
  <c r="N50" i="39"/>
  <c r="L50" i="39"/>
  <c r="K50" i="39"/>
  <c r="BL49" i="39"/>
  <c r="BZ49" i="39" s="1"/>
  <c r="BK49" i="39"/>
  <c r="AY49" i="39"/>
  <c r="BW49" i="39" s="1"/>
  <c r="AP49" i="39"/>
  <c r="BT49" i="39" s="1"/>
  <c r="W49" i="39"/>
  <c r="AG49" i="39" s="1"/>
  <c r="V49" i="39"/>
  <c r="AF49" i="39" s="1"/>
  <c r="S49" i="39"/>
  <c r="M49" i="39"/>
  <c r="BL48" i="39"/>
  <c r="BZ48" i="39" s="1"/>
  <c r="BK48" i="39"/>
  <c r="AY48" i="39"/>
  <c r="AP48" i="39"/>
  <c r="BS48" i="39"/>
  <c r="X48" i="39"/>
  <c r="W48" i="39"/>
  <c r="AG48" i="39" s="1"/>
  <c r="BQ48" i="39" s="1"/>
  <c r="V48" i="39"/>
  <c r="S48" i="39"/>
  <c r="M48" i="39"/>
  <c r="BL47" i="39"/>
  <c r="BZ47" i="39" s="1"/>
  <c r="BK47" i="39"/>
  <c r="AY47" i="39"/>
  <c r="BW47" i="39" s="1"/>
  <c r="AP47" i="39"/>
  <c r="BT47" i="39" s="1"/>
  <c r="W47" i="39"/>
  <c r="AG47" i="39" s="1"/>
  <c r="V47" i="39"/>
  <c r="S47" i="39"/>
  <c r="M47" i="39"/>
  <c r="BJ46" i="39"/>
  <c r="BI46" i="39"/>
  <c r="BH46" i="39"/>
  <c r="BG46" i="39"/>
  <c r="BF46" i="39"/>
  <c r="BE46" i="39"/>
  <c r="BD46" i="39"/>
  <c r="BC46" i="39"/>
  <c r="BB46" i="39"/>
  <c r="BA46" i="39"/>
  <c r="AX46" i="39"/>
  <c r="AW46" i="39"/>
  <c r="AN46" i="39"/>
  <c r="AM46" i="39"/>
  <c r="AL46" i="39"/>
  <c r="AJ46" i="39"/>
  <c r="AI46" i="39"/>
  <c r="AE46" i="39"/>
  <c r="AD46" i="39"/>
  <c r="AC46" i="39"/>
  <c r="AB46" i="39"/>
  <c r="AA46" i="39"/>
  <c r="Z46" i="39"/>
  <c r="Y46" i="39"/>
  <c r="X46" i="39"/>
  <c r="U46" i="39"/>
  <c r="T46" i="39"/>
  <c r="R46" i="39"/>
  <c r="O46" i="39"/>
  <c r="N46" i="39"/>
  <c r="L46" i="39"/>
  <c r="K46" i="39"/>
  <c r="BL45" i="39"/>
  <c r="BK45" i="39"/>
  <c r="BK46" i="39" s="1"/>
  <c r="AY45" i="39"/>
  <c r="AP45" i="39"/>
  <c r="BS45" i="39"/>
  <c r="BS46" i="39" s="1"/>
  <c r="W45" i="39"/>
  <c r="AG45" i="39" s="1"/>
  <c r="V45" i="39"/>
  <c r="S45" i="39"/>
  <c r="S46" i="39" s="1"/>
  <c r="M45" i="39"/>
  <c r="M46" i="39" s="1"/>
  <c r="BJ44" i="39"/>
  <c r="BI44" i="39"/>
  <c r="BH44" i="39"/>
  <c r="BG44" i="39"/>
  <c r="BF44" i="39"/>
  <c r="BE44" i="39"/>
  <c r="BD44" i="39"/>
  <c r="BC44" i="39"/>
  <c r="BB44" i="39"/>
  <c r="BA44" i="39"/>
  <c r="AX44" i="39"/>
  <c r="AW44" i="39"/>
  <c r="AN44" i="39"/>
  <c r="AM44" i="39"/>
  <c r="AL44" i="39"/>
  <c r="AJ44" i="39"/>
  <c r="AI44" i="39"/>
  <c r="AE44" i="39"/>
  <c r="AD44" i="39"/>
  <c r="AC44" i="39"/>
  <c r="AB44" i="39"/>
  <c r="AA44" i="39"/>
  <c r="Z44" i="39"/>
  <c r="Y44" i="39"/>
  <c r="X44" i="39"/>
  <c r="U44" i="39"/>
  <c r="T44" i="39"/>
  <c r="R44" i="39"/>
  <c r="O44" i="39"/>
  <c r="N44" i="39"/>
  <c r="L44" i="39"/>
  <c r="K44" i="39"/>
  <c r="BL43" i="39"/>
  <c r="BK43" i="39"/>
  <c r="BK44" i="39" s="1"/>
  <c r="AY43" i="39"/>
  <c r="AP43" i="39"/>
  <c r="W43" i="39"/>
  <c r="V43" i="39"/>
  <c r="S43" i="39"/>
  <c r="M43" i="39"/>
  <c r="Q43" i="39"/>
  <c r="BJ42" i="39"/>
  <c r="BI42" i="39"/>
  <c r="BH42" i="39"/>
  <c r="BG42" i="39"/>
  <c r="BF42" i="39"/>
  <c r="BE42" i="39"/>
  <c r="BD42" i="39"/>
  <c r="BC42" i="39"/>
  <c r="BB42" i="39"/>
  <c r="BA42" i="39"/>
  <c r="AX42" i="39"/>
  <c r="AW42" i="39"/>
  <c r="AN42" i="39"/>
  <c r="AM42" i="39"/>
  <c r="AL42" i="39"/>
  <c r="AJ42" i="39"/>
  <c r="AI42" i="39"/>
  <c r="AE42" i="39"/>
  <c r="AD42" i="39"/>
  <c r="AC42" i="39"/>
  <c r="AB42" i="39"/>
  <c r="AA42" i="39"/>
  <c r="Z42" i="39"/>
  <c r="Y42" i="39"/>
  <c r="X42" i="39"/>
  <c r="U42" i="39"/>
  <c r="T42" i="39"/>
  <c r="R42" i="39"/>
  <c r="O42" i="39"/>
  <c r="N42" i="39"/>
  <c r="L42" i="39"/>
  <c r="K42" i="39"/>
  <c r="BL41" i="39"/>
  <c r="BZ41" i="39" s="1"/>
  <c r="BK41" i="39"/>
  <c r="AY41" i="39"/>
  <c r="BW41" i="39" s="1"/>
  <c r="AP41" i="39"/>
  <c r="BT41" i="39" s="1"/>
  <c r="BS41" i="39"/>
  <c r="W41" i="39"/>
  <c r="AG41" i="39" s="1"/>
  <c r="V41" i="39"/>
  <c r="AF41" i="39" s="1"/>
  <c r="S41" i="39"/>
  <c r="M41" i="39"/>
  <c r="BL40" i="39"/>
  <c r="BZ40" i="39" s="1"/>
  <c r="BK40" i="39"/>
  <c r="AY40" i="39"/>
  <c r="BW40" i="39" s="1"/>
  <c r="AP40" i="39"/>
  <c r="BT40" i="39" s="1"/>
  <c r="BS40" i="39"/>
  <c r="W40" i="39"/>
  <c r="AG40" i="39" s="1"/>
  <c r="V40" i="39"/>
  <c r="AF40" i="39" s="1"/>
  <c r="S40" i="39"/>
  <c r="M40" i="39"/>
  <c r="Q40" i="39"/>
  <c r="BL39" i="39"/>
  <c r="BZ39" i="39" s="1"/>
  <c r="BK39" i="39"/>
  <c r="BY39" i="39" s="1"/>
  <c r="AY39" i="39"/>
  <c r="BW39" i="39" s="1"/>
  <c r="AP39" i="39"/>
  <c r="BT39" i="39" s="1"/>
  <c r="W39" i="39"/>
  <c r="AG39" i="39" s="1"/>
  <c r="V39" i="39"/>
  <c r="AF39" i="39" s="1"/>
  <c r="S39" i="39"/>
  <c r="M39" i="39"/>
  <c r="BL38" i="39"/>
  <c r="BZ38" i="39" s="1"/>
  <c r="BK38" i="39"/>
  <c r="BY38" i="39" s="1"/>
  <c r="AY38" i="39"/>
  <c r="BW38" i="39" s="1"/>
  <c r="AP38" i="39"/>
  <c r="W38" i="39"/>
  <c r="AG38" i="39" s="1"/>
  <c r="BQ38" i="39" s="1"/>
  <c r="V38" i="39"/>
  <c r="AF38" i="39" s="1"/>
  <c r="S38" i="39"/>
  <c r="M38" i="39"/>
  <c r="BL37" i="39"/>
  <c r="BZ37" i="39" s="1"/>
  <c r="BK37" i="39"/>
  <c r="AY37" i="39"/>
  <c r="AP37" i="39"/>
  <c r="BT37" i="39" s="1"/>
  <c r="W37" i="39"/>
  <c r="V37" i="39"/>
  <c r="S37" i="39"/>
  <c r="M37" i="39"/>
  <c r="BJ36" i="39"/>
  <c r="BI36" i="39"/>
  <c r="BH36" i="39"/>
  <c r="BG36" i="39"/>
  <c r="BF36" i="39"/>
  <c r="BE36" i="39"/>
  <c r="BD36" i="39"/>
  <c r="BB36" i="39"/>
  <c r="BA36" i="39"/>
  <c r="AX36" i="39"/>
  <c r="AW36" i="39"/>
  <c r="AN36" i="39"/>
  <c r="AM36" i="39"/>
  <c r="AL36" i="39"/>
  <c r="AJ36" i="39"/>
  <c r="AE36" i="39"/>
  <c r="AD36" i="39"/>
  <c r="AC36" i="39"/>
  <c r="AB36" i="39"/>
  <c r="AA36" i="39"/>
  <c r="Z36" i="39"/>
  <c r="Y36" i="39"/>
  <c r="U36" i="39"/>
  <c r="T36" i="39"/>
  <c r="R36" i="39"/>
  <c r="O36" i="39"/>
  <c r="N36" i="39"/>
  <c r="L36" i="39"/>
  <c r="K36" i="39"/>
  <c r="BL35" i="39"/>
  <c r="BZ35" i="39" s="1"/>
  <c r="BK35" i="39"/>
  <c r="AY35" i="39"/>
  <c r="BW35" i="39" s="1"/>
  <c r="AP35" i="39"/>
  <c r="BT35" i="39" s="1"/>
  <c r="W35" i="39"/>
  <c r="AG35" i="39" s="1"/>
  <c r="BQ35" i="39" s="1"/>
  <c r="V35" i="39"/>
  <c r="AF35" i="39" s="1"/>
  <c r="BP35" i="39" s="1"/>
  <c r="S35" i="39"/>
  <c r="M35" i="39"/>
  <c r="Q35" i="39"/>
  <c r="BL34" i="39"/>
  <c r="BZ34" i="39" s="1"/>
  <c r="BK34" i="39"/>
  <c r="BY34" i="39" s="1"/>
  <c r="AY34" i="39"/>
  <c r="BW34" i="39" s="1"/>
  <c r="AP34" i="39"/>
  <c r="BT34" i="39" s="1"/>
  <c r="BS34" i="39"/>
  <c r="W34" i="39"/>
  <c r="AG34" i="39" s="1"/>
  <c r="BQ34" i="39" s="1"/>
  <c r="V34" i="39"/>
  <c r="AF34" i="39" s="1"/>
  <c r="S34" i="39"/>
  <c r="M34" i="39"/>
  <c r="BL33" i="39"/>
  <c r="BK33" i="39"/>
  <c r="BY33" i="39" s="1"/>
  <c r="AY33" i="39"/>
  <c r="BW33" i="39" s="1"/>
  <c r="AP33" i="39"/>
  <c r="BT33" i="39" s="1"/>
  <c r="BS33" i="39"/>
  <c r="W33" i="39"/>
  <c r="AG33" i="39" s="1"/>
  <c r="V33" i="39"/>
  <c r="AF33" i="39" s="1"/>
  <c r="S33" i="39"/>
  <c r="Q33" i="39"/>
  <c r="M33" i="39"/>
  <c r="BL32" i="39"/>
  <c r="BZ32" i="39" s="1"/>
  <c r="BC32" i="39"/>
  <c r="AY32" i="39"/>
  <c r="BW32" i="39" s="1"/>
  <c r="AP32" i="39"/>
  <c r="BT32" i="39" s="1"/>
  <c r="BS32" i="39"/>
  <c r="X32" i="39"/>
  <c r="W32" i="39"/>
  <c r="AG32" i="39" s="1"/>
  <c r="V32" i="39"/>
  <c r="S32" i="39"/>
  <c r="M32" i="39"/>
  <c r="BL31" i="39"/>
  <c r="BK31" i="39"/>
  <c r="AY31" i="39"/>
  <c r="BW31" i="39" s="1"/>
  <c r="AP31" i="39"/>
  <c r="AI31" i="39"/>
  <c r="W31" i="39"/>
  <c r="AG31" i="39" s="1"/>
  <c r="BQ31" i="39" s="1"/>
  <c r="S31" i="39"/>
  <c r="M31" i="39"/>
  <c r="Q31" i="39"/>
  <c r="BJ30" i="39"/>
  <c r="BI30" i="39"/>
  <c r="BH30" i="39"/>
  <c r="BG30" i="39"/>
  <c r="BF30" i="39"/>
  <c r="BE30" i="39"/>
  <c r="BD30" i="39"/>
  <c r="BC30" i="39"/>
  <c r="BB30" i="39"/>
  <c r="BA30" i="39"/>
  <c r="AX30" i="39"/>
  <c r="AN30" i="39"/>
  <c r="AM30" i="39"/>
  <c r="AL30" i="39"/>
  <c r="AJ30" i="39"/>
  <c r="AI30" i="39"/>
  <c r="AE30" i="39"/>
  <c r="AD30" i="39"/>
  <c r="AC30" i="39"/>
  <c r="AB30" i="39"/>
  <c r="AA30" i="39"/>
  <c r="Z30" i="39"/>
  <c r="Y30" i="39"/>
  <c r="X30" i="39"/>
  <c r="U30" i="39"/>
  <c r="T30" i="39"/>
  <c r="R30" i="39"/>
  <c r="O30" i="39"/>
  <c r="N30" i="39"/>
  <c r="L30" i="39"/>
  <c r="K30" i="39"/>
  <c r="BL29" i="39"/>
  <c r="BZ29" i="39" s="1"/>
  <c r="BK29" i="39"/>
  <c r="AY29" i="39"/>
  <c r="BW29" i="39" s="1"/>
  <c r="AP29" i="39"/>
  <c r="W29" i="39"/>
  <c r="AG29" i="39" s="1"/>
  <c r="V29" i="39"/>
  <c r="AF29" i="39" s="1"/>
  <c r="S29" i="39"/>
  <c r="M29" i="39"/>
  <c r="BL28" i="39"/>
  <c r="BZ28" i="39" s="1"/>
  <c r="BK28" i="39"/>
  <c r="AY28" i="39"/>
  <c r="BW28" i="39" s="1"/>
  <c r="AP28" i="39"/>
  <c r="BT28" i="39" s="1"/>
  <c r="BS28" i="39"/>
  <c r="W28" i="39"/>
  <c r="AG28" i="39" s="1"/>
  <c r="V28" i="39"/>
  <c r="AF28" i="39" s="1"/>
  <c r="S28" i="39"/>
  <c r="M28" i="39"/>
  <c r="BL27" i="39"/>
  <c r="BZ27" i="39" s="1"/>
  <c r="BK27" i="39"/>
  <c r="AY27" i="39"/>
  <c r="BW27" i="39" s="1"/>
  <c r="AP27" i="39"/>
  <c r="BT27" i="39" s="1"/>
  <c r="W27" i="39"/>
  <c r="AG27" i="39" s="1"/>
  <c r="BQ27" i="39" s="1"/>
  <c r="V27" i="39"/>
  <c r="AF27" i="39" s="1"/>
  <c r="S27" i="39"/>
  <c r="M27" i="39"/>
  <c r="BL26" i="39"/>
  <c r="BZ26" i="39" s="1"/>
  <c r="BK26" i="39"/>
  <c r="AW26" i="39"/>
  <c r="AY26" i="39" s="1"/>
  <c r="BW26" i="39" s="1"/>
  <c r="AP26" i="39"/>
  <c r="BT26" i="39" s="1"/>
  <c r="W26" i="39"/>
  <c r="AG26" i="39" s="1"/>
  <c r="BQ26" i="39" s="1"/>
  <c r="V26" i="39"/>
  <c r="AF26" i="39" s="1"/>
  <c r="S26" i="39"/>
  <c r="M26" i="39"/>
  <c r="BL25" i="39"/>
  <c r="BZ25" i="39" s="1"/>
  <c r="BK25" i="39"/>
  <c r="BY25" i="39" s="1"/>
  <c r="AY25" i="39"/>
  <c r="AP25" i="39"/>
  <c r="W25" i="39"/>
  <c r="V25" i="39"/>
  <c r="S25" i="39"/>
  <c r="M25" i="39"/>
  <c r="BJ24" i="39"/>
  <c r="BI24" i="39"/>
  <c r="BH24" i="39"/>
  <c r="BG24" i="39"/>
  <c r="BF24" i="39"/>
  <c r="BE24" i="39"/>
  <c r="BD24" i="39"/>
  <c r="BC24" i="39"/>
  <c r="BB24" i="39"/>
  <c r="BA24" i="39"/>
  <c r="AX24" i="39"/>
  <c r="AW24" i="39"/>
  <c r="AN24" i="39"/>
  <c r="AM24" i="39"/>
  <c r="AL24" i="39"/>
  <c r="AJ24" i="39"/>
  <c r="AI24" i="39"/>
  <c r="AE24" i="39"/>
  <c r="AD24" i="39"/>
  <c r="AC24" i="39"/>
  <c r="AB24" i="39"/>
  <c r="AA24" i="39"/>
  <c r="Z24" i="39"/>
  <c r="Y24" i="39"/>
  <c r="X24" i="39"/>
  <c r="U24" i="39"/>
  <c r="T24" i="39"/>
  <c r="R24" i="39"/>
  <c r="O24" i="39"/>
  <c r="N24" i="39"/>
  <c r="L24" i="39"/>
  <c r="K24" i="39"/>
  <c r="BL23" i="39"/>
  <c r="BZ23" i="39" s="1"/>
  <c r="BK23" i="39"/>
  <c r="BY23" i="39" s="1"/>
  <c r="AY23" i="39"/>
  <c r="BW23" i="39" s="1"/>
  <c r="AP23" i="39"/>
  <c r="BT23" i="39" s="1"/>
  <c r="W23" i="39"/>
  <c r="AG23" i="39" s="1"/>
  <c r="BQ23" i="39" s="1"/>
  <c r="V23" i="39"/>
  <c r="AF23" i="39" s="1"/>
  <c r="BP23" i="39" s="1"/>
  <c r="S23" i="39"/>
  <c r="M23" i="39"/>
  <c r="BL22" i="39"/>
  <c r="BK22" i="39"/>
  <c r="BY22" i="39" s="1"/>
  <c r="AY22" i="39"/>
  <c r="BW22" i="39" s="1"/>
  <c r="AP22" i="39"/>
  <c r="BS22" i="39"/>
  <c r="W22" i="39"/>
  <c r="AG22" i="39" s="1"/>
  <c r="V22" i="39"/>
  <c r="S22" i="39"/>
  <c r="M22" i="39"/>
  <c r="BL21" i="39"/>
  <c r="BK21" i="39"/>
  <c r="BY21" i="39" s="1"/>
  <c r="AY21" i="39"/>
  <c r="BW21" i="39" s="1"/>
  <c r="AP21" i="39"/>
  <c r="BT21" i="39" s="1"/>
  <c r="W21" i="39"/>
  <c r="AG21" i="39" s="1"/>
  <c r="V21" i="39"/>
  <c r="AF21" i="39" s="1"/>
  <c r="S21" i="39"/>
  <c r="Q21" i="39"/>
  <c r="M21" i="39"/>
  <c r="BL20" i="39"/>
  <c r="BZ20" i="39" s="1"/>
  <c r="BK20" i="39"/>
  <c r="BY20" i="39" s="1"/>
  <c r="AY20" i="39"/>
  <c r="BW20" i="39" s="1"/>
  <c r="AP20" i="39"/>
  <c r="BT20" i="39" s="1"/>
  <c r="W20" i="39"/>
  <c r="AG20" i="39" s="1"/>
  <c r="V20" i="39"/>
  <c r="AF20" i="39" s="1"/>
  <c r="S20" i="39"/>
  <c r="M20" i="39"/>
  <c r="BL19" i="39"/>
  <c r="BZ19" i="39" s="1"/>
  <c r="BK19" i="39"/>
  <c r="BY19" i="39" s="1"/>
  <c r="AY19" i="39"/>
  <c r="AP19" i="39"/>
  <c r="W19" i="39"/>
  <c r="V19" i="39"/>
  <c r="AF19" i="39" s="1"/>
  <c r="S19" i="39"/>
  <c r="M19" i="39"/>
  <c r="BJ18" i="39"/>
  <c r="BI18" i="39"/>
  <c r="BH18" i="39"/>
  <c r="BG18" i="39"/>
  <c r="BF18" i="39"/>
  <c r="BE18" i="39"/>
  <c r="BD18" i="39"/>
  <c r="BB18" i="39"/>
  <c r="BA18" i="39"/>
  <c r="AX18" i="39"/>
  <c r="AW18" i="39"/>
  <c r="AN18" i="39"/>
  <c r="AM18" i="39"/>
  <c r="AL18" i="39"/>
  <c r="AJ18" i="39"/>
  <c r="AI18" i="39"/>
  <c r="AE18" i="39"/>
  <c r="AD18" i="39"/>
  <c r="AC18" i="39"/>
  <c r="AB18" i="39"/>
  <c r="AA18" i="39"/>
  <c r="Z18" i="39"/>
  <c r="Y18" i="39"/>
  <c r="U18" i="39"/>
  <c r="T18" i="39"/>
  <c r="R18" i="39"/>
  <c r="O18" i="39"/>
  <c r="N18" i="39"/>
  <c r="L18" i="39"/>
  <c r="K18" i="39"/>
  <c r="BL17" i="39"/>
  <c r="BK17" i="39"/>
  <c r="BY17" i="39" s="1"/>
  <c r="AY17" i="39"/>
  <c r="BW17" i="39" s="1"/>
  <c r="AP17" i="39"/>
  <c r="BT17" i="39" s="1"/>
  <c r="BS17" i="39"/>
  <c r="W17" i="39"/>
  <c r="AG17" i="39" s="1"/>
  <c r="V17" i="39"/>
  <c r="S17" i="39"/>
  <c r="Q17" i="39"/>
  <c r="M17" i="39"/>
  <c r="BL16" i="39"/>
  <c r="BC16" i="39"/>
  <c r="BC128" i="39" s="1"/>
  <c r="AY16" i="39"/>
  <c r="BW16" i="39" s="1"/>
  <c r="AP16" i="39"/>
  <c r="BT16" i="39" s="1"/>
  <c r="X16" i="39"/>
  <c r="W16" i="39"/>
  <c r="AG16" i="39" s="1"/>
  <c r="BQ16" i="39" s="1"/>
  <c r="V16" i="39"/>
  <c r="S16" i="39"/>
  <c r="M16" i="39"/>
  <c r="J16" i="39"/>
  <c r="BL15" i="39"/>
  <c r="BZ15" i="39" s="1"/>
  <c r="BK15" i="39"/>
  <c r="BY15" i="39" s="1"/>
  <c r="AY15" i="39"/>
  <c r="BW15" i="39" s="1"/>
  <c r="AP15" i="39"/>
  <c r="BS15" i="39"/>
  <c r="W15" i="39"/>
  <c r="AG15" i="39" s="1"/>
  <c r="V15" i="39"/>
  <c r="AF15" i="39" s="1"/>
  <c r="S15" i="39"/>
  <c r="M15" i="39"/>
  <c r="J15" i="39"/>
  <c r="Q15" i="39" s="1"/>
  <c r="BL14" i="39"/>
  <c r="BZ14" i="39" s="1"/>
  <c r="BK14" i="39"/>
  <c r="AY14" i="39"/>
  <c r="AP14" i="39"/>
  <c r="W14" i="39"/>
  <c r="V14" i="39"/>
  <c r="AF14" i="39" s="1"/>
  <c r="S14" i="39"/>
  <c r="M14" i="39"/>
  <c r="J14" i="39"/>
  <c r="Q14" i="39" s="1"/>
  <c r="BJ13" i="39"/>
  <c r="BI13" i="39"/>
  <c r="BH13" i="39"/>
  <c r="BG13" i="39"/>
  <c r="BF13" i="39"/>
  <c r="BE13" i="39"/>
  <c r="BD13" i="39"/>
  <c r="BC13" i="39"/>
  <c r="BB13" i="39"/>
  <c r="BA13" i="39"/>
  <c r="AX13" i="39"/>
  <c r="AW13" i="39"/>
  <c r="AN13" i="39"/>
  <c r="AM13" i="39"/>
  <c r="AL13" i="39"/>
  <c r="AJ13" i="39"/>
  <c r="AI13" i="39"/>
  <c r="AE13" i="39"/>
  <c r="AD13" i="39"/>
  <c r="AC13" i="39"/>
  <c r="AB13" i="39"/>
  <c r="AA13" i="39"/>
  <c r="Z13" i="39"/>
  <c r="Y13" i="39"/>
  <c r="X13" i="39"/>
  <c r="U13" i="39"/>
  <c r="T13" i="39"/>
  <c r="R13" i="39"/>
  <c r="O13" i="39"/>
  <c r="N13" i="39"/>
  <c r="L13" i="39"/>
  <c r="K13" i="39"/>
  <c r="BL12" i="39"/>
  <c r="BK12" i="39"/>
  <c r="BY12" i="39" s="1"/>
  <c r="BY13" i="39" s="1"/>
  <c r="AY12" i="39"/>
  <c r="AY13" i="39" s="1"/>
  <c r="AP12" i="39"/>
  <c r="BT12" i="39" s="1"/>
  <c r="W12" i="39"/>
  <c r="AG12" i="39" s="1"/>
  <c r="V12" i="39"/>
  <c r="V13" i="39" s="1"/>
  <c r="S12" i="39"/>
  <c r="M12" i="39"/>
  <c r="J12" i="39"/>
  <c r="P41" i="40" l="1"/>
  <c r="J102" i="40"/>
  <c r="J130" i="40"/>
  <c r="P148" i="40"/>
  <c r="P27" i="39"/>
  <c r="J30" i="39"/>
  <c r="CB74" i="31"/>
  <c r="BU17" i="47" s="1"/>
  <c r="AF15" i="42"/>
  <c r="BP15" i="42" s="1"/>
  <c r="CF199" i="42"/>
  <c r="BY22" i="47" s="1"/>
  <c r="CB191" i="29"/>
  <c r="BU15" i="47" s="1"/>
  <c r="CD191" i="29"/>
  <c r="BW15" i="47" s="1"/>
  <c r="CF191" i="29"/>
  <c r="BY15" i="47" s="1"/>
  <c r="CB100" i="30"/>
  <c r="BU16" i="47" s="1"/>
  <c r="CD100" i="30"/>
  <c r="BW16" i="47" s="1"/>
  <c r="CF74" i="31"/>
  <c r="BY17" i="47" s="1"/>
  <c r="CB293" i="32"/>
  <c r="BU18" i="47" s="1"/>
  <c r="CC293" i="32"/>
  <c r="BV18" i="47" s="1"/>
  <c r="CE293" i="32"/>
  <c r="BX18" i="47" s="1"/>
  <c r="CD293" i="32"/>
  <c r="BW18" i="47" s="1"/>
  <c r="J36" i="39"/>
  <c r="J24" i="39"/>
  <c r="J118" i="39"/>
  <c r="J42" i="39"/>
  <c r="P49" i="39"/>
  <c r="P121" i="40"/>
  <c r="CD166" i="40"/>
  <c r="BW20" i="47" s="1"/>
  <c r="J124" i="40"/>
  <c r="J23" i="40"/>
  <c r="P22" i="40"/>
  <c r="P71" i="40"/>
  <c r="I71" i="40" s="1"/>
  <c r="J127" i="40"/>
  <c r="J15" i="40"/>
  <c r="J88" i="40"/>
  <c r="CF138" i="41"/>
  <c r="BY21" i="47" s="1"/>
  <c r="CB199" i="42"/>
  <c r="AH127" i="42"/>
  <c r="AU127" i="42" s="1"/>
  <c r="AK476" i="43"/>
  <c r="AD35" i="47" s="1"/>
  <c r="AK470" i="43"/>
  <c r="AK475" i="43"/>
  <c r="AD34" i="47" s="1"/>
  <c r="AK469" i="43"/>
  <c r="AD28" i="47" s="1"/>
  <c r="AK474" i="43"/>
  <c r="AD33" i="47" s="1"/>
  <c r="AK468" i="43"/>
  <c r="AO46" i="43"/>
  <c r="J161" i="40"/>
  <c r="J155" i="40"/>
  <c r="J151" i="40"/>
  <c r="J137" i="40"/>
  <c r="J108" i="40"/>
  <c r="J98" i="40"/>
  <c r="J92" i="40"/>
  <c r="J74" i="40"/>
  <c r="J67" i="40"/>
  <c r="J60" i="40"/>
  <c r="J51" i="40"/>
  <c r="J38" i="40"/>
  <c r="J32" i="40"/>
  <c r="J19" i="40"/>
  <c r="J123" i="39"/>
  <c r="J114" i="39"/>
  <c r="J107" i="39"/>
  <c r="J100" i="39"/>
  <c r="J93" i="39"/>
  <c r="J86" i="39"/>
  <c r="J79" i="39"/>
  <c r="J72" i="39"/>
  <c r="J65" i="39"/>
  <c r="CE138" i="41"/>
  <c r="BX21" i="47" s="1"/>
  <c r="CC138" i="41"/>
  <c r="BV21" i="47" s="1"/>
  <c r="CB138" i="41"/>
  <c r="CD138" i="41"/>
  <c r="BW21" i="47" s="1"/>
  <c r="CF293" i="32"/>
  <c r="BY18" i="47" s="1"/>
  <c r="CA137" i="32"/>
  <c r="CA293" i="32" s="1"/>
  <c r="BT18" i="47" s="1"/>
  <c r="Q100" i="40"/>
  <c r="J144" i="40"/>
  <c r="J81" i="40"/>
  <c r="J44" i="40"/>
  <c r="P57" i="40"/>
  <c r="I57" i="40" s="1"/>
  <c r="Q93" i="40"/>
  <c r="J179" i="40"/>
  <c r="J25" i="40"/>
  <c r="J165" i="40"/>
  <c r="P78" i="40"/>
  <c r="I78" i="40" s="1"/>
  <c r="P18" i="40"/>
  <c r="J176" i="40"/>
  <c r="CC166" i="40"/>
  <c r="BV20" i="47" s="1"/>
  <c r="J56" i="39"/>
  <c r="J18" i="39"/>
  <c r="J50" i="39"/>
  <c r="J134" i="39"/>
  <c r="P83" i="39"/>
  <c r="I83" i="39" s="1"/>
  <c r="P76" i="39"/>
  <c r="I76" i="39" s="1"/>
  <c r="CF124" i="39"/>
  <c r="BY19" i="47" s="1"/>
  <c r="AO336" i="43"/>
  <c r="AO67" i="43"/>
  <c r="AO116" i="43"/>
  <c r="AO42" i="43"/>
  <c r="AO82" i="43"/>
  <c r="AO59" i="43"/>
  <c r="AO55" i="43"/>
  <c r="AO94" i="43"/>
  <c r="AO328" i="43"/>
  <c r="AO27" i="43"/>
  <c r="AO86" i="43"/>
  <c r="AO109" i="43"/>
  <c r="AO389" i="43"/>
  <c r="AO219" i="43"/>
  <c r="AO125" i="43"/>
  <c r="AO49" i="43"/>
  <c r="AO276" i="43"/>
  <c r="AO262" i="43"/>
  <c r="AO256" i="43"/>
  <c r="AO213" i="43"/>
  <c r="AO459" i="43"/>
  <c r="AO383" i="43"/>
  <c r="AO322" i="43"/>
  <c r="AO345" i="43"/>
  <c r="AO332" i="43"/>
  <c r="AO316" i="43"/>
  <c r="AO312" i="43"/>
  <c r="AO305" i="43"/>
  <c r="AO288" i="43"/>
  <c r="AO283" i="43"/>
  <c r="AO237" i="43"/>
  <c r="AO180" i="43"/>
  <c r="AO151" i="43"/>
  <c r="AO120" i="43"/>
  <c r="AO79" i="43"/>
  <c r="AO70" i="43"/>
  <c r="AO63" i="43"/>
  <c r="AO22" i="43"/>
  <c r="AO456" i="43"/>
  <c r="AO449" i="43"/>
  <c r="AO442" i="43"/>
  <c r="AO435" i="43"/>
  <c r="AO428" i="43"/>
  <c r="AO421" i="43"/>
  <c r="AO414" i="43"/>
  <c r="AO407" i="43"/>
  <c r="AO400" i="43"/>
  <c r="AO374" i="43"/>
  <c r="AO370" i="43"/>
  <c r="AO243" i="43"/>
  <c r="AO200" i="43"/>
  <c r="AO194" i="43"/>
  <c r="AO187" i="43"/>
  <c r="AO157" i="43"/>
  <c r="AO102" i="43"/>
  <c r="AO52" i="43"/>
  <c r="AO296" i="43"/>
  <c r="AO272" i="43"/>
  <c r="AO249" i="43"/>
  <c r="AO206" i="43"/>
  <c r="AO162" i="43"/>
  <c r="AO35" i="43"/>
  <c r="AO393" i="43"/>
  <c r="AO351" i="43"/>
  <c r="AO225" i="43"/>
  <c r="AO168" i="43"/>
  <c r="AO105" i="43"/>
  <c r="AO98" i="43"/>
  <c r="AO90" i="43"/>
  <c r="AO75" i="43"/>
  <c r="AO18" i="43"/>
  <c r="AO463" i="43"/>
  <c r="AO363" i="43"/>
  <c r="AO358" i="43"/>
  <c r="AO266" i="43"/>
  <c r="AO231" i="43"/>
  <c r="AO174" i="43"/>
  <c r="AO145" i="43"/>
  <c r="AO139" i="43"/>
  <c r="AO132" i="43"/>
  <c r="AO113" i="43"/>
  <c r="AO39" i="43"/>
  <c r="AO31" i="43"/>
  <c r="CE74" i="31"/>
  <c r="BX17" i="47" s="1"/>
  <c r="CC74" i="31"/>
  <c r="BV17" i="47" s="1"/>
  <c r="CF100" i="30"/>
  <c r="BY16" i="47" s="1"/>
  <c r="CC100" i="30"/>
  <c r="BV16" i="47" s="1"/>
  <c r="CE100" i="30"/>
  <c r="BX16" i="47" s="1"/>
  <c r="CE191" i="29"/>
  <c r="BX15" i="47" s="1"/>
  <c r="CA131" i="29"/>
  <c r="CA191" i="29" s="1"/>
  <c r="BT15" i="47" s="1"/>
  <c r="CC191" i="29"/>
  <c r="BV15" i="47" s="1"/>
  <c r="W156" i="42"/>
  <c r="CC199" i="42"/>
  <c r="BV22" i="47" s="1"/>
  <c r="CD199" i="42"/>
  <c r="BW22" i="47" s="1"/>
  <c r="CE199" i="42"/>
  <c r="BX22" i="47" s="1"/>
  <c r="CA137" i="41"/>
  <c r="CA138" i="41" s="1"/>
  <c r="BT21" i="47" s="1"/>
  <c r="CF166" i="40"/>
  <c r="BY20" i="47" s="1"/>
  <c r="CC124" i="39"/>
  <c r="BV19" i="47" s="1"/>
  <c r="CE124" i="39"/>
  <c r="BX19" i="47" s="1"/>
  <c r="CB124" i="39"/>
  <c r="BU19" i="47" s="1"/>
  <c r="CD124" i="39"/>
  <c r="BW19" i="47" s="1"/>
  <c r="AQ19" i="39"/>
  <c r="BR19" i="39" s="1"/>
  <c r="CA129" i="44"/>
  <c r="BT14" i="47" s="1"/>
  <c r="CA199" i="42"/>
  <c r="BT22" i="47" s="1"/>
  <c r="CE166" i="40"/>
  <c r="BX20" i="47" s="1"/>
  <c r="CB166" i="40"/>
  <c r="BU20" i="47" s="1"/>
  <c r="CD74" i="31"/>
  <c r="BW17" i="47" s="1"/>
  <c r="CA74" i="31"/>
  <c r="BT17" i="47" s="1"/>
  <c r="CA100" i="30"/>
  <c r="BT16" i="47" s="1"/>
  <c r="P53" i="41"/>
  <c r="CA166" i="40"/>
  <c r="BT20" i="47" s="1"/>
  <c r="AQ143" i="40"/>
  <c r="BR143" i="40" s="1"/>
  <c r="AQ147" i="40"/>
  <c r="BR147" i="40" s="1"/>
  <c r="CA124" i="39"/>
  <c r="BT19" i="47" s="1"/>
  <c r="CA294" i="32"/>
  <c r="BU22" i="47"/>
  <c r="BL138" i="42"/>
  <c r="BS148" i="42"/>
  <c r="AR17" i="42"/>
  <c r="P83" i="42"/>
  <c r="AQ149" i="42"/>
  <c r="BU21" i="47"/>
  <c r="AR57" i="41"/>
  <c r="AR59" i="41"/>
  <c r="AQ126" i="41"/>
  <c r="BR126" i="41" s="1"/>
  <c r="P116" i="40"/>
  <c r="I116" i="40" s="1"/>
  <c r="CC202" i="42"/>
  <c r="CD202" i="42"/>
  <c r="CB202" i="42"/>
  <c r="CA202" i="42"/>
  <c r="CF202" i="42"/>
  <c r="CE202" i="42"/>
  <c r="CD141" i="41"/>
  <c r="CC141" i="41"/>
  <c r="CB141" i="41"/>
  <c r="CA141" i="41"/>
  <c r="CE141" i="41"/>
  <c r="CF141" i="41"/>
  <c r="CE169" i="40"/>
  <c r="CD169" i="40"/>
  <c r="CC169" i="40"/>
  <c r="CF169" i="40"/>
  <c r="CB169" i="40"/>
  <c r="CA169" i="40"/>
  <c r="CF127" i="39"/>
  <c r="CE127" i="39"/>
  <c r="CD127" i="39"/>
  <c r="CA127" i="39"/>
  <c r="CC127" i="39"/>
  <c r="CB127" i="39"/>
  <c r="CA296" i="32"/>
  <c r="CF296" i="32"/>
  <c r="CE296" i="32"/>
  <c r="CB296" i="32"/>
  <c r="CD296" i="32"/>
  <c r="CC296" i="32"/>
  <c r="CB77" i="31"/>
  <c r="CA77" i="31"/>
  <c r="CF77" i="31"/>
  <c r="CC77" i="31"/>
  <c r="CE77" i="31"/>
  <c r="CD77" i="31"/>
  <c r="CC103" i="30"/>
  <c r="CB103" i="30"/>
  <c r="CD103" i="30"/>
  <c r="CF103" i="30"/>
  <c r="CE103" i="30"/>
  <c r="CA103" i="30"/>
  <c r="CF194" i="29"/>
  <c r="CE194" i="29"/>
  <c r="CD194" i="29"/>
  <c r="CC194" i="29"/>
  <c r="CB194" i="29"/>
  <c r="CA194" i="29"/>
  <c r="CB129" i="44"/>
  <c r="BU14" i="47" s="1"/>
  <c r="CC129" i="44"/>
  <c r="BV14" i="47" s="1"/>
  <c r="CD129" i="44"/>
  <c r="BW14" i="47" s="1"/>
  <c r="CE129" i="44"/>
  <c r="BX14" i="47" s="1"/>
  <c r="CF129" i="44"/>
  <c r="BY14" i="47" s="1"/>
  <c r="CE132" i="44"/>
  <c r="CD132" i="44"/>
  <c r="CC132" i="44"/>
  <c r="CB132" i="44"/>
  <c r="CF132" i="44"/>
  <c r="CA132" i="44"/>
  <c r="CF464" i="43"/>
  <c r="CB464" i="43"/>
  <c r="CD464" i="43"/>
  <c r="CC464" i="43"/>
  <c r="CE464" i="43"/>
  <c r="CA464" i="43"/>
  <c r="CF467" i="43"/>
  <c r="CE467" i="43"/>
  <c r="CD467" i="43"/>
  <c r="CC467" i="43"/>
  <c r="CB467" i="43"/>
  <c r="CA467" i="43"/>
  <c r="AQ14" i="40"/>
  <c r="BR14" i="40" s="1"/>
  <c r="AR145" i="40"/>
  <c r="AQ149" i="40"/>
  <c r="BR149" i="40" s="1"/>
  <c r="AQ156" i="40"/>
  <c r="BR156" i="40" s="1"/>
  <c r="P87" i="40"/>
  <c r="P89" i="40"/>
  <c r="BM107" i="40"/>
  <c r="P64" i="39"/>
  <c r="AH98" i="39"/>
  <c r="AU98" i="39" s="1"/>
  <c r="AQ23" i="39"/>
  <c r="BR23" i="39" s="1"/>
  <c r="AH119" i="39"/>
  <c r="P167" i="42"/>
  <c r="AR45" i="41"/>
  <c r="AS53" i="41"/>
  <c r="AQ88" i="41"/>
  <c r="BR88" i="41" s="1"/>
  <c r="AR99" i="41"/>
  <c r="P164" i="42"/>
  <c r="AO166" i="42"/>
  <c r="AH160" i="42"/>
  <c r="W150" i="41"/>
  <c r="P52" i="41"/>
  <c r="I52" i="41" s="1"/>
  <c r="AH100" i="41"/>
  <c r="AU100" i="41" s="1"/>
  <c r="AH32" i="41"/>
  <c r="S65" i="41"/>
  <c r="AR127" i="41"/>
  <c r="AS70" i="41"/>
  <c r="AQ123" i="41"/>
  <c r="BR123" i="41" s="1"/>
  <c r="P135" i="41"/>
  <c r="M150" i="41"/>
  <c r="AY150" i="41"/>
  <c r="BM66" i="41"/>
  <c r="BX66" i="41" s="1"/>
  <c r="P101" i="41"/>
  <c r="P44" i="41"/>
  <c r="AR125" i="41"/>
  <c r="I95" i="40"/>
  <c r="AY127" i="40"/>
  <c r="BL130" i="40"/>
  <c r="P48" i="40"/>
  <c r="I48" i="40" s="1"/>
  <c r="AI170" i="40"/>
  <c r="W178" i="40"/>
  <c r="M155" i="40"/>
  <c r="BW137" i="40"/>
  <c r="P45" i="40"/>
  <c r="BM97" i="40"/>
  <c r="BX97" i="40" s="1"/>
  <c r="AR113" i="40"/>
  <c r="AF120" i="40"/>
  <c r="BP120" i="40" s="1"/>
  <c r="AS140" i="40"/>
  <c r="AR150" i="40"/>
  <c r="AQ77" i="40"/>
  <c r="BR77" i="40" s="1"/>
  <c r="AQ80" i="40"/>
  <c r="BR80" i="40" s="1"/>
  <c r="I158" i="40"/>
  <c r="BL137" i="39"/>
  <c r="S137" i="39"/>
  <c r="AR64" i="39"/>
  <c r="AQ14" i="39"/>
  <c r="BR14" i="39" s="1"/>
  <c r="AH71" i="39"/>
  <c r="BM35" i="39"/>
  <c r="BX35" i="39" s="1"/>
  <c r="AQ37" i="39"/>
  <c r="BR37" i="39" s="1"/>
  <c r="AS49" i="39"/>
  <c r="AR68" i="39"/>
  <c r="AK293" i="32"/>
  <c r="AD18" i="47" s="1"/>
  <c r="AK74" i="31"/>
  <c r="AD17" i="47" s="1"/>
  <c r="BU31" i="47"/>
  <c r="BW35" i="47"/>
  <c r="BT32" i="47"/>
  <c r="BY31" i="47"/>
  <c r="BW29" i="47"/>
  <c r="BV36" i="47"/>
  <c r="BY33" i="47"/>
  <c r="BV30" i="47"/>
  <c r="BV27" i="47"/>
  <c r="BY30" i="47"/>
  <c r="BT27" i="47"/>
  <c r="BT33" i="47"/>
  <c r="BY27" i="47"/>
  <c r="BU34" i="47"/>
  <c r="BW33" i="47"/>
  <c r="BX35" i="47"/>
  <c r="BX34" i="47"/>
  <c r="BU27" i="47"/>
  <c r="BX27" i="47"/>
  <c r="BX29" i="47"/>
  <c r="BY35" i="47"/>
  <c r="BY34" i="47"/>
  <c r="BY28" i="47"/>
  <c r="BX28" i="47"/>
  <c r="BW28" i="47"/>
  <c r="BV34" i="47"/>
  <c r="BV28" i="47"/>
  <c r="BT34" i="47"/>
  <c r="BT36" i="47"/>
  <c r="BU35" i="47"/>
  <c r="BX32" i="47"/>
  <c r="BT30" i="47"/>
  <c r="BW27" i="47"/>
  <c r="BU36" i="47"/>
  <c r="BT31" i="47"/>
  <c r="BV29" i="47"/>
  <c r="BY36" i="47"/>
  <c r="BT35" i="47"/>
  <c r="BV33" i="47"/>
  <c r="BW32" i="47"/>
  <c r="BX31" i="47"/>
  <c r="BT29" i="47"/>
  <c r="BU28" i="47"/>
  <c r="BX33" i="47"/>
  <c r="BU30" i="47"/>
  <c r="BV35" i="47"/>
  <c r="BW34" i="47"/>
  <c r="BX36" i="47"/>
  <c r="BU33" i="47"/>
  <c r="BV32" i="47"/>
  <c r="BW31" i="47"/>
  <c r="BX30" i="47"/>
  <c r="BY29" i="47"/>
  <c r="BT28" i="47"/>
  <c r="BY32" i="47"/>
  <c r="BW36" i="47"/>
  <c r="BU32" i="47"/>
  <c r="BV31" i="47"/>
  <c r="M27" i="41"/>
  <c r="AB141" i="41"/>
  <c r="P97" i="40"/>
  <c r="AE127" i="39"/>
  <c r="AS95" i="40"/>
  <c r="BT130" i="40"/>
  <c r="BL165" i="40"/>
  <c r="AO65" i="41"/>
  <c r="AK199" i="42"/>
  <c r="AD22" i="47" s="1"/>
  <c r="BK46" i="40"/>
  <c r="BY46" i="40" s="1"/>
  <c r="AI143" i="41"/>
  <c r="AI141" i="41" s="1"/>
  <c r="V140" i="41" s="1"/>
  <c r="AD32" i="47"/>
  <c r="AS103" i="39"/>
  <c r="AS97" i="40"/>
  <c r="AR53" i="41"/>
  <c r="AT53" i="41" s="1"/>
  <c r="P70" i="41"/>
  <c r="I70" i="41" s="1"/>
  <c r="AR71" i="41"/>
  <c r="P87" i="39"/>
  <c r="M137" i="39"/>
  <c r="BM51" i="39"/>
  <c r="BX51" i="39" s="1"/>
  <c r="AQ87" i="39"/>
  <c r="BR87" i="39" s="1"/>
  <c r="W179" i="40"/>
  <c r="AO172" i="40"/>
  <c r="AH59" i="40"/>
  <c r="AU59" i="40" s="1"/>
  <c r="M88" i="40"/>
  <c r="AR86" i="40"/>
  <c r="P33" i="41"/>
  <c r="Q44" i="41"/>
  <c r="AQ89" i="41"/>
  <c r="BR89" i="41" s="1"/>
  <c r="Z141" i="41"/>
  <c r="BC206" i="42"/>
  <c r="AF32" i="39"/>
  <c r="AR32" i="39" s="1"/>
  <c r="AP15" i="40"/>
  <c r="AR90" i="40"/>
  <c r="BZ162" i="40"/>
  <c r="BM163" i="40"/>
  <c r="BX163" i="40" s="1"/>
  <c r="AS176" i="42"/>
  <c r="AK191" i="29"/>
  <c r="AD15" i="47" s="1"/>
  <c r="AK100" i="30"/>
  <c r="AD16" i="47" s="1"/>
  <c r="AK124" i="39"/>
  <c r="AD19" i="47" s="1"/>
  <c r="AQ40" i="39"/>
  <c r="BR40" i="39" s="1"/>
  <c r="W69" i="39"/>
  <c r="AG69" i="39" s="1"/>
  <c r="BQ69" i="39" s="1"/>
  <c r="AQ95" i="39"/>
  <c r="BR95" i="39" s="1"/>
  <c r="AH102" i="39"/>
  <c r="AU102" i="39" s="1"/>
  <c r="BY107" i="40"/>
  <c r="AF18" i="41"/>
  <c r="BP18" i="41" s="1"/>
  <c r="P84" i="41"/>
  <c r="AH101" i="41"/>
  <c r="AU101" i="41" s="1"/>
  <c r="P82" i="42"/>
  <c r="I82" i="42" s="1"/>
  <c r="AK103" i="30"/>
  <c r="P163" i="40"/>
  <c r="I163" i="40" s="1"/>
  <c r="P37" i="41"/>
  <c r="S61" i="41"/>
  <c r="AH70" i="41"/>
  <c r="P126" i="42"/>
  <c r="I126" i="42" s="1"/>
  <c r="AK77" i="31"/>
  <c r="AK169" i="40"/>
  <c r="AQ106" i="39"/>
  <c r="BR106" i="39" s="1"/>
  <c r="BM115" i="39"/>
  <c r="BX115" i="39" s="1"/>
  <c r="AS109" i="41"/>
  <c r="V121" i="41"/>
  <c r="AF121" i="41" s="1"/>
  <c r="P41" i="42"/>
  <c r="V53" i="42"/>
  <c r="V58" i="42" s="1"/>
  <c r="AK296" i="32"/>
  <c r="AQ68" i="40"/>
  <c r="BR68" i="40" s="1"/>
  <c r="P125" i="40"/>
  <c r="AY27" i="41"/>
  <c r="AF23" i="41"/>
  <c r="BP23" i="41" s="1"/>
  <c r="AI124" i="41"/>
  <c r="AK129" i="44"/>
  <c r="AK194" i="29"/>
  <c r="AK127" i="39"/>
  <c r="AK166" i="40"/>
  <c r="AD20" i="47" s="1"/>
  <c r="AK138" i="41"/>
  <c r="AD21" i="47" s="1"/>
  <c r="AK141" i="41"/>
  <c r="AK202" i="42"/>
  <c r="AD29" i="47"/>
  <c r="AK464" i="43"/>
  <c r="AD30" i="47"/>
  <c r="AD31" i="47"/>
  <c r="AD36" i="47"/>
  <c r="AK132" i="44"/>
  <c r="P29" i="39"/>
  <c r="P31" i="39"/>
  <c r="I31" i="39" s="1"/>
  <c r="P61" i="39"/>
  <c r="I61" i="39" s="1"/>
  <c r="AP69" i="39"/>
  <c r="BT69" i="39" s="1"/>
  <c r="AO179" i="40"/>
  <c r="P83" i="40"/>
  <c r="BC124" i="40"/>
  <c r="AQ133" i="40"/>
  <c r="BR133" i="40" s="1"/>
  <c r="P150" i="40"/>
  <c r="I150" i="40" s="1"/>
  <c r="AR154" i="40"/>
  <c r="BH169" i="40"/>
  <c r="J150" i="41"/>
  <c r="AS54" i="41"/>
  <c r="AQ85" i="41"/>
  <c r="BR85" i="41" s="1"/>
  <c r="BM100" i="41"/>
  <c r="BX100" i="41" s="1"/>
  <c r="AS127" i="41"/>
  <c r="X129" i="39"/>
  <c r="AH88" i="39"/>
  <c r="BM108" i="39"/>
  <c r="BX108" i="39" s="1"/>
  <c r="X171" i="40"/>
  <c r="AQ76" i="40"/>
  <c r="BR76" i="40" s="1"/>
  <c r="AQ82" i="40"/>
  <c r="BR82" i="40" s="1"/>
  <c r="AQ101" i="40"/>
  <c r="BR101" i="40" s="1"/>
  <c r="AH147" i="40"/>
  <c r="BM152" i="40"/>
  <c r="BX152" i="40" s="1"/>
  <c r="BM160" i="40"/>
  <c r="BX160" i="40" s="1"/>
  <c r="V22" i="41"/>
  <c r="AF22" i="41" s="1"/>
  <c r="AF27" i="41" s="1"/>
  <c r="J72" i="41"/>
  <c r="BM73" i="41"/>
  <c r="BX73" i="41" s="1"/>
  <c r="P76" i="41"/>
  <c r="AR119" i="41"/>
  <c r="AO124" i="41"/>
  <c r="BM131" i="41"/>
  <c r="BX131" i="41" s="1"/>
  <c r="AQ133" i="41"/>
  <c r="BR133" i="41" s="1"/>
  <c r="AY99" i="42"/>
  <c r="W138" i="42"/>
  <c r="AQ178" i="42"/>
  <c r="BR178" i="42" s="1"/>
  <c r="BK108" i="42"/>
  <c r="BY108" i="42" s="1"/>
  <c r="W135" i="42"/>
  <c r="AF168" i="42"/>
  <c r="AR168" i="42" s="1"/>
  <c r="AS196" i="42"/>
  <c r="M124" i="41"/>
  <c r="BJ141" i="41"/>
  <c r="BM53" i="39"/>
  <c r="BX53" i="39" s="1"/>
  <c r="AF103" i="39"/>
  <c r="BP103" i="39" s="1"/>
  <c r="BY108" i="39"/>
  <c r="M171" i="40"/>
  <c r="V172" i="40"/>
  <c r="AQ40" i="40"/>
  <c r="BR40" i="40" s="1"/>
  <c r="AF46" i="40"/>
  <c r="BP46" i="40" s="1"/>
  <c r="AQ61" i="40"/>
  <c r="BR61" i="40" s="1"/>
  <c r="AR63" i="40"/>
  <c r="AQ64" i="40"/>
  <c r="BR64" i="40" s="1"/>
  <c r="BM66" i="40"/>
  <c r="BX66" i="40" s="1"/>
  <c r="AQ70" i="40"/>
  <c r="BR70" i="40" s="1"/>
  <c r="AR77" i="40"/>
  <c r="AH86" i="40"/>
  <c r="AY118" i="40"/>
  <c r="BY152" i="40"/>
  <c r="V36" i="41"/>
  <c r="AR55" i="41"/>
  <c r="BT65" i="41"/>
  <c r="AQ63" i="41"/>
  <c r="BR63" i="41" s="1"/>
  <c r="BY73" i="41"/>
  <c r="BM111" i="41"/>
  <c r="BX111" i="41" s="1"/>
  <c r="BW124" i="41"/>
  <c r="N141" i="41"/>
  <c r="AF48" i="42"/>
  <c r="BP48" i="42" s="1"/>
  <c r="X52" i="42"/>
  <c r="P53" i="42"/>
  <c r="P140" i="42"/>
  <c r="AG124" i="40"/>
  <c r="BK16" i="39"/>
  <c r="BY16" i="39" s="1"/>
  <c r="P26" i="39"/>
  <c r="V136" i="39"/>
  <c r="BL136" i="39"/>
  <c r="V50" i="39"/>
  <c r="AQ53" i="39"/>
  <c r="BR53" i="39" s="1"/>
  <c r="AQ63" i="39"/>
  <c r="BR63" i="39" s="1"/>
  <c r="P70" i="39"/>
  <c r="P77" i="39"/>
  <c r="I77" i="39" s="1"/>
  <c r="AQ16" i="40"/>
  <c r="BR16" i="40" s="1"/>
  <c r="BM26" i="40"/>
  <c r="BX26" i="40" s="1"/>
  <c r="BM59" i="40"/>
  <c r="BX59" i="40" s="1"/>
  <c r="AQ109" i="40"/>
  <c r="AQ110" i="40" s="1"/>
  <c r="AP110" i="40"/>
  <c r="S118" i="40"/>
  <c r="AH121" i="40"/>
  <c r="AQ122" i="40"/>
  <c r="BR122" i="40" s="1"/>
  <c r="BK127" i="40"/>
  <c r="P139" i="40"/>
  <c r="P147" i="40"/>
  <c r="AO155" i="40"/>
  <c r="BS22" i="41"/>
  <c r="P88" i="41"/>
  <c r="P123" i="41"/>
  <c r="P131" i="41"/>
  <c r="P91" i="42"/>
  <c r="AQ128" i="42"/>
  <c r="BR128" i="42" s="1"/>
  <c r="P151" i="42"/>
  <c r="BM170" i="42"/>
  <c r="BX170" i="42" s="1"/>
  <c r="AQ186" i="42"/>
  <c r="BR186" i="42" s="1"/>
  <c r="S212" i="42"/>
  <c r="P48" i="42"/>
  <c r="P101" i="42"/>
  <c r="S99" i="42"/>
  <c r="P168" i="42"/>
  <c r="P189" i="42"/>
  <c r="I189" i="42" s="1"/>
  <c r="S156" i="42"/>
  <c r="S148" i="42"/>
  <c r="P113" i="42"/>
  <c r="AG154" i="42"/>
  <c r="BQ154" i="42" s="1"/>
  <c r="AH23" i="42"/>
  <c r="Q151" i="42"/>
  <c r="AH176" i="42"/>
  <c r="S138" i="42"/>
  <c r="P49" i="42"/>
  <c r="I49" i="42" s="1"/>
  <c r="AQ117" i="42"/>
  <c r="BR117" i="42" s="1"/>
  <c r="J138" i="42"/>
  <c r="BM182" i="42"/>
  <c r="BX182" i="42" s="1"/>
  <c r="BM186" i="42"/>
  <c r="BX186" i="42" s="1"/>
  <c r="S166" i="42"/>
  <c r="S135" i="42"/>
  <c r="S37" i="42"/>
  <c r="S29" i="42"/>
  <c r="S21" i="42"/>
  <c r="AQ24" i="42"/>
  <c r="BR24" i="42" s="1"/>
  <c r="AY115" i="42"/>
  <c r="BM119" i="42"/>
  <c r="BX119" i="42" s="1"/>
  <c r="AY138" i="42"/>
  <c r="BK166" i="42"/>
  <c r="P169" i="42"/>
  <c r="I169" i="42" s="1"/>
  <c r="S121" i="42"/>
  <c r="S89" i="42"/>
  <c r="S44" i="42"/>
  <c r="AY40" i="42"/>
  <c r="AR92" i="42"/>
  <c r="M135" i="42"/>
  <c r="P136" i="42"/>
  <c r="AQ17" i="42"/>
  <c r="BR17" i="42" s="1"/>
  <c r="AQ27" i="42"/>
  <c r="BR27" i="42" s="1"/>
  <c r="P34" i="42"/>
  <c r="AO44" i="42"/>
  <c r="P42" i="42"/>
  <c r="AO46" i="42"/>
  <c r="AS87" i="42"/>
  <c r="BM157" i="42"/>
  <c r="BX157" i="42" s="1"/>
  <c r="P159" i="42"/>
  <c r="AS175" i="42"/>
  <c r="AR177" i="42"/>
  <c r="AQ12" i="42"/>
  <c r="BR12" i="42" s="1"/>
  <c r="AS54" i="42"/>
  <c r="P25" i="41"/>
  <c r="AH52" i="41"/>
  <c r="AU52" i="41" s="1"/>
  <c r="BQ70" i="41"/>
  <c r="Q66" i="41"/>
  <c r="AQ70" i="41"/>
  <c r="BR70" i="41" s="1"/>
  <c r="BK83" i="41"/>
  <c r="AQ113" i="41"/>
  <c r="BR113" i="41" s="1"/>
  <c r="Q131" i="41"/>
  <c r="BM51" i="41"/>
  <c r="BX51" i="41" s="1"/>
  <c r="AS91" i="41"/>
  <c r="P106" i="41"/>
  <c r="I106" i="41" s="1"/>
  <c r="AS115" i="41"/>
  <c r="S150" i="41"/>
  <c r="BK150" i="41"/>
  <c r="AY29" i="41"/>
  <c r="AS37" i="41"/>
  <c r="P54" i="41"/>
  <c r="I54" i="41" s="1"/>
  <c r="P74" i="41"/>
  <c r="I74" i="41" s="1"/>
  <c r="AS123" i="41"/>
  <c r="BM129" i="41"/>
  <c r="BX129" i="41" s="1"/>
  <c r="P133" i="41"/>
  <c r="P23" i="41"/>
  <c r="I23" i="41" s="1"/>
  <c r="AH34" i="41"/>
  <c r="AQ37" i="41"/>
  <c r="BR37" i="41" s="1"/>
  <c r="BM76" i="41"/>
  <c r="BX76" i="41" s="1"/>
  <c r="AC141" i="41"/>
  <c r="AR63" i="41"/>
  <c r="AH63" i="41"/>
  <c r="BP44" i="41"/>
  <c r="AH44" i="41"/>
  <c r="AU44" i="41" s="1"/>
  <c r="P15" i="41"/>
  <c r="I15" i="41" s="1"/>
  <c r="AY148" i="41"/>
  <c r="P18" i="41"/>
  <c r="I18" i="41" s="1"/>
  <c r="M21" i="41"/>
  <c r="AY149" i="41"/>
  <c r="AR26" i="41"/>
  <c r="BP34" i="41"/>
  <c r="BZ43" i="41"/>
  <c r="AS55" i="41"/>
  <c r="BM56" i="41"/>
  <c r="BX56" i="41" s="1"/>
  <c r="AQ59" i="41"/>
  <c r="AY61" i="41"/>
  <c r="M65" i="41"/>
  <c r="AQ67" i="41"/>
  <c r="BR67" i="41" s="1"/>
  <c r="P68" i="41"/>
  <c r="I68" i="41" s="1"/>
  <c r="AQ68" i="41"/>
  <c r="BR68" i="41" s="1"/>
  <c r="AQ77" i="41"/>
  <c r="BR77" i="41" s="1"/>
  <c r="S87" i="41"/>
  <c r="P91" i="41"/>
  <c r="I91" i="41" s="1"/>
  <c r="AS92" i="41"/>
  <c r="BM92" i="41"/>
  <c r="BX92" i="41" s="1"/>
  <c r="AS94" i="41"/>
  <c r="BM99" i="41"/>
  <c r="BX99" i="41" s="1"/>
  <c r="P109" i="41"/>
  <c r="I109" i="41" s="1"/>
  <c r="S120" i="41"/>
  <c r="AR114" i="41"/>
  <c r="AQ119" i="41"/>
  <c r="BR119" i="41" s="1"/>
  <c r="Q28" i="41"/>
  <c r="Q150" i="41" s="1"/>
  <c r="J36" i="41"/>
  <c r="AF30" i="41"/>
  <c r="AF36" i="41" s="1"/>
  <c r="V61" i="41"/>
  <c r="AR68" i="41"/>
  <c r="BM69" i="41"/>
  <c r="BX69" i="41" s="1"/>
  <c r="P102" i="41"/>
  <c r="AQ102" i="41"/>
  <c r="BR102" i="41" s="1"/>
  <c r="AQ103" i="41"/>
  <c r="BR103" i="41" s="1"/>
  <c r="AQ108" i="41"/>
  <c r="BR108" i="41" s="1"/>
  <c r="V120" i="41"/>
  <c r="BM127" i="41"/>
  <c r="BX127" i="41" s="1"/>
  <c r="T141" i="41"/>
  <c r="AM141" i="41"/>
  <c r="BB141" i="41"/>
  <c r="BE141" i="41"/>
  <c r="AO16" i="41"/>
  <c r="AR19" i="41"/>
  <c r="AY79" i="41"/>
  <c r="M83" i="41"/>
  <c r="M87" i="41"/>
  <c r="AP105" i="41"/>
  <c r="V97" i="41"/>
  <c r="BM13" i="41"/>
  <c r="BX13" i="41" s="1"/>
  <c r="AG149" i="41"/>
  <c r="AQ24" i="41"/>
  <c r="BR24" i="41" s="1"/>
  <c r="Q30" i="41"/>
  <c r="P32" i="41"/>
  <c r="I32" i="41" s="1"/>
  <c r="AQ55" i="41"/>
  <c r="BR55" i="41" s="1"/>
  <c r="AR64" i="41"/>
  <c r="AS68" i="41"/>
  <c r="BM77" i="41"/>
  <c r="BX77" i="41" s="1"/>
  <c r="AQ94" i="41"/>
  <c r="BR94" i="41" s="1"/>
  <c r="P95" i="41"/>
  <c r="I95" i="41" s="1"/>
  <c r="AQ95" i="41"/>
  <c r="BR95" i="41" s="1"/>
  <c r="AR103" i="41"/>
  <c r="BM119" i="41"/>
  <c r="BX119" i="41" s="1"/>
  <c r="BH141" i="41"/>
  <c r="BQ91" i="41"/>
  <c r="AY145" i="41"/>
  <c r="BM40" i="41"/>
  <c r="BX40" i="41" s="1"/>
  <c r="AQ47" i="41"/>
  <c r="BR47" i="41" s="1"/>
  <c r="AR51" i="41"/>
  <c r="BM57" i="41"/>
  <c r="BX57" i="41" s="1"/>
  <c r="BL61" i="41"/>
  <c r="AQ75" i="41"/>
  <c r="BR75" i="41" s="1"/>
  <c r="BM84" i="41"/>
  <c r="BX84" i="41" s="1"/>
  <c r="P86" i="41"/>
  <c r="M97" i="41"/>
  <c r="S97" i="41"/>
  <c r="BM96" i="41"/>
  <c r="BX96" i="41" s="1"/>
  <c r="BZ104" i="41"/>
  <c r="BZ151" i="41" s="1"/>
  <c r="AH107" i="41"/>
  <c r="AQ115" i="41"/>
  <c r="BR115" i="41" s="1"/>
  <c r="BM118" i="41"/>
  <c r="BX118" i="41" s="1"/>
  <c r="BS119" i="41"/>
  <c r="AE141" i="41"/>
  <c r="AX141" i="41"/>
  <c r="BD141" i="41"/>
  <c r="W19" i="40"/>
  <c r="BM48" i="40"/>
  <c r="BX48" i="40" s="1"/>
  <c r="BK178" i="40"/>
  <c r="P72" i="40"/>
  <c r="I72" i="40" s="1"/>
  <c r="AY92" i="40"/>
  <c r="P111" i="40"/>
  <c r="M127" i="40"/>
  <c r="M130" i="40"/>
  <c r="AH134" i="40"/>
  <c r="BM138" i="40"/>
  <c r="BX138" i="40" s="1"/>
  <c r="BM146" i="40"/>
  <c r="BX146" i="40" s="1"/>
  <c r="BZ24" i="40"/>
  <c r="BZ25" i="40" s="1"/>
  <c r="BL44" i="40"/>
  <c r="AQ43" i="40"/>
  <c r="BR43" i="40" s="1"/>
  <c r="Q125" i="40"/>
  <c r="S130" i="40"/>
  <c r="AQ132" i="40"/>
  <c r="BR132" i="40" s="1"/>
  <c r="AS136" i="40"/>
  <c r="P149" i="40"/>
  <c r="I149" i="40" s="1"/>
  <c r="AR159" i="40"/>
  <c r="BJ169" i="40"/>
  <c r="AW169" i="40"/>
  <c r="BZ19" i="40"/>
  <c r="S19" i="40"/>
  <c r="BK23" i="40"/>
  <c r="AS56" i="40"/>
  <c r="AR78" i="40"/>
  <c r="BL92" i="40"/>
  <c r="BZ114" i="40"/>
  <c r="AS120" i="40"/>
  <c r="AO137" i="40"/>
  <c r="AQ145" i="40"/>
  <c r="BR145" i="40" s="1"/>
  <c r="AS153" i="40"/>
  <c r="BL15" i="40"/>
  <c r="AY179" i="40"/>
  <c r="AH50" i="40"/>
  <c r="AU50" i="40" s="1"/>
  <c r="BM64" i="40"/>
  <c r="BX64" i="40" s="1"/>
  <c r="BM93" i="40"/>
  <c r="BX93" i="40" s="1"/>
  <c r="P99" i="40"/>
  <c r="S108" i="40"/>
  <c r="AQ112" i="40"/>
  <c r="BR112" i="40" s="1"/>
  <c r="P129" i="40"/>
  <c r="I134" i="40"/>
  <c r="BM136" i="40"/>
  <c r="BX136" i="40" s="1"/>
  <c r="W23" i="40"/>
  <c r="BY20" i="40"/>
  <c r="BY23" i="40" s="1"/>
  <c r="S179" i="40"/>
  <c r="AP178" i="40"/>
  <c r="P62" i="40"/>
  <c r="AQ87" i="40"/>
  <c r="BR87" i="40" s="1"/>
  <c r="AQ89" i="40"/>
  <c r="BR89" i="40" s="1"/>
  <c r="P96" i="40"/>
  <c r="I96" i="40" s="1"/>
  <c r="AQ126" i="40"/>
  <c r="BR126" i="40" s="1"/>
  <c r="BM154" i="40"/>
  <c r="BX154" i="40" s="1"/>
  <c r="AQ159" i="40"/>
  <c r="BR159" i="40" s="1"/>
  <c r="AS149" i="40"/>
  <c r="BQ149" i="40"/>
  <c r="AS163" i="40"/>
  <c r="BQ163" i="40"/>
  <c r="AS154" i="40"/>
  <c r="BQ154" i="40"/>
  <c r="AY74" i="40"/>
  <c r="BL74" i="40"/>
  <c r="BS80" i="40"/>
  <c r="AQ99" i="40"/>
  <c r="BR99" i="40" s="1"/>
  <c r="P120" i="40"/>
  <c r="I120" i="40" s="1"/>
  <c r="P126" i="40"/>
  <c r="BT161" i="40"/>
  <c r="P159" i="40"/>
  <c r="I159" i="40" s="1"/>
  <c r="T169" i="40"/>
  <c r="AB169" i="40"/>
  <c r="BI169" i="40"/>
  <c r="BE169" i="40"/>
  <c r="K169" i="40"/>
  <c r="U169" i="40"/>
  <c r="AC169" i="40"/>
  <c r="BD169" i="40"/>
  <c r="Y169" i="40"/>
  <c r="AE169" i="40"/>
  <c r="AX169" i="40"/>
  <c r="AA169" i="40"/>
  <c r="AY19" i="40"/>
  <c r="AO19" i="40"/>
  <c r="M23" i="40"/>
  <c r="M179" i="40"/>
  <c r="BL172" i="40"/>
  <c r="BT40" i="40"/>
  <c r="AS41" i="40"/>
  <c r="AG52" i="40"/>
  <c r="AG53" i="40" s="1"/>
  <c r="BM84" i="40"/>
  <c r="BX84" i="40" s="1"/>
  <c r="BM91" i="40"/>
  <c r="BX91" i="40" s="1"/>
  <c r="W114" i="40"/>
  <c r="BL118" i="40"/>
  <c r="AH122" i="40"/>
  <c r="BZ127" i="40"/>
  <c r="Q129" i="40"/>
  <c r="Q130" i="40" s="1"/>
  <c r="BM135" i="40"/>
  <c r="BX135" i="40" s="1"/>
  <c r="Q147" i="40"/>
  <c r="AH148" i="40"/>
  <c r="BM148" i="40"/>
  <c r="BX148" i="40" s="1"/>
  <c r="AQ157" i="40"/>
  <c r="BR157" i="40" s="1"/>
  <c r="Q165" i="40"/>
  <c r="BK19" i="40"/>
  <c r="Q24" i="40"/>
  <c r="Q25" i="40" s="1"/>
  <c r="BY26" i="40"/>
  <c r="AH34" i="40"/>
  <c r="AQ37" i="40"/>
  <c r="BR37" i="40" s="1"/>
  <c r="AQ42" i="40"/>
  <c r="BR42" i="40" s="1"/>
  <c r="BS61" i="40"/>
  <c r="BS64" i="40"/>
  <c r="BM101" i="40"/>
  <c r="BX101" i="40" s="1"/>
  <c r="AQ105" i="40"/>
  <c r="BR105" i="40" s="1"/>
  <c r="Q111" i="40"/>
  <c r="AP114" i="40"/>
  <c r="BS112" i="40"/>
  <c r="AQ113" i="40"/>
  <c r="BR113" i="40" s="1"/>
  <c r="P119" i="40"/>
  <c r="BM120" i="40"/>
  <c r="BX120" i="40" s="1"/>
  <c r="BS122" i="40"/>
  <c r="BM125" i="40"/>
  <c r="BX125" i="40" s="1"/>
  <c r="BS143" i="40"/>
  <c r="AH149" i="40"/>
  <c r="AU149" i="40" s="1"/>
  <c r="V161" i="40"/>
  <c r="S161" i="40"/>
  <c r="BM158" i="40"/>
  <c r="BX158" i="40" s="1"/>
  <c r="AQ164" i="40"/>
  <c r="BR164" i="40" s="1"/>
  <c r="P16" i="40"/>
  <c r="I16" i="40" s="1"/>
  <c r="AO25" i="40"/>
  <c r="AS49" i="40"/>
  <c r="J178" i="40"/>
  <c r="W53" i="40"/>
  <c r="AQ66" i="40"/>
  <c r="BR66" i="40" s="1"/>
  <c r="AH99" i="40"/>
  <c r="BW125" i="40"/>
  <c r="BW127" i="40" s="1"/>
  <c r="AQ27" i="40"/>
  <c r="BR27" i="40" s="1"/>
  <c r="P36" i="40"/>
  <c r="S44" i="40"/>
  <c r="AQ48" i="40"/>
  <c r="BR48" i="40" s="1"/>
  <c r="AQ59" i="40"/>
  <c r="BR59" i="40" s="1"/>
  <c r="BM73" i="40"/>
  <c r="BX73" i="40" s="1"/>
  <c r="BM75" i="40"/>
  <c r="BX75" i="40" s="1"/>
  <c r="BS77" i="40"/>
  <c r="BW89" i="40"/>
  <c r="BW92" i="40" s="1"/>
  <c r="P94" i="40"/>
  <c r="W102" i="40"/>
  <c r="BL102" i="40"/>
  <c r="BK114" i="40"/>
  <c r="AQ117" i="40"/>
  <c r="BR117" i="40" s="1"/>
  <c r="BY125" i="40"/>
  <c r="BM126" i="40"/>
  <c r="BX126" i="40" s="1"/>
  <c r="P135" i="40"/>
  <c r="I135" i="40" s="1"/>
  <c r="BQ140" i="40"/>
  <c r="AQ142" i="40"/>
  <c r="BR142" i="40" s="1"/>
  <c r="I148" i="40"/>
  <c r="BM156" i="40"/>
  <c r="BX156" i="40" s="1"/>
  <c r="O169" i="40"/>
  <c r="Z169" i="40"/>
  <c r="BB169" i="40"/>
  <c r="V130" i="39"/>
  <c r="AH120" i="39"/>
  <c r="Q26" i="39"/>
  <c r="AS28" i="39"/>
  <c r="BM101" i="39"/>
  <c r="BX101" i="39" s="1"/>
  <c r="S118" i="39"/>
  <c r="AX127" i="39"/>
  <c r="AO137" i="39"/>
  <c r="AP56" i="39"/>
  <c r="AF57" i="39"/>
  <c r="AR57" i="39" s="1"/>
  <c r="BW57" i="39"/>
  <c r="BW58" i="39" s="1"/>
  <c r="AR122" i="39"/>
  <c r="P12" i="39"/>
  <c r="P13" i="39" s="1"/>
  <c r="AR19" i="39"/>
  <c r="BM26" i="39"/>
  <c r="BX26" i="39" s="1"/>
  <c r="AF43" i="39"/>
  <c r="AF44" i="39" s="1"/>
  <c r="BY43" i="39"/>
  <c r="BY44" i="39" s="1"/>
  <c r="AR53" i="39"/>
  <c r="P55" i="39"/>
  <c r="AQ76" i="39"/>
  <c r="BR76" i="39" s="1"/>
  <c r="AQ83" i="39"/>
  <c r="BR83" i="39" s="1"/>
  <c r="AR84" i="39"/>
  <c r="BM97" i="39"/>
  <c r="BX97" i="39" s="1"/>
  <c r="P106" i="39"/>
  <c r="BY115" i="39"/>
  <c r="M128" i="39"/>
  <c r="AH29" i="39"/>
  <c r="AU29" i="39" s="1"/>
  <c r="M72" i="39"/>
  <c r="BZ79" i="39"/>
  <c r="P75" i="39"/>
  <c r="I75" i="39" s="1"/>
  <c r="P82" i="39"/>
  <c r="AQ82" i="39"/>
  <c r="BR82" i="39" s="1"/>
  <c r="AQ97" i="39"/>
  <c r="BR97" i="39" s="1"/>
  <c r="BQ81" i="39"/>
  <c r="AS81" i="39"/>
  <c r="AR39" i="39"/>
  <c r="AH39" i="39"/>
  <c r="P33" i="39"/>
  <c r="I33" i="39" s="1"/>
  <c r="AO136" i="39"/>
  <c r="AO46" i="39"/>
  <c r="AF47" i="39"/>
  <c r="AR47" i="39" s="1"/>
  <c r="AS62" i="39"/>
  <c r="P81" i="39"/>
  <c r="I81" i="39" s="1"/>
  <c r="BK86" i="39"/>
  <c r="W114" i="39"/>
  <c r="BT118" i="39"/>
  <c r="BF127" i="39"/>
  <c r="AD127" i="39"/>
  <c r="R127" i="39"/>
  <c r="BL13" i="39"/>
  <c r="AS41" i="39"/>
  <c r="M136" i="39"/>
  <c r="AQ49" i="39"/>
  <c r="BR49" i="39" s="1"/>
  <c r="BM60" i="39"/>
  <c r="BX60" i="39" s="1"/>
  <c r="AQ68" i="39"/>
  <c r="BR68" i="39" s="1"/>
  <c r="AH75" i="39"/>
  <c r="AU75" i="39" s="1"/>
  <c r="BS76" i="39"/>
  <c r="M100" i="39"/>
  <c r="BM96" i="39"/>
  <c r="BX96" i="39" s="1"/>
  <c r="P105" i="39"/>
  <c r="P116" i="39"/>
  <c r="I116" i="39" s="1"/>
  <c r="AQ116" i="39"/>
  <c r="BR116" i="39" s="1"/>
  <c r="AQ117" i="39"/>
  <c r="BR117" i="39" s="1"/>
  <c r="BM119" i="39"/>
  <c r="BX119" i="39" s="1"/>
  <c r="P41" i="39"/>
  <c r="I41" i="39" s="1"/>
  <c r="V44" i="39"/>
  <c r="AH53" i="39"/>
  <c r="AU53" i="39" s="1"/>
  <c r="AS82" i="39"/>
  <c r="S100" i="39"/>
  <c r="AQ29" i="39"/>
  <c r="BR29" i="39" s="1"/>
  <c r="BY35" i="39"/>
  <c r="AQ55" i="39"/>
  <c r="BR55" i="39" s="1"/>
  <c r="AQ60" i="39"/>
  <c r="BR60" i="39" s="1"/>
  <c r="V86" i="39"/>
  <c r="Q105" i="39"/>
  <c r="AQ109" i="39"/>
  <c r="BR109" i="39" s="1"/>
  <c r="AQ111" i="39"/>
  <c r="BR111" i="39" s="1"/>
  <c r="AP118" i="39"/>
  <c r="BY119" i="39"/>
  <c r="BY26" i="39"/>
  <c r="W46" i="39"/>
  <c r="AQ54" i="39"/>
  <c r="BR54" i="39" s="1"/>
  <c r="AG57" i="39"/>
  <c r="BQ57" i="39" s="1"/>
  <c r="BQ58" i="39" s="1"/>
  <c r="BM57" i="39"/>
  <c r="BM58" i="39" s="1"/>
  <c r="BM68" i="39"/>
  <c r="BX68" i="39" s="1"/>
  <c r="BM74" i="39"/>
  <c r="BX74" i="39" s="1"/>
  <c r="AQ78" i="39"/>
  <c r="BR78" i="39" s="1"/>
  <c r="AQ121" i="39"/>
  <c r="BR121" i="39" s="1"/>
  <c r="P122" i="39"/>
  <c r="O127" i="39"/>
  <c r="AA127" i="39"/>
  <c r="BA127" i="39"/>
  <c r="BJ127" i="39"/>
  <c r="AL127" i="39"/>
  <c r="BI127" i="39"/>
  <c r="Y127" i="39"/>
  <c r="BG127" i="39"/>
  <c r="BP27" i="39"/>
  <c r="AH27" i="39"/>
  <c r="AR63" i="39"/>
  <c r="BP63" i="39"/>
  <c r="AS87" i="39"/>
  <c r="BQ87" i="39"/>
  <c r="AS106" i="39"/>
  <c r="BQ106" i="39"/>
  <c r="AH17" i="40"/>
  <c r="AR17" i="40"/>
  <c r="BM27" i="39"/>
  <c r="BX27" i="39" s="1"/>
  <c r="BY27" i="39"/>
  <c r="BM33" i="39"/>
  <c r="BX33" i="39" s="1"/>
  <c r="BZ33" i="39"/>
  <c r="BQ83" i="39"/>
  <c r="AS83" i="39"/>
  <c r="Q112" i="39"/>
  <c r="Q114" i="39" s="1"/>
  <c r="BT34" i="40"/>
  <c r="AQ34" i="40"/>
  <c r="BR34" i="40" s="1"/>
  <c r="BP49" i="41"/>
  <c r="AH49" i="41"/>
  <c r="BZ17" i="39"/>
  <c r="BM17" i="39"/>
  <c r="BX17" i="39" s="1"/>
  <c r="BS21" i="39"/>
  <c r="AQ21" i="39"/>
  <c r="BR21" i="39" s="1"/>
  <c r="Q34" i="39"/>
  <c r="Q45" i="39"/>
  <c r="Q46" i="39" s="1"/>
  <c r="P45" i="39"/>
  <c r="BT48" i="39"/>
  <c r="BT50" i="39" s="1"/>
  <c r="AQ48" i="39"/>
  <c r="BR48" i="39" s="1"/>
  <c r="AS51" i="39"/>
  <c r="BQ51" i="39"/>
  <c r="AH105" i="39"/>
  <c r="AG113" i="39"/>
  <c r="AG135" i="39" s="1"/>
  <c r="Q176" i="40"/>
  <c r="AO177" i="40"/>
  <c r="AQ30" i="40"/>
  <c r="BR30" i="40" s="1"/>
  <c r="W44" i="40"/>
  <c r="AG39" i="40"/>
  <c r="AG44" i="40" s="1"/>
  <c r="AR49" i="39"/>
  <c r="BP49" i="39"/>
  <c r="AH49" i="39"/>
  <c r="Q51" i="39"/>
  <c r="BM70" i="39"/>
  <c r="BX70" i="39" s="1"/>
  <c r="AF80" i="39"/>
  <c r="AQ96" i="39"/>
  <c r="BR96" i="39" s="1"/>
  <c r="BM102" i="39"/>
  <c r="BX102" i="39" s="1"/>
  <c r="P112" i="39"/>
  <c r="BP21" i="40"/>
  <c r="AH21" i="40"/>
  <c r="AS18" i="41"/>
  <c r="BQ18" i="41"/>
  <c r="AQ23" i="41"/>
  <c r="BR23" i="41" s="1"/>
  <c r="BS23" i="41"/>
  <c r="BZ16" i="39"/>
  <c r="AS40" i="39"/>
  <c r="BQ40" i="39"/>
  <c r="M134" i="39"/>
  <c r="P17" i="39"/>
  <c r="I17" i="39" s="1"/>
  <c r="AH23" i="39"/>
  <c r="AF12" i="40"/>
  <c r="AH12" i="40" s="1"/>
  <c r="V15" i="40"/>
  <c r="AF176" i="40"/>
  <c r="AG19" i="40"/>
  <c r="BM16" i="40"/>
  <c r="BX16" i="40" s="1"/>
  <c r="BP18" i="40"/>
  <c r="AR18" i="40"/>
  <c r="AH22" i="40"/>
  <c r="BK179" i="40"/>
  <c r="BK25" i="40"/>
  <c r="AI171" i="40"/>
  <c r="V26" i="40"/>
  <c r="AF26" i="40" s="1"/>
  <c r="AQ26" i="40"/>
  <c r="BR26" i="40" s="1"/>
  <c r="BP29" i="40"/>
  <c r="AH29" i="40"/>
  <c r="BZ46" i="40"/>
  <c r="BM46" i="40"/>
  <c r="BX46" i="40" s="1"/>
  <c r="BZ65" i="40"/>
  <c r="BZ67" i="40" s="1"/>
  <c r="BM65" i="40"/>
  <c r="BX65" i="40" s="1"/>
  <c r="AY130" i="40"/>
  <c r="BW129" i="40"/>
  <c r="BW130" i="40" s="1"/>
  <c r="BY132" i="40"/>
  <c r="BM132" i="40"/>
  <c r="BX132" i="40" s="1"/>
  <c r="AS135" i="40"/>
  <c r="BQ135" i="40"/>
  <c r="AH135" i="40"/>
  <c r="AH136" i="40"/>
  <c r="AU136" i="40" s="1"/>
  <c r="BP136" i="40"/>
  <c r="AP36" i="39"/>
  <c r="AS31" i="39"/>
  <c r="P90" i="39"/>
  <c r="I90" i="39" s="1"/>
  <c r="BQ95" i="39"/>
  <c r="AS95" i="39"/>
  <c r="AS112" i="39"/>
  <c r="BQ112" i="39"/>
  <c r="BY54" i="40"/>
  <c r="BM54" i="40"/>
  <c r="BX54" i="40" s="1"/>
  <c r="BQ57" i="40"/>
  <c r="AH57" i="40"/>
  <c r="AU57" i="40" s="1"/>
  <c r="BT39" i="41"/>
  <c r="AQ39" i="41"/>
  <c r="BR39" i="41" s="1"/>
  <c r="Q45" i="41"/>
  <c r="P45" i="41"/>
  <c r="Q22" i="39"/>
  <c r="BL23" i="40"/>
  <c r="BM20" i="40"/>
  <c r="BX20" i="40" s="1"/>
  <c r="BP41" i="40"/>
  <c r="AH41" i="40"/>
  <c r="BY72" i="40"/>
  <c r="BM72" i="40"/>
  <c r="BX72" i="40" s="1"/>
  <c r="BL130" i="41"/>
  <c r="BZ125" i="41"/>
  <c r="BZ130" i="41" s="1"/>
  <c r="BT15" i="39"/>
  <c r="AQ15" i="39"/>
  <c r="BR15" i="39" s="1"/>
  <c r="P21" i="39"/>
  <c r="I21" i="39" s="1"/>
  <c r="BQ29" i="39"/>
  <c r="AS29" i="39"/>
  <c r="P40" i="39"/>
  <c r="I40" i="39" s="1"/>
  <c r="BP41" i="39"/>
  <c r="AR41" i="39"/>
  <c r="AT41" i="39" s="1"/>
  <c r="AY46" i="39"/>
  <c r="BW45" i="39"/>
  <c r="BW46" i="39" s="1"/>
  <c r="BY68" i="39"/>
  <c r="BP104" i="39"/>
  <c r="AR104" i="39"/>
  <c r="Q115" i="39"/>
  <c r="Q118" i="39" s="1"/>
  <c r="P115" i="39"/>
  <c r="BM143" i="40"/>
  <c r="BX143" i="40" s="1"/>
  <c r="BY143" i="40"/>
  <c r="AM169" i="40"/>
  <c r="AQ16" i="39"/>
  <c r="BR16" i="39" s="1"/>
  <c r="BK50" i="39"/>
  <c r="BM47" i="39"/>
  <c r="BX47" i="39" s="1"/>
  <c r="BM52" i="39"/>
  <c r="BX52" i="39" s="1"/>
  <c r="AS55" i="39"/>
  <c r="AP65" i="39"/>
  <c r="AQ59" i="39"/>
  <c r="BR59" i="39" s="1"/>
  <c r="BP62" i="39"/>
  <c r="AR62" i="39"/>
  <c r="AQ67" i="39"/>
  <c r="BR67" i="39" s="1"/>
  <c r="AQ71" i="39"/>
  <c r="BR71" i="39" s="1"/>
  <c r="BS71" i="39"/>
  <c r="P80" i="39"/>
  <c r="Q80" i="39"/>
  <c r="AQ98" i="39"/>
  <c r="BR98" i="39" s="1"/>
  <c r="AS102" i="39"/>
  <c r="BT102" i="39"/>
  <c r="P109" i="39"/>
  <c r="I109" i="39" s="1"/>
  <c r="P113" i="39"/>
  <c r="I113" i="39" s="1"/>
  <c r="BS122" i="39"/>
  <c r="AQ122" i="39"/>
  <c r="BR122" i="39" s="1"/>
  <c r="U127" i="39"/>
  <c r="J137" i="39"/>
  <c r="AF12" i="39"/>
  <c r="AR12" i="39" s="1"/>
  <c r="M13" i="39"/>
  <c r="W128" i="39"/>
  <c r="W18" i="39"/>
  <c r="W30" i="39"/>
  <c r="AQ28" i="39"/>
  <c r="BR28" i="39" s="1"/>
  <c r="BC129" i="39"/>
  <c r="BC36" i="39"/>
  <c r="BK32" i="39"/>
  <c r="BY32" i="39" s="1"/>
  <c r="BM34" i="39"/>
  <c r="BX34" i="39" s="1"/>
  <c r="AO42" i="39"/>
  <c r="BZ45" i="39"/>
  <c r="BZ46" i="39" s="1"/>
  <c r="BL46" i="39"/>
  <c r="P51" i="39"/>
  <c r="P52" i="39"/>
  <c r="I52" i="39" s="1"/>
  <c r="BY62" i="39"/>
  <c r="BM62" i="39"/>
  <c r="BX62" i="39" s="1"/>
  <c r="AW72" i="39"/>
  <c r="AQ73" i="39"/>
  <c r="BR73" i="39" s="1"/>
  <c r="AP79" i="39"/>
  <c r="S93" i="39"/>
  <c r="AS105" i="39"/>
  <c r="AH112" i="39"/>
  <c r="BM112" i="39"/>
  <c r="BX112" i="39" s="1"/>
  <c r="BY112" i="39"/>
  <c r="AS121" i="39"/>
  <c r="AS12" i="40"/>
  <c r="BQ12" i="40"/>
  <c r="BY16" i="40"/>
  <c r="BY19" i="40" s="1"/>
  <c r="M174" i="40"/>
  <c r="P28" i="40"/>
  <c r="P174" i="40" s="1"/>
  <c r="M172" i="40"/>
  <c r="P33" i="40"/>
  <c r="I33" i="40" s="1"/>
  <c r="BW38" i="40"/>
  <c r="AH35" i="40"/>
  <c r="AQ41" i="40"/>
  <c r="BR41" i="40" s="1"/>
  <c r="BT41" i="40"/>
  <c r="AP51" i="40"/>
  <c r="AQ45" i="40"/>
  <c r="BR45" i="40" s="1"/>
  <c r="I62" i="40"/>
  <c r="BY76" i="40"/>
  <c r="BM76" i="40"/>
  <c r="BX76" i="40" s="1"/>
  <c r="BK118" i="40"/>
  <c r="BY116" i="40"/>
  <c r="BY118" i="40" s="1"/>
  <c r="BM116" i="40"/>
  <c r="BX116" i="40" s="1"/>
  <c r="AS125" i="40"/>
  <c r="BQ125" i="40"/>
  <c r="BQ127" i="40" s="1"/>
  <c r="AH125" i="40"/>
  <c r="AU125" i="40" s="1"/>
  <c r="BP28" i="39"/>
  <c r="AH28" i="39"/>
  <c r="AU28" i="39" s="1"/>
  <c r="M36" i="39"/>
  <c r="BT57" i="39"/>
  <c r="BT58" i="39" s="1"/>
  <c r="AP58" i="39"/>
  <c r="BP121" i="39"/>
  <c r="AH121" i="39"/>
  <c r="AQ62" i="40"/>
  <c r="BR62" i="40" s="1"/>
  <c r="BT62" i="40"/>
  <c r="BT67" i="40" s="1"/>
  <c r="Q153" i="40"/>
  <c r="P153" i="40"/>
  <c r="BM75" i="39"/>
  <c r="BX75" i="39" s="1"/>
  <c r="BY75" i="39"/>
  <c r="AS40" i="40"/>
  <c r="BQ40" i="40"/>
  <c r="AS71" i="40"/>
  <c r="BQ71" i="40"/>
  <c r="BQ17" i="39"/>
  <c r="AS17" i="39"/>
  <c r="BQ28" i="39"/>
  <c r="BY41" i="39"/>
  <c r="BM41" i="39"/>
  <c r="BX41" i="39" s="1"/>
  <c r="AG50" i="39"/>
  <c r="AS47" i="39"/>
  <c r="Q99" i="39"/>
  <c r="P99" i="39"/>
  <c r="AB127" i="39"/>
  <c r="AH79" i="40"/>
  <c r="BP79" i="40"/>
  <c r="AR143" i="40"/>
  <c r="BP143" i="40"/>
  <c r="BK137" i="39"/>
  <c r="BK13" i="39"/>
  <c r="P22" i="39"/>
  <c r="Q28" i="39"/>
  <c r="P28" i="39"/>
  <c r="P34" i="39"/>
  <c r="AH35" i="39"/>
  <c r="AU35" i="39" s="1"/>
  <c r="Q38" i="39"/>
  <c r="AH38" i="39"/>
  <c r="BM38" i="39"/>
  <c r="BX38" i="39" s="1"/>
  <c r="AH41" i="39"/>
  <c r="BS94" i="39"/>
  <c r="AQ94" i="39"/>
  <c r="BR94" i="39" s="1"/>
  <c r="BD127" i="39"/>
  <c r="BM12" i="39"/>
  <c r="BM13" i="39" s="1"/>
  <c r="BZ22" i="39"/>
  <c r="BM22" i="39"/>
  <c r="BX22" i="39" s="1"/>
  <c r="AO30" i="39"/>
  <c r="P38" i="39"/>
  <c r="BM39" i="39"/>
  <c r="BX39" i="39" s="1"/>
  <c r="BY51" i="39"/>
  <c r="BK56" i="39"/>
  <c r="AH62" i="39"/>
  <c r="AU62" i="39" s="1"/>
  <c r="Q64" i="39"/>
  <c r="AR78" i="39"/>
  <c r="BW80" i="39"/>
  <c r="BW86" i="39" s="1"/>
  <c r="AY86" i="39"/>
  <c r="AR87" i="39"/>
  <c r="BP87" i="39"/>
  <c r="AR95" i="39"/>
  <c r="AH104" i="39"/>
  <c r="AQ110" i="39"/>
  <c r="BR110" i="39" s="1"/>
  <c r="I111" i="39"/>
  <c r="AH115" i="39"/>
  <c r="W118" i="39"/>
  <c r="Q17" i="40"/>
  <c r="Q19" i="40" s="1"/>
  <c r="AY23" i="40"/>
  <c r="BW20" i="40"/>
  <c r="BW23" i="40" s="1"/>
  <c r="I47" i="40"/>
  <c r="Q54" i="40"/>
  <c r="P54" i="40"/>
  <c r="AH58" i="40"/>
  <c r="BS89" i="40"/>
  <c r="BQ101" i="40"/>
  <c r="AS101" i="40"/>
  <c r="AI108" i="40"/>
  <c r="V103" i="40"/>
  <c r="AF103" i="40" s="1"/>
  <c r="BP103" i="40" s="1"/>
  <c r="P112" i="40"/>
  <c r="I112" i="40" s="1"/>
  <c r="BY159" i="40"/>
  <c r="BM159" i="40"/>
  <c r="BX159" i="40" s="1"/>
  <c r="BY54" i="41"/>
  <c r="BM54" i="41"/>
  <c r="BX54" i="41" s="1"/>
  <c r="BM21" i="39"/>
  <c r="BX21" i="39" s="1"/>
  <c r="P23" i="39"/>
  <c r="I23" i="39" s="1"/>
  <c r="AP131" i="39"/>
  <c r="BZ131" i="39"/>
  <c r="AW131" i="39"/>
  <c r="AW127" i="39" s="1"/>
  <c r="P35" i="39"/>
  <c r="I35" i="39" s="1"/>
  <c r="BM40" i="39"/>
  <c r="BX40" i="39" s="1"/>
  <c r="BL56" i="39"/>
  <c r="AH54" i="39"/>
  <c r="AU54" i="39" s="1"/>
  <c r="Q57" i="39"/>
  <c r="Q58" i="39" s="1"/>
  <c r="P71" i="39"/>
  <c r="BM71" i="39"/>
  <c r="BX71" i="39" s="1"/>
  <c r="AQ77" i="39"/>
  <c r="BR77" i="39" s="1"/>
  <c r="AQ81" i="39"/>
  <c r="BR81" i="39" s="1"/>
  <c r="AQ84" i="39"/>
  <c r="BR84" i="39" s="1"/>
  <c r="BT100" i="39"/>
  <c r="AQ104" i="39"/>
  <c r="BR104" i="39" s="1"/>
  <c r="BM104" i="39"/>
  <c r="BX104" i="39" s="1"/>
  <c r="AY118" i="39"/>
  <c r="BW115" i="39"/>
  <c r="BW118" i="39" s="1"/>
  <c r="S123" i="39"/>
  <c r="AY123" i="39"/>
  <c r="N127" i="39"/>
  <c r="AM127" i="39"/>
  <c r="BH127" i="39"/>
  <c r="W15" i="40"/>
  <c r="AQ18" i="40"/>
  <c r="BR18" i="40" s="1"/>
  <c r="V20" i="40"/>
  <c r="S177" i="40"/>
  <c r="AH31" i="40"/>
  <c r="P46" i="40"/>
  <c r="I46" i="40" s="1"/>
  <c r="AQ46" i="40"/>
  <c r="BR46" i="40" s="1"/>
  <c r="BM47" i="40"/>
  <c r="BX47" i="40" s="1"/>
  <c r="P49" i="40"/>
  <c r="AF56" i="40"/>
  <c r="AH56" i="40" s="1"/>
  <c r="BT92" i="40"/>
  <c r="S98" i="40"/>
  <c r="AF111" i="40"/>
  <c r="AR111" i="40" s="1"/>
  <c r="V114" i="40"/>
  <c r="AR141" i="40"/>
  <c r="BP141" i="40"/>
  <c r="AH141" i="40"/>
  <c r="AU141" i="40" s="1"/>
  <c r="M165" i="40"/>
  <c r="BT162" i="40"/>
  <c r="BT165" i="40" s="1"/>
  <c r="AP165" i="40"/>
  <c r="AQ162" i="40"/>
  <c r="BR162" i="40" s="1"/>
  <c r="AS17" i="41"/>
  <c r="BQ17" i="41"/>
  <c r="AS25" i="41"/>
  <c r="BT25" i="41"/>
  <c r="BM47" i="41"/>
  <c r="BX47" i="41" s="1"/>
  <c r="BZ47" i="41"/>
  <c r="AY58" i="41"/>
  <c r="BT74" i="41"/>
  <c r="AP79" i="41"/>
  <c r="AQ74" i="41"/>
  <c r="BR74" i="41" s="1"/>
  <c r="BL32" i="40"/>
  <c r="AP172" i="40"/>
  <c r="BW51" i="40"/>
  <c r="BM63" i="40"/>
  <c r="BX63" i="40" s="1"/>
  <c r="AQ65" i="40"/>
  <c r="AP74" i="40"/>
  <c r="AO74" i="40"/>
  <c r="AQ73" i="40"/>
  <c r="BR73" i="40" s="1"/>
  <c r="BS73" i="40"/>
  <c r="BS83" i="40"/>
  <c r="AQ83" i="40"/>
  <c r="BR83" i="40" s="1"/>
  <c r="BL98" i="40"/>
  <c r="BW108" i="40"/>
  <c r="AR104" i="40"/>
  <c r="AR105" i="40"/>
  <c r="BP105" i="40"/>
  <c r="P117" i="40"/>
  <c r="I117" i="40" s="1"/>
  <c r="I121" i="40"/>
  <c r="BT125" i="40"/>
  <c r="BT127" i="40" s="1"/>
  <c r="AP127" i="40"/>
  <c r="AH129" i="40"/>
  <c r="BS142" i="40"/>
  <c r="AS159" i="40"/>
  <c r="AH159" i="40"/>
  <c r="AR38" i="41"/>
  <c r="M24" i="39"/>
  <c r="BM19" i="39"/>
  <c r="BX19" i="39" s="1"/>
  <c r="AP135" i="39"/>
  <c r="S30" i="39"/>
  <c r="W36" i="39"/>
  <c r="P32" i="39"/>
  <c r="AQ35" i="39"/>
  <c r="BR35" i="39" s="1"/>
  <c r="S42" i="39"/>
  <c r="AY42" i="39"/>
  <c r="AQ39" i="39"/>
  <c r="BR39" i="39" s="1"/>
  <c r="BZ50" i="39"/>
  <c r="AP50" i="39"/>
  <c r="BY57" i="39"/>
  <c r="BY58" i="39" s="1"/>
  <c r="BM63" i="39"/>
  <c r="BX63" i="39" s="1"/>
  <c r="AQ64" i="39"/>
  <c r="BR64" i="39" s="1"/>
  <c r="BK72" i="39"/>
  <c r="P68" i="39"/>
  <c r="I68" i="39" s="1"/>
  <c r="Q71" i="39"/>
  <c r="AH81" i="39"/>
  <c r="AQ85" i="39"/>
  <c r="BR85" i="39" s="1"/>
  <c r="AQ88" i="39"/>
  <c r="BR88" i="39" s="1"/>
  <c r="AQ90" i="39"/>
  <c r="BR90" i="39" s="1"/>
  <c r="V107" i="39"/>
  <c r="BM111" i="39"/>
  <c r="BX111" i="39" s="1"/>
  <c r="P120" i="39"/>
  <c r="AN127" i="39"/>
  <c r="K127" i="39"/>
  <c r="W176" i="40"/>
  <c r="AY176" i="40"/>
  <c r="BS16" i="40"/>
  <c r="P17" i="40"/>
  <c r="AY25" i="40"/>
  <c r="J177" i="40"/>
  <c r="W177" i="40"/>
  <c r="AY177" i="40"/>
  <c r="S172" i="40"/>
  <c r="AQ35" i="40"/>
  <c r="BR35" i="40" s="1"/>
  <c r="BM36" i="40"/>
  <c r="BX36" i="40" s="1"/>
  <c r="BM37" i="40"/>
  <c r="BX37" i="40" s="1"/>
  <c r="BS44" i="40"/>
  <c r="V51" i="40"/>
  <c r="AQ49" i="40"/>
  <c r="BR49" i="40" s="1"/>
  <c r="Q52" i="40"/>
  <c r="AP55" i="40"/>
  <c r="AP60" i="40" s="1"/>
  <c r="AQ57" i="40"/>
  <c r="BR57" i="40" s="1"/>
  <c r="BS66" i="40"/>
  <c r="AQ75" i="40"/>
  <c r="BR75" i="40" s="1"/>
  <c r="Q79" i="40"/>
  <c r="P79" i="40"/>
  <c r="BY85" i="40"/>
  <c r="BM85" i="40"/>
  <c r="BX85" i="40" s="1"/>
  <c r="BS87" i="40"/>
  <c r="P105" i="40"/>
  <c r="I105" i="40" s="1"/>
  <c r="AR112" i="40"/>
  <c r="BP112" i="40"/>
  <c r="AH112" i="40"/>
  <c r="BP113" i="40"/>
  <c r="AH113" i="40"/>
  <c r="AO124" i="40"/>
  <c r="AQ120" i="40"/>
  <c r="BR120" i="40" s="1"/>
  <c r="BS120" i="40"/>
  <c r="BQ129" i="40"/>
  <c r="AS129" i="40"/>
  <c r="AH153" i="40"/>
  <c r="BS160" i="40"/>
  <c r="AQ160" i="40"/>
  <c r="BR160" i="40" s="1"/>
  <c r="BY26" i="41"/>
  <c r="BY27" i="41" s="1"/>
  <c r="BM26" i="41"/>
  <c r="BX26" i="41" s="1"/>
  <c r="Q48" i="41"/>
  <c r="P48" i="41"/>
  <c r="AS49" i="41"/>
  <c r="AR92" i="41"/>
  <c r="BP92" i="41"/>
  <c r="AH92" i="41"/>
  <c r="AS102" i="41"/>
  <c r="BQ102" i="41"/>
  <c r="AH102" i="41"/>
  <c r="BS110" i="41"/>
  <c r="AQ110" i="41"/>
  <c r="BP19" i="39"/>
  <c r="BM20" i="39"/>
  <c r="BX20" i="39" s="1"/>
  <c r="BZ21" i="39"/>
  <c r="M30" i="39"/>
  <c r="AP42" i="39"/>
  <c r="AY50" i="39"/>
  <c r="BL50" i="39"/>
  <c r="BT51" i="39"/>
  <c r="BL65" i="39"/>
  <c r="AH60" i="39"/>
  <c r="BM61" i="39"/>
  <c r="BX61" i="39" s="1"/>
  <c r="AJ72" i="39"/>
  <c r="BS97" i="39"/>
  <c r="AQ99" i="39"/>
  <c r="BK103" i="39"/>
  <c r="BY103" i="39" s="1"/>
  <c r="AP114" i="39"/>
  <c r="P119" i="39"/>
  <c r="I119" i="39" s="1"/>
  <c r="L127" i="39"/>
  <c r="M176" i="40"/>
  <c r="AP19" i="40"/>
  <c r="BT16" i="40"/>
  <c r="BT19" i="40" s="1"/>
  <c r="AQ17" i="40"/>
  <c r="BS20" i="40"/>
  <c r="BS23" i="40" s="1"/>
  <c r="S23" i="40"/>
  <c r="AY171" i="40"/>
  <c r="BZ27" i="40"/>
  <c r="AG28" i="40"/>
  <c r="AG174" i="40" s="1"/>
  <c r="BW28" i="40"/>
  <c r="BW174" i="40" s="1"/>
  <c r="BK177" i="40"/>
  <c r="AQ31" i="40"/>
  <c r="BR31" i="40" s="1"/>
  <c r="P34" i="40"/>
  <c r="AP44" i="40"/>
  <c r="BM42" i="40"/>
  <c r="BX42" i="40" s="1"/>
  <c r="P43" i="40"/>
  <c r="I43" i="40" s="1"/>
  <c r="BL51" i="40"/>
  <c r="AQ50" i="40"/>
  <c r="BR50" i="40" s="1"/>
  <c r="AP53" i="40"/>
  <c r="S60" i="40"/>
  <c r="BQ56" i="40"/>
  <c r="V67" i="40"/>
  <c r="AY67" i="40"/>
  <c r="BS104" i="40"/>
  <c r="AQ104" i="40"/>
  <c r="BR104" i="40" s="1"/>
  <c r="AR123" i="40"/>
  <c r="BP123" i="40"/>
  <c r="BS140" i="40"/>
  <c r="AQ140" i="40"/>
  <c r="BR140" i="40" s="1"/>
  <c r="BZ147" i="40"/>
  <c r="BM147" i="40"/>
  <c r="BX147" i="40" s="1"/>
  <c r="AQ148" i="40"/>
  <c r="BR148" i="40" s="1"/>
  <c r="BS148" i="40"/>
  <c r="N169" i="40"/>
  <c r="AL169" i="40"/>
  <c r="BY12" i="41"/>
  <c r="BM12" i="41"/>
  <c r="BX12" i="41" s="1"/>
  <c r="W145" i="41"/>
  <c r="BZ31" i="41"/>
  <c r="BZ36" i="41" s="1"/>
  <c r="BM31" i="41"/>
  <c r="BX31" i="41" s="1"/>
  <c r="AS44" i="41"/>
  <c r="BQ44" i="41"/>
  <c r="Q47" i="41"/>
  <c r="P47" i="41"/>
  <c r="AQ91" i="41"/>
  <c r="BR91" i="41" s="1"/>
  <c r="BS91" i="41"/>
  <c r="AR91" i="41"/>
  <c r="BS109" i="41"/>
  <c r="AQ109" i="41"/>
  <c r="BR109" i="41" s="1"/>
  <c r="BK134" i="39"/>
  <c r="BT25" i="39"/>
  <c r="AQ27" i="39"/>
  <c r="BR27" i="39" s="1"/>
  <c r="BS27" i="39"/>
  <c r="AQ32" i="39"/>
  <c r="BR32" i="39" s="1"/>
  <c r="AQ33" i="39"/>
  <c r="BR33" i="39" s="1"/>
  <c r="BL44" i="39"/>
  <c r="AS48" i="39"/>
  <c r="BT55" i="39"/>
  <c r="AO65" i="39"/>
  <c r="BS59" i="39"/>
  <c r="BS65" i="39" s="1"/>
  <c r="AH64" i="39"/>
  <c r="P66" i="39"/>
  <c r="I66" i="39" s="1"/>
  <c r="BS68" i="39"/>
  <c r="Q70" i="39"/>
  <c r="AQ75" i="39"/>
  <c r="BR75" i="39" s="1"/>
  <c r="S86" i="39"/>
  <c r="AP100" i="39"/>
  <c r="AQ103" i="39"/>
  <c r="BR103" i="39" s="1"/>
  <c r="AQ105" i="39"/>
  <c r="BR105" i="39" s="1"/>
  <c r="P108" i="39"/>
  <c r="I108" i="39" s="1"/>
  <c r="AQ113" i="39"/>
  <c r="BR113" i="39" s="1"/>
  <c r="AQ115" i="39"/>
  <c r="V118" i="39"/>
  <c r="BL123" i="39"/>
  <c r="BB127" i="39"/>
  <c r="AQ13" i="40"/>
  <c r="BR13" i="40" s="1"/>
  <c r="AG14" i="40"/>
  <c r="AG176" i="40" s="1"/>
  <c r="BW16" i="40"/>
  <c r="BW19" i="40" s="1"/>
  <c r="BK32" i="40"/>
  <c r="BY28" i="40"/>
  <c r="BY174" i="40" s="1"/>
  <c r="P30" i="40"/>
  <c r="I30" i="40" s="1"/>
  <c r="AG30" i="40"/>
  <c r="AS30" i="40" s="1"/>
  <c r="BL177" i="40"/>
  <c r="Q34" i="40"/>
  <c r="AQ36" i="40"/>
  <c r="BR36" i="40" s="1"/>
  <c r="BZ37" i="40"/>
  <c r="V44" i="40"/>
  <c r="AY44" i="40"/>
  <c r="AR42" i="40"/>
  <c r="AH49" i="40"/>
  <c r="AS50" i="40"/>
  <c r="V54" i="40"/>
  <c r="V60" i="40" s="1"/>
  <c r="P58" i="40"/>
  <c r="I58" i="40" s="1"/>
  <c r="BM61" i="40"/>
  <c r="BX61" i="40" s="1"/>
  <c r="AQ63" i="40"/>
  <c r="BR63" i="40" s="1"/>
  <c r="V74" i="40"/>
  <c r="BM69" i="40"/>
  <c r="BX69" i="40" s="1"/>
  <c r="BY90" i="40"/>
  <c r="BM90" i="40"/>
  <c r="BX90" i="40" s="1"/>
  <c r="AS91" i="40"/>
  <c r="AQ97" i="40"/>
  <c r="BR97" i="40" s="1"/>
  <c r="BS97" i="40"/>
  <c r="AS112" i="40"/>
  <c r="BQ112" i="40"/>
  <c r="BZ165" i="40"/>
  <c r="BP12" i="41"/>
  <c r="AR12" i="41"/>
  <c r="BM17" i="41"/>
  <c r="BX17" i="41" s="1"/>
  <c r="AS33" i="41"/>
  <c r="BQ33" i="41"/>
  <c r="BS34" i="41"/>
  <c r="AQ34" i="41"/>
  <c r="BR34" i="41" s="1"/>
  <c r="BS46" i="41"/>
  <c r="AQ46" i="41"/>
  <c r="BR46" i="41" s="1"/>
  <c r="BS76" i="41"/>
  <c r="AQ76" i="41"/>
  <c r="BR76" i="41" s="1"/>
  <c r="BY69" i="40"/>
  <c r="BS70" i="40"/>
  <c r="AO88" i="40"/>
  <c r="AQ86" i="40"/>
  <c r="S92" i="40"/>
  <c r="AO98" i="40"/>
  <c r="AQ94" i="40"/>
  <c r="BR94" i="40" s="1"/>
  <c r="BM96" i="40"/>
  <c r="BX96" i="40" s="1"/>
  <c r="S102" i="40"/>
  <c r="M108" i="40"/>
  <c r="AF109" i="40"/>
  <c r="AH109" i="40" s="1"/>
  <c r="M118" i="40"/>
  <c r="Q119" i="40"/>
  <c r="AQ119" i="40"/>
  <c r="BR119" i="40" s="1"/>
  <c r="V127" i="40"/>
  <c r="BK137" i="40"/>
  <c r="M144" i="40"/>
  <c r="AP151" i="40"/>
  <c r="BZ146" i="40"/>
  <c r="BZ148" i="40"/>
  <c r="AS150" i="40"/>
  <c r="BM153" i="40"/>
  <c r="BX153" i="40" s="1"/>
  <c r="BS156" i="40"/>
  <c r="AN169" i="40"/>
  <c r="J16" i="41"/>
  <c r="W148" i="41"/>
  <c r="BK148" i="41"/>
  <c r="O138" i="41"/>
  <c r="H21" i="47" s="1"/>
  <c r="J143" i="41"/>
  <c r="BK149" i="41"/>
  <c r="S36" i="41"/>
  <c r="AP36" i="41"/>
  <c r="S50" i="41"/>
  <c r="BM44" i="41"/>
  <c r="BX44" i="41" s="1"/>
  <c r="AP50" i="41"/>
  <c r="P49" i="41"/>
  <c r="I49" i="41" s="1"/>
  <c r="M58" i="41"/>
  <c r="BP51" i="41"/>
  <c r="AR54" i="41"/>
  <c r="AH54" i="41"/>
  <c r="BK61" i="41"/>
  <c r="BM60" i="41"/>
  <c r="BX60" i="41" s="1"/>
  <c r="BW65" i="41"/>
  <c r="AG79" i="41"/>
  <c r="AO87" i="41"/>
  <c r="AQ84" i="41"/>
  <c r="AQ117" i="41"/>
  <c r="BR117" i="41" s="1"/>
  <c r="BT117" i="41"/>
  <c r="AS129" i="41"/>
  <c r="AS132" i="41"/>
  <c r="BK168" i="42"/>
  <c r="BY168" i="42" s="1"/>
  <c r="BC172" i="42"/>
  <c r="W81" i="40"/>
  <c r="BL81" i="40"/>
  <c r="AS76" i="40"/>
  <c r="BT76" i="40"/>
  <c r="BT81" i="40" s="1"/>
  <c r="W88" i="40"/>
  <c r="AQ91" i="40"/>
  <c r="BR91" i="40" s="1"/>
  <c r="AP98" i="40"/>
  <c r="BT93" i="40"/>
  <c r="AG114" i="40"/>
  <c r="AY124" i="40"/>
  <c r="AR122" i="40"/>
  <c r="W127" i="40"/>
  <c r="BM129" i="40"/>
  <c r="BX129" i="40" s="1"/>
  <c r="BM133" i="40"/>
  <c r="BX133" i="40" s="1"/>
  <c r="BY136" i="40"/>
  <c r="BL151" i="40"/>
  <c r="BS147" i="40"/>
  <c r="BM149" i="40"/>
  <c r="BX149" i="40" s="1"/>
  <c r="AH13" i="41"/>
  <c r="P14" i="41"/>
  <c r="AA138" i="41"/>
  <c r="T21" i="47" s="1"/>
  <c r="J145" i="41"/>
  <c r="AQ32" i="41"/>
  <c r="BR32" i="41" s="1"/>
  <c r="AQ51" i="41"/>
  <c r="BR51" i="41" s="1"/>
  <c r="BY52" i="41"/>
  <c r="BM52" i="41"/>
  <c r="BX52" i="41" s="1"/>
  <c r="V58" i="41"/>
  <c r="BY62" i="41"/>
  <c r="BM62" i="41"/>
  <c r="BX62" i="41" s="1"/>
  <c r="AQ64" i="41"/>
  <c r="BR64" i="41" s="1"/>
  <c r="BM68" i="41"/>
  <c r="BX68" i="41" s="1"/>
  <c r="BY68" i="41"/>
  <c r="AR73" i="41"/>
  <c r="AH73" i="41"/>
  <c r="AU73" i="41" s="1"/>
  <c r="BM78" i="41"/>
  <c r="BX78" i="41" s="1"/>
  <c r="BZ78" i="41"/>
  <c r="BS98" i="41"/>
  <c r="AQ99" i="41"/>
  <c r="BS99" i="41"/>
  <c r="BT100" i="41"/>
  <c r="AS110" i="41"/>
  <c r="BY114" i="41"/>
  <c r="BM114" i="41"/>
  <c r="BX114" i="41" s="1"/>
  <c r="BT123" i="41"/>
  <c r="BQ127" i="41"/>
  <c r="BY20" i="42"/>
  <c r="BM20" i="42"/>
  <c r="BX20" i="42" s="1"/>
  <c r="BZ38" i="42"/>
  <c r="BZ40" i="42" s="1"/>
  <c r="BL40" i="42"/>
  <c r="BM71" i="40"/>
  <c r="BX71" i="40" s="1"/>
  <c r="BS75" i="40"/>
  <c r="S81" i="40"/>
  <c r="AY81" i="40"/>
  <c r="BM80" i="40"/>
  <c r="BX80" i="40" s="1"/>
  <c r="V88" i="40"/>
  <c r="W92" i="40"/>
  <c r="AS90" i="40"/>
  <c r="AQ93" i="40"/>
  <c r="BR93" i="40" s="1"/>
  <c r="BM94" i="40"/>
  <c r="BX94" i="40" s="1"/>
  <c r="BM95" i="40"/>
  <c r="AY102" i="40"/>
  <c r="BM100" i="40"/>
  <c r="BX100" i="40" s="1"/>
  <c r="BK108" i="40"/>
  <c r="BW114" i="40"/>
  <c r="AQ116" i="40"/>
  <c r="BR116" i="40" s="1"/>
  <c r="V124" i="40"/>
  <c r="BL127" i="40"/>
  <c r="BY126" i="40"/>
  <c r="AQ129" i="40"/>
  <c r="BR129" i="40" s="1"/>
  <c r="BK130" i="40"/>
  <c r="BM131" i="40"/>
  <c r="BX131" i="40" s="1"/>
  <c r="P132" i="40"/>
  <c r="AQ139" i="40"/>
  <c r="BR139" i="40" s="1"/>
  <c r="P143" i="40"/>
  <c r="BM150" i="40"/>
  <c r="BX150" i="40" s="1"/>
  <c r="AS157" i="40"/>
  <c r="BS159" i="40"/>
  <c r="BM164" i="40"/>
  <c r="BX164" i="40" s="1"/>
  <c r="Q16" i="41"/>
  <c r="AP142" i="41"/>
  <c r="M148" i="41"/>
  <c r="AG15" i="41"/>
  <c r="AG148" i="41" s="1"/>
  <c r="AL138" i="41"/>
  <c r="AE21" i="47" s="1"/>
  <c r="BA138" i="41"/>
  <c r="AT21" i="47" s="1"/>
  <c r="BG138" i="41"/>
  <c r="AZ21" i="47" s="1"/>
  <c r="P17" i="41"/>
  <c r="BM19" i="41"/>
  <c r="BX19" i="41" s="1"/>
  <c r="BK27" i="41"/>
  <c r="P24" i="41"/>
  <c r="AQ26" i="41"/>
  <c r="BR26" i="41" s="1"/>
  <c r="BK29" i="41"/>
  <c r="BK36" i="41"/>
  <c r="M145" i="41"/>
  <c r="AQ33" i="41"/>
  <c r="AQ35" i="41"/>
  <c r="BR35" i="41" s="1"/>
  <c r="BP45" i="41"/>
  <c r="BT46" i="41"/>
  <c r="BT50" i="41" s="1"/>
  <c r="AQ48" i="41"/>
  <c r="BR48" i="41" s="1"/>
  <c r="AS52" i="41"/>
  <c r="Q56" i="41"/>
  <c r="P56" i="41"/>
  <c r="AH57" i="41"/>
  <c r="AU57" i="41" s="1"/>
  <c r="BZ62" i="41"/>
  <c r="BZ65" i="41" s="1"/>
  <c r="BL65" i="41"/>
  <c r="BP73" i="41"/>
  <c r="BZ77" i="41"/>
  <c r="AH78" i="41"/>
  <c r="AQ86" i="41"/>
  <c r="BR86" i="41" s="1"/>
  <c r="BS86" i="41"/>
  <c r="AH90" i="41"/>
  <c r="AQ92" i="41"/>
  <c r="BS92" i="41"/>
  <c r="BY96" i="41"/>
  <c r="BZ100" i="41"/>
  <c r="Q102" i="41"/>
  <c r="BS102" i="41"/>
  <c r="P125" i="41"/>
  <c r="BM132" i="41"/>
  <c r="BX132" i="41" s="1"/>
  <c r="BY132" i="41"/>
  <c r="AH97" i="40"/>
  <c r="AU97" i="40" s="1"/>
  <c r="AG102" i="40"/>
  <c r="BK102" i="40"/>
  <c r="AO102" i="40"/>
  <c r="BL124" i="40"/>
  <c r="BT133" i="40"/>
  <c r="AS158" i="40"/>
  <c r="BA169" i="40"/>
  <c r="BG169" i="40"/>
  <c r="S142" i="41"/>
  <c r="AS13" i="41"/>
  <c r="AO148" i="41"/>
  <c r="K138" i="41"/>
  <c r="D21" i="47" s="1"/>
  <c r="U138" i="41"/>
  <c r="N21" i="47" s="1"/>
  <c r="AC138" i="41"/>
  <c r="V21" i="47" s="1"/>
  <c r="BB138" i="41"/>
  <c r="AU21" i="47" s="1"/>
  <c r="BH138" i="41"/>
  <c r="BA21" i="47" s="1"/>
  <c r="S143" i="41"/>
  <c r="J27" i="41"/>
  <c r="AR30" i="41"/>
  <c r="J43" i="41"/>
  <c r="AR42" i="41"/>
  <c r="M50" i="41"/>
  <c r="W61" i="41"/>
  <c r="AG59" i="41"/>
  <c r="BQ59" i="41" s="1"/>
  <c r="BQ61" i="41" s="1"/>
  <c r="AR62" i="41"/>
  <c r="AF65" i="41"/>
  <c r="BP62" i="41"/>
  <c r="AH75" i="41"/>
  <c r="AR75" i="41"/>
  <c r="AO151" i="41"/>
  <c r="AQ104" i="41"/>
  <c r="AQ151" i="41" s="1"/>
  <c r="AS118" i="41"/>
  <c r="BQ118" i="41"/>
  <c r="BS32" i="42"/>
  <c r="AQ32" i="42"/>
  <c r="BR32" i="42" s="1"/>
  <c r="BM55" i="42"/>
  <c r="BX55" i="42" s="1"/>
  <c r="BZ55" i="42"/>
  <c r="BM70" i="40"/>
  <c r="BX70" i="40" s="1"/>
  <c r="BM77" i="40"/>
  <c r="BX77" i="40" s="1"/>
  <c r="V98" i="40"/>
  <c r="AQ95" i="40"/>
  <c r="BR95" i="40" s="1"/>
  <c r="BT95" i="40"/>
  <c r="AS100" i="40"/>
  <c r="AQ106" i="40"/>
  <c r="BR106" i="40" s="1"/>
  <c r="AO110" i="40"/>
  <c r="AY114" i="40"/>
  <c r="BZ115" i="40"/>
  <c r="BM117" i="40"/>
  <c r="BX117" i="40" s="1"/>
  <c r="AQ121" i="40"/>
  <c r="BR121" i="40" s="1"/>
  <c r="P122" i="40"/>
  <c r="BM122" i="40"/>
  <c r="BX122" i="40" s="1"/>
  <c r="AQ123" i="40"/>
  <c r="BR123" i="40" s="1"/>
  <c r="AQ125" i="40"/>
  <c r="AH126" i="40"/>
  <c r="AU126" i="40" s="1"/>
  <c r="M137" i="40"/>
  <c r="AP137" i="40"/>
  <c r="BS131" i="40"/>
  <c r="Q132" i="40"/>
  <c r="BM134" i="40"/>
  <c r="BX134" i="40" s="1"/>
  <c r="BW144" i="40"/>
  <c r="P140" i="40"/>
  <c r="I140" i="40" s="1"/>
  <c r="BM142" i="40"/>
  <c r="BX142" i="40" s="1"/>
  <c r="AQ150" i="40"/>
  <c r="BR150" i="40" s="1"/>
  <c r="AP155" i="40"/>
  <c r="AR160" i="40"/>
  <c r="AD169" i="40"/>
  <c r="BM14" i="41"/>
  <c r="BX14" i="41" s="1"/>
  <c r="S148" i="41"/>
  <c r="L138" i="41"/>
  <c r="E21" i="47" s="1"/>
  <c r="AN138" i="41"/>
  <c r="AG21" i="47" s="1"/>
  <c r="BI138" i="41"/>
  <c r="BB21" i="47" s="1"/>
  <c r="X143" i="41"/>
  <c r="X141" i="41" s="1"/>
  <c r="BC143" i="41"/>
  <c r="AP149" i="41"/>
  <c r="BT19" i="41"/>
  <c r="BM23" i="41"/>
  <c r="BX23" i="41" s="1"/>
  <c r="AQ25" i="41"/>
  <c r="BR25" i="41" s="1"/>
  <c r="BP30" i="41"/>
  <c r="AQ38" i="41"/>
  <c r="BR38" i="41" s="1"/>
  <c r="BP42" i="41"/>
  <c r="AQ45" i="41"/>
  <c r="BR45" i="41" s="1"/>
  <c r="AF46" i="41"/>
  <c r="AH46" i="41" s="1"/>
  <c r="BK46" i="41"/>
  <c r="BK50" i="41" s="1"/>
  <c r="AQ49" i="41"/>
  <c r="BR49" i="41" s="1"/>
  <c r="BQ53" i="41"/>
  <c r="J61" i="41"/>
  <c r="P59" i="41"/>
  <c r="I59" i="41" s="1"/>
  <c r="AP61" i="41"/>
  <c r="BT60" i="41"/>
  <c r="BT61" i="41" s="1"/>
  <c r="P63" i="41"/>
  <c r="I63" i="41" s="1"/>
  <c r="AS64" i="41"/>
  <c r="BQ64" i="41"/>
  <c r="P66" i="41"/>
  <c r="AH66" i="41"/>
  <c r="AU66" i="41" s="1"/>
  <c r="V72" i="41"/>
  <c r="AF67" i="41"/>
  <c r="AR67" i="41" s="1"/>
  <c r="AH69" i="41"/>
  <c r="AS71" i="41"/>
  <c r="BQ71" i="41"/>
  <c r="BQ75" i="41"/>
  <c r="AS75" i="41"/>
  <c r="BP75" i="41"/>
  <c r="BW83" i="41"/>
  <c r="P82" i="41"/>
  <c r="M93" i="41"/>
  <c r="V98" i="41"/>
  <c r="BS111" i="41"/>
  <c r="AQ111" i="41"/>
  <c r="BR111" i="41" s="1"/>
  <c r="AQ116" i="41"/>
  <c r="BR116" i="41" s="1"/>
  <c r="BS116" i="41"/>
  <c r="BZ121" i="41"/>
  <c r="BL124" i="41"/>
  <c r="AH127" i="41"/>
  <c r="BP127" i="41"/>
  <c r="BS131" i="41"/>
  <c r="BS137" i="41" s="1"/>
  <c r="AQ131" i="41"/>
  <c r="BR131" i="41" s="1"/>
  <c r="BZ27" i="42"/>
  <c r="BM27" i="42"/>
  <c r="BX27" i="42" s="1"/>
  <c r="S58" i="41"/>
  <c r="BW61" i="41"/>
  <c r="AO61" i="41"/>
  <c r="AQ78" i="41"/>
  <c r="BR78" i="41" s="1"/>
  <c r="W87" i="41"/>
  <c r="BS89" i="41"/>
  <c r="P100" i="41"/>
  <c r="AQ100" i="41"/>
  <c r="BR100" i="41" s="1"/>
  <c r="AS101" i="41"/>
  <c r="P107" i="41"/>
  <c r="I107" i="41" s="1"/>
  <c r="BL120" i="41"/>
  <c r="BM126" i="41"/>
  <c r="BX126" i="41" s="1"/>
  <c r="AR128" i="41"/>
  <c r="AR132" i="41"/>
  <c r="AH132" i="41"/>
  <c r="AQ135" i="41"/>
  <c r="BR135" i="41" s="1"/>
  <c r="K141" i="41"/>
  <c r="U141" i="41"/>
  <c r="AA141" i="41"/>
  <c r="BF141" i="41"/>
  <c r="AD141" i="41"/>
  <c r="BI141" i="41"/>
  <c r="BC204" i="42"/>
  <c r="BK48" i="42"/>
  <c r="BY48" i="42" s="1"/>
  <c r="AI206" i="42"/>
  <c r="V59" i="42"/>
  <c r="AF59" i="42" s="1"/>
  <c r="AR59" i="42" s="1"/>
  <c r="AQ74" i="42"/>
  <c r="BR74" i="42" s="1"/>
  <c r="BC121" i="42"/>
  <c r="Y141" i="41"/>
  <c r="AS42" i="42"/>
  <c r="BS71" i="42"/>
  <c r="AQ71" i="42"/>
  <c r="BR71" i="42" s="1"/>
  <c r="AF117" i="42"/>
  <c r="AH117" i="42" s="1"/>
  <c r="AU117" i="42" s="1"/>
  <c r="J58" i="41"/>
  <c r="BQ55" i="41"/>
  <c r="BS61" i="41"/>
  <c r="BZ61" i="41"/>
  <c r="AQ60" i="41"/>
  <c r="BR60" i="41" s="1"/>
  <c r="AQ62" i="41"/>
  <c r="BR62" i="41" s="1"/>
  <c r="AY72" i="41"/>
  <c r="W72" i="41"/>
  <c r="P71" i="41"/>
  <c r="I71" i="41" s="1"/>
  <c r="BM82" i="41"/>
  <c r="BX82" i="41" s="1"/>
  <c r="BM86" i="41"/>
  <c r="BX86" i="41" s="1"/>
  <c r="BK87" i="41"/>
  <c r="W93" i="41"/>
  <c r="AY105" i="41"/>
  <c r="Q100" i="41"/>
  <c r="P103" i="41"/>
  <c r="I103" i="41" s="1"/>
  <c r="BS107" i="41"/>
  <c r="AQ107" i="41"/>
  <c r="BR107" i="41" s="1"/>
  <c r="BM108" i="41"/>
  <c r="BX108" i="41" s="1"/>
  <c r="BQ115" i="41"/>
  <c r="AR116" i="41"/>
  <c r="BS126" i="41"/>
  <c r="BA141" i="41"/>
  <c r="BG141" i="41"/>
  <c r="AL141" i="41"/>
  <c r="AY46" i="42"/>
  <c r="AY112" i="42"/>
  <c r="P119" i="42"/>
  <c r="I119" i="42" s="1"/>
  <c r="W125" i="42"/>
  <c r="BW135" i="42"/>
  <c r="AQ168" i="42"/>
  <c r="BR168" i="42" s="1"/>
  <c r="BS168" i="42"/>
  <c r="BY180" i="42"/>
  <c r="BM180" i="42"/>
  <c r="BX180" i="42" s="1"/>
  <c r="AO58" i="41"/>
  <c r="BL58" i="41"/>
  <c r="AY65" i="41"/>
  <c r="V65" i="41"/>
  <c r="AP65" i="41"/>
  <c r="BW66" i="41"/>
  <c r="BW72" i="41" s="1"/>
  <c r="M79" i="41"/>
  <c r="BM80" i="41"/>
  <c r="BX80" i="41" s="1"/>
  <c r="AH82" i="41"/>
  <c r="AU82" i="41" s="1"/>
  <c r="BQ82" i="41"/>
  <c r="BT87" i="41"/>
  <c r="AO93" i="41"/>
  <c r="AQ90" i="41"/>
  <c r="BR90" i="41" s="1"/>
  <c r="P92" i="41"/>
  <c r="I92" i="41" s="1"/>
  <c r="V130" i="41"/>
  <c r="BY126" i="41"/>
  <c r="M137" i="41"/>
  <c r="BT136" i="41"/>
  <c r="AQ136" i="41"/>
  <c r="BR136" i="41" s="1"/>
  <c r="W212" i="42"/>
  <c r="W46" i="42"/>
  <c r="BZ66" i="42"/>
  <c r="BZ69" i="42" s="1"/>
  <c r="BM66" i="42"/>
  <c r="BX66" i="42" s="1"/>
  <c r="P155" i="42"/>
  <c r="Q155" i="42"/>
  <c r="P157" i="42"/>
  <c r="I157" i="42" s="1"/>
  <c r="BM158" i="42"/>
  <c r="BX158" i="42" s="1"/>
  <c r="BS190" i="42"/>
  <c r="AQ190" i="42"/>
  <c r="BR190" i="42" s="1"/>
  <c r="AQ127" i="41"/>
  <c r="BR127" i="41" s="1"/>
  <c r="S137" i="41"/>
  <c r="BT25" i="42"/>
  <c r="BZ33" i="42"/>
  <c r="AR35" i="42"/>
  <c r="AH39" i="42"/>
  <c r="AU39" i="42" s="1"/>
  <c r="AF60" i="42"/>
  <c r="AH60" i="42" s="1"/>
  <c r="AU60" i="42" s="1"/>
  <c r="BK89" i="42"/>
  <c r="AS101" i="42"/>
  <c r="P127" i="42"/>
  <c r="V138" i="42"/>
  <c r="AQ137" i="42"/>
  <c r="BR137" i="42" s="1"/>
  <c r="M148" i="42"/>
  <c r="M156" i="42"/>
  <c r="AQ158" i="42"/>
  <c r="BR158" i="42" s="1"/>
  <c r="P160" i="42"/>
  <c r="M166" i="42"/>
  <c r="P180" i="42"/>
  <c r="I180" i="42" s="1"/>
  <c r="BK137" i="41"/>
  <c r="P134" i="41"/>
  <c r="I134" i="41" s="1"/>
  <c r="BZ37" i="42"/>
  <c r="AQ35" i="42"/>
  <c r="BR35" i="42" s="1"/>
  <c r="P54" i="42"/>
  <c r="P57" i="42"/>
  <c r="I57" i="42" s="1"/>
  <c r="AI58" i="42"/>
  <c r="X206" i="42"/>
  <c r="X202" i="42" s="1"/>
  <c r="AQ61" i="42"/>
  <c r="BR61" i="42" s="1"/>
  <c r="AH66" i="42"/>
  <c r="AQ82" i="42"/>
  <c r="BR82" i="42" s="1"/>
  <c r="AQ91" i="42"/>
  <c r="BR91" i="42" s="1"/>
  <c r="AF136" i="42"/>
  <c r="BP136" i="42" s="1"/>
  <c r="BM154" i="42"/>
  <c r="BX154" i="42" s="1"/>
  <c r="AH163" i="42"/>
  <c r="BM174" i="42"/>
  <c r="BX174" i="42" s="1"/>
  <c r="AS178" i="42"/>
  <c r="BM181" i="42"/>
  <c r="BX181" i="42" s="1"/>
  <c r="BW69" i="42"/>
  <c r="AQ66" i="42"/>
  <c r="BR66" i="42" s="1"/>
  <c r="BM77" i="42"/>
  <c r="BM211" i="42" s="1"/>
  <c r="AQ84" i="42"/>
  <c r="BR84" i="42" s="1"/>
  <c r="P109" i="42"/>
  <c r="AH110" i="42"/>
  <c r="BK131" i="42"/>
  <c r="AH133" i="42"/>
  <c r="BM143" i="42"/>
  <c r="BX143" i="42" s="1"/>
  <c r="AQ155" i="42"/>
  <c r="BR155" i="42" s="1"/>
  <c r="AP162" i="42"/>
  <c r="BM165" i="42"/>
  <c r="BX165" i="42" s="1"/>
  <c r="AQ181" i="42"/>
  <c r="BR181" i="42" s="1"/>
  <c r="S172" i="42"/>
  <c r="S115" i="42"/>
  <c r="S52" i="42"/>
  <c r="S40" i="42"/>
  <c r="S33" i="42"/>
  <c r="S185" i="42"/>
  <c r="S179" i="42"/>
  <c r="S95" i="42"/>
  <c r="S58" i="42"/>
  <c r="S191" i="42"/>
  <c r="S162" i="42"/>
  <c r="S153" i="42"/>
  <c r="S131" i="42"/>
  <c r="S64" i="42"/>
  <c r="S198" i="42"/>
  <c r="S69" i="42"/>
  <c r="S145" i="42"/>
  <c r="S125" i="42"/>
  <c r="S112" i="42"/>
  <c r="S105" i="42"/>
  <c r="S85" i="42"/>
  <c r="S76" i="42"/>
  <c r="S25" i="42"/>
  <c r="BP158" i="42"/>
  <c r="AH158" i="42"/>
  <c r="AH62" i="42"/>
  <c r="BP62" i="42"/>
  <c r="BM13" i="42"/>
  <c r="BX13" i="42" s="1"/>
  <c r="W33" i="42"/>
  <c r="BL33" i="42"/>
  <c r="AY204" i="42"/>
  <c r="P60" i="42"/>
  <c r="I60" i="42" s="1"/>
  <c r="BK76" i="42"/>
  <c r="AQ92" i="42"/>
  <c r="BR92" i="42" s="1"/>
  <c r="AQ93" i="42"/>
  <c r="BR93" i="42" s="1"/>
  <c r="BM96" i="42"/>
  <c r="BX96" i="42" s="1"/>
  <c r="J115" i="42"/>
  <c r="AG123" i="42"/>
  <c r="BM123" i="42"/>
  <c r="BX123" i="42" s="1"/>
  <c r="BM134" i="42"/>
  <c r="BX134" i="42" s="1"/>
  <c r="BK145" i="42"/>
  <c r="AQ146" i="42"/>
  <c r="BR146" i="42" s="1"/>
  <c r="P174" i="42"/>
  <c r="P176" i="42"/>
  <c r="BM178" i="42"/>
  <c r="BX178" i="42" s="1"/>
  <c r="BS181" i="42"/>
  <c r="AH196" i="42"/>
  <c r="BQ196" i="42"/>
  <c r="P15" i="42"/>
  <c r="W40" i="42"/>
  <c r="BM39" i="42"/>
  <c r="BX39" i="42" s="1"/>
  <c r="BW45" i="42"/>
  <c r="BW212" i="42" s="1"/>
  <c r="W52" i="42"/>
  <c r="BL64" i="42"/>
  <c r="AP69" i="42"/>
  <c r="AQ67" i="42"/>
  <c r="BR67" i="42" s="1"/>
  <c r="AQ75" i="42"/>
  <c r="BR75" i="42" s="1"/>
  <c r="AQ87" i="42"/>
  <c r="BR87" i="42" s="1"/>
  <c r="AQ88" i="42"/>
  <c r="BR88" i="42" s="1"/>
  <c r="P108" i="42"/>
  <c r="I108" i="42" s="1"/>
  <c r="AQ111" i="42"/>
  <c r="BR111" i="42" s="1"/>
  <c r="AH119" i="42"/>
  <c r="AQ120" i="42"/>
  <c r="BR120" i="42" s="1"/>
  <c r="P128" i="42"/>
  <c r="I128" i="42" s="1"/>
  <c r="AQ142" i="42"/>
  <c r="BR142" i="42" s="1"/>
  <c r="V153" i="42"/>
  <c r="AQ171" i="42"/>
  <c r="BR171" i="42" s="1"/>
  <c r="AH174" i="42"/>
  <c r="Q176" i="42"/>
  <c r="BM176" i="42"/>
  <c r="BX176" i="42" s="1"/>
  <c r="BZ178" i="42"/>
  <c r="BZ179" i="42" s="1"/>
  <c r="AQ180" i="42"/>
  <c r="BR180" i="42" s="1"/>
  <c r="P187" i="42"/>
  <c r="I187" i="42" s="1"/>
  <c r="BM189" i="42"/>
  <c r="BX189" i="42" s="1"/>
  <c r="P196" i="42"/>
  <c r="I196" i="42" s="1"/>
  <c r="K202" i="42"/>
  <c r="BW38" i="42"/>
  <c r="BW40" i="42" s="1"/>
  <c r="V44" i="42"/>
  <c r="M52" i="42"/>
  <c r="BM59" i="42"/>
  <c r="BX59" i="42" s="1"/>
  <c r="BM62" i="42"/>
  <c r="BX62" i="42" s="1"/>
  <c r="AP95" i="42"/>
  <c r="AQ107" i="42"/>
  <c r="BR107" i="42" s="1"/>
  <c r="P117" i="42"/>
  <c r="I117" i="42" s="1"/>
  <c r="BM149" i="42"/>
  <c r="BX149" i="42" s="1"/>
  <c r="AQ160" i="42"/>
  <c r="BR160" i="42" s="1"/>
  <c r="P163" i="42"/>
  <c r="AY166" i="42"/>
  <c r="AS174" i="42"/>
  <c r="BM193" i="42"/>
  <c r="BX193" i="42" s="1"/>
  <c r="BM194" i="42"/>
  <c r="BX194" i="42" s="1"/>
  <c r="BM195" i="42"/>
  <c r="BX195" i="42" s="1"/>
  <c r="AR19" i="42"/>
  <c r="AQ23" i="42"/>
  <c r="BR23" i="42" s="1"/>
  <c r="P26" i="42"/>
  <c r="AY29" i="42"/>
  <c r="AQ28" i="42"/>
  <c r="BR28" i="42" s="1"/>
  <c r="BM50" i="42"/>
  <c r="BX50" i="42" s="1"/>
  <c r="AH51" i="42"/>
  <c r="AU51" i="42" s="1"/>
  <c r="J206" i="42"/>
  <c r="AO64" i="42"/>
  <c r="AQ62" i="42"/>
  <c r="BR62" i="42" s="1"/>
  <c r="AQ79" i="42"/>
  <c r="BR79" i="42" s="1"/>
  <c r="BK95" i="42"/>
  <c r="AQ116" i="42"/>
  <c r="BR116" i="42" s="1"/>
  <c r="Q125" i="42"/>
  <c r="AG132" i="42"/>
  <c r="AS132" i="42" s="1"/>
  <c r="AG136" i="42"/>
  <c r="BQ136" i="42" s="1"/>
  <c r="BW136" i="42"/>
  <c r="BW138" i="42" s="1"/>
  <c r="AQ141" i="42"/>
  <c r="BR141" i="42" s="1"/>
  <c r="BY182" i="42"/>
  <c r="P16" i="42"/>
  <c r="I16" i="42" s="1"/>
  <c r="AQ18" i="42"/>
  <c r="BR18" i="42" s="1"/>
  <c r="AQ20" i="42"/>
  <c r="BR20" i="42" s="1"/>
  <c r="P22" i="42"/>
  <c r="AH31" i="42"/>
  <c r="AQ36" i="42"/>
  <c r="BR36" i="42" s="1"/>
  <c r="P38" i="42"/>
  <c r="AF41" i="42"/>
  <c r="AR41" i="42" s="1"/>
  <c r="P45" i="42"/>
  <c r="P46" i="42" s="1"/>
  <c r="AQ50" i="42"/>
  <c r="BR50" i="42" s="1"/>
  <c r="AQ55" i="42"/>
  <c r="BR55" i="42" s="1"/>
  <c r="V69" i="42"/>
  <c r="AQ73" i="42"/>
  <c r="BR73" i="42" s="1"/>
  <c r="P86" i="42"/>
  <c r="I86" i="42" s="1"/>
  <c r="P132" i="42"/>
  <c r="I132" i="42" s="1"/>
  <c r="AQ132" i="42"/>
  <c r="BR132" i="42" s="1"/>
  <c r="AQ133" i="42"/>
  <c r="AQ140" i="42"/>
  <c r="BR140" i="42" s="1"/>
  <c r="BY143" i="42"/>
  <c r="BY157" i="42"/>
  <c r="BY170" i="42"/>
  <c r="AS34" i="42"/>
  <c r="AG37" i="42"/>
  <c r="AH137" i="42"/>
  <c r="BP137" i="42"/>
  <c r="AH55" i="42"/>
  <c r="BP55" i="42"/>
  <c r="AR55" i="42"/>
  <c r="AH184" i="42"/>
  <c r="J205" i="42"/>
  <c r="Q14" i="42"/>
  <c r="BS197" i="42"/>
  <c r="AQ197" i="42"/>
  <c r="BR197" i="42" s="1"/>
  <c r="BE202" i="42"/>
  <c r="BL37" i="42"/>
  <c r="P61" i="42"/>
  <c r="AG71" i="42"/>
  <c r="AH71" i="42" s="1"/>
  <c r="W76" i="42"/>
  <c r="P197" i="42"/>
  <c r="Q197" i="42"/>
  <c r="AH88" i="42"/>
  <c r="AR88" i="42"/>
  <c r="BP171" i="42"/>
  <c r="AH171" i="42"/>
  <c r="BQ175" i="42"/>
  <c r="BT189" i="42"/>
  <c r="BT191" i="42" s="1"/>
  <c r="AQ189" i="42"/>
  <c r="N202" i="42"/>
  <c r="BL21" i="42"/>
  <c r="BM23" i="42"/>
  <c r="BX23" i="42" s="1"/>
  <c r="BS27" i="42"/>
  <c r="BS29" i="42" s="1"/>
  <c r="BS63" i="42"/>
  <c r="AQ63" i="42"/>
  <c r="BR63" i="42" s="1"/>
  <c r="AH98" i="42"/>
  <c r="AU98" i="42" s="1"/>
  <c r="AR98" i="42"/>
  <c r="AH159" i="42"/>
  <c r="BK172" i="42"/>
  <c r="BS192" i="42"/>
  <c r="AQ192" i="42"/>
  <c r="BR192" i="42" s="1"/>
  <c r="BM12" i="42"/>
  <c r="BX12" i="42" s="1"/>
  <c r="P14" i="42"/>
  <c r="AQ15" i="42"/>
  <c r="BR15" i="42" s="1"/>
  <c r="AO209" i="42"/>
  <c r="BM19" i="42"/>
  <c r="BX19" i="42" s="1"/>
  <c r="BP23" i="42"/>
  <c r="BM35" i="42"/>
  <c r="BX35" i="42" s="1"/>
  <c r="AQ38" i="42"/>
  <c r="BR38" i="42" s="1"/>
  <c r="J40" i="42"/>
  <c r="M44" i="42"/>
  <c r="AG45" i="42"/>
  <c r="AG212" i="42" s="1"/>
  <c r="AQ51" i="42"/>
  <c r="BR51" i="42" s="1"/>
  <c r="J58" i="42"/>
  <c r="Q53" i="42"/>
  <c r="I53" i="42" s="1"/>
  <c r="BW58" i="42"/>
  <c r="AQ59" i="42"/>
  <c r="BR59" i="42" s="1"/>
  <c r="AR62" i="42"/>
  <c r="P75" i="42"/>
  <c r="I75" i="42" s="1"/>
  <c r="V89" i="42"/>
  <c r="BP92" i="42"/>
  <c r="V99" i="42"/>
  <c r="BS103" i="42"/>
  <c r="AQ103" i="42"/>
  <c r="BR103" i="42" s="1"/>
  <c r="BM106" i="42"/>
  <c r="BX106" i="42" s="1"/>
  <c r="P118" i="42"/>
  <c r="Q118" i="42"/>
  <c r="Q121" i="42" s="1"/>
  <c r="AQ124" i="42"/>
  <c r="BR124" i="42" s="1"/>
  <c r="BS129" i="42"/>
  <c r="AQ129" i="42"/>
  <c r="AG131" i="42"/>
  <c r="AH139" i="42"/>
  <c r="AU139" i="42" s="1"/>
  <c r="AF157" i="42"/>
  <c r="AH157" i="42" s="1"/>
  <c r="AU157" i="42" s="1"/>
  <c r="V162" i="42"/>
  <c r="BS159" i="42"/>
  <c r="AQ159" i="42"/>
  <c r="BR159" i="42" s="1"/>
  <c r="BW164" i="42"/>
  <c r="BW166" i="42" s="1"/>
  <c r="P171" i="42"/>
  <c r="Q171" i="42"/>
  <c r="V179" i="42"/>
  <c r="AR176" i="42"/>
  <c r="AH183" i="42"/>
  <c r="AU183" i="42" s="1"/>
  <c r="AS187" i="42"/>
  <c r="P188" i="42"/>
  <c r="I188" i="42" s="1"/>
  <c r="BY188" i="42"/>
  <c r="BM188" i="42"/>
  <c r="BX188" i="42" s="1"/>
  <c r="AP198" i="42"/>
  <c r="AS197" i="42"/>
  <c r="AH129" i="42"/>
  <c r="AR129" i="42"/>
  <c r="BS130" i="42"/>
  <c r="AQ130" i="42"/>
  <c r="BR130" i="42" s="1"/>
  <c r="AO153" i="42"/>
  <c r="AR149" i="42"/>
  <c r="Q158" i="42"/>
  <c r="P158" i="42"/>
  <c r="AY172" i="42"/>
  <c r="BW167" i="42"/>
  <c r="BW172" i="42" s="1"/>
  <c r="BY169" i="42"/>
  <c r="BM169" i="42"/>
  <c r="BX169" i="42" s="1"/>
  <c r="AH84" i="42"/>
  <c r="BP84" i="42"/>
  <c r="AY125" i="42"/>
  <c r="BW123" i="42"/>
  <c r="BW125" i="42" s="1"/>
  <c r="BS134" i="42"/>
  <c r="AQ134" i="42"/>
  <c r="BR134" i="42" s="1"/>
  <c r="BY144" i="42"/>
  <c r="BM144" i="42"/>
  <c r="AY162" i="42"/>
  <c r="BW157" i="42"/>
  <c r="BW162" i="42" s="1"/>
  <c r="P195" i="42"/>
  <c r="I195" i="42" s="1"/>
  <c r="Z202" i="42"/>
  <c r="V205" i="42"/>
  <c r="BW210" i="42"/>
  <c r="AG30" i="42"/>
  <c r="AG33" i="42" s="1"/>
  <c r="BW33" i="42"/>
  <c r="BM31" i="42"/>
  <c r="BX31" i="42" s="1"/>
  <c r="AQ34" i="42"/>
  <c r="BP35" i="42"/>
  <c r="Q41" i="42"/>
  <c r="AQ41" i="42"/>
  <c r="BR41" i="42" s="1"/>
  <c r="AQ42" i="42"/>
  <c r="BR42" i="42" s="1"/>
  <c r="AP46" i="42"/>
  <c r="AQ48" i="42"/>
  <c r="BR48" i="42" s="1"/>
  <c r="P65" i="42"/>
  <c r="I65" i="42" s="1"/>
  <c r="BM70" i="42"/>
  <c r="BX70" i="42" s="1"/>
  <c r="P74" i="42"/>
  <c r="M78" i="42"/>
  <c r="BM81" i="42"/>
  <c r="BX81" i="42" s="1"/>
  <c r="BY81" i="42"/>
  <c r="BL99" i="42"/>
  <c r="BS97" i="42"/>
  <c r="AQ97" i="42"/>
  <c r="BR97" i="42" s="1"/>
  <c r="AQ101" i="42"/>
  <c r="BR101" i="42" s="1"/>
  <c r="AR102" i="42"/>
  <c r="BP102" i="42"/>
  <c r="V112" i="42"/>
  <c r="AF106" i="42"/>
  <c r="AF112" i="42" s="1"/>
  <c r="BL112" i="42"/>
  <c r="BZ106" i="42"/>
  <c r="BZ112" i="42" s="1"/>
  <c r="AQ109" i="42"/>
  <c r="BR109" i="42" s="1"/>
  <c r="AQ110" i="42"/>
  <c r="BR110" i="42" s="1"/>
  <c r="AQ114" i="42"/>
  <c r="BR114" i="42" s="1"/>
  <c r="V121" i="42"/>
  <c r="AF116" i="42"/>
  <c r="AR116" i="42" s="1"/>
  <c r="Q129" i="42"/>
  <c r="BL135" i="42"/>
  <c r="P139" i="42"/>
  <c r="I139" i="42" s="1"/>
  <c r="Q144" i="42"/>
  <c r="BM147" i="42"/>
  <c r="BX147" i="42" s="1"/>
  <c r="BK156" i="42"/>
  <c r="BY154" i="42"/>
  <c r="AP156" i="42"/>
  <c r="AH161" i="42"/>
  <c r="AQ164" i="42"/>
  <c r="BR164" i="42" s="1"/>
  <c r="BS165" i="42"/>
  <c r="AQ165" i="42"/>
  <c r="BR165" i="42" s="1"/>
  <c r="M172" i="42"/>
  <c r="AH167" i="42"/>
  <c r="W172" i="42"/>
  <c r="BM173" i="42"/>
  <c r="BX173" i="42" s="1"/>
  <c r="AH180" i="42"/>
  <c r="BL185" i="42"/>
  <c r="BM184" i="42"/>
  <c r="BX184" i="42" s="1"/>
  <c r="AR192" i="42"/>
  <c r="AQ193" i="42"/>
  <c r="BR193" i="42" s="1"/>
  <c r="BZ198" i="42"/>
  <c r="AR197" i="42"/>
  <c r="AH197" i="42"/>
  <c r="BP197" i="42"/>
  <c r="AG40" i="42"/>
  <c r="AS38" i="42"/>
  <c r="BQ38" i="42"/>
  <c r="BZ44" i="42"/>
  <c r="Q50" i="42"/>
  <c r="Q163" i="42"/>
  <c r="BL212" i="42"/>
  <c r="BL46" i="42"/>
  <c r="Q87" i="42"/>
  <c r="P87" i="42"/>
  <c r="P143" i="42"/>
  <c r="I143" i="42" s="1"/>
  <c r="Q159" i="42"/>
  <c r="AA202" i="42"/>
  <c r="BZ12" i="42"/>
  <c r="BL205" i="42"/>
  <c r="AR16" i="42"/>
  <c r="M209" i="42"/>
  <c r="BL29" i="42"/>
  <c r="AQ31" i="42"/>
  <c r="BR31" i="42" s="1"/>
  <c r="BS31" i="42"/>
  <c r="AY37" i="42"/>
  <c r="V40" i="42"/>
  <c r="BZ45" i="42"/>
  <c r="AH50" i="42"/>
  <c r="AS61" i="42"/>
  <c r="AO76" i="42"/>
  <c r="BY73" i="42"/>
  <c r="BM73" i="42"/>
  <c r="BX73" i="42" s="1"/>
  <c r="BK211" i="42"/>
  <c r="BY77" i="42"/>
  <c r="BY78" i="42" s="1"/>
  <c r="BY80" i="42"/>
  <c r="BM80" i="42"/>
  <c r="BX80" i="42" s="1"/>
  <c r="AO89" i="42"/>
  <c r="BW95" i="42"/>
  <c r="AH100" i="42"/>
  <c r="AQ102" i="42"/>
  <c r="BR102" i="42" s="1"/>
  <c r="AS109" i="42"/>
  <c r="AR110" i="42"/>
  <c r="W115" i="42"/>
  <c r="AG113" i="42"/>
  <c r="AG115" i="42" s="1"/>
  <c r="BW113" i="42"/>
  <c r="BW115" i="42" s="1"/>
  <c r="V115" i="42"/>
  <c r="AQ119" i="42"/>
  <c r="BR119" i="42" s="1"/>
  <c r="BS119" i="42"/>
  <c r="P122" i="42"/>
  <c r="I122" i="42" s="1"/>
  <c r="AP131" i="42"/>
  <c r="AY135" i="42"/>
  <c r="AR133" i="42"/>
  <c r="AS159" i="42"/>
  <c r="BT160" i="42"/>
  <c r="AS160" i="42"/>
  <c r="BS161" i="42"/>
  <c r="AQ161" i="42"/>
  <c r="BR161" i="42" s="1"/>
  <c r="AS164" i="42"/>
  <c r="J166" i="42"/>
  <c r="AP172" i="42"/>
  <c r="BP170" i="42"/>
  <c r="AH170" i="42"/>
  <c r="BS173" i="42"/>
  <c r="AQ173" i="42"/>
  <c r="BR173" i="42" s="1"/>
  <c r="BM175" i="42"/>
  <c r="BX175" i="42" s="1"/>
  <c r="Q178" i="42"/>
  <c r="P178" i="42"/>
  <c r="P183" i="42"/>
  <c r="Q184" i="42"/>
  <c r="BY187" i="42"/>
  <c r="BM187" i="42"/>
  <c r="AH35" i="42"/>
  <c r="BS38" i="42"/>
  <c r="AO40" i="42"/>
  <c r="AP206" i="42"/>
  <c r="AH82" i="42"/>
  <c r="AU82" i="42" s="1"/>
  <c r="M121" i="42"/>
  <c r="BP129" i="42"/>
  <c r="BP144" i="42"/>
  <c r="AH144" i="42"/>
  <c r="AU144" i="42" s="1"/>
  <c r="BS150" i="42"/>
  <c r="AQ150" i="42"/>
  <c r="BR150" i="42" s="1"/>
  <c r="BH202" i="42"/>
  <c r="AQ13" i="42"/>
  <c r="BR13" i="42" s="1"/>
  <c r="AG210" i="42"/>
  <c r="BW26" i="42"/>
  <c r="BW29" i="42" s="1"/>
  <c r="P30" i="42"/>
  <c r="BS56" i="42"/>
  <c r="AQ56" i="42"/>
  <c r="BR56" i="42" s="1"/>
  <c r="AG69" i="42"/>
  <c r="AS65" i="42"/>
  <c r="AS75" i="42"/>
  <c r="BQ75" i="42"/>
  <c r="M85" i="42"/>
  <c r="BQ87" i="42"/>
  <c r="P90" i="42"/>
  <c r="Q90" i="42"/>
  <c r="AQ100" i="42"/>
  <c r="BR100" i="42" s="1"/>
  <c r="BS113" i="42"/>
  <c r="AO115" i="42"/>
  <c r="AQ113" i="42"/>
  <c r="BR113" i="42" s="1"/>
  <c r="AH120" i="42"/>
  <c r="M125" i="42"/>
  <c r="AQ123" i="42"/>
  <c r="BR123" i="42" s="1"/>
  <c r="BS123" i="42"/>
  <c r="BS125" i="42" s="1"/>
  <c r="BP124" i="42"/>
  <c r="AH124" i="42"/>
  <c r="Q137" i="42"/>
  <c r="BY142" i="42"/>
  <c r="BM142" i="42"/>
  <c r="BX142" i="42" s="1"/>
  <c r="Q147" i="42"/>
  <c r="P147" i="42"/>
  <c r="J156" i="42"/>
  <c r="Q154" i="42"/>
  <c r="BZ162" i="42"/>
  <c r="V166" i="42"/>
  <c r="AF164" i="42"/>
  <c r="BP164" i="42" s="1"/>
  <c r="P170" i="42"/>
  <c r="AR182" i="42"/>
  <c r="AH182" i="42"/>
  <c r="V185" i="42"/>
  <c r="BT70" i="42"/>
  <c r="BT76" i="42" s="1"/>
  <c r="AP76" i="42"/>
  <c r="BK85" i="42"/>
  <c r="AQ86" i="42"/>
  <c r="J89" i="42"/>
  <c r="W121" i="42"/>
  <c r="BK121" i="42"/>
  <c r="BL131" i="42"/>
  <c r="BZ126" i="42"/>
  <c r="BZ131" i="42" s="1"/>
  <c r="BY146" i="42"/>
  <c r="BY148" i="42" s="1"/>
  <c r="BK148" i="42"/>
  <c r="BS163" i="42"/>
  <c r="AQ163" i="42"/>
  <c r="BS167" i="42"/>
  <c r="AQ167" i="42"/>
  <c r="BR167" i="42" s="1"/>
  <c r="M179" i="42"/>
  <c r="J179" i="42"/>
  <c r="J185" i="42"/>
  <c r="M191" i="42"/>
  <c r="AC202" i="42"/>
  <c r="AL202" i="42"/>
  <c r="BM16" i="42"/>
  <c r="BX16" i="42" s="1"/>
  <c r="W29" i="42"/>
  <c r="AY33" i="42"/>
  <c r="AQ39" i="42"/>
  <c r="BR39" i="42" s="1"/>
  <c r="BK44" i="42"/>
  <c r="J52" i="42"/>
  <c r="AQ54" i="42"/>
  <c r="BR54" i="42" s="1"/>
  <c r="AH74" i="42"/>
  <c r="P81" i="42"/>
  <c r="I81" i="42" s="1"/>
  <c r="AQ81" i="42"/>
  <c r="BR81" i="42" s="1"/>
  <c r="BW89" i="42"/>
  <c r="Q88" i="42"/>
  <c r="BK105" i="42"/>
  <c r="AQ106" i="42"/>
  <c r="BR106" i="42" s="1"/>
  <c r="BL125" i="42"/>
  <c r="BT135" i="42"/>
  <c r="V145" i="42"/>
  <c r="AP145" i="42"/>
  <c r="BL148" i="42"/>
  <c r="V156" i="42"/>
  <c r="BT156" i="42"/>
  <c r="M162" i="42"/>
  <c r="AO162" i="42"/>
  <c r="AG162" i="42"/>
  <c r="BT166" i="42"/>
  <c r="BT172" i="42"/>
  <c r="Q174" i="42"/>
  <c r="AQ177" i="42"/>
  <c r="BR177" i="42" s="1"/>
  <c r="AP179" i="42"/>
  <c r="AQ187" i="42"/>
  <c r="BR187" i="42" s="1"/>
  <c r="BB202" i="42"/>
  <c r="AW202" i="42"/>
  <c r="AE202" i="42"/>
  <c r="S209" i="42"/>
  <c r="P51" i="42"/>
  <c r="I51" i="42" s="1"/>
  <c r="W206" i="42"/>
  <c r="BL76" i="42"/>
  <c r="BL85" i="42"/>
  <c r="AQ83" i="42"/>
  <c r="BR83" i="42" s="1"/>
  <c r="AQ96" i="42"/>
  <c r="BR96" i="42" s="1"/>
  <c r="AQ98" i="42"/>
  <c r="BR98" i="42" s="1"/>
  <c r="BW105" i="42"/>
  <c r="AF105" i="42"/>
  <c r="BL115" i="42"/>
  <c r="P116" i="42"/>
  <c r="I116" i="42" s="1"/>
  <c r="AO121" i="42"/>
  <c r="P120" i="42"/>
  <c r="AP125" i="42"/>
  <c r="P124" i="42"/>
  <c r="I124" i="42" s="1"/>
  <c r="M131" i="42"/>
  <c r="AO131" i="42"/>
  <c r="BZ135" i="42"/>
  <c r="AQ136" i="42"/>
  <c r="BR136" i="42" s="1"/>
  <c r="AO138" i="42"/>
  <c r="AY145" i="42"/>
  <c r="P144" i="42"/>
  <c r="AQ152" i="42"/>
  <c r="BR152" i="42" s="1"/>
  <c r="W162" i="42"/>
  <c r="W166" i="42"/>
  <c r="J172" i="42"/>
  <c r="AQ170" i="42"/>
  <c r="BR170" i="42" s="1"/>
  <c r="P184" i="42"/>
  <c r="AQ195" i="42"/>
  <c r="BR195" i="42" s="1"/>
  <c r="AQ196" i="42"/>
  <c r="BR196" i="42" s="1"/>
  <c r="T202" i="42"/>
  <c r="BD202" i="42"/>
  <c r="BJ202" i="42"/>
  <c r="AN202" i="42"/>
  <c r="L202" i="42"/>
  <c r="P190" i="42"/>
  <c r="I190" i="42" s="1"/>
  <c r="AM202" i="42"/>
  <c r="R202" i="42"/>
  <c r="AX202" i="42"/>
  <c r="S206" i="42"/>
  <c r="BQ15" i="42"/>
  <c r="AS15" i="42"/>
  <c r="AH13" i="42"/>
  <c r="BQ13" i="42"/>
  <c r="AS13" i="42"/>
  <c r="AS16" i="42"/>
  <c r="BQ16" i="42"/>
  <c r="AY209" i="42"/>
  <c r="BW17" i="42"/>
  <c r="BW209" i="42" s="1"/>
  <c r="BZ24" i="42"/>
  <c r="BZ25" i="42" s="1"/>
  <c r="BM24" i="42"/>
  <c r="BX24" i="42" s="1"/>
  <c r="BQ27" i="42"/>
  <c r="AS27" i="42"/>
  <c r="Q36" i="42"/>
  <c r="P36" i="42"/>
  <c r="AH57" i="42"/>
  <c r="BP57" i="42"/>
  <c r="AR57" i="42"/>
  <c r="J203" i="42"/>
  <c r="J21" i="42"/>
  <c r="W203" i="42"/>
  <c r="W21" i="42"/>
  <c r="AY203" i="42"/>
  <c r="AY21" i="42"/>
  <c r="S205" i="42"/>
  <c r="AO205" i="42"/>
  <c r="BM14" i="42"/>
  <c r="BS14" i="42"/>
  <c r="Q15" i="42"/>
  <c r="BK15" i="42"/>
  <c r="BK21" i="42" s="1"/>
  <c r="AQ16" i="42"/>
  <c r="BR16" i="42" s="1"/>
  <c r="Q17" i="42"/>
  <c r="P18" i="42"/>
  <c r="AP210" i="42"/>
  <c r="BP20" i="42"/>
  <c r="AR20" i="42"/>
  <c r="W25" i="42"/>
  <c r="AY25" i="42"/>
  <c r="BW25" i="42"/>
  <c r="BQ23" i="42"/>
  <c r="AS23" i="42"/>
  <c r="BS23" i="42"/>
  <c r="BS25" i="42" s="1"/>
  <c r="Q24" i="42"/>
  <c r="BL25" i="42"/>
  <c r="BK29" i="42"/>
  <c r="BY26" i="42"/>
  <c r="BY29" i="42" s="1"/>
  <c r="BM26" i="42"/>
  <c r="BX26" i="42" s="1"/>
  <c r="AH27" i="42"/>
  <c r="BQ32" i="42"/>
  <c r="AS32" i="42"/>
  <c r="W37" i="42"/>
  <c r="BK37" i="42"/>
  <c r="BY34" i="42"/>
  <c r="BY37" i="42" s="1"/>
  <c r="BM34" i="42"/>
  <c r="BX34" i="42" s="1"/>
  <c r="M37" i="42"/>
  <c r="BQ39" i="42"/>
  <c r="AS39" i="42"/>
  <c r="BY42" i="42"/>
  <c r="BM42" i="42"/>
  <c r="BX42" i="42" s="1"/>
  <c r="BL44" i="42"/>
  <c r="BL204" i="42"/>
  <c r="BL52" i="42"/>
  <c r="BZ47" i="42"/>
  <c r="AP52" i="42"/>
  <c r="M58" i="42"/>
  <c r="BQ54" i="42"/>
  <c r="AH56" i="42"/>
  <c r="AU56" i="42" s="1"/>
  <c r="BP56" i="42"/>
  <c r="AR56" i="42"/>
  <c r="BY61" i="42"/>
  <c r="BM61" i="42"/>
  <c r="BX61" i="42" s="1"/>
  <c r="AY69" i="42"/>
  <c r="Q67" i="42"/>
  <c r="P67" i="42"/>
  <c r="M76" i="42"/>
  <c r="AH86" i="42"/>
  <c r="AH90" i="42"/>
  <c r="V203" i="42"/>
  <c r="V21" i="42"/>
  <c r="BS13" i="42"/>
  <c r="BK33" i="42"/>
  <c r="BY30" i="42"/>
  <c r="BY33" i="42" s="1"/>
  <c r="BM30" i="42"/>
  <c r="BX30" i="42" s="1"/>
  <c r="AY206" i="42"/>
  <c r="AY64" i="42"/>
  <c r="BW59" i="42"/>
  <c r="M203" i="42"/>
  <c r="M21" i="42"/>
  <c r="AF12" i="42"/>
  <c r="AP205" i="42"/>
  <c r="BT14" i="42"/>
  <c r="BZ14" i="42"/>
  <c r="BY16" i="42"/>
  <c r="BQ19" i="42"/>
  <c r="AS19" i="42"/>
  <c r="BQ20" i="42"/>
  <c r="AS20" i="42"/>
  <c r="BK25" i="42"/>
  <c r="BY22" i="42"/>
  <c r="BY25" i="42" s="1"/>
  <c r="BM22" i="42"/>
  <c r="BX22" i="42" s="1"/>
  <c r="BP28" i="42"/>
  <c r="AR28" i="42"/>
  <c r="AQ30" i="42"/>
  <c r="AP33" i="42"/>
  <c r="M33" i="42"/>
  <c r="BQ41" i="42"/>
  <c r="AS41" i="42"/>
  <c r="AI204" i="42"/>
  <c r="AI52" i="42"/>
  <c r="V47" i="42"/>
  <c r="BQ55" i="42"/>
  <c r="AS55" i="42"/>
  <c r="BQ56" i="42"/>
  <c r="AS56" i="42"/>
  <c r="BK69" i="42"/>
  <c r="BY65" i="42"/>
  <c r="BM65" i="42"/>
  <c r="AG79" i="42"/>
  <c r="AH79" i="42" s="1"/>
  <c r="AU79" i="42" s="1"/>
  <c r="W85" i="42"/>
  <c r="BQ81" i="42"/>
  <c r="AS81" i="42"/>
  <c r="AG89" i="42"/>
  <c r="BQ86" i="42"/>
  <c r="AS86" i="42"/>
  <c r="BQ90" i="42"/>
  <c r="AS90" i="42"/>
  <c r="AG95" i="42"/>
  <c r="BQ102" i="42"/>
  <c r="AS102" i="42"/>
  <c r="BK210" i="42"/>
  <c r="BY18" i="42"/>
  <c r="BM18" i="42"/>
  <c r="BX18" i="42" s="1"/>
  <c r="AF22" i="42"/>
  <c r="V25" i="42"/>
  <c r="BP42" i="42"/>
  <c r="AR42" i="42"/>
  <c r="AH42" i="42"/>
  <c r="AU42" i="42" s="1"/>
  <c r="P212" i="42"/>
  <c r="AY58" i="42"/>
  <c r="BP61" i="42"/>
  <c r="AR61" i="42"/>
  <c r="AH61" i="42"/>
  <c r="Q63" i="42"/>
  <c r="P63" i="42"/>
  <c r="P12" i="42"/>
  <c r="AS12" i="42"/>
  <c r="BK203" i="42"/>
  <c r="BQ12" i="42"/>
  <c r="AR13" i="42"/>
  <c r="W205" i="42"/>
  <c r="AQ14" i="42"/>
  <c r="AY205" i="42"/>
  <c r="AH16" i="42"/>
  <c r="AU16" i="42" s="1"/>
  <c r="BL209" i="42"/>
  <c r="BZ17" i="42"/>
  <c r="V210" i="42"/>
  <c r="AF18" i="42"/>
  <c r="AS18" i="42"/>
  <c r="AH19" i="42"/>
  <c r="BP19" i="42"/>
  <c r="P20" i="42"/>
  <c r="AH20" i="42"/>
  <c r="AU20" i="42" s="1"/>
  <c r="X21" i="42"/>
  <c r="X199" i="42" s="1"/>
  <c r="Q22" i="47" s="1"/>
  <c r="BP24" i="42"/>
  <c r="AR24" i="42"/>
  <c r="AQ26" i="42"/>
  <c r="AP29" i="42"/>
  <c r="M29" i="42"/>
  <c r="BQ28" i="42"/>
  <c r="AS28" i="42"/>
  <c r="AG29" i="42"/>
  <c r="AR31" i="42"/>
  <c r="Q32" i="42"/>
  <c r="P32" i="42"/>
  <c r="BQ34" i="42"/>
  <c r="AH36" i="42"/>
  <c r="AU36" i="42" s="1"/>
  <c r="BP36" i="42"/>
  <c r="AR36" i="42"/>
  <c r="BP38" i="42"/>
  <c r="AR38" i="42"/>
  <c r="AF40" i="42"/>
  <c r="AH38" i="42"/>
  <c r="AY44" i="42"/>
  <c r="BQ42" i="42"/>
  <c r="BK212" i="42"/>
  <c r="BK46" i="42"/>
  <c r="BY45" i="42"/>
  <c r="BM45" i="42"/>
  <c r="BX45" i="42" s="1"/>
  <c r="BS50" i="42"/>
  <c r="BZ53" i="42"/>
  <c r="BZ58" i="42" s="1"/>
  <c r="BL58" i="42"/>
  <c r="M206" i="42"/>
  <c r="M64" i="42"/>
  <c r="BQ61" i="42"/>
  <c r="AH63" i="42"/>
  <c r="BP63" i="42"/>
  <c r="AR63" i="42"/>
  <c r="AR66" i="42"/>
  <c r="BP66" i="42"/>
  <c r="BP71" i="42"/>
  <c r="AR71" i="42"/>
  <c r="AS83" i="42"/>
  <c r="BQ83" i="42"/>
  <c r="BC21" i="42"/>
  <c r="AH32" i="42"/>
  <c r="AU32" i="42" s="1"/>
  <c r="BP32" i="42"/>
  <c r="AR32" i="42"/>
  <c r="BL203" i="42"/>
  <c r="P13" i="42"/>
  <c r="M205" i="42"/>
  <c r="AF14" i="42"/>
  <c r="AG17" i="42"/>
  <c r="W210" i="42"/>
  <c r="BQ18" i="42"/>
  <c r="AQ19" i="42"/>
  <c r="BR19" i="42" s="1"/>
  <c r="BS19" i="42"/>
  <c r="AQ22" i="42"/>
  <c r="AP25" i="42"/>
  <c r="M25" i="42"/>
  <c r="BQ24" i="42"/>
  <c r="AS24" i="42"/>
  <c r="AG25" i="42"/>
  <c r="AS26" i="42"/>
  <c r="AR27" i="42"/>
  <c r="P28" i="42"/>
  <c r="I28" i="42" s="1"/>
  <c r="AH28" i="42"/>
  <c r="AU28" i="42" s="1"/>
  <c r="AF30" i="42"/>
  <c r="V33" i="42"/>
  <c r="BT30" i="42"/>
  <c r="BT33" i="42" s="1"/>
  <c r="BP31" i="42"/>
  <c r="BW37" i="42"/>
  <c r="BQ35" i="42"/>
  <c r="AS35" i="42"/>
  <c r="AT35" i="42" s="1"/>
  <c r="BQ36" i="42"/>
  <c r="AS36" i="42"/>
  <c r="BK40" i="42"/>
  <c r="BY38" i="42"/>
  <c r="BY40" i="42" s="1"/>
  <c r="BM38" i="42"/>
  <c r="M40" i="42"/>
  <c r="BP43" i="42"/>
  <c r="AR43" i="42"/>
  <c r="AO58" i="42"/>
  <c r="BS53" i="42"/>
  <c r="BP54" i="42"/>
  <c r="AR54" i="42"/>
  <c r="AH54" i="42"/>
  <c r="AU54" i="42" s="1"/>
  <c r="Q56" i="42"/>
  <c r="P56" i="42"/>
  <c r="BQ62" i="42"/>
  <c r="AS62" i="42"/>
  <c r="BQ63" i="42"/>
  <c r="AS63" i="42"/>
  <c r="BQ65" i="42"/>
  <c r="AH67" i="42"/>
  <c r="AU67" i="42" s="1"/>
  <c r="AR67" i="42"/>
  <c r="AH73" i="42"/>
  <c r="AU73" i="42" s="1"/>
  <c r="BP73" i="42"/>
  <c r="AR73" i="42"/>
  <c r="AP203" i="42"/>
  <c r="AP21" i="42"/>
  <c r="AF37" i="42"/>
  <c r="BP34" i="42"/>
  <c r="AR34" i="42"/>
  <c r="AH34" i="42"/>
  <c r="S203" i="42"/>
  <c r="AO203" i="42"/>
  <c r="AO21" i="42"/>
  <c r="BS12" i="42"/>
  <c r="AG205" i="42"/>
  <c r="AS14" i="42"/>
  <c r="BQ14" i="42"/>
  <c r="BW205" i="42"/>
  <c r="J209" i="42"/>
  <c r="P17" i="42"/>
  <c r="BP17" i="42"/>
  <c r="J210" i="42"/>
  <c r="Q18" i="42"/>
  <c r="AY210" i="42"/>
  <c r="Q20" i="42"/>
  <c r="AS22" i="42"/>
  <c r="AR23" i="42"/>
  <c r="P24" i="42"/>
  <c r="AH24" i="42"/>
  <c r="AF26" i="42"/>
  <c r="V29" i="42"/>
  <c r="BT26" i="42"/>
  <c r="BT29" i="42" s="1"/>
  <c r="BZ28" i="42"/>
  <c r="BM28" i="42"/>
  <c r="BX28" i="42" s="1"/>
  <c r="BQ31" i="42"/>
  <c r="AS31" i="42"/>
  <c r="AR39" i="42"/>
  <c r="BP39" i="42"/>
  <c r="S204" i="42"/>
  <c r="AH49" i="42"/>
  <c r="BP49" i="42"/>
  <c r="AR49" i="42"/>
  <c r="BQ51" i="42"/>
  <c r="AS51" i="42"/>
  <c r="AJ204" i="42"/>
  <c r="AJ58" i="42"/>
  <c r="AP53" i="42"/>
  <c r="AP204" i="42" s="1"/>
  <c r="W53" i="42"/>
  <c r="W204" i="42" s="1"/>
  <c r="BY54" i="42"/>
  <c r="BY58" i="42" s="1"/>
  <c r="BM54" i="42"/>
  <c r="BX54" i="42" s="1"/>
  <c r="BK58" i="42"/>
  <c r="AQ60" i="42"/>
  <c r="BR60" i="42" s="1"/>
  <c r="BS60" i="42"/>
  <c r="BQ66" i="42"/>
  <c r="AS66" i="42"/>
  <c r="AS67" i="42"/>
  <c r="BQ67" i="42"/>
  <c r="AH114" i="42"/>
  <c r="AR114" i="42"/>
  <c r="BP114" i="42"/>
  <c r="BM17" i="42"/>
  <c r="BX17" i="42" s="1"/>
  <c r="BS17" i="42"/>
  <c r="BL210" i="42"/>
  <c r="P19" i="42"/>
  <c r="Q22" i="42"/>
  <c r="P23" i="42"/>
  <c r="J25" i="42"/>
  <c r="AO25" i="42"/>
  <c r="Q26" i="42"/>
  <c r="P27" i="42"/>
  <c r="J29" i="42"/>
  <c r="AO29" i="42"/>
  <c r="Q30" i="42"/>
  <c r="P31" i="42"/>
  <c r="J33" i="42"/>
  <c r="AO33" i="42"/>
  <c r="Q34" i="42"/>
  <c r="P35" i="42"/>
  <c r="J37" i="42"/>
  <c r="V37" i="42"/>
  <c r="AO37" i="42"/>
  <c r="Q38" i="42"/>
  <c r="P39" i="42"/>
  <c r="AP40" i="42"/>
  <c r="BM41" i="42"/>
  <c r="BS41" i="42"/>
  <c r="BS44" i="42" s="1"/>
  <c r="BY41" i="42"/>
  <c r="Q42" i="42"/>
  <c r="P43" i="42"/>
  <c r="J44" i="42"/>
  <c r="Q45" i="42"/>
  <c r="I45" i="42" s="1"/>
  <c r="BM47" i="42"/>
  <c r="BY47" i="42"/>
  <c r="Q48" i="42"/>
  <c r="AG48" i="42"/>
  <c r="AQ49" i="42"/>
  <c r="BR49" i="42" s="1"/>
  <c r="BM51" i="42"/>
  <c r="BX51" i="42" s="1"/>
  <c r="BM53" i="42"/>
  <c r="Q54" i="42"/>
  <c r="I54" i="42" s="1"/>
  <c r="P55" i="42"/>
  <c r="AQ57" i="42"/>
  <c r="BR57" i="42" s="1"/>
  <c r="P59" i="42"/>
  <c r="AG59" i="42"/>
  <c r="Q61" i="42"/>
  <c r="P62" i="42"/>
  <c r="J64" i="42"/>
  <c r="BL69" i="42"/>
  <c r="P66" i="42"/>
  <c r="Q68" i="42"/>
  <c r="P68" i="42"/>
  <c r="AR70" i="42"/>
  <c r="BQ73" i="42"/>
  <c r="AS73" i="42"/>
  <c r="BZ74" i="42"/>
  <c r="BM74" i="42"/>
  <c r="BX74" i="42" s="1"/>
  <c r="S211" i="42"/>
  <c r="AH80" i="42"/>
  <c r="BP80" i="42"/>
  <c r="AR80" i="42"/>
  <c r="AR84" i="42"/>
  <c r="BL89" i="42"/>
  <c r="BZ86" i="42"/>
  <c r="BZ89" i="42" s="1"/>
  <c r="BZ90" i="42"/>
  <c r="BZ95" i="42" s="1"/>
  <c r="BL95" i="42"/>
  <c r="AS91" i="42"/>
  <c r="BQ92" i="42"/>
  <c r="AS92" i="42"/>
  <c r="Q93" i="42"/>
  <c r="P93" i="42"/>
  <c r="AH94" i="42"/>
  <c r="BP94" i="42"/>
  <c r="AR94" i="42"/>
  <c r="AR96" i="42"/>
  <c r="BP97" i="42"/>
  <c r="AH97" i="42"/>
  <c r="AR97" i="42"/>
  <c r="BL121" i="42"/>
  <c r="BZ116" i="42"/>
  <c r="BZ121" i="42" s="1"/>
  <c r="AH141" i="42"/>
  <c r="AR141" i="42"/>
  <c r="BP141" i="42"/>
  <c r="V209" i="42"/>
  <c r="BT17" i="42"/>
  <c r="S210" i="42"/>
  <c r="AO210" i="42"/>
  <c r="BS18" i="42"/>
  <c r="Q19" i="42"/>
  <c r="Q23" i="42"/>
  <c r="Q27" i="42"/>
  <c r="Q31" i="42"/>
  <c r="Q35" i="42"/>
  <c r="AP37" i="42"/>
  <c r="Q39" i="42"/>
  <c r="BT41" i="42"/>
  <c r="BS45" i="42"/>
  <c r="M46" i="42"/>
  <c r="J204" i="42"/>
  <c r="BT47" i="42"/>
  <c r="AY52" i="42"/>
  <c r="Q55" i="42"/>
  <c r="Q59" i="42"/>
  <c r="Q62" i="42"/>
  <c r="W64" i="42"/>
  <c r="AI64" i="42"/>
  <c r="AP64" i="42"/>
  <c r="AO69" i="42"/>
  <c r="BS65" i="42"/>
  <c r="Q66" i="42"/>
  <c r="BY67" i="42"/>
  <c r="BM67" i="42"/>
  <c r="BX67" i="42" s="1"/>
  <c r="V76" i="42"/>
  <c r="AY76" i="42"/>
  <c r="Q79" i="42"/>
  <c r="P79" i="42"/>
  <c r="BT85" i="42"/>
  <c r="BQ80" i="42"/>
  <c r="AS80" i="42"/>
  <c r="BS81" i="42"/>
  <c r="J85" i="42"/>
  <c r="AO85" i="42"/>
  <c r="M89" i="42"/>
  <c r="BQ88" i="42"/>
  <c r="AS88" i="42"/>
  <c r="M95" i="42"/>
  <c r="BP91" i="42"/>
  <c r="AR91" i="42"/>
  <c r="AH91" i="42"/>
  <c r="AH92" i="42"/>
  <c r="AY95" i="42"/>
  <c r="AS97" i="42"/>
  <c r="BQ97" i="42"/>
  <c r="BT34" i="42"/>
  <c r="BT37" i="42" s="1"/>
  <c r="BS35" i="42"/>
  <c r="BS37" i="42" s="1"/>
  <c r="BT38" i="42"/>
  <c r="BT40" i="42" s="1"/>
  <c r="BS39" i="42"/>
  <c r="BT42" i="42"/>
  <c r="AJ44" i="42"/>
  <c r="BT45" i="42"/>
  <c r="M204" i="42"/>
  <c r="AS49" i="42"/>
  <c r="AR50" i="42"/>
  <c r="BP50" i="42"/>
  <c r="BT54" i="42"/>
  <c r="BS55" i="42"/>
  <c r="AS57" i="42"/>
  <c r="BL206" i="42"/>
  <c r="BT61" i="42"/>
  <c r="BS62" i="42"/>
  <c r="BC64" i="42"/>
  <c r="BT65" i="42"/>
  <c r="BT69" i="42" s="1"/>
  <c r="BS66" i="42"/>
  <c r="BQ70" i="42"/>
  <c r="AS70" i="42"/>
  <c r="Q71" i="42"/>
  <c r="P71" i="42"/>
  <c r="AH72" i="42"/>
  <c r="BP72" i="42"/>
  <c r="AR72" i="42"/>
  <c r="BP75" i="42"/>
  <c r="AR75" i="42"/>
  <c r="AH75" i="42"/>
  <c r="BP87" i="42"/>
  <c r="AR87" i="42"/>
  <c r="AH87" i="42"/>
  <c r="BY91" i="42"/>
  <c r="BY95" i="42" s="1"/>
  <c r="BM91" i="42"/>
  <c r="BX91" i="42" s="1"/>
  <c r="AG99" i="42"/>
  <c r="BQ96" i="42"/>
  <c r="AS96" i="42"/>
  <c r="BQ104" i="42"/>
  <c r="AS104" i="42"/>
  <c r="BM32" i="42"/>
  <c r="BX32" i="42" s="1"/>
  <c r="BM36" i="42"/>
  <c r="BX36" i="42" s="1"/>
  <c r="BM43" i="42"/>
  <c r="BX43" i="42" s="1"/>
  <c r="AQ45" i="42"/>
  <c r="BR45" i="42" s="1"/>
  <c r="P47" i="42"/>
  <c r="BS48" i="42"/>
  <c r="P50" i="42"/>
  <c r="AS50" i="42"/>
  <c r="AR51" i="42"/>
  <c r="BM56" i="42"/>
  <c r="BX56" i="42" s="1"/>
  <c r="AO206" i="42"/>
  <c r="BS59" i="42"/>
  <c r="AS60" i="42"/>
  <c r="BM63" i="42"/>
  <c r="BX63" i="42" s="1"/>
  <c r="J69" i="42"/>
  <c r="W69" i="42"/>
  <c r="AQ65" i="42"/>
  <c r="AH68" i="42"/>
  <c r="BP68" i="42"/>
  <c r="AR68" i="42"/>
  <c r="AF76" i="42"/>
  <c r="AH70" i="42"/>
  <c r="AU70" i="42" s="1"/>
  <c r="BP74" i="42"/>
  <c r="AR74" i="42"/>
  <c r="BY75" i="42"/>
  <c r="BM75" i="42"/>
  <c r="BX75" i="42" s="1"/>
  <c r="AO211" i="42"/>
  <c r="AO78" i="42"/>
  <c r="AQ77" i="42"/>
  <c r="BR77" i="42" s="1"/>
  <c r="AY85" i="42"/>
  <c r="BW79" i="42"/>
  <c r="BW85" i="42" s="1"/>
  <c r="P84" i="42"/>
  <c r="BY87" i="42"/>
  <c r="BM87" i="42"/>
  <c r="BX87" i="42" s="1"/>
  <c r="AH93" i="42"/>
  <c r="AU93" i="42" s="1"/>
  <c r="BP93" i="42"/>
  <c r="AR93" i="42"/>
  <c r="AF99" i="42"/>
  <c r="AH96" i="42"/>
  <c r="Q97" i="42"/>
  <c r="P97" i="42"/>
  <c r="BK209" i="42"/>
  <c r="M210" i="42"/>
  <c r="BW41" i="42"/>
  <c r="BW44" i="42" s="1"/>
  <c r="W43" i="42"/>
  <c r="AG43" i="42" s="1"/>
  <c r="AP43" i="42"/>
  <c r="AP44" i="42" s="1"/>
  <c r="AF45" i="42"/>
  <c r="J46" i="42"/>
  <c r="V46" i="42"/>
  <c r="AS47" i="42"/>
  <c r="BQ47" i="42"/>
  <c r="BW47" i="42"/>
  <c r="BT48" i="42"/>
  <c r="BM49" i="42"/>
  <c r="BX49" i="42" s="1"/>
  <c r="BM57" i="42"/>
  <c r="BX57" i="42" s="1"/>
  <c r="BT59" i="42"/>
  <c r="BZ59" i="42"/>
  <c r="BK60" i="42"/>
  <c r="M69" i="42"/>
  <c r="AF65" i="42"/>
  <c r="BQ68" i="42"/>
  <c r="AS68" i="42"/>
  <c r="J76" i="42"/>
  <c r="BS77" i="42"/>
  <c r="AF85" i="42"/>
  <c r="BP79" i="42"/>
  <c r="AR79" i="42"/>
  <c r="AH81" i="42"/>
  <c r="BP81" i="42"/>
  <c r="AR81" i="42"/>
  <c r="BY83" i="42"/>
  <c r="BM83" i="42"/>
  <c r="BX83" i="42" s="1"/>
  <c r="V85" i="42"/>
  <c r="AF89" i="42"/>
  <c r="BP86" i="42"/>
  <c r="AR86" i="42"/>
  <c r="BP88" i="42"/>
  <c r="BP90" i="42"/>
  <c r="AR90" i="42"/>
  <c r="BQ93" i="42"/>
  <c r="AS93" i="42"/>
  <c r="AF95" i="42"/>
  <c r="M99" i="42"/>
  <c r="AQ68" i="42"/>
  <c r="BR68" i="42" s="1"/>
  <c r="P70" i="42"/>
  <c r="BW70" i="42"/>
  <c r="BW76" i="42" s="1"/>
  <c r="AQ72" i="42"/>
  <c r="BR72" i="42" s="1"/>
  <c r="BS74" i="42"/>
  <c r="BT77" i="42"/>
  <c r="BZ77" i="42"/>
  <c r="AY78" i="42"/>
  <c r="BK78" i="42"/>
  <c r="AQ80" i="42"/>
  <c r="BR80" i="42" s="1"/>
  <c r="BM82" i="42"/>
  <c r="BX82" i="42" s="1"/>
  <c r="BS82" i="42"/>
  <c r="Q83" i="42"/>
  <c r="I83" i="42" s="1"/>
  <c r="AH83" i="42"/>
  <c r="AS84" i="42"/>
  <c r="AP85" i="42"/>
  <c r="BM86" i="42"/>
  <c r="BY86" i="42"/>
  <c r="P88" i="42"/>
  <c r="W89" i="42"/>
  <c r="AP89" i="42"/>
  <c r="BM90" i="42"/>
  <c r="Q91" i="42"/>
  <c r="P92" i="42"/>
  <c r="I92" i="42" s="1"/>
  <c r="AQ94" i="42"/>
  <c r="BR94" i="42" s="1"/>
  <c r="P96" i="42"/>
  <c r="I96" i="42" s="1"/>
  <c r="BK99" i="42"/>
  <c r="BW96" i="42"/>
  <c r="BW99" i="42" s="1"/>
  <c r="J99" i="42"/>
  <c r="AO99" i="42"/>
  <c r="M105" i="42"/>
  <c r="AH102" i="42"/>
  <c r="M112" i="42"/>
  <c r="BT112" i="42"/>
  <c r="AQ108" i="42"/>
  <c r="BR108" i="42" s="1"/>
  <c r="BS108" i="42"/>
  <c r="BQ110" i="42"/>
  <c r="AS110" i="42"/>
  <c r="Q111" i="42"/>
  <c r="P111" i="42"/>
  <c r="BP113" i="42"/>
  <c r="AR113" i="42"/>
  <c r="AF115" i="42"/>
  <c r="AP121" i="42"/>
  <c r="BT126" i="42"/>
  <c r="BT131" i="42" s="1"/>
  <c r="BK138" i="42"/>
  <c r="BY136" i="42"/>
  <c r="BY138" i="42" s="1"/>
  <c r="BM136" i="42"/>
  <c r="BX144" i="42"/>
  <c r="AQ144" i="42"/>
  <c r="BR144" i="42" s="1"/>
  <c r="BS144" i="42"/>
  <c r="BW146" i="42"/>
  <c r="BW148" i="42" s="1"/>
  <c r="AY148" i="42"/>
  <c r="Q150" i="42"/>
  <c r="P150" i="42"/>
  <c r="Q70" i="42"/>
  <c r="BS75" i="42"/>
  <c r="BL78" i="42"/>
  <c r="BS83" i="42"/>
  <c r="BT86" i="42"/>
  <c r="BT89" i="42" s="1"/>
  <c r="BS87" i="42"/>
  <c r="BT90" i="42"/>
  <c r="BT95" i="42" s="1"/>
  <c r="BS91" i="42"/>
  <c r="J95" i="42"/>
  <c r="V95" i="42"/>
  <c r="AO95" i="42"/>
  <c r="BZ100" i="42"/>
  <c r="BZ105" i="42" s="1"/>
  <c r="BL105" i="42"/>
  <c r="AH107" i="42"/>
  <c r="BP107" i="42"/>
  <c r="AR107" i="42"/>
  <c r="BQ117" i="42"/>
  <c r="AS117" i="42"/>
  <c r="BT122" i="42"/>
  <c r="BT125" i="42" s="1"/>
  <c r="BS70" i="42"/>
  <c r="BY70" i="42"/>
  <c r="P72" i="42"/>
  <c r="AS72" i="42"/>
  <c r="AF77" i="42"/>
  <c r="J78" i="42"/>
  <c r="V78" i="42"/>
  <c r="P80" i="42"/>
  <c r="BM84" i="42"/>
  <c r="BX84" i="42" s="1"/>
  <c r="BS84" i="42"/>
  <c r="BM88" i="42"/>
  <c r="BX88" i="42" s="1"/>
  <c r="BS88" i="42"/>
  <c r="AQ90" i="42"/>
  <c r="BM92" i="42"/>
  <c r="BX92" i="42" s="1"/>
  <c r="BS92" i="42"/>
  <c r="P94" i="42"/>
  <c r="AS94" i="42"/>
  <c r="W95" i="42"/>
  <c r="BS96" i="42"/>
  <c r="BP101" i="42"/>
  <c r="AR101" i="42"/>
  <c r="AH101" i="42"/>
  <c r="BQ103" i="42"/>
  <c r="AS103" i="42"/>
  <c r="BQ107" i="42"/>
  <c r="AS107" i="42"/>
  <c r="BK115" i="42"/>
  <c r="BY113" i="42"/>
  <c r="BY115" i="42" s="1"/>
  <c r="BM113" i="42"/>
  <c r="V131" i="42"/>
  <c r="AF126" i="42"/>
  <c r="BW145" i="42"/>
  <c r="Q142" i="42"/>
  <c r="P142" i="42"/>
  <c r="BZ70" i="42"/>
  <c r="BM71" i="42"/>
  <c r="P73" i="42"/>
  <c r="P77" i="42"/>
  <c r="AG77" i="42"/>
  <c r="BW77" i="42"/>
  <c r="W78" i="42"/>
  <c r="AP78" i="42"/>
  <c r="BM79" i="42"/>
  <c r="BY79" i="42"/>
  <c r="AR82" i="42"/>
  <c r="AY89" i="42"/>
  <c r="BM93" i="42"/>
  <c r="BX93" i="42" s="1"/>
  <c r="AP99" i="42"/>
  <c r="BT96" i="42"/>
  <c r="BT99" i="42" s="1"/>
  <c r="BZ96" i="42"/>
  <c r="BZ99" i="42" s="1"/>
  <c r="P98" i="42"/>
  <c r="V105" i="42"/>
  <c r="AP105" i="42"/>
  <c r="BY101" i="42"/>
  <c r="BY105" i="42" s="1"/>
  <c r="BM101" i="42"/>
  <c r="BX101" i="42" s="1"/>
  <c r="AH103" i="42"/>
  <c r="AY105" i="42"/>
  <c r="W112" i="42"/>
  <c r="AH108" i="42"/>
  <c r="AU108" i="42" s="1"/>
  <c r="BP108" i="42"/>
  <c r="AR108" i="42"/>
  <c r="AH111" i="42"/>
  <c r="AU111" i="42" s="1"/>
  <c r="BP111" i="42"/>
  <c r="AR111" i="42"/>
  <c r="M115" i="42"/>
  <c r="BW121" i="42"/>
  <c r="AH118" i="42"/>
  <c r="BP118" i="42"/>
  <c r="AR118" i="42"/>
  <c r="V125" i="42"/>
  <c r="AF122" i="42"/>
  <c r="BZ125" i="42"/>
  <c r="BQ124" i="42"/>
  <c r="AS124" i="42"/>
  <c r="BM68" i="42"/>
  <c r="BX68" i="42" s="1"/>
  <c r="AQ70" i="42"/>
  <c r="BR70" i="42" s="1"/>
  <c r="BM72" i="42"/>
  <c r="BX72" i="42" s="1"/>
  <c r="AS74" i="42"/>
  <c r="Q77" i="42"/>
  <c r="BZ79" i="42"/>
  <c r="BZ85" i="42" s="1"/>
  <c r="AS82" i="42"/>
  <c r="AR83" i="42"/>
  <c r="BM94" i="42"/>
  <c r="BX94" i="42" s="1"/>
  <c r="W99" i="42"/>
  <c r="BY97" i="42"/>
  <c r="BY99" i="42" s="1"/>
  <c r="BM97" i="42"/>
  <c r="BP98" i="42"/>
  <c r="W105" i="42"/>
  <c r="Q103" i="42"/>
  <c r="P103" i="42"/>
  <c r="AH104" i="42"/>
  <c r="AU104" i="42" s="1"/>
  <c r="BP104" i="42"/>
  <c r="AR104" i="42"/>
  <c r="Q107" i="42"/>
  <c r="P107" i="42"/>
  <c r="BQ108" i="42"/>
  <c r="AS108" i="42"/>
  <c r="BY109" i="42"/>
  <c r="BM109" i="42"/>
  <c r="BX109" i="42" s="1"/>
  <c r="BP110" i="42"/>
  <c r="BQ111" i="42"/>
  <c r="AS111" i="42"/>
  <c r="BT115" i="42"/>
  <c r="BQ114" i="42"/>
  <c r="AS114" i="42"/>
  <c r="BQ120" i="42"/>
  <c r="AS120" i="42"/>
  <c r="BY125" i="42"/>
  <c r="AH147" i="42"/>
  <c r="AU147" i="42" s="1"/>
  <c r="BP147" i="42"/>
  <c r="AR147" i="42"/>
  <c r="AS98" i="42"/>
  <c r="BM100" i="42"/>
  <c r="BS100" i="42"/>
  <c r="Q101" i="42"/>
  <c r="P102" i="42"/>
  <c r="AR103" i="42"/>
  <c r="BP103" i="42"/>
  <c r="AQ104" i="42"/>
  <c r="AG105" i="42"/>
  <c r="P106" i="42"/>
  <c r="AG106" i="42"/>
  <c r="BW106" i="42"/>
  <c r="BW112" i="42" s="1"/>
  <c r="Q109" i="42"/>
  <c r="AH109" i="42"/>
  <c r="AU109" i="42" s="1"/>
  <c r="P110" i="42"/>
  <c r="J112" i="42"/>
  <c r="AO112" i="42"/>
  <c r="Q113" i="42"/>
  <c r="P114" i="42"/>
  <c r="AP115" i="42"/>
  <c r="BM116" i="42"/>
  <c r="BS116" i="42"/>
  <c r="BY116" i="42"/>
  <c r="BY121" i="42" s="1"/>
  <c r="AQ118" i="42"/>
  <c r="BR118" i="42" s="1"/>
  <c r="BM120" i="42"/>
  <c r="BX120" i="42" s="1"/>
  <c r="AQ122" i="42"/>
  <c r="BM124" i="42"/>
  <c r="BX124" i="42" s="1"/>
  <c r="J131" i="42"/>
  <c r="W131" i="42"/>
  <c r="AQ126" i="42"/>
  <c r="AY131" i="42"/>
  <c r="BP127" i="42"/>
  <c r="AR127" i="42"/>
  <c r="AS127" i="42"/>
  <c r="AS128" i="42"/>
  <c r="Q130" i="42"/>
  <c r="P130" i="42"/>
  <c r="Q134" i="42"/>
  <c r="Q135" i="42" s="1"/>
  <c r="P134" i="42"/>
  <c r="M138" i="42"/>
  <c r="AR137" i="42"/>
  <c r="J145" i="42"/>
  <c r="W145" i="42"/>
  <c r="AS140" i="42"/>
  <c r="V148" i="42"/>
  <c r="M153" i="42"/>
  <c r="BR149" i="42"/>
  <c r="AP153" i="42"/>
  <c r="BQ152" i="42"/>
  <c r="AS152" i="42"/>
  <c r="Q161" i="42"/>
  <c r="P161" i="42"/>
  <c r="J162" i="42"/>
  <c r="Q98" i="42"/>
  <c r="BT100" i="42"/>
  <c r="BT105" i="42" s="1"/>
  <c r="BS101" i="42"/>
  <c r="Q102" i="42"/>
  <c r="J105" i="42"/>
  <c r="AO105" i="42"/>
  <c r="Q106" i="42"/>
  <c r="Q110" i="42"/>
  <c r="AP112" i="42"/>
  <c r="Q114" i="42"/>
  <c r="BT116" i="42"/>
  <c r="BT121" i="42" s="1"/>
  <c r="AY121" i="42"/>
  <c r="BK125" i="42"/>
  <c r="BO127" i="42"/>
  <c r="BR129" i="42"/>
  <c r="P129" i="42"/>
  <c r="BQ133" i="42"/>
  <c r="AS133" i="42"/>
  <c r="AH143" i="42"/>
  <c r="BP143" i="42"/>
  <c r="AR143" i="42"/>
  <c r="W148" i="42"/>
  <c r="AG146" i="42"/>
  <c r="BP151" i="42"/>
  <c r="AH151" i="42"/>
  <c r="AU151" i="42" s="1"/>
  <c r="AR151" i="42"/>
  <c r="P152" i="42"/>
  <c r="P175" i="42"/>
  <c r="BM98" i="42"/>
  <c r="BX98" i="42" s="1"/>
  <c r="BS98" i="42"/>
  <c r="BM102" i="42"/>
  <c r="BX102" i="42" s="1"/>
  <c r="BS102" i="42"/>
  <c r="P104" i="42"/>
  <c r="BS106" i="42"/>
  <c r="BY106" i="42"/>
  <c r="BM110" i="42"/>
  <c r="BX110" i="42" s="1"/>
  <c r="BZ113" i="42"/>
  <c r="BZ115" i="42" s="1"/>
  <c r="BM114" i="42"/>
  <c r="BX114" i="42" s="1"/>
  <c r="BS114" i="42"/>
  <c r="AS118" i="42"/>
  <c r="AR119" i="42"/>
  <c r="BP119" i="42"/>
  <c r="AS122" i="42"/>
  <c r="BQ122" i="42"/>
  <c r="AR123" i="42"/>
  <c r="BP123" i="42"/>
  <c r="AS126" i="42"/>
  <c r="BW131" i="42"/>
  <c r="BY128" i="42"/>
  <c r="BM128" i="42"/>
  <c r="BX128" i="42" s="1"/>
  <c r="BT138" i="42"/>
  <c r="BQ137" i="42"/>
  <c r="AS137" i="42"/>
  <c r="BY140" i="42"/>
  <c r="BM140" i="42"/>
  <c r="BX140" i="42" s="1"/>
  <c r="AH142" i="42"/>
  <c r="BP142" i="42"/>
  <c r="AR142" i="42"/>
  <c r="BQ143" i="42"/>
  <c r="AS143" i="42"/>
  <c r="BY160" i="42"/>
  <c r="BM160" i="42"/>
  <c r="BX160" i="42" s="1"/>
  <c r="AR100" i="42"/>
  <c r="BM103" i="42"/>
  <c r="BX103" i="42" s="1"/>
  <c r="BM107" i="42"/>
  <c r="BX107" i="42" s="1"/>
  <c r="BM111" i="42"/>
  <c r="BX111" i="42" s="1"/>
  <c r="BM117" i="42"/>
  <c r="BX117" i="42" s="1"/>
  <c r="BS117" i="42"/>
  <c r="AS119" i="42"/>
  <c r="AR120" i="42"/>
  <c r="J121" i="42"/>
  <c r="P123" i="42"/>
  <c r="AR124" i="42"/>
  <c r="J125" i="42"/>
  <c r="AO125" i="42"/>
  <c r="AV127" i="42"/>
  <c r="AH130" i="42"/>
  <c r="AU130" i="42" s="1"/>
  <c r="BP130" i="42"/>
  <c r="AR130" i="42"/>
  <c r="AF135" i="42"/>
  <c r="BP132" i="42"/>
  <c r="AR132" i="42"/>
  <c r="P133" i="42"/>
  <c r="AH134" i="42"/>
  <c r="BP134" i="42"/>
  <c r="AR134" i="42"/>
  <c r="BL145" i="42"/>
  <c r="BZ139" i="42"/>
  <c r="BZ145" i="42" s="1"/>
  <c r="BQ142" i="42"/>
  <c r="AS142" i="42"/>
  <c r="Q146" i="42"/>
  <c r="J148" i="42"/>
  <c r="P146" i="42"/>
  <c r="BT148" i="42"/>
  <c r="AG153" i="42"/>
  <c r="BQ149" i="42"/>
  <c r="AS149" i="42"/>
  <c r="BW153" i="42"/>
  <c r="BQ150" i="42"/>
  <c r="AS150" i="42"/>
  <c r="AS151" i="42"/>
  <c r="Q192" i="42"/>
  <c r="P192" i="42"/>
  <c r="J198" i="42"/>
  <c r="AG198" i="42"/>
  <c r="BQ192" i="42"/>
  <c r="AS192" i="42"/>
  <c r="P100" i="42"/>
  <c r="I100" i="42" s="1"/>
  <c r="AS100" i="42"/>
  <c r="BM104" i="42"/>
  <c r="BX104" i="42" s="1"/>
  <c r="AR109" i="42"/>
  <c r="AG116" i="42"/>
  <c r="BM118" i="42"/>
  <c r="BX118" i="42" s="1"/>
  <c r="BM122" i="42"/>
  <c r="BM126" i="42"/>
  <c r="BS126" i="42"/>
  <c r="BY126" i="42"/>
  <c r="Q127" i="42"/>
  <c r="AQ127" i="42"/>
  <c r="BR127" i="42" s="1"/>
  <c r="BS127" i="42"/>
  <c r="BQ130" i="42"/>
  <c r="BQ131" i="42" s="1"/>
  <c r="AS130" i="42"/>
  <c r="BK135" i="42"/>
  <c r="BY132" i="42"/>
  <c r="BY135" i="42" s="1"/>
  <c r="BM132" i="42"/>
  <c r="BP133" i="42"/>
  <c r="BQ134" i="42"/>
  <c r="AS134" i="42"/>
  <c r="AO145" i="42"/>
  <c r="BQ141" i="42"/>
  <c r="AS141" i="42"/>
  <c r="M145" i="42"/>
  <c r="BZ148" i="42"/>
  <c r="AH149" i="42"/>
  <c r="W153" i="42"/>
  <c r="AS155" i="42"/>
  <c r="BQ155" i="42"/>
  <c r="AH155" i="42"/>
  <c r="AH165" i="42"/>
  <c r="BP165" i="42"/>
  <c r="AR165" i="42"/>
  <c r="BM127" i="42"/>
  <c r="BX127" i="42" s="1"/>
  <c r="AH128" i="42"/>
  <c r="AS129" i="42"/>
  <c r="J135" i="42"/>
  <c r="V135" i="42"/>
  <c r="AO135" i="42"/>
  <c r="Q136" i="42"/>
  <c r="P137" i="42"/>
  <c r="AP138" i="42"/>
  <c r="BM139" i="42"/>
  <c r="BS139" i="42"/>
  <c r="BY139" i="42"/>
  <c r="Q140" i="42"/>
  <c r="I140" i="42" s="1"/>
  <c r="AH140" i="42"/>
  <c r="P141" i="42"/>
  <c r="AQ143" i="42"/>
  <c r="BR143" i="42" s="1"/>
  <c r="AF145" i="42"/>
  <c r="AF146" i="42"/>
  <c r="AQ147" i="42"/>
  <c r="BR147" i="42" s="1"/>
  <c r="P149" i="42"/>
  <c r="BK153" i="42"/>
  <c r="AF150" i="42"/>
  <c r="AQ151" i="42"/>
  <c r="BR151" i="42" s="1"/>
  <c r="BQ151" i="42"/>
  <c r="BY152" i="42"/>
  <c r="BM152" i="42"/>
  <c r="BX152" i="42" s="1"/>
  <c r="J153" i="42"/>
  <c r="BP156" i="42"/>
  <c r="BY155" i="42"/>
  <c r="BM155" i="42"/>
  <c r="BS157" i="42"/>
  <c r="BS158" i="42"/>
  <c r="BL162" i="42"/>
  <c r="AG166" i="42"/>
  <c r="AN199" i="42"/>
  <c r="AG22" i="47" s="1"/>
  <c r="AO179" i="42"/>
  <c r="BS174" i="42"/>
  <c r="AQ174" i="42"/>
  <c r="BR174" i="42" s="1"/>
  <c r="AH178" i="42"/>
  <c r="AU178" i="42" s="1"/>
  <c r="AR178" i="42"/>
  <c r="AQ194" i="42"/>
  <c r="BR194" i="42" s="1"/>
  <c r="AO198" i="42"/>
  <c r="BS194" i="42"/>
  <c r="BY196" i="42"/>
  <c r="BM196" i="42"/>
  <c r="BX196" i="42" s="1"/>
  <c r="Y202" i="42"/>
  <c r="BS128" i="42"/>
  <c r="BS132" i="42"/>
  <c r="AP135" i="42"/>
  <c r="BS136" i="42"/>
  <c r="BT139" i="42"/>
  <c r="BT145" i="42" s="1"/>
  <c r="Q141" i="42"/>
  <c r="AG145" i="42"/>
  <c r="AO148" i="42"/>
  <c r="Q149" i="42"/>
  <c r="BL153" i="42"/>
  <c r="BW156" i="42"/>
  <c r="BT157" i="42"/>
  <c r="AR160" i="42"/>
  <c r="BP160" i="42"/>
  <c r="BY164" i="42"/>
  <c r="BM164" i="42"/>
  <c r="BX164" i="42" s="1"/>
  <c r="BQ168" i="42"/>
  <c r="BQ172" i="42" s="1"/>
  <c r="AS168" i="42"/>
  <c r="AO185" i="42"/>
  <c r="BS182" i="42"/>
  <c r="AQ182" i="42"/>
  <c r="BS183" i="42"/>
  <c r="AQ183" i="42"/>
  <c r="BR183" i="42" s="1"/>
  <c r="W191" i="42"/>
  <c r="AG186" i="42"/>
  <c r="BM129" i="42"/>
  <c r="BX129" i="42" s="1"/>
  <c r="BM133" i="42"/>
  <c r="BX133" i="42" s="1"/>
  <c r="BS133" i="42"/>
  <c r="BZ136" i="42"/>
  <c r="BZ138" i="42" s="1"/>
  <c r="BM137" i="42"/>
  <c r="BX137" i="42" s="1"/>
  <c r="BS137" i="42"/>
  <c r="AQ139" i="42"/>
  <c r="BM141" i="42"/>
  <c r="BX141" i="42" s="1"/>
  <c r="AR144" i="42"/>
  <c r="AS147" i="42"/>
  <c r="AP148" i="42"/>
  <c r="BS149" i="42"/>
  <c r="BY151" i="42"/>
  <c r="BM151" i="42"/>
  <c r="BX151" i="42" s="1"/>
  <c r="AR152" i="42"/>
  <c r="BK162" i="42"/>
  <c r="BY159" i="42"/>
  <c r="BM159" i="42"/>
  <c r="BX159" i="42" s="1"/>
  <c r="AR161" i="42"/>
  <c r="BP161" i="42"/>
  <c r="BL166" i="42"/>
  <c r="BZ163" i="42"/>
  <c r="BZ166" i="42" s="1"/>
  <c r="V172" i="42"/>
  <c r="AF169" i="42"/>
  <c r="AF209" i="42" s="1"/>
  <c r="BS176" i="42"/>
  <c r="AQ176" i="42"/>
  <c r="BR176" i="42" s="1"/>
  <c r="BH199" i="42"/>
  <c r="BA22" i="47" s="1"/>
  <c r="BQ190" i="42"/>
  <c r="AS190" i="42"/>
  <c r="AD199" i="42"/>
  <c r="W22" i="47" s="1"/>
  <c r="BM130" i="42"/>
  <c r="BX130" i="42" s="1"/>
  <c r="AF138" i="42"/>
  <c r="AR139" i="42"/>
  <c r="AS144" i="42"/>
  <c r="BM146" i="42"/>
  <c r="BT149" i="42"/>
  <c r="BT153" i="42" s="1"/>
  <c r="BZ149" i="42"/>
  <c r="BZ153" i="42" s="1"/>
  <c r="BM150" i="42"/>
  <c r="BX150" i="42" s="1"/>
  <c r="AO156" i="42"/>
  <c r="AQ154" i="42"/>
  <c r="BL156" i="42"/>
  <c r="BZ154" i="42"/>
  <c r="BZ156" i="42" s="1"/>
  <c r="AQ157" i="42"/>
  <c r="BQ161" i="42"/>
  <c r="BQ162" i="42" s="1"/>
  <c r="AS161" i="42"/>
  <c r="BP168" i="42"/>
  <c r="AG173" i="42"/>
  <c r="W179" i="42"/>
  <c r="BW179" i="42"/>
  <c r="BY175" i="42"/>
  <c r="BQ177" i="42"/>
  <c r="AS177" i="42"/>
  <c r="BW185" i="42"/>
  <c r="BQ181" i="42"/>
  <c r="AS181" i="42"/>
  <c r="BP188" i="42"/>
  <c r="AR188" i="42"/>
  <c r="AH188" i="42"/>
  <c r="Q193" i="42"/>
  <c r="P193" i="42"/>
  <c r="AR128" i="42"/>
  <c r="AS139" i="42"/>
  <c r="AR140" i="42"/>
  <c r="AY153" i="42"/>
  <c r="AH152" i="42"/>
  <c r="AU152" i="42" s="1"/>
  <c r="BQ165" i="42"/>
  <c r="AS165" i="42"/>
  <c r="BL172" i="42"/>
  <c r="BZ167" i="42"/>
  <c r="BZ172" i="42" s="1"/>
  <c r="AR175" i="42"/>
  <c r="BP175" i="42"/>
  <c r="AH175" i="42"/>
  <c r="AU175" i="42" s="1"/>
  <c r="BP177" i="42"/>
  <c r="AH177" i="42"/>
  <c r="BY177" i="42"/>
  <c r="BM177" i="42"/>
  <c r="BX177" i="42" s="1"/>
  <c r="M185" i="42"/>
  <c r="BY183" i="42"/>
  <c r="BM183" i="42"/>
  <c r="N199" i="42"/>
  <c r="G22" i="47" s="1"/>
  <c r="AH187" i="42"/>
  <c r="BP187" i="42"/>
  <c r="AR187" i="42"/>
  <c r="O199" i="42"/>
  <c r="H22" i="47" s="1"/>
  <c r="Q152" i="42"/>
  <c r="BS155" i="42"/>
  <c r="BS156" i="42" s="1"/>
  <c r="Q160" i="42"/>
  <c r="BM163" i="42"/>
  <c r="BY163" i="42"/>
  <c r="Q164" i="42"/>
  <c r="P165" i="42"/>
  <c r="AP166" i="42"/>
  <c r="BM167" i="42"/>
  <c r="BY167" i="42"/>
  <c r="Q168" i="42"/>
  <c r="AQ169" i="42"/>
  <c r="BM171" i="42"/>
  <c r="BX171" i="42" s="1"/>
  <c r="P173" i="42"/>
  <c r="AF173" i="42"/>
  <c r="BQ174" i="42"/>
  <c r="BP176" i="42"/>
  <c r="P177" i="42"/>
  <c r="BQ178" i="42"/>
  <c r="AY179" i="42"/>
  <c r="BK179" i="42"/>
  <c r="P181" i="42"/>
  <c r="BP182" i="42"/>
  <c r="Q183" i="42"/>
  <c r="AQ184" i="42"/>
  <c r="BR184" i="42" s="1"/>
  <c r="BS184" i="42"/>
  <c r="AY191" i="42"/>
  <c r="BW186" i="42"/>
  <c r="BW191" i="42" s="1"/>
  <c r="M198" i="42"/>
  <c r="O202" i="42"/>
  <c r="BS152" i="42"/>
  <c r="AF156" i="42"/>
  <c r="AY156" i="42"/>
  <c r="Q165" i="42"/>
  <c r="I167" i="42"/>
  <c r="BP174" i="42"/>
  <c r="AR174" i="42"/>
  <c r="BQ176" i="42"/>
  <c r="Q177" i="42"/>
  <c r="BL179" i="42"/>
  <c r="BZ190" i="42"/>
  <c r="BZ191" i="42" s="1"/>
  <c r="BM190" i="42"/>
  <c r="BX190" i="42" s="1"/>
  <c r="T199" i="42"/>
  <c r="M22" i="47" s="1"/>
  <c r="BJ199" i="42"/>
  <c r="BC22" i="47" s="1"/>
  <c r="Z199" i="42"/>
  <c r="S22" i="47" s="1"/>
  <c r="AR154" i="42"/>
  <c r="AS157" i="42"/>
  <c r="AR158" i="42"/>
  <c r="BM161" i="42"/>
  <c r="BX161" i="42" s="1"/>
  <c r="AS169" i="42"/>
  <c r="AR170" i="42"/>
  <c r="AG172" i="42"/>
  <c r="AQ175" i="42"/>
  <c r="BR175" i="42" s="1"/>
  <c r="BT178" i="42"/>
  <c r="BT179" i="42" s="1"/>
  <c r="W185" i="42"/>
  <c r="BQ182" i="42"/>
  <c r="AS182" i="42"/>
  <c r="BP183" i="42"/>
  <c r="AR183" i="42"/>
  <c r="AS183" i="42"/>
  <c r="AR184" i="42"/>
  <c r="BK185" i="42"/>
  <c r="Q191" i="42"/>
  <c r="AP191" i="42"/>
  <c r="BK191" i="42"/>
  <c r="U199" i="42"/>
  <c r="N22" i="47" s="1"/>
  <c r="AX199" i="42"/>
  <c r="AQ22" i="47" s="1"/>
  <c r="BL191" i="42"/>
  <c r="BS196" i="42"/>
  <c r="R199" i="42"/>
  <c r="K22" i="47" s="1"/>
  <c r="BD199" i="42"/>
  <c r="AW22" i="47" s="1"/>
  <c r="P154" i="42"/>
  <c r="AR155" i="42"/>
  <c r="AS158" i="42"/>
  <c r="AR159" i="42"/>
  <c r="AR163" i="42"/>
  <c r="BP163" i="42"/>
  <c r="AR167" i="42"/>
  <c r="AS170" i="42"/>
  <c r="AR171" i="42"/>
  <c r="AO172" i="42"/>
  <c r="AF185" i="42"/>
  <c r="AR180" i="42"/>
  <c r="BZ180" i="42"/>
  <c r="BZ185" i="42" s="1"/>
  <c r="P182" i="42"/>
  <c r="AY185" i="42"/>
  <c r="AQ188" i="42"/>
  <c r="BR188" i="42" s="1"/>
  <c r="AH189" i="42"/>
  <c r="AU189" i="42" s="1"/>
  <c r="AR189" i="42"/>
  <c r="BF199" i="42"/>
  <c r="AY22" i="47" s="1"/>
  <c r="W198" i="42"/>
  <c r="BQ193" i="42"/>
  <c r="AS193" i="42"/>
  <c r="AF194" i="42"/>
  <c r="AF198" i="42" s="1"/>
  <c r="V198" i="42"/>
  <c r="AS163" i="42"/>
  <c r="BQ163" i="42"/>
  <c r="AS167" i="42"/>
  <c r="AS171" i="42"/>
  <c r="AG185" i="42"/>
  <c r="AS180" i="42"/>
  <c r="Q181" i="42"/>
  <c r="AH181" i="42"/>
  <c r="AR181" i="42"/>
  <c r="BP184" i="42"/>
  <c r="V191" i="42"/>
  <c r="AF186" i="42"/>
  <c r="BP190" i="42"/>
  <c r="AR190" i="42"/>
  <c r="AH190" i="42"/>
  <c r="Y199" i="42"/>
  <c r="R22" i="47" s="1"/>
  <c r="AE199" i="42"/>
  <c r="X22" i="47" s="1"/>
  <c r="AY198" i="42"/>
  <c r="BW192" i="42"/>
  <c r="BW198" i="42" s="1"/>
  <c r="AH193" i="42"/>
  <c r="AU193" i="42" s="1"/>
  <c r="AR193" i="42"/>
  <c r="BQ194" i="42"/>
  <c r="AS194" i="42"/>
  <c r="BP195" i="42"/>
  <c r="AR195" i="42"/>
  <c r="AH195" i="42"/>
  <c r="L199" i="42"/>
  <c r="E22" i="47" s="1"/>
  <c r="AP185" i="42"/>
  <c r="BT180" i="42"/>
  <c r="BT185" i="42" s="1"/>
  <c r="J191" i="42"/>
  <c r="P186" i="42"/>
  <c r="AH192" i="42"/>
  <c r="K199" i="42"/>
  <c r="D22" i="47" s="1"/>
  <c r="AW199" i="42"/>
  <c r="BT193" i="42"/>
  <c r="BT198" i="42" s="1"/>
  <c r="Q194" i="42"/>
  <c r="P194" i="42"/>
  <c r="BS195" i="42"/>
  <c r="AA199" i="42"/>
  <c r="T22" i="47" s="1"/>
  <c r="BA199" i="42"/>
  <c r="AT22" i="47" s="1"/>
  <c r="BG199" i="42"/>
  <c r="AZ22" i="47" s="1"/>
  <c r="AM199" i="42"/>
  <c r="AF22" i="47" s="1"/>
  <c r="BK198" i="42"/>
  <c r="BY192" i="42"/>
  <c r="BM192" i="42"/>
  <c r="BY197" i="42"/>
  <c r="BM197" i="42"/>
  <c r="BX197" i="42" s="1"/>
  <c r="AB199" i="42"/>
  <c r="U22" i="47" s="1"/>
  <c r="BB199" i="42"/>
  <c r="AU22" i="47" s="1"/>
  <c r="BF202" i="42"/>
  <c r="AS184" i="42"/>
  <c r="AO191" i="42"/>
  <c r="BS186" i="42"/>
  <c r="AS188" i="42"/>
  <c r="BQ189" i="42"/>
  <c r="AS189" i="42"/>
  <c r="BE199" i="42"/>
  <c r="AX22" i="47" s="1"/>
  <c r="BL198" i="42"/>
  <c r="AC199" i="42"/>
  <c r="V22" i="47" s="1"/>
  <c r="AL199" i="42"/>
  <c r="AE22" i="47" s="1"/>
  <c r="BI199" i="42"/>
  <c r="BB22" i="47" s="1"/>
  <c r="BA202" i="42"/>
  <c r="BG202" i="42"/>
  <c r="U202" i="42"/>
  <c r="AD202" i="42"/>
  <c r="BI202" i="42"/>
  <c r="AS195" i="42"/>
  <c r="AR196" i="42"/>
  <c r="AT196" i="42" s="1"/>
  <c r="AB202" i="42"/>
  <c r="BS16" i="41"/>
  <c r="I14" i="41"/>
  <c r="BQ23" i="41"/>
  <c r="AS23" i="41"/>
  <c r="BZ150" i="41"/>
  <c r="BZ29" i="41"/>
  <c r="AH14" i="41"/>
  <c r="AU14" i="41" s="1"/>
  <c r="BP14" i="41"/>
  <c r="AR14" i="41"/>
  <c r="BP20" i="41"/>
  <c r="AH20" i="41"/>
  <c r="AU20" i="41" s="1"/>
  <c r="AR20" i="41"/>
  <c r="BP24" i="41"/>
  <c r="AR24" i="41"/>
  <c r="W65" i="41"/>
  <c r="AG62" i="41"/>
  <c r="AQ12" i="41"/>
  <c r="P13" i="41"/>
  <c r="BM15" i="41"/>
  <c r="BX15" i="41" s="1"/>
  <c r="V16" i="41"/>
  <c r="AB138" i="41"/>
  <c r="U21" i="47" s="1"/>
  <c r="AP16" i="41"/>
  <c r="BD138" i="41"/>
  <c r="AW21" i="47" s="1"/>
  <c r="BJ138" i="41"/>
  <c r="BC21" i="47" s="1"/>
  <c r="Q17" i="41"/>
  <c r="AQ18" i="41"/>
  <c r="BR18" i="41" s="1"/>
  <c r="P19" i="41"/>
  <c r="AO149" i="41"/>
  <c r="P20" i="41"/>
  <c r="BM20" i="41"/>
  <c r="BX20" i="41" s="1"/>
  <c r="S21" i="41"/>
  <c r="AG21" i="41"/>
  <c r="BQ24" i="41"/>
  <c r="AS24" i="41"/>
  <c r="BS25" i="41"/>
  <c r="AH26" i="41"/>
  <c r="AO27" i="41"/>
  <c r="AO145" i="41"/>
  <c r="AQ31" i="41"/>
  <c r="BR31" i="41" s="1"/>
  <c r="AR34" i="41"/>
  <c r="BQ35" i="41"/>
  <c r="AS35" i="41"/>
  <c r="W43" i="41"/>
  <c r="AH38" i="41"/>
  <c r="AU38" i="41" s="1"/>
  <c r="Q39" i="41"/>
  <c r="P39" i="41"/>
  <c r="BZ48" i="41"/>
  <c r="BM48" i="41"/>
  <c r="BX48" i="41" s="1"/>
  <c r="BM90" i="41"/>
  <c r="BX90" i="41" s="1"/>
  <c r="BZ90" i="41"/>
  <c r="BZ93" i="41" s="1"/>
  <c r="BQ20" i="41"/>
  <c r="AS20" i="41"/>
  <c r="AH23" i="41"/>
  <c r="AU23" i="41" s="1"/>
  <c r="AH35" i="41"/>
  <c r="BP35" i="41"/>
  <c r="AR35" i="41"/>
  <c r="BQ38" i="41"/>
  <c r="AS38" i="41"/>
  <c r="Q64" i="41"/>
  <c r="P64" i="41"/>
  <c r="W142" i="41"/>
  <c r="AG12" i="41"/>
  <c r="AS14" i="41"/>
  <c r="BY14" i="41"/>
  <c r="W16" i="41"/>
  <c r="AX138" i="41"/>
  <c r="AQ21" i="47" s="1"/>
  <c r="BL16" i="41"/>
  <c r="AP21" i="41"/>
  <c r="AY21" i="41"/>
  <c r="S149" i="41"/>
  <c r="AO21" i="41"/>
  <c r="BL27" i="41"/>
  <c r="BZ22" i="41"/>
  <c r="BZ27" i="41" s="1"/>
  <c r="AH24" i="41"/>
  <c r="AU24" i="41" s="1"/>
  <c r="BS26" i="41"/>
  <c r="S27" i="41"/>
  <c r="BL150" i="41"/>
  <c r="BL29" i="41"/>
  <c r="BQ34" i="41"/>
  <c r="AS34" i="41"/>
  <c r="BK43" i="41"/>
  <c r="BY37" i="41"/>
  <c r="BM37" i="41"/>
  <c r="BX37" i="41" s="1"/>
  <c r="V43" i="41"/>
  <c r="AF40" i="41"/>
  <c r="BK72" i="41"/>
  <c r="BK79" i="41"/>
  <c r="BY74" i="41"/>
  <c r="BM74" i="41"/>
  <c r="BX74" i="41" s="1"/>
  <c r="AR77" i="41"/>
  <c r="AH77" i="41"/>
  <c r="BP77" i="41"/>
  <c r="AY142" i="41"/>
  <c r="AY16" i="41"/>
  <c r="BW12" i="41"/>
  <c r="AJ143" i="41"/>
  <c r="AJ141" i="41" s="1"/>
  <c r="W140" i="41" s="1"/>
  <c r="AP22" i="41"/>
  <c r="AP143" i="41" s="1"/>
  <c r="BP26" i="41"/>
  <c r="BY45" i="41"/>
  <c r="BM45" i="41"/>
  <c r="J142" i="41"/>
  <c r="P12" i="41"/>
  <c r="AF16" i="41"/>
  <c r="BL142" i="41"/>
  <c r="BZ12" i="41"/>
  <c r="BQ13" i="41"/>
  <c r="BW15" i="41"/>
  <c r="R138" i="41"/>
  <c r="K21" i="47" s="1"/>
  <c r="AD138" i="41"/>
  <c r="W21" i="47" s="1"/>
  <c r="BF138" i="41"/>
  <c r="AY21" i="47" s="1"/>
  <c r="AF17" i="41"/>
  <c r="AQ17" i="41"/>
  <c r="BY17" i="41"/>
  <c r="BK18" i="41"/>
  <c r="BK21" i="41" s="1"/>
  <c r="V149" i="41"/>
  <c r="AQ19" i="41"/>
  <c r="BP19" i="41"/>
  <c r="BW19" i="41"/>
  <c r="BW149" i="41" s="1"/>
  <c r="W22" i="41"/>
  <c r="W143" i="41" s="1"/>
  <c r="BM22" i="41"/>
  <c r="AJ27" i="41"/>
  <c r="AJ138" i="41" s="1"/>
  <c r="BC27" i="41"/>
  <c r="AP150" i="41"/>
  <c r="AP29" i="41"/>
  <c r="AQ28" i="41"/>
  <c r="BT30" i="41"/>
  <c r="S145" i="41"/>
  <c r="BP32" i="41"/>
  <c r="AR32" i="41"/>
  <c r="Q35" i="41"/>
  <c r="P35" i="41"/>
  <c r="AG43" i="41"/>
  <c r="AH41" i="41"/>
  <c r="AU41" i="41" s="1"/>
  <c r="AS41" i="41"/>
  <c r="BQ41" i="41"/>
  <c r="AS42" i="41"/>
  <c r="BQ42" i="41"/>
  <c r="BM53" i="41"/>
  <c r="BX53" i="41" s="1"/>
  <c r="BK58" i="41"/>
  <c r="BS69" i="41"/>
  <c r="AQ69" i="41"/>
  <c r="BR69" i="41" s="1"/>
  <c r="BL87" i="41"/>
  <c r="BM85" i="41"/>
  <c r="BX85" i="41" s="1"/>
  <c r="BZ85" i="41"/>
  <c r="AS95" i="41"/>
  <c r="BQ95" i="41"/>
  <c r="BL148" i="41"/>
  <c r="BZ15" i="41"/>
  <c r="M149" i="41"/>
  <c r="M142" i="41"/>
  <c r="BT12" i="41"/>
  <c r="BP13" i="41"/>
  <c r="AR13" i="41"/>
  <c r="AQ13" i="41"/>
  <c r="BR13" i="41" s="1"/>
  <c r="J148" i="41"/>
  <c r="AQ15" i="41"/>
  <c r="BR15" i="41" s="1"/>
  <c r="M16" i="41"/>
  <c r="S16" i="41"/>
  <c r="Y138" i="41"/>
  <c r="R21" i="47" s="1"/>
  <c r="AE138" i="41"/>
  <c r="X21" i="47" s="1"/>
  <c r="W21" i="41"/>
  <c r="BL143" i="41"/>
  <c r="BL21" i="41"/>
  <c r="BZ17" i="41"/>
  <c r="W149" i="41"/>
  <c r="BQ19" i="41"/>
  <c r="BY19" i="41"/>
  <c r="V21" i="41"/>
  <c r="P22" i="41"/>
  <c r="AR23" i="41"/>
  <c r="Q24" i="41"/>
  <c r="BM25" i="41"/>
  <c r="BX25" i="41" s="1"/>
  <c r="M36" i="41"/>
  <c r="P30" i="41"/>
  <c r="BY33" i="41"/>
  <c r="BM33" i="41"/>
  <c r="BX33" i="41" s="1"/>
  <c r="BQ37" i="41"/>
  <c r="AH39" i="41"/>
  <c r="AU39" i="41" s="1"/>
  <c r="BP39" i="41"/>
  <c r="AR39" i="41"/>
  <c r="AR41" i="41"/>
  <c r="BM64" i="41"/>
  <c r="BX64" i="41" s="1"/>
  <c r="BY64" i="41"/>
  <c r="BK65" i="41"/>
  <c r="AO142" i="41"/>
  <c r="AQ14" i="41"/>
  <c r="BR14" i="41" s="1"/>
  <c r="AR15" i="41"/>
  <c r="BY15" i="41"/>
  <c r="BT17" i="41"/>
  <c r="J149" i="41"/>
  <c r="Q19" i="41"/>
  <c r="AF149" i="41"/>
  <c r="AH19" i="41"/>
  <c r="AU19" i="41" s="1"/>
  <c r="AS19" i="41"/>
  <c r="AQ20" i="41"/>
  <c r="BR20" i="41" s="1"/>
  <c r="J21" i="41"/>
  <c r="BS21" i="41"/>
  <c r="BP25" i="41"/>
  <c r="AR25" i="41"/>
  <c r="AH25" i="41"/>
  <c r="BQ26" i="41"/>
  <c r="AS26" i="41"/>
  <c r="V150" i="41"/>
  <c r="V29" i="41"/>
  <c r="AF28" i="41"/>
  <c r="BT150" i="41"/>
  <c r="BT29" i="41"/>
  <c r="BR33" i="41"/>
  <c r="BL36" i="41"/>
  <c r="AP43" i="41"/>
  <c r="BW43" i="41"/>
  <c r="BQ39" i="41"/>
  <c r="AS39" i="41"/>
  <c r="BS41" i="41"/>
  <c r="AQ41" i="41"/>
  <c r="BR41" i="41" s="1"/>
  <c r="BT56" i="41"/>
  <c r="AQ56" i="41"/>
  <c r="BR56" i="41" s="1"/>
  <c r="BY71" i="41"/>
  <c r="BM71" i="41"/>
  <c r="BX71" i="41" s="1"/>
  <c r="V93" i="41"/>
  <c r="AF88" i="41"/>
  <c r="BK142" i="41"/>
  <c r="V148" i="41"/>
  <c r="AP148" i="41"/>
  <c r="BT15" i="41"/>
  <c r="N138" i="41"/>
  <c r="G21" i="47" s="1"/>
  <c r="T138" i="41"/>
  <c r="M21" i="47" s="1"/>
  <c r="Z138" i="41"/>
  <c r="S21" i="47" s="1"/>
  <c r="AM138" i="41"/>
  <c r="AF21" i="47" s="1"/>
  <c r="BE138" i="41"/>
  <c r="BK16" i="41"/>
  <c r="M143" i="41"/>
  <c r="BL149" i="41"/>
  <c r="BW22" i="41"/>
  <c r="BW27" i="41" s="1"/>
  <c r="BM24" i="41"/>
  <c r="BX24" i="41" s="1"/>
  <c r="Q25" i="41"/>
  <c r="P26" i="41"/>
  <c r="I26" i="41" s="1"/>
  <c r="AI27" i="41"/>
  <c r="AO150" i="41"/>
  <c r="BM28" i="41"/>
  <c r="BS28" i="41"/>
  <c r="BY28" i="41"/>
  <c r="M29" i="41"/>
  <c r="S29" i="41"/>
  <c r="AQ30" i="41"/>
  <c r="BR30" i="41" s="1"/>
  <c r="V145" i="41"/>
  <c r="AP145" i="41"/>
  <c r="BT31" i="41"/>
  <c r="BM32" i="41"/>
  <c r="BX32" i="41" s="1"/>
  <c r="Q33" i="41"/>
  <c r="I33" i="41" s="1"/>
  <c r="AH33" i="41"/>
  <c r="P34" i="41"/>
  <c r="AO36" i="41"/>
  <c r="Q37" i="41"/>
  <c r="AH37" i="41"/>
  <c r="P38" i="41"/>
  <c r="AQ40" i="41"/>
  <c r="BR40" i="41" s="1"/>
  <c r="BP41" i="41"/>
  <c r="P42" i="41"/>
  <c r="I42" i="41" s="1"/>
  <c r="AG50" i="41"/>
  <c r="BQ46" i="41"/>
  <c r="AS46" i="41"/>
  <c r="BS47" i="41"/>
  <c r="AS48" i="41"/>
  <c r="W50" i="41"/>
  <c r="AY50" i="41"/>
  <c r="AS60" i="41"/>
  <c r="AS67" i="41"/>
  <c r="AH68" i="41"/>
  <c r="AU68" i="41" s="1"/>
  <c r="AO79" i="41"/>
  <c r="AQ73" i="41"/>
  <c r="BS73" i="41"/>
  <c r="P77" i="41"/>
  <c r="Q77" i="41"/>
  <c r="Q78" i="41"/>
  <c r="P78" i="41"/>
  <c r="AH96" i="41"/>
  <c r="AR96" i="41"/>
  <c r="BP96" i="41"/>
  <c r="BQ100" i="41"/>
  <c r="AS100" i="41"/>
  <c r="BT32" i="41"/>
  <c r="BS33" i="41"/>
  <c r="W36" i="41"/>
  <c r="S43" i="41"/>
  <c r="BS37" i="41"/>
  <c r="AO43" i="41"/>
  <c r="BL43" i="41"/>
  <c r="AS45" i="41"/>
  <c r="AT45" i="41" s="1"/>
  <c r="J50" i="41"/>
  <c r="Q46" i="41"/>
  <c r="X50" i="41"/>
  <c r="AH56" i="41"/>
  <c r="AU56" i="41" s="1"/>
  <c r="AR56" i="41"/>
  <c r="BP56" i="41"/>
  <c r="BS57" i="41"/>
  <c r="AQ57" i="41"/>
  <c r="BR57" i="41" s="1"/>
  <c r="AH60" i="41"/>
  <c r="AR60" i="41"/>
  <c r="BP60" i="41"/>
  <c r="Q62" i="41"/>
  <c r="J65" i="41"/>
  <c r="P62" i="41"/>
  <c r="S72" i="41"/>
  <c r="BS66" i="41"/>
  <c r="AO72" i="41"/>
  <c r="AQ66" i="41"/>
  <c r="BR66" i="41" s="1"/>
  <c r="S79" i="41"/>
  <c r="BT82" i="41"/>
  <c r="BT83" i="41" s="1"/>
  <c r="AP83" i="41"/>
  <c r="BW86" i="41"/>
  <c r="BW87" i="41" s="1"/>
  <c r="AY87" i="41"/>
  <c r="AR89" i="41"/>
  <c r="AH89" i="41"/>
  <c r="Q90" i="41"/>
  <c r="P90" i="41"/>
  <c r="BQ98" i="41"/>
  <c r="AS98" i="41"/>
  <c r="AS30" i="41"/>
  <c r="AR31" i="41"/>
  <c r="BP31" i="41"/>
  <c r="BM34" i="41"/>
  <c r="BX34" i="41" s="1"/>
  <c r="BT37" i="41"/>
  <c r="BM38" i="41"/>
  <c r="BX38" i="41" s="1"/>
  <c r="P40" i="41"/>
  <c r="AS40" i="41"/>
  <c r="BY41" i="41"/>
  <c r="BM41" i="41"/>
  <c r="BX41" i="41" s="1"/>
  <c r="AQ42" i="41"/>
  <c r="BR42" i="41" s="1"/>
  <c r="AO50" i="41"/>
  <c r="AQ44" i="41"/>
  <c r="BW50" i="41"/>
  <c r="AH45" i="41"/>
  <c r="BS48" i="41"/>
  <c r="AF58" i="41"/>
  <c r="BW58" i="41"/>
  <c r="BS52" i="41"/>
  <c r="AQ52" i="41"/>
  <c r="BP55" i="41"/>
  <c r="AH55" i="41"/>
  <c r="AU55" i="41" s="1"/>
  <c r="Q60" i="41"/>
  <c r="Q61" i="41" s="1"/>
  <c r="P60" i="41"/>
  <c r="AS63" i="41"/>
  <c r="BT72" i="41"/>
  <c r="P67" i="41"/>
  <c r="BY67" i="41"/>
  <c r="BM67" i="41"/>
  <c r="BX67" i="41" s="1"/>
  <c r="BS70" i="41"/>
  <c r="BW79" i="41"/>
  <c r="AS76" i="41"/>
  <c r="AH80" i="41"/>
  <c r="AU80" i="41" s="1"/>
  <c r="AF83" i="41"/>
  <c r="AR80" i="41"/>
  <c r="BP80" i="41"/>
  <c r="BS81" i="41"/>
  <c r="AQ81" i="41"/>
  <c r="BR81" i="41" s="1"/>
  <c r="AS82" i="41"/>
  <c r="P89" i="41"/>
  <c r="Q89" i="41"/>
  <c r="BP91" i="41"/>
  <c r="AH91" i="41"/>
  <c r="AH103" i="41"/>
  <c r="BP103" i="41"/>
  <c r="J29" i="41"/>
  <c r="P31" i="41"/>
  <c r="AG31" i="41"/>
  <c r="BK145" i="41"/>
  <c r="BW31" i="41"/>
  <c r="BW36" i="41" s="1"/>
  <c r="BM35" i="41"/>
  <c r="BX35" i="41" s="1"/>
  <c r="AY43" i="41"/>
  <c r="BM39" i="41"/>
  <c r="BX39" i="41" s="1"/>
  <c r="P41" i="41"/>
  <c r="I41" i="41" s="1"/>
  <c r="BY42" i="41"/>
  <c r="BM42" i="41"/>
  <c r="BX42" i="41" s="1"/>
  <c r="BL50" i="41"/>
  <c r="BZ44" i="41"/>
  <c r="P46" i="41"/>
  <c r="V50" i="41"/>
  <c r="AF47" i="41"/>
  <c r="AH48" i="41"/>
  <c r="W58" i="41"/>
  <c r="AG51" i="41"/>
  <c r="AH51" i="41" s="1"/>
  <c r="AU51" i="41" s="1"/>
  <c r="BP53" i="41"/>
  <c r="AH53" i="41"/>
  <c r="Q55" i="41"/>
  <c r="P55" i="41"/>
  <c r="BY55" i="41"/>
  <c r="BM55" i="41"/>
  <c r="BX55" i="41" s="1"/>
  <c r="AS56" i="41"/>
  <c r="M61" i="41"/>
  <c r="AF61" i="41"/>
  <c r="AP72" i="41"/>
  <c r="AR69" i="41"/>
  <c r="BP71" i="41"/>
  <c r="AH71" i="41"/>
  <c r="AH76" i="41"/>
  <c r="AU76" i="41" s="1"/>
  <c r="AR76" i="41"/>
  <c r="J83" i="41"/>
  <c r="Q80" i="41"/>
  <c r="P80" i="41"/>
  <c r="AO83" i="41"/>
  <c r="AQ80" i="41"/>
  <c r="BR80" i="41" s="1"/>
  <c r="BS80" i="41"/>
  <c r="AR85" i="41"/>
  <c r="AH85" i="41"/>
  <c r="BP85" i="41"/>
  <c r="BQ86" i="41"/>
  <c r="AS86" i="41"/>
  <c r="AH86" i="41"/>
  <c r="BP89" i="41"/>
  <c r="AW143" i="41"/>
  <c r="AW141" i="41" s="1"/>
  <c r="AY108" i="41"/>
  <c r="AY143" i="41" s="1"/>
  <c r="AW112" i="41"/>
  <c r="AW138" i="41" s="1"/>
  <c r="P28" i="41"/>
  <c r="AG28" i="41"/>
  <c r="BW28" i="41"/>
  <c r="W29" i="41"/>
  <c r="BM30" i="41"/>
  <c r="BY30" i="41"/>
  <c r="Q31" i="41"/>
  <c r="BL145" i="41"/>
  <c r="AS32" i="41"/>
  <c r="AR33" i="41"/>
  <c r="AT33" i="41" s="1"/>
  <c r="AY36" i="41"/>
  <c r="M43" i="41"/>
  <c r="AR37" i="41"/>
  <c r="AH42" i="41"/>
  <c r="AU42" i="41" s="1"/>
  <c r="BY49" i="41"/>
  <c r="BM49" i="41"/>
  <c r="BX49" i="41" s="1"/>
  <c r="I53" i="41"/>
  <c r="BS54" i="41"/>
  <c r="AQ54" i="41"/>
  <c r="BR54" i="41" s="1"/>
  <c r="AH64" i="41"/>
  <c r="BP64" i="41"/>
  <c r="AR66" i="41"/>
  <c r="BY70" i="41"/>
  <c r="BM70" i="41"/>
  <c r="BX70" i="41" s="1"/>
  <c r="BP74" i="41"/>
  <c r="AR74" i="41"/>
  <c r="AH74" i="41"/>
  <c r="AU74" i="41" s="1"/>
  <c r="P75" i="41"/>
  <c r="BK112" i="41"/>
  <c r="BM106" i="41"/>
  <c r="BX106" i="41" s="1"/>
  <c r="BY106" i="41"/>
  <c r="AS108" i="41"/>
  <c r="BQ108" i="41"/>
  <c r="P51" i="41"/>
  <c r="BS51" i="41"/>
  <c r="BZ51" i="41"/>
  <c r="BZ58" i="41" s="1"/>
  <c r="BQ52" i="41"/>
  <c r="BP54" i="41"/>
  <c r="BQ56" i="41"/>
  <c r="BO57" i="41"/>
  <c r="BP59" i="41"/>
  <c r="Q67" i="41"/>
  <c r="BP70" i="41"/>
  <c r="AR70" i="41"/>
  <c r="AT70" i="41" s="1"/>
  <c r="V79" i="41"/>
  <c r="AS74" i="41"/>
  <c r="Q76" i="41"/>
  <c r="S83" i="41"/>
  <c r="BL83" i="41"/>
  <c r="BM81" i="41"/>
  <c r="BX81" i="41" s="1"/>
  <c r="W83" i="41"/>
  <c r="V87" i="41"/>
  <c r="AS84" i="41"/>
  <c r="Q86" i="41"/>
  <c r="Q88" i="41"/>
  <c r="J93" i="41"/>
  <c r="BS88" i="41"/>
  <c r="AP93" i="41"/>
  <c r="BT90" i="41"/>
  <c r="BT93" i="41" s="1"/>
  <c r="AR94" i="41"/>
  <c r="BP94" i="41"/>
  <c r="AH94" i="41"/>
  <c r="BQ96" i="41"/>
  <c r="AS96" i="41"/>
  <c r="AH106" i="41"/>
  <c r="AU106" i="41" s="1"/>
  <c r="AG112" i="41"/>
  <c r="BQ106" i="41"/>
  <c r="AS106" i="41"/>
  <c r="S130" i="41"/>
  <c r="BP52" i="41"/>
  <c r="AR52" i="41"/>
  <c r="BQ54" i="41"/>
  <c r="BP57" i="41"/>
  <c r="BS62" i="41"/>
  <c r="BS65" i="41" s="1"/>
  <c r="BP63" i="41"/>
  <c r="M72" i="41"/>
  <c r="BY66" i="41"/>
  <c r="BQ69" i="41"/>
  <c r="AS69" i="41"/>
  <c r="BQ73" i="41"/>
  <c r="AS73" i="41"/>
  <c r="AT73" i="41" s="1"/>
  <c r="BL79" i="41"/>
  <c r="BT75" i="41"/>
  <c r="AS78" i="41"/>
  <c r="P85" i="41"/>
  <c r="I85" i="41" s="1"/>
  <c r="BZ86" i="41"/>
  <c r="AG87" i="41"/>
  <c r="AP87" i="41"/>
  <c r="AS90" i="41"/>
  <c r="I101" i="41"/>
  <c r="Q108" i="41"/>
  <c r="J112" i="41"/>
  <c r="P108" i="41"/>
  <c r="AH110" i="41"/>
  <c r="AR110" i="41"/>
  <c r="BP110" i="41"/>
  <c r="AR44" i="41"/>
  <c r="AS47" i="41"/>
  <c r="AR48" i="41"/>
  <c r="AQ53" i="41"/>
  <c r="BR53" i="41" s="1"/>
  <c r="BQ57" i="41"/>
  <c r="AS57" i="41"/>
  <c r="BY59" i="41"/>
  <c r="BM59" i="41"/>
  <c r="AG72" i="41"/>
  <c r="AS66" i="41"/>
  <c r="BL72" i="41"/>
  <c r="BZ66" i="41"/>
  <c r="BZ72" i="41" s="1"/>
  <c r="P69" i="41"/>
  <c r="P73" i="41"/>
  <c r="AF79" i="41"/>
  <c r="BY75" i="41"/>
  <c r="BM75" i="41"/>
  <c r="BX75" i="41" s="1"/>
  <c r="W79" i="41"/>
  <c r="V83" i="41"/>
  <c r="AS80" i="41"/>
  <c r="Q82" i="41"/>
  <c r="AY83" i="41"/>
  <c r="J87" i="41"/>
  <c r="Q84" i="41"/>
  <c r="AH84" i="41"/>
  <c r="AF87" i="41"/>
  <c r="AR84" i="41"/>
  <c r="BS84" i="41"/>
  <c r="BS87" i="41" s="1"/>
  <c r="BL93" i="41"/>
  <c r="BM89" i="41"/>
  <c r="BX89" i="41" s="1"/>
  <c r="BQ94" i="41"/>
  <c r="AG97" i="41"/>
  <c r="BW95" i="41"/>
  <c r="BW97" i="41" s="1"/>
  <c r="AY97" i="41"/>
  <c r="AR49" i="41"/>
  <c r="AP58" i="41"/>
  <c r="P57" i="41"/>
  <c r="I57" i="41" s="1"/>
  <c r="BY60" i="41"/>
  <c r="BY63" i="41"/>
  <c r="BM63" i="41"/>
  <c r="BX63" i="41" s="1"/>
  <c r="P81" i="41"/>
  <c r="I81" i="41" s="1"/>
  <c r="AR81" i="41"/>
  <c r="AH81" i="41"/>
  <c r="AQ82" i="41"/>
  <c r="BR82" i="41" s="1"/>
  <c r="BZ82" i="41"/>
  <c r="BZ83" i="41" s="1"/>
  <c r="AG83" i="41"/>
  <c r="BW93" i="41"/>
  <c r="BS97" i="41"/>
  <c r="BZ94" i="41"/>
  <c r="BZ97" i="41" s="1"/>
  <c r="BL97" i="41"/>
  <c r="S105" i="41"/>
  <c r="BY109" i="41"/>
  <c r="BM109" i="41"/>
  <c r="BX109" i="41" s="1"/>
  <c r="AQ71" i="41"/>
  <c r="BR71" i="41" s="1"/>
  <c r="BP78" i="41"/>
  <c r="AR78" i="41"/>
  <c r="BP82" i="41"/>
  <c r="AR82" i="41"/>
  <c r="BP86" i="41"/>
  <c r="AR86" i="41"/>
  <c r="AY93" i="41"/>
  <c r="BP90" i="41"/>
  <c r="AR90" i="41"/>
  <c r="BM91" i="41"/>
  <c r="BX91" i="41" s="1"/>
  <c r="BQ92" i="41"/>
  <c r="S93" i="41"/>
  <c r="BW98" i="41"/>
  <c r="BO100" i="41"/>
  <c r="AQ101" i="41"/>
  <c r="BR101" i="41" s="1"/>
  <c r="BS101" i="41"/>
  <c r="BM102" i="41"/>
  <c r="BX102" i="41" s="1"/>
  <c r="P104" i="41"/>
  <c r="AO112" i="41"/>
  <c r="AQ106" i="41"/>
  <c r="BL112" i="41"/>
  <c r="AR107" i="41"/>
  <c r="Q110" i="41"/>
  <c r="P110" i="41"/>
  <c r="AR117" i="41"/>
  <c r="BP117" i="41"/>
  <c r="AH117" i="41"/>
  <c r="BT119" i="41"/>
  <c r="S124" i="41"/>
  <c r="AY130" i="41"/>
  <c r="BW125" i="41"/>
  <c r="BW130" i="41" s="1"/>
  <c r="BY95" i="41"/>
  <c r="BM95" i="41"/>
  <c r="BX95" i="41" s="1"/>
  <c r="Q96" i="41"/>
  <c r="Q97" i="41" s="1"/>
  <c r="P96" i="41"/>
  <c r="BQ99" i="41"/>
  <c r="AS99" i="41"/>
  <c r="AT99" i="41" s="1"/>
  <c r="BT101" i="41"/>
  <c r="W120" i="41"/>
  <c r="AG113" i="41"/>
  <c r="BQ116" i="41"/>
  <c r="AS116" i="41"/>
  <c r="Q118" i="41"/>
  <c r="AH118" i="41"/>
  <c r="BP118" i="41"/>
  <c r="AR118" i="41"/>
  <c r="BP119" i="41"/>
  <c r="AH119" i="41"/>
  <c r="W124" i="41"/>
  <c r="AG121" i="41"/>
  <c r="AR122" i="41"/>
  <c r="BP122" i="41"/>
  <c r="AH122" i="41"/>
  <c r="AU122" i="41" s="1"/>
  <c r="AS125" i="41"/>
  <c r="BQ125" i="41"/>
  <c r="AG130" i="41"/>
  <c r="P126" i="41"/>
  <c r="Q126" i="41"/>
  <c r="J130" i="41"/>
  <c r="BQ126" i="41"/>
  <c r="AS126" i="41"/>
  <c r="BP134" i="41"/>
  <c r="AR134" i="41"/>
  <c r="AH134" i="41"/>
  <c r="BY76" i="41"/>
  <c r="BY80" i="41"/>
  <c r="BY83" i="41" s="1"/>
  <c r="BY84" i="41"/>
  <c r="BY87" i="41" s="1"/>
  <c r="BK93" i="41"/>
  <c r="BY88" i="41"/>
  <c r="BY93" i="41" s="1"/>
  <c r="BT94" i="41"/>
  <c r="BT97" i="41" s="1"/>
  <c r="AP97" i="41"/>
  <c r="AO97" i="41"/>
  <c r="J105" i="41"/>
  <c r="AH99" i="41"/>
  <c r="BS100" i="41"/>
  <c r="BP101" i="41"/>
  <c r="AR101" i="41"/>
  <c r="W105" i="41"/>
  <c r="AR109" i="41"/>
  <c r="AT109" i="41" s="1"/>
  <c r="AF112" i="41"/>
  <c r="AS114" i="41"/>
  <c r="BQ114" i="41"/>
  <c r="BP116" i="41"/>
  <c r="AH116" i="41"/>
  <c r="AU116" i="41" s="1"/>
  <c r="AS117" i="41"/>
  <c r="BQ117" i="41"/>
  <c r="BQ119" i="41"/>
  <c r="AS119" i="41"/>
  <c r="BZ119" i="41"/>
  <c r="W97" i="41"/>
  <c r="AF95" i="41"/>
  <c r="AF97" i="41" s="1"/>
  <c r="AQ96" i="41"/>
  <c r="BK97" i="41"/>
  <c r="M105" i="41"/>
  <c r="BK105" i="41"/>
  <c r="BY98" i="41"/>
  <c r="BM98" i="41"/>
  <c r="BX98" i="41" s="1"/>
  <c r="Q99" i="41"/>
  <c r="P99" i="41"/>
  <c r="BM101" i="41"/>
  <c r="BX101" i="41" s="1"/>
  <c r="BW104" i="41"/>
  <c r="BW151" i="41" s="1"/>
  <c r="BL105" i="41"/>
  <c r="S112" i="41"/>
  <c r="J120" i="41"/>
  <c r="Q113" i="41"/>
  <c r="P113" i="41"/>
  <c r="P114" i="41"/>
  <c r="M120" i="41"/>
  <c r="BC120" i="41"/>
  <c r="BK115" i="41"/>
  <c r="BK120" i="41" s="1"/>
  <c r="P118" i="41"/>
  <c r="AQ118" i="41"/>
  <c r="BR118" i="41" s="1"/>
  <c r="BS118" i="41"/>
  <c r="J124" i="41"/>
  <c r="Q121" i="41"/>
  <c r="P121" i="41"/>
  <c r="BZ122" i="41"/>
  <c r="BM122" i="41"/>
  <c r="BX122" i="41" s="1"/>
  <c r="J79" i="41"/>
  <c r="BQ77" i="41"/>
  <c r="AS77" i="41"/>
  <c r="BQ81" i="41"/>
  <c r="BQ83" i="41" s="1"/>
  <c r="AS81" i="41"/>
  <c r="BQ85" i="41"/>
  <c r="AS85" i="41"/>
  <c r="AG88" i="41"/>
  <c r="BM88" i="41"/>
  <c r="BX88" i="41" s="1"/>
  <c r="BQ89" i="41"/>
  <c r="AS89" i="41"/>
  <c r="BY94" i="41"/>
  <c r="BM94" i="41"/>
  <c r="J97" i="41"/>
  <c r="P98" i="41"/>
  <c r="I98" i="41" s="1"/>
  <c r="BR99" i="41"/>
  <c r="BP99" i="41"/>
  <c r="BP100" i="41"/>
  <c r="AR100" i="41"/>
  <c r="J151" i="41"/>
  <c r="Q104" i="41"/>
  <c r="AG104" i="41"/>
  <c r="BK151" i="41"/>
  <c r="BY104" i="41"/>
  <c r="BY151" i="41" s="1"/>
  <c r="BM104" i="41"/>
  <c r="BM151" i="41" s="1"/>
  <c r="M112" i="41"/>
  <c r="V112" i="41"/>
  <c r="AH109" i="41"/>
  <c r="AH111" i="41"/>
  <c r="AU111" i="41" s="1"/>
  <c r="AR111" i="41"/>
  <c r="BP111" i="41"/>
  <c r="BT121" i="41"/>
  <c r="AP124" i="41"/>
  <c r="BT122" i="41"/>
  <c r="AQ122" i="41"/>
  <c r="BR122" i="41" s="1"/>
  <c r="BT128" i="41"/>
  <c r="BT130" i="41" s="1"/>
  <c r="AQ128" i="41"/>
  <c r="BR128" i="41" s="1"/>
  <c r="AS128" i="41"/>
  <c r="W130" i="41"/>
  <c r="BM103" i="41"/>
  <c r="BX103" i="41" s="1"/>
  <c r="AP112" i="41"/>
  <c r="BT106" i="41"/>
  <c r="BT112" i="41" s="1"/>
  <c r="BZ106" i="41"/>
  <c r="BZ112" i="41" s="1"/>
  <c r="BM107" i="41"/>
  <c r="BX107" i="41" s="1"/>
  <c r="AH108" i="41"/>
  <c r="BR110" i="41"/>
  <c r="BM110" i="41"/>
  <c r="BX110" i="41" s="1"/>
  <c r="BQ111" i="41"/>
  <c r="AS111" i="41"/>
  <c r="AF113" i="41"/>
  <c r="BY113" i="41"/>
  <c r="BM113" i="41"/>
  <c r="BZ113" i="41"/>
  <c r="AQ114" i="41"/>
  <c r="BR114" i="41" s="1"/>
  <c r="BP114" i="41"/>
  <c r="P116" i="41"/>
  <c r="I116" i="41" s="1"/>
  <c r="BM116" i="41"/>
  <c r="BX116" i="41" s="1"/>
  <c r="P117" i="41"/>
  <c r="AO120" i="41"/>
  <c r="AQ121" i="41"/>
  <c r="BK124" i="41"/>
  <c r="BM121" i="41"/>
  <c r="BX121" i="41" s="1"/>
  <c r="BS121" i="41"/>
  <c r="BS124" i="41" s="1"/>
  <c r="P122" i="41"/>
  <c r="I122" i="41" s="1"/>
  <c r="BM123" i="41"/>
  <c r="BX123" i="41" s="1"/>
  <c r="BK130" i="41"/>
  <c r="BM125" i="41"/>
  <c r="AH129" i="41"/>
  <c r="AU129" i="41" s="1"/>
  <c r="AR129" i="41"/>
  <c r="BY129" i="41"/>
  <c r="X130" i="41"/>
  <c r="BM136" i="41"/>
  <c r="BX136" i="41" s="1"/>
  <c r="BZ136" i="41"/>
  <c r="O141" i="41"/>
  <c r="BS104" i="41"/>
  <c r="BS151" i="41" s="1"/>
  <c r="W112" i="41"/>
  <c r="P111" i="41"/>
  <c r="P119" i="41"/>
  <c r="Q119" i="41"/>
  <c r="BQ123" i="41"/>
  <c r="AO130" i="41"/>
  <c r="AQ125" i="41"/>
  <c r="BR125" i="41" s="1"/>
  <c r="BS125" i="41"/>
  <c r="BY127" i="41"/>
  <c r="P129" i="41"/>
  <c r="AH133" i="41"/>
  <c r="AU133" i="41" s="1"/>
  <c r="AS133" i="41"/>
  <c r="BZ133" i="41"/>
  <c r="BM133" i="41"/>
  <c r="BX133" i="41" s="1"/>
  <c r="AR102" i="41"/>
  <c r="BT104" i="41"/>
  <c r="BT151" i="41" s="1"/>
  <c r="AR106" i="41"/>
  <c r="BQ109" i="41"/>
  <c r="AH114" i="41"/>
  <c r="AU114" i="41" s="1"/>
  <c r="AF115" i="41"/>
  <c r="BP123" i="41"/>
  <c r="AR123" i="41"/>
  <c r="AH123" i="41"/>
  <c r="P127" i="41"/>
  <c r="P128" i="41"/>
  <c r="I128" i="41" s="1"/>
  <c r="BS129" i="41"/>
  <c r="AQ129" i="41"/>
  <c r="BR129" i="41" s="1"/>
  <c r="AP130" i="41"/>
  <c r="AY137" i="41"/>
  <c r="BW131" i="41"/>
  <c r="BW137" i="41" s="1"/>
  <c r="BQ135" i="41"/>
  <c r="AS135" i="41"/>
  <c r="AS103" i="41"/>
  <c r="AF104" i="41"/>
  <c r="AS107" i="41"/>
  <c r="AR108" i="41"/>
  <c r="AP120" i="41"/>
  <c r="AY120" i="41"/>
  <c r="BW113" i="41"/>
  <c r="BW120" i="41" s="1"/>
  <c r="P115" i="41"/>
  <c r="AY124" i="41"/>
  <c r="BY124" i="41"/>
  <c r="AG137" i="41"/>
  <c r="AS131" i="41"/>
  <c r="BQ131" i="41"/>
  <c r="AH125" i="41"/>
  <c r="AU125" i="41" s="1"/>
  <c r="AF126" i="41"/>
  <c r="AF131" i="41"/>
  <c r="V137" i="41"/>
  <c r="BY131" i="41"/>
  <c r="AS134" i="41"/>
  <c r="L141" i="41"/>
  <c r="BY117" i="41"/>
  <c r="BM117" i="41"/>
  <c r="BX117" i="41" s="1"/>
  <c r="BQ122" i="41"/>
  <c r="AS122" i="41"/>
  <c r="Q123" i="41"/>
  <c r="M130" i="41"/>
  <c r="BC145" i="41"/>
  <c r="BC130" i="41"/>
  <c r="AH128" i="41"/>
  <c r="BY134" i="41"/>
  <c r="BM134" i="41"/>
  <c r="BX134" i="41" s="1"/>
  <c r="BP132" i="41"/>
  <c r="BT134" i="41"/>
  <c r="AQ134" i="41"/>
  <c r="BR134" i="41" s="1"/>
  <c r="Q135" i="41"/>
  <c r="I135" i="41" s="1"/>
  <c r="AH135" i="41"/>
  <c r="AU135" i="41" s="1"/>
  <c r="AR135" i="41"/>
  <c r="BP135" i="41"/>
  <c r="AH136" i="41"/>
  <c r="AR136" i="41"/>
  <c r="BP125" i="41"/>
  <c r="AP137" i="41"/>
  <c r="P132" i="41"/>
  <c r="J137" i="41"/>
  <c r="Q133" i="41"/>
  <c r="AR133" i="41"/>
  <c r="P136" i="41"/>
  <c r="Q136" i="41"/>
  <c r="AO137" i="41"/>
  <c r="BY128" i="41"/>
  <c r="BM128" i="41"/>
  <c r="BX128" i="41" s="1"/>
  <c r="BQ129" i="41"/>
  <c r="W137" i="41"/>
  <c r="BL137" i="41"/>
  <c r="BZ131" i="41"/>
  <c r="AQ132" i="41"/>
  <c r="BR132" i="41" s="1"/>
  <c r="BM135" i="41"/>
  <c r="BQ136" i="41"/>
  <c r="AS136" i="41"/>
  <c r="R141" i="41"/>
  <c r="BQ134" i="41"/>
  <c r="AN141" i="41"/>
  <c r="I14" i="40"/>
  <c r="BK176" i="40"/>
  <c r="BY14" i="40"/>
  <c r="BM14" i="40"/>
  <c r="BL19" i="40"/>
  <c r="BS17" i="40"/>
  <c r="AH18" i="40"/>
  <c r="AU18" i="40" s="1"/>
  <c r="BT23" i="40"/>
  <c r="AV21" i="40"/>
  <c r="BV21" i="40" s="1"/>
  <c r="BZ21" i="40"/>
  <c r="BM21" i="40"/>
  <c r="BX21" i="40" s="1"/>
  <c r="BZ22" i="40"/>
  <c r="BM22" i="40"/>
  <c r="BX22" i="40" s="1"/>
  <c r="BQ37" i="40"/>
  <c r="AS37" i="40"/>
  <c r="AS42" i="40"/>
  <c r="BQ42" i="40"/>
  <c r="AS45" i="40"/>
  <c r="AG51" i="40"/>
  <c r="BQ45" i="40"/>
  <c r="S170" i="40"/>
  <c r="S15" i="40"/>
  <c r="AO15" i="40"/>
  <c r="AQ12" i="40"/>
  <c r="AR14" i="40"/>
  <c r="BL176" i="40"/>
  <c r="BZ14" i="40"/>
  <c r="AS16" i="40"/>
  <c r="BS18" i="40"/>
  <c r="BZ179" i="40"/>
  <c r="BY13" i="40"/>
  <c r="BM13" i="40"/>
  <c r="BX13" i="40" s="1"/>
  <c r="AF19" i="40"/>
  <c r="AH16" i="40"/>
  <c r="BP16" i="40"/>
  <c r="AR16" i="40"/>
  <c r="V179" i="40"/>
  <c r="V25" i="40"/>
  <c r="AF24" i="40"/>
  <c r="I29" i="40"/>
  <c r="BK170" i="40"/>
  <c r="BK15" i="40"/>
  <c r="BS12" i="40"/>
  <c r="AR13" i="40"/>
  <c r="BQ16" i="40"/>
  <c r="BQ19" i="40" s="1"/>
  <c r="BM17" i="40"/>
  <c r="BX17" i="40" s="1"/>
  <c r="M19" i="40"/>
  <c r="BQ36" i="40"/>
  <c r="AS36" i="40"/>
  <c r="M170" i="40"/>
  <c r="M15" i="40"/>
  <c r="BL170" i="40"/>
  <c r="BZ12" i="40"/>
  <c r="P13" i="40"/>
  <c r="AG13" i="40"/>
  <c r="AH13" i="40" s="1"/>
  <c r="AU13" i="40" s="1"/>
  <c r="BP17" i="40"/>
  <c r="BM18" i="40"/>
  <c r="BX18" i="40" s="1"/>
  <c r="BP27" i="40"/>
  <c r="AR27" i="40"/>
  <c r="AH27" i="40"/>
  <c r="AU27" i="40" s="1"/>
  <c r="Q44" i="40"/>
  <c r="BW44" i="40"/>
  <c r="AR43" i="40"/>
  <c r="BP43" i="40"/>
  <c r="AH43" i="40"/>
  <c r="AU43" i="40" s="1"/>
  <c r="P12" i="40"/>
  <c r="BM12" i="40"/>
  <c r="BW15" i="40"/>
  <c r="Q13" i="40"/>
  <c r="I18" i="40"/>
  <c r="V19" i="40"/>
  <c r="I22" i="40"/>
  <c r="AP179" i="40"/>
  <c r="AQ24" i="40"/>
  <c r="AP25" i="40"/>
  <c r="BT24" i="40"/>
  <c r="BQ27" i="40"/>
  <c r="AS27" i="40"/>
  <c r="BP37" i="40"/>
  <c r="AR37" i="40"/>
  <c r="AH37" i="40"/>
  <c r="I41" i="40"/>
  <c r="AS47" i="40"/>
  <c r="BQ47" i="40"/>
  <c r="AR48" i="40"/>
  <c r="BP48" i="40"/>
  <c r="AH48" i="40"/>
  <c r="J170" i="40"/>
  <c r="W170" i="40"/>
  <c r="AY170" i="40"/>
  <c r="V176" i="40"/>
  <c r="AP176" i="40"/>
  <c r="BT14" i="40"/>
  <c r="AY15" i="40"/>
  <c r="P20" i="40"/>
  <c r="AG20" i="40"/>
  <c r="AQ21" i="40"/>
  <c r="BR21" i="40" s="1"/>
  <c r="AQ22" i="40"/>
  <c r="BR22" i="40" s="1"/>
  <c r="P24" i="40"/>
  <c r="AG24" i="40"/>
  <c r="BW24" i="40"/>
  <c r="W25" i="40"/>
  <c r="S171" i="40"/>
  <c r="BL171" i="40"/>
  <c r="P27" i="40"/>
  <c r="AQ29" i="40"/>
  <c r="BR29" i="40" s="1"/>
  <c r="V177" i="40"/>
  <c r="AP177" i="40"/>
  <c r="BT30" i="40"/>
  <c r="BZ30" i="40"/>
  <c r="BM31" i="40"/>
  <c r="BX31" i="40" s="1"/>
  <c r="M32" i="40"/>
  <c r="S32" i="40"/>
  <c r="J172" i="40"/>
  <c r="W172" i="40"/>
  <c r="AQ33" i="40"/>
  <c r="AY172" i="40"/>
  <c r="BM35" i="40"/>
  <c r="BX35" i="40" s="1"/>
  <c r="Q36" i="40"/>
  <c r="AH36" i="40"/>
  <c r="P37" i="40"/>
  <c r="W38" i="40"/>
  <c r="AP38" i="40"/>
  <c r="BM39" i="40"/>
  <c r="BZ39" i="40"/>
  <c r="BZ44" i="40" s="1"/>
  <c r="BQ41" i="40"/>
  <c r="BM43" i="40"/>
  <c r="BX43" i="40" s="1"/>
  <c r="Q45" i="40"/>
  <c r="I45" i="40" s="1"/>
  <c r="AS48" i="40"/>
  <c r="W51" i="40"/>
  <c r="AY51" i="40"/>
  <c r="BL178" i="40"/>
  <c r="BZ52" i="40"/>
  <c r="BZ60" i="40"/>
  <c r="BQ59" i="40"/>
  <c r="AS59" i="40"/>
  <c r="AH64" i="40"/>
  <c r="AU64" i="40" s="1"/>
  <c r="AR64" i="40"/>
  <c r="BP64" i="40"/>
  <c r="AH80" i="40"/>
  <c r="AR80" i="40"/>
  <c r="BP80" i="40"/>
  <c r="AH85" i="40"/>
  <c r="AU85" i="40" s="1"/>
  <c r="AR85" i="40"/>
  <c r="BP85" i="40"/>
  <c r="Q20" i="40"/>
  <c r="AR21" i="40"/>
  <c r="AR22" i="40"/>
  <c r="AR29" i="40"/>
  <c r="BT31" i="40"/>
  <c r="AY32" i="40"/>
  <c r="AF33" i="40"/>
  <c r="BO34" i="40"/>
  <c r="BT35" i="40"/>
  <c r="Q37" i="40"/>
  <c r="BT39" i="40"/>
  <c r="AR41" i="40"/>
  <c r="BY41" i="40"/>
  <c r="BM41" i="40"/>
  <c r="BX41" i="40" s="1"/>
  <c r="BP42" i="40"/>
  <c r="X44" i="40"/>
  <c r="S51" i="40"/>
  <c r="BS48" i="40"/>
  <c r="BZ48" i="40"/>
  <c r="BP49" i="40"/>
  <c r="BY50" i="40"/>
  <c r="BM50" i="40"/>
  <c r="BX50" i="40" s="1"/>
  <c r="M178" i="40"/>
  <c r="M53" i="40"/>
  <c r="AS54" i="40"/>
  <c r="W173" i="40"/>
  <c r="AG55" i="40"/>
  <c r="AG60" i="40" s="1"/>
  <c r="W60" i="40"/>
  <c r="BP57" i="40"/>
  <c r="AR57" i="40"/>
  <c r="AS61" i="40"/>
  <c r="BQ61" i="40"/>
  <c r="AG67" i="40"/>
  <c r="AS64" i="40"/>
  <c r="BQ64" i="40"/>
  <c r="AS17" i="40"/>
  <c r="AS18" i="40"/>
  <c r="P21" i="40"/>
  <c r="AS21" i="40"/>
  <c r="AS22" i="40"/>
  <c r="AI23" i="40"/>
  <c r="AP23" i="40"/>
  <c r="BM24" i="40"/>
  <c r="BS24" i="40"/>
  <c r="M25" i="40"/>
  <c r="S25" i="40"/>
  <c r="J171" i="40"/>
  <c r="BT26" i="40"/>
  <c r="BM27" i="40"/>
  <c r="BX27" i="40" s="1"/>
  <c r="Q28" i="40"/>
  <c r="Q32" i="40" s="1"/>
  <c r="AS29" i="40"/>
  <c r="M177" i="40"/>
  <c r="AF177" i="40"/>
  <c r="AR30" i="40"/>
  <c r="BP30" i="40"/>
  <c r="AG172" i="40"/>
  <c r="AS33" i="40"/>
  <c r="BK172" i="40"/>
  <c r="BQ33" i="40"/>
  <c r="AR34" i="40"/>
  <c r="M38" i="40"/>
  <c r="S38" i="40"/>
  <c r="AQ39" i="40"/>
  <c r="BY42" i="40"/>
  <c r="BS46" i="40"/>
  <c r="BP47" i="40"/>
  <c r="AR47" i="40"/>
  <c r="AQ47" i="40"/>
  <c r="BR47" i="40" s="1"/>
  <c r="BY47" i="40"/>
  <c r="BQ49" i="40"/>
  <c r="AR50" i="40"/>
  <c r="P52" i="40"/>
  <c r="J173" i="40"/>
  <c r="P55" i="40"/>
  <c r="I55" i="40" s="1"/>
  <c r="BP55" i="40"/>
  <c r="AR55" i="40"/>
  <c r="AQ56" i="40"/>
  <c r="BR56" i="40" s="1"/>
  <c r="BS56" i="40"/>
  <c r="BY56" i="40"/>
  <c r="BM56" i="40"/>
  <c r="BX56" i="40" s="1"/>
  <c r="AF67" i="40"/>
  <c r="AR65" i="40"/>
  <c r="BP65" i="40"/>
  <c r="AH65" i="40"/>
  <c r="AU65" i="40" s="1"/>
  <c r="AS68" i="40"/>
  <c r="AG74" i="40"/>
  <c r="BQ68" i="40"/>
  <c r="AH77" i="40"/>
  <c r="AS77" i="40"/>
  <c r="BQ77" i="40"/>
  <c r="BT27" i="40"/>
  <c r="BW177" i="40"/>
  <c r="AR31" i="40"/>
  <c r="BP31" i="40"/>
  <c r="AS34" i="40"/>
  <c r="BQ34" i="40"/>
  <c r="AR35" i="40"/>
  <c r="BP35" i="40"/>
  <c r="BT37" i="40"/>
  <c r="AY38" i="40"/>
  <c r="BK38" i="40"/>
  <c r="AR39" i="40"/>
  <c r="BP39" i="40"/>
  <c r="AH42" i="40"/>
  <c r="AR49" i="40"/>
  <c r="AI178" i="40"/>
  <c r="V52" i="40"/>
  <c r="AI53" i="40"/>
  <c r="AY178" i="40"/>
  <c r="BW52" i="40"/>
  <c r="AY53" i="40"/>
  <c r="M173" i="40"/>
  <c r="M60" i="40"/>
  <c r="AR69" i="40"/>
  <c r="BP69" i="40"/>
  <c r="AH69" i="40"/>
  <c r="AU69" i="40" s="1"/>
  <c r="AS73" i="40"/>
  <c r="BQ73" i="40"/>
  <c r="AR76" i="40"/>
  <c r="BP76" i="40"/>
  <c r="AH76" i="40"/>
  <c r="BQ87" i="40"/>
  <c r="AS87" i="40"/>
  <c r="BL25" i="40"/>
  <c r="P26" i="40"/>
  <c r="V28" i="40"/>
  <c r="BM28" i="40"/>
  <c r="BM174" i="40" s="1"/>
  <c r="BM29" i="40"/>
  <c r="BX29" i="40" s="1"/>
  <c r="P31" i="40"/>
  <c r="AS31" i="40"/>
  <c r="W32" i="40"/>
  <c r="AI32" i="40"/>
  <c r="AP32" i="40"/>
  <c r="BM33" i="40"/>
  <c r="BX33" i="40" s="1"/>
  <c r="BS33" i="40"/>
  <c r="P35" i="40"/>
  <c r="AS35" i="40"/>
  <c r="AR36" i="40"/>
  <c r="AG38" i="40"/>
  <c r="BL38" i="40"/>
  <c r="P39" i="40"/>
  <c r="P40" i="40"/>
  <c r="AF40" i="40"/>
  <c r="BQ43" i="40"/>
  <c r="AS43" i="40"/>
  <c r="M44" i="40"/>
  <c r="M51" i="40"/>
  <c r="AF45" i="40"/>
  <c r="BY45" i="40"/>
  <c r="BM45" i="40"/>
  <c r="AO51" i="40"/>
  <c r="S178" i="40"/>
  <c r="S53" i="40"/>
  <c r="AO60" i="40"/>
  <c r="AQ54" i="40"/>
  <c r="BS54" i="40"/>
  <c r="AY173" i="40"/>
  <c r="BW55" i="40"/>
  <c r="AY60" i="40"/>
  <c r="BP62" i="40"/>
  <c r="AH62" i="40"/>
  <c r="AU62" i="40" s="1"/>
  <c r="AR62" i="40"/>
  <c r="AS66" i="40"/>
  <c r="BQ66" i="40"/>
  <c r="AH73" i="40"/>
  <c r="AS78" i="40"/>
  <c r="BQ78" i="40"/>
  <c r="AH84" i="40"/>
  <c r="BP84" i="40"/>
  <c r="AR84" i="40"/>
  <c r="AP170" i="40"/>
  <c r="BT12" i="40"/>
  <c r="S176" i="40"/>
  <c r="AO176" i="40"/>
  <c r="BS14" i="40"/>
  <c r="AS26" i="40"/>
  <c r="BQ26" i="40"/>
  <c r="BW26" i="40"/>
  <c r="BT28" i="40"/>
  <c r="BT174" i="40" s="1"/>
  <c r="BZ28" i="40"/>
  <c r="BZ174" i="40" s="1"/>
  <c r="BM30" i="40"/>
  <c r="BS30" i="40"/>
  <c r="BY30" i="40"/>
  <c r="BT33" i="40"/>
  <c r="BZ33" i="40"/>
  <c r="BM34" i="40"/>
  <c r="BX34" i="40" s="1"/>
  <c r="V38" i="40"/>
  <c r="AO38" i="40"/>
  <c r="BY38" i="40"/>
  <c r="BK40" i="40"/>
  <c r="BK44" i="40" s="1"/>
  <c r="P42" i="40"/>
  <c r="I42" i="40" s="1"/>
  <c r="AO44" i="40"/>
  <c r="BC44" i="40"/>
  <c r="BT45" i="40"/>
  <c r="BT51" i="40" s="1"/>
  <c r="AS46" i="40"/>
  <c r="AH47" i="40"/>
  <c r="AU47" i="40" s="1"/>
  <c r="Q49" i="40"/>
  <c r="BM49" i="40"/>
  <c r="BX49" i="40" s="1"/>
  <c r="P50" i="40"/>
  <c r="BP50" i="40"/>
  <c r="BK60" i="40"/>
  <c r="AS63" i="40"/>
  <c r="BQ63" i="40"/>
  <c r="BR65" i="40"/>
  <c r="AS70" i="40"/>
  <c r="BQ70" i="40"/>
  <c r="AR72" i="40"/>
  <c r="BP72" i="40"/>
  <c r="AH72" i="40"/>
  <c r="BT88" i="40"/>
  <c r="BT52" i="40"/>
  <c r="BK53" i="40"/>
  <c r="V173" i="40"/>
  <c r="AO173" i="40"/>
  <c r="BM55" i="40"/>
  <c r="BS55" i="40"/>
  <c r="Q56" i="40"/>
  <c r="BC173" i="40"/>
  <c r="BC169" i="40" s="1"/>
  <c r="BC60" i="40"/>
  <c r="AQ58" i="40"/>
  <c r="BR58" i="40" s="1"/>
  <c r="AO67" i="40"/>
  <c r="BY62" i="40"/>
  <c r="BM62" i="40"/>
  <c r="BX62" i="40" s="1"/>
  <c r="BP63" i="40"/>
  <c r="P65" i="40"/>
  <c r="BS65" i="40"/>
  <c r="M67" i="40"/>
  <c r="AP67" i="40"/>
  <c r="P68" i="40"/>
  <c r="I68" i="40" s="1"/>
  <c r="P69" i="40"/>
  <c r="BS69" i="40"/>
  <c r="BZ69" i="40"/>
  <c r="BZ74" i="40" s="1"/>
  <c r="AS72" i="40"/>
  <c r="W74" i="40"/>
  <c r="AP81" i="40"/>
  <c r="P76" i="40"/>
  <c r="BS76" i="40"/>
  <c r="BP77" i="40"/>
  <c r="AH78" i="40"/>
  <c r="AU78" i="40" s="1"/>
  <c r="BM78" i="40"/>
  <c r="BX78" i="40" s="1"/>
  <c r="AQ79" i="40"/>
  <c r="BR79" i="40" s="1"/>
  <c r="BY79" i="40"/>
  <c r="BM79" i="40"/>
  <c r="BX79" i="40" s="1"/>
  <c r="P80" i="40"/>
  <c r="Q80" i="40"/>
  <c r="M81" i="40"/>
  <c r="AF83" i="40"/>
  <c r="AF88" i="40" s="1"/>
  <c r="AS83" i="40"/>
  <c r="AQ84" i="40"/>
  <c r="BS84" i="40"/>
  <c r="Q86" i="40"/>
  <c r="I91" i="40"/>
  <c r="AR100" i="40"/>
  <c r="BP100" i="40"/>
  <c r="AH100" i="40"/>
  <c r="I101" i="40"/>
  <c r="AS57" i="40"/>
  <c r="AR58" i="40"/>
  <c r="BP58" i="40"/>
  <c r="BL60" i="40"/>
  <c r="BW61" i="40"/>
  <c r="BW67" i="40" s="1"/>
  <c r="AS62" i="40"/>
  <c r="BY63" i="40"/>
  <c r="BP66" i="40"/>
  <c r="AR66" i="40"/>
  <c r="BY66" i="40"/>
  <c r="BP70" i="40"/>
  <c r="AR70" i="40"/>
  <c r="BY70" i="40"/>
  <c r="BP75" i="40"/>
  <c r="AR75" i="40"/>
  <c r="BY75" i="40"/>
  <c r="AR79" i="40"/>
  <c r="AO81" i="40"/>
  <c r="BK88" i="40"/>
  <c r="BY82" i="40"/>
  <c r="BM82" i="40"/>
  <c r="P85" i="40"/>
  <c r="BM87" i="40"/>
  <c r="BX87" i="40" s="1"/>
  <c r="AS58" i="40"/>
  <c r="AR59" i="40"/>
  <c r="BP59" i="40"/>
  <c r="AH63" i="40"/>
  <c r="W67" i="40"/>
  <c r="BK67" i="40"/>
  <c r="BW68" i="40"/>
  <c r="BW74" i="40" s="1"/>
  <c r="BP71" i="40"/>
  <c r="AR71" i="40"/>
  <c r="AQ71" i="40"/>
  <c r="BR71" i="40" s="1"/>
  <c r="BY71" i="40"/>
  <c r="M74" i="40"/>
  <c r="S74" i="40"/>
  <c r="BZ75" i="40"/>
  <c r="BZ81" i="40" s="1"/>
  <c r="BP78" i="40"/>
  <c r="BW78" i="40"/>
  <c r="BW81" i="40" s="1"/>
  <c r="AS79" i="40"/>
  <c r="V81" i="40"/>
  <c r="BK81" i="40"/>
  <c r="AR82" i="40"/>
  <c r="BL88" i="40"/>
  <c r="BZ82" i="40"/>
  <c r="BZ88" i="40" s="1"/>
  <c r="BQ84" i="40"/>
  <c r="AS84" i="40"/>
  <c r="BM86" i="40"/>
  <c r="BX86" i="40" s="1"/>
  <c r="AF89" i="40"/>
  <c r="V92" i="40"/>
  <c r="AH107" i="40"/>
  <c r="BP107" i="40"/>
  <c r="AR107" i="40"/>
  <c r="BM57" i="40"/>
  <c r="BX57" i="40" s="1"/>
  <c r="BS57" i="40"/>
  <c r="P59" i="40"/>
  <c r="BY59" i="40"/>
  <c r="AR61" i="40"/>
  <c r="BY61" i="40"/>
  <c r="BY64" i="40"/>
  <c r="BL67" i="40"/>
  <c r="BK74" i="40"/>
  <c r="BY68" i="40"/>
  <c r="AQ72" i="40"/>
  <c r="AR73" i="40"/>
  <c r="BY73" i="40"/>
  <c r="AG75" i="40"/>
  <c r="P77" i="40"/>
  <c r="AQ78" i="40"/>
  <c r="P82" i="40"/>
  <c r="I82" i="40" s="1"/>
  <c r="AG82" i="40"/>
  <c r="AH82" i="40" s="1"/>
  <c r="AU82" i="40" s="1"/>
  <c r="BW88" i="40"/>
  <c r="AP88" i="40"/>
  <c r="AQ85" i="40"/>
  <c r="BR85" i="40" s="1"/>
  <c r="BQ86" i="40"/>
  <c r="AS86" i="40"/>
  <c r="AR87" i="40"/>
  <c r="BY87" i="40"/>
  <c r="BP90" i="40"/>
  <c r="AH90" i="40"/>
  <c r="AH94" i="40"/>
  <c r="AG98" i="40"/>
  <c r="AS94" i="40"/>
  <c r="BQ94" i="40"/>
  <c r="AV97" i="40"/>
  <c r="AS104" i="40"/>
  <c r="BQ104" i="40"/>
  <c r="X173" i="40"/>
  <c r="X60" i="40"/>
  <c r="BM58" i="40"/>
  <c r="BX58" i="40" s="1"/>
  <c r="P61" i="40"/>
  <c r="P63" i="40"/>
  <c r="P66" i="40"/>
  <c r="AH66" i="40"/>
  <c r="AF68" i="40"/>
  <c r="AQ69" i="40"/>
  <c r="BR69" i="40" s="1"/>
  <c r="P70" i="40"/>
  <c r="AH70" i="40"/>
  <c r="P73" i="40"/>
  <c r="P75" i="40"/>
  <c r="BQ80" i="40"/>
  <c r="AS80" i="40"/>
  <c r="BP82" i="40"/>
  <c r="BY83" i="40"/>
  <c r="BM83" i="40"/>
  <c r="BX83" i="40" s="1"/>
  <c r="P84" i="40"/>
  <c r="Q84" i="40"/>
  <c r="P86" i="40"/>
  <c r="BP86" i="40"/>
  <c r="Q87" i="40"/>
  <c r="AH87" i="40"/>
  <c r="BK92" i="40"/>
  <c r="BM89" i="40"/>
  <c r="BY89" i="40"/>
  <c r="BQ105" i="40"/>
  <c r="AH105" i="40"/>
  <c r="AU105" i="40" s="1"/>
  <c r="AS105" i="40"/>
  <c r="BM52" i="40"/>
  <c r="BY52" i="40"/>
  <c r="BT54" i="40"/>
  <c r="S173" i="40"/>
  <c r="AJ173" i="40"/>
  <c r="AJ60" i="40"/>
  <c r="BL173" i="40"/>
  <c r="BX55" i="40"/>
  <c r="P56" i="40"/>
  <c r="Q61" i="40"/>
  <c r="AH61" i="40"/>
  <c r="P64" i="40"/>
  <c r="BQ65" i="40"/>
  <c r="AS65" i="40"/>
  <c r="Q66" i="40"/>
  <c r="S67" i="40"/>
  <c r="BM68" i="40"/>
  <c r="BT68" i="40"/>
  <c r="BT74" i="40" s="1"/>
  <c r="BQ69" i="40"/>
  <c r="AS69" i="40"/>
  <c r="Q70" i="40"/>
  <c r="AH71" i="40"/>
  <c r="AU71" i="40" s="1"/>
  <c r="Q73" i="40"/>
  <c r="Q75" i="40"/>
  <c r="AF81" i="40"/>
  <c r="AY88" i="40"/>
  <c r="I83" i="40"/>
  <c r="BQ85" i="40"/>
  <c r="AS85" i="40"/>
  <c r="BR86" i="40"/>
  <c r="S88" i="40"/>
  <c r="AR96" i="40"/>
  <c r="BP96" i="40"/>
  <c r="AH96" i="40"/>
  <c r="AH106" i="40"/>
  <c r="AU106" i="40" s="1"/>
  <c r="AR106" i="40"/>
  <c r="BP106" i="40"/>
  <c r="AS109" i="40"/>
  <c r="AS110" i="40" s="1"/>
  <c r="AG110" i="40"/>
  <c r="BQ109" i="40"/>
  <c r="BQ110" i="40" s="1"/>
  <c r="P90" i="40"/>
  <c r="AR91" i="40"/>
  <c r="M92" i="40"/>
  <c r="P93" i="40"/>
  <c r="AF93" i="40"/>
  <c r="BS93" i="40"/>
  <c r="BZ93" i="40"/>
  <c r="AS96" i="40"/>
  <c r="W98" i="40"/>
  <c r="BQ99" i="40"/>
  <c r="P100" i="40"/>
  <c r="BS100" i="40"/>
  <c r="AR101" i="40"/>
  <c r="M102" i="40"/>
  <c r="P103" i="40"/>
  <c r="BM103" i="40"/>
  <c r="Q104" i="40"/>
  <c r="AH104" i="40"/>
  <c r="BP104" i="40"/>
  <c r="AS106" i="40"/>
  <c r="BX107" i="40"/>
  <c r="AQ107" i="40"/>
  <c r="BR107" i="40" s="1"/>
  <c r="Q109" i="40"/>
  <c r="BL110" i="40"/>
  <c r="BM111" i="40"/>
  <c r="BM112" i="40"/>
  <c r="BX112" i="40" s="1"/>
  <c r="S114" i="40"/>
  <c r="W118" i="40"/>
  <c r="AG115" i="40"/>
  <c r="BQ123" i="40"/>
  <c r="AH123" i="40"/>
  <c r="AS123" i="40"/>
  <c r="AR133" i="40"/>
  <c r="BP133" i="40"/>
  <c r="AH133" i="40"/>
  <c r="BY91" i="40"/>
  <c r="BP94" i="40"/>
  <c r="AR94" i="40"/>
  <c r="BY94" i="40"/>
  <c r="BQ95" i="40"/>
  <c r="BZ96" i="40"/>
  <c r="AF102" i="40"/>
  <c r="BP99" i="40"/>
  <c r="AR99" i="40"/>
  <c r="BY99" i="40"/>
  <c r="BT100" i="40"/>
  <c r="BT102" i="40" s="1"/>
  <c r="BY101" i="40"/>
  <c r="BY105" i="40"/>
  <c r="BM105" i="40"/>
  <c r="BX105" i="40" s="1"/>
  <c r="W110" i="40"/>
  <c r="M114" i="40"/>
  <c r="AV121" i="40"/>
  <c r="BV121" i="40" s="1"/>
  <c r="BZ89" i="40"/>
  <c r="BZ92" i="40" s="1"/>
  <c r="AQ90" i="40"/>
  <c r="BS91" i="40"/>
  <c r="AO92" i="40"/>
  <c r="BP95" i="40"/>
  <c r="AR95" i="40"/>
  <c r="BQ97" i="40"/>
  <c r="M98" i="40"/>
  <c r="AS99" i="40"/>
  <c r="BZ99" i="40"/>
  <c r="BZ102" i="40" s="1"/>
  <c r="AQ100" i="40"/>
  <c r="BR100" i="40" s="1"/>
  <c r="BS101" i="40"/>
  <c r="AP102" i="40"/>
  <c r="AJ171" i="40"/>
  <c r="AP103" i="40"/>
  <c r="AJ108" i="40"/>
  <c r="BY103" i="40"/>
  <c r="P106" i="40"/>
  <c r="BQ107" i="40"/>
  <c r="AS107" i="40"/>
  <c r="BQ111" i="40"/>
  <c r="BY111" i="40"/>
  <c r="BY114" i="40" s="1"/>
  <c r="BM113" i="40"/>
  <c r="BX113" i="40" s="1"/>
  <c r="Q115" i="40"/>
  <c r="P115" i="40"/>
  <c r="AP118" i="40"/>
  <c r="AQ115" i="40"/>
  <c r="BT115" i="40"/>
  <c r="BT118" i="40" s="1"/>
  <c r="AS121" i="40"/>
  <c r="BQ121" i="40"/>
  <c r="AG89" i="40"/>
  <c r="AH91" i="40"/>
  <c r="AU91" i="40" s="1"/>
  <c r="AP92" i="40"/>
  <c r="AY98" i="40"/>
  <c r="BW93" i="40"/>
  <c r="BW98" i="40" s="1"/>
  <c r="AQ96" i="40"/>
  <c r="BR96" i="40" s="1"/>
  <c r="AR97" i="40"/>
  <c r="BY97" i="40"/>
  <c r="BM99" i="40"/>
  <c r="AH101" i="40"/>
  <c r="AU101" i="40" s="1"/>
  <c r="V102" i="40"/>
  <c r="BY104" i="40"/>
  <c r="BM104" i="40"/>
  <c r="BX104" i="40" s="1"/>
  <c r="BY109" i="40"/>
  <c r="BY110" i="40" s="1"/>
  <c r="BM109" i="40"/>
  <c r="BK110" i="40"/>
  <c r="AQ111" i="40"/>
  <c r="AO114" i="40"/>
  <c r="I113" i="40"/>
  <c r="BP117" i="40"/>
  <c r="AH117" i="40"/>
  <c r="AU117" i="40" s="1"/>
  <c r="AR117" i="40"/>
  <c r="BY106" i="40"/>
  <c r="BM106" i="40"/>
  <c r="BX106" i="40" s="1"/>
  <c r="P107" i="40"/>
  <c r="Q107" i="40"/>
  <c r="AY108" i="40"/>
  <c r="Q89" i="40"/>
  <c r="BQ93" i="40"/>
  <c r="AS93" i="40"/>
  <c r="BK98" i="40"/>
  <c r="Q94" i="40"/>
  <c r="AH95" i="40"/>
  <c r="AU95" i="40" s="1"/>
  <c r="Q97" i="40"/>
  <c r="Q99" i="40"/>
  <c r="BW102" i="40"/>
  <c r="W103" i="40"/>
  <c r="BZ108" i="40"/>
  <c r="P104" i="40"/>
  <c r="BL108" i="40"/>
  <c r="P109" i="40"/>
  <c r="BW109" i="40"/>
  <c r="BW110" i="40" s="1"/>
  <c r="BP111" i="40"/>
  <c r="AS111" i="40"/>
  <c r="BL114" i="40"/>
  <c r="BT111" i="40"/>
  <c r="BT114" i="40" s="1"/>
  <c r="BS113" i="40"/>
  <c r="AF115" i="40"/>
  <c r="V118" i="40"/>
  <c r="AH116" i="40"/>
  <c r="AU116" i="40" s="1"/>
  <c r="BP116" i="40"/>
  <c r="AR116" i="40"/>
  <c r="BW115" i="40"/>
  <c r="BW118" i="40" s="1"/>
  <c r="M124" i="40"/>
  <c r="AF119" i="40"/>
  <c r="BK124" i="40"/>
  <c r="BY119" i="40"/>
  <c r="BM119" i="40"/>
  <c r="BZ119" i="40"/>
  <c r="BM121" i="40"/>
  <c r="BX121" i="40" s="1"/>
  <c r="BT121" i="40"/>
  <c r="P123" i="40"/>
  <c r="AF127" i="40"/>
  <c r="BP125" i="40"/>
  <c r="BP127" i="40" s="1"/>
  <c r="AR125" i="40"/>
  <c r="AS126" i="40"/>
  <c r="AG130" i="40"/>
  <c r="BQ128" i="40"/>
  <c r="AS128" i="40"/>
  <c r="W130" i="40"/>
  <c r="AG131" i="40"/>
  <c r="AH131" i="40" s="1"/>
  <c r="W137" i="40"/>
  <c r="P133" i="40"/>
  <c r="Q133" i="40"/>
  <c r="BZ133" i="40"/>
  <c r="BQ134" i="40"/>
  <c r="AS134" i="40"/>
  <c r="BP134" i="40"/>
  <c r="BZ134" i="40"/>
  <c r="AY137" i="40"/>
  <c r="AR138" i="40"/>
  <c r="BL144" i="40"/>
  <c r="Q139" i="40"/>
  <c r="AS141" i="40"/>
  <c r="AS142" i="40"/>
  <c r="BK151" i="40"/>
  <c r="BY145" i="40"/>
  <c r="BY151" i="40" s="1"/>
  <c r="BM145" i="40"/>
  <c r="AS116" i="40"/>
  <c r="BQ117" i="40"/>
  <c r="AS117" i="40"/>
  <c r="BS117" i="40"/>
  <c r="BZ117" i="40"/>
  <c r="AO118" i="40"/>
  <c r="AS119" i="40"/>
  <c r="BT119" i="40"/>
  <c r="BQ122" i="40"/>
  <c r="AP124" i="40"/>
  <c r="I126" i="40"/>
  <c r="S127" i="40"/>
  <c r="P128" i="40"/>
  <c r="I128" i="40" s="1"/>
  <c r="BY130" i="40"/>
  <c r="BZ129" i="40"/>
  <c r="BT132" i="40"/>
  <c r="W144" i="40"/>
  <c r="AG138" i="40"/>
  <c r="AS139" i="40"/>
  <c r="BQ143" i="40"/>
  <c r="AS143" i="40"/>
  <c r="AH146" i="40"/>
  <c r="BP146" i="40"/>
  <c r="AR146" i="40"/>
  <c r="AS113" i="40"/>
  <c r="BM115" i="40"/>
  <c r="BQ120" i="40"/>
  <c r="AS122" i="40"/>
  <c r="AT122" i="40" s="1"/>
  <c r="W124" i="40"/>
  <c r="AG127" i="40"/>
  <c r="AO127" i="40"/>
  <c r="AO130" i="40"/>
  <c r="BZ128" i="40"/>
  <c r="BS129" i="40"/>
  <c r="BS130" i="40" s="1"/>
  <c r="P131" i="40"/>
  <c r="Q131" i="40"/>
  <c r="AR136" i="40"/>
  <c r="P138" i="40"/>
  <c r="BZ144" i="40"/>
  <c r="BP139" i="40"/>
  <c r="AR139" i="40"/>
  <c r="AH139" i="40"/>
  <c r="Q142" i="40"/>
  <c r="AH142" i="40"/>
  <c r="BP142" i="40"/>
  <c r="AR142" i="40"/>
  <c r="AH143" i="40"/>
  <c r="S144" i="40"/>
  <c r="BS116" i="40"/>
  <c r="BY120" i="40"/>
  <c r="BZ122" i="40"/>
  <c r="BP129" i="40"/>
  <c r="AR129" i="40"/>
  <c r="AP130" i="40"/>
  <c r="BP132" i="40"/>
  <c r="AR132" i="40"/>
  <c r="AG145" i="40"/>
  <c r="AH145" i="40" s="1"/>
  <c r="W151" i="40"/>
  <c r="BW119" i="40"/>
  <c r="BW124" i="40" s="1"/>
  <c r="AH120" i="40"/>
  <c r="AU120" i="40" s="1"/>
  <c r="BP121" i="40"/>
  <c r="AR121" i="40"/>
  <c r="BY123" i="40"/>
  <c r="BM123" i="40"/>
  <c r="BX123" i="40" s="1"/>
  <c r="AQ128" i="40"/>
  <c r="AQ131" i="40"/>
  <c r="BR131" i="40" s="1"/>
  <c r="BQ132" i="40"/>
  <c r="AS132" i="40"/>
  <c r="BQ133" i="40"/>
  <c r="AS133" i="40"/>
  <c r="AQ134" i="40"/>
  <c r="BR134" i="40" s="1"/>
  <c r="AQ135" i="40"/>
  <c r="BR135" i="40" s="1"/>
  <c r="BS135" i="40"/>
  <c r="AF137" i="40"/>
  <c r="AO144" i="40"/>
  <c r="AQ138" i="40"/>
  <c r="BS138" i="40"/>
  <c r="BM139" i="40"/>
  <c r="BX139" i="40" s="1"/>
  <c r="AF140" i="40"/>
  <c r="AF144" i="40" s="1"/>
  <c r="BK140" i="40"/>
  <c r="AQ141" i="40"/>
  <c r="BR141" i="40" s="1"/>
  <c r="P142" i="40"/>
  <c r="P145" i="40"/>
  <c r="I145" i="40" s="1"/>
  <c r="AF151" i="40"/>
  <c r="BP145" i="40"/>
  <c r="BQ119" i="40"/>
  <c r="S124" i="40"/>
  <c r="BS125" i="40"/>
  <c r="AR126" i="40"/>
  <c r="BS126" i="40"/>
  <c r="AF128" i="40"/>
  <c r="V130" i="40"/>
  <c r="BM128" i="40"/>
  <c r="V137" i="40"/>
  <c r="AR131" i="40"/>
  <c r="BT131" i="40"/>
  <c r="AH132" i="40"/>
  <c r="AR134" i="40"/>
  <c r="P136" i="40"/>
  <c r="S137" i="40"/>
  <c r="BT144" i="40"/>
  <c r="V144" i="40"/>
  <c r="AW166" i="40"/>
  <c r="AP20" i="47" s="1"/>
  <c r="M151" i="40"/>
  <c r="BL137" i="40"/>
  <c r="AQ136" i="40"/>
  <c r="BR136" i="40" s="1"/>
  <c r="P141" i="40"/>
  <c r="V151" i="40"/>
  <c r="AY151" i="40"/>
  <c r="BW145" i="40"/>
  <c r="BW151" i="40" s="1"/>
  <c r="BT146" i="40"/>
  <c r="BT151" i="40" s="1"/>
  <c r="BP148" i="40"/>
  <c r="AR148" i="40"/>
  <c r="AH150" i="40"/>
  <c r="BP150" i="40"/>
  <c r="BE166" i="40"/>
  <c r="AX20" i="47" s="1"/>
  <c r="W155" i="40"/>
  <c r="AG152" i="40"/>
  <c r="AY155" i="40"/>
  <c r="BW152" i="40"/>
  <c r="BW155" i="40" s="1"/>
  <c r="BS152" i="40"/>
  <c r="BS155" i="40" s="1"/>
  <c r="P154" i="40"/>
  <c r="T166" i="40"/>
  <c r="M20" i="47" s="1"/>
  <c r="BL161" i="40"/>
  <c r="BP157" i="40"/>
  <c r="AR157" i="40"/>
  <c r="AH157" i="40"/>
  <c r="AU157" i="40" s="1"/>
  <c r="BY158" i="40"/>
  <c r="AO161" i="40"/>
  <c r="K166" i="40"/>
  <c r="D20" i="47" s="1"/>
  <c r="R166" i="40"/>
  <c r="K20" i="47" s="1"/>
  <c r="BQ146" i="40"/>
  <c r="AS146" i="40"/>
  <c r="BQ148" i="40"/>
  <c r="AS148" i="40"/>
  <c r="BK155" i="40"/>
  <c r="BT152" i="40"/>
  <c r="BT155" i="40" s="1"/>
  <c r="BZ161" i="40"/>
  <c r="BM157" i="40"/>
  <c r="BY157" i="40"/>
  <c r="BP158" i="40"/>
  <c r="AR158" i="40"/>
  <c r="AH158" i="40"/>
  <c r="AU158" i="40" s="1"/>
  <c r="AH160" i="40"/>
  <c r="AS160" i="40"/>
  <c r="AA166" i="40"/>
  <c r="T20" i="47" s="1"/>
  <c r="Q152" i="40"/>
  <c r="P152" i="40"/>
  <c r="N166" i="40"/>
  <c r="G20" i="47" s="1"/>
  <c r="BF166" i="40"/>
  <c r="AY20" i="47" s="1"/>
  <c r="AG162" i="40"/>
  <c r="W165" i="40"/>
  <c r="BB166" i="40"/>
  <c r="BH166" i="40"/>
  <c r="BA20" i="47" s="1"/>
  <c r="P146" i="40"/>
  <c r="Q146" i="40"/>
  <c r="AO151" i="40"/>
  <c r="BS149" i="40"/>
  <c r="BS150" i="40"/>
  <c r="S151" i="40"/>
  <c r="AQ152" i="40"/>
  <c r="AQ153" i="40"/>
  <c r="BR153" i="40" s="1"/>
  <c r="BY154" i="40"/>
  <c r="P156" i="40"/>
  <c r="AF161" i="40"/>
  <c r="AR156" i="40"/>
  <c r="BP156" i="40"/>
  <c r="Q157" i="40"/>
  <c r="P157" i="40"/>
  <c r="BQ157" i="40"/>
  <c r="BQ158" i="40"/>
  <c r="Q160" i="40"/>
  <c r="P160" i="40"/>
  <c r="BP147" i="40"/>
  <c r="AR147" i="40"/>
  <c r="BP149" i="40"/>
  <c r="AR149" i="40"/>
  <c r="AT149" i="40" s="1"/>
  <c r="BZ153" i="40"/>
  <c r="BZ155" i="40" s="1"/>
  <c r="M161" i="40"/>
  <c r="AD166" i="40"/>
  <c r="W20" i="47" s="1"/>
  <c r="Y166" i="40"/>
  <c r="R20" i="47" s="1"/>
  <c r="AE166" i="40"/>
  <c r="X20" i="47" s="1"/>
  <c r="BP135" i="40"/>
  <c r="AR135" i="40"/>
  <c r="AP144" i="40"/>
  <c r="BY141" i="40"/>
  <c r="BM141" i="40"/>
  <c r="BX141" i="40" s="1"/>
  <c r="Q143" i="40"/>
  <c r="AY144" i="40"/>
  <c r="AQ146" i="40"/>
  <c r="BS146" i="40"/>
  <c r="BQ147" i="40"/>
  <c r="AS147" i="40"/>
  <c r="V155" i="40"/>
  <c r="AF152" i="40"/>
  <c r="BP153" i="40"/>
  <c r="AR153" i="40"/>
  <c r="AH154" i="40"/>
  <c r="AU154" i="40" s="1"/>
  <c r="BP154" i="40"/>
  <c r="S155" i="40"/>
  <c r="Q156" i="40"/>
  <c r="AQ158" i="40"/>
  <c r="BR158" i="40" s="1"/>
  <c r="AN166" i="40"/>
  <c r="AG20" i="47" s="1"/>
  <c r="BQ153" i="40"/>
  <c r="AQ154" i="40"/>
  <c r="BR154" i="40" s="1"/>
  <c r="BP159" i="40"/>
  <c r="O166" i="40"/>
  <c r="H20" i="47" s="1"/>
  <c r="BK165" i="40"/>
  <c r="AQ163" i="40"/>
  <c r="AH164" i="40"/>
  <c r="AU164" i="40" s="1"/>
  <c r="BP164" i="40"/>
  <c r="AR164" i="40"/>
  <c r="BS164" i="40"/>
  <c r="BS165" i="40" s="1"/>
  <c r="BD166" i="40"/>
  <c r="AW20" i="47" s="1"/>
  <c r="BJ166" i="40"/>
  <c r="BC20" i="47" s="1"/>
  <c r="BL155" i="40"/>
  <c r="W161" i="40"/>
  <c r="AG156" i="40"/>
  <c r="BK161" i="40"/>
  <c r="BQ159" i="40"/>
  <c r="AL166" i="40"/>
  <c r="AE20" i="47" s="1"/>
  <c r="AC166" i="40"/>
  <c r="V20" i="47" s="1"/>
  <c r="AM166" i="40"/>
  <c r="AF20" i="47" s="1"/>
  <c r="AX166" i="40"/>
  <c r="AQ20" i="47" s="1"/>
  <c r="BF169" i="40"/>
  <c r="R169" i="40"/>
  <c r="V165" i="40"/>
  <c r="AF162" i="40"/>
  <c r="AH163" i="40"/>
  <c r="BP163" i="40"/>
  <c r="AR163" i="40"/>
  <c r="I164" i="40"/>
  <c r="AP161" i="40"/>
  <c r="AY161" i="40"/>
  <c r="BW156" i="40"/>
  <c r="BW161" i="40" s="1"/>
  <c r="U166" i="40"/>
  <c r="N20" i="47" s="1"/>
  <c r="P162" i="40"/>
  <c r="AY165" i="40"/>
  <c r="BW162" i="40"/>
  <c r="BW165" i="40" s="1"/>
  <c r="AS164" i="40"/>
  <c r="L166" i="40"/>
  <c r="E20" i="47" s="1"/>
  <c r="S165" i="40"/>
  <c r="Z166" i="40"/>
  <c r="S20" i="47" s="1"/>
  <c r="L169" i="40"/>
  <c r="AB166" i="40"/>
  <c r="U20" i="47" s="1"/>
  <c r="AO165" i="40"/>
  <c r="BA166" i="40"/>
  <c r="BG166" i="40"/>
  <c r="AZ20" i="47" s="1"/>
  <c r="BM162" i="40"/>
  <c r="BY162" i="40"/>
  <c r="BY165" i="40" s="1"/>
  <c r="BI166" i="40"/>
  <c r="BB20" i="47" s="1"/>
  <c r="BQ15" i="39"/>
  <c r="AS15" i="39"/>
  <c r="BT13" i="39"/>
  <c r="J130" i="39"/>
  <c r="Q37" i="39"/>
  <c r="P37" i="39"/>
  <c r="AP46" i="39"/>
  <c r="BT45" i="39"/>
  <c r="BT46" i="39" s="1"/>
  <c r="AQ45" i="39"/>
  <c r="AQ46" i="39" s="1"/>
  <c r="V137" i="39"/>
  <c r="AP137" i="39"/>
  <c r="AP13" i="39"/>
  <c r="J13" i="39"/>
  <c r="BM15" i="39"/>
  <c r="BX15" i="39" s="1"/>
  <c r="Q16" i="39"/>
  <c r="P16" i="39"/>
  <c r="V134" i="39"/>
  <c r="AF17" i="39"/>
  <c r="AQ20" i="39"/>
  <c r="BR20" i="39" s="1"/>
  <c r="S135" i="39"/>
  <c r="BS23" i="39"/>
  <c r="V131" i="39"/>
  <c r="AF25" i="39"/>
  <c r="AY131" i="39"/>
  <c r="AY30" i="39"/>
  <c r="BW25" i="39"/>
  <c r="AQ26" i="39"/>
  <c r="BR26" i="39" s="1"/>
  <c r="BK30" i="39"/>
  <c r="AI129" i="39"/>
  <c r="AI127" i="39" s="1"/>
  <c r="V126" i="39" s="1"/>
  <c r="AI36" i="39"/>
  <c r="AI124" i="39" s="1"/>
  <c r="AO129" i="39"/>
  <c r="V31" i="39"/>
  <c r="V129" i="39" s="1"/>
  <c r="BL36" i="39"/>
  <c r="BZ31" i="39"/>
  <c r="AH32" i="39"/>
  <c r="AU32" i="39" s="1"/>
  <c r="BP32" i="39"/>
  <c r="S36" i="39"/>
  <c r="BY40" i="39"/>
  <c r="AH91" i="39"/>
  <c r="BP91" i="39"/>
  <c r="AR91" i="39"/>
  <c r="BP92" i="39"/>
  <c r="AH92" i="39"/>
  <c r="AR92" i="39"/>
  <c r="AH15" i="39"/>
  <c r="X128" i="39"/>
  <c r="X18" i="39"/>
  <c r="S134" i="39"/>
  <c r="W129" i="39"/>
  <c r="W24" i="39"/>
  <c r="AG19" i="39"/>
  <c r="AH19" i="39" s="1"/>
  <c r="AU19" i="39" s="1"/>
  <c r="W137" i="39"/>
  <c r="W13" i="39"/>
  <c r="AQ12" i="39"/>
  <c r="AY137" i="39"/>
  <c r="BW12" i="39"/>
  <c r="V128" i="39"/>
  <c r="V18" i="39"/>
  <c r="AP128" i="39"/>
  <c r="AY128" i="39"/>
  <c r="BP14" i="39"/>
  <c r="BW14" i="39"/>
  <c r="P15" i="39"/>
  <c r="AP18" i="39"/>
  <c r="AY18" i="39"/>
  <c r="J129" i="39"/>
  <c r="Q19" i="39"/>
  <c r="P19" i="39"/>
  <c r="V135" i="39"/>
  <c r="AF22" i="39"/>
  <c r="W131" i="39"/>
  <c r="AG25" i="39"/>
  <c r="AR29" i="39"/>
  <c r="BP29" i="39"/>
  <c r="BP40" i="39"/>
  <c r="AR40" i="39"/>
  <c r="AH40" i="39"/>
  <c r="AU40" i="39" s="1"/>
  <c r="V42" i="39"/>
  <c r="V46" i="39"/>
  <c r="AF45" i="39"/>
  <c r="X50" i="39"/>
  <c r="AF48" i="39"/>
  <c r="BY31" i="39"/>
  <c r="BM31" i="39"/>
  <c r="S13" i="39"/>
  <c r="J128" i="39"/>
  <c r="S18" i="39"/>
  <c r="M129" i="39"/>
  <c r="AH20" i="39"/>
  <c r="BP20" i="39"/>
  <c r="AR20" i="39"/>
  <c r="BT22" i="39"/>
  <c r="AH33" i="39"/>
  <c r="AU33" i="39" s="1"/>
  <c r="BP33" i="39"/>
  <c r="AR33" i="39"/>
  <c r="AH34" i="39"/>
  <c r="BP34" i="39"/>
  <c r="AR34" i="39"/>
  <c r="M42" i="39"/>
  <c r="AP136" i="39"/>
  <c r="AP44" i="39"/>
  <c r="BT43" i="39"/>
  <c r="S50" i="39"/>
  <c r="AQ47" i="39"/>
  <c r="BR47" i="39" s="1"/>
  <c r="AO50" i="39"/>
  <c r="BS47" i="39"/>
  <c r="BS50" i="39" s="1"/>
  <c r="BW54" i="39"/>
  <c r="AY56" i="39"/>
  <c r="Q89" i="39"/>
  <c r="P89" i="39"/>
  <c r="BT89" i="39"/>
  <c r="AQ89" i="39"/>
  <c r="BR89" i="39" s="1"/>
  <c r="AG137" i="39"/>
  <c r="BQ12" i="39"/>
  <c r="AS12" i="39"/>
  <c r="AG13" i="39"/>
  <c r="AR14" i="39"/>
  <c r="BY14" i="39"/>
  <c r="BM14" i="39"/>
  <c r="BP15" i="39"/>
  <c r="AF16" i="39"/>
  <c r="AO134" i="39"/>
  <c r="AQ17" i="39"/>
  <c r="M18" i="39"/>
  <c r="S129" i="39"/>
  <c r="BQ20" i="39"/>
  <c r="AS20" i="39"/>
  <c r="J131" i="39"/>
  <c r="Q25" i="39"/>
  <c r="P25" i="39"/>
  <c r="AH26" i="39"/>
  <c r="AU26" i="39" s="1"/>
  <c r="BP26" i="39"/>
  <c r="AR26" i="39"/>
  <c r="BY28" i="39"/>
  <c r="BM28" i="39"/>
  <c r="BX28" i="39" s="1"/>
  <c r="AP30" i="39"/>
  <c r="BW36" i="39"/>
  <c r="BQ33" i="39"/>
  <c r="AS33" i="39"/>
  <c r="BS35" i="39"/>
  <c r="W130" i="39"/>
  <c r="AG37" i="39"/>
  <c r="W42" i="39"/>
  <c r="S136" i="39"/>
  <c r="S44" i="39"/>
  <c r="AY136" i="39"/>
  <c r="BW43" i="39"/>
  <c r="AY44" i="39"/>
  <c r="AS45" i="39"/>
  <c r="AS46" i="39" s="1"/>
  <c r="AQ52" i="39"/>
  <c r="BR52" i="39" s="1"/>
  <c r="BS52" i="39"/>
  <c r="AR52" i="39"/>
  <c r="AY129" i="39"/>
  <c r="AY24" i="39"/>
  <c r="BW19" i="39"/>
  <c r="Q20" i="39"/>
  <c r="P20" i="39"/>
  <c r="BQ21" i="39"/>
  <c r="AS21" i="39"/>
  <c r="BY29" i="39"/>
  <c r="BM29" i="39"/>
  <c r="BX29" i="39" s="1"/>
  <c r="P54" i="39"/>
  <c r="Q54" i="39"/>
  <c r="Q12" i="39"/>
  <c r="BS12" i="39"/>
  <c r="BZ12" i="39"/>
  <c r="AO13" i="39"/>
  <c r="P14" i="39"/>
  <c r="AG14" i="39"/>
  <c r="BL128" i="39"/>
  <c r="BL18" i="39"/>
  <c r="BT14" i="39"/>
  <c r="AR15" i="39"/>
  <c r="AS16" i="39"/>
  <c r="BW134" i="39"/>
  <c r="V24" i="39"/>
  <c r="AH21" i="39"/>
  <c r="AU21" i="39" s="1"/>
  <c r="BP21" i="39"/>
  <c r="AR21" i="39"/>
  <c r="AO135" i="39"/>
  <c r="AQ22" i="39"/>
  <c r="BM23" i="39"/>
  <c r="BX23" i="39" s="1"/>
  <c r="S24" i="39"/>
  <c r="AQ25" i="39"/>
  <c r="V30" i="39"/>
  <c r="BZ30" i="39"/>
  <c r="AG36" i="39"/>
  <c r="AY36" i="39"/>
  <c r="BQ32" i="39"/>
  <c r="AS32" i="39"/>
  <c r="BZ130" i="39"/>
  <c r="BZ42" i="39"/>
  <c r="BT38" i="39"/>
  <c r="AS38" i="39"/>
  <c r="BP55" i="39"/>
  <c r="AR55" i="39"/>
  <c r="AH55" i="39"/>
  <c r="BL72" i="39"/>
  <c r="BZ66" i="39"/>
  <c r="BZ72" i="39" s="1"/>
  <c r="BM66" i="39"/>
  <c r="BX66" i="39" s="1"/>
  <c r="S128" i="39"/>
  <c r="AO128" i="39"/>
  <c r="BS14" i="39"/>
  <c r="AY134" i="39"/>
  <c r="J135" i="39"/>
  <c r="W135" i="39"/>
  <c r="AY135" i="39"/>
  <c r="BK24" i="39"/>
  <c r="M131" i="39"/>
  <c r="Q29" i="39"/>
  <c r="AW30" i="39"/>
  <c r="Q32" i="39"/>
  <c r="AQ34" i="39"/>
  <c r="BR34" i="39" s="1"/>
  <c r="M130" i="39"/>
  <c r="AF37" i="39"/>
  <c r="BK130" i="39"/>
  <c r="BY37" i="39"/>
  <c r="BM37" i="39"/>
  <c r="AQ38" i="39"/>
  <c r="BP38" i="39"/>
  <c r="Q39" i="39"/>
  <c r="AQ41" i="39"/>
  <c r="BR41" i="39" s="1"/>
  <c r="BK42" i="39"/>
  <c r="AQ43" i="39"/>
  <c r="BQ45" i="39"/>
  <c r="BQ46" i="39" s="1"/>
  <c r="AG46" i="39"/>
  <c r="P48" i="39"/>
  <c r="BY48" i="39"/>
  <c r="BM48" i="39"/>
  <c r="BX48" i="39" s="1"/>
  <c r="BQ49" i="39"/>
  <c r="W50" i="39"/>
  <c r="M56" i="39"/>
  <c r="AG56" i="39"/>
  <c r="BP53" i="39"/>
  <c r="AO58" i="39"/>
  <c r="AQ57" i="39"/>
  <c r="AQ58" i="39" s="1"/>
  <c r="S58" i="39"/>
  <c r="BW59" i="39"/>
  <c r="BW65" i="39" s="1"/>
  <c r="AY65" i="39"/>
  <c r="AS60" i="39"/>
  <c r="BQ60" i="39"/>
  <c r="AS61" i="39"/>
  <c r="Q63" i="39"/>
  <c r="P63" i="39"/>
  <c r="AS67" i="39"/>
  <c r="BQ67" i="39"/>
  <c r="BQ70" i="39"/>
  <c r="AS70" i="39"/>
  <c r="BQ76" i="39"/>
  <c r="AS76" i="39"/>
  <c r="AH76" i="39"/>
  <c r="AU76" i="39" s="1"/>
  <c r="AO18" i="39"/>
  <c r="BL129" i="39"/>
  <c r="M135" i="39"/>
  <c r="BL24" i="39"/>
  <c r="BK131" i="39"/>
  <c r="I27" i="39"/>
  <c r="BT31" i="39"/>
  <c r="BT36" i="39" s="1"/>
  <c r="BL130" i="39"/>
  <c r="BL42" i="39"/>
  <c r="AR38" i="39"/>
  <c r="W136" i="39"/>
  <c r="W44" i="39"/>
  <c r="AG43" i="39"/>
  <c r="M44" i="39"/>
  <c r="BY45" i="39"/>
  <c r="BY46" i="39" s="1"/>
  <c r="BM45" i="39"/>
  <c r="BQ47" i="39"/>
  <c r="Q48" i="39"/>
  <c r="I49" i="39"/>
  <c r="BZ51" i="39"/>
  <c r="BZ56" i="39" s="1"/>
  <c r="BS53" i="39"/>
  <c r="BY55" i="39"/>
  <c r="BM55" i="39"/>
  <c r="BX55" i="39" s="1"/>
  <c r="V65" i="39"/>
  <c r="AF94" i="39"/>
  <c r="V100" i="39"/>
  <c r="BS19" i="39"/>
  <c r="AS22" i="39"/>
  <c r="BK135" i="39"/>
  <c r="BQ22" i="39"/>
  <c r="AR23" i="39"/>
  <c r="AO24" i="39"/>
  <c r="BY24" i="39"/>
  <c r="BL131" i="39"/>
  <c r="AS26" i="39"/>
  <c r="AR27" i="39"/>
  <c r="BT29" i="39"/>
  <c r="AS34" i="39"/>
  <c r="AR35" i="39"/>
  <c r="BS38" i="39"/>
  <c r="BP39" i="39"/>
  <c r="BQ41" i="39"/>
  <c r="J136" i="39"/>
  <c r="P43" i="39"/>
  <c r="BS43" i="39"/>
  <c r="BZ43" i="39"/>
  <c r="AO44" i="39"/>
  <c r="M50" i="39"/>
  <c r="BY47" i="39"/>
  <c r="BY49" i="39"/>
  <c r="BM49" i="39"/>
  <c r="BX49" i="39" s="1"/>
  <c r="AO56" i="39"/>
  <c r="AQ51" i="39"/>
  <c r="AS52" i="39"/>
  <c r="P53" i="39"/>
  <c r="W65" i="39"/>
  <c r="AG59" i="39"/>
  <c r="AY79" i="39"/>
  <c r="BW73" i="39"/>
  <c r="BW79" i="39" s="1"/>
  <c r="AH82" i="39"/>
  <c r="AU82" i="39" s="1"/>
  <c r="AR82" i="39"/>
  <c r="BP82" i="39"/>
  <c r="BQ85" i="39"/>
  <c r="AS85" i="39"/>
  <c r="Q134" i="39"/>
  <c r="BL134" i="39"/>
  <c r="BC18" i="39"/>
  <c r="AP129" i="39"/>
  <c r="BT19" i="39"/>
  <c r="BL135" i="39"/>
  <c r="AS23" i="39"/>
  <c r="AP24" i="39"/>
  <c r="S131" i="39"/>
  <c r="AO131" i="39"/>
  <c r="BM25" i="39"/>
  <c r="BS25" i="39"/>
  <c r="AS27" i="39"/>
  <c r="AR28" i="39"/>
  <c r="BL30" i="39"/>
  <c r="AS35" i="39"/>
  <c r="S130" i="39"/>
  <c r="BQ39" i="39"/>
  <c r="AS39" i="39"/>
  <c r="BM43" i="39"/>
  <c r="P47" i="39"/>
  <c r="I47" i="39" s="1"/>
  <c r="S56" i="39"/>
  <c r="BS51" i="39"/>
  <c r="AH52" i="39"/>
  <c r="BP52" i="39"/>
  <c r="S72" i="39"/>
  <c r="AV75" i="39"/>
  <c r="BV75" i="39" s="1"/>
  <c r="X36" i="39"/>
  <c r="AP130" i="39"/>
  <c r="AY130" i="39"/>
  <c r="BW37" i="39"/>
  <c r="P39" i="39"/>
  <c r="Q44" i="39"/>
  <c r="BW48" i="39"/>
  <c r="BW50" i="39" s="1"/>
  <c r="V56" i="39"/>
  <c r="AF51" i="39"/>
  <c r="BQ54" i="39"/>
  <c r="AS54" i="39"/>
  <c r="W56" i="39"/>
  <c r="Q59" i="39"/>
  <c r="P59" i="39"/>
  <c r="AH61" i="39"/>
  <c r="AR61" i="39"/>
  <c r="BO62" i="39"/>
  <c r="AV62" i="39"/>
  <c r="AH63" i="39"/>
  <c r="AU63" i="39" s="1"/>
  <c r="AS63" i="39"/>
  <c r="AS64" i="39"/>
  <c r="BQ64" i="39"/>
  <c r="BP69" i="39"/>
  <c r="AR69" i="39"/>
  <c r="BQ74" i="39"/>
  <c r="AS74" i="39"/>
  <c r="BZ92" i="39"/>
  <c r="BM92" i="39"/>
  <c r="BX92" i="39" s="1"/>
  <c r="U124" i="39"/>
  <c r="N19" i="47" s="1"/>
  <c r="AO130" i="39"/>
  <c r="BS37" i="39"/>
  <c r="BK136" i="39"/>
  <c r="BM54" i="39"/>
  <c r="Q55" i="39"/>
  <c r="BZ57" i="39"/>
  <c r="BZ58" i="39" s="1"/>
  <c r="M65" i="39"/>
  <c r="AF59" i="39"/>
  <c r="P60" i="39"/>
  <c r="BQ61" i="39"/>
  <c r="AQ62" i="39"/>
  <c r="BR62" i="39" s="1"/>
  <c r="BK65" i="39"/>
  <c r="V72" i="39"/>
  <c r="AR66" i="39"/>
  <c r="P67" i="39"/>
  <c r="AH68" i="39"/>
  <c r="AU68" i="39" s="1"/>
  <c r="BP68" i="39"/>
  <c r="P69" i="39"/>
  <c r="AQ70" i="39"/>
  <c r="BR70" i="39" s="1"/>
  <c r="AF79" i="39"/>
  <c r="BP73" i="39"/>
  <c r="AR73" i="39"/>
  <c r="AQ74" i="39"/>
  <c r="BP77" i="39"/>
  <c r="AR77" i="39"/>
  <c r="AS77" i="39"/>
  <c r="AS78" i="39"/>
  <c r="M86" i="39"/>
  <c r="BZ80" i="39"/>
  <c r="BZ86" i="39" s="1"/>
  <c r="BL86" i="39"/>
  <c r="BM80" i="39"/>
  <c r="BY81" i="39"/>
  <c r="BM81" i="39"/>
  <c r="BX81" i="39" s="1"/>
  <c r="BY82" i="39"/>
  <c r="BM82" i="39"/>
  <c r="BX82" i="39" s="1"/>
  <c r="BQ84" i="39"/>
  <c r="AS84" i="39"/>
  <c r="V93" i="39"/>
  <c r="BY91" i="39"/>
  <c r="BM91" i="39"/>
  <c r="BX91" i="39" s="1"/>
  <c r="P92" i="39"/>
  <c r="Q92" i="39"/>
  <c r="W100" i="39"/>
  <c r="AG94" i="39"/>
  <c r="BZ94" i="39"/>
  <c r="BZ100" i="39" s="1"/>
  <c r="BL100" i="39"/>
  <c r="AH96" i="39"/>
  <c r="AU96" i="39" s="1"/>
  <c r="AR96" i="39"/>
  <c r="AH97" i="39"/>
  <c r="AU97" i="39" s="1"/>
  <c r="AR97" i="39"/>
  <c r="AY107" i="39"/>
  <c r="BW101" i="39"/>
  <c r="BW107" i="39" s="1"/>
  <c r="Q60" i="39"/>
  <c r="BP64" i="39"/>
  <c r="BY67" i="39"/>
  <c r="BM67" i="39"/>
  <c r="BX67" i="39" s="1"/>
  <c r="BQ68" i="39"/>
  <c r="AS68" i="39"/>
  <c r="AG73" i="39"/>
  <c r="W79" i="39"/>
  <c r="BL79" i="39"/>
  <c r="AH78" i="39"/>
  <c r="AU78" i="39" s="1"/>
  <c r="V79" i="39"/>
  <c r="AQ80" i="39"/>
  <c r="AO86" i="39"/>
  <c r="BS80" i="39"/>
  <c r="AH83" i="39"/>
  <c r="AU83" i="39" s="1"/>
  <c r="BP83" i="39"/>
  <c r="AR83" i="39"/>
  <c r="Q85" i="39"/>
  <c r="P85" i="39"/>
  <c r="AR88" i="39"/>
  <c r="BP88" i="39"/>
  <c r="AS91" i="39"/>
  <c r="P102" i="39"/>
  <c r="Q102" i="39"/>
  <c r="AC124" i="39"/>
  <c r="V19" i="47" s="1"/>
  <c r="BZ59" i="39"/>
  <c r="BZ61" i="39"/>
  <c r="AF72" i="39"/>
  <c r="Q84" i="39"/>
  <c r="P84" i="39"/>
  <c r="AG86" i="39"/>
  <c r="AF93" i="39"/>
  <c r="AH87" i="39"/>
  <c r="AH89" i="39"/>
  <c r="AU89" i="39" s="1"/>
  <c r="BP89" i="39"/>
  <c r="AR89" i="39"/>
  <c r="BQ90" i="39"/>
  <c r="AS90" i="39"/>
  <c r="AH106" i="39"/>
  <c r="BP106" i="39"/>
  <c r="AR106" i="39"/>
  <c r="BY106" i="39"/>
  <c r="BM106" i="39"/>
  <c r="BX106" i="39" s="1"/>
  <c r="AS53" i="39"/>
  <c r="AR54" i="39"/>
  <c r="P57" i="39"/>
  <c r="S65" i="39"/>
  <c r="BM59" i="39"/>
  <c r="BT65" i="39"/>
  <c r="BP60" i="39"/>
  <c r="AR60" i="39"/>
  <c r="BY64" i="39"/>
  <c r="BM64" i="39"/>
  <c r="BX64" i="39" s="1"/>
  <c r="BW72" i="39"/>
  <c r="AQ69" i="39"/>
  <c r="BR69" i="39" s="1"/>
  <c r="BP71" i="39"/>
  <c r="AR71" i="39"/>
  <c r="Q73" i="39"/>
  <c r="P73" i="39"/>
  <c r="BT73" i="39"/>
  <c r="S79" i="39"/>
  <c r="BP75" i="39"/>
  <c r="AR75" i="39"/>
  <c r="BM76" i="39"/>
  <c r="BX76" i="39" s="1"/>
  <c r="AH77" i="39"/>
  <c r="BY77" i="39"/>
  <c r="BM77" i="39"/>
  <c r="BX77" i="39" s="1"/>
  <c r="P78" i="39"/>
  <c r="BP81" i="39"/>
  <c r="AR81" i="39"/>
  <c r="AG93" i="39"/>
  <c r="BK93" i="39"/>
  <c r="BY87" i="39"/>
  <c r="BM87" i="39"/>
  <c r="BX87" i="39" s="1"/>
  <c r="BQ99" i="39"/>
  <c r="AS99" i="39"/>
  <c r="AY100" i="39"/>
  <c r="AQ61" i="39"/>
  <c r="BR61" i="39" s="1"/>
  <c r="P62" i="39"/>
  <c r="BU62" i="39" s="1"/>
  <c r="BP67" i="39"/>
  <c r="AR67" i="39"/>
  <c r="AH67" i="39"/>
  <c r="AH70" i="39"/>
  <c r="BP70" i="39"/>
  <c r="AR70" i="39"/>
  <c r="BQ71" i="39"/>
  <c r="AS71" i="39"/>
  <c r="AH74" i="39"/>
  <c r="AU74" i="39" s="1"/>
  <c r="BP74" i="39"/>
  <c r="AR74" i="39"/>
  <c r="BQ75" i="39"/>
  <c r="AS75" i="39"/>
  <c r="AO79" i="39"/>
  <c r="BO81" i="39"/>
  <c r="BT90" i="39"/>
  <c r="BT134" i="39" s="1"/>
  <c r="BQ92" i="39"/>
  <c r="AS92" i="39"/>
  <c r="BW100" i="39"/>
  <c r="Q101" i="39"/>
  <c r="P101" i="39"/>
  <c r="AO107" i="39"/>
  <c r="AQ101" i="39"/>
  <c r="P110" i="39"/>
  <c r="AO72" i="39"/>
  <c r="AQ66" i="39"/>
  <c r="BS66" i="39"/>
  <c r="BY78" i="39"/>
  <c r="BM78" i="39"/>
  <c r="BX78" i="39" s="1"/>
  <c r="BQ80" i="39"/>
  <c r="AS80" i="39"/>
  <c r="BL93" i="39"/>
  <c r="Q88" i="39"/>
  <c r="P88" i="39"/>
  <c r="BQ89" i="39"/>
  <c r="AS89" i="39"/>
  <c r="AH90" i="39"/>
  <c r="AU90" i="39" s="1"/>
  <c r="BP90" i="39"/>
  <c r="AR90" i="39"/>
  <c r="P97" i="39"/>
  <c r="BY99" i="39"/>
  <c r="BM99" i="39"/>
  <c r="BX99" i="39" s="1"/>
  <c r="S114" i="39"/>
  <c r="BQ109" i="39"/>
  <c r="AS109" i="39"/>
  <c r="BT119" i="39"/>
  <c r="BT123" i="39" s="1"/>
  <c r="AP123" i="39"/>
  <c r="BY83" i="39"/>
  <c r="BM83" i="39"/>
  <c r="BX83" i="39" s="1"/>
  <c r="AH84" i="39"/>
  <c r="AU84" i="39" s="1"/>
  <c r="AH85" i="39"/>
  <c r="AU85" i="39" s="1"/>
  <c r="BP85" i="39"/>
  <c r="AR85" i="39"/>
  <c r="M93" i="39"/>
  <c r="BW93" i="39"/>
  <c r="BQ88" i="39"/>
  <c r="AS88" i="39"/>
  <c r="Q94" i="39"/>
  <c r="P94" i="39"/>
  <c r="AH95" i="39"/>
  <c r="BP95" i="39"/>
  <c r="BQ96" i="39"/>
  <c r="AS96" i="39"/>
  <c r="P98" i="39"/>
  <c r="Q98" i="39"/>
  <c r="AH101" i="39"/>
  <c r="AR101" i="39"/>
  <c r="AH110" i="39"/>
  <c r="AU110" i="39" s="1"/>
  <c r="BP110" i="39"/>
  <c r="AR110" i="39"/>
  <c r="BS112" i="39"/>
  <c r="AQ112" i="39"/>
  <c r="BR112" i="39" s="1"/>
  <c r="T124" i="39"/>
  <c r="M19" i="47" s="1"/>
  <c r="BT66" i="39"/>
  <c r="BT72" i="39" s="1"/>
  <c r="AY72" i="39"/>
  <c r="Q78" i="39"/>
  <c r="Q82" i="39"/>
  <c r="Q87" i="39"/>
  <c r="AO93" i="39"/>
  <c r="Q96" i="39"/>
  <c r="P96" i="39"/>
  <c r="M107" i="39"/>
  <c r="BS102" i="39"/>
  <c r="AQ102" i="39"/>
  <c r="BR102" i="39" s="1"/>
  <c r="BQ103" i="39"/>
  <c r="BQ104" i="39"/>
  <c r="AS104" i="39"/>
  <c r="BY105" i="39"/>
  <c r="BM105" i="39"/>
  <c r="BX105" i="39" s="1"/>
  <c r="AL124" i="39"/>
  <c r="AE19" i="47" s="1"/>
  <c r="BL114" i="39"/>
  <c r="BZ108" i="39"/>
  <c r="BZ114" i="39" s="1"/>
  <c r="O124" i="39"/>
  <c r="H19" i="47" s="1"/>
  <c r="BQ116" i="39"/>
  <c r="AS116" i="39"/>
  <c r="BO75" i="39"/>
  <c r="BT77" i="39"/>
  <c r="BS78" i="39"/>
  <c r="M79" i="39"/>
  <c r="BT81" i="39"/>
  <c r="BS82" i="39"/>
  <c r="BS83" i="39"/>
  <c r="W86" i="39"/>
  <c r="AP86" i="39"/>
  <c r="BS87" i="39"/>
  <c r="BS93" i="39" s="1"/>
  <c r="S107" i="39"/>
  <c r="BQ122" i="39"/>
  <c r="AS122" i="39"/>
  <c r="AT122" i="39" s="1"/>
  <c r="AN124" i="39"/>
  <c r="AG19" i="47" s="1"/>
  <c r="Z127" i="39"/>
  <c r="P74" i="39"/>
  <c r="AR76" i="39"/>
  <c r="BK79" i="39"/>
  <c r="BM84" i="39"/>
  <c r="BX84" i="39" s="1"/>
  <c r="AP93" i="39"/>
  <c r="BT87" i="39"/>
  <c r="BM88" i="39"/>
  <c r="BX88" i="39" s="1"/>
  <c r="P91" i="39"/>
  <c r="P95" i="39"/>
  <c r="BP98" i="39"/>
  <c r="AR98" i="39"/>
  <c r="AH99" i="39"/>
  <c r="BP99" i="39"/>
  <c r="AR99" i="39"/>
  <c r="BJ124" i="39"/>
  <c r="BC19" i="47" s="1"/>
  <c r="BP102" i="39"/>
  <c r="AR102" i="39"/>
  <c r="N124" i="39"/>
  <c r="G19" i="47" s="1"/>
  <c r="AO114" i="39"/>
  <c r="AQ108" i="39"/>
  <c r="BS108" i="39"/>
  <c r="AH111" i="39"/>
  <c r="AU111" i="39" s="1"/>
  <c r="BP111" i="39"/>
  <c r="AR111" i="39"/>
  <c r="AQ120" i="39"/>
  <c r="BR120" i="39" s="1"/>
  <c r="BS120" i="39"/>
  <c r="AO123" i="39"/>
  <c r="AG123" i="39"/>
  <c r="BE124" i="39"/>
  <c r="AX19" i="47" s="1"/>
  <c r="AG66" i="39"/>
  <c r="AH66" i="39" s="1"/>
  <c r="BM69" i="39"/>
  <c r="BX69" i="39" s="1"/>
  <c r="BM73" i="39"/>
  <c r="BM85" i="39"/>
  <c r="BX85" i="39" s="1"/>
  <c r="W93" i="39"/>
  <c r="AY93" i="39"/>
  <c r="BM89" i="39"/>
  <c r="BX89" i="39" s="1"/>
  <c r="BM90" i="39"/>
  <c r="BX90" i="39" s="1"/>
  <c r="AQ91" i="39"/>
  <c r="BR91" i="39" s="1"/>
  <c r="AQ92" i="39"/>
  <c r="BR92" i="39" s="1"/>
  <c r="BY94" i="39"/>
  <c r="BM94" i="39"/>
  <c r="BY95" i="39"/>
  <c r="BM95" i="39"/>
  <c r="BX95" i="39" s="1"/>
  <c r="BQ97" i="39"/>
  <c r="AS97" i="39"/>
  <c r="BQ98" i="39"/>
  <c r="AS98" i="39"/>
  <c r="AE124" i="39"/>
  <c r="X19" i="47" s="1"/>
  <c r="BK100" i="39"/>
  <c r="AG107" i="39"/>
  <c r="BQ101" i="39"/>
  <c r="AS101" i="39"/>
  <c r="P103" i="39"/>
  <c r="Q103" i="39"/>
  <c r="W107" i="39"/>
  <c r="BQ111" i="39"/>
  <c r="AS111" i="39"/>
  <c r="BQ117" i="39"/>
  <c r="AS117" i="39"/>
  <c r="AX124" i="39"/>
  <c r="AQ19" i="47" s="1"/>
  <c r="Q95" i="39"/>
  <c r="BS104" i="39"/>
  <c r="AP107" i="39"/>
  <c r="BQ110" i="39"/>
  <c r="AS110" i="39"/>
  <c r="AB124" i="39"/>
  <c r="U19" i="47" s="1"/>
  <c r="BA124" i="39"/>
  <c r="AT19" i="47" s="1"/>
  <c r="BG124" i="39"/>
  <c r="AZ19" i="47" s="1"/>
  <c r="BS95" i="39"/>
  <c r="AO100" i="39"/>
  <c r="BL107" i="39"/>
  <c r="AV105" i="39"/>
  <c r="BQ108" i="39"/>
  <c r="AS108" i="39"/>
  <c r="BY109" i="39"/>
  <c r="BM109" i="39"/>
  <c r="BX109" i="39" s="1"/>
  <c r="X131" i="39"/>
  <c r="X114" i="39"/>
  <c r="AG118" i="39"/>
  <c r="BQ115" i="39"/>
  <c r="AS115" i="39"/>
  <c r="BY120" i="39"/>
  <c r="BM120" i="39"/>
  <c r="BX120" i="39" s="1"/>
  <c r="BY122" i="39"/>
  <c r="BM122" i="39"/>
  <c r="BX122" i="39" s="1"/>
  <c r="BH124" i="39"/>
  <c r="BA19" i="47" s="1"/>
  <c r="BE127" i="39"/>
  <c r="AC127" i="39"/>
  <c r="BM98" i="39"/>
  <c r="BX98" i="39" s="1"/>
  <c r="BZ101" i="39"/>
  <c r="BZ107" i="39" s="1"/>
  <c r="AJ129" i="39"/>
  <c r="AJ127" i="39" s="1"/>
  <c r="W126" i="39" s="1"/>
  <c r="AJ107" i="39"/>
  <c r="I104" i="39"/>
  <c r="AM124" i="39"/>
  <c r="AF19" i="47" s="1"/>
  <c r="AH108" i="39"/>
  <c r="AU108" i="39" s="1"/>
  <c r="V114" i="39"/>
  <c r="M118" i="39"/>
  <c r="AR116" i="39"/>
  <c r="AH116" i="39"/>
  <c r="I117" i="39"/>
  <c r="AR117" i="39"/>
  <c r="AH117" i="39"/>
  <c r="AU117" i="39" s="1"/>
  <c r="BZ123" i="39"/>
  <c r="AA124" i="39"/>
  <c r="T19" i="47" s="1"/>
  <c r="BD124" i="39"/>
  <c r="AW19" i="47" s="1"/>
  <c r="Q106" i="39"/>
  <c r="BC131" i="39"/>
  <c r="BC114" i="39"/>
  <c r="BY113" i="39"/>
  <c r="BM113" i="39"/>
  <c r="BX113" i="39" s="1"/>
  <c r="BK118" i="39"/>
  <c r="Z124" i="39"/>
  <c r="S19" i="47" s="1"/>
  <c r="AO118" i="39"/>
  <c r="AF123" i="39"/>
  <c r="BP119" i="39"/>
  <c r="AR119" i="39"/>
  <c r="BP120" i="39"/>
  <c r="AR120" i="39"/>
  <c r="AS120" i="39"/>
  <c r="BY121" i="39"/>
  <c r="BM121" i="39"/>
  <c r="BX121" i="39" s="1"/>
  <c r="V123" i="39"/>
  <c r="BF124" i="39"/>
  <c r="AY19" i="47" s="1"/>
  <c r="AY114" i="39"/>
  <c r="BT109" i="39"/>
  <c r="BT114" i="39" s="1"/>
  <c r="AR112" i="39"/>
  <c r="AR113" i="39"/>
  <c r="BL118" i="39"/>
  <c r="BZ115" i="39"/>
  <c r="BZ118" i="39" s="1"/>
  <c r="BQ119" i="39"/>
  <c r="AS119" i="39"/>
  <c r="BQ120" i="39"/>
  <c r="AR121" i="39"/>
  <c r="W123" i="39"/>
  <c r="BT106" i="39"/>
  <c r="M114" i="39"/>
  <c r="AR108" i="39"/>
  <c r="BP108" i="39"/>
  <c r="BP115" i="39"/>
  <c r="BP118" i="39" s="1"/>
  <c r="AR115" i="39"/>
  <c r="AF118" i="39"/>
  <c r="BY116" i="39"/>
  <c r="BM116" i="39"/>
  <c r="BY117" i="39"/>
  <c r="BM117" i="39"/>
  <c r="BX117" i="39" s="1"/>
  <c r="Q122" i="39"/>
  <c r="Q123" i="39" s="1"/>
  <c r="AH122" i="39"/>
  <c r="AU122" i="39" s="1"/>
  <c r="BP122" i="39"/>
  <c r="BB124" i="39"/>
  <c r="T127" i="39"/>
  <c r="AR105" i="39"/>
  <c r="BK114" i="39"/>
  <c r="BW108" i="39"/>
  <c r="BW114" i="39" s="1"/>
  <c r="AF109" i="39"/>
  <c r="AF114" i="39" s="1"/>
  <c r="BM110" i="39"/>
  <c r="BX110" i="39" s="1"/>
  <c r="M123" i="39"/>
  <c r="AQ119" i="39"/>
  <c r="BK123" i="39"/>
  <c r="P121" i="39"/>
  <c r="K124" i="39"/>
  <c r="D19" i="47" s="1"/>
  <c r="Y124" i="39"/>
  <c r="R19" i="47" s="1"/>
  <c r="BS116" i="39"/>
  <c r="BS117" i="39"/>
  <c r="BS121" i="39"/>
  <c r="L124" i="39"/>
  <c r="E19" i="47" s="1"/>
  <c r="R124" i="39"/>
  <c r="K19" i="47" s="1"/>
  <c r="AD124" i="39"/>
  <c r="W19" i="47" s="1"/>
  <c r="BI124" i="39"/>
  <c r="BB19" i="47" s="1"/>
  <c r="BW119" i="39"/>
  <c r="BW123" i="39" s="1"/>
  <c r="BO161" i="42" l="1"/>
  <c r="AU161" i="42"/>
  <c r="AT129" i="42"/>
  <c r="BO142" i="42"/>
  <c r="AU142" i="42"/>
  <c r="BO83" i="42"/>
  <c r="AU83" i="42"/>
  <c r="BO87" i="42"/>
  <c r="AU87" i="42"/>
  <c r="BO72" i="42"/>
  <c r="AU72" i="42"/>
  <c r="BO49" i="42"/>
  <c r="AU49" i="42"/>
  <c r="BO38" i="42"/>
  <c r="AU38" i="42"/>
  <c r="BO61" i="42"/>
  <c r="AU61" i="42"/>
  <c r="AV74" i="42"/>
  <c r="BV74" i="42" s="1"/>
  <c r="AU74" i="42"/>
  <c r="AV120" i="42"/>
  <c r="BV120" i="42" s="1"/>
  <c r="AU120" i="42"/>
  <c r="BO170" i="42"/>
  <c r="AU170" i="42"/>
  <c r="AV50" i="42"/>
  <c r="AU50" i="42"/>
  <c r="BO192" i="42"/>
  <c r="AU192" i="42"/>
  <c r="BO181" i="42"/>
  <c r="AU181" i="42"/>
  <c r="BO128" i="42"/>
  <c r="AU128" i="42"/>
  <c r="BO118" i="42"/>
  <c r="AU118" i="42"/>
  <c r="BO107" i="42"/>
  <c r="AU107" i="42"/>
  <c r="BO97" i="42"/>
  <c r="AU97" i="42"/>
  <c r="BO90" i="42"/>
  <c r="AU90" i="42"/>
  <c r="BO71" i="42"/>
  <c r="AU71" i="42"/>
  <c r="AV184" i="42"/>
  <c r="AU184" i="42"/>
  <c r="AV31" i="42"/>
  <c r="AU31" i="42"/>
  <c r="BO174" i="42"/>
  <c r="AU174" i="42"/>
  <c r="BO96" i="42"/>
  <c r="AU96" i="42"/>
  <c r="BO171" i="42"/>
  <c r="AU171" i="42"/>
  <c r="BO176" i="42"/>
  <c r="AU176" i="42"/>
  <c r="BO187" i="42"/>
  <c r="AU187" i="42"/>
  <c r="BO75" i="42"/>
  <c r="AU75" i="42"/>
  <c r="BO80" i="42"/>
  <c r="AU80" i="42"/>
  <c r="BO24" i="42"/>
  <c r="AU24" i="42"/>
  <c r="BO63" i="42"/>
  <c r="AU63" i="42"/>
  <c r="AV124" i="42"/>
  <c r="BV124" i="42" s="1"/>
  <c r="AU124" i="42"/>
  <c r="BU124" i="42" s="1"/>
  <c r="AV197" i="42"/>
  <c r="AU197" i="42"/>
  <c r="AV129" i="42"/>
  <c r="AU129" i="42"/>
  <c r="BO62" i="42"/>
  <c r="AU62" i="42"/>
  <c r="BO190" i="42"/>
  <c r="AU190" i="42"/>
  <c r="BO188" i="42"/>
  <c r="AU188" i="42"/>
  <c r="BO134" i="42"/>
  <c r="AU134" i="42"/>
  <c r="BO103" i="42"/>
  <c r="AU103" i="42"/>
  <c r="BO92" i="42"/>
  <c r="AU92" i="42"/>
  <c r="AV55" i="42"/>
  <c r="AU55" i="42"/>
  <c r="AV158" i="42"/>
  <c r="AU158" i="42"/>
  <c r="AV110" i="42"/>
  <c r="BV110" i="42" s="1"/>
  <c r="AU110" i="42"/>
  <c r="AV23" i="42"/>
  <c r="BV23" i="42" s="1"/>
  <c r="AU23" i="42"/>
  <c r="BO160" i="42"/>
  <c r="AU160" i="42"/>
  <c r="BO86" i="42"/>
  <c r="AU86" i="42"/>
  <c r="BO140" i="42"/>
  <c r="BO145" i="42" s="1"/>
  <c r="AU140" i="42"/>
  <c r="BO165" i="42"/>
  <c r="AU165" i="42"/>
  <c r="BO143" i="42"/>
  <c r="AU143" i="42"/>
  <c r="BO81" i="42"/>
  <c r="AU81" i="42"/>
  <c r="BO91" i="42"/>
  <c r="AU91" i="42"/>
  <c r="BO141" i="42"/>
  <c r="AU141" i="42"/>
  <c r="BO167" i="42"/>
  <c r="AU167" i="42"/>
  <c r="BO88" i="42"/>
  <c r="AU88" i="42"/>
  <c r="AV163" i="42"/>
  <c r="BV163" i="42" s="1"/>
  <c r="AU163" i="42"/>
  <c r="BO149" i="42"/>
  <c r="AU149" i="42"/>
  <c r="AV180" i="42"/>
  <c r="BV180" i="42" s="1"/>
  <c r="AU180" i="42"/>
  <c r="BO133" i="42"/>
  <c r="AU133" i="42"/>
  <c r="BO155" i="42"/>
  <c r="AU155" i="42"/>
  <c r="BO101" i="42"/>
  <c r="AU101" i="42"/>
  <c r="BO102" i="42"/>
  <c r="AU102" i="42"/>
  <c r="BO94" i="42"/>
  <c r="AU94" i="42"/>
  <c r="BO114" i="42"/>
  <c r="AU114" i="42"/>
  <c r="BO34" i="42"/>
  <c r="AU34" i="42"/>
  <c r="BO27" i="42"/>
  <c r="AU27" i="42"/>
  <c r="BO57" i="42"/>
  <c r="AU57" i="42"/>
  <c r="BO182" i="42"/>
  <c r="AU182" i="42"/>
  <c r="BO35" i="42"/>
  <c r="AU35" i="42"/>
  <c r="BO159" i="42"/>
  <c r="AU159" i="42"/>
  <c r="BO137" i="42"/>
  <c r="AU137" i="42"/>
  <c r="AV196" i="42"/>
  <c r="BV196" i="42" s="1"/>
  <c r="AU196" i="42"/>
  <c r="BO177" i="42"/>
  <c r="AU177" i="42"/>
  <c r="BO66" i="42"/>
  <c r="AU66" i="42"/>
  <c r="BO195" i="42"/>
  <c r="AU195" i="42"/>
  <c r="BO68" i="42"/>
  <c r="AU68" i="42"/>
  <c r="BO19" i="42"/>
  <c r="AU19" i="42"/>
  <c r="BO100" i="42"/>
  <c r="AU100" i="42"/>
  <c r="BO84" i="42"/>
  <c r="AU84" i="42"/>
  <c r="BO119" i="42"/>
  <c r="AU119" i="42"/>
  <c r="BO13" i="42"/>
  <c r="AU13" i="42"/>
  <c r="AS71" i="42"/>
  <c r="AH106" i="42"/>
  <c r="AU106" i="42" s="1"/>
  <c r="AF53" i="42"/>
  <c r="AR15" i="42"/>
  <c r="AG138" i="42"/>
  <c r="AT133" i="42"/>
  <c r="AH15" i="42"/>
  <c r="BO103" i="41"/>
  <c r="AU103" i="41"/>
  <c r="BO89" i="41"/>
  <c r="AU89" i="41"/>
  <c r="BO60" i="41"/>
  <c r="AU60" i="41"/>
  <c r="AV75" i="41"/>
  <c r="AU75" i="41"/>
  <c r="BO54" i="41"/>
  <c r="AU54" i="41"/>
  <c r="AV102" i="41"/>
  <c r="BV102" i="41" s="1"/>
  <c r="AU102" i="41"/>
  <c r="AV32" i="41"/>
  <c r="BV32" i="41" s="1"/>
  <c r="AU32" i="41"/>
  <c r="BU32" i="41" s="1"/>
  <c r="BO136" i="41"/>
  <c r="AU136" i="41"/>
  <c r="BO123" i="41"/>
  <c r="AU123" i="41"/>
  <c r="BO128" i="41"/>
  <c r="AU128" i="41"/>
  <c r="BO64" i="41"/>
  <c r="AU64" i="41"/>
  <c r="BO86" i="41"/>
  <c r="AU86" i="41"/>
  <c r="BO91" i="41"/>
  <c r="AU91" i="41"/>
  <c r="AV78" i="41"/>
  <c r="AU78" i="41"/>
  <c r="BO63" i="41"/>
  <c r="AU63" i="41"/>
  <c r="AV70" i="41"/>
  <c r="BV70" i="41" s="1"/>
  <c r="AU70" i="41"/>
  <c r="BO81" i="41"/>
  <c r="AU81" i="41"/>
  <c r="BO53" i="41"/>
  <c r="AU53" i="41"/>
  <c r="BO25" i="41"/>
  <c r="AU25" i="41"/>
  <c r="BO46" i="41"/>
  <c r="AU46" i="41"/>
  <c r="BO118" i="41"/>
  <c r="AU118" i="41"/>
  <c r="BO37" i="41"/>
  <c r="AU37" i="41"/>
  <c r="BO127" i="41"/>
  <c r="AU127" i="41"/>
  <c r="BO69" i="41"/>
  <c r="AU69" i="41"/>
  <c r="AV92" i="41"/>
  <c r="BV92" i="41" s="1"/>
  <c r="AU92" i="41"/>
  <c r="BO108" i="41"/>
  <c r="AU108" i="41"/>
  <c r="BO117" i="41"/>
  <c r="AU117" i="41"/>
  <c r="BO84" i="41"/>
  <c r="AU84" i="41"/>
  <c r="BO35" i="41"/>
  <c r="AU35" i="41"/>
  <c r="BO109" i="41"/>
  <c r="AU109" i="41"/>
  <c r="BO99" i="41"/>
  <c r="AU99" i="41"/>
  <c r="BO85" i="41"/>
  <c r="AU85" i="41"/>
  <c r="BO45" i="41"/>
  <c r="AU45" i="41"/>
  <c r="BO96" i="41"/>
  <c r="AU96" i="41"/>
  <c r="BO49" i="41"/>
  <c r="AU49" i="41"/>
  <c r="BO48" i="41"/>
  <c r="AU48" i="41"/>
  <c r="BO26" i="41"/>
  <c r="AU26" i="41"/>
  <c r="AV90" i="41"/>
  <c r="AU90" i="41"/>
  <c r="BO34" i="41"/>
  <c r="AU34" i="41"/>
  <c r="BU34" i="41" s="1"/>
  <c r="BO134" i="41"/>
  <c r="AU134" i="41"/>
  <c r="BO119" i="41"/>
  <c r="AU119" i="41"/>
  <c r="BO110" i="41"/>
  <c r="AU110" i="41"/>
  <c r="BO94" i="41"/>
  <c r="AU94" i="41"/>
  <c r="BO71" i="41"/>
  <c r="AU71" i="41"/>
  <c r="BO33" i="41"/>
  <c r="AU33" i="41"/>
  <c r="BO77" i="41"/>
  <c r="AU77" i="41"/>
  <c r="AV132" i="41"/>
  <c r="BV132" i="41" s="1"/>
  <c r="AU132" i="41"/>
  <c r="BU132" i="41" s="1"/>
  <c r="AV107" i="41"/>
  <c r="BV107" i="41" s="1"/>
  <c r="AU107" i="41"/>
  <c r="I133" i="41"/>
  <c r="AV13" i="41"/>
  <c r="BV13" i="41" s="1"/>
  <c r="AU13" i="41"/>
  <c r="BU13" i="41" s="1"/>
  <c r="BT120" i="41"/>
  <c r="AT55" i="41"/>
  <c r="AR61" i="41"/>
  <c r="BO142" i="40"/>
  <c r="AU142" i="40"/>
  <c r="BO123" i="40"/>
  <c r="AU123" i="40"/>
  <c r="BO146" i="40"/>
  <c r="AU146" i="40"/>
  <c r="BU146" i="40" s="1"/>
  <c r="BO66" i="40"/>
  <c r="AU66" i="40"/>
  <c r="BO36" i="40"/>
  <c r="AU36" i="40"/>
  <c r="AV31" i="40"/>
  <c r="BV31" i="40" s="1"/>
  <c r="AU31" i="40"/>
  <c r="BO58" i="40"/>
  <c r="AU58" i="40"/>
  <c r="BU58" i="40" s="1"/>
  <c r="BO21" i="40"/>
  <c r="AU21" i="40"/>
  <c r="BU21" i="40" s="1"/>
  <c r="AU134" i="40"/>
  <c r="BU134" i="40" s="1"/>
  <c r="BO163" i="40"/>
  <c r="AU163" i="40"/>
  <c r="BO73" i="40"/>
  <c r="AU73" i="40"/>
  <c r="BU73" i="40" s="1"/>
  <c r="BO48" i="40"/>
  <c r="AU48" i="40"/>
  <c r="AV129" i="40"/>
  <c r="AU129" i="40"/>
  <c r="AV17" i="40"/>
  <c r="AU17" i="40"/>
  <c r="BY155" i="40"/>
  <c r="BO107" i="40"/>
  <c r="AU107" i="40"/>
  <c r="BO63" i="40"/>
  <c r="AU63" i="40"/>
  <c r="AG177" i="40"/>
  <c r="BU113" i="40"/>
  <c r="AU113" i="40"/>
  <c r="AV56" i="40"/>
  <c r="AU56" i="40"/>
  <c r="BU56" i="40" s="1"/>
  <c r="BO122" i="40"/>
  <c r="AU122" i="40"/>
  <c r="BU122" i="40" s="1"/>
  <c r="BO49" i="40"/>
  <c r="AU49" i="40"/>
  <c r="BO150" i="40"/>
  <c r="AU150" i="40"/>
  <c r="BO139" i="40"/>
  <c r="AU139" i="40"/>
  <c r="BU139" i="40" s="1"/>
  <c r="BO70" i="40"/>
  <c r="AU70" i="40"/>
  <c r="BO80" i="40"/>
  <c r="AU80" i="40"/>
  <c r="BO135" i="40"/>
  <c r="AU135" i="40"/>
  <c r="AV99" i="40"/>
  <c r="AU99" i="40"/>
  <c r="AV86" i="40"/>
  <c r="AU86" i="40"/>
  <c r="BO132" i="40"/>
  <c r="AU132" i="40"/>
  <c r="BO145" i="40"/>
  <c r="AU145" i="40"/>
  <c r="BO94" i="40"/>
  <c r="AU94" i="40"/>
  <c r="BU94" i="40" s="1"/>
  <c r="BO72" i="40"/>
  <c r="AU72" i="40"/>
  <c r="BO76" i="40"/>
  <c r="AU76" i="40"/>
  <c r="BO109" i="40"/>
  <c r="BO110" i="40" s="1"/>
  <c r="AU109" i="40"/>
  <c r="AV153" i="40"/>
  <c r="AU153" i="40"/>
  <c r="BU153" i="40" s="1"/>
  <c r="AV112" i="40"/>
  <c r="BV112" i="40" s="1"/>
  <c r="AU112" i="40"/>
  <c r="BO79" i="40"/>
  <c r="AU79" i="40"/>
  <c r="BU121" i="40"/>
  <c r="AU121" i="40"/>
  <c r="BO147" i="40"/>
  <c r="AU147" i="40"/>
  <c r="BU147" i="40" s="1"/>
  <c r="BO160" i="40"/>
  <c r="AU160" i="40"/>
  <c r="BO133" i="40"/>
  <c r="AU133" i="40"/>
  <c r="BO61" i="40"/>
  <c r="AU61" i="40"/>
  <c r="BO90" i="40"/>
  <c r="AU90" i="40"/>
  <c r="BO84" i="40"/>
  <c r="AU84" i="40"/>
  <c r="BO42" i="40"/>
  <c r="AU42" i="40"/>
  <c r="BO16" i="40"/>
  <c r="AU16" i="40"/>
  <c r="BO159" i="40"/>
  <c r="AU159" i="40"/>
  <c r="BU159" i="40" s="1"/>
  <c r="BO35" i="40"/>
  <c r="AU35" i="40"/>
  <c r="BU35" i="40" s="1"/>
  <c r="AU41" i="40"/>
  <c r="BU41" i="40" s="1"/>
  <c r="AV22" i="40"/>
  <c r="BV22" i="40" s="1"/>
  <c r="AU22" i="40"/>
  <c r="BO148" i="40"/>
  <c r="AU148" i="40"/>
  <c r="BU148" i="40" s="1"/>
  <c r="BO143" i="40"/>
  <c r="AU143" i="40"/>
  <c r="BO131" i="40"/>
  <c r="AU131" i="40"/>
  <c r="BO104" i="40"/>
  <c r="AU104" i="40"/>
  <c r="BO96" i="40"/>
  <c r="AU96" i="40"/>
  <c r="BU96" i="40" s="1"/>
  <c r="BO87" i="40"/>
  <c r="AU87" i="40"/>
  <c r="BO100" i="40"/>
  <c r="AU100" i="40"/>
  <c r="BO77" i="40"/>
  <c r="AU77" i="40"/>
  <c r="BO37" i="40"/>
  <c r="AU37" i="40"/>
  <c r="BU37" i="40" s="1"/>
  <c r="AV29" i="40"/>
  <c r="BV29" i="40" s="1"/>
  <c r="AU29" i="40"/>
  <c r="BU29" i="40" s="1"/>
  <c r="AV34" i="40"/>
  <c r="AU34" i="40"/>
  <c r="AT78" i="40"/>
  <c r="BO12" i="40"/>
  <c r="AU12" i="40"/>
  <c r="BO61" i="39"/>
  <c r="AU61" i="39"/>
  <c r="BO55" i="39"/>
  <c r="AU55" i="39"/>
  <c r="BO15" i="39"/>
  <c r="AU15" i="39"/>
  <c r="BO64" i="39"/>
  <c r="AU64" i="39"/>
  <c r="BU64" i="39" s="1"/>
  <c r="AV23" i="39"/>
  <c r="BV23" i="39" s="1"/>
  <c r="AU23" i="39"/>
  <c r="AV39" i="39"/>
  <c r="AU39" i="39"/>
  <c r="BO41" i="39"/>
  <c r="AU41" i="39"/>
  <c r="AV119" i="39"/>
  <c r="BV119" i="39" s="1"/>
  <c r="AU119" i="39"/>
  <c r="BO66" i="39"/>
  <c r="AU66" i="39"/>
  <c r="BO95" i="39"/>
  <c r="AU95" i="39"/>
  <c r="BO52" i="39"/>
  <c r="AU52" i="39"/>
  <c r="BU52" i="39" s="1"/>
  <c r="BO92" i="39"/>
  <c r="AU92" i="39"/>
  <c r="BO115" i="39"/>
  <c r="AU115" i="39"/>
  <c r="BO49" i="39"/>
  <c r="AU49" i="39"/>
  <c r="AU27" i="39"/>
  <c r="BU27" i="39" s="1"/>
  <c r="AV71" i="39"/>
  <c r="AU71" i="39"/>
  <c r="BU71" i="39" s="1"/>
  <c r="BO70" i="39"/>
  <c r="AU70" i="39"/>
  <c r="BO38" i="39"/>
  <c r="AU38" i="39"/>
  <c r="BO105" i="39"/>
  <c r="AU105" i="39"/>
  <c r="BU105" i="39" s="1"/>
  <c r="BO119" i="39"/>
  <c r="BO99" i="39"/>
  <c r="AU99" i="39"/>
  <c r="BO101" i="39"/>
  <c r="AU101" i="39"/>
  <c r="BO67" i="39"/>
  <c r="AU67" i="39"/>
  <c r="BO20" i="39"/>
  <c r="AU20" i="39"/>
  <c r="AV81" i="39"/>
  <c r="BV81" i="39" s="1"/>
  <c r="AU81" i="39"/>
  <c r="AV121" i="39"/>
  <c r="BV121" i="39" s="1"/>
  <c r="AU121" i="39"/>
  <c r="AV112" i="39"/>
  <c r="AU112" i="39"/>
  <c r="AV120" i="39"/>
  <c r="BV120" i="39" s="1"/>
  <c r="AU120" i="39"/>
  <c r="BO87" i="39"/>
  <c r="AU87" i="39"/>
  <c r="BO34" i="39"/>
  <c r="AU34" i="39"/>
  <c r="AV60" i="39"/>
  <c r="AU60" i="39"/>
  <c r="BU104" i="39"/>
  <c r="AU104" i="39"/>
  <c r="BO106" i="39"/>
  <c r="AU106" i="39"/>
  <c r="BO116" i="39"/>
  <c r="AU116" i="39"/>
  <c r="BO77" i="39"/>
  <c r="AU77" i="39"/>
  <c r="BO91" i="39"/>
  <c r="AU91" i="39"/>
  <c r="AV88" i="39"/>
  <c r="BV88" i="39" s="1"/>
  <c r="AU88" i="39"/>
  <c r="BU88" i="39" s="1"/>
  <c r="AK467" i="43"/>
  <c r="AD13" i="47"/>
  <c r="CC465" i="43"/>
  <c r="AH168" i="42"/>
  <c r="AU168" i="42" s="1"/>
  <c r="AG156" i="42"/>
  <c r="BQ156" i="42"/>
  <c r="AV100" i="42"/>
  <c r="BU159" i="42"/>
  <c r="BM48" i="42"/>
  <c r="BX48" i="42" s="1"/>
  <c r="AS154" i="42"/>
  <c r="BO52" i="41"/>
  <c r="AD14" i="47"/>
  <c r="CC130" i="44"/>
  <c r="CA192" i="29"/>
  <c r="CA101" i="30"/>
  <c r="BQ130" i="40"/>
  <c r="BU57" i="40"/>
  <c r="I119" i="40"/>
  <c r="AT50" i="40"/>
  <c r="AH46" i="40"/>
  <c r="AU46" i="40" s="1"/>
  <c r="X169" i="40"/>
  <c r="BU78" i="41"/>
  <c r="BP22" i="41"/>
  <c r="BP27" i="41" s="1"/>
  <c r="BO32" i="41"/>
  <c r="BO78" i="41"/>
  <c r="V27" i="41"/>
  <c r="V143" i="41"/>
  <c r="AT63" i="41"/>
  <c r="AT57" i="41"/>
  <c r="AT67" i="41"/>
  <c r="AV100" i="41"/>
  <c r="BV100" i="41" s="1"/>
  <c r="I84" i="41"/>
  <c r="I159" i="42"/>
  <c r="BY211" i="42"/>
  <c r="BP59" i="42"/>
  <c r="AV176" i="42"/>
  <c r="AT175" i="42"/>
  <c r="BU160" i="42"/>
  <c r="BU171" i="42"/>
  <c r="AV160" i="42"/>
  <c r="BV160" i="42" s="1"/>
  <c r="AH132" i="42"/>
  <c r="V206" i="42"/>
  <c r="AV171" i="42"/>
  <c r="BQ132" i="42"/>
  <c r="AD27" i="47"/>
  <c r="AD26" i="47" s="1"/>
  <c r="I151" i="42"/>
  <c r="CA139" i="41"/>
  <c r="BO121" i="40"/>
  <c r="BY172" i="40"/>
  <c r="BS92" i="40"/>
  <c r="AT159" i="40"/>
  <c r="BO29" i="40"/>
  <c r="AT150" i="40"/>
  <c r="AV136" i="40"/>
  <c r="BV136" i="40" s="1"/>
  <c r="AF54" i="40"/>
  <c r="AV57" i="40"/>
  <c r="BV57" i="40" s="1"/>
  <c r="BV129" i="40"/>
  <c r="P92" i="40"/>
  <c r="BU149" i="40"/>
  <c r="AF107" i="39"/>
  <c r="BO102" i="39"/>
  <c r="AP72" i="39"/>
  <c r="AP124" i="39" s="1"/>
  <c r="AI19" i="47" s="1"/>
  <c r="AV102" i="39"/>
  <c r="AP134" i="39"/>
  <c r="I71" i="39"/>
  <c r="CA193" i="29"/>
  <c r="CA200" i="42"/>
  <c r="BP60" i="42"/>
  <c r="BU84" i="42"/>
  <c r="AT83" i="42"/>
  <c r="CA125" i="39"/>
  <c r="BO98" i="39"/>
  <c r="AT49" i="39"/>
  <c r="AV98" i="39"/>
  <c r="BP43" i="39"/>
  <c r="BP44" i="39" s="1"/>
  <c r="AT87" i="39"/>
  <c r="CA465" i="43"/>
  <c r="CA466" i="43"/>
  <c r="CA167" i="40"/>
  <c r="CA75" i="31"/>
  <c r="AV161" i="42"/>
  <c r="BV161" i="42" s="1"/>
  <c r="BU82" i="42"/>
  <c r="BO92" i="41"/>
  <c r="V142" i="41"/>
  <c r="V141" i="41" s="1"/>
  <c r="BU52" i="41"/>
  <c r="I44" i="41"/>
  <c r="BU44" i="41"/>
  <c r="BO149" i="40"/>
  <c r="BO151" i="40" s="1"/>
  <c r="AV149" i="40"/>
  <c r="BV149" i="40" s="1"/>
  <c r="AF50" i="39"/>
  <c r="AT39" i="39"/>
  <c r="I64" i="39"/>
  <c r="BO120" i="39"/>
  <c r="BU120" i="39"/>
  <c r="BY89" i="42"/>
  <c r="I144" i="42"/>
  <c r="BO132" i="41"/>
  <c r="BO102" i="41"/>
  <c r="BO134" i="40"/>
  <c r="AV134" i="40"/>
  <c r="BV134" i="40" s="1"/>
  <c r="BO86" i="40"/>
  <c r="BO99" i="40"/>
  <c r="BQ30" i="40"/>
  <c r="BQ177" i="40" s="1"/>
  <c r="BU86" i="40"/>
  <c r="AH30" i="40"/>
  <c r="CA126" i="39"/>
  <c r="AT53" i="39"/>
  <c r="AT68" i="39"/>
  <c r="BS79" i="39"/>
  <c r="AT106" i="39"/>
  <c r="AT64" i="39"/>
  <c r="CA102" i="30"/>
  <c r="CA201" i="42"/>
  <c r="CA140" i="41"/>
  <c r="CA168" i="40"/>
  <c r="CA295" i="32"/>
  <c r="CA76" i="31"/>
  <c r="CA131" i="44"/>
  <c r="CA130" i="44"/>
  <c r="AT90" i="40"/>
  <c r="I87" i="40"/>
  <c r="AT95" i="40"/>
  <c r="AT104" i="40"/>
  <c r="AT81" i="39"/>
  <c r="I55" i="39"/>
  <c r="I12" i="39"/>
  <c r="I13" i="39" s="1"/>
  <c r="BZ36" i="39"/>
  <c r="AY126" i="39"/>
  <c r="P137" i="39"/>
  <c r="AV27" i="39"/>
  <c r="BV27" i="39" s="1"/>
  <c r="BO27" i="39"/>
  <c r="BV71" i="39"/>
  <c r="AT54" i="42"/>
  <c r="BV176" i="42"/>
  <c r="BM40" i="42"/>
  <c r="BY185" i="42"/>
  <c r="BO139" i="42"/>
  <c r="AV139" i="42"/>
  <c r="BV139" i="42" s="1"/>
  <c r="I48" i="42"/>
  <c r="AV51" i="42"/>
  <c r="BV51" i="42" s="1"/>
  <c r="I41" i="42"/>
  <c r="BC202" i="42"/>
  <c r="BK201" i="42" s="1"/>
  <c r="AH113" i="42"/>
  <c r="BM168" i="42"/>
  <c r="BX168" i="42" s="1"/>
  <c r="AH15" i="41"/>
  <c r="BR104" i="41"/>
  <c r="BR151" i="41" s="1"/>
  <c r="BQ15" i="41"/>
  <c r="AT123" i="41"/>
  <c r="AI138" i="41"/>
  <c r="V139" i="41" s="1"/>
  <c r="AS15" i="41"/>
  <c r="AS148" i="41" s="1"/>
  <c r="AV82" i="42"/>
  <c r="BV82" i="42" s="1"/>
  <c r="AQ40" i="42"/>
  <c r="BS115" i="42"/>
  <c r="BM108" i="42"/>
  <c r="BX108" i="42" s="1"/>
  <c r="J201" i="42"/>
  <c r="BT162" i="42"/>
  <c r="BU176" i="42"/>
  <c r="BK112" i="42"/>
  <c r="BU90" i="41"/>
  <c r="I64" i="41"/>
  <c r="AV52" i="41"/>
  <c r="BV52" i="41" s="1"/>
  <c r="AH18" i="41"/>
  <c r="AT127" i="41"/>
  <c r="AT52" i="41"/>
  <c r="BO90" i="41"/>
  <c r="I37" i="41"/>
  <c r="BO75" i="41"/>
  <c r="AR18" i="41"/>
  <c r="AT18" i="41" s="1"/>
  <c r="AT38" i="41"/>
  <c r="AR22" i="41"/>
  <c r="AT71" i="41"/>
  <c r="V124" i="41"/>
  <c r="BU101" i="41"/>
  <c r="AT49" i="41"/>
  <c r="AT91" i="41"/>
  <c r="BU102" i="41"/>
  <c r="AT125" i="41"/>
  <c r="J139" i="41"/>
  <c r="BO13" i="41"/>
  <c r="AT25" i="41"/>
  <c r="I47" i="41"/>
  <c r="AT97" i="40"/>
  <c r="AZ97" i="40" s="1"/>
  <c r="AT100" i="40"/>
  <c r="AI169" i="40"/>
  <c r="V168" i="40" s="1"/>
  <c r="AT86" i="40"/>
  <c r="AR120" i="40"/>
  <c r="AT120" i="40" s="1"/>
  <c r="Q124" i="40"/>
  <c r="BO50" i="40"/>
  <c r="BO41" i="40"/>
  <c r="AT49" i="40"/>
  <c r="BU97" i="40"/>
  <c r="AT136" i="40"/>
  <c r="AV50" i="40"/>
  <c r="BV50" i="40" s="1"/>
  <c r="AT158" i="40"/>
  <c r="AT113" i="40"/>
  <c r="AF108" i="40"/>
  <c r="BU50" i="40"/>
  <c r="AR46" i="40"/>
  <c r="AT46" i="40" s="1"/>
  <c r="BZ118" i="40"/>
  <c r="BO59" i="40"/>
  <c r="BO57" i="40"/>
  <c r="BQ102" i="40"/>
  <c r="AS39" i="40"/>
  <c r="AS44" i="40" s="1"/>
  <c r="AH39" i="40"/>
  <c r="BM127" i="40"/>
  <c r="BM161" i="40"/>
  <c r="AV59" i="40"/>
  <c r="BV59" i="40" s="1"/>
  <c r="AQ19" i="40"/>
  <c r="BO136" i="40"/>
  <c r="S168" i="40"/>
  <c r="AH43" i="39"/>
  <c r="AU43" i="39" s="1"/>
  <c r="I29" i="39"/>
  <c r="AV53" i="39"/>
  <c r="BV53" i="39" s="1"/>
  <c r="AT84" i="39"/>
  <c r="P46" i="39"/>
  <c r="BO53" i="39"/>
  <c r="BU81" i="39"/>
  <c r="BU53" i="39"/>
  <c r="AR43" i="39"/>
  <c r="AR136" i="39" s="1"/>
  <c r="BO71" i="39"/>
  <c r="I87" i="39"/>
  <c r="AV29" i="39"/>
  <c r="BV29" i="39" s="1"/>
  <c r="BO29" i="39"/>
  <c r="I38" i="39"/>
  <c r="BT30" i="39"/>
  <c r="BM137" i="39"/>
  <c r="AT29" i="39"/>
  <c r="AF58" i="39"/>
  <c r="BU112" i="39"/>
  <c r="I82" i="39"/>
  <c r="BP57" i="39"/>
  <c r="BP58" i="39" s="1"/>
  <c r="BP47" i="39"/>
  <c r="BU75" i="39"/>
  <c r="BO88" i="39"/>
  <c r="BO112" i="39"/>
  <c r="BY65" i="39"/>
  <c r="AT28" i="39"/>
  <c r="BY26" i="47"/>
  <c r="BX26" i="47"/>
  <c r="BT26" i="47"/>
  <c r="BV26" i="47"/>
  <c r="BY13" i="47"/>
  <c r="BY23" i="47" s="1"/>
  <c r="BW30" i="47"/>
  <c r="BW26" i="47" s="1"/>
  <c r="BT13" i="47"/>
  <c r="BT23" i="47" s="1"/>
  <c r="BU29" i="47"/>
  <c r="BU26" i="47" s="1"/>
  <c r="BX13" i="47"/>
  <c r="BX23" i="47" s="1"/>
  <c r="BW13" i="47"/>
  <c r="BW23" i="47" s="1"/>
  <c r="BV13" i="47"/>
  <c r="BV23" i="47" s="1"/>
  <c r="AT21" i="39"/>
  <c r="BY102" i="40"/>
  <c r="AR164" i="42"/>
  <c r="AT164" i="42" s="1"/>
  <c r="I109" i="40"/>
  <c r="I110" i="40" s="1"/>
  <c r="AV39" i="42"/>
  <c r="BV39" i="42" s="1"/>
  <c r="AW124" i="39"/>
  <c r="AY125" i="39" s="1"/>
  <c r="I131" i="41"/>
  <c r="I85" i="39"/>
  <c r="AF145" i="41"/>
  <c r="BU110" i="42"/>
  <c r="BU100" i="42"/>
  <c r="BO55" i="42"/>
  <c r="AR117" i="42"/>
  <c r="AT117" i="42" s="1"/>
  <c r="AT132" i="41"/>
  <c r="I17" i="41"/>
  <c r="Q178" i="40"/>
  <c r="I122" i="39"/>
  <c r="I26" i="39"/>
  <c r="I129" i="40"/>
  <c r="P127" i="40"/>
  <c r="AF72" i="41"/>
  <c r="AH67" i="41"/>
  <c r="BU100" i="41"/>
  <c r="I17" i="42"/>
  <c r="BU55" i="42"/>
  <c r="BU126" i="40"/>
  <c r="BK51" i="40"/>
  <c r="P118" i="39"/>
  <c r="BC166" i="40"/>
  <c r="AV20" i="47" s="1"/>
  <c r="BP67" i="41"/>
  <c r="BP72" i="41" s="1"/>
  <c r="I22" i="42"/>
  <c r="BO22" i="40"/>
  <c r="BU92" i="41"/>
  <c r="AV133" i="42"/>
  <c r="BV133" i="42" s="1"/>
  <c r="I90" i="42"/>
  <c r="BM16" i="39"/>
  <c r="BX16" i="39" s="1"/>
  <c r="AG58" i="39"/>
  <c r="AH69" i="39"/>
  <c r="W134" i="39"/>
  <c r="W127" i="39" s="1"/>
  <c r="AF13" i="39"/>
  <c r="AT110" i="41"/>
  <c r="BY36" i="41"/>
  <c r="AR103" i="39"/>
  <c r="AT103" i="39" s="1"/>
  <c r="AH12" i="39"/>
  <c r="BO141" i="40"/>
  <c r="BU22" i="40"/>
  <c r="BZ120" i="41"/>
  <c r="Q79" i="41"/>
  <c r="P50" i="41"/>
  <c r="BU196" i="42"/>
  <c r="BP117" i="42"/>
  <c r="AV98" i="42"/>
  <c r="BV98" i="42" s="1"/>
  <c r="Q89" i="42"/>
  <c r="AS136" i="42"/>
  <c r="AS138" i="42" s="1"/>
  <c r="AT176" i="42"/>
  <c r="AQ135" i="42"/>
  <c r="BS112" i="41"/>
  <c r="AQ127" i="40"/>
  <c r="BZ24" i="39"/>
  <c r="AT92" i="41"/>
  <c r="AH103" i="39"/>
  <c r="AU103" i="39" s="1"/>
  <c r="BV17" i="40"/>
  <c r="M168" i="40"/>
  <c r="I111" i="40"/>
  <c r="I114" i="40" s="1"/>
  <c r="I125" i="40"/>
  <c r="I127" i="40" s="1"/>
  <c r="BC127" i="39"/>
  <c r="BK126" i="39" s="1"/>
  <c r="BK107" i="39"/>
  <c r="AS130" i="40"/>
  <c r="AV41" i="40"/>
  <c r="BV41" i="40" s="1"/>
  <c r="W72" i="39"/>
  <c r="W124" i="39" s="1"/>
  <c r="AV64" i="39"/>
  <c r="BV64" i="39" s="1"/>
  <c r="AQ18" i="39"/>
  <c r="AG134" i="39"/>
  <c r="BP12" i="39"/>
  <c r="AT40" i="39"/>
  <c r="AV148" i="40"/>
  <c r="BV148" i="40" s="1"/>
  <c r="BS118" i="40"/>
  <c r="AV141" i="40"/>
  <c r="BV141" i="40" s="1"/>
  <c r="BR109" i="40"/>
  <c r="BR110" i="40" s="1"/>
  <c r="AT135" i="41"/>
  <c r="M140" i="41"/>
  <c r="BO70" i="41"/>
  <c r="AT48" i="41"/>
  <c r="AY140" i="41"/>
  <c r="AV34" i="41"/>
  <c r="BV34" i="41" s="1"/>
  <c r="BO196" i="42"/>
  <c r="BU137" i="42"/>
  <c r="AT101" i="42"/>
  <c r="BO74" i="42"/>
  <c r="AQ33" i="42"/>
  <c r="BU74" i="42"/>
  <c r="BU23" i="42"/>
  <c r="BZ79" i="41"/>
  <c r="AH57" i="39"/>
  <c r="BV112" i="39"/>
  <c r="AV147" i="40"/>
  <c r="BV147" i="40" s="1"/>
  <c r="I120" i="39"/>
  <c r="AH113" i="39"/>
  <c r="AU113" i="39" s="1"/>
  <c r="AS69" i="39"/>
  <c r="AS134" i="39" s="1"/>
  <c r="AS57" i="39"/>
  <c r="AS58" i="39" s="1"/>
  <c r="BU29" i="39"/>
  <c r="BK128" i="39"/>
  <c r="AT101" i="40"/>
  <c r="AT47" i="40"/>
  <c r="BO101" i="41"/>
  <c r="BY156" i="42"/>
  <c r="AH136" i="42"/>
  <c r="AT92" i="42"/>
  <c r="I171" i="42"/>
  <c r="BO112" i="40"/>
  <c r="AV101" i="41"/>
  <c r="BV101" i="41" s="1"/>
  <c r="BM103" i="39"/>
  <c r="BM107" i="39" s="1"/>
  <c r="AT104" i="39"/>
  <c r="AF137" i="39"/>
  <c r="AT160" i="40"/>
  <c r="AT129" i="40"/>
  <c r="AV135" i="40"/>
  <c r="BV135" i="40" s="1"/>
  <c r="AT77" i="40"/>
  <c r="BU70" i="41"/>
  <c r="AR136" i="42"/>
  <c r="AR138" i="42" s="1"/>
  <c r="BS145" i="42"/>
  <c r="BQ113" i="42"/>
  <c r="BQ115" i="42" s="1"/>
  <c r="AS113" i="42"/>
  <c r="AT113" i="42" s="1"/>
  <c r="AQ25" i="42"/>
  <c r="BO23" i="42"/>
  <c r="Q156" i="42"/>
  <c r="BP138" i="42"/>
  <c r="AH154" i="42"/>
  <c r="I54" i="40"/>
  <c r="AH47" i="39"/>
  <c r="I80" i="39"/>
  <c r="S140" i="41"/>
  <c r="BT56" i="39"/>
  <c r="I102" i="41"/>
  <c r="BO121" i="39"/>
  <c r="BU115" i="39"/>
  <c r="AT63" i="39"/>
  <c r="AT82" i="39"/>
  <c r="BQ36" i="39"/>
  <c r="AT15" i="39"/>
  <c r="BU23" i="39"/>
  <c r="BZ137" i="40"/>
  <c r="AF114" i="40"/>
  <c r="AV122" i="40"/>
  <c r="BV122" i="40" s="1"/>
  <c r="BY98" i="40"/>
  <c r="BS74" i="40"/>
  <c r="AT63" i="40"/>
  <c r="BO107" i="41"/>
  <c r="I80" i="41"/>
  <c r="BU75" i="41"/>
  <c r="I62" i="41"/>
  <c r="AO143" i="41"/>
  <c r="AO141" i="41" s="1"/>
  <c r="AT160" i="42"/>
  <c r="AT109" i="42"/>
  <c r="P135" i="42"/>
  <c r="AG135" i="42"/>
  <c r="BQ71" i="42"/>
  <c r="BQ76" i="42" s="1"/>
  <c r="AH41" i="42"/>
  <c r="BW46" i="42"/>
  <c r="AT61" i="42"/>
  <c r="AF64" i="42"/>
  <c r="I163" i="42"/>
  <c r="BO110" i="42"/>
  <c r="V64" i="42"/>
  <c r="BZ151" i="40"/>
  <c r="I79" i="40"/>
  <c r="I99" i="39"/>
  <c r="AT154" i="40"/>
  <c r="AR48" i="42"/>
  <c r="BX57" i="39"/>
  <c r="BX58" i="39" s="1"/>
  <c r="AV115" i="39"/>
  <c r="BV115" i="39" s="1"/>
  <c r="Q127" i="40"/>
  <c r="AH111" i="40"/>
  <c r="AT22" i="40"/>
  <c r="AZ22" i="40" s="1"/>
  <c r="BN22" i="40" s="1"/>
  <c r="AT37" i="40"/>
  <c r="BZ145" i="41"/>
  <c r="AT129" i="41"/>
  <c r="I104" i="41"/>
  <c r="I151" i="41" s="1"/>
  <c r="AT119" i="41"/>
  <c r="BR133" i="42"/>
  <c r="BR135" i="42" s="1"/>
  <c r="I101" i="42"/>
  <c r="AT19" i="42"/>
  <c r="AR60" i="42"/>
  <c r="AR64" i="42" s="1"/>
  <c r="P172" i="42"/>
  <c r="AT75" i="41"/>
  <c r="AQ118" i="39"/>
  <c r="I48" i="41"/>
  <c r="I28" i="39"/>
  <c r="BY137" i="40"/>
  <c r="I147" i="40"/>
  <c r="I15" i="42"/>
  <c r="AT105" i="39"/>
  <c r="AT112" i="39"/>
  <c r="AT71" i="39"/>
  <c r="BY72" i="39"/>
  <c r="AQ165" i="40"/>
  <c r="BM155" i="40"/>
  <c r="AT59" i="40"/>
  <c r="BV86" i="40"/>
  <c r="AT41" i="40"/>
  <c r="BO17" i="40"/>
  <c r="BU17" i="40"/>
  <c r="AT100" i="41"/>
  <c r="BZ124" i="41"/>
  <c r="AV44" i="41"/>
  <c r="BV44" i="41" s="1"/>
  <c r="BP41" i="42"/>
  <c r="BP44" i="42" s="1"/>
  <c r="AT87" i="42"/>
  <c r="BO51" i="42"/>
  <c r="AG46" i="42"/>
  <c r="AF44" i="42"/>
  <c r="I174" i="42"/>
  <c r="M201" i="42"/>
  <c r="BO97" i="40"/>
  <c r="BY127" i="40"/>
  <c r="AT54" i="41"/>
  <c r="S126" i="39"/>
  <c r="AT67" i="39"/>
  <c r="AT163" i="40"/>
  <c r="AT153" i="40"/>
  <c r="AV126" i="40"/>
  <c r="BV126" i="40" s="1"/>
  <c r="AQ92" i="40"/>
  <c r="AT105" i="40"/>
  <c r="I113" i="42"/>
  <c r="AT98" i="42"/>
  <c r="AG76" i="42"/>
  <c r="AQ29" i="42"/>
  <c r="AT13" i="42"/>
  <c r="I70" i="39"/>
  <c r="M126" i="39"/>
  <c r="P102" i="40"/>
  <c r="BK18" i="39"/>
  <c r="I181" i="42"/>
  <c r="AV137" i="42"/>
  <c r="BV137" i="42" s="1"/>
  <c r="BP99" i="42"/>
  <c r="BU50" i="42"/>
  <c r="BV158" i="42"/>
  <c r="BO180" i="42"/>
  <c r="BZ76" i="42"/>
  <c r="BZ29" i="42"/>
  <c r="BO158" i="42"/>
  <c r="I155" i="42"/>
  <c r="BU180" i="42"/>
  <c r="AT51" i="42"/>
  <c r="I42" i="42"/>
  <c r="AT62" i="42"/>
  <c r="I67" i="42"/>
  <c r="I184" i="42"/>
  <c r="BO98" i="42"/>
  <c r="BO99" i="42" s="1"/>
  <c r="BO163" i="42"/>
  <c r="BS33" i="42"/>
  <c r="AT168" i="42"/>
  <c r="I79" i="42"/>
  <c r="BS166" i="42"/>
  <c r="I192" i="42"/>
  <c r="BO120" i="42"/>
  <c r="AT110" i="42"/>
  <c r="AV84" i="42"/>
  <c r="BV84" i="42" s="1"/>
  <c r="AV62" i="42"/>
  <c r="BV62" i="42" s="1"/>
  <c r="BU66" i="42"/>
  <c r="AT182" i="42"/>
  <c r="AT177" i="42"/>
  <c r="BU158" i="42"/>
  <c r="BM135" i="42"/>
  <c r="AT192" i="42"/>
  <c r="BO124" i="42"/>
  <c r="AT82" i="42"/>
  <c r="AI199" i="42"/>
  <c r="AB22" i="47" s="1"/>
  <c r="BU35" i="42"/>
  <c r="AV66" i="42"/>
  <c r="BV66" i="42" s="1"/>
  <c r="BO39" i="42"/>
  <c r="AT42" i="42"/>
  <c r="AT55" i="42"/>
  <c r="AF166" i="42"/>
  <c r="BV197" i="42"/>
  <c r="BS185" i="42"/>
  <c r="BS191" i="42"/>
  <c r="I170" i="42"/>
  <c r="I158" i="42"/>
  <c r="BV171" i="42"/>
  <c r="BU163" i="42"/>
  <c r="I127" i="42"/>
  <c r="AQ105" i="42"/>
  <c r="BK204" i="42"/>
  <c r="BU120" i="42"/>
  <c r="AT75" i="42"/>
  <c r="BQ30" i="42"/>
  <c r="BQ33" i="42" s="1"/>
  <c r="AT102" i="42"/>
  <c r="BL201" i="42"/>
  <c r="BU184" i="42"/>
  <c r="AT174" i="42"/>
  <c r="AH164" i="42"/>
  <c r="AF162" i="42"/>
  <c r="BU127" i="42"/>
  <c r="BM78" i="42"/>
  <c r="BX77" i="42"/>
  <c r="BX211" i="42" s="1"/>
  <c r="AS30" i="42"/>
  <c r="AS33" i="42" s="1"/>
  <c r="BZ205" i="42"/>
  <c r="AQ37" i="42"/>
  <c r="Q166" i="42"/>
  <c r="BM185" i="42"/>
  <c r="BS179" i="42"/>
  <c r="I176" i="42"/>
  <c r="BK52" i="42"/>
  <c r="I66" i="41"/>
  <c r="AQ61" i="41"/>
  <c r="I136" i="41"/>
  <c r="BP79" i="41"/>
  <c r="I67" i="41"/>
  <c r="X138" i="41"/>
  <c r="Q21" i="47" s="1"/>
  <c r="AT41" i="41"/>
  <c r="AT114" i="41"/>
  <c r="BQ87" i="41"/>
  <c r="BO73" i="41"/>
  <c r="AQ97" i="41"/>
  <c r="BY65" i="41"/>
  <c r="BT43" i="41"/>
  <c r="Q29" i="41"/>
  <c r="AT108" i="41"/>
  <c r="BP112" i="41"/>
  <c r="I126" i="41"/>
  <c r="I55" i="41"/>
  <c r="BU49" i="41"/>
  <c r="I90" i="41"/>
  <c r="I78" i="41"/>
  <c r="I56" i="41"/>
  <c r="BT79" i="41"/>
  <c r="BC141" i="41"/>
  <c r="BK140" i="41" s="1"/>
  <c r="AT26" i="41"/>
  <c r="AT103" i="41"/>
  <c r="AT128" i="41"/>
  <c r="P93" i="41"/>
  <c r="BM87" i="41"/>
  <c r="I121" i="41"/>
  <c r="BU107" i="41"/>
  <c r="AT118" i="41"/>
  <c r="AV73" i="41"/>
  <c r="BV73" i="41" s="1"/>
  <c r="BY145" i="41"/>
  <c r="AS50" i="41"/>
  <c r="AV63" i="41"/>
  <c r="BV63" i="41" s="1"/>
  <c r="P61" i="41"/>
  <c r="BS79" i="41"/>
  <c r="AH30" i="41"/>
  <c r="AT34" i="41"/>
  <c r="I45" i="41"/>
  <c r="BR59" i="41"/>
  <c r="BR61" i="41" s="1"/>
  <c r="BS120" i="41"/>
  <c r="AT101" i="41"/>
  <c r="S141" i="41"/>
  <c r="AT102" i="41"/>
  <c r="AQ120" i="41"/>
  <c r="I99" i="41"/>
  <c r="AT107" i="41"/>
  <c r="I82" i="41"/>
  <c r="BM79" i="41"/>
  <c r="BQ72" i="41"/>
  <c r="BP65" i="41"/>
  <c r="BZ105" i="41"/>
  <c r="I86" i="41"/>
  <c r="I87" i="41" s="1"/>
  <c r="BU63" i="41"/>
  <c r="AT30" i="41"/>
  <c r="AT13" i="41"/>
  <c r="BZ87" i="41"/>
  <c r="BL140" i="41"/>
  <c r="AQ65" i="41"/>
  <c r="AR65" i="41"/>
  <c r="P21" i="41"/>
  <c r="AT68" i="41"/>
  <c r="I119" i="41"/>
  <c r="AR46" i="41"/>
  <c r="AT46" i="41" s="1"/>
  <c r="BO44" i="41"/>
  <c r="AV49" i="41"/>
  <c r="BV49" i="41" s="1"/>
  <c r="BP46" i="41"/>
  <c r="AT42" i="41"/>
  <c r="I35" i="41"/>
  <c r="BZ149" i="41"/>
  <c r="AT116" i="41"/>
  <c r="Q112" i="41"/>
  <c r="AF50" i="41"/>
  <c r="BZ50" i="41"/>
  <c r="BS143" i="41"/>
  <c r="BQ43" i="41"/>
  <c r="J140" i="41"/>
  <c r="AT64" i="41"/>
  <c r="AR79" i="41"/>
  <c r="BS114" i="40"/>
  <c r="BS51" i="40"/>
  <c r="BO31" i="40"/>
  <c r="AS52" i="40"/>
  <c r="AS53" i="40" s="1"/>
  <c r="I36" i="40"/>
  <c r="BR17" i="40"/>
  <c r="BR19" i="40" s="1"/>
  <c r="BS19" i="40"/>
  <c r="BU59" i="40"/>
  <c r="BS67" i="40"/>
  <c r="BO56" i="40"/>
  <c r="BQ52" i="40"/>
  <c r="BQ178" i="40" s="1"/>
  <c r="X166" i="40"/>
  <c r="Q20" i="47" s="1"/>
  <c r="BS124" i="40"/>
  <c r="BO113" i="40"/>
  <c r="BS81" i="40"/>
  <c r="AG178" i="40"/>
  <c r="BU31" i="40"/>
  <c r="BV153" i="40"/>
  <c r="I152" i="40"/>
  <c r="I99" i="40"/>
  <c r="AV113" i="40"/>
  <c r="BV113" i="40" s="1"/>
  <c r="BZ51" i="40"/>
  <c r="BL168" i="40"/>
  <c r="V170" i="40"/>
  <c r="AG32" i="40"/>
  <c r="I94" i="40"/>
  <c r="AY168" i="40"/>
  <c r="BO153" i="40"/>
  <c r="AT157" i="40"/>
  <c r="AT143" i="40"/>
  <c r="BL166" i="40"/>
  <c r="BE20" i="47" s="1"/>
  <c r="BV97" i="40"/>
  <c r="BX155" i="40"/>
  <c r="I17" i="40"/>
  <c r="I19" i="40" s="1"/>
  <c r="BT137" i="40"/>
  <c r="AQ124" i="40"/>
  <c r="I84" i="40"/>
  <c r="AT18" i="40"/>
  <c r="AV58" i="40"/>
  <c r="BV58" i="40" s="1"/>
  <c r="AS14" i="40"/>
  <c r="AT14" i="40" s="1"/>
  <c r="AR26" i="40"/>
  <c r="AT26" i="40" s="1"/>
  <c r="J168" i="40"/>
  <c r="BR161" i="40"/>
  <c r="BP114" i="40"/>
  <c r="BM102" i="40"/>
  <c r="AS102" i="40"/>
  <c r="BM74" i="40"/>
  <c r="BK168" i="40"/>
  <c r="BY32" i="40"/>
  <c r="BQ39" i="40"/>
  <c r="BQ44" i="40" s="1"/>
  <c r="AQ51" i="40"/>
  <c r="AT21" i="40"/>
  <c r="AH14" i="40"/>
  <c r="AV35" i="40"/>
  <c r="BV35" i="40" s="1"/>
  <c r="AF20" i="40"/>
  <c r="AR20" i="40" s="1"/>
  <c r="BT98" i="40"/>
  <c r="AT42" i="40"/>
  <c r="AI166" i="40"/>
  <c r="V167" i="40" s="1"/>
  <c r="P19" i="40"/>
  <c r="BX127" i="40"/>
  <c r="AT79" i="40"/>
  <c r="BR125" i="40"/>
  <c r="BR127" i="40" s="1"/>
  <c r="BS88" i="40"/>
  <c r="I142" i="40"/>
  <c r="BX157" i="40"/>
  <c r="BX161" i="40" s="1"/>
  <c r="Q114" i="40"/>
  <c r="AT71" i="40"/>
  <c r="AQ88" i="40"/>
  <c r="BV56" i="40"/>
  <c r="S166" i="40"/>
  <c r="L20" i="47" s="1"/>
  <c r="AT135" i="40"/>
  <c r="M166" i="40"/>
  <c r="F20" i="47" s="1"/>
  <c r="AR151" i="40"/>
  <c r="Q151" i="40"/>
  <c r="BM130" i="40"/>
  <c r="BO126" i="40"/>
  <c r="AT141" i="40"/>
  <c r="AS127" i="40"/>
  <c r="AT123" i="40"/>
  <c r="BS98" i="40"/>
  <c r="BU112" i="40"/>
  <c r="AT106" i="40"/>
  <c r="Q74" i="40"/>
  <c r="BM92" i="40"/>
  <c r="AT66" i="40"/>
  <c r="AH26" i="40"/>
  <c r="BP67" i="40"/>
  <c r="BP56" i="40"/>
  <c r="Q53" i="40"/>
  <c r="BQ28" i="40"/>
  <c r="BQ174" i="40" s="1"/>
  <c r="BS26" i="40"/>
  <c r="AQ20" i="40"/>
  <c r="BR20" i="40" s="1"/>
  <c r="AF15" i="40"/>
  <c r="BU49" i="40"/>
  <c r="AO170" i="40"/>
  <c r="BZ23" i="40"/>
  <c r="V23" i="40"/>
  <c r="P114" i="40"/>
  <c r="AO23" i="40"/>
  <c r="I156" i="40"/>
  <c r="BY161" i="40"/>
  <c r="BS144" i="40"/>
  <c r="BS137" i="40"/>
  <c r="BU135" i="40"/>
  <c r="Q98" i="40"/>
  <c r="BU99" i="40"/>
  <c r="BQ114" i="40"/>
  <c r="V108" i="40"/>
  <c r="AR56" i="40"/>
  <c r="AT56" i="40" s="1"/>
  <c r="AQ44" i="40"/>
  <c r="BW172" i="40"/>
  <c r="AS28" i="40"/>
  <c r="AS174" i="40" s="1"/>
  <c r="V171" i="40"/>
  <c r="BQ14" i="40"/>
  <c r="BQ176" i="40" s="1"/>
  <c r="AV49" i="40"/>
  <c r="BV49" i="40" s="1"/>
  <c r="AQ67" i="40"/>
  <c r="BU28" i="39"/>
  <c r="AT90" i="39"/>
  <c r="BY79" i="39"/>
  <c r="I89" i="39"/>
  <c r="I34" i="39"/>
  <c r="AF136" i="39"/>
  <c r="AJ124" i="39"/>
  <c r="W125" i="39" s="1"/>
  <c r="BY123" i="39"/>
  <c r="I84" i="39"/>
  <c r="I32" i="39"/>
  <c r="I22" i="39"/>
  <c r="I112" i="39"/>
  <c r="BC124" i="39"/>
  <c r="AV19" i="47" s="1"/>
  <c r="BY114" i="39"/>
  <c r="AV28" i="39"/>
  <c r="BV28" i="39" s="1"/>
  <c r="AT95" i="39"/>
  <c r="AZ39" i="39"/>
  <c r="P114" i="39"/>
  <c r="BT107" i="39"/>
  <c r="I45" i="39"/>
  <c r="I46" i="39" s="1"/>
  <c r="BU98" i="39"/>
  <c r="AS123" i="39"/>
  <c r="AT116" i="39"/>
  <c r="BQ56" i="39"/>
  <c r="BZ134" i="39"/>
  <c r="I105" i="39"/>
  <c r="J126" i="39"/>
  <c r="I51" i="39"/>
  <c r="AT121" i="39"/>
  <c r="AZ121" i="39" s="1"/>
  <c r="BQ107" i="39"/>
  <c r="AT102" i="39"/>
  <c r="AT98" i="39"/>
  <c r="AV104" i="39"/>
  <c r="BV104" i="39" s="1"/>
  <c r="BQ86" i="39"/>
  <c r="I57" i="39"/>
  <c r="I58" i="39" s="1"/>
  <c r="BO39" i="39"/>
  <c r="BV39" i="39"/>
  <c r="P36" i="39"/>
  <c r="BO28" i="39"/>
  <c r="AT62" i="39"/>
  <c r="AZ62" i="39" s="1"/>
  <c r="P72" i="39"/>
  <c r="BZ135" i="39"/>
  <c r="AT55" i="39"/>
  <c r="AQ50" i="39"/>
  <c r="Q86" i="39"/>
  <c r="AF128" i="39"/>
  <c r="I78" i="39"/>
  <c r="AT61" i="39"/>
  <c r="BK129" i="39"/>
  <c r="BK36" i="39"/>
  <c r="Q36" i="39"/>
  <c r="AQ100" i="39"/>
  <c r="BZ18" i="39"/>
  <c r="BO104" i="39"/>
  <c r="Q136" i="39"/>
  <c r="BR50" i="39"/>
  <c r="AT38" i="39"/>
  <c r="BY30" i="39"/>
  <c r="BU121" i="39"/>
  <c r="BY86" i="39"/>
  <c r="BV105" i="39"/>
  <c r="BX123" i="39"/>
  <c r="Q72" i="39"/>
  <c r="AT78" i="39"/>
  <c r="BR45" i="39"/>
  <c r="BR46" i="39" s="1"/>
  <c r="I63" i="39"/>
  <c r="BX12" i="39"/>
  <c r="BX13" i="39" s="1"/>
  <c r="BL126" i="39"/>
  <c r="BY136" i="39"/>
  <c r="BM32" i="39"/>
  <c r="BX32" i="39" s="1"/>
  <c r="BY56" i="39"/>
  <c r="AY124" i="39"/>
  <c r="AR19" i="47" s="1"/>
  <c r="AQ130" i="39"/>
  <c r="BR38" i="39"/>
  <c r="BR130" i="39" s="1"/>
  <c r="BV34" i="40"/>
  <c r="Q38" i="40"/>
  <c r="Q172" i="40"/>
  <c r="BY36" i="39"/>
  <c r="BY129" i="39"/>
  <c r="AT20" i="47"/>
  <c r="AJ166" i="40"/>
  <c r="BX93" i="41"/>
  <c r="BX83" i="41"/>
  <c r="BS149" i="41"/>
  <c r="BM98" i="40"/>
  <c r="BX95" i="40"/>
  <c r="BX98" i="40" s="1"/>
  <c r="BR99" i="39"/>
  <c r="BR100" i="39" s="1"/>
  <c r="BX54" i="39"/>
  <c r="BX56" i="39" s="1"/>
  <c r="BM56" i="39"/>
  <c r="AG170" i="40"/>
  <c r="AF110" i="40"/>
  <c r="BP109" i="40"/>
  <c r="BP110" i="40" s="1"/>
  <c r="AR109" i="40"/>
  <c r="AT109" i="40" s="1"/>
  <c r="P172" i="40"/>
  <c r="I34" i="40"/>
  <c r="AQ79" i="39"/>
  <c r="BR74" i="39"/>
  <c r="BR79" i="39" s="1"/>
  <c r="BV62" i="39"/>
  <c r="V125" i="39"/>
  <c r="AB19" i="47"/>
  <c r="BY134" i="39"/>
  <c r="AT91" i="40"/>
  <c r="BX155" i="42"/>
  <c r="BX209" i="42" s="1"/>
  <c r="BM156" i="42"/>
  <c r="BP116" i="42"/>
  <c r="AF121" i="42"/>
  <c r="AV82" i="41"/>
  <c r="BV82" i="41" s="1"/>
  <c r="BU82" i="41"/>
  <c r="BO82" i="41"/>
  <c r="I122" i="40"/>
  <c r="BQ134" i="39"/>
  <c r="BP93" i="39"/>
  <c r="I54" i="39"/>
  <c r="BW56" i="39"/>
  <c r="BW135" i="39"/>
  <c r="P124" i="40"/>
  <c r="I123" i="40"/>
  <c r="BU129" i="40"/>
  <c r="BY74" i="40"/>
  <c r="BY67" i="40"/>
  <c r="P38" i="40"/>
  <c r="BK171" i="40"/>
  <c r="BR86" i="42"/>
  <c r="BR89" i="42" s="1"/>
  <c r="AQ89" i="42"/>
  <c r="BQ123" i="42"/>
  <c r="BQ125" i="42" s="1"/>
  <c r="AG125" i="42"/>
  <c r="AS123" i="42"/>
  <c r="AT123" i="42" s="1"/>
  <c r="AH123" i="42"/>
  <c r="I125" i="41"/>
  <c r="P130" i="41"/>
  <c r="AQ93" i="41"/>
  <c r="BR92" i="41"/>
  <c r="BR93" i="41" s="1"/>
  <c r="AS50" i="39"/>
  <c r="AT47" i="39"/>
  <c r="J124" i="39"/>
  <c r="C19" i="47" s="1"/>
  <c r="BP137" i="40"/>
  <c r="AQ87" i="41"/>
  <c r="BR84" i="41"/>
  <c r="BR87" i="41" s="1"/>
  <c r="BU54" i="39"/>
  <c r="AV54" i="39"/>
  <c r="BV54" i="39" s="1"/>
  <c r="BO54" i="39"/>
  <c r="X124" i="39"/>
  <c r="Q19" i="47" s="1"/>
  <c r="BT42" i="39"/>
  <c r="BT130" i="39"/>
  <c r="BO129" i="40"/>
  <c r="BX137" i="40"/>
  <c r="AS98" i="40"/>
  <c r="BR98" i="40"/>
  <c r="Q137" i="41"/>
  <c r="BS105" i="41"/>
  <c r="BR36" i="41"/>
  <c r="AQ191" i="42"/>
  <c r="BR189" i="42"/>
  <c r="BR191" i="42" s="1"/>
  <c r="AV88" i="42"/>
  <c r="BV88" i="42" s="1"/>
  <c r="BU88" i="42"/>
  <c r="BO60" i="39"/>
  <c r="BU60" i="39"/>
  <c r="AV79" i="40"/>
  <c r="BV79" i="40" s="1"/>
  <c r="BU79" i="40"/>
  <c r="AV125" i="40"/>
  <c r="AH127" i="40"/>
  <c r="BO125" i="40"/>
  <c r="BX81" i="40"/>
  <c r="BM137" i="40"/>
  <c r="BP80" i="39"/>
  <c r="BP86" i="39" s="1"/>
  <c r="AH80" i="39"/>
  <c r="AU80" i="39" s="1"/>
  <c r="AS113" i="39"/>
  <c r="AT113" i="39" s="1"/>
  <c r="BQ113" i="39"/>
  <c r="BQ114" i="39" s="1"/>
  <c r="BS118" i="39"/>
  <c r="BL125" i="39"/>
  <c r="AU19" i="47"/>
  <c r="BY107" i="39"/>
  <c r="BS107" i="39"/>
  <c r="BM65" i="39"/>
  <c r="BZ129" i="39"/>
  <c r="BM24" i="39"/>
  <c r="BQ50" i="39"/>
  <c r="BS135" i="39"/>
  <c r="AQ151" i="40"/>
  <c r="AQ144" i="40"/>
  <c r="AT116" i="40"/>
  <c r="BQ98" i="40"/>
  <c r="BS102" i="40"/>
  <c r="AT87" i="40"/>
  <c r="BP81" i="40"/>
  <c r="BY51" i="40"/>
  <c r="AT76" i="40"/>
  <c r="BY60" i="40"/>
  <c r="AT17" i="40"/>
  <c r="Q170" i="40"/>
  <c r="AT27" i="40"/>
  <c r="BX19" i="40"/>
  <c r="BR120" i="41"/>
  <c r="BR96" i="41"/>
  <c r="BR97" i="41" s="1"/>
  <c r="AT81" i="41"/>
  <c r="I108" i="41"/>
  <c r="AS97" i="41"/>
  <c r="BM83" i="41"/>
  <c r="BP61" i="41"/>
  <c r="AT76" i="41"/>
  <c r="BX79" i="41"/>
  <c r="AT96" i="41"/>
  <c r="I77" i="41"/>
  <c r="BM58" i="41"/>
  <c r="BS50" i="41"/>
  <c r="AS43" i="41"/>
  <c r="BY16" i="41"/>
  <c r="BS27" i="41"/>
  <c r="AT190" i="42"/>
  <c r="AT181" i="42"/>
  <c r="AF172" i="42"/>
  <c r="BY162" i="42"/>
  <c r="AS105" i="42"/>
  <c r="AT91" i="42"/>
  <c r="I38" i="42"/>
  <c r="BQ40" i="42"/>
  <c r="BQ29" i="42"/>
  <c r="AT16" i="42"/>
  <c r="AQ138" i="42"/>
  <c r="P121" i="42"/>
  <c r="I147" i="42"/>
  <c r="I178" i="42"/>
  <c r="BR121" i="42"/>
  <c r="AV127" i="41"/>
  <c r="BV127" i="41" s="1"/>
  <c r="BU69" i="41"/>
  <c r="AV69" i="41"/>
  <c r="BV69" i="41" s="1"/>
  <c r="BY46" i="41"/>
  <c r="BY50" i="41" s="1"/>
  <c r="BM46" i="41"/>
  <c r="BX46" i="41" s="1"/>
  <c r="AS59" i="41"/>
  <c r="AT59" i="41" s="1"/>
  <c r="AG61" i="41"/>
  <c r="AH59" i="41"/>
  <c r="AV35" i="39"/>
  <c r="BV35" i="39" s="1"/>
  <c r="BU35" i="39"/>
  <c r="I153" i="40"/>
  <c r="BU34" i="40"/>
  <c r="AJ199" i="42"/>
  <c r="AC22" i="47" s="1"/>
  <c r="AT94" i="42"/>
  <c r="I56" i="42"/>
  <c r="AT27" i="42"/>
  <c r="BO82" i="42"/>
  <c r="BM191" i="42"/>
  <c r="V105" i="41"/>
  <c r="AF98" i="41"/>
  <c r="AF143" i="41" s="1"/>
  <c r="AO105" i="41"/>
  <c r="AO138" i="41" s="1"/>
  <c r="AH21" i="47" s="1"/>
  <c r="AQ98" i="41"/>
  <c r="AP173" i="40"/>
  <c r="BT55" i="40"/>
  <c r="BT173" i="40" s="1"/>
  <c r="AV41" i="39"/>
  <c r="BV41" i="39" s="1"/>
  <c r="BZ124" i="40"/>
  <c r="BM114" i="40"/>
  <c r="I75" i="40"/>
  <c r="BP176" i="40"/>
  <c r="BT44" i="40"/>
  <c r="BM23" i="40"/>
  <c r="BM137" i="41"/>
  <c r="BR137" i="41"/>
  <c r="BY97" i="41"/>
  <c r="BX87" i="41"/>
  <c r="BS93" i="41"/>
  <c r="BY112" i="41"/>
  <c r="BM36" i="41"/>
  <c r="BP87" i="41"/>
  <c r="BV78" i="41"/>
  <c r="BQ50" i="41"/>
  <c r="BT149" i="41"/>
  <c r="BW21" i="41"/>
  <c r="BY172" i="42"/>
  <c r="P205" i="42"/>
  <c r="Q21" i="42"/>
  <c r="BU51" i="42"/>
  <c r="AV54" i="41"/>
  <c r="BV54" i="41" s="1"/>
  <c r="BU54" i="41"/>
  <c r="AV159" i="40"/>
  <c r="BV159" i="40" s="1"/>
  <c r="BR115" i="39"/>
  <c r="BR118" i="39" s="1"/>
  <c r="BX23" i="40"/>
  <c r="Q105" i="41"/>
  <c r="BX65" i="41"/>
  <c r="AS83" i="41"/>
  <c r="AY139" i="41"/>
  <c r="AP21" i="47"/>
  <c r="BS148" i="41"/>
  <c r="S201" i="42"/>
  <c r="I109" i="42"/>
  <c r="BT131" i="39"/>
  <c r="BT86" i="39"/>
  <c r="AS93" i="39"/>
  <c r="AQ107" i="39"/>
  <c r="BP72" i="39"/>
  <c r="BS86" i="39"/>
  <c r="BX72" i="39"/>
  <c r="BS56" i="39"/>
  <c r="BY135" i="39"/>
  <c r="J127" i="39"/>
  <c r="BO23" i="39"/>
  <c r="BQ118" i="39"/>
  <c r="AG114" i="39"/>
  <c r="BY131" i="39"/>
  <c r="BS123" i="39"/>
  <c r="AR80" i="39"/>
  <c r="AT80" i="39" s="1"/>
  <c r="BQ93" i="39"/>
  <c r="AT74" i="39"/>
  <c r="AT60" i="39"/>
  <c r="I115" i="39"/>
  <c r="I118" i="39" s="1"/>
  <c r="BZ65" i="39"/>
  <c r="BU102" i="39"/>
  <c r="AT83" i="39"/>
  <c r="AT126" i="40"/>
  <c r="AJ169" i="40"/>
  <c r="W168" i="40" s="1"/>
  <c r="AQ102" i="40"/>
  <c r="BY81" i="40"/>
  <c r="AT58" i="40"/>
  <c r="I59" i="40"/>
  <c r="BP26" i="40"/>
  <c r="AQ124" i="41"/>
  <c r="BR83" i="41"/>
  <c r="BY105" i="41"/>
  <c r="AT117" i="41"/>
  <c r="AT82" i="41"/>
  <c r="AS72" i="41"/>
  <c r="BV75" i="41"/>
  <c r="BX112" i="41"/>
  <c r="AH79" i="41"/>
  <c r="BP58" i="41"/>
  <c r="I89" i="41"/>
  <c r="J138" i="41"/>
  <c r="C21" i="47" s="1"/>
  <c r="AT23" i="41"/>
  <c r="BQ21" i="41"/>
  <c r="BZ148" i="41"/>
  <c r="BC138" i="41"/>
  <c r="J141" i="41"/>
  <c r="AT24" i="41"/>
  <c r="AT187" i="42"/>
  <c r="AT140" i="42"/>
  <c r="BQ145" i="42"/>
  <c r="AT127" i="42"/>
  <c r="AZ127" i="42" s="1"/>
  <c r="BS121" i="42"/>
  <c r="AT103" i="42"/>
  <c r="AT111" i="42"/>
  <c r="AT107" i="42"/>
  <c r="BS40" i="42"/>
  <c r="AT23" i="42"/>
  <c r="BS172" i="42"/>
  <c r="BO50" i="42"/>
  <c r="BY191" i="42"/>
  <c r="I14" i="42"/>
  <c r="AV66" i="41"/>
  <c r="BV66" i="41" s="1"/>
  <c r="BU66" i="41"/>
  <c r="I132" i="40"/>
  <c r="AV38" i="39"/>
  <c r="BV38" i="39" s="1"/>
  <c r="BO35" i="39"/>
  <c r="AQ55" i="40"/>
  <c r="BR55" i="40" s="1"/>
  <c r="BU49" i="39"/>
  <c r="AV49" i="39"/>
  <c r="BV49" i="39" s="1"/>
  <c r="BM130" i="41"/>
  <c r="P148" i="41"/>
  <c r="BL139" i="41"/>
  <c r="AX21" i="47"/>
  <c r="BM16" i="41"/>
  <c r="BS112" i="42"/>
  <c r="BP123" i="39"/>
  <c r="BL124" i="39"/>
  <c r="BE19" i="47" s="1"/>
  <c r="BM79" i="39"/>
  <c r="BP107" i="39"/>
  <c r="AT85" i="39"/>
  <c r="BS72" i="39"/>
  <c r="I92" i="39"/>
  <c r="AS56" i="39"/>
  <c r="I48" i="39"/>
  <c r="I50" i="39" s="1"/>
  <c r="M127" i="39"/>
  <c r="V127" i="39"/>
  <c r="AT120" i="39"/>
  <c r="BS100" i="39"/>
  <c r="AS107" i="39"/>
  <c r="S124" i="39"/>
  <c r="L19" i="47" s="1"/>
  <c r="AF86" i="39"/>
  <c r="AT54" i="39"/>
  <c r="BS134" i="39"/>
  <c r="AS36" i="39"/>
  <c r="AT52" i="39"/>
  <c r="AT92" i="39"/>
  <c r="AY166" i="40"/>
  <c r="AR20" i="47" s="1"/>
  <c r="BS151" i="40"/>
  <c r="BL167" i="40"/>
  <c r="AU20" i="47"/>
  <c r="AT134" i="40"/>
  <c r="AT142" i="40"/>
  <c r="AT133" i="40"/>
  <c r="P60" i="40"/>
  <c r="AQ81" i="40"/>
  <c r="AQ177" i="40"/>
  <c r="BR67" i="40"/>
  <c r="BX68" i="40"/>
  <c r="BX74" i="40" s="1"/>
  <c r="BM60" i="40"/>
  <c r="BR51" i="40"/>
  <c r="AT36" i="40"/>
  <c r="BR23" i="40"/>
  <c r="AQ137" i="41"/>
  <c r="BT137" i="41"/>
  <c r="BY130" i="41"/>
  <c r="BX104" i="41"/>
  <c r="BX151" i="41" s="1"/>
  <c r="BT124" i="41"/>
  <c r="BT105" i="41"/>
  <c r="I110" i="41"/>
  <c r="AT74" i="41"/>
  <c r="AT85" i="41"/>
  <c r="BY58" i="41"/>
  <c r="AF148" i="41"/>
  <c r="BR65" i="41"/>
  <c r="P43" i="41"/>
  <c r="AQ36" i="41"/>
  <c r="W139" i="41"/>
  <c r="AC21" i="47"/>
  <c r="AP141" i="41"/>
  <c r="AT178" i="42"/>
  <c r="BM85" i="42"/>
  <c r="BP85" i="42"/>
  <c r="I71" i="42"/>
  <c r="I93" i="42"/>
  <c r="P58" i="42"/>
  <c r="AS25" i="42"/>
  <c r="I100" i="41"/>
  <c r="BO66" i="41"/>
  <c r="AV57" i="41"/>
  <c r="BV57" i="41" s="1"/>
  <c r="BS161" i="40"/>
  <c r="AT112" i="40"/>
  <c r="BP12" i="40"/>
  <c r="BP15" i="40" s="1"/>
  <c r="AR12" i="40"/>
  <c r="AT12" i="40" s="1"/>
  <c r="BS198" i="42"/>
  <c r="BO197" i="42"/>
  <c r="BX187" i="42"/>
  <c r="BX191" i="42" s="1"/>
  <c r="AV183" i="42"/>
  <c r="BV183" i="42" s="1"/>
  <c r="AT159" i="42"/>
  <c r="BY166" i="42"/>
  <c r="BX179" i="42"/>
  <c r="I193" i="42"/>
  <c r="BY179" i="42"/>
  <c r="BU167" i="42"/>
  <c r="I134" i="42"/>
  <c r="BU119" i="42"/>
  <c r="AP209" i="42"/>
  <c r="AP202" i="42" s="1"/>
  <c r="BK205" i="42"/>
  <c r="BU31" i="42"/>
  <c r="AT32" i="42"/>
  <c r="AT197" i="42"/>
  <c r="I164" i="42"/>
  <c r="AV167" i="42"/>
  <c r="BV167" i="42" s="1"/>
  <c r="BR115" i="42"/>
  <c r="BM115" i="42"/>
  <c r="AV119" i="42"/>
  <c r="BV119" i="42" s="1"/>
  <c r="AT50" i="42"/>
  <c r="AT88" i="42"/>
  <c r="BQ25" i="42"/>
  <c r="BV184" i="42"/>
  <c r="BY198" i="42"/>
  <c r="AT155" i="42"/>
  <c r="BU197" i="42"/>
  <c r="BU139" i="42"/>
  <c r="AT119" i="42"/>
  <c r="BS89" i="42"/>
  <c r="I32" i="42"/>
  <c r="BU183" i="42"/>
  <c r="I197" i="42"/>
  <c r="BP185" i="42"/>
  <c r="P185" i="42"/>
  <c r="BS153" i="42"/>
  <c r="AS153" i="42"/>
  <c r="AT147" i="42"/>
  <c r="BP115" i="42"/>
  <c r="BC199" i="42"/>
  <c r="AV22" i="47" s="1"/>
  <c r="I63" i="42"/>
  <c r="AS40" i="42"/>
  <c r="BO31" i="42"/>
  <c r="AY201" i="42"/>
  <c r="BO183" i="42"/>
  <c r="I87" i="42"/>
  <c r="Q52" i="42"/>
  <c r="BV129" i="42"/>
  <c r="BV31" i="42"/>
  <c r="AT15" i="42"/>
  <c r="AQ115" i="42"/>
  <c r="BU174" i="42"/>
  <c r="AV174" i="42"/>
  <c r="BV174" i="42" s="1"/>
  <c r="BM153" i="42"/>
  <c r="BR179" i="42"/>
  <c r="BR198" i="42"/>
  <c r="Q185" i="42"/>
  <c r="AS145" i="42"/>
  <c r="BY153" i="42"/>
  <c r="AV159" i="42"/>
  <c r="BV159" i="42" s="1"/>
  <c r="I141" i="42"/>
  <c r="BS135" i="42"/>
  <c r="BY85" i="42"/>
  <c r="P95" i="42"/>
  <c r="P29" i="42"/>
  <c r="AT49" i="42"/>
  <c r="AV35" i="42"/>
  <c r="BR40" i="42"/>
  <c r="AT36" i="42"/>
  <c r="I18" i="42"/>
  <c r="AQ166" i="42"/>
  <c r="BR163" i="42"/>
  <c r="BR166" i="42" s="1"/>
  <c r="BR34" i="42"/>
  <c r="BR37" i="42" s="1"/>
  <c r="BO129" i="42"/>
  <c r="BR104" i="42"/>
  <c r="BZ212" i="42"/>
  <c r="BZ46" i="42"/>
  <c r="AT184" i="42"/>
  <c r="BQ185" i="42"/>
  <c r="BR138" i="42"/>
  <c r="P131" i="42"/>
  <c r="BQ105" i="42"/>
  <c r="BQ135" i="42"/>
  <c r="BV55" i="42"/>
  <c r="AT24" i="42"/>
  <c r="BQ95" i="42"/>
  <c r="BT21" i="42"/>
  <c r="BU182" i="42"/>
  <c r="AV182" i="42"/>
  <c r="BV182" i="42" s="1"/>
  <c r="AV144" i="42"/>
  <c r="BV144" i="42" s="1"/>
  <c r="BU144" i="42"/>
  <c r="I118" i="42"/>
  <c r="AT128" i="42"/>
  <c r="I133" i="42"/>
  <c r="AR157" i="42"/>
  <c r="AT157" i="42" s="1"/>
  <c r="BY145" i="42"/>
  <c r="BS131" i="42"/>
  <c r="AT143" i="42"/>
  <c r="BU161" i="42"/>
  <c r="BM76" i="42"/>
  <c r="AH105" i="42"/>
  <c r="BX79" i="42"/>
  <c r="BX85" i="42" s="1"/>
  <c r="BQ99" i="42"/>
  <c r="BS85" i="42"/>
  <c r="BZ210" i="42"/>
  <c r="P69" i="42"/>
  <c r="AQ64" i="42"/>
  <c r="Q44" i="42"/>
  <c r="AS205" i="42"/>
  <c r="AQ210" i="42"/>
  <c r="BM25" i="42"/>
  <c r="BR30" i="42"/>
  <c r="BR33" i="42" s="1"/>
  <c r="I36" i="42"/>
  <c r="BO144" i="42"/>
  <c r="AS69" i="42"/>
  <c r="AY200" i="42"/>
  <c r="AP22" i="47"/>
  <c r="AS172" i="42"/>
  <c r="BX183" i="42"/>
  <c r="BX185" i="42" s="1"/>
  <c r="I177" i="42"/>
  <c r="I165" i="42"/>
  <c r="BS138" i="42"/>
  <c r="BP157" i="42"/>
  <c r="BP162" i="42" s="1"/>
  <c r="I146" i="42"/>
  <c r="BY209" i="42"/>
  <c r="BY112" i="42"/>
  <c r="BP145" i="42"/>
  <c r="I120" i="42"/>
  <c r="AZ129" i="42"/>
  <c r="BM99" i="42"/>
  <c r="AF206" i="42"/>
  <c r="BR85" i="42"/>
  <c r="BS95" i="42"/>
  <c r="BM138" i="42"/>
  <c r="BP89" i="42"/>
  <c r="AT81" i="42"/>
  <c r="BX71" i="42"/>
  <c r="BX76" i="42" s="1"/>
  <c r="I74" i="42"/>
  <c r="AJ202" i="42"/>
  <c r="W201" i="42" s="1"/>
  <c r="AV170" i="42"/>
  <c r="BV170" i="42" s="1"/>
  <c r="BU170" i="42"/>
  <c r="BV50" i="42"/>
  <c r="AS45" i="42"/>
  <c r="BQ45" i="42"/>
  <c r="BP76" i="42"/>
  <c r="BM198" i="42"/>
  <c r="AQ153" i="42"/>
  <c r="AT152" i="42"/>
  <c r="AT124" i="42"/>
  <c r="BQ138" i="42"/>
  <c r="I182" i="42"/>
  <c r="I107" i="42"/>
  <c r="BP105" i="42"/>
  <c r="BY76" i="42"/>
  <c r="AQ206" i="42"/>
  <c r="AQ69" i="42"/>
  <c r="AQ85" i="42"/>
  <c r="AT39" i="42"/>
  <c r="AS29" i="42"/>
  <c r="AI202" i="42"/>
  <c r="V201" i="42" s="1"/>
  <c r="AT56" i="42"/>
  <c r="AY202" i="42"/>
  <c r="AQ99" i="42"/>
  <c r="BO184" i="42"/>
  <c r="AR106" i="42"/>
  <c r="AR112" i="42" s="1"/>
  <c r="BP106" i="42"/>
  <c r="BP112" i="42" s="1"/>
  <c r="BX153" i="42"/>
  <c r="BX29" i="42"/>
  <c r="AV106" i="42"/>
  <c r="BV106" i="42" s="1"/>
  <c r="AH112" i="42"/>
  <c r="BO106" i="42"/>
  <c r="AT167" i="42"/>
  <c r="P211" i="42"/>
  <c r="P78" i="42"/>
  <c r="I77" i="42"/>
  <c r="AV79" i="42"/>
  <c r="BV79" i="42" s="1"/>
  <c r="BU79" i="42"/>
  <c r="AH85" i="42"/>
  <c r="BO79" i="42"/>
  <c r="BU193" i="42"/>
  <c r="AV193" i="42"/>
  <c r="BV193" i="42" s="1"/>
  <c r="BR169" i="42"/>
  <c r="BR172" i="42" s="1"/>
  <c r="AQ172" i="42"/>
  <c r="BX146" i="42"/>
  <c r="BX148" i="42" s="1"/>
  <c r="BM148" i="42"/>
  <c r="I152" i="42"/>
  <c r="I106" i="42"/>
  <c r="P112" i="42"/>
  <c r="BU104" i="42"/>
  <c r="AV104" i="42"/>
  <c r="BV104" i="42" s="1"/>
  <c r="BO89" i="42"/>
  <c r="Q76" i="42"/>
  <c r="AH76" i="42"/>
  <c r="AV70" i="42"/>
  <c r="BV70" i="42" s="1"/>
  <c r="BU70" i="42"/>
  <c r="I194" i="42"/>
  <c r="P191" i="42"/>
  <c r="I186" i="42"/>
  <c r="AT195" i="42"/>
  <c r="AS185" i="42"/>
  <c r="AV189" i="42"/>
  <c r="BV189" i="42" s="1"/>
  <c r="BU189" i="42"/>
  <c r="BO189" i="42"/>
  <c r="AS156" i="42"/>
  <c r="AV152" i="42"/>
  <c r="BV152" i="42" s="1"/>
  <c r="BU152" i="42"/>
  <c r="Q172" i="42"/>
  <c r="P153" i="42"/>
  <c r="BM145" i="42"/>
  <c r="BX139" i="42"/>
  <c r="BX145" i="42" s="1"/>
  <c r="Q138" i="42"/>
  <c r="AV128" i="42"/>
  <c r="BV128" i="42" s="1"/>
  <c r="BU128" i="42"/>
  <c r="AV165" i="42"/>
  <c r="BV165" i="42" s="1"/>
  <c r="BU165" i="42"/>
  <c r="BR148" i="42"/>
  <c r="AH145" i="42"/>
  <c r="AT134" i="42"/>
  <c r="AR135" i="42"/>
  <c r="AT132" i="42"/>
  <c r="Q131" i="42"/>
  <c r="I175" i="42"/>
  <c r="BU143" i="42"/>
  <c r="AV143" i="42"/>
  <c r="BV143" i="42" s="1"/>
  <c r="Q112" i="42"/>
  <c r="I161" i="42"/>
  <c r="I130" i="42"/>
  <c r="BX113" i="42"/>
  <c r="BX115" i="42" s="1"/>
  <c r="AV109" i="42"/>
  <c r="BU109" i="42"/>
  <c r="AS135" i="42"/>
  <c r="P125" i="42"/>
  <c r="BM89" i="42"/>
  <c r="BX86" i="42"/>
  <c r="BX89" i="42" s="1"/>
  <c r="BZ211" i="42"/>
  <c r="BZ78" i="42"/>
  <c r="P76" i="42"/>
  <c r="I70" i="42"/>
  <c r="AR95" i="42"/>
  <c r="AT90" i="42"/>
  <c r="BZ206" i="42"/>
  <c r="BZ64" i="42"/>
  <c r="P204" i="42"/>
  <c r="P52" i="42"/>
  <c r="I47" i="42"/>
  <c r="Q58" i="42"/>
  <c r="AV91" i="42"/>
  <c r="BV91" i="42" s="1"/>
  <c r="BU91" i="42"/>
  <c r="Q85" i="42"/>
  <c r="BS69" i="42"/>
  <c r="I68" i="42"/>
  <c r="BQ48" i="42"/>
  <c r="AS48" i="42"/>
  <c r="Q212" i="42"/>
  <c r="Q46" i="42"/>
  <c r="BM44" i="42"/>
  <c r="BX41" i="42"/>
  <c r="BX44" i="42" s="1"/>
  <c r="Q33" i="42"/>
  <c r="BM209" i="42"/>
  <c r="BU49" i="42"/>
  <c r="AV49" i="42"/>
  <c r="BV49" i="42" s="1"/>
  <c r="AF29" i="42"/>
  <c r="BP26" i="42"/>
  <c r="BP29" i="42" s="1"/>
  <c r="AR26" i="42"/>
  <c r="AH26" i="42"/>
  <c r="AU26" i="42" s="1"/>
  <c r="BT210" i="42"/>
  <c r="P209" i="42"/>
  <c r="BM203" i="42"/>
  <c r="Q205" i="42"/>
  <c r="AT67" i="42"/>
  <c r="BQ210" i="42"/>
  <c r="AF205" i="42"/>
  <c r="BP14" i="42"/>
  <c r="AR14" i="42"/>
  <c r="AH14" i="42"/>
  <c r="AU14" i="42" s="1"/>
  <c r="Q203" i="42"/>
  <c r="AV63" i="42"/>
  <c r="BV63" i="42" s="1"/>
  <c r="BU63" i="42"/>
  <c r="BP53" i="42"/>
  <c r="BP58" i="42" s="1"/>
  <c r="AR53" i="42"/>
  <c r="AF58" i="42"/>
  <c r="BQ37" i="42"/>
  <c r="BR22" i="42"/>
  <c r="BR25" i="42" s="1"/>
  <c r="AV19" i="42"/>
  <c r="BV19" i="42" s="1"/>
  <c r="BU19" i="42"/>
  <c r="BZ209" i="42"/>
  <c r="AS89" i="42"/>
  <c r="AG85" i="42"/>
  <c r="BQ79" i="42"/>
  <c r="BQ85" i="42" s="1"/>
  <c r="AS79" i="42"/>
  <c r="AS85" i="42" s="1"/>
  <c r="AO204" i="42"/>
  <c r="AO202" i="42" s="1"/>
  <c r="AO52" i="42"/>
  <c r="AO199" i="42" s="1"/>
  <c r="AH22" i="47" s="1"/>
  <c r="AQ47" i="42"/>
  <c r="BS47" i="42"/>
  <c r="AT28" i="42"/>
  <c r="BM33" i="42"/>
  <c r="AH95" i="42"/>
  <c r="AV90" i="42"/>
  <c r="BO60" i="42"/>
  <c r="AV60" i="42"/>
  <c r="BV60" i="42" s="1"/>
  <c r="BU60" i="42"/>
  <c r="AV27" i="42"/>
  <c r="BV27" i="42" s="1"/>
  <c r="BU27" i="42"/>
  <c r="Q209" i="42"/>
  <c r="AT57" i="42"/>
  <c r="BU13" i="42"/>
  <c r="AV13" i="42"/>
  <c r="BV13" i="42" s="1"/>
  <c r="BO178" i="42"/>
  <c r="AV178" i="42"/>
  <c r="BV178" i="42" s="1"/>
  <c r="BU178" i="42"/>
  <c r="AH162" i="42"/>
  <c r="AV157" i="42"/>
  <c r="AH138" i="42"/>
  <c r="BM131" i="42"/>
  <c r="BX126" i="42"/>
  <c r="BX131" i="42" s="1"/>
  <c r="AV108" i="42"/>
  <c r="BV108" i="42" s="1"/>
  <c r="BU108" i="42"/>
  <c r="AF131" i="42"/>
  <c r="AH126" i="42"/>
  <c r="AU126" i="42" s="1"/>
  <c r="BP126" i="42"/>
  <c r="BP131" i="42" s="1"/>
  <c r="AR126" i="42"/>
  <c r="BM112" i="42"/>
  <c r="BR99" i="42"/>
  <c r="BK64" i="42"/>
  <c r="BY60" i="42"/>
  <c r="BM60" i="42"/>
  <c r="AV73" i="42"/>
  <c r="BV73" i="42" s="1"/>
  <c r="BU73" i="42"/>
  <c r="AV32" i="42"/>
  <c r="BV32" i="42" s="1"/>
  <c r="BU32" i="42"/>
  <c r="BO32" i="42"/>
  <c r="AV71" i="42"/>
  <c r="BV71" i="42" s="1"/>
  <c r="BU71" i="42"/>
  <c r="AV38" i="42"/>
  <c r="AH40" i="42"/>
  <c r="AV36" i="42"/>
  <c r="BV36" i="42" s="1"/>
  <c r="BU36" i="42"/>
  <c r="BW203" i="42"/>
  <c r="P203" i="42"/>
  <c r="P21" i="42"/>
  <c r="I12" i="42"/>
  <c r="I212" i="42"/>
  <c r="I46" i="42"/>
  <c r="BR76" i="42"/>
  <c r="P210" i="42"/>
  <c r="BX14" i="42"/>
  <c r="J200" i="42"/>
  <c r="AY199" i="42"/>
  <c r="AR22" i="47" s="1"/>
  <c r="BQ166" i="42"/>
  <c r="BP166" i="42"/>
  <c r="P156" i="42"/>
  <c r="AQ198" i="42"/>
  <c r="AT183" i="42"/>
  <c r="AT170" i="42"/>
  <c r="I160" i="42"/>
  <c r="M199" i="42"/>
  <c r="F22" i="47" s="1"/>
  <c r="BP173" i="42"/>
  <c r="BP179" i="42" s="1"/>
  <c r="AF179" i="42"/>
  <c r="AH173" i="42"/>
  <c r="AU173" i="42" s="1"/>
  <c r="AR173" i="42"/>
  <c r="I154" i="42"/>
  <c r="AV187" i="42"/>
  <c r="BV187" i="42" s="1"/>
  <c r="BU187" i="42"/>
  <c r="BO152" i="42"/>
  <c r="AV168" i="42"/>
  <c r="BV168" i="42" s="1"/>
  <c r="BU168" i="42"/>
  <c r="BO168" i="42"/>
  <c r="AT161" i="42"/>
  <c r="AZ161" i="42" s="1"/>
  <c r="AQ185" i="42"/>
  <c r="BR182" i="42"/>
  <c r="BR185" i="42" s="1"/>
  <c r="AQ148" i="42"/>
  <c r="BM125" i="42"/>
  <c r="BX122" i="42"/>
  <c r="BX125" i="42" s="1"/>
  <c r="P105" i="42"/>
  <c r="J199" i="42"/>
  <c r="C22" i="47" s="1"/>
  <c r="BQ153" i="42"/>
  <c r="Q148" i="42"/>
  <c r="BP135" i="42"/>
  <c r="AT120" i="42"/>
  <c r="AZ120" i="42" s="1"/>
  <c r="I110" i="42"/>
  <c r="AS131" i="42"/>
  <c r="BO108" i="42"/>
  <c r="BM179" i="42"/>
  <c r="AT151" i="42"/>
  <c r="BR153" i="42"/>
  <c r="I123" i="42"/>
  <c r="BO104" i="42"/>
  <c r="BS105" i="42"/>
  <c r="BU147" i="42"/>
  <c r="AV147" i="42"/>
  <c r="BV147" i="42" s="1"/>
  <c r="BO70" i="42"/>
  <c r="AT118" i="42"/>
  <c r="AV111" i="42"/>
  <c r="BV111" i="42" s="1"/>
  <c r="BO111" i="42"/>
  <c r="BX97" i="42"/>
  <c r="BX99" i="42" s="1"/>
  <c r="BS99" i="42"/>
  <c r="BS76" i="42"/>
  <c r="Q99" i="42"/>
  <c r="AQ121" i="42"/>
  <c r="BR112" i="42"/>
  <c r="BM95" i="42"/>
  <c r="BX90" i="42"/>
  <c r="BX95" i="42" s="1"/>
  <c r="BT211" i="42"/>
  <c r="BT78" i="42"/>
  <c r="BP95" i="42"/>
  <c r="AV81" i="42"/>
  <c r="BV81" i="42" s="1"/>
  <c r="BU81" i="42"/>
  <c r="BS211" i="42"/>
  <c r="BS78" i="42"/>
  <c r="BT206" i="42"/>
  <c r="BT64" i="42"/>
  <c r="BW204" i="42"/>
  <c r="BW52" i="42"/>
  <c r="I97" i="42"/>
  <c r="AT93" i="42"/>
  <c r="AT68" i="42"/>
  <c r="BS206" i="42"/>
  <c r="BS64" i="42"/>
  <c r="AS99" i="42"/>
  <c r="Q95" i="42"/>
  <c r="AT72" i="42"/>
  <c r="AS76" i="42"/>
  <c r="BK206" i="42"/>
  <c r="BT52" i="42"/>
  <c r="BS212" i="42"/>
  <c r="BS46" i="42"/>
  <c r="AT97" i="42"/>
  <c r="AV94" i="42"/>
  <c r="BV94" i="42" s="1"/>
  <c r="P89" i="42"/>
  <c r="AT84" i="42"/>
  <c r="AT80" i="42"/>
  <c r="AG206" i="42"/>
  <c r="BQ59" i="42"/>
  <c r="AS59" i="42"/>
  <c r="AT59" i="42" s="1"/>
  <c r="AG64" i="42"/>
  <c r="BM58" i="42"/>
  <c r="BX53" i="42"/>
  <c r="BX58" i="42" s="1"/>
  <c r="I35" i="42"/>
  <c r="I23" i="42"/>
  <c r="BO36" i="42"/>
  <c r="BO37" i="42" s="1"/>
  <c r="I30" i="42"/>
  <c r="AV24" i="42"/>
  <c r="BV24" i="42" s="1"/>
  <c r="BU24" i="42"/>
  <c r="AV34" i="42"/>
  <c r="BV34" i="42" s="1"/>
  <c r="AH37" i="42"/>
  <c r="AV67" i="42"/>
  <c r="BV67" i="42" s="1"/>
  <c r="BU67" i="42"/>
  <c r="BS58" i="42"/>
  <c r="P37" i="42"/>
  <c r="P25" i="42"/>
  <c r="AT66" i="42"/>
  <c r="BM212" i="42"/>
  <c r="BM46" i="42"/>
  <c r="AR40" i="42"/>
  <c r="AT38" i="42"/>
  <c r="AQ205" i="42"/>
  <c r="BR14" i="42"/>
  <c r="BR21" i="42" s="1"/>
  <c r="BQ89" i="42"/>
  <c r="BM69" i="42"/>
  <c r="BX65" i="42"/>
  <c r="BX69" i="42" s="1"/>
  <c r="BZ21" i="42"/>
  <c r="AV86" i="42"/>
  <c r="AH89" i="42"/>
  <c r="AG52" i="42"/>
  <c r="AV164" i="42"/>
  <c r="AV175" i="42"/>
  <c r="BV175" i="42" s="1"/>
  <c r="BU175" i="42"/>
  <c r="AV130" i="42"/>
  <c r="BV130" i="42" s="1"/>
  <c r="BU130" i="42"/>
  <c r="BO130" i="42"/>
  <c r="AR105" i="42"/>
  <c r="AT100" i="42"/>
  <c r="BX112" i="42"/>
  <c r="AV117" i="42"/>
  <c r="BV117" i="42" s="1"/>
  <c r="BU117" i="42"/>
  <c r="BO117" i="42"/>
  <c r="I72" i="42"/>
  <c r="AR115" i="42"/>
  <c r="Q204" i="42"/>
  <c r="AR44" i="42"/>
  <c r="AT41" i="42"/>
  <c r="AV87" i="42"/>
  <c r="BV87" i="42" s="1"/>
  <c r="BU87" i="42"/>
  <c r="P85" i="42"/>
  <c r="BS209" i="42"/>
  <c r="AT31" i="42"/>
  <c r="BX192" i="42"/>
  <c r="BX198" i="42" s="1"/>
  <c r="BL199" i="42"/>
  <c r="BE22" i="47" s="1"/>
  <c r="S199" i="42"/>
  <c r="L22" i="47" s="1"/>
  <c r="BU181" i="42"/>
  <c r="AV181" i="42"/>
  <c r="BV181" i="42" s="1"/>
  <c r="BO175" i="42"/>
  <c r="AS166" i="42"/>
  <c r="AT163" i="42"/>
  <c r="AT158" i="42"/>
  <c r="AZ158" i="42" s="1"/>
  <c r="BN158" i="42" s="1"/>
  <c r="P179" i="42"/>
  <c r="I173" i="42"/>
  <c r="BX167" i="42"/>
  <c r="BM166" i="42"/>
  <c r="BX163" i="42"/>
  <c r="BX166" i="42" s="1"/>
  <c r="M200" i="42"/>
  <c r="AH185" i="42"/>
  <c r="AV188" i="42"/>
  <c r="BV188" i="42" s="1"/>
  <c r="BU188" i="42"/>
  <c r="AR145" i="42"/>
  <c r="AT139" i="42"/>
  <c r="AQ145" i="42"/>
  <c r="BR139" i="42"/>
  <c r="BR145" i="42" s="1"/>
  <c r="BO157" i="42"/>
  <c r="Q153" i="42"/>
  <c r="BS162" i="42"/>
  <c r="AH146" i="42"/>
  <c r="AU146" i="42" s="1"/>
  <c r="BP146" i="42"/>
  <c r="BP148" i="42" s="1"/>
  <c r="AR146" i="42"/>
  <c r="AF148" i="42"/>
  <c r="AV140" i="42"/>
  <c r="BV140" i="42" s="1"/>
  <c r="BU140" i="42"/>
  <c r="I137" i="42"/>
  <c r="BM162" i="42"/>
  <c r="BV127" i="42"/>
  <c r="P198" i="42"/>
  <c r="Q145" i="42"/>
  <c r="AV134" i="42"/>
  <c r="BV134" i="42" s="1"/>
  <c r="BU134" i="42"/>
  <c r="AT142" i="42"/>
  <c r="BU151" i="42"/>
  <c r="BO151" i="42"/>
  <c r="AV151" i="42"/>
  <c r="BV151" i="42" s="1"/>
  <c r="BQ146" i="42"/>
  <c r="BQ148" i="42" s="1"/>
  <c r="AS146" i="42"/>
  <c r="AS148" i="42" s="1"/>
  <c r="AG148" i="42"/>
  <c r="I129" i="42"/>
  <c r="BX162" i="42"/>
  <c r="Q115" i="42"/>
  <c r="BM105" i="42"/>
  <c r="BX100" i="42"/>
  <c r="BX105" i="42" s="1"/>
  <c r="AQ76" i="42"/>
  <c r="BO109" i="42"/>
  <c r="I142" i="42"/>
  <c r="AV101" i="42"/>
  <c r="BU101" i="42"/>
  <c r="AQ95" i="42"/>
  <c r="BR90" i="42"/>
  <c r="BR95" i="42" s="1"/>
  <c r="AF211" i="42"/>
  <c r="AH77" i="42"/>
  <c r="AU77" i="42" s="1"/>
  <c r="BP77" i="42"/>
  <c r="AR77" i="42"/>
  <c r="AF78" i="42"/>
  <c r="AV107" i="42"/>
  <c r="BV107" i="42" s="1"/>
  <c r="Q105" i="42"/>
  <c r="P99" i="42"/>
  <c r="AF212" i="42"/>
  <c r="BP45" i="42"/>
  <c r="AR45" i="42"/>
  <c r="AF46" i="42"/>
  <c r="AH45" i="42"/>
  <c r="AU45" i="42" s="1"/>
  <c r="I84" i="42"/>
  <c r="AQ212" i="42"/>
  <c r="AQ46" i="42"/>
  <c r="Q206" i="42"/>
  <c r="Q64" i="42"/>
  <c r="W44" i="42"/>
  <c r="BS210" i="42"/>
  <c r="AV97" i="42"/>
  <c r="BV97" i="42" s="1"/>
  <c r="BU97" i="42"/>
  <c r="I66" i="42"/>
  <c r="P206" i="42"/>
  <c r="I59" i="42"/>
  <c r="P64" i="42"/>
  <c r="BY204" i="42"/>
  <c r="BY52" i="42"/>
  <c r="I43" i="42"/>
  <c r="BU39" i="42"/>
  <c r="I39" i="42"/>
  <c r="P40" i="42"/>
  <c r="Q37" i="42"/>
  <c r="Q25" i="42"/>
  <c r="AH48" i="42"/>
  <c r="AU48" i="42" s="1"/>
  <c r="BX25" i="42"/>
  <c r="Q210" i="42"/>
  <c r="AR37" i="42"/>
  <c r="AT34" i="42"/>
  <c r="BQ69" i="42"/>
  <c r="I61" i="42"/>
  <c r="I34" i="42"/>
  <c r="AF33" i="42"/>
  <c r="BP30" i="42"/>
  <c r="BP33" i="42" s="1"/>
  <c r="AR30" i="42"/>
  <c r="AH30" i="42"/>
  <c r="AU30" i="42" s="1"/>
  <c r="AG209" i="42"/>
  <c r="BQ17" i="42"/>
  <c r="AS17" i="42"/>
  <c r="AS21" i="42" s="1"/>
  <c r="AH17" i="42"/>
  <c r="AU17" i="42" s="1"/>
  <c r="BY212" i="42"/>
  <c r="BY46" i="42"/>
  <c r="P44" i="42"/>
  <c r="BP40" i="42"/>
  <c r="AV20" i="42"/>
  <c r="BV20" i="42" s="1"/>
  <c r="BU20" i="42"/>
  <c r="AS210" i="42"/>
  <c r="AF25" i="42"/>
  <c r="BP22" i="42"/>
  <c r="BP25" i="42" s="1"/>
  <c r="AR22" i="42"/>
  <c r="AH22" i="42"/>
  <c r="AU22" i="42" s="1"/>
  <c r="BY69" i="42"/>
  <c r="AV15" i="42"/>
  <c r="BV15" i="42" s="1"/>
  <c r="AF203" i="42"/>
  <c r="AF21" i="42"/>
  <c r="AH12" i="42"/>
  <c r="AU12" i="42" s="1"/>
  <c r="BP12" i="42"/>
  <c r="AR12" i="42"/>
  <c r="BW206" i="42"/>
  <c r="BW64" i="42"/>
  <c r="BZ203" i="42"/>
  <c r="BM29" i="42"/>
  <c r="AT20" i="42"/>
  <c r="BY15" i="42"/>
  <c r="BM15" i="42"/>
  <c r="BM205" i="42" s="1"/>
  <c r="I13" i="42"/>
  <c r="BU57" i="42"/>
  <c r="AV57" i="42"/>
  <c r="BV57" i="42" s="1"/>
  <c r="BT203" i="42"/>
  <c r="AV195" i="42"/>
  <c r="BV195" i="42" s="1"/>
  <c r="BU195" i="42"/>
  <c r="AT189" i="42"/>
  <c r="AR156" i="42"/>
  <c r="AT154" i="42"/>
  <c r="AH169" i="42"/>
  <c r="AU169" i="42" s="1"/>
  <c r="BP169" i="42"/>
  <c r="BP172" i="42" s="1"/>
  <c r="AR169" i="42"/>
  <c r="AT169" i="42" s="1"/>
  <c r="P148" i="42"/>
  <c r="AV132" i="42"/>
  <c r="AH135" i="42"/>
  <c r="I114" i="42"/>
  <c r="BR212" i="42"/>
  <c r="BR46" i="42"/>
  <c r="I31" i="42"/>
  <c r="AP58" i="42"/>
  <c r="AP199" i="42" s="1"/>
  <c r="BT53" i="42"/>
  <c r="BT58" i="42" s="1"/>
  <c r="V204" i="42"/>
  <c r="V52" i="42"/>
  <c r="AF47" i="42"/>
  <c r="AV192" i="42"/>
  <c r="BV192" i="42" s="1"/>
  <c r="BU192" i="42"/>
  <c r="AF191" i="42"/>
  <c r="AR186" i="42"/>
  <c r="AH186" i="42"/>
  <c r="AU186" i="42" s="1"/>
  <c r="BP186" i="42"/>
  <c r="BP191" i="42" s="1"/>
  <c r="AQ179" i="42"/>
  <c r="AT171" i="42"/>
  <c r="AZ171" i="42" s="1"/>
  <c r="I183" i="42"/>
  <c r="I168" i="42"/>
  <c r="AS162" i="42"/>
  <c r="S200" i="42"/>
  <c r="Q162" i="42"/>
  <c r="BU177" i="42"/>
  <c r="AV177" i="42"/>
  <c r="AT188" i="42"/>
  <c r="BQ173" i="42"/>
  <c r="BQ179" i="42" s="1"/>
  <c r="AS173" i="42"/>
  <c r="AS179" i="42" s="1"/>
  <c r="AG179" i="42"/>
  <c r="BR154" i="42"/>
  <c r="BR156" i="42" s="1"/>
  <c r="AQ156" i="42"/>
  <c r="I149" i="42"/>
  <c r="AT144" i="42"/>
  <c r="BQ186" i="42"/>
  <c r="BQ191" i="42" s="1"/>
  <c r="AS186" i="42"/>
  <c r="AS191" i="42" s="1"/>
  <c r="AG191" i="42"/>
  <c r="Q179" i="42"/>
  <c r="P162" i="42"/>
  <c r="BX136" i="42"/>
  <c r="BX138" i="42" s="1"/>
  <c r="AV155" i="42"/>
  <c r="BV155" i="42" s="1"/>
  <c r="AV149" i="42"/>
  <c r="BV149" i="42" s="1"/>
  <c r="BU149" i="42"/>
  <c r="BY131" i="42"/>
  <c r="BQ116" i="42"/>
  <c r="BQ121" i="42" s="1"/>
  <c r="AS116" i="42"/>
  <c r="AS121" i="42" s="1"/>
  <c r="AG121" i="42"/>
  <c r="AH116" i="42"/>
  <c r="AU116" i="42" s="1"/>
  <c r="AS198" i="42"/>
  <c r="Q198" i="42"/>
  <c r="BU133" i="42"/>
  <c r="AT130" i="42"/>
  <c r="AT149" i="42"/>
  <c r="P145" i="42"/>
  <c r="I136" i="42"/>
  <c r="BO147" i="42"/>
  <c r="AT137" i="42"/>
  <c r="AQ131" i="42"/>
  <c r="BR126" i="42"/>
  <c r="BR131" i="42" s="1"/>
  <c r="BR122" i="42"/>
  <c r="BR125" i="42" s="1"/>
  <c r="AQ125" i="42"/>
  <c r="BM121" i="42"/>
  <c r="BX116" i="42"/>
  <c r="BX121" i="42" s="1"/>
  <c r="AT104" i="42"/>
  <c r="I103" i="42"/>
  <c r="BR211" i="42"/>
  <c r="BR78" i="42"/>
  <c r="BU118" i="42"/>
  <c r="AV118" i="42"/>
  <c r="BV118" i="42" s="1"/>
  <c r="AT108" i="42"/>
  <c r="I88" i="42"/>
  <c r="BW211" i="42"/>
  <c r="BW78" i="42"/>
  <c r="I80" i="42"/>
  <c r="BV100" i="42"/>
  <c r="BO73" i="42"/>
  <c r="I150" i="42"/>
  <c r="AV113" i="42"/>
  <c r="BV113" i="42" s="1"/>
  <c r="I111" i="42"/>
  <c r="AV83" i="42"/>
  <c r="BV83" i="42" s="1"/>
  <c r="BU83" i="42"/>
  <c r="I73" i="42"/>
  <c r="AR85" i="42"/>
  <c r="BP65" i="42"/>
  <c r="BP69" i="42" s="1"/>
  <c r="AR65" i="42"/>
  <c r="AH65" i="42"/>
  <c r="AU65" i="42" s="1"/>
  <c r="AF69" i="42"/>
  <c r="BT43" i="42"/>
  <c r="BT209" i="42" s="1"/>
  <c r="AQ43" i="42"/>
  <c r="AV96" i="42"/>
  <c r="AH99" i="42"/>
  <c r="AV93" i="42"/>
  <c r="BV93" i="42" s="1"/>
  <c r="BU93" i="42"/>
  <c r="BO93" i="42"/>
  <c r="AQ211" i="42"/>
  <c r="AQ78" i="42"/>
  <c r="AT74" i="42"/>
  <c r="BU68" i="42"/>
  <c r="AV68" i="42"/>
  <c r="BV68" i="42" s="1"/>
  <c r="AV75" i="42"/>
  <c r="BV75" i="42" s="1"/>
  <c r="BU75" i="42"/>
  <c r="BU72" i="42"/>
  <c r="AV72" i="42"/>
  <c r="BV72" i="42" s="1"/>
  <c r="BT212" i="42"/>
  <c r="BT46" i="42"/>
  <c r="AT141" i="42"/>
  <c r="P115" i="42"/>
  <c r="BU80" i="42"/>
  <c r="AV80" i="42"/>
  <c r="BV80" i="42" s="1"/>
  <c r="I50" i="42"/>
  <c r="BX47" i="42"/>
  <c r="Q40" i="42"/>
  <c r="I27" i="42"/>
  <c r="I19" i="42"/>
  <c r="AT114" i="42"/>
  <c r="I24" i="42"/>
  <c r="AG21" i="42"/>
  <c r="BQ205" i="42"/>
  <c r="BY203" i="42"/>
  <c r="BP37" i="42"/>
  <c r="AT73" i="42"/>
  <c r="BR65" i="42"/>
  <c r="BR69" i="42" s="1"/>
  <c r="AQ53" i="42"/>
  <c r="AV28" i="42"/>
  <c r="BV28" i="42" s="1"/>
  <c r="BU28" i="42"/>
  <c r="BO28" i="42"/>
  <c r="W209" i="42"/>
  <c r="AT71" i="42"/>
  <c r="Q69" i="42"/>
  <c r="BR64" i="42"/>
  <c r="AF210" i="42"/>
  <c r="BP18" i="42"/>
  <c r="BP210" i="42" s="1"/>
  <c r="AR18" i="42"/>
  <c r="AH18" i="42"/>
  <c r="AU18" i="42" s="1"/>
  <c r="AV16" i="42"/>
  <c r="BV16" i="42" s="1"/>
  <c r="BU16" i="42"/>
  <c r="BO16" i="42"/>
  <c r="AV61" i="42"/>
  <c r="BV61" i="42" s="1"/>
  <c r="BU61" i="42"/>
  <c r="AV42" i="42"/>
  <c r="BV42" i="42" s="1"/>
  <c r="BU42" i="42"/>
  <c r="BM210" i="42"/>
  <c r="BO42" i="42"/>
  <c r="BX38" i="42"/>
  <c r="BX40" i="42" s="1"/>
  <c r="BP64" i="42"/>
  <c r="BM37" i="42"/>
  <c r="J202" i="42"/>
  <c r="AS37" i="42"/>
  <c r="AQ21" i="42"/>
  <c r="AR185" i="42"/>
  <c r="AT180" i="42"/>
  <c r="BU98" i="42"/>
  <c r="I98" i="42"/>
  <c r="BU62" i="42"/>
  <c r="I62" i="42"/>
  <c r="BL200" i="42"/>
  <c r="AT193" i="42"/>
  <c r="AV190" i="42"/>
  <c r="BV190" i="42" s="1"/>
  <c r="BU190" i="42"/>
  <c r="AH194" i="42"/>
  <c r="BP194" i="42"/>
  <c r="BP198" i="42" s="1"/>
  <c r="AR194" i="42"/>
  <c r="AT194" i="42" s="1"/>
  <c r="BO193" i="42"/>
  <c r="BR157" i="42"/>
  <c r="BR162" i="42" s="1"/>
  <c r="AQ162" i="42"/>
  <c r="AH150" i="42"/>
  <c r="AU150" i="42" s="1"/>
  <c r="BP150" i="42"/>
  <c r="BP153" i="42" s="1"/>
  <c r="AR150" i="42"/>
  <c r="BX132" i="42"/>
  <c r="BX135" i="42" s="1"/>
  <c r="AT165" i="42"/>
  <c r="AF153" i="42"/>
  <c r="BQ198" i="42"/>
  <c r="I102" i="42"/>
  <c r="P166" i="42"/>
  <c r="AV142" i="42"/>
  <c r="BV142" i="42" s="1"/>
  <c r="BU142" i="42"/>
  <c r="I104" i="42"/>
  <c r="BQ106" i="42"/>
  <c r="BQ112" i="42" s="1"/>
  <c r="AS106" i="42"/>
  <c r="AG112" i="42"/>
  <c r="Q211" i="42"/>
  <c r="Q78" i="42"/>
  <c r="AH122" i="42"/>
  <c r="AU122" i="42" s="1"/>
  <c r="AF125" i="42"/>
  <c r="BP122" i="42"/>
  <c r="BP125" i="42" s="1"/>
  <c r="AR122" i="42"/>
  <c r="AV103" i="42"/>
  <c r="BU103" i="42"/>
  <c r="AG211" i="42"/>
  <c r="BQ77" i="42"/>
  <c r="AS77" i="42"/>
  <c r="AG78" i="42"/>
  <c r="P138" i="42"/>
  <c r="I94" i="42"/>
  <c r="AV102" i="42"/>
  <c r="BV102" i="42" s="1"/>
  <c r="BU102" i="42"/>
  <c r="AR89" i="42"/>
  <c r="AT86" i="42"/>
  <c r="BQ43" i="42"/>
  <c r="BQ44" i="42" s="1"/>
  <c r="AS43" i="42"/>
  <c r="AT43" i="42" s="1"/>
  <c r="AG44" i="42"/>
  <c r="AV92" i="42"/>
  <c r="BV92" i="42" s="1"/>
  <c r="AV141" i="42"/>
  <c r="BU141" i="42"/>
  <c r="AQ112" i="42"/>
  <c r="AR99" i="42"/>
  <c r="AT96" i="42"/>
  <c r="AR76" i="42"/>
  <c r="AT70" i="42"/>
  <c r="I55" i="42"/>
  <c r="BX212" i="42"/>
  <c r="BX46" i="42"/>
  <c r="BY44" i="42"/>
  <c r="Q29" i="42"/>
  <c r="I26" i="42"/>
  <c r="AV114" i="42"/>
  <c r="BV114" i="42" s="1"/>
  <c r="BU114" i="42"/>
  <c r="W58" i="42"/>
  <c r="AG53" i="42"/>
  <c r="AH53" i="42" s="1"/>
  <c r="AU53" i="42" s="1"/>
  <c r="BX37" i="42"/>
  <c r="BS203" i="42"/>
  <c r="BS21" i="42"/>
  <c r="S202" i="42"/>
  <c r="I91" i="42"/>
  <c r="AV54" i="42"/>
  <c r="BV54" i="42" s="1"/>
  <c r="BU54" i="42"/>
  <c r="AH43" i="42"/>
  <c r="AU43" i="42" s="1"/>
  <c r="BL202" i="42"/>
  <c r="BO54" i="42"/>
  <c r="AT63" i="42"/>
  <c r="BX33" i="42"/>
  <c r="I20" i="42"/>
  <c r="BW21" i="42"/>
  <c r="AG203" i="42"/>
  <c r="BY210" i="42"/>
  <c r="AS95" i="42"/>
  <c r="P33" i="42"/>
  <c r="BR26" i="42"/>
  <c r="BR29" i="42" s="1"/>
  <c r="BT205" i="42"/>
  <c r="M202" i="42"/>
  <c r="BO67" i="42"/>
  <c r="AH59" i="42"/>
  <c r="AU59" i="42" s="1"/>
  <c r="AV56" i="42"/>
  <c r="BV56" i="42" s="1"/>
  <c r="BO56" i="42"/>
  <c r="BZ204" i="42"/>
  <c r="BZ52" i="42"/>
  <c r="BS205" i="42"/>
  <c r="BO20" i="42"/>
  <c r="AQ203" i="42"/>
  <c r="BR43" i="41"/>
  <c r="BX43" i="41"/>
  <c r="AH58" i="41"/>
  <c r="BO51" i="41"/>
  <c r="AV51" i="41"/>
  <c r="BU51" i="41"/>
  <c r="BX135" i="41"/>
  <c r="BX137" i="41" s="1"/>
  <c r="BU135" i="41"/>
  <c r="AV135" i="41"/>
  <c r="BV135" i="41" s="1"/>
  <c r="AV125" i="41"/>
  <c r="BO125" i="41"/>
  <c r="AF124" i="41"/>
  <c r="BP121" i="41"/>
  <c r="BP124" i="41" s="1"/>
  <c r="AH121" i="41"/>
  <c r="AU121" i="41" s="1"/>
  <c r="AR121" i="41"/>
  <c r="AG151" i="41"/>
  <c r="AS104" i="41"/>
  <c r="AS151" i="41" s="1"/>
  <c r="BQ104" i="41"/>
  <c r="BQ151" i="41" s="1"/>
  <c r="Q93" i="41"/>
  <c r="Q36" i="41"/>
  <c r="AS149" i="41"/>
  <c r="BT21" i="41"/>
  <c r="AT15" i="41"/>
  <c r="AQ43" i="41"/>
  <c r="BX148" i="41"/>
  <c r="AQ149" i="41"/>
  <c r="AQ21" i="41"/>
  <c r="BR17" i="41"/>
  <c r="BZ142" i="41"/>
  <c r="BZ16" i="41"/>
  <c r="P143" i="41"/>
  <c r="AR27" i="41"/>
  <c r="BM145" i="41"/>
  <c r="AH62" i="41"/>
  <c r="AU62" i="41" s="1"/>
  <c r="AS62" i="41"/>
  <c r="AG65" i="41"/>
  <c r="BQ62" i="41"/>
  <c r="BQ65" i="41" s="1"/>
  <c r="AV14" i="41"/>
  <c r="BV14" i="41" s="1"/>
  <c r="BU14" i="41"/>
  <c r="AR149" i="41"/>
  <c r="P137" i="41"/>
  <c r="I132" i="41"/>
  <c r="BO135" i="41"/>
  <c r="BU128" i="41"/>
  <c r="AV128" i="41"/>
  <c r="BV128" i="41" s="1"/>
  <c r="BP131" i="41"/>
  <c r="BP137" i="41" s="1"/>
  <c r="AR131" i="41"/>
  <c r="AH131" i="41"/>
  <c r="AU131" i="41" s="1"/>
  <c r="AF137" i="41"/>
  <c r="AF130" i="41"/>
  <c r="I115" i="41"/>
  <c r="AT106" i="41"/>
  <c r="AR112" i="41"/>
  <c r="AV133" i="41"/>
  <c r="BV133" i="41" s="1"/>
  <c r="BU133" i="41"/>
  <c r="BO133" i="41"/>
  <c r="BR121" i="41"/>
  <c r="BR124" i="41" s="1"/>
  <c r="AT111" i="41"/>
  <c r="Q151" i="41"/>
  <c r="Q124" i="41"/>
  <c r="BU134" i="41"/>
  <c r="AV134" i="41"/>
  <c r="BV134" i="41" s="1"/>
  <c r="BQ130" i="41"/>
  <c r="AT122" i="41"/>
  <c r="AT86" i="41"/>
  <c r="AT78" i="41"/>
  <c r="AZ78" i="41" s="1"/>
  <c r="AH87" i="41"/>
  <c r="AV84" i="41"/>
  <c r="BV84" i="41" s="1"/>
  <c r="BY72" i="41"/>
  <c r="BX125" i="41"/>
  <c r="BX130" i="41" s="1"/>
  <c r="P112" i="41"/>
  <c r="AV94" i="41"/>
  <c r="Q72" i="41"/>
  <c r="BS58" i="41"/>
  <c r="AV42" i="41"/>
  <c r="BV42" i="41" s="1"/>
  <c r="BU42" i="41"/>
  <c r="BR145" i="41"/>
  <c r="BW150" i="41"/>
  <c r="BW29" i="41"/>
  <c r="BW108" i="41"/>
  <c r="BW112" i="41" s="1"/>
  <c r="AY112" i="41"/>
  <c r="AY138" i="41" s="1"/>
  <c r="BS83" i="41"/>
  <c r="Q83" i="41"/>
  <c r="AT69" i="41"/>
  <c r="AV48" i="41"/>
  <c r="BV48" i="41" s="1"/>
  <c r="BU48" i="41"/>
  <c r="BX30" i="41"/>
  <c r="BX36" i="41" s="1"/>
  <c r="AT56" i="41"/>
  <c r="BS43" i="41"/>
  <c r="AV96" i="41"/>
  <c r="BV96" i="41" s="1"/>
  <c r="BU96" i="41"/>
  <c r="BO42" i="41"/>
  <c r="AV37" i="41"/>
  <c r="BV37" i="41" s="1"/>
  <c r="S139" i="41"/>
  <c r="AH149" i="41"/>
  <c r="BU19" i="41"/>
  <c r="AV19" i="41"/>
  <c r="BV19" i="41" s="1"/>
  <c r="I22" i="41"/>
  <c r="P27" i="41"/>
  <c r="BZ143" i="41"/>
  <c r="BZ21" i="41"/>
  <c r="BQ148" i="41"/>
  <c r="BX58" i="41"/>
  <c r="BU41" i="41"/>
  <c r="BO41" i="41"/>
  <c r="AV41" i="41"/>
  <c r="BV41" i="41" s="1"/>
  <c r="AF21" i="41"/>
  <c r="BP17" i="41"/>
  <c r="AR17" i="41"/>
  <c r="AH17" i="41"/>
  <c r="AU17" i="41" s="1"/>
  <c r="BL141" i="41"/>
  <c r="BU77" i="41"/>
  <c r="AV77" i="41"/>
  <c r="BV77" i="41" s="1"/>
  <c r="AH40" i="41"/>
  <c r="AU40" i="41" s="1"/>
  <c r="BP40" i="41"/>
  <c r="AR40" i="41"/>
  <c r="AT40" i="41" s="1"/>
  <c r="AF43" i="41"/>
  <c r="BY142" i="41"/>
  <c r="AQ145" i="41"/>
  <c r="BO14" i="41"/>
  <c r="BM149" i="41"/>
  <c r="AT20" i="41"/>
  <c r="AS21" i="41"/>
  <c r="P79" i="41"/>
  <c r="BU73" i="41"/>
  <c r="I73" i="41"/>
  <c r="AH112" i="41"/>
  <c r="AV106" i="41"/>
  <c r="P145" i="41"/>
  <c r="AV55" i="41"/>
  <c r="BV55" i="41" s="1"/>
  <c r="AT89" i="41"/>
  <c r="AT133" i="41"/>
  <c r="AT136" i="41"/>
  <c r="BQ137" i="41"/>
  <c r="BS130" i="41"/>
  <c r="AF120" i="41"/>
  <c r="BP113" i="41"/>
  <c r="AH113" i="41"/>
  <c r="AU113" i="41" s="1"/>
  <c r="AR113" i="41"/>
  <c r="AV108" i="41"/>
  <c r="BV108" i="41" s="1"/>
  <c r="BU108" i="41"/>
  <c r="BO111" i="41"/>
  <c r="BU111" i="41"/>
  <c r="AV111" i="41"/>
  <c r="BV111" i="41" s="1"/>
  <c r="BX94" i="41"/>
  <c r="BX97" i="41" s="1"/>
  <c r="BM97" i="41"/>
  <c r="BM93" i="41"/>
  <c r="BY115" i="41"/>
  <c r="BY120" i="41" s="1"/>
  <c r="BM115" i="41"/>
  <c r="BX115" i="41" s="1"/>
  <c r="AT134" i="41"/>
  <c r="AS130" i="41"/>
  <c r="AS121" i="41"/>
  <c r="AS124" i="41" s="1"/>
  <c r="AG124" i="41"/>
  <c r="BQ121" i="41"/>
  <c r="BQ124" i="41" s="1"/>
  <c r="AV118" i="41"/>
  <c r="BV118" i="41" s="1"/>
  <c r="BU117" i="41"/>
  <c r="AV117" i="41"/>
  <c r="BV117" i="41" s="1"/>
  <c r="BR106" i="41"/>
  <c r="BR112" i="41" s="1"/>
  <c r="AQ112" i="41"/>
  <c r="BW105" i="41"/>
  <c r="BO87" i="41"/>
  <c r="BR72" i="41"/>
  <c r="I51" i="41"/>
  <c r="P58" i="41"/>
  <c r="I75" i="41"/>
  <c r="AT37" i="41"/>
  <c r="AG150" i="41"/>
  <c r="BQ28" i="41"/>
  <c r="AS28" i="41"/>
  <c r="AG29" i="41"/>
  <c r="AQ83" i="41"/>
  <c r="I69" i="41"/>
  <c r="BQ51" i="41"/>
  <c r="BQ58" i="41" s="1"/>
  <c r="AS51" i="41"/>
  <c r="AG58" i="41"/>
  <c r="I34" i="41"/>
  <c r="P72" i="41"/>
  <c r="AV45" i="41"/>
  <c r="BV45" i="41" s="1"/>
  <c r="BM72" i="41"/>
  <c r="P65" i="41"/>
  <c r="AT60" i="41"/>
  <c r="AV56" i="41"/>
  <c r="BV56" i="41" s="1"/>
  <c r="BU56" i="41"/>
  <c r="BO56" i="41"/>
  <c r="Q43" i="41"/>
  <c r="BT145" i="41"/>
  <c r="M139" i="41"/>
  <c r="AV46" i="41"/>
  <c r="BV46" i="41" s="1"/>
  <c r="AT39" i="41"/>
  <c r="AQ148" i="41"/>
  <c r="BT142" i="41"/>
  <c r="BT16" i="41"/>
  <c r="BT36" i="41"/>
  <c r="BM27" i="41"/>
  <c r="BX22" i="41"/>
  <c r="BX27" i="41" s="1"/>
  <c r="BY18" i="41"/>
  <c r="BY21" i="41" s="1"/>
  <c r="BM18" i="41"/>
  <c r="BW142" i="41"/>
  <c r="BW16" i="41"/>
  <c r="AT77" i="41"/>
  <c r="BU23" i="41"/>
  <c r="BO23" i="41"/>
  <c r="AV23" i="41"/>
  <c r="BV23" i="41" s="1"/>
  <c r="I39" i="41"/>
  <c r="I20" i="41"/>
  <c r="AV20" i="41"/>
  <c r="BV20" i="41" s="1"/>
  <c r="BO20" i="41"/>
  <c r="BU20" i="41"/>
  <c r="I123" i="41"/>
  <c r="AV123" i="41"/>
  <c r="BV123" i="41" s="1"/>
  <c r="BU123" i="41"/>
  <c r="AV129" i="41"/>
  <c r="BV129" i="41" s="1"/>
  <c r="BO129" i="41"/>
  <c r="BX113" i="41"/>
  <c r="AV116" i="41"/>
  <c r="BV116" i="41" s="1"/>
  <c r="AV99" i="41"/>
  <c r="BV99" i="41" s="1"/>
  <c r="AT44" i="41"/>
  <c r="I76" i="41"/>
  <c r="AV64" i="41"/>
  <c r="BV64" i="41" s="1"/>
  <c r="BU64" i="41"/>
  <c r="AH83" i="41"/>
  <c r="BU80" i="41"/>
  <c r="AV80" i="41"/>
  <c r="BV80" i="41" s="1"/>
  <c r="BX72" i="41"/>
  <c r="BM150" i="41"/>
  <c r="BM29" i="41"/>
  <c r="BX28" i="41"/>
  <c r="BZ137" i="41"/>
  <c r="AV136" i="41"/>
  <c r="BV136" i="41" s="1"/>
  <c r="BU136" i="41"/>
  <c r="BX124" i="41"/>
  <c r="AS137" i="41"/>
  <c r="AF151" i="41"/>
  <c r="BP104" i="41"/>
  <c r="BP151" i="41" s="1"/>
  <c r="AR104" i="41"/>
  <c r="AH104" i="41"/>
  <c r="AU104" i="41" s="1"/>
  <c r="AR115" i="41"/>
  <c r="AT115" i="41" s="1"/>
  <c r="BP115" i="41"/>
  <c r="AH115" i="41"/>
  <c r="AU115" i="41" s="1"/>
  <c r="AQ130" i="41"/>
  <c r="BM124" i="41"/>
  <c r="BU109" i="41"/>
  <c r="AV109" i="41"/>
  <c r="BV109" i="41" s="1"/>
  <c r="BQ88" i="41"/>
  <c r="BQ93" i="41" s="1"/>
  <c r="AG93" i="41"/>
  <c r="AS88" i="41"/>
  <c r="AS93" i="41" s="1"/>
  <c r="P120" i="41"/>
  <c r="BO106" i="41"/>
  <c r="Q130" i="41"/>
  <c r="I118" i="41"/>
  <c r="AS113" i="41"/>
  <c r="AS120" i="41" s="1"/>
  <c r="AG120" i="41"/>
  <c r="BQ113" i="41"/>
  <c r="BQ120" i="41" s="1"/>
  <c r="AT90" i="41"/>
  <c r="BQ97" i="41"/>
  <c r="BX59" i="41"/>
  <c r="BX61" i="41" s="1"/>
  <c r="BM61" i="41"/>
  <c r="Q58" i="41"/>
  <c r="AV110" i="41"/>
  <c r="BV110" i="41" s="1"/>
  <c r="P97" i="41"/>
  <c r="AS112" i="41"/>
  <c r="BM112" i="41"/>
  <c r="Q145" i="41"/>
  <c r="P150" i="41"/>
  <c r="P29" i="41"/>
  <c r="I28" i="41"/>
  <c r="BU85" i="41"/>
  <c r="AV85" i="41"/>
  <c r="BV85" i="41" s="1"/>
  <c r="BY79" i="41"/>
  <c r="BO55" i="41"/>
  <c r="BP47" i="41"/>
  <c r="AR47" i="41"/>
  <c r="AT47" i="41" s="1"/>
  <c r="AH47" i="41"/>
  <c r="BW145" i="41"/>
  <c r="AV91" i="41"/>
  <c r="BV91" i="41" s="1"/>
  <c r="BP83" i="41"/>
  <c r="I60" i="41"/>
  <c r="I61" i="41" s="1"/>
  <c r="BR52" i="41"/>
  <c r="BR58" i="41" s="1"/>
  <c r="AQ58" i="41"/>
  <c r="Q50" i="41"/>
  <c r="BV90" i="41"/>
  <c r="AQ72" i="41"/>
  <c r="AV60" i="41"/>
  <c r="I46" i="41"/>
  <c r="BO68" i="41"/>
  <c r="AV68" i="41"/>
  <c r="BV68" i="41" s="1"/>
  <c r="BK138" i="41"/>
  <c r="BT148" i="41"/>
  <c r="AF93" i="41"/>
  <c r="AH88" i="41"/>
  <c r="AU88" i="41" s="1"/>
  <c r="AR88" i="41"/>
  <c r="BP88" i="41"/>
  <c r="BP93" i="41" s="1"/>
  <c r="AF150" i="41"/>
  <c r="BP28" i="41"/>
  <c r="AR28" i="41"/>
  <c r="AF29" i="41"/>
  <c r="AH28" i="41"/>
  <c r="AU28" i="41" s="1"/>
  <c r="BU25" i="41"/>
  <c r="AV25" i="41"/>
  <c r="BV25" i="41" s="1"/>
  <c r="Q149" i="41"/>
  <c r="P36" i="41"/>
  <c r="I30" i="41"/>
  <c r="BM142" i="41"/>
  <c r="BR19" i="41"/>
  <c r="AT32" i="41"/>
  <c r="AZ32" i="41" s="1"/>
  <c r="BN32" i="41" s="1"/>
  <c r="AG22" i="41"/>
  <c r="W27" i="41"/>
  <c r="W138" i="41" s="1"/>
  <c r="BT22" i="41"/>
  <c r="BT27" i="41" s="1"/>
  <c r="AP27" i="41"/>
  <c r="AP138" i="41" s="1"/>
  <c r="BT58" i="41"/>
  <c r="BM43" i="41"/>
  <c r="BS145" i="41"/>
  <c r="BU24" i="41"/>
  <c r="AV24" i="41"/>
  <c r="BV24" i="41" s="1"/>
  <c r="BO24" i="41"/>
  <c r="BO19" i="41"/>
  <c r="BL138" i="41"/>
  <c r="AG142" i="41"/>
  <c r="BQ12" i="41"/>
  <c r="AS12" i="41"/>
  <c r="AG16" i="41"/>
  <c r="AH12" i="41"/>
  <c r="AU12" i="41" s="1"/>
  <c r="AT35" i="41"/>
  <c r="Q27" i="41"/>
  <c r="AV38" i="41"/>
  <c r="BV38" i="41" s="1"/>
  <c r="BU38" i="41"/>
  <c r="I24" i="41"/>
  <c r="Q143" i="41"/>
  <c r="Q21" i="41"/>
  <c r="BX16" i="41"/>
  <c r="AR36" i="41"/>
  <c r="I13" i="41"/>
  <c r="Q148" i="41"/>
  <c r="BP16" i="41"/>
  <c r="BR130" i="41"/>
  <c r="AV114" i="41"/>
  <c r="BV114" i="41" s="1"/>
  <c r="BO114" i="41"/>
  <c r="I114" i="41"/>
  <c r="P105" i="41"/>
  <c r="Q120" i="41"/>
  <c r="AH95" i="41"/>
  <c r="AU95" i="41" s="1"/>
  <c r="AR95" i="41"/>
  <c r="AT95" i="41" s="1"/>
  <c r="BP95" i="41"/>
  <c r="BP97" i="41" s="1"/>
  <c r="AV119" i="41"/>
  <c r="BV119" i="41" s="1"/>
  <c r="BU119" i="41"/>
  <c r="Q87" i="41"/>
  <c r="BY61" i="41"/>
  <c r="AS79" i="41"/>
  <c r="BQ112" i="41"/>
  <c r="AT94" i="41"/>
  <c r="I88" i="41"/>
  <c r="AS87" i="41"/>
  <c r="AV74" i="41"/>
  <c r="BV74" i="41" s="1"/>
  <c r="BO74" i="41"/>
  <c r="AR72" i="41"/>
  <c r="AT66" i="41"/>
  <c r="P83" i="41"/>
  <c r="BU76" i="41"/>
  <c r="AV76" i="41"/>
  <c r="BV76" i="41" s="1"/>
  <c r="BU71" i="41"/>
  <c r="AV71" i="41"/>
  <c r="BV71" i="41" s="1"/>
  <c r="I38" i="41"/>
  <c r="AT80" i="41"/>
  <c r="AR83" i="41"/>
  <c r="AQ50" i="41"/>
  <c r="BR44" i="41"/>
  <c r="BR50" i="41" s="1"/>
  <c r="I40" i="41"/>
  <c r="AG105" i="41"/>
  <c r="P87" i="41"/>
  <c r="Q65" i="41"/>
  <c r="AQ79" i="41"/>
  <c r="BR73" i="41"/>
  <c r="BR79" i="41" s="1"/>
  <c r="BY150" i="41"/>
  <c r="BY29" i="41"/>
  <c r="I25" i="41"/>
  <c r="BY148" i="41"/>
  <c r="Q142" i="41"/>
  <c r="AV39" i="41"/>
  <c r="BV39" i="41" s="1"/>
  <c r="BU39" i="41"/>
  <c r="BO39" i="41"/>
  <c r="BY149" i="41"/>
  <c r="S138" i="41"/>
  <c r="L21" i="47" s="1"/>
  <c r="M141" i="41"/>
  <c r="BW148" i="41"/>
  <c r="AF142" i="41"/>
  <c r="AY141" i="41"/>
  <c r="BY43" i="41"/>
  <c r="BP36" i="41"/>
  <c r="W141" i="41"/>
  <c r="BO38" i="41"/>
  <c r="AV26" i="41"/>
  <c r="BV26" i="41" s="1"/>
  <c r="BU26" i="41"/>
  <c r="AQ22" i="41"/>
  <c r="P149" i="41"/>
  <c r="AQ142" i="41"/>
  <c r="AQ16" i="41"/>
  <c r="BR12" i="41"/>
  <c r="AT14" i="41"/>
  <c r="I19" i="41"/>
  <c r="P124" i="41"/>
  <c r="I127" i="41"/>
  <c r="BY137" i="41"/>
  <c r="AR126" i="41"/>
  <c r="AR145" i="41" s="1"/>
  <c r="AH126" i="41"/>
  <c r="AU126" i="41" s="1"/>
  <c r="BP126" i="41"/>
  <c r="BP130" i="41" s="1"/>
  <c r="BO116" i="41"/>
  <c r="I117" i="41"/>
  <c r="I113" i="41"/>
  <c r="BM105" i="41"/>
  <c r="BO122" i="41"/>
  <c r="AV122" i="41"/>
  <c r="BV122" i="41" s="1"/>
  <c r="BU122" i="41"/>
  <c r="I111" i="41"/>
  <c r="P151" i="41"/>
  <c r="AV81" i="41"/>
  <c r="BV81" i="41" s="1"/>
  <c r="I96" i="41"/>
  <c r="AT84" i="41"/>
  <c r="AR87" i="41"/>
  <c r="BQ79" i="41"/>
  <c r="BO76" i="41"/>
  <c r="AZ70" i="41"/>
  <c r="BN70" i="41" s="1"/>
  <c r="AV86" i="41"/>
  <c r="BV86" i="41" s="1"/>
  <c r="BU86" i="41"/>
  <c r="BO80" i="41"/>
  <c r="AV53" i="41"/>
  <c r="BV53" i="41" s="1"/>
  <c r="AG145" i="41"/>
  <c r="AH31" i="41"/>
  <c r="AU31" i="41" s="1"/>
  <c r="BQ31" i="41"/>
  <c r="AS31" i="41"/>
  <c r="AS145" i="41" s="1"/>
  <c r="AG36" i="41"/>
  <c r="AV103" i="41"/>
  <c r="BV103" i="41" s="1"/>
  <c r="BU103" i="41"/>
  <c r="BM65" i="41"/>
  <c r="AR58" i="41"/>
  <c r="BU89" i="41"/>
  <c r="AV89" i="41"/>
  <c r="BV89" i="41" s="1"/>
  <c r="BS72" i="41"/>
  <c r="AV67" i="41"/>
  <c r="AV33" i="41"/>
  <c r="BV33" i="41" s="1"/>
  <c r="BU33" i="41"/>
  <c r="I31" i="41"/>
  <c r="BS150" i="41"/>
  <c r="BS29" i="41"/>
  <c r="BS36" i="41"/>
  <c r="BQ149" i="41"/>
  <c r="M138" i="41"/>
  <c r="F21" i="47" s="1"/>
  <c r="AQ150" i="41"/>
  <c r="BR28" i="41"/>
  <c r="AQ29" i="41"/>
  <c r="BP149" i="41"/>
  <c r="BK143" i="41"/>
  <c r="BK141" i="41" s="1"/>
  <c r="AR16" i="41"/>
  <c r="P142" i="41"/>
  <c r="I12" i="41"/>
  <c r="P16" i="41"/>
  <c r="BX45" i="41"/>
  <c r="AV35" i="41"/>
  <c r="BV35" i="41" s="1"/>
  <c r="BU35" i="41"/>
  <c r="BM148" i="41"/>
  <c r="AT19" i="41"/>
  <c r="BS142" i="41"/>
  <c r="BX172" i="40"/>
  <c r="BX38" i="40"/>
  <c r="BU163" i="40"/>
  <c r="AV163" i="40"/>
  <c r="BV163" i="40" s="1"/>
  <c r="AT164" i="40"/>
  <c r="BP152" i="40"/>
  <c r="BP155" i="40" s="1"/>
  <c r="AR152" i="40"/>
  <c r="AH152" i="40"/>
  <c r="AU152" i="40" s="1"/>
  <c r="AF155" i="40"/>
  <c r="BO158" i="40"/>
  <c r="AV158" i="40"/>
  <c r="BV158" i="40" s="1"/>
  <c r="BU158" i="40"/>
  <c r="BZ130" i="40"/>
  <c r="BM165" i="40"/>
  <c r="BX162" i="40"/>
  <c r="BX165" i="40" s="1"/>
  <c r="BR163" i="40"/>
  <c r="BR165" i="40" s="1"/>
  <c r="AF165" i="40"/>
  <c r="BP162" i="40"/>
  <c r="BP165" i="40" s="1"/>
  <c r="AR162" i="40"/>
  <c r="AH162" i="40"/>
  <c r="AU162" i="40" s="1"/>
  <c r="AZ149" i="40"/>
  <c r="BN149" i="40" s="1"/>
  <c r="I146" i="40"/>
  <c r="AT148" i="40"/>
  <c r="AY167" i="40"/>
  <c r="BU136" i="40"/>
  <c r="I136" i="40"/>
  <c r="BQ124" i="40"/>
  <c r="BR146" i="40"/>
  <c r="BR151" i="40" s="1"/>
  <c r="BR138" i="40"/>
  <c r="BR144" i="40" s="1"/>
  <c r="AV142" i="40"/>
  <c r="BV142" i="40" s="1"/>
  <c r="BU142" i="40"/>
  <c r="AT139" i="40"/>
  <c r="P144" i="40"/>
  <c r="I138" i="40"/>
  <c r="AV146" i="40"/>
  <c r="BV146" i="40" s="1"/>
  <c r="BQ138" i="40"/>
  <c r="BQ144" i="40" s="1"/>
  <c r="AS138" i="40"/>
  <c r="AS144" i="40" s="1"/>
  <c r="AH138" i="40"/>
  <c r="AU138" i="40" s="1"/>
  <c r="AG144" i="40"/>
  <c r="P130" i="40"/>
  <c r="BX119" i="40"/>
  <c r="BX124" i="40" s="1"/>
  <c r="BM124" i="40"/>
  <c r="AF118" i="40"/>
  <c r="BP115" i="40"/>
  <c r="BP118" i="40" s="1"/>
  <c r="AR115" i="40"/>
  <c r="AH115" i="40"/>
  <c r="AU115" i="40" s="1"/>
  <c r="W108" i="40"/>
  <c r="W166" i="40" s="1"/>
  <c r="AG103" i="40"/>
  <c r="AT117" i="40"/>
  <c r="AQ103" i="40"/>
  <c r="BS103" i="40"/>
  <c r="BS108" i="40" s="1"/>
  <c r="AO108" i="40"/>
  <c r="AT94" i="40"/>
  <c r="AU110" i="40"/>
  <c r="AV109" i="40"/>
  <c r="AV110" i="40" s="1"/>
  <c r="AH110" i="40"/>
  <c r="BX89" i="40"/>
  <c r="BX92" i="40" s="1"/>
  <c r="BR84" i="40"/>
  <c r="BR88" i="40" s="1"/>
  <c r="Q81" i="40"/>
  <c r="AH67" i="40"/>
  <c r="AV61" i="40"/>
  <c r="BV61" i="40" s="1"/>
  <c r="BU61" i="40"/>
  <c r="BM178" i="40"/>
  <c r="BM53" i="40"/>
  <c r="AR103" i="40"/>
  <c r="BR78" i="40"/>
  <c r="BR81" i="40" s="1"/>
  <c r="AT73" i="40"/>
  <c r="AV107" i="40"/>
  <c r="BV107" i="40" s="1"/>
  <c r="BU107" i="40"/>
  <c r="BP89" i="40"/>
  <c r="BP92" i="40" s="1"/>
  <c r="AR89" i="40"/>
  <c r="AF92" i="40"/>
  <c r="AH89" i="40"/>
  <c r="AU89" i="40" s="1"/>
  <c r="AV63" i="40"/>
  <c r="BV63" i="40" s="1"/>
  <c r="BU63" i="40"/>
  <c r="AT70" i="40"/>
  <c r="I66" i="40"/>
  <c r="I69" i="40"/>
  <c r="BU47" i="40"/>
  <c r="BO47" i="40"/>
  <c r="AV47" i="40"/>
  <c r="BV47" i="40" s="1"/>
  <c r="BY40" i="40"/>
  <c r="BM40" i="40"/>
  <c r="BM44" i="40" s="1"/>
  <c r="BZ172" i="40"/>
  <c r="BZ38" i="40"/>
  <c r="BM177" i="40"/>
  <c r="BX30" i="40"/>
  <c r="BX177" i="40" s="1"/>
  <c r="AT84" i="40"/>
  <c r="AT62" i="40"/>
  <c r="BW173" i="40"/>
  <c r="P44" i="40"/>
  <c r="I39" i="40"/>
  <c r="AT69" i="40"/>
  <c r="BW178" i="40"/>
  <c r="BW53" i="40"/>
  <c r="AV42" i="40"/>
  <c r="BV42" i="40" s="1"/>
  <c r="BU42" i="40"/>
  <c r="P177" i="40"/>
  <c r="P173" i="40"/>
  <c r="I50" i="40"/>
  <c r="BZ171" i="40"/>
  <c r="BX67" i="40"/>
  <c r="BU85" i="40"/>
  <c r="BO85" i="40"/>
  <c r="AV85" i="40"/>
  <c r="BV85" i="40" s="1"/>
  <c r="BW60" i="40"/>
  <c r="BQ20" i="40"/>
  <c r="BQ23" i="40" s="1"/>
  <c r="AS20" i="40"/>
  <c r="AS23" i="40" s="1"/>
  <c r="AG23" i="40"/>
  <c r="BW170" i="40"/>
  <c r="AV27" i="40"/>
  <c r="BV27" i="40" s="1"/>
  <c r="BZ170" i="40"/>
  <c r="BZ15" i="40"/>
  <c r="AQ15" i="40"/>
  <c r="BR12" i="40"/>
  <c r="BQ51" i="40"/>
  <c r="AV12" i="40"/>
  <c r="BU12" i="40"/>
  <c r="AV164" i="40"/>
  <c r="BV164" i="40" s="1"/>
  <c r="BO164" i="40"/>
  <c r="BU164" i="40"/>
  <c r="BO154" i="40"/>
  <c r="BU154" i="40"/>
  <c r="AV154" i="40"/>
  <c r="BV154" i="40" s="1"/>
  <c r="I157" i="40"/>
  <c r="M167" i="40"/>
  <c r="S167" i="40"/>
  <c r="AG155" i="40"/>
  <c r="BQ152" i="40"/>
  <c r="BQ155" i="40" s="1"/>
  <c r="AS152" i="40"/>
  <c r="AS155" i="40" s="1"/>
  <c r="AR137" i="40"/>
  <c r="BY140" i="40"/>
  <c r="BY144" i="40" s="1"/>
  <c r="BM140" i="40"/>
  <c r="BX140" i="40" s="1"/>
  <c r="BX144" i="40" s="1"/>
  <c r="AT132" i="40"/>
  <c r="Q137" i="40"/>
  <c r="AH137" i="40"/>
  <c r="AV131" i="40"/>
  <c r="BV131" i="40" s="1"/>
  <c r="BU131" i="40"/>
  <c r="AG137" i="40"/>
  <c r="BQ131" i="40"/>
  <c r="BQ137" i="40" s="1"/>
  <c r="AS131" i="40"/>
  <c r="AS137" i="40" s="1"/>
  <c r="BY124" i="40"/>
  <c r="BO117" i="40"/>
  <c r="AV117" i="40"/>
  <c r="BV117" i="40" s="1"/>
  <c r="BU117" i="40"/>
  <c r="BR111" i="40"/>
  <c r="BR114" i="40" s="1"/>
  <c r="AQ114" i="40"/>
  <c r="BO91" i="40"/>
  <c r="AV91" i="40"/>
  <c r="BV91" i="40" s="1"/>
  <c r="BU91" i="40"/>
  <c r="AQ118" i="40"/>
  <c r="BR115" i="40"/>
  <c r="BR118" i="40" s="1"/>
  <c r="AP108" i="40"/>
  <c r="AP166" i="40" s="1"/>
  <c r="BT103" i="40"/>
  <c r="BT108" i="40" s="1"/>
  <c r="Q110" i="40"/>
  <c r="AV104" i="40"/>
  <c r="BV104" i="40" s="1"/>
  <c r="AF98" i="40"/>
  <c r="AR93" i="40"/>
  <c r="BP93" i="40"/>
  <c r="BP98" i="40" s="1"/>
  <c r="AH93" i="40"/>
  <c r="AU93" i="40" s="1"/>
  <c r="I107" i="40"/>
  <c r="Q67" i="40"/>
  <c r="BX111" i="40"/>
  <c r="BX114" i="40" s="1"/>
  <c r="AV87" i="40"/>
  <c r="BU87" i="40"/>
  <c r="AV70" i="40"/>
  <c r="BV70" i="40" s="1"/>
  <c r="BU70" i="40"/>
  <c r="AR81" i="40"/>
  <c r="AV100" i="40"/>
  <c r="BU100" i="40"/>
  <c r="P74" i="40"/>
  <c r="AT72" i="40"/>
  <c r="BT172" i="40"/>
  <c r="BT38" i="40"/>
  <c r="AV73" i="40"/>
  <c r="BV73" i="40" s="1"/>
  <c r="BU62" i="40"/>
  <c r="BO62" i="40"/>
  <c r="AV62" i="40"/>
  <c r="BV62" i="40" s="1"/>
  <c r="BS172" i="40"/>
  <c r="BS38" i="40"/>
  <c r="AT31" i="40"/>
  <c r="AZ31" i="40" s="1"/>
  <c r="BX28" i="40"/>
  <c r="BX174" i="40" s="1"/>
  <c r="AS74" i="40"/>
  <c r="AT34" i="40"/>
  <c r="AZ34" i="40" s="1"/>
  <c r="BT32" i="40"/>
  <c r="BY179" i="40"/>
  <c r="BM67" i="40"/>
  <c r="AG173" i="40"/>
  <c r="BQ55" i="40"/>
  <c r="AH55" i="40"/>
  <c r="AU55" i="40" s="1"/>
  <c r="AS55" i="40"/>
  <c r="AS173" i="40" s="1"/>
  <c r="I27" i="40"/>
  <c r="BW179" i="40"/>
  <c r="BW25" i="40"/>
  <c r="P23" i="40"/>
  <c r="I20" i="40"/>
  <c r="AT48" i="40"/>
  <c r="BR39" i="40"/>
  <c r="BR44" i="40" s="1"/>
  <c r="BM170" i="40"/>
  <c r="BM15" i="40"/>
  <c r="AT43" i="40"/>
  <c r="BL169" i="40"/>
  <c r="M169" i="40"/>
  <c r="I13" i="40"/>
  <c r="BZ176" i="40"/>
  <c r="BM176" i="40"/>
  <c r="BX14" i="40"/>
  <c r="AV157" i="40"/>
  <c r="BV157" i="40" s="1"/>
  <c r="BU157" i="40"/>
  <c r="I154" i="40"/>
  <c r="BU141" i="40"/>
  <c r="I141" i="40"/>
  <c r="P151" i="40"/>
  <c r="AR140" i="40"/>
  <c r="AT140" i="40" s="1"/>
  <c r="BP140" i="40"/>
  <c r="BP144" i="40" s="1"/>
  <c r="AH140" i="40"/>
  <c r="AU140" i="40" s="1"/>
  <c r="AV143" i="40"/>
  <c r="BV143" i="40" s="1"/>
  <c r="BU143" i="40"/>
  <c r="P137" i="40"/>
  <c r="I131" i="40"/>
  <c r="BM118" i="40"/>
  <c r="BX115" i="40"/>
  <c r="BX118" i="40" s="1"/>
  <c r="BV99" i="40"/>
  <c r="Q102" i="40"/>
  <c r="AG92" i="40"/>
  <c r="AS89" i="40"/>
  <c r="AS92" i="40" s="1"/>
  <c r="BQ89" i="40"/>
  <c r="BQ92" i="40" s="1"/>
  <c r="P98" i="40"/>
  <c r="I93" i="40"/>
  <c r="BU82" i="40"/>
  <c r="AV82" i="40"/>
  <c r="I70" i="40"/>
  <c r="BK173" i="40"/>
  <c r="BX60" i="40"/>
  <c r="I61" i="40"/>
  <c r="I85" i="40"/>
  <c r="AV78" i="40"/>
  <c r="BV78" i="40" s="1"/>
  <c r="BO78" i="40"/>
  <c r="BU78" i="40"/>
  <c r="Q171" i="40"/>
  <c r="BT170" i="40"/>
  <c r="BT15" i="40"/>
  <c r="AV84" i="40"/>
  <c r="BV84" i="40" s="1"/>
  <c r="BU84" i="40"/>
  <c r="AR40" i="40"/>
  <c r="AT40" i="40" s="1"/>
  <c r="BP40" i="40"/>
  <c r="AH40" i="40"/>
  <c r="AU40" i="40" s="1"/>
  <c r="BM172" i="40"/>
  <c r="BM38" i="40"/>
  <c r="P171" i="40"/>
  <c r="P32" i="40"/>
  <c r="I26" i="40"/>
  <c r="AV76" i="40"/>
  <c r="BV76" i="40" s="1"/>
  <c r="BU76" i="40"/>
  <c r="BM32" i="40"/>
  <c r="AV77" i="40"/>
  <c r="BV77" i="40" s="1"/>
  <c r="BU77" i="40"/>
  <c r="I49" i="40"/>
  <c r="BO46" i="40"/>
  <c r="AV46" i="40"/>
  <c r="BV46" i="40" s="1"/>
  <c r="BU46" i="40"/>
  <c r="AP171" i="40"/>
  <c r="BS179" i="40"/>
  <c r="BS25" i="40"/>
  <c r="I21" i="40"/>
  <c r="AT57" i="40"/>
  <c r="I31" i="40"/>
  <c r="AG179" i="40"/>
  <c r="AG25" i="40"/>
  <c r="BQ24" i="40"/>
  <c r="AS24" i="40"/>
  <c r="AY169" i="40"/>
  <c r="AV37" i="40"/>
  <c r="BV37" i="40" s="1"/>
  <c r="BT179" i="40"/>
  <c r="BT25" i="40"/>
  <c r="BS170" i="40"/>
  <c r="BS15" i="40"/>
  <c r="BW176" i="40"/>
  <c r="AS51" i="40"/>
  <c r="BY176" i="40"/>
  <c r="BY15" i="40"/>
  <c r="P165" i="40"/>
  <c r="I162" i="40"/>
  <c r="BQ156" i="40"/>
  <c r="BQ161" i="40" s="1"/>
  <c r="AS156" i="40"/>
  <c r="AS161" i="40" s="1"/>
  <c r="AG161" i="40"/>
  <c r="AH156" i="40"/>
  <c r="AU156" i="40" s="1"/>
  <c r="AQ161" i="40"/>
  <c r="I160" i="40"/>
  <c r="BO157" i="40"/>
  <c r="Q155" i="40"/>
  <c r="AT121" i="40"/>
  <c r="AZ121" i="40" s="1"/>
  <c r="BN121" i="40" s="1"/>
  <c r="BX145" i="40"/>
  <c r="BX151" i="40" s="1"/>
  <c r="BM151" i="40"/>
  <c r="AR127" i="40"/>
  <c r="AT125" i="40"/>
  <c r="AF124" i="40"/>
  <c r="BP119" i="40"/>
  <c r="BP124" i="40" s="1"/>
  <c r="AH119" i="40"/>
  <c r="AU119" i="40" s="1"/>
  <c r="AR119" i="40"/>
  <c r="AV116" i="40"/>
  <c r="BV116" i="40" s="1"/>
  <c r="BU116" i="40"/>
  <c r="I130" i="40"/>
  <c r="I143" i="40"/>
  <c r="P118" i="40"/>
  <c r="I115" i="40"/>
  <c r="I106" i="40"/>
  <c r="Q108" i="40"/>
  <c r="BP108" i="40"/>
  <c r="BR102" i="40"/>
  <c r="AV123" i="40"/>
  <c r="BV123" i="40" s="1"/>
  <c r="BO116" i="40"/>
  <c r="BX103" i="40"/>
  <c r="BX108" i="40" s="1"/>
  <c r="BM108" i="40"/>
  <c r="AV96" i="40"/>
  <c r="BV96" i="40" s="1"/>
  <c r="I64" i="40"/>
  <c r="BU105" i="40"/>
  <c r="AV105" i="40"/>
  <c r="BV105" i="40" s="1"/>
  <c r="BO105" i="40"/>
  <c r="BY92" i="40"/>
  <c r="Q88" i="40"/>
  <c r="AH75" i="40"/>
  <c r="AU75" i="40" s="1"/>
  <c r="AV94" i="40"/>
  <c r="BV94" i="40" s="1"/>
  <c r="BO82" i="40"/>
  <c r="AT61" i="40"/>
  <c r="AR67" i="40"/>
  <c r="AQ98" i="40"/>
  <c r="I77" i="40"/>
  <c r="I63" i="40"/>
  <c r="BR90" i="40"/>
  <c r="BR92" i="40" s="1"/>
  <c r="I80" i="40"/>
  <c r="AF60" i="40"/>
  <c r="BP54" i="40"/>
  <c r="AH54" i="40"/>
  <c r="AU54" i="40" s="1"/>
  <c r="AR54" i="40"/>
  <c r="BW171" i="40"/>
  <c r="BW32" i="40"/>
  <c r="Q173" i="40"/>
  <c r="BX45" i="40"/>
  <c r="BX51" i="40" s="1"/>
  <c r="BM51" i="40"/>
  <c r="I40" i="40"/>
  <c r="BZ32" i="40"/>
  <c r="AO174" i="40"/>
  <c r="BS28" i="40"/>
  <c r="BS174" i="40" s="1"/>
  <c r="AQ28" i="40"/>
  <c r="V178" i="40"/>
  <c r="V53" i="40"/>
  <c r="AF52" i="40"/>
  <c r="AT35" i="40"/>
  <c r="AO32" i="40"/>
  <c r="AQ171" i="40"/>
  <c r="BO65" i="40"/>
  <c r="AV65" i="40"/>
  <c r="BV65" i="40" s="1"/>
  <c r="BU65" i="40"/>
  <c r="BQ172" i="40"/>
  <c r="BQ38" i="40"/>
  <c r="BP177" i="40"/>
  <c r="W171" i="40"/>
  <c r="W169" i="40" s="1"/>
  <c r="BM179" i="40"/>
  <c r="BM25" i="40"/>
  <c r="BX24" i="40"/>
  <c r="BQ67" i="40"/>
  <c r="AO171" i="40"/>
  <c r="Q23" i="40"/>
  <c r="AT80" i="40"/>
  <c r="AT64" i="40"/>
  <c r="BZ178" i="40"/>
  <c r="BZ53" i="40"/>
  <c r="I37" i="40"/>
  <c r="P179" i="40"/>
  <c r="P25" i="40"/>
  <c r="I24" i="40"/>
  <c r="BU13" i="40"/>
  <c r="AV13" i="40"/>
  <c r="BV13" i="40" s="1"/>
  <c r="BO13" i="40"/>
  <c r="P51" i="40"/>
  <c r="AF179" i="40"/>
  <c r="BP24" i="40"/>
  <c r="AR24" i="40"/>
  <c r="AH24" i="40"/>
  <c r="AU24" i="40" s="1"/>
  <c r="AF25" i="40"/>
  <c r="AT16" i="40"/>
  <c r="AR19" i="40"/>
  <c r="BM19" i="40"/>
  <c r="AR176" i="40"/>
  <c r="AV18" i="40"/>
  <c r="BV18" i="40" s="1"/>
  <c r="BO18" i="40"/>
  <c r="BU18" i="40"/>
  <c r="BY170" i="40"/>
  <c r="J166" i="40"/>
  <c r="C20" i="47" s="1"/>
  <c r="Q161" i="40"/>
  <c r="AT147" i="40"/>
  <c r="BP161" i="40"/>
  <c r="P161" i="40"/>
  <c r="BR152" i="40"/>
  <c r="BR155" i="40" s="1"/>
  <c r="AQ155" i="40"/>
  <c r="BQ162" i="40"/>
  <c r="BQ165" i="40" s="1"/>
  <c r="AS162" i="40"/>
  <c r="AS165" i="40" s="1"/>
  <c r="AG165" i="40"/>
  <c r="AV160" i="40"/>
  <c r="BV160" i="40" s="1"/>
  <c r="BU160" i="40"/>
  <c r="J167" i="40"/>
  <c r="AH151" i="40"/>
  <c r="AV145" i="40"/>
  <c r="BS127" i="40"/>
  <c r="BK144" i="40"/>
  <c r="Q144" i="40"/>
  <c r="AG151" i="40"/>
  <c r="AS145" i="40"/>
  <c r="BQ145" i="40"/>
  <c r="BQ151" i="40" s="1"/>
  <c r="BR137" i="40"/>
  <c r="AT146" i="40"/>
  <c r="BT124" i="40"/>
  <c r="BX128" i="40"/>
  <c r="BX130" i="40" s="1"/>
  <c r="AS114" i="40"/>
  <c r="BO101" i="40"/>
  <c r="AV101" i="40"/>
  <c r="BV101" i="40" s="1"/>
  <c r="BU101" i="40"/>
  <c r="Q118" i="40"/>
  <c r="AH102" i="40"/>
  <c r="AR102" i="40"/>
  <c r="AT99" i="40"/>
  <c r="AG118" i="40"/>
  <c r="BQ115" i="40"/>
  <c r="BQ118" i="40" s="1"/>
  <c r="AS115" i="40"/>
  <c r="AS118" i="40" s="1"/>
  <c r="I100" i="40"/>
  <c r="BO106" i="40"/>
  <c r="AV106" i="40"/>
  <c r="BV106" i="40" s="1"/>
  <c r="BU71" i="40"/>
  <c r="BO71" i="40"/>
  <c r="AV71" i="40"/>
  <c r="BV71" i="40" s="1"/>
  <c r="I56" i="40"/>
  <c r="P81" i="40"/>
  <c r="AF74" i="40"/>
  <c r="AH68" i="40"/>
  <c r="AU68" i="40" s="1"/>
  <c r="AR68" i="40"/>
  <c r="BP68" i="40"/>
  <c r="BP74" i="40" s="1"/>
  <c r="P67" i="40"/>
  <c r="BQ82" i="40"/>
  <c r="BQ88" i="40" s="1"/>
  <c r="AG88" i="40"/>
  <c r="AS82" i="40"/>
  <c r="AS88" i="40" s="1"/>
  <c r="AS75" i="40"/>
  <c r="AS81" i="40" s="1"/>
  <c r="AG81" i="40"/>
  <c r="BQ75" i="40"/>
  <c r="BQ81" i="40" s="1"/>
  <c r="AT107" i="40"/>
  <c r="I73" i="40"/>
  <c r="BM88" i="40"/>
  <c r="BX82" i="40"/>
  <c r="BX88" i="40" s="1"/>
  <c r="AH83" i="40"/>
  <c r="AU83" i="40" s="1"/>
  <c r="AR83" i="40"/>
  <c r="AT83" i="40" s="1"/>
  <c r="BP83" i="40"/>
  <c r="BP88" i="40" s="1"/>
  <c r="BS173" i="40"/>
  <c r="BT178" i="40"/>
  <c r="BT53" i="40"/>
  <c r="BY177" i="40"/>
  <c r="BS60" i="40"/>
  <c r="V174" i="40"/>
  <c r="AF28" i="40"/>
  <c r="BO69" i="40"/>
  <c r="AV69" i="40"/>
  <c r="BV69" i="40" s="1"/>
  <c r="BU69" i="40"/>
  <c r="Q60" i="40"/>
  <c r="AO178" i="40"/>
  <c r="BS52" i="40"/>
  <c r="AQ52" i="40"/>
  <c r="AO53" i="40"/>
  <c r="V32" i="40"/>
  <c r="AS177" i="40"/>
  <c r="AF171" i="40"/>
  <c r="AF173" i="40"/>
  <c r="P178" i="40"/>
  <c r="I52" i="40"/>
  <c r="P53" i="40"/>
  <c r="AR177" i="40"/>
  <c r="AT30" i="40"/>
  <c r="Q174" i="40"/>
  <c r="I28" i="40"/>
  <c r="BR72" i="40"/>
  <c r="BR177" i="40" s="1"/>
  <c r="AS67" i="40"/>
  <c r="AV80" i="40"/>
  <c r="BV80" i="40" s="1"/>
  <c r="BU80" i="40"/>
  <c r="BM81" i="40"/>
  <c r="BU64" i="40"/>
  <c r="BO64" i="40"/>
  <c r="AV64" i="40"/>
  <c r="BV64" i="40" s="1"/>
  <c r="AV36" i="40"/>
  <c r="BV36" i="40" s="1"/>
  <c r="BU36" i="40"/>
  <c r="AQ172" i="40"/>
  <c r="BR33" i="40"/>
  <c r="AQ38" i="40"/>
  <c r="BZ177" i="40"/>
  <c r="BT176" i="40"/>
  <c r="J169" i="40"/>
  <c r="AQ179" i="40"/>
  <c r="AQ25" i="40"/>
  <c r="BR24" i="40"/>
  <c r="Q15" i="40"/>
  <c r="P170" i="40"/>
  <c r="P15" i="40"/>
  <c r="I12" i="40"/>
  <c r="AS13" i="40"/>
  <c r="AG15" i="40"/>
  <c r="BQ13" i="40"/>
  <c r="BP19" i="40"/>
  <c r="P176" i="40"/>
  <c r="AS19" i="40"/>
  <c r="S169" i="40"/>
  <c r="AQ176" i="40"/>
  <c r="P155" i="40"/>
  <c r="AQ130" i="40"/>
  <c r="BR128" i="40"/>
  <c r="BR130" i="40" s="1"/>
  <c r="AR161" i="40"/>
  <c r="AV150" i="40"/>
  <c r="BV150" i="40" s="1"/>
  <c r="AV132" i="40"/>
  <c r="BV132" i="40" s="1"/>
  <c r="BU132" i="40"/>
  <c r="BP128" i="40"/>
  <c r="BP130" i="40" s="1"/>
  <c r="AR128" i="40"/>
  <c r="AF130" i="40"/>
  <c r="AH128" i="40"/>
  <c r="AU128" i="40" s="1"/>
  <c r="BP151" i="40"/>
  <c r="AQ137" i="40"/>
  <c r="AV120" i="40"/>
  <c r="BV120" i="40" s="1"/>
  <c r="BU120" i="40"/>
  <c r="BO120" i="40"/>
  <c r="AV139" i="40"/>
  <c r="BV139" i="40" s="1"/>
  <c r="AS124" i="40"/>
  <c r="I139" i="40"/>
  <c r="I133" i="40"/>
  <c r="BR124" i="40"/>
  <c r="AR114" i="40"/>
  <c r="AT111" i="40"/>
  <c r="P110" i="40"/>
  <c r="BU95" i="40"/>
  <c r="BO95" i="40"/>
  <c r="AV95" i="40"/>
  <c r="BV95" i="40" s="1"/>
  <c r="Q92" i="40"/>
  <c r="I89" i="40"/>
  <c r="BM110" i="40"/>
  <c r="BX109" i="40"/>
  <c r="BX110" i="40" s="1"/>
  <c r="I104" i="40"/>
  <c r="BY108" i="40"/>
  <c r="I97" i="40"/>
  <c r="BP102" i="40"/>
  <c r="AV133" i="40"/>
  <c r="BV133" i="40" s="1"/>
  <c r="BU133" i="40"/>
  <c r="I103" i="40"/>
  <c r="P108" i="40"/>
  <c r="BX99" i="40"/>
  <c r="BX102" i="40" s="1"/>
  <c r="BZ98" i="40"/>
  <c r="I90" i="40"/>
  <c r="AT96" i="40"/>
  <c r="BY178" i="40"/>
  <c r="BY53" i="40"/>
  <c r="AV66" i="40"/>
  <c r="BV66" i="40" s="1"/>
  <c r="BU66" i="40"/>
  <c r="AV90" i="40"/>
  <c r="BV90" i="40" s="1"/>
  <c r="P88" i="40"/>
  <c r="BY88" i="40"/>
  <c r="I76" i="40"/>
  <c r="I65" i="40"/>
  <c r="AV72" i="40"/>
  <c r="BV72" i="40" s="1"/>
  <c r="BU72" i="40"/>
  <c r="AQ74" i="40"/>
  <c r="BZ173" i="40"/>
  <c r="BS177" i="40"/>
  <c r="BS176" i="40"/>
  <c r="I86" i="40"/>
  <c r="BR54" i="40"/>
  <c r="AR45" i="40"/>
  <c r="AF51" i="40"/>
  <c r="BP45" i="40"/>
  <c r="BP51" i="40" s="1"/>
  <c r="AH45" i="40"/>
  <c r="AU45" i="40" s="1"/>
  <c r="I35" i="40"/>
  <c r="Q177" i="40"/>
  <c r="AF44" i="40"/>
  <c r="BQ74" i="40"/>
  <c r="AT65" i="40"/>
  <c r="AS172" i="40"/>
  <c r="AS38" i="40"/>
  <c r="AF172" i="40"/>
  <c r="AF38" i="40"/>
  <c r="AH33" i="40"/>
  <c r="AU33" i="40" s="1"/>
  <c r="BP33" i="40"/>
  <c r="AR33" i="40"/>
  <c r="AT29" i="40"/>
  <c r="Q179" i="40"/>
  <c r="AT85" i="40"/>
  <c r="Q51" i="40"/>
  <c r="BX39" i="40"/>
  <c r="BT177" i="40"/>
  <c r="AV48" i="40"/>
  <c r="BV48" i="40" s="1"/>
  <c r="BU48" i="40"/>
  <c r="BO43" i="40"/>
  <c r="AV43" i="40"/>
  <c r="BV43" i="40" s="1"/>
  <c r="BU43" i="40"/>
  <c r="AH19" i="40"/>
  <c r="AV16" i="40"/>
  <c r="BX52" i="40"/>
  <c r="BO27" i="40"/>
  <c r="BX12" i="40"/>
  <c r="AV84" i="39"/>
  <c r="BV84" i="39" s="1"/>
  <c r="AQ56" i="39"/>
  <c r="BR51" i="39"/>
  <c r="BR56" i="39" s="1"/>
  <c r="BM50" i="39"/>
  <c r="P131" i="39"/>
  <c r="P30" i="39"/>
  <c r="BX24" i="39"/>
  <c r="BX14" i="39"/>
  <c r="BX50" i="39"/>
  <c r="AH45" i="39"/>
  <c r="AU45" i="39" s="1"/>
  <c r="AR45" i="39"/>
  <c r="AR137" i="39" s="1"/>
  <c r="AF46" i="39"/>
  <c r="BP45" i="39"/>
  <c r="BP46" i="39" s="1"/>
  <c r="Q129" i="39"/>
  <c r="Q24" i="39"/>
  <c r="BX134" i="39"/>
  <c r="BW131" i="39"/>
  <c r="BW30" i="39"/>
  <c r="AV19" i="39"/>
  <c r="BV19" i="39" s="1"/>
  <c r="BU19" i="39"/>
  <c r="P130" i="39"/>
  <c r="P42" i="39"/>
  <c r="BX116" i="39"/>
  <c r="BX118" i="39" s="1"/>
  <c r="BM118" i="39"/>
  <c r="BQ123" i="39"/>
  <c r="BU111" i="39"/>
  <c r="AV111" i="39"/>
  <c r="BV111" i="39" s="1"/>
  <c r="BO111" i="39"/>
  <c r="AV99" i="39"/>
  <c r="BV99" i="39" s="1"/>
  <c r="BU99" i="39"/>
  <c r="BR101" i="39"/>
  <c r="BR107" i="39" s="1"/>
  <c r="AT110" i="39"/>
  <c r="BX114" i="39"/>
  <c r="I110" i="39"/>
  <c r="P107" i="39"/>
  <c r="AQ93" i="39"/>
  <c r="BU70" i="39"/>
  <c r="AV70" i="39"/>
  <c r="BV70" i="39" s="1"/>
  <c r="Q79" i="39"/>
  <c r="BU89" i="39"/>
  <c r="AV89" i="39"/>
  <c r="BV89" i="39" s="1"/>
  <c r="BV102" i="39"/>
  <c r="AT88" i="39"/>
  <c r="BV60" i="39"/>
  <c r="I67" i="39"/>
  <c r="BW130" i="39"/>
  <c r="BW42" i="39"/>
  <c r="Q135" i="39"/>
  <c r="I53" i="39"/>
  <c r="BS136" i="39"/>
  <c r="BS44" i="39"/>
  <c r="BS24" i="39"/>
  <c r="AF130" i="39"/>
  <c r="BP37" i="39"/>
  <c r="AF42" i="39"/>
  <c r="AH37" i="39"/>
  <c r="AU37" i="39" s="1"/>
  <c r="AR37" i="39"/>
  <c r="BS128" i="39"/>
  <c r="BS18" i="39"/>
  <c r="AT32" i="39"/>
  <c r="I15" i="39"/>
  <c r="Q131" i="39"/>
  <c r="Q30" i="39"/>
  <c r="P134" i="39"/>
  <c r="BY128" i="39"/>
  <c r="BY18" i="39"/>
  <c r="BY137" i="39"/>
  <c r="Q56" i="39"/>
  <c r="AV33" i="39"/>
  <c r="BV33" i="39" s="1"/>
  <c r="BU33" i="39"/>
  <c r="BO33" i="39"/>
  <c r="BW128" i="39"/>
  <c r="BW18" i="39"/>
  <c r="AV92" i="39"/>
  <c r="BV92" i="39" s="1"/>
  <c r="AQ42" i="39"/>
  <c r="V36" i="39"/>
  <c r="V124" i="39" s="1"/>
  <c r="AF31" i="39"/>
  <c r="AQ65" i="39"/>
  <c r="Q130" i="39"/>
  <c r="Q42" i="39"/>
  <c r="Q18" i="39"/>
  <c r="AV122" i="39"/>
  <c r="BV122" i="39" s="1"/>
  <c r="BV123" i="39" s="1"/>
  <c r="BU122" i="39"/>
  <c r="I97" i="39"/>
  <c r="AV77" i="39"/>
  <c r="BV77" i="39" s="1"/>
  <c r="BU77" i="39"/>
  <c r="AV78" i="39"/>
  <c r="BV78" i="39" s="1"/>
  <c r="BU78" i="39"/>
  <c r="AV63" i="39"/>
  <c r="BV63" i="39" s="1"/>
  <c r="BU63" i="39"/>
  <c r="AV43" i="39"/>
  <c r="BU43" i="39"/>
  <c r="AH44" i="39"/>
  <c r="BO43" i="39"/>
  <c r="BM131" i="39"/>
  <c r="BX25" i="39"/>
  <c r="BM30" i="39"/>
  <c r="BZ136" i="39"/>
  <c r="BZ44" i="39"/>
  <c r="BO63" i="39"/>
  <c r="AV113" i="39"/>
  <c r="BV113" i="39" s="1"/>
  <c r="BU113" i="39"/>
  <c r="BO113" i="39"/>
  <c r="AV108" i="39"/>
  <c r="BM100" i="39"/>
  <c r="BX94" i="39"/>
  <c r="BX100" i="39" s="1"/>
  <c r="BQ66" i="39"/>
  <c r="BQ72" i="39" s="1"/>
  <c r="AS66" i="39"/>
  <c r="AT66" i="39" s="1"/>
  <c r="AG72" i="39"/>
  <c r="BS114" i="39"/>
  <c r="BZ93" i="39"/>
  <c r="AT76" i="39"/>
  <c r="BV98" i="39"/>
  <c r="Q107" i="39"/>
  <c r="BU74" i="39"/>
  <c r="AV74" i="39"/>
  <c r="BV74" i="39" s="1"/>
  <c r="BO84" i="39"/>
  <c r="AV87" i="39"/>
  <c r="BV87" i="39" s="1"/>
  <c r="AH93" i="39"/>
  <c r="I102" i="39"/>
  <c r="BO83" i="39"/>
  <c r="AV83" i="39"/>
  <c r="BV83" i="39" s="1"/>
  <c r="BU83" i="39"/>
  <c r="AQ86" i="39"/>
  <c r="BR80" i="39"/>
  <c r="BR86" i="39" s="1"/>
  <c r="AT97" i="39"/>
  <c r="AG100" i="39"/>
  <c r="BQ94" i="39"/>
  <c r="BQ100" i="39" s="1"/>
  <c r="AS94" i="39"/>
  <c r="AS100" i="39" s="1"/>
  <c r="BM86" i="39"/>
  <c r="BX80" i="39"/>
  <c r="BX86" i="39" s="1"/>
  <c r="AR79" i="39"/>
  <c r="I69" i="39"/>
  <c r="BS130" i="39"/>
  <c r="BS42" i="39"/>
  <c r="AR93" i="39"/>
  <c r="BP51" i="39"/>
  <c r="BP56" i="39" s="1"/>
  <c r="AR51" i="39"/>
  <c r="AF56" i="39"/>
  <c r="AH51" i="39"/>
  <c r="AU51" i="39" s="1"/>
  <c r="AV82" i="39"/>
  <c r="BV82" i="39" s="1"/>
  <c r="BU82" i="39"/>
  <c r="P136" i="39"/>
  <c r="P44" i="39"/>
  <c r="AT35" i="39"/>
  <c r="BX59" i="39"/>
  <c r="BX65" i="39" s="1"/>
  <c r="AO127" i="39"/>
  <c r="BU21" i="39"/>
  <c r="AV21" i="39"/>
  <c r="BV21" i="39" s="1"/>
  <c r="BO21" i="39"/>
  <c r="BT128" i="39"/>
  <c r="BT18" i="39"/>
  <c r="BZ137" i="39"/>
  <c r="BZ13" i="39"/>
  <c r="BW129" i="39"/>
  <c r="BW24" i="39"/>
  <c r="AT26" i="39"/>
  <c r="BP16" i="39"/>
  <c r="AR16" i="39"/>
  <c r="AT16" i="39" s="1"/>
  <c r="AH16" i="39"/>
  <c r="AU16" i="39" s="1"/>
  <c r="AS137" i="39"/>
  <c r="AS13" i="39"/>
  <c r="BT136" i="39"/>
  <c r="BT44" i="39"/>
  <c r="AT34" i="39"/>
  <c r="BT135" i="39"/>
  <c r="BP48" i="39"/>
  <c r="AH48" i="39"/>
  <c r="AU48" i="39" s="1"/>
  <c r="AR48" i="39"/>
  <c r="AF135" i="39"/>
  <c r="AH22" i="39"/>
  <c r="BP22" i="39"/>
  <c r="BP135" i="39" s="1"/>
  <c r="AR22" i="39"/>
  <c r="AR24" i="39" s="1"/>
  <c r="I19" i="39"/>
  <c r="BW137" i="39"/>
  <c r="BW13" i="39"/>
  <c r="AV32" i="39"/>
  <c r="BV32" i="39" s="1"/>
  <c r="BU32" i="39"/>
  <c r="BO32" i="39"/>
  <c r="AO36" i="39"/>
  <c r="AO124" i="39" s="1"/>
  <c r="AH19" i="47" s="1"/>
  <c r="AQ31" i="39"/>
  <c r="BS31" i="39"/>
  <c r="BS36" i="39" s="1"/>
  <c r="BR65" i="39"/>
  <c r="BX31" i="39"/>
  <c r="BX93" i="39"/>
  <c r="AV66" i="39"/>
  <c r="AG79" i="39"/>
  <c r="BQ73" i="39"/>
  <c r="BQ79" i="39" s="1"/>
  <c r="AS73" i="39"/>
  <c r="AS79" i="39" s="1"/>
  <c r="BP94" i="39"/>
  <c r="BP100" i="39" s="1"/>
  <c r="AR94" i="39"/>
  <c r="AH94" i="39"/>
  <c r="AU94" i="39" s="1"/>
  <c r="AF100" i="39"/>
  <c r="P128" i="39"/>
  <c r="P18" i="39"/>
  <c r="BU20" i="39"/>
  <c r="AV20" i="39"/>
  <c r="BV20" i="39" s="1"/>
  <c r="BY118" i="39"/>
  <c r="AT108" i="39"/>
  <c r="AH123" i="39"/>
  <c r="AV116" i="39"/>
  <c r="BV116" i="39" s="1"/>
  <c r="BU116" i="39"/>
  <c r="I121" i="39"/>
  <c r="AR123" i="39"/>
  <c r="AT119" i="39"/>
  <c r="P123" i="39"/>
  <c r="AS118" i="39"/>
  <c r="BM123" i="39"/>
  <c r="BY100" i="39"/>
  <c r="AQ114" i="39"/>
  <c r="BR108" i="39"/>
  <c r="BR114" i="39" s="1"/>
  <c r="BT93" i="39"/>
  <c r="I74" i="39"/>
  <c r="Q93" i="39"/>
  <c r="BO74" i="39"/>
  <c r="S125" i="39"/>
  <c r="AV110" i="39"/>
  <c r="BV110" i="39" s="1"/>
  <c r="BU110" i="39"/>
  <c r="BO110" i="39"/>
  <c r="AV95" i="39"/>
  <c r="BV95" i="39" s="1"/>
  <c r="AQ72" i="39"/>
  <c r="BR66" i="39"/>
  <c r="BR72" i="39" s="1"/>
  <c r="I101" i="39"/>
  <c r="P93" i="39"/>
  <c r="AV67" i="39"/>
  <c r="BV67" i="39" s="1"/>
  <c r="BU67" i="39"/>
  <c r="BT79" i="39"/>
  <c r="AH118" i="39"/>
  <c r="AV97" i="39"/>
  <c r="BV97" i="39" s="1"/>
  <c r="BO97" i="39"/>
  <c r="BU97" i="39"/>
  <c r="BP79" i="39"/>
  <c r="AR72" i="39"/>
  <c r="P65" i="39"/>
  <c r="BT129" i="39"/>
  <c r="BT24" i="39"/>
  <c r="BO82" i="39"/>
  <c r="AQ136" i="39"/>
  <c r="AQ44" i="39"/>
  <c r="BR43" i="39"/>
  <c r="S127" i="39"/>
  <c r="AQ135" i="39"/>
  <c r="BR22" i="39"/>
  <c r="I20" i="39"/>
  <c r="BS137" i="39"/>
  <c r="BS13" i="39"/>
  <c r="BM135" i="39"/>
  <c r="BW136" i="39"/>
  <c r="BW44" i="39"/>
  <c r="BQ137" i="39"/>
  <c r="BQ13" i="39"/>
  <c r="AQ128" i="39"/>
  <c r="I39" i="39"/>
  <c r="AY127" i="39"/>
  <c r="AG129" i="39"/>
  <c r="AG24" i="39"/>
  <c r="BQ19" i="39"/>
  <c r="AS19" i="39"/>
  <c r="X127" i="39"/>
  <c r="AT91" i="39"/>
  <c r="I43" i="39"/>
  <c r="AF131" i="39"/>
  <c r="AF30" i="39"/>
  <c r="AH25" i="39"/>
  <c r="AU25" i="39" s="1"/>
  <c r="BP25" i="39"/>
  <c r="AR25" i="39"/>
  <c r="AF134" i="39"/>
  <c r="AH17" i="39"/>
  <c r="AU17" i="39" s="1"/>
  <c r="BP17" i="39"/>
  <c r="BP134" i="39" s="1"/>
  <c r="AR17" i="39"/>
  <c r="I37" i="39"/>
  <c r="BT137" i="39"/>
  <c r="AV101" i="39"/>
  <c r="BV101" i="39" s="1"/>
  <c r="BR93" i="39"/>
  <c r="P79" i="39"/>
  <c r="I73" i="39"/>
  <c r="BO117" i="39"/>
  <c r="BO118" i="39" s="1"/>
  <c r="AV117" i="39"/>
  <c r="BV117" i="39" s="1"/>
  <c r="BU117" i="39"/>
  <c r="I95" i="39"/>
  <c r="I98" i="39"/>
  <c r="I88" i="39"/>
  <c r="BM93" i="39"/>
  <c r="I62" i="39"/>
  <c r="AT96" i="39"/>
  <c r="AH73" i="39"/>
  <c r="AU73" i="39" s="1"/>
  <c r="I60" i="39"/>
  <c r="P50" i="39"/>
  <c r="P56" i="39"/>
  <c r="AG136" i="39"/>
  <c r="BQ43" i="39"/>
  <c r="AS43" i="39"/>
  <c r="AG44" i="39"/>
  <c r="BM130" i="39"/>
  <c r="BM42" i="39"/>
  <c r="BX37" i="39"/>
  <c r="BM72" i="39"/>
  <c r="BR57" i="39"/>
  <c r="BR58" i="39" s="1"/>
  <c r="BO19" i="39"/>
  <c r="BL127" i="39"/>
  <c r="AG130" i="39"/>
  <c r="AG42" i="39"/>
  <c r="AS37" i="39"/>
  <c r="BQ37" i="39"/>
  <c r="BO26" i="39"/>
  <c r="AV26" i="39"/>
  <c r="BV26" i="39" s="1"/>
  <c r="BU26" i="39"/>
  <c r="AQ134" i="39"/>
  <c r="BR17" i="39"/>
  <c r="BR134" i="39" s="1"/>
  <c r="BZ128" i="39"/>
  <c r="BU34" i="39"/>
  <c r="AV34" i="39"/>
  <c r="BV34" i="39" s="1"/>
  <c r="AT20" i="39"/>
  <c r="AG131" i="39"/>
  <c r="AG30" i="39"/>
  <c r="BQ25" i="39"/>
  <c r="AS25" i="39"/>
  <c r="AP127" i="39"/>
  <c r="AQ137" i="39"/>
  <c r="BR12" i="39"/>
  <c r="AQ13" i="39"/>
  <c r="AV15" i="39"/>
  <c r="BV15" i="39" s="1"/>
  <c r="I25" i="39"/>
  <c r="AF18" i="39"/>
  <c r="AQ24" i="39"/>
  <c r="I91" i="39"/>
  <c r="Q100" i="39"/>
  <c r="AV106" i="39"/>
  <c r="BV106" i="39" s="1"/>
  <c r="BU106" i="39"/>
  <c r="BM46" i="39"/>
  <c r="BX45" i="39"/>
  <c r="BX46" i="39" s="1"/>
  <c r="AQ123" i="39"/>
  <c r="BR119" i="39"/>
  <c r="BR123" i="39" s="1"/>
  <c r="BP109" i="39"/>
  <c r="BP114" i="39" s="1"/>
  <c r="AR109" i="39"/>
  <c r="AT109" i="39" s="1"/>
  <c r="AH109" i="39"/>
  <c r="AU109" i="39" s="1"/>
  <c r="BU119" i="39"/>
  <c r="AR118" i="39"/>
  <c r="AT115" i="39"/>
  <c r="BO108" i="39"/>
  <c r="Q65" i="39"/>
  <c r="J125" i="39"/>
  <c r="M124" i="39"/>
  <c r="F19" i="47" s="1"/>
  <c r="AT117" i="39"/>
  <c r="I106" i="39"/>
  <c r="BO122" i="39"/>
  <c r="I103" i="39"/>
  <c r="AT111" i="39"/>
  <c r="M125" i="39"/>
  <c r="AT99" i="39"/>
  <c r="BM114" i="39"/>
  <c r="I96" i="39"/>
  <c r="AT101" i="39"/>
  <c r="P100" i="39"/>
  <c r="I94" i="39"/>
  <c r="BU85" i="39"/>
  <c r="AV85" i="39"/>
  <c r="BV85" i="39" s="1"/>
  <c r="BO85" i="39"/>
  <c r="BU90" i="39"/>
  <c r="BO90" i="39"/>
  <c r="AV90" i="39"/>
  <c r="BV90" i="39" s="1"/>
  <c r="AS86" i="39"/>
  <c r="AT70" i="39"/>
  <c r="BY93" i="39"/>
  <c r="AT75" i="39"/>
  <c r="AZ75" i="39" s="1"/>
  <c r="BN75" i="39" s="1"/>
  <c r="P58" i="39"/>
  <c r="AT89" i="39"/>
  <c r="BO78" i="39"/>
  <c r="AR58" i="39"/>
  <c r="AV96" i="39"/>
  <c r="BV96" i="39" s="1"/>
  <c r="BU96" i="39"/>
  <c r="BO96" i="39"/>
  <c r="AT77" i="39"/>
  <c r="AV68" i="39"/>
  <c r="BV68" i="39" s="1"/>
  <c r="BU68" i="39"/>
  <c r="BO68" i="39"/>
  <c r="AH59" i="39"/>
  <c r="AU59" i="39" s="1"/>
  <c r="AF65" i="39"/>
  <c r="BP59" i="39"/>
  <c r="BP65" i="39" s="1"/>
  <c r="AR59" i="39"/>
  <c r="AV61" i="39"/>
  <c r="BV61" i="39" s="1"/>
  <c r="BU61" i="39"/>
  <c r="I59" i="39"/>
  <c r="BX73" i="39"/>
  <c r="BX79" i="39" s="1"/>
  <c r="AV52" i="39"/>
  <c r="BV52" i="39" s="1"/>
  <c r="BM136" i="39"/>
  <c r="BM44" i="39"/>
  <c r="BS131" i="39"/>
  <c r="BS30" i="39"/>
  <c r="P86" i="39"/>
  <c r="BQ59" i="39"/>
  <c r="BQ65" i="39" s="1"/>
  <c r="AG65" i="39"/>
  <c r="AS59" i="39"/>
  <c r="AS65" i="39" s="1"/>
  <c r="BY50" i="39"/>
  <c r="AT27" i="39"/>
  <c r="AT23" i="39"/>
  <c r="P135" i="39"/>
  <c r="BO76" i="39"/>
  <c r="AV76" i="39"/>
  <c r="BV76" i="39" s="1"/>
  <c r="BU76" i="39"/>
  <c r="BY130" i="39"/>
  <c r="BY42" i="39"/>
  <c r="BU55" i="39"/>
  <c r="AV55" i="39"/>
  <c r="BV55" i="39" s="1"/>
  <c r="AQ131" i="39"/>
  <c r="BR25" i="39"/>
  <c r="AQ30" i="39"/>
  <c r="AG128" i="39"/>
  <c r="AG18" i="39"/>
  <c r="AS14" i="39"/>
  <c r="AT14" i="39" s="1"/>
  <c r="AH14" i="39"/>
  <c r="AU14" i="39" s="1"/>
  <c r="BQ14" i="39"/>
  <c r="Q137" i="39"/>
  <c r="Q13" i="39"/>
  <c r="BM134" i="39"/>
  <c r="BX43" i="39"/>
  <c r="BO89" i="39"/>
  <c r="AT33" i="39"/>
  <c r="AT12" i="39"/>
  <c r="AR13" i="39"/>
  <c r="Q50" i="39"/>
  <c r="BO40" i="39"/>
  <c r="AV40" i="39"/>
  <c r="BV40" i="39" s="1"/>
  <c r="BU40" i="39"/>
  <c r="P129" i="39"/>
  <c r="P24" i="39"/>
  <c r="Q128" i="39"/>
  <c r="AV91" i="39"/>
  <c r="BV91" i="39" s="1"/>
  <c r="BU91" i="39"/>
  <c r="AF24" i="39"/>
  <c r="I16" i="39"/>
  <c r="I14" i="39"/>
  <c r="AV123" i="42" l="1"/>
  <c r="BV123" i="42" s="1"/>
  <c r="AU123" i="42"/>
  <c r="BO113" i="42"/>
  <c r="BO115" i="42" s="1"/>
  <c r="AU113" i="42"/>
  <c r="AZ113" i="42" s="1"/>
  <c r="BO15" i="42"/>
  <c r="AU15" i="42"/>
  <c r="BU15" i="42" s="1"/>
  <c r="AH198" i="42"/>
  <c r="AU194" i="42"/>
  <c r="AU164" i="42"/>
  <c r="BU164" i="42" s="1"/>
  <c r="BU166" i="42" s="1"/>
  <c r="BO95" i="42"/>
  <c r="AZ82" i="42"/>
  <c r="BN82" i="42" s="1"/>
  <c r="BO136" i="42"/>
  <c r="BO138" i="42" s="1"/>
  <c r="AU136" i="42"/>
  <c r="AU138" i="42" s="1"/>
  <c r="AV40" i="42"/>
  <c r="AZ39" i="42"/>
  <c r="BN39" i="42" s="1"/>
  <c r="BO105" i="42"/>
  <c r="BO40" i="42"/>
  <c r="AU154" i="42"/>
  <c r="BU154" i="42" s="1"/>
  <c r="BO132" i="42"/>
  <c r="BO135" i="42" s="1"/>
  <c r="AU132" i="42"/>
  <c r="AZ132" i="42" s="1"/>
  <c r="BO41" i="42"/>
  <c r="AU41" i="42"/>
  <c r="BU41" i="42" s="1"/>
  <c r="W199" i="42"/>
  <c r="P22" i="47" s="1"/>
  <c r="BX78" i="42"/>
  <c r="AH61" i="41"/>
  <c r="AU59" i="41"/>
  <c r="AU18" i="41"/>
  <c r="BU18" i="41" s="1"/>
  <c r="AH50" i="41"/>
  <c r="AU47" i="41"/>
  <c r="BO67" i="41"/>
  <c r="AU67" i="41"/>
  <c r="AV15" i="41"/>
  <c r="AU15" i="41"/>
  <c r="BO30" i="41"/>
  <c r="AU30" i="41"/>
  <c r="AV39" i="40"/>
  <c r="BV39" i="40" s="1"/>
  <c r="AU39" i="40"/>
  <c r="BO30" i="40"/>
  <c r="AU30" i="40"/>
  <c r="AS178" i="40"/>
  <c r="AZ112" i="40"/>
  <c r="BN112" i="40" s="1"/>
  <c r="BO19" i="40"/>
  <c r="BO26" i="40"/>
  <c r="AU26" i="40"/>
  <c r="AH176" i="40"/>
  <c r="AU14" i="40"/>
  <c r="BO111" i="40"/>
  <c r="AU111" i="40"/>
  <c r="AH24" i="39"/>
  <c r="AU22" i="39"/>
  <c r="AZ81" i="39"/>
  <c r="BN81" i="39" s="1"/>
  <c r="AU58" i="39"/>
  <c r="AU57" i="39"/>
  <c r="AV47" i="39"/>
  <c r="BV47" i="39" s="1"/>
  <c r="AU47" i="39"/>
  <c r="BK125" i="39"/>
  <c r="AH72" i="39"/>
  <c r="AU69" i="39"/>
  <c r="AZ102" i="39"/>
  <c r="BO12" i="39"/>
  <c r="BO13" i="39" s="1"/>
  <c r="AU12" i="39"/>
  <c r="AZ88" i="39"/>
  <c r="BN88" i="39" s="1"/>
  <c r="AD23" i="47"/>
  <c r="BV24" i="47" s="1"/>
  <c r="BM52" i="42"/>
  <c r="AR86" i="39"/>
  <c r="AZ98" i="39"/>
  <c r="BN98" i="39" s="1"/>
  <c r="AZ56" i="40"/>
  <c r="AZ134" i="40"/>
  <c r="BN134" i="40" s="1"/>
  <c r="AZ57" i="40"/>
  <c r="BN57" i="40" s="1"/>
  <c r="BP50" i="41"/>
  <c r="AZ100" i="41"/>
  <c r="BO15" i="41"/>
  <c r="AV18" i="41"/>
  <c r="BV18" i="41" s="1"/>
  <c r="BX210" i="42"/>
  <c r="AZ160" i="42"/>
  <c r="AZ84" i="42"/>
  <c r="BN84" i="42" s="1"/>
  <c r="BR210" i="42"/>
  <c r="AB21" i="47"/>
  <c r="AR110" i="40"/>
  <c r="AZ59" i="40"/>
  <c r="BN59" i="40" s="1"/>
  <c r="AZ50" i="40"/>
  <c r="BN50" i="40" s="1"/>
  <c r="AZ136" i="40"/>
  <c r="BN136" i="40" s="1"/>
  <c r="BK166" i="40"/>
  <c r="BM167" i="40" s="1"/>
  <c r="BO102" i="40"/>
  <c r="AT55" i="40"/>
  <c r="AZ124" i="42"/>
  <c r="BN124" i="42" s="1"/>
  <c r="AZ51" i="42"/>
  <c r="BN51" i="42" s="1"/>
  <c r="AZ132" i="41"/>
  <c r="BX105" i="41"/>
  <c r="BM128" i="39"/>
  <c r="AZ120" i="39"/>
  <c r="BN120" i="39" s="1"/>
  <c r="AZ71" i="39"/>
  <c r="BN71" i="39" s="1"/>
  <c r="BO69" i="39"/>
  <c r="BO72" i="39" s="1"/>
  <c r="AV69" i="39"/>
  <c r="BV69" i="39" s="1"/>
  <c r="BU69" i="39"/>
  <c r="AS114" i="39"/>
  <c r="AU123" i="39"/>
  <c r="AZ53" i="39"/>
  <c r="BN53" i="39" s="1"/>
  <c r="BU57" i="39"/>
  <c r="BU58" i="39" s="1"/>
  <c r="BM204" i="42"/>
  <c r="BX172" i="42"/>
  <c r="BK199" i="42"/>
  <c r="BD22" i="47" s="1"/>
  <c r="AZ110" i="42"/>
  <c r="BN110" i="42" s="1"/>
  <c r="BO162" i="42"/>
  <c r="BM172" i="42"/>
  <c r="AS125" i="42"/>
  <c r="I65" i="41"/>
  <c r="AV30" i="40"/>
  <c r="AV177" i="40" s="1"/>
  <c r="AV111" i="40"/>
  <c r="BU30" i="40"/>
  <c r="AH177" i="40"/>
  <c r="BO137" i="40"/>
  <c r="AS32" i="40"/>
  <c r="AC19" i="47"/>
  <c r="BP50" i="39"/>
  <c r="AZ27" i="39"/>
  <c r="BN27" i="39" s="1"/>
  <c r="BW125" i="39"/>
  <c r="BQ135" i="39"/>
  <c r="I135" i="42"/>
  <c r="AZ90" i="41"/>
  <c r="BN90" i="41" s="1"/>
  <c r="BO18" i="41"/>
  <c r="AZ102" i="41"/>
  <c r="BN102" i="41" s="1"/>
  <c r="AZ41" i="40"/>
  <c r="BN41" i="40" s="1"/>
  <c r="AZ129" i="40"/>
  <c r="BN129" i="40" s="1"/>
  <c r="AZ86" i="40"/>
  <c r="BN86" i="40" s="1"/>
  <c r="BO127" i="40"/>
  <c r="BO14" i="40"/>
  <c r="BO15" i="40" s="1"/>
  <c r="AH15" i="40"/>
  <c r="AV14" i="40"/>
  <c r="AV176" i="40" s="1"/>
  <c r="BU14" i="40"/>
  <c r="BU176" i="40" s="1"/>
  <c r="BR135" i="39"/>
  <c r="AR44" i="39"/>
  <c r="AZ29" i="39"/>
  <c r="BN29" i="39" s="1"/>
  <c r="AS115" i="42"/>
  <c r="AR121" i="42"/>
  <c r="AH115" i="42"/>
  <c r="W200" i="42"/>
  <c r="AZ55" i="42"/>
  <c r="BN55" i="42" s="1"/>
  <c r="AR166" i="42"/>
  <c r="AZ184" i="42"/>
  <c r="BN184" i="42" s="1"/>
  <c r="AT60" i="42"/>
  <c r="AZ60" i="42" s="1"/>
  <c r="BN60" i="42" s="1"/>
  <c r="V199" i="42"/>
  <c r="AI200" i="42" s="1"/>
  <c r="AV136" i="42"/>
  <c r="AV138" i="42" s="1"/>
  <c r="BP121" i="42"/>
  <c r="AZ23" i="42"/>
  <c r="BN23" i="42" s="1"/>
  <c r="AZ98" i="42"/>
  <c r="BN98" i="42" s="1"/>
  <c r="AT136" i="42"/>
  <c r="AT138" i="42" s="1"/>
  <c r="BK200" i="42"/>
  <c r="V200" i="42"/>
  <c r="V138" i="41"/>
  <c r="AI139" i="41" s="1"/>
  <c r="BR148" i="41"/>
  <c r="AZ52" i="41"/>
  <c r="BN52" i="41" s="1"/>
  <c r="AH72" i="41"/>
  <c r="AZ74" i="42"/>
  <c r="BN74" i="42" s="1"/>
  <c r="AZ176" i="42"/>
  <c r="BN176" i="42" s="1"/>
  <c r="AZ196" i="42"/>
  <c r="BN196" i="42" s="1"/>
  <c r="I205" i="42"/>
  <c r="I145" i="42"/>
  <c r="BX50" i="41"/>
  <c r="AZ46" i="41"/>
  <c r="BN46" i="41" s="1"/>
  <c r="AZ34" i="41"/>
  <c r="BN34" i="41" s="1"/>
  <c r="AS176" i="40"/>
  <c r="BP60" i="40"/>
  <c r="BQ53" i="40"/>
  <c r="AZ104" i="40"/>
  <c r="BN104" i="40" s="1"/>
  <c r="AT39" i="40"/>
  <c r="AT44" i="40" s="1"/>
  <c r="AZ29" i="40"/>
  <c r="BN29" i="40" s="1"/>
  <c r="V169" i="40"/>
  <c r="BN31" i="40"/>
  <c r="AZ47" i="40"/>
  <c r="BN47" i="40" s="1"/>
  <c r="AZ147" i="40"/>
  <c r="BN147" i="40" s="1"/>
  <c r="BT60" i="40"/>
  <c r="BT166" i="40" s="1"/>
  <c r="BM20" i="47" s="1"/>
  <c r="AB20" i="47"/>
  <c r="AZ153" i="40"/>
  <c r="BN153" i="40" s="1"/>
  <c r="BO39" i="40"/>
  <c r="BO114" i="40"/>
  <c r="AZ126" i="40"/>
  <c r="BN126" i="40" s="1"/>
  <c r="BU39" i="40"/>
  <c r="AT57" i="39"/>
  <c r="BR42" i="39"/>
  <c r="BT125" i="39"/>
  <c r="AZ60" i="39"/>
  <c r="BN60" i="39" s="1"/>
  <c r="BP137" i="39"/>
  <c r="BP13" i="39"/>
  <c r="AZ112" i="39"/>
  <c r="BN112" i="39" s="1"/>
  <c r="BK127" i="39"/>
  <c r="BM126" i="39" s="1"/>
  <c r="BP136" i="39"/>
  <c r="BT25" i="47"/>
  <c r="BX103" i="39"/>
  <c r="BX107" i="39" s="1"/>
  <c r="BU39" i="39"/>
  <c r="AR107" i="39"/>
  <c r="AP19" i="47"/>
  <c r="AZ105" i="39"/>
  <c r="BN105" i="39" s="1"/>
  <c r="I86" i="39"/>
  <c r="BU13" i="47"/>
  <c r="BU23" i="47" s="1"/>
  <c r="BT24" i="47" s="1"/>
  <c r="BK167" i="40"/>
  <c r="AH58" i="39"/>
  <c r="I115" i="42"/>
  <c r="AZ75" i="41"/>
  <c r="BN75" i="41" s="1"/>
  <c r="AS72" i="39"/>
  <c r="AT69" i="39"/>
  <c r="BN78" i="41"/>
  <c r="BN171" i="42"/>
  <c r="BO123" i="42"/>
  <c r="AZ50" i="42"/>
  <c r="BN50" i="42" s="1"/>
  <c r="BO57" i="39"/>
  <c r="BO58" i="39" s="1"/>
  <c r="I172" i="40"/>
  <c r="AU13" i="39"/>
  <c r="AZ148" i="40"/>
  <c r="BN148" i="40" s="1"/>
  <c r="AZ125" i="41"/>
  <c r="BN125" i="41" s="1"/>
  <c r="AH44" i="42"/>
  <c r="AV41" i="42"/>
  <c r="AZ133" i="42"/>
  <c r="BN133" i="42" s="1"/>
  <c r="I44" i="42"/>
  <c r="AV12" i="39"/>
  <c r="BV12" i="39" s="1"/>
  <c r="BV13" i="39" s="1"/>
  <c r="AH137" i="39"/>
  <c r="I21" i="41"/>
  <c r="BU123" i="42"/>
  <c r="AZ13" i="41"/>
  <c r="BN13" i="41" s="1"/>
  <c r="I83" i="41"/>
  <c r="AH13" i="39"/>
  <c r="AH136" i="39"/>
  <c r="BQ32" i="40"/>
  <c r="BX149" i="41"/>
  <c r="AZ101" i="42"/>
  <c r="BN101" i="42" s="1"/>
  <c r="AV103" i="39"/>
  <c r="BV103" i="39" s="1"/>
  <c r="BV107" i="39" s="1"/>
  <c r="BO103" i="39"/>
  <c r="BO107" i="39" s="1"/>
  <c r="AZ95" i="39"/>
  <c r="BN95" i="39" s="1"/>
  <c r="BX36" i="39"/>
  <c r="BR176" i="40"/>
  <c r="AZ141" i="40"/>
  <c r="BN141" i="40" s="1"/>
  <c r="AZ17" i="40"/>
  <c r="BN17" i="40" s="1"/>
  <c r="AV57" i="39"/>
  <c r="AZ101" i="41"/>
  <c r="BN101" i="41" s="1"/>
  <c r="AH156" i="42"/>
  <c r="AZ92" i="41"/>
  <c r="BN92" i="41" s="1"/>
  <c r="BM129" i="39"/>
  <c r="AZ64" i="39"/>
  <c r="BN64" i="39" s="1"/>
  <c r="AZ107" i="41"/>
  <c r="BN107" i="41" s="1"/>
  <c r="AZ135" i="40"/>
  <c r="BN135" i="40" s="1"/>
  <c r="AV154" i="42"/>
  <c r="BV154" i="42" s="1"/>
  <c r="BV156" i="42" s="1"/>
  <c r="BO154" i="42"/>
  <c r="BO156" i="42" s="1"/>
  <c r="BV109" i="40"/>
  <c r="BV110" i="40" s="1"/>
  <c r="AT61" i="41"/>
  <c r="AZ109" i="42"/>
  <c r="BN109" i="42" s="1"/>
  <c r="AH107" i="39"/>
  <c r="BM18" i="39"/>
  <c r="BP20" i="40"/>
  <c r="BP23" i="40" s="1"/>
  <c r="BM36" i="39"/>
  <c r="I114" i="39"/>
  <c r="AU107" i="39"/>
  <c r="BO47" i="39"/>
  <c r="AQ140" i="41"/>
  <c r="I137" i="39"/>
  <c r="AZ85" i="40"/>
  <c r="BN85" i="40" s="1"/>
  <c r="AQ170" i="40"/>
  <c r="AZ81" i="41"/>
  <c r="BN81" i="41" s="1"/>
  <c r="AZ36" i="42"/>
  <c r="BN36" i="42" s="1"/>
  <c r="AZ127" i="41"/>
  <c r="BN127" i="41" s="1"/>
  <c r="AZ113" i="40"/>
  <c r="BN113" i="40" s="1"/>
  <c r="AZ23" i="39"/>
  <c r="BN23" i="39" s="1"/>
  <c r="AZ111" i="39"/>
  <c r="BN111" i="39" s="1"/>
  <c r="AH114" i="40"/>
  <c r="AP169" i="40"/>
  <c r="BX176" i="40"/>
  <c r="AZ27" i="40"/>
  <c r="BN27" i="40" s="1"/>
  <c r="BR149" i="41"/>
  <c r="AR43" i="41"/>
  <c r="AZ188" i="42"/>
  <c r="BN188" i="42" s="1"/>
  <c r="AT48" i="42"/>
  <c r="I36" i="39"/>
  <c r="AZ15" i="39"/>
  <c r="BN15" i="39" s="1"/>
  <c r="AR15" i="40"/>
  <c r="AR44" i="40"/>
  <c r="I151" i="40"/>
  <c r="BZ167" i="40"/>
  <c r="BO72" i="41"/>
  <c r="AZ69" i="41"/>
  <c r="BN69" i="41" s="1"/>
  <c r="AZ111" i="42"/>
  <c r="BN111" i="42" s="1"/>
  <c r="I105" i="41"/>
  <c r="AS61" i="41"/>
  <c r="AZ49" i="40"/>
  <c r="BN49" i="40" s="1"/>
  <c r="BK124" i="39"/>
  <c r="BM125" i="39" s="1"/>
  <c r="BN39" i="39"/>
  <c r="BO123" i="39"/>
  <c r="BZ125" i="39"/>
  <c r="AQ23" i="40"/>
  <c r="BN34" i="40"/>
  <c r="AZ137" i="42"/>
  <c r="BN137" i="42" s="1"/>
  <c r="BR173" i="40"/>
  <c r="AZ122" i="40"/>
  <c r="BN122" i="40" s="1"/>
  <c r="AZ21" i="40"/>
  <c r="BN21" i="40" s="1"/>
  <c r="AZ140" i="42"/>
  <c r="BN140" i="42" s="1"/>
  <c r="AV185" i="42"/>
  <c r="BN127" i="42"/>
  <c r="BW200" i="42"/>
  <c r="BU129" i="42"/>
  <c r="AU185" i="42"/>
  <c r="BV109" i="42"/>
  <c r="BV112" i="42" s="1"/>
  <c r="BO164" i="42"/>
  <c r="BO166" i="42" s="1"/>
  <c r="AZ66" i="42"/>
  <c r="BN66" i="42" s="1"/>
  <c r="I162" i="42"/>
  <c r="BO185" i="42"/>
  <c r="AH166" i="42"/>
  <c r="AZ88" i="42"/>
  <c r="BN88" i="42" s="1"/>
  <c r="AS44" i="42"/>
  <c r="AV166" i="42"/>
  <c r="AZ62" i="42"/>
  <c r="BN62" i="42" s="1"/>
  <c r="I166" i="42"/>
  <c r="AZ152" i="42"/>
  <c r="BN152" i="42" s="1"/>
  <c r="I148" i="42"/>
  <c r="AZ35" i="42"/>
  <c r="BN35" i="42" s="1"/>
  <c r="AZ82" i="41"/>
  <c r="BN82" i="41" s="1"/>
  <c r="I50" i="41"/>
  <c r="AQ143" i="41"/>
  <c r="AQ141" i="41" s="1"/>
  <c r="AZ116" i="41"/>
  <c r="BN116" i="41" s="1"/>
  <c r="AZ57" i="41"/>
  <c r="BN57" i="41" s="1"/>
  <c r="I112" i="41"/>
  <c r="AH148" i="41"/>
  <c r="AZ117" i="41"/>
  <c r="BN117" i="41" s="1"/>
  <c r="AH36" i="41"/>
  <c r="AZ14" i="41"/>
  <c r="BN14" i="41" s="1"/>
  <c r="AV30" i="41"/>
  <c r="BV30" i="41" s="1"/>
  <c r="AF105" i="41"/>
  <c r="AF138" i="41" s="1"/>
  <c r="AZ129" i="41"/>
  <c r="BN129" i="41" s="1"/>
  <c r="AZ73" i="41"/>
  <c r="BN73" i="41" s="1"/>
  <c r="AZ96" i="41"/>
  <c r="BN96" i="41" s="1"/>
  <c r="BU116" i="41"/>
  <c r="AZ108" i="41"/>
  <c r="BN108" i="41" s="1"/>
  <c r="BM50" i="41"/>
  <c r="BM140" i="41"/>
  <c r="AZ135" i="41"/>
  <c r="BN135" i="41" s="1"/>
  <c r="BO79" i="41"/>
  <c r="BY143" i="41"/>
  <c r="BY141" i="41" s="1"/>
  <c r="AZ55" i="41"/>
  <c r="BN55" i="41" s="1"/>
  <c r="AZ63" i="41"/>
  <c r="BN63" i="41" s="1"/>
  <c r="BQ105" i="41"/>
  <c r="BO83" i="41"/>
  <c r="AZ110" i="41"/>
  <c r="BN110" i="41" s="1"/>
  <c r="AZ49" i="41"/>
  <c r="BN49" i="41" s="1"/>
  <c r="I124" i="41"/>
  <c r="AZ118" i="41"/>
  <c r="BN118" i="41" s="1"/>
  <c r="AZ134" i="41"/>
  <c r="BN134" i="41" s="1"/>
  <c r="AZ41" i="41"/>
  <c r="BN41" i="41" s="1"/>
  <c r="AH20" i="40"/>
  <c r="AF23" i="40"/>
  <c r="AF170" i="40"/>
  <c r="BN56" i="40"/>
  <c r="BW167" i="40"/>
  <c r="BK169" i="40"/>
  <c r="BM168" i="40" s="1"/>
  <c r="AZ42" i="40"/>
  <c r="BN42" i="40" s="1"/>
  <c r="BR60" i="40"/>
  <c r="AO166" i="40"/>
  <c r="AH20" i="47" s="1"/>
  <c r="AZ65" i="40"/>
  <c r="BN65" i="40" s="1"/>
  <c r="BP171" i="40"/>
  <c r="AV26" i="40"/>
  <c r="BV26" i="40" s="1"/>
  <c r="BU102" i="40"/>
  <c r="AZ87" i="40"/>
  <c r="BN87" i="40" s="1"/>
  <c r="AZ154" i="40"/>
  <c r="BN154" i="40" s="1"/>
  <c r="BU26" i="40"/>
  <c r="AZ106" i="40"/>
  <c r="BN106" i="40" s="1"/>
  <c r="V166" i="40"/>
  <c r="AI167" i="40" s="1"/>
  <c r="AZ12" i="40"/>
  <c r="BN12" i="40" s="1"/>
  <c r="AZ142" i="40"/>
  <c r="BN142" i="40" s="1"/>
  <c r="BN97" i="40"/>
  <c r="AU102" i="40"/>
  <c r="I74" i="40"/>
  <c r="AZ91" i="40"/>
  <c r="BN91" i="40" s="1"/>
  <c r="AZ58" i="40"/>
  <c r="BN58" i="40" s="1"/>
  <c r="AZ163" i="40"/>
  <c r="BN163" i="40" s="1"/>
  <c r="AZ76" i="40"/>
  <c r="BN76" i="40" s="1"/>
  <c r="AZ35" i="40"/>
  <c r="BN35" i="40" s="1"/>
  <c r="I124" i="40"/>
  <c r="AZ28" i="39"/>
  <c r="BN28" i="39" s="1"/>
  <c r="AZ38" i="39"/>
  <c r="BN38" i="39" s="1"/>
  <c r="BV118" i="39"/>
  <c r="AS135" i="39"/>
  <c r="BN102" i="39"/>
  <c r="BN62" i="39"/>
  <c r="AZ74" i="39"/>
  <c r="BN74" i="39" s="1"/>
  <c r="BN121" i="39"/>
  <c r="BO93" i="39"/>
  <c r="AR114" i="39"/>
  <c r="AU118" i="39"/>
  <c r="BS124" i="39"/>
  <c r="BL19" i="47" s="1"/>
  <c r="BU38" i="39"/>
  <c r="BR128" i="39"/>
  <c r="AV118" i="39"/>
  <c r="BU118" i="39"/>
  <c r="AZ49" i="39"/>
  <c r="BN49" i="39" s="1"/>
  <c r="BX135" i="39"/>
  <c r="BU123" i="39"/>
  <c r="AZ92" i="39"/>
  <c r="BN92" i="39" s="1"/>
  <c r="AZ104" i="39"/>
  <c r="BN104" i="39" s="1"/>
  <c r="AZ84" i="39"/>
  <c r="BN84" i="39" s="1"/>
  <c r="AZ54" i="39"/>
  <c r="BN54" i="39" s="1"/>
  <c r="BW139" i="41"/>
  <c r="AR21" i="47"/>
  <c r="BT139" i="41"/>
  <c r="AI21" i="47"/>
  <c r="AI125" i="39"/>
  <c r="O19" i="47"/>
  <c r="BU57" i="41"/>
  <c r="BK139" i="41"/>
  <c r="AV21" i="47"/>
  <c r="BR18" i="39"/>
  <c r="BZ127" i="39"/>
  <c r="BX137" i="39"/>
  <c r="I134" i="39"/>
  <c r="BW124" i="39"/>
  <c r="BP19" i="47" s="1"/>
  <c r="AZ63" i="39"/>
  <c r="BN63" i="39" s="1"/>
  <c r="BU15" i="39"/>
  <c r="AZ78" i="39"/>
  <c r="BN78" i="39" s="1"/>
  <c r="BM173" i="40"/>
  <c r="BX173" i="40"/>
  <c r="BU109" i="40"/>
  <c r="BU110" i="40" s="1"/>
  <c r="AZ107" i="40"/>
  <c r="BN107" i="40" s="1"/>
  <c r="AZ100" i="40"/>
  <c r="BN100" i="40" s="1"/>
  <c r="BV87" i="40"/>
  <c r="AR97" i="41"/>
  <c r="BU81" i="41"/>
  <c r="BU83" i="41" s="1"/>
  <c r="BS139" i="41"/>
  <c r="AZ133" i="41"/>
  <c r="BN133" i="41" s="1"/>
  <c r="BX145" i="41"/>
  <c r="BN100" i="41"/>
  <c r="BU55" i="41"/>
  <c r="AZ71" i="42"/>
  <c r="BN71" i="42" s="1"/>
  <c r="AZ31" i="42"/>
  <c r="BN31" i="42" s="1"/>
  <c r="AZ24" i="42"/>
  <c r="BN24" i="42" s="1"/>
  <c r="AZ49" i="42"/>
  <c r="BN49" i="42" s="1"/>
  <c r="AZ197" i="42"/>
  <c r="BN197" i="42" s="1"/>
  <c r="AZ174" i="42"/>
  <c r="BN174" i="42" s="1"/>
  <c r="BU127" i="41"/>
  <c r="AV59" i="41"/>
  <c r="BV59" i="41" s="1"/>
  <c r="BO59" i="41"/>
  <c r="BO61" i="41" s="1"/>
  <c r="AU127" i="40"/>
  <c r="BU125" i="40"/>
  <c r="BU127" i="40" s="1"/>
  <c r="AQ173" i="40"/>
  <c r="BU104" i="40"/>
  <c r="AZ157" i="40"/>
  <c r="BN157" i="40" s="1"/>
  <c r="BU129" i="41"/>
  <c r="BZ124" i="39"/>
  <c r="BS19" i="47" s="1"/>
  <c r="BU92" i="39"/>
  <c r="AS60" i="40"/>
  <c r="AQ60" i="40"/>
  <c r="AZ96" i="40"/>
  <c r="BN96" i="40" s="1"/>
  <c r="AZ123" i="40"/>
  <c r="BN123" i="40" s="1"/>
  <c r="BY138" i="41"/>
  <c r="BR21" i="47" s="1"/>
  <c r="BX120" i="41"/>
  <c r="AZ77" i="41"/>
  <c r="BN77" i="41" s="1"/>
  <c r="AS105" i="41"/>
  <c r="AZ89" i="41"/>
  <c r="BN89" i="41" s="1"/>
  <c r="AZ32" i="42"/>
  <c r="BN32" i="42" s="1"/>
  <c r="AZ104" i="42"/>
  <c r="BN104" i="42" s="1"/>
  <c r="AZ170" i="42"/>
  <c r="BN170" i="42" s="1"/>
  <c r="I121" i="42"/>
  <c r="BR98" i="41"/>
  <c r="BR105" i="41" s="1"/>
  <c r="AQ105" i="41"/>
  <c r="AJ125" i="39"/>
  <c r="P19" i="47"/>
  <c r="BU80" i="39"/>
  <c r="BO80" i="39"/>
  <c r="BO86" i="39" s="1"/>
  <c r="AV80" i="39"/>
  <c r="BV80" i="39" s="1"/>
  <c r="BV86" i="39" s="1"/>
  <c r="AZ79" i="40"/>
  <c r="BN79" i="40" s="1"/>
  <c r="I72" i="39"/>
  <c r="BZ166" i="40"/>
  <c r="BS20" i="47" s="1"/>
  <c r="BY139" i="41"/>
  <c r="BD21" i="47"/>
  <c r="BU95" i="39"/>
  <c r="BY124" i="39"/>
  <c r="AG124" i="39"/>
  <c r="AV123" i="39"/>
  <c r="I60" i="40"/>
  <c r="BU27" i="40"/>
  <c r="P141" i="41"/>
  <c r="I43" i="41"/>
  <c r="BV79" i="41"/>
  <c r="BU84" i="39"/>
  <c r="AR170" i="40"/>
  <c r="BS141" i="41"/>
  <c r="BS138" i="41"/>
  <c r="BL21" i="47" s="1"/>
  <c r="BZ139" i="41"/>
  <c r="BE21" i="47"/>
  <c r="AZ20" i="39"/>
  <c r="BN20" i="39" s="1"/>
  <c r="AZ67" i="39"/>
  <c r="BN67" i="39" s="1"/>
  <c r="BT124" i="39"/>
  <c r="BM19" i="47" s="1"/>
  <c r="AZ85" i="39"/>
  <c r="BN85" i="39" s="1"/>
  <c r="AZ87" i="39"/>
  <c r="BN87" i="39" s="1"/>
  <c r="I176" i="40"/>
  <c r="BO177" i="40"/>
  <c r="AT156" i="40"/>
  <c r="AT161" i="40" s="1"/>
  <c r="BO67" i="40"/>
  <c r="AZ37" i="40"/>
  <c r="BN37" i="40" s="1"/>
  <c r="BX32" i="40"/>
  <c r="BP44" i="40"/>
  <c r="AT138" i="40"/>
  <c r="AT144" i="40" s="1"/>
  <c r="AZ38" i="41"/>
  <c r="BN38" i="41" s="1"/>
  <c r="AZ114" i="41"/>
  <c r="BN114" i="41" s="1"/>
  <c r="BO149" i="41"/>
  <c r="BO112" i="41"/>
  <c r="BV83" i="41"/>
  <c r="BM120" i="41"/>
  <c r="BU118" i="41"/>
  <c r="AZ63" i="42"/>
  <c r="BN63" i="42" s="1"/>
  <c r="BX156" i="42"/>
  <c r="AZ183" i="42"/>
  <c r="BN183" i="42" s="1"/>
  <c r="I198" i="42"/>
  <c r="AZ54" i="41"/>
  <c r="BN54" i="41" s="1"/>
  <c r="W167" i="40"/>
  <c r="AC20" i="47"/>
  <c r="BT167" i="40"/>
  <c r="AI20" i="47"/>
  <c r="Q169" i="40"/>
  <c r="I148" i="41"/>
  <c r="I56" i="39"/>
  <c r="AZ35" i="39"/>
  <c r="BN35" i="39" s="1"/>
  <c r="AZ133" i="40"/>
  <c r="BN133" i="40" s="1"/>
  <c r="BS171" i="40"/>
  <c r="AZ33" i="39"/>
  <c r="BN33" i="39" s="1"/>
  <c r="I135" i="39"/>
  <c r="AR128" i="39"/>
  <c r="AZ26" i="39"/>
  <c r="BN26" i="39" s="1"/>
  <c r="BT127" i="39"/>
  <c r="Q124" i="39"/>
  <c r="J19" i="47" s="1"/>
  <c r="BW127" i="39"/>
  <c r="AZ32" i="39"/>
  <c r="BN32" i="39" s="1"/>
  <c r="AZ146" i="40"/>
  <c r="BN146" i="40" s="1"/>
  <c r="AU151" i="40"/>
  <c r="AO169" i="40"/>
  <c r="BW166" i="40"/>
  <c r="BP20" i="47" s="1"/>
  <c r="AJ167" i="40"/>
  <c r="P20" i="47"/>
  <c r="AZ63" i="40"/>
  <c r="BN63" i="40" s="1"/>
  <c r="AZ24" i="41"/>
  <c r="BN24" i="41" s="1"/>
  <c r="BV60" i="41"/>
  <c r="AZ48" i="41"/>
  <c r="BN48" i="41" s="1"/>
  <c r="AZ119" i="41"/>
  <c r="BN119" i="41" s="1"/>
  <c r="AJ139" i="41"/>
  <c r="P21" i="47"/>
  <c r="AZ99" i="41"/>
  <c r="BN99" i="41" s="1"/>
  <c r="AZ42" i="41"/>
  <c r="BN42" i="41" s="1"/>
  <c r="AS52" i="42"/>
  <c r="AZ178" i="42"/>
  <c r="BN178" i="42" s="1"/>
  <c r="AZ20" i="42"/>
  <c r="BN20" i="42" s="1"/>
  <c r="BO85" i="42"/>
  <c r="AZ182" i="42"/>
  <c r="BN182" i="42" s="1"/>
  <c r="BU41" i="39"/>
  <c r="AZ41" i="39"/>
  <c r="BN41" i="39" s="1"/>
  <c r="BP98" i="41"/>
  <c r="BP105" i="41" s="1"/>
  <c r="AH98" i="41"/>
  <c r="AU98" i="41" s="1"/>
  <c r="AR98" i="41"/>
  <c r="AT98" i="41" s="1"/>
  <c r="AV127" i="40"/>
  <c r="BV125" i="40"/>
  <c r="BV127" i="40" s="1"/>
  <c r="AZ159" i="40"/>
  <c r="BN159" i="40" s="1"/>
  <c r="AH86" i="39"/>
  <c r="BV85" i="42"/>
  <c r="V202" i="42"/>
  <c r="AZ92" i="42"/>
  <c r="BN92" i="42" s="1"/>
  <c r="BV38" i="42"/>
  <c r="BV40" i="42" s="1"/>
  <c r="AZ107" i="42"/>
  <c r="BN107" i="42" s="1"/>
  <c r="AZ181" i="42"/>
  <c r="BN181" i="42" s="1"/>
  <c r="AZ13" i="42"/>
  <c r="BN13" i="42" s="1"/>
  <c r="AZ119" i="42"/>
  <c r="BN119" i="42" s="1"/>
  <c r="AZ56" i="42"/>
  <c r="BN56" i="42" s="1"/>
  <c r="BP209" i="42"/>
  <c r="AZ108" i="42"/>
  <c r="BN108" i="42" s="1"/>
  <c r="AR162" i="42"/>
  <c r="BZ200" i="42"/>
  <c r="AZ42" i="42"/>
  <c r="BN42" i="42" s="1"/>
  <c r="AZ103" i="42"/>
  <c r="BN103" i="42" s="1"/>
  <c r="AZ155" i="42"/>
  <c r="BN155" i="42" s="1"/>
  <c r="AT116" i="42"/>
  <c r="AT121" i="42" s="1"/>
  <c r="AZ94" i="42"/>
  <c r="BN94" i="42" s="1"/>
  <c r="BN120" i="42"/>
  <c r="AZ27" i="42"/>
  <c r="BN27" i="42" s="1"/>
  <c r="I69" i="42"/>
  <c r="BV35" i="42"/>
  <c r="BV37" i="42" s="1"/>
  <c r="AV145" i="42"/>
  <c r="BK202" i="42"/>
  <c r="BM201" i="42" s="1"/>
  <c r="AZ128" i="42"/>
  <c r="BN128" i="42" s="1"/>
  <c r="BU94" i="42"/>
  <c r="AZ143" i="42"/>
  <c r="BN143" i="42" s="1"/>
  <c r="AZ193" i="42"/>
  <c r="BN193" i="42" s="1"/>
  <c r="AZ102" i="42"/>
  <c r="BN102" i="42" s="1"/>
  <c r="AZ19" i="42"/>
  <c r="BN19" i="42" s="1"/>
  <c r="AZ87" i="42"/>
  <c r="BN87" i="42" s="1"/>
  <c r="BR105" i="42"/>
  <c r="AU112" i="42"/>
  <c r="AJ200" i="42"/>
  <c r="AZ144" i="42"/>
  <c r="BN144" i="42" s="1"/>
  <c r="I99" i="42"/>
  <c r="BV185" i="42"/>
  <c r="BZ199" i="42"/>
  <c r="BS22" i="47" s="1"/>
  <c r="AR198" i="42"/>
  <c r="AZ61" i="42"/>
  <c r="BN61" i="42" s="1"/>
  <c r="AS203" i="42"/>
  <c r="W202" i="42"/>
  <c r="BW199" i="42"/>
  <c r="BP22" i="47" s="1"/>
  <c r="BT200" i="42"/>
  <c r="AI22" i="47"/>
  <c r="AQ201" i="42"/>
  <c r="BN129" i="42"/>
  <c r="BQ46" i="42"/>
  <c r="BQ212" i="42"/>
  <c r="AZ190" i="42"/>
  <c r="BN190" i="42" s="1"/>
  <c r="I210" i="42"/>
  <c r="AU99" i="42"/>
  <c r="AZ177" i="42"/>
  <c r="BN177" i="42" s="1"/>
  <c r="AZ159" i="42"/>
  <c r="BN159" i="42" s="1"/>
  <c r="AV105" i="42"/>
  <c r="BN160" i="42"/>
  <c r="BV76" i="42"/>
  <c r="AS46" i="42"/>
  <c r="AS212" i="42"/>
  <c r="AZ141" i="42"/>
  <c r="BN141" i="42" s="1"/>
  <c r="I95" i="42"/>
  <c r="BU145" i="42"/>
  <c r="AZ75" i="42"/>
  <c r="BN75" i="42" s="1"/>
  <c r="BS200" i="42"/>
  <c r="BU111" i="42"/>
  <c r="BQ203" i="42"/>
  <c r="AZ91" i="42"/>
  <c r="BN91" i="42" s="1"/>
  <c r="BO53" i="42"/>
  <c r="BO58" i="42" s="1"/>
  <c r="AH58" i="42"/>
  <c r="AV53" i="42"/>
  <c r="AR210" i="42"/>
  <c r="AT18" i="42"/>
  <c r="AQ58" i="42"/>
  <c r="BR53" i="42"/>
  <c r="BR58" i="42" s="1"/>
  <c r="AH121" i="42"/>
  <c r="AV116" i="42"/>
  <c r="BO116" i="42"/>
  <c r="BO121" i="42" s="1"/>
  <c r="AT156" i="42"/>
  <c r="AH131" i="42"/>
  <c r="AV126" i="42"/>
  <c r="BO126" i="42"/>
  <c r="BO131" i="42" s="1"/>
  <c r="Q202" i="42"/>
  <c r="BU76" i="42"/>
  <c r="AS211" i="42"/>
  <c r="AS78" i="42"/>
  <c r="BU107" i="42"/>
  <c r="AU145" i="42"/>
  <c r="AZ165" i="42"/>
  <c r="BN165" i="42" s="1"/>
  <c r="BR203" i="42"/>
  <c r="BT44" i="42"/>
  <c r="BT199" i="42" s="1"/>
  <c r="BM22" i="47" s="1"/>
  <c r="AV99" i="42"/>
  <c r="BV96" i="42"/>
  <c r="BV99" i="42" s="1"/>
  <c r="AZ130" i="42"/>
  <c r="BN130" i="42" s="1"/>
  <c r="AZ157" i="42"/>
  <c r="AT162" i="42"/>
  <c r="AQ200" i="42"/>
  <c r="BZ202" i="42"/>
  <c r="AR25" i="42"/>
  <c r="AT22" i="42"/>
  <c r="AS209" i="42"/>
  <c r="AT17" i="42"/>
  <c r="I206" i="42"/>
  <c r="I64" i="42"/>
  <c r="AR212" i="42"/>
  <c r="AR46" i="42"/>
  <c r="AT45" i="42"/>
  <c r="BU96" i="42"/>
  <c r="BU99" i="42" s="1"/>
  <c r="BV103" i="42"/>
  <c r="P199" i="42"/>
  <c r="I22" i="47" s="1"/>
  <c r="BV141" i="42"/>
  <c r="BV145" i="42" s="1"/>
  <c r="AU89" i="42"/>
  <c r="BU86" i="42"/>
  <c r="BU89" i="42" s="1"/>
  <c r="BV41" i="42"/>
  <c r="AU37" i="42"/>
  <c r="BU34" i="42"/>
  <c r="BU37" i="42" s="1"/>
  <c r="AZ80" i="42"/>
  <c r="BN80" i="42" s="1"/>
  <c r="BU105" i="42"/>
  <c r="I156" i="42"/>
  <c r="I40" i="42"/>
  <c r="I203" i="42"/>
  <c r="I21" i="42"/>
  <c r="AZ147" i="42"/>
  <c r="BN147" i="42" s="1"/>
  <c r="AU162" i="42"/>
  <c r="BU157" i="42"/>
  <c r="BU162" i="42" s="1"/>
  <c r="AU95" i="42"/>
  <c r="BU90" i="42"/>
  <c r="AZ28" i="42"/>
  <c r="BN28" i="42" s="1"/>
  <c r="AH205" i="42"/>
  <c r="AV14" i="42"/>
  <c r="BO14" i="42"/>
  <c r="BU56" i="42"/>
  <c r="I204" i="42"/>
  <c r="I52" i="42"/>
  <c r="AT135" i="42"/>
  <c r="AZ164" i="42"/>
  <c r="BN164" i="42" s="1"/>
  <c r="AU76" i="42"/>
  <c r="I112" i="42"/>
  <c r="I211" i="42"/>
  <c r="I78" i="42"/>
  <c r="I58" i="42"/>
  <c r="AZ168" i="42"/>
  <c r="BN168" i="42" s="1"/>
  <c r="AZ16" i="42"/>
  <c r="BN16" i="42" s="1"/>
  <c r="AV112" i="42"/>
  <c r="AH203" i="42"/>
  <c r="AH21" i="42"/>
  <c r="AV12" i="42"/>
  <c r="BO12" i="42"/>
  <c r="AH25" i="42"/>
  <c r="AV22" i="42"/>
  <c r="BO22" i="42"/>
  <c r="BO25" i="42" s="1"/>
  <c r="AH209" i="42"/>
  <c r="AV17" i="42"/>
  <c r="BO17" i="42"/>
  <c r="BV115" i="42"/>
  <c r="I179" i="42"/>
  <c r="AT166" i="42"/>
  <c r="AZ163" i="42"/>
  <c r="BU92" i="42"/>
  <c r="BQ211" i="42"/>
  <c r="BQ78" i="42"/>
  <c r="BP206" i="42"/>
  <c r="BR206" i="42"/>
  <c r="AZ73" i="42"/>
  <c r="BN73" i="42" s="1"/>
  <c r="AZ114" i="42"/>
  <c r="BN114" i="42" s="1"/>
  <c r="BR43" i="42"/>
  <c r="AQ209" i="42"/>
  <c r="AQ44" i="42"/>
  <c r="AT79" i="42"/>
  <c r="AU156" i="42"/>
  <c r="BU155" i="42"/>
  <c r="AF204" i="42"/>
  <c r="AH47" i="42"/>
  <c r="AU47" i="42" s="1"/>
  <c r="BP47" i="42"/>
  <c r="AR47" i="42"/>
  <c r="AF52" i="42"/>
  <c r="AF199" i="42" s="1"/>
  <c r="Y22" i="47" s="1"/>
  <c r="AZ189" i="42"/>
  <c r="BN189" i="42" s="1"/>
  <c r="BQ209" i="42"/>
  <c r="I37" i="42"/>
  <c r="AZ34" i="42"/>
  <c r="AT37" i="42"/>
  <c r="BP212" i="42"/>
  <c r="BP46" i="42"/>
  <c r="AR211" i="42"/>
  <c r="AT77" i="42"/>
  <c r="AR78" i="42"/>
  <c r="AZ142" i="42"/>
  <c r="BN142" i="42" s="1"/>
  <c r="AU166" i="42"/>
  <c r="BU85" i="42"/>
  <c r="AT115" i="42"/>
  <c r="AV89" i="42"/>
  <c r="BV86" i="42"/>
  <c r="BV89" i="42" s="1"/>
  <c r="BR205" i="42"/>
  <c r="AV37" i="42"/>
  <c r="AZ175" i="42"/>
  <c r="BN175" i="42" s="1"/>
  <c r="AT173" i="42"/>
  <c r="AR179" i="42"/>
  <c r="I185" i="42"/>
  <c r="AU40" i="42"/>
  <c r="BU38" i="42"/>
  <c r="BU40" i="42" s="1"/>
  <c r="AV162" i="42"/>
  <c r="BV157" i="42"/>
  <c r="BV162" i="42" s="1"/>
  <c r="AR209" i="42"/>
  <c r="AV95" i="42"/>
  <c r="BV90" i="42"/>
  <c r="BV95" i="42" s="1"/>
  <c r="BS204" i="42"/>
  <c r="BS52" i="42"/>
  <c r="BS199" i="42" s="1"/>
  <c r="AR58" i="42"/>
  <c r="AR205" i="42"/>
  <c r="AT14" i="42"/>
  <c r="AZ67" i="42"/>
  <c r="BN67" i="42" s="1"/>
  <c r="AZ83" i="42"/>
  <c r="BN83" i="42" s="1"/>
  <c r="BN161" i="42"/>
  <c r="BV177" i="42"/>
  <c r="AV76" i="42"/>
  <c r="BU106" i="42"/>
  <c r="I25" i="42"/>
  <c r="AV150" i="42"/>
  <c r="BV150" i="42" s="1"/>
  <c r="BV153" i="42" s="1"/>
  <c r="BU150" i="42"/>
  <c r="BU153" i="42" s="1"/>
  <c r="BO150" i="42"/>
  <c r="BO153" i="42" s="1"/>
  <c r="AV146" i="42"/>
  <c r="AH148" i="42"/>
  <c r="BO146" i="42"/>
  <c r="BO148" i="42" s="1"/>
  <c r="AZ100" i="42"/>
  <c r="AT105" i="42"/>
  <c r="AZ97" i="42"/>
  <c r="BN97" i="42" s="1"/>
  <c r="AH206" i="42"/>
  <c r="AV59" i="42"/>
  <c r="AH64" i="42"/>
  <c r="BO59" i="42"/>
  <c r="I29" i="42"/>
  <c r="AH125" i="42"/>
  <c r="AV122" i="42"/>
  <c r="BO122" i="42"/>
  <c r="BX203" i="42"/>
  <c r="I138" i="42"/>
  <c r="Q199" i="42"/>
  <c r="J22" i="47" s="1"/>
  <c r="I89" i="42"/>
  <c r="AV48" i="42"/>
  <c r="BV48" i="42" s="1"/>
  <c r="BU48" i="42"/>
  <c r="BO48" i="42"/>
  <c r="BP211" i="42"/>
  <c r="BP78" i="42"/>
  <c r="AS206" i="42"/>
  <c r="AS64" i="42"/>
  <c r="AZ68" i="42"/>
  <c r="BN68" i="42" s="1"/>
  <c r="AZ118" i="42"/>
  <c r="BN118" i="42" s="1"/>
  <c r="BU185" i="42"/>
  <c r="AH179" i="42"/>
  <c r="BO173" i="42"/>
  <c r="BO179" i="42" s="1"/>
  <c r="AV173" i="42"/>
  <c r="AZ192" i="42"/>
  <c r="P202" i="42"/>
  <c r="AU105" i="42"/>
  <c r="AQ204" i="42"/>
  <c r="AQ52" i="42"/>
  <c r="BR47" i="42"/>
  <c r="BP205" i="42"/>
  <c r="AH29" i="42"/>
  <c r="AV26" i="42"/>
  <c r="BO26" i="42"/>
  <c r="BO29" i="42" s="1"/>
  <c r="AZ90" i="42"/>
  <c r="AT95" i="42"/>
  <c r="BV101" i="42"/>
  <c r="I105" i="42"/>
  <c r="AZ134" i="42"/>
  <c r="BN134" i="42" s="1"/>
  <c r="AZ187" i="42"/>
  <c r="BN187" i="42" s="1"/>
  <c r="I131" i="42"/>
  <c r="AZ117" i="42"/>
  <c r="BN117" i="42" s="1"/>
  <c r="AV43" i="42"/>
  <c r="BV43" i="42" s="1"/>
  <c r="BU43" i="42"/>
  <c r="BO43" i="42"/>
  <c r="BO44" i="42" s="1"/>
  <c r="AR69" i="42"/>
  <c r="AT65" i="42"/>
  <c r="AH153" i="42"/>
  <c r="I209" i="42"/>
  <c r="AT99" i="42"/>
  <c r="AZ96" i="42"/>
  <c r="AS112" i="42"/>
  <c r="AT106" i="42"/>
  <c r="AT150" i="42"/>
  <c r="AT153" i="42" s="1"/>
  <c r="AR153" i="42"/>
  <c r="AT185" i="42"/>
  <c r="AZ180" i="42"/>
  <c r="BX204" i="42"/>
  <c r="BX52" i="42"/>
  <c r="AV115" i="42"/>
  <c r="I153" i="42"/>
  <c r="AH191" i="42"/>
  <c r="BO186" i="42"/>
  <c r="BO191" i="42" s="1"/>
  <c r="AV186" i="42"/>
  <c r="AV135" i="42"/>
  <c r="BV132" i="42"/>
  <c r="BV135" i="42" s="1"/>
  <c r="BU169" i="42"/>
  <c r="BU172" i="42" s="1"/>
  <c r="AV169" i="42"/>
  <c r="AH172" i="42"/>
  <c r="BO169" i="42"/>
  <c r="BO172" i="42" s="1"/>
  <c r="BX15" i="42"/>
  <c r="BX205" i="42" s="1"/>
  <c r="BM21" i="42"/>
  <c r="AR203" i="42"/>
  <c r="AR21" i="42"/>
  <c r="AT12" i="42"/>
  <c r="AH33" i="42"/>
  <c r="AV30" i="42"/>
  <c r="BO30" i="42"/>
  <c r="BO33" i="42" s="1"/>
  <c r="BQ52" i="42"/>
  <c r="AH211" i="42"/>
  <c r="AH78" i="42"/>
  <c r="AV77" i="42"/>
  <c r="BO77" i="42"/>
  <c r="AR148" i="42"/>
  <c r="AT146" i="42"/>
  <c r="AT40" i="42"/>
  <c r="AZ38" i="42"/>
  <c r="BQ206" i="42"/>
  <c r="BQ64" i="42"/>
  <c r="AZ72" i="42"/>
  <c r="BN72" i="42" s="1"/>
  <c r="AZ93" i="42"/>
  <c r="BN93" i="42" s="1"/>
  <c r="BO76" i="42"/>
  <c r="I172" i="42"/>
  <c r="AT198" i="42"/>
  <c r="BW202" i="42"/>
  <c r="BX60" i="42"/>
  <c r="BM64" i="42"/>
  <c r="BM206" i="42"/>
  <c r="AR131" i="42"/>
  <c r="AT126" i="42"/>
  <c r="AR29" i="42"/>
  <c r="AT26" i="42"/>
  <c r="BV164" i="42"/>
  <c r="BV166" i="42" s="1"/>
  <c r="AZ195" i="42"/>
  <c r="BN195" i="42" s="1"/>
  <c r="AZ81" i="42"/>
  <c r="BN81" i="42" s="1"/>
  <c r="AU85" i="42"/>
  <c r="AZ167" i="42"/>
  <c r="AT172" i="42"/>
  <c r="I85" i="42"/>
  <c r="BO112" i="42"/>
  <c r="AT122" i="42"/>
  <c r="AR125" i="42"/>
  <c r="BU194" i="42"/>
  <c r="BU198" i="42" s="1"/>
  <c r="BO194" i="42"/>
  <c r="BO198" i="42" s="1"/>
  <c r="AV194" i="42"/>
  <c r="BV194" i="42" s="1"/>
  <c r="BV198" i="42" s="1"/>
  <c r="BQ53" i="42"/>
  <c r="BQ58" i="42" s="1"/>
  <c r="AS53" i="42"/>
  <c r="AG58" i="42"/>
  <c r="AG199" i="42" s="1"/>
  <c r="AG204" i="42"/>
  <c r="AT76" i="42"/>
  <c r="AZ70" i="42"/>
  <c r="BN70" i="42" s="1"/>
  <c r="AT89" i="42"/>
  <c r="AZ86" i="42"/>
  <c r="AH210" i="42"/>
  <c r="AV18" i="42"/>
  <c r="BO18" i="42"/>
  <c r="BO210" i="42" s="1"/>
  <c r="AH69" i="42"/>
  <c r="AV65" i="42"/>
  <c r="BO65" i="42"/>
  <c r="BO69" i="42" s="1"/>
  <c r="AZ149" i="42"/>
  <c r="BN149" i="42" s="1"/>
  <c r="AT186" i="42"/>
  <c r="AR191" i="42"/>
  <c r="BY21" i="42"/>
  <c r="BY205" i="42"/>
  <c r="AR206" i="42"/>
  <c r="BP203" i="42"/>
  <c r="BP21" i="42"/>
  <c r="AR33" i="42"/>
  <c r="AT30" i="42"/>
  <c r="AH212" i="42"/>
  <c r="AH46" i="42"/>
  <c r="AV45" i="42"/>
  <c r="BO45" i="42"/>
  <c r="AZ139" i="42"/>
  <c r="AT145" i="42"/>
  <c r="AT44" i="42"/>
  <c r="I33" i="42"/>
  <c r="BT204" i="42"/>
  <c r="I125" i="42"/>
  <c r="AZ151" i="42"/>
  <c r="BN151" i="42" s="1"/>
  <c r="AZ54" i="42"/>
  <c r="BN54" i="42" s="1"/>
  <c r="BY64" i="42"/>
  <c r="BY206" i="42"/>
  <c r="AZ57" i="42"/>
  <c r="BN57" i="42" s="1"/>
  <c r="BQ21" i="42"/>
  <c r="I76" i="42"/>
  <c r="I191" i="42"/>
  <c r="AV85" i="42"/>
  <c r="AR172" i="42"/>
  <c r="AH93" i="41"/>
  <c r="AV88" i="41"/>
  <c r="BO88" i="41"/>
  <c r="BO93" i="41" s="1"/>
  <c r="AS150" i="41"/>
  <c r="AS29" i="41"/>
  <c r="BZ141" i="41"/>
  <c r="BP142" i="41"/>
  <c r="AZ103" i="41"/>
  <c r="BN103" i="41" s="1"/>
  <c r="P138" i="41"/>
  <c r="I21" i="47" s="1"/>
  <c r="AU72" i="41"/>
  <c r="AS36" i="41"/>
  <c r="AZ33" i="41"/>
  <c r="BN33" i="41" s="1"/>
  <c r="Q141" i="41"/>
  <c r="AZ85" i="41"/>
  <c r="BN85" i="41" s="1"/>
  <c r="I143" i="41"/>
  <c r="BV149" i="41"/>
  <c r="AR150" i="41"/>
  <c r="AR29" i="41"/>
  <c r="AT28" i="41"/>
  <c r="BU91" i="41"/>
  <c r="AZ91" i="41"/>
  <c r="BN91" i="41" s="1"/>
  <c r="I150" i="41"/>
  <c r="I29" i="41"/>
  <c r="BU99" i="41"/>
  <c r="AZ64" i="41"/>
  <c r="BN64" i="41" s="1"/>
  <c r="AV79" i="41"/>
  <c r="BU114" i="41"/>
  <c r="AR142" i="41"/>
  <c r="AZ60" i="41"/>
  <c r="BP145" i="41"/>
  <c r="BQ150" i="41"/>
  <c r="BQ29" i="41"/>
  <c r="BP120" i="41"/>
  <c r="AZ136" i="41"/>
  <c r="BN136" i="41" s="1"/>
  <c r="AH21" i="41"/>
  <c r="AV17" i="41"/>
  <c r="BO17" i="41"/>
  <c r="BU60" i="41"/>
  <c r="AZ106" i="41"/>
  <c r="AT112" i="41"/>
  <c r="AS65" i="41"/>
  <c r="AT62" i="41"/>
  <c r="BR21" i="41"/>
  <c r="BT143" i="41"/>
  <c r="BT141" i="41" s="1"/>
  <c r="AT79" i="41"/>
  <c r="AZ26" i="41"/>
  <c r="BN26" i="41" s="1"/>
  <c r="AV72" i="41"/>
  <c r="AS58" i="41"/>
  <c r="AT51" i="41"/>
  <c r="I142" i="41"/>
  <c r="I16" i="41"/>
  <c r="I145" i="41"/>
  <c r="BU53" i="41"/>
  <c r="AZ53" i="41"/>
  <c r="BN53" i="41" s="1"/>
  <c r="I149" i="41"/>
  <c r="AT72" i="41"/>
  <c r="AZ66" i="41"/>
  <c r="BV87" i="41"/>
  <c r="BX142" i="41"/>
  <c r="AS142" i="41"/>
  <c r="AS16" i="41"/>
  <c r="AT12" i="41"/>
  <c r="AZ23" i="41"/>
  <c r="BN23" i="41" s="1"/>
  <c r="BP150" i="41"/>
  <c r="BP29" i="41"/>
  <c r="BU110" i="41"/>
  <c r="BX18" i="41"/>
  <c r="BM143" i="41"/>
  <c r="BM141" i="41" s="1"/>
  <c r="BM21" i="41"/>
  <c r="BT138" i="41"/>
  <c r="BM21" i="47" s="1"/>
  <c r="BU45" i="41"/>
  <c r="I58" i="41"/>
  <c r="AU112" i="41"/>
  <c r="BU106" i="41"/>
  <c r="I79" i="41"/>
  <c r="BW143" i="41"/>
  <c r="BW141" i="41" s="1"/>
  <c r="BP148" i="41"/>
  <c r="BP43" i="41"/>
  <c r="AT17" i="41"/>
  <c r="AR21" i="41"/>
  <c r="I27" i="41"/>
  <c r="BV67" i="41"/>
  <c r="BV72" i="41" s="1"/>
  <c r="AZ86" i="41"/>
  <c r="BN86" i="41" s="1"/>
  <c r="AZ111" i="41"/>
  <c r="BN111" i="41" s="1"/>
  <c r="AZ123" i="41"/>
  <c r="BN123" i="41" s="1"/>
  <c r="AV62" i="41"/>
  <c r="AH65" i="41"/>
  <c r="BO62" i="41"/>
  <c r="BO65" i="41" s="1"/>
  <c r="BU95" i="41"/>
  <c r="AV95" i="41"/>
  <c r="BV95" i="41" s="1"/>
  <c r="BO95" i="41"/>
  <c r="BO97" i="41" s="1"/>
  <c r="AH142" i="41"/>
  <c r="AV12" i="41"/>
  <c r="AH16" i="41"/>
  <c r="BO12" i="41"/>
  <c r="AR50" i="41"/>
  <c r="AZ39" i="41"/>
  <c r="BN39" i="41" s="1"/>
  <c r="AH120" i="41"/>
  <c r="AV113" i="41"/>
  <c r="BO113" i="41"/>
  <c r="BR150" i="41"/>
  <c r="BR29" i="41"/>
  <c r="BQ145" i="41"/>
  <c r="BQ36" i="41"/>
  <c r="BU126" i="41"/>
  <c r="AV126" i="41"/>
  <c r="BV126" i="41" s="1"/>
  <c r="BO126" i="41"/>
  <c r="BO130" i="41" s="1"/>
  <c r="AF141" i="41"/>
  <c r="AZ25" i="41"/>
  <c r="BN25" i="41" s="1"/>
  <c r="BQ142" i="41"/>
  <c r="BQ16" i="41"/>
  <c r="I36" i="41"/>
  <c r="BM139" i="41"/>
  <c r="AH151" i="41"/>
  <c r="AV104" i="41"/>
  <c r="BO104" i="41"/>
  <c r="BX150" i="41"/>
  <c r="BX29" i="41"/>
  <c r="AZ37" i="41"/>
  <c r="AT43" i="41"/>
  <c r="AV112" i="41"/>
  <c r="BV106" i="41"/>
  <c r="BV112" i="41" s="1"/>
  <c r="AZ20" i="41"/>
  <c r="BN20" i="41" s="1"/>
  <c r="BU40" i="41"/>
  <c r="AV40" i="41"/>
  <c r="BV40" i="41" s="1"/>
  <c r="BV43" i="41" s="1"/>
  <c r="BO40" i="41"/>
  <c r="BO43" i="41" s="1"/>
  <c r="BP21" i="41"/>
  <c r="BU37" i="41"/>
  <c r="BU46" i="41"/>
  <c r="BV94" i="41"/>
  <c r="AZ109" i="41"/>
  <c r="BN109" i="41" s="1"/>
  <c r="AH137" i="41"/>
  <c r="AV131" i="41"/>
  <c r="BO131" i="41"/>
  <c r="BO137" i="41" s="1"/>
  <c r="BU15" i="41"/>
  <c r="AZ45" i="41"/>
  <c r="BN45" i="41" s="1"/>
  <c r="BV125" i="41"/>
  <c r="AQ139" i="41"/>
  <c r="AU58" i="41"/>
  <c r="I120" i="41"/>
  <c r="AH145" i="41"/>
  <c r="AV31" i="41"/>
  <c r="BO31" i="41"/>
  <c r="AT87" i="41"/>
  <c r="AZ84" i="41"/>
  <c r="AT126" i="41"/>
  <c r="AR130" i="41"/>
  <c r="BR142" i="41"/>
  <c r="BR16" i="41"/>
  <c r="BR22" i="41"/>
  <c r="BR27" i="41" s="1"/>
  <c r="AQ27" i="41"/>
  <c r="AQ138" i="41" s="1"/>
  <c r="AJ21" i="47" s="1"/>
  <c r="AT83" i="41"/>
  <c r="AZ80" i="41"/>
  <c r="I93" i="41"/>
  <c r="Q138" i="41"/>
  <c r="J21" i="47" s="1"/>
  <c r="AZ35" i="41"/>
  <c r="BN35" i="41" s="1"/>
  <c r="AZ76" i="41"/>
  <c r="BN76" i="41" s="1"/>
  <c r="AR151" i="41"/>
  <c r="AT104" i="41"/>
  <c r="AV83" i="41"/>
  <c r="BU67" i="41"/>
  <c r="AV149" i="41"/>
  <c r="AH43" i="41"/>
  <c r="AH97" i="41"/>
  <c r="AV87" i="41"/>
  <c r="AR137" i="41"/>
  <c r="AT131" i="41"/>
  <c r="BN132" i="41"/>
  <c r="I137" i="41"/>
  <c r="AT148" i="41"/>
  <c r="AZ15" i="41"/>
  <c r="AT121" i="41"/>
  <c r="AR124" i="41"/>
  <c r="BU125" i="41"/>
  <c r="AZ67" i="41"/>
  <c r="BN67" i="41" s="1"/>
  <c r="I130" i="41"/>
  <c r="AV58" i="41"/>
  <c r="BV51" i="41"/>
  <c r="BV58" i="41" s="1"/>
  <c r="AT149" i="41"/>
  <c r="AZ19" i="41"/>
  <c r="BN19" i="41" s="1"/>
  <c r="AZ74" i="41"/>
  <c r="BN74" i="41" s="1"/>
  <c r="I97" i="41"/>
  <c r="BU74" i="41"/>
  <c r="BU79" i="41" s="1"/>
  <c r="AU79" i="41"/>
  <c r="AZ94" i="41"/>
  <c r="AT97" i="41"/>
  <c r="AG27" i="41"/>
  <c r="AG138" i="41" s="1"/>
  <c r="Z21" i="47" s="1"/>
  <c r="BQ22" i="41"/>
  <c r="AS22" i="41"/>
  <c r="AH22" i="41"/>
  <c r="AU22" i="41" s="1"/>
  <c r="AG143" i="41"/>
  <c r="AG141" i="41" s="1"/>
  <c r="AH150" i="41"/>
  <c r="AH29" i="41"/>
  <c r="AV28" i="41"/>
  <c r="BO28" i="41"/>
  <c r="AT88" i="41"/>
  <c r="AR93" i="41"/>
  <c r="BU68" i="41"/>
  <c r="AZ68" i="41"/>
  <c r="BN68" i="41" s="1"/>
  <c r="AT31" i="41"/>
  <c r="AZ71" i="41"/>
  <c r="BN71" i="41" s="1"/>
  <c r="BU47" i="41"/>
  <c r="AV47" i="41"/>
  <c r="BV47" i="41" s="1"/>
  <c r="BV50" i="41" s="1"/>
  <c r="BO47" i="41"/>
  <c r="BO50" i="41" s="1"/>
  <c r="AV115" i="41"/>
  <c r="BV115" i="41" s="1"/>
  <c r="BU115" i="41"/>
  <c r="BO115" i="41"/>
  <c r="AU83" i="41"/>
  <c r="AT50" i="41"/>
  <c r="AZ44" i="41"/>
  <c r="BW138" i="41"/>
  <c r="BP21" i="47" s="1"/>
  <c r="I72" i="41"/>
  <c r="AR120" i="41"/>
  <c r="AT113" i="41"/>
  <c r="AU149" i="41"/>
  <c r="AZ56" i="41"/>
  <c r="BN56" i="41" s="1"/>
  <c r="BU94" i="41"/>
  <c r="AU87" i="41"/>
  <c r="BU84" i="41"/>
  <c r="BU87" i="41" s="1"/>
  <c r="AZ122" i="41"/>
  <c r="BN122" i="41" s="1"/>
  <c r="BV15" i="41"/>
  <c r="BZ138" i="41"/>
  <c r="AR148" i="41"/>
  <c r="AH124" i="41"/>
  <c r="AV121" i="41"/>
  <c r="BO121" i="41"/>
  <c r="BO124" i="41" s="1"/>
  <c r="AH130" i="41"/>
  <c r="BO58" i="41"/>
  <c r="AZ128" i="41"/>
  <c r="BN128" i="41" s="1"/>
  <c r="BP172" i="40"/>
  <c r="BP38" i="40"/>
  <c r="AU19" i="40"/>
  <c r="BU16" i="40"/>
  <c r="BU19" i="40" s="1"/>
  <c r="AH172" i="40"/>
  <c r="AH38" i="40"/>
  <c r="AV33" i="40"/>
  <c r="BO33" i="40"/>
  <c r="AR51" i="40"/>
  <c r="AT45" i="40"/>
  <c r="AZ90" i="40"/>
  <c r="BN90" i="40" s="1"/>
  <c r="BU90" i="40"/>
  <c r="AT114" i="40"/>
  <c r="AH130" i="40"/>
  <c r="AV128" i="40"/>
  <c r="BO128" i="40"/>
  <c r="BO130" i="40" s="1"/>
  <c r="AZ150" i="40"/>
  <c r="BN150" i="40" s="1"/>
  <c r="BU150" i="40"/>
  <c r="BQ170" i="40"/>
  <c r="BQ15" i="40"/>
  <c r="P169" i="40"/>
  <c r="I174" i="40"/>
  <c r="I178" i="40"/>
  <c r="I53" i="40"/>
  <c r="BU83" i="40"/>
  <c r="BU88" i="40" s="1"/>
  <c r="BO83" i="40"/>
  <c r="BO88" i="40" s="1"/>
  <c r="AV83" i="40"/>
  <c r="BV83" i="40" s="1"/>
  <c r="AH74" i="40"/>
  <c r="BO68" i="40"/>
  <c r="BO74" i="40" s="1"/>
  <c r="AV68" i="40"/>
  <c r="BU111" i="40"/>
  <c r="BU114" i="40" s="1"/>
  <c r="BP179" i="40"/>
  <c r="BP25" i="40"/>
  <c r="AZ46" i="40"/>
  <c r="BN46" i="40" s="1"/>
  <c r="I51" i="40"/>
  <c r="I171" i="40"/>
  <c r="I32" i="40"/>
  <c r="AV40" i="40"/>
  <c r="BO40" i="40"/>
  <c r="AH44" i="40"/>
  <c r="I137" i="40"/>
  <c r="BS32" i="40"/>
  <c r="AH173" i="40"/>
  <c r="AV55" i="40"/>
  <c r="BO55" i="40"/>
  <c r="BT171" i="40"/>
  <c r="BT169" i="40" s="1"/>
  <c r="AZ78" i="40"/>
  <c r="BN78" i="40" s="1"/>
  <c r="BU123" i="40"/>
  <c r="AU137" i="40"/>
  <c r="AZ132" i="40"/>
  <c r="BN132" i="40" s="1"/>
  <c r="I44" i="40"/>
  <c r="BX40" i="40"/>
  <c r="BX171" i="40" s="1"/>
  <c r="BM171" i="40"/>
  <c r="AR88" i="40"/>
  <c r="AZ139" i="40"/>
  <c r="BN139" i="40" s="1"/>
  <c r="AZ158" i="40"/>
  <c r="BN158" i="40" s="1"/>
  <c r="AH165" i="40"/>
  <c r="BO162" i="40"/>
  <c r="BO165" i="40" s="1"/>
  <c r="AV162" i="40"/>
  <c r="BX170" i="40"/>
  <c r="BX15" i="40"/>
  <c r="AV19" i="40"/>
  <c r="BV16" i="40"/>
  <c r="BV19" i="40" s="1"/>
  <c r="AQ178" i="40"/>
  <c r="AQ53" i="40"/>
  <c r="BR52" i="40"/>
  <c r="AZ66" i="40"/>
  <c r="BN66" i="40" s="1"/>
  <c r="BP173" i="40"/>
  <c r="AZ36" i="40"/>
  <c r="BN36" i="40" s="1"/>
  <c r="AT127" i="40"/>
  <c r="AZ125" i="40"/>
  <c r="AS179" i="40"/>
  <c r="AS25" i="40"/>
  <c r="I67" i="40"/>
  <c r="AZ48" i="40"/>
  <c r="BN48" i="40" s="1"/>
  <c r="BQ173" i="40"/>
  <c r="BQ60" i="40"/>
  <c r="AZ77" i="40"/>
  <c r="BN77" i="40" s="1"/>
  <c r="AT75" i="40"/>
  <c r="AV137" i="40"/>
  <c r="I161" i="40"/>
  <c r="BR170" i="40"/>
  <c r="BR15" i="40"/>
  <c r="BW169" i="40"/>
  <c r="BY44" i="40"/>
  <c r="BY166" i="40" s="1"/>
  <c r="BY171" i="40"/>
  <c r="AT82" i="40"/>
  <c r="AR108" i="40"/>
  <c r="AQ108" i="40"/>
  <c r="BR103" i="40"/>
  <c r="AH118" i="40"/>
  <c r="AV115" i="40"/>
  <c r="BO115" i="40"/>
  <c r="BO118" i="40" s="1"/>
  <c r="AR165" i="40"/>
  <c r="AT162" i="40"/>
  <c r="AH155" i="40"/>
  <c r="AV152" i="40"/>
  <c r="BO152" i="40"/>
  <c r="BO155" i="40" s="1"/>
  <c r="AZ143" i="40"/>
  <c r="BN143" i="40" s="1"/>
  <c r="AZ160" i="40"/>
  <c r="BN160" i="40" s="1"/>
  <c r="AR130" i="40"/>
  <c r="AT128" i="40"/>
  <c r="AS170" i="40"/>
  <c r="AS15" i="40"/>
  <c r="AT177" i="40"/>
  <c r="BS178" i="40"/>
  <c r="BS53" i="40"/>
  <c r="BU67" i="40"/>
  <c r="BR74" i="40"/>
  <c r="AV114" i="40"/>
  <c r="BV111" i="40"/>
  <c r="BV114" i="40" s="1"/>
  <c r="AS151" i="40"/>
  <c r="AT145" i="40"/>
  <c r="Q166" i="40"/>
  <c r="J20" i="47" s="1"/>
  <c r="AT19" i="40"/>
  <c r="AZ16" i="40"/>
  <c r="AT110" i="40"/>
  <c r="AZ109" i="40"/>
  <c r="I165" i="40"/>
  <c r="BQ179" i="40"/>
  <c r="BQ25" i="40"/>
  <c r="I177" i="40"/>
  <c r="I38" i="40"/>
  <c r="I98" i="40"/>
  <c r="BU145" i="40"/>
  <c r="AZ43" i="40"/>
  <c r="BN43" i="40" s="1"/>
  <c r="AZ71" i="40"/>
  <c r="BN71" i="40" s="1"/>
  <c r="AH98" i="40"/>
  <c r="BO93" i="40"/>
  <c r="BO98" i="40" s="1"/>
  <c r="AV93" i="40"/>
  <c r="AZ69" i="40"/>
  <c r="BN69" i="40" s="1"/>
  <c r="AV89" i="40"/>
  <c r="AH92" i="40"/>
  <c r="BO89" i="40"/>
  <c r="BO92" i="40" s="1"/>
  <c r="AZ73" i="40"/>
  <c r="BN73" i="40" s="1"/>
  <c r="AZ117" i="40"/>
  <c r="BN117" i="40" s="1"/>
  <c r="AR118" i="40"/>
  <c r="AT115" i="40"/>
  <c r="AR155" i="40"/>
  <c r="AT152" i="40"/>
  <c r="I102" i="40"/>
  <c r="I170" i="40"/>
  <c r="I15" i="40"/>
  <c r="AF174" i="40"/>
  <c r="AH28" i="40"/>
  <c r="AU28" i="40" s="1"/>
  <c r="BP28" i="40"/>
  <c r="AR28" i="40"/>
  <c r="AF32" i="40"/>
  <c r="AT102" i="40"/>
  <c r="AZ99" i="40"/>
  <c r="AV151" i="40"/>
  <c r="BV145" i="40"/>
  <c r="BV151" i="40" s="1"/>
  <c r="AT176" i="40"/>
  <c r="AZ64" i="40"/>
  <c r="BN64" i="40" s="1"/>
  <c r="AQ174" i="40"/>
  <c r="BR28" i="40"/>
  <c r="AQ32" i="40"/>
  <c r="AV75" i="40"/>
  <c r="AH81" i="40"/>
  <c r="BO75" i="40"/>
  <c r="BO81" i="40" s="1"/>
  <c r="BU106" i="40"/>
  <c r="AR124" i="40"/>
  <c r="AT119" i="40"/>
  <c r="I88" i="40"/>
  <c r="AH88" i="40"/>
  <c r="AT13" i="40"/>
  <c r="BV67" i="40"/>
  <c r="AZ116" i="40"/>
  <c r="BN116" i="40" s="1"/>
  <c r="BV137" i="40"/>
  <c r="BZ169" i="40"/>
  <c r="AZ70" i="40"/>
  <c r="BN70" i="40" s="1"/>
  <c r="AZ94" i="40"/>
  <c r="BN94" i="40" s="1"/>
  <c r="I155" i="40"/>
  <c r="AZ105" i="40"/>
  <c r="BN105" i="40" s="1"/>
  <c r="AR172" i="40"/>
  <c r="AT33" i="40"/>
  <c r="AR38" i="40"/>
  <c r="I108" i="40"/>
  <c r="I92" i="40"/>
  <c r="BR179" i="40"/>
  <c r="BR25" i="40"/>
  <c r="AZ120" i="40"/>
  <c r="BN120" i="40" s="1"/>
  <c r="AH179" i="40"/>
  <c r="AH25" i="40"/>
  <c r="AV24" i="40"/>
  <c r="BO24" i="40"/>
  <c r="I179" i="40"/>
  <c r="I25" i="40"/>
  <c r="BX179" i="40"/>
  <c r="BX25" i="40"/>
  <c r="AT54" i="40"/>
  <c r="AR60" i="40"/>
  <c r="I118" i="40"/>
  <c r="BO119" i="40"/>
  <c r="BO124" i="40" s="1"/>
  <c r="AV119" i="40"/>
  <c r="AH124" i="40"/>
  <c r="AV156" i="40"/>
  <c r="AH161" i="40"/>
  <c r="BO156" i="40"/>
  <c r="BO161" i="40" s="1"/>
  <c r="P166" i="40"/>
  <c r="I20" i="47" s="1"/>
  <c r="BV82" i="40"/>
  <c r="AZ101" i="40"/>
  <c r="BN101" i="40" s="1"/>
  <c r="I23" i="40"/>
  <c r="AR98" i="40"/>
  <c r="AT93" i="40"/>
  <c r="AT173" i="40" s="1"/>
  <c r="AT131" i="40"/>
  <c r="AV15" i="40"/>
  <c r="BV12" i="40"/>
  <c r="BO176" i="40"/>
  <c r="AZ62" i="40"/>
  <c r="BN62" i="40" s="1"/>
  <c r="AR92" i="40"/>
  <c r="AT89" i="40"/>
  <c r="AU67" i="40"/>
  <c r="AZ95" i="40"/>
  <c r="BN95" i="40" s="1"/>
  <c r="AH144" i="40"/>
  <c r="AV138" i="40"/>
  <c r="BO138" i="40"/>
  <c r="I144" i="40"/>
  <c r="AZ164" i="40"/>
  <c r="BN164" i="40" s="1"/>
  <c r="AZ18" i="40"/>
  <c r="BN18" i="40" s="1"/>
  <c r="BM144" i="40"/>
  <c r="BM166" i="40" s="1"/>
  <c r="BF20" i="47" s="1"/>
  <c r="AH51" i="40"/>
  <c r="AV45" i="40"/>
  <c r="BO45" i="40"/>
  <c r="BO51" i="40" s="1"/>
  <c r="BX178" i="40"/>
  <c r="BX53" i="40"/>
  <c r="I173" i="40"/>
  <c r="BR172" i="40"/>
  <c r="BR38" i="40"/>
  <c r="AT68" i="40"/>
  <c r="AR74" i="40"/>
  <c r="AR179" i="40"/>
  <c r="AR25" i="40"/>
  <c r="AT24" i="40"/>
  <c r="AZ80" i="40"/>
  <c r="BN80" i="40" s="1"/>
  <c r="AF178" i="40"/>
  <c r="AF53" i="40"/>
  <c r="BP52" i="40"/>
  <c r="AH52" i="40"/>
  <c r="AU52" i="40" s="1"/>
  <c r="AR52" i="40"/>
  <c r="AH60" i="40"/>
  <c r="AV54" i="40"/>
  <c r="BO54" i="40"/>
  <c r="AT67" i="40"/>
  <c r="AZ61" i="40"/>
  <c r="AR173" i="40"/>
  <c r="BU137" i="40"/>
  <c r="AV140" i="40"/>
  <c r="BV140" i="40" s="1"/>
  <c r="BU140" i="40"/>
  <c r="BO140" i="40"/>
  <c r="AR23" i="40"/>
  <c r="AT20" i="40"/>
  <c r="AZ72" i="40"/>
  <c r="BN72" i="40" s="1"/>
  <c r="AV102" i="40"/>
  <c r="BV100" i="40"/>
  <c r="BV102" i="40" s="1"/>
  <c r="AR144" i="40"/>
  <c r="BV14" i="40"/>
  <c r="BV176" i="40" s="1"/>
  <c r="AR171" i="40"/>
  <c r="AZ84" i="40"/>
  <c r="BN84" i="40" s="1"/>
  <c r="BY173" i="40"/>
  <c r="AV67" i="40"/>
  <c r="AS103" i="40"/>
  <c r="AG108" i="40"/>
  <c r="AG166" i="40" s="1"/>
  <c r="BQ103" i="40"/>
  <c r="AH103" i="40"/>
  <c r="AU103" i="40" s="1"/>
  <c r="AG171" i="40"/>
  <c r="AG169" i="40" s="1"/>
  <c r="I81" i="40"/>
  <c r="BU136" i="39"/>
  <c r="BU44" i="39"/>
  <c r="AQ125" i="39"/>
  <c r="BS125" i="39"/>
  <c r="AV44" i="39"/>
  <c r="BV43" i="39"/>
  <c r="BS129" i="39"/>
  <c r="BS127" i="39" s="1"/>
  <c r="I128" i="39"/>
  <c r="I18" i="39"/>
  <c r="Q127" i="39"/>
  <c r="AG127" i="39"/>
  <c r="AZ89" i="39"/>
  <c r="BN89" i="39" s="1"/>
  <c r="AZ70" i="39"/>
  <c r="BN70" i="39" s="1"/>
  <c r="AZ99" i="39"/>
  <c r="BN99" i="39" s="1"/>
  <c r="AS130" i="39"/>
  <c r="AS42" i="39"/>
  <c r="BX130" i="39"/>
  <c r="BX42" i="39"/>
  <c r="AS136" i="39"/>
  <c r="AS44" i="39"/>
  <c r="AH79" i="39"/>
  <c r="AV73" i="39"/>
  <c r="BO73" i="39"/>
  <c r="BO79" i="39" s="1"/>
  <c r="AR131" i="39"/>
  <c r="AT25" i="39"/>
  <c r="AR30" i="39"/>
  <c r="AZ91" i="39"/>
  <c r="BN91" i="39" s="1"/>
  <c r="AT43" i="39"/>
  <c r="P127" i="39"/>
  <c r="AT94" i="39"/>
  <c r="AR100" i="39"/>
  <c r="BU66" i="39"/>
  <c r="AQ36" i="39"/>
  <c r="AQ124" i="39" s="1"/>
  <c r="AJ19" i="47" s="1"/>
  <c r="BR31" i="39"/>
  <c r="AQ129" i="39"/>
  <c r="AQ127" i="39" s="1"/>
  <c r="AH135" i="39"/>
  <c r="AV22" i="39"/>
  <c r="AV24" i="39" s="1"/>
  <c r="AU24" i="39"/>
  <c r="BO22" i="39"/>
  <c r="BO135" i="39" s="1"/>
  <c r="AH56" i="39"/>
  <c r="AV51" i="39"/>
  <c r="BO51" i="39"/>
  <c r="BO56" i="39" s="1"/>
  <c r="BX131" i="39"/>
  <c r="BX30" i="39"/>
  <c r="BR24" i="39"/>
  <c r="BP130" i="39"/>
  <c r="BP42" i="39"/>
  <c r="AZ110" i="39"/>
  <c r="BN110" i="39" s="1"/>
  <c r="AR46" i="39"/>
  <c r="AT45" i="39"/>
  <c r="AT137" i="39" s="1"/>
  <c r="I131" i="39"/>
  <c r="I30" i="39"/>
  <c r="AR65" i="39"/>
  <c r="AT59" i="39"/>
  <c r="AS131" i="39"/>
  <c r="AS30" i="39"/>
  <c r="BQ136" i="39"/>
  <c r="BQ44" i="39"/>
  <c r="AZ61" i="39"/>
  <c r="BN61" i="39" s="1"/>
  <c r="AZ96" i="39"/>
  <c r="BN96" i="39" s="1"/>
  <c r="I79" i="39"/>
  <c r="I130" i="39"/>
  <c r="I42" i="39"/>
  <c r="BP131" i="39"/>
  <c r="BP30" i="39"/>
  <c r="AZ116" i="39"/>
  <c r="BN116" i="39" s="1"/>
  <c r="AZ55" i="39"/>
  <c r="BN55" i="39" s="1"/>
  <c r="AV72" i="39"/>
  <c r="BV66" i="39"/>
  <c r="BP18" i="39"/>
  <c r="AZ34" i="39"/>
  <c r="BN34" i="39" s="1"/>
  <c r="AT73" i="39"/>
  <c r="AZ97" i="39"/>
  <c r="BN97" i="39" s="1"/>
  <c r="BO45" i="39"/>
  <c r="AV45" i="39"/>
  <c r="AH46" i="39"/>
  <c r="AZ52" i="39"/>
  <c r="BN52" i="39" s="1"/>
  <c r="AZ122" i="39"/>
  <c r="BN122" i="39" s="1"/>
  <c r="I136" i="39"/>
  <c r="I44" i="39"/>
  <c r="BQ128" i="39"/>
  <c r="BQ18" i="39"/>
  <c r="BR131" i="39"/>
  <c r="BR30" i="39"/>
  <c r="I100" i="39"/>
  <c r="AZ113" i="39"/>
  <c r="BN113" i="39" s="1"/>
  <c r="BQ131" i="39"/>
  <c r="BQ30" i="39"/>
  <c r="AR134" i="39"/>
  <c r="AT17" i="39"/>
  <c r="AH131" i="39"/>
  <c r="AH30" i="39"/>
  <c r="AV25" i="39"/>
  <c r="BO25" i="39"/>
  <c r="AS129" i="39"/>
  <c r="AS24" i="39"/>
  <c r="AT19" i="39"/>
  <c r="BR136" i="39"/>
  <c r="BR44" i="39"/>
  <c r="BV93" i="39"/>
  <c r="P124" i="39"/>
  <c r="I19" i="47" s="1"/>
  <c r="BP128" i="39"/>
  <c r="BU16" i="39"/>
  <c r="AV16" i="39"/>
  <c r="BV16" i="39" s="1"/>
  <c r="BO16" i="39"/>
  <c r="AR56" i="39"/>
  <c r="AT51" i="39"/>
  <c r="AZ68" i="39"/>
  <c r="BN68" i="39" s="1"/>
  <c r="BU108" i="39"/>
  <c r="BO136" i="39"/>
  <c r="BO44" i="39"/>
  <c r="BU101" i="39"/>
  <c r="BP24" i="39"/>
  <c r="AT118" i="39"/>
  <c r="AZ115" i="39"/>
  <c r="BP31" i="39"/>
  <c r="AR31" i="39"/>
  <c r="AF36" i="39"/>
  <c r="AF124" i="39" s="1"/>
  <c r="Y19" i="47" s="1"/>
  <c r="AH31" i="39"/>
  <c r="AU31" i="39" s="1"/>
  <c r="AF129" i="39"/>
  <c r="AF127" i="39" s="1"/>
  <c r="AZ77" i="39"/>
  <c r="BN77" i="39" s="1"/>
  <c r="AZ117" i="39"/>
  <c r="BN117" i="39" s="1"/>
  <c r="AT13" i="39"/>
  <c r="BX136" i="39"/>
  <c r="BX44" i="39"/>
  <c r="AH128" i="39"/>
  <c r="AH18" i="39"/>
  <c r="AV14" i="39"/>
  <c r="BO14" i="39"/>
  <c r="AV109" i="39"/>
  <c r="BV109" i="39" s="1"/>
  <c r="BU109" i="39"/>
  <c r="BO109" i="39"/>
  <c r="BO114" i="39" s="1"/>
  <c r="AZ83" i="39"/>
  <c r="BN83" i="39" s="1"/>
  <c r="BR137" i="39"/>
  <c r="BR13" i="39"/>
  <c r="BU12" i="39"/>
  <c r="BQ129" i="39"/>
  <c r="BQ24" i="39"/>
  <c r="AZ90" i="39"/>
  <c r="BN90" i="39" s="1"/>
  <c r="AZ119" i="39"/>
  <c r="AT123" i="39"/>
  <c r="I123" i="39"/>
  <c r="I129" i="39"/>
  <c r="I24" i="39"/>
  <c r="AT48" i="39"/>
  <c r="AR50" i="39"/>
  <c r="AQ126" i="39"/>
  <c r="AU93" i="39"/>
  <c r="BU87" i="39"/>
  <c r="I93" i="39"/>
  <c r="AZ76" i="39"/>
  <c r="BN76" i="39" s="1"/>
  <c r="BV108" i="39"/>
  <c r="AR130" i="39"/>
  <c r="AT37" i="39"/>
  <c r="AR42" i="39"/>
  <c r="AT93" i="39"/>
  <c r="AZ40" i="39"/>
  <c r="BN40" i="39" s="1"/>
  <c r="AZ21" i="39"/>
  <c r="BN21" i="39" s="1"/>
  <c r="AT107" i="39"/>
  <c r="AZ101" i="39"/>
  <c r="BN101" i="39" s="1"/>
  <c r="BQ130" i="39"/>
  <c r="BQ42" i="39"/>
  <c r="AT72" i="39"/>
  <c r="AZ66" i="39"/>
  <c r="I107" i="39"/>
  <c r="AH100" i="39"/>
  <c r="AV94" i="39"/>
  <c r="BO94" i="39"/>
  <c r="BO100" i="39" s="1"/>
  <c r="AS128" i="39"/>
  <c r="AS18" i="39"/>
  <c r="I65" i="39"/>
  <c r="AV59" i="39"/>
  <c r="AH65" i="39"/>
  <c r="BO59" i="39"/>
  <c r="BO65" i="39" s="1"/>
  <c r="AT58" i="39"/>
  <c r="AZ106" i="39"/>
  <c r="BN106" i="39" s="1"/>
  <c r="AH134" i="39"/>
  <c r="BO17" i="39"/>
  <c r="BO134" i="39" s="1"/>
  <c r="AV17" i="39"/>
  <c r="AR18" i="39"/>
  <c r="AT114" i="39"/>
  <c r="AZ108" i="39"/>
  <c r="AT86" i="39"/>
  <c r="AR135" i="39"/>
  <c r="AT22" i="39"/>
  <c r="AV48" i="39"/>
  <c r="AH50" i="39"/>
  <c r="BO48" i="39"/>
  <c r="AV93" i="39"/>
  <c r="AH114" i="39"/>
  <c r="AU136" i="39"/>
  <c r="AU44" i="39"/>
  <c r="BY127" i="39"/>
  <c r="AH130" i="39"/>
  <c r="AH42" i="39"/>
  <c r="AV37" i="39"/>
  <c r="BO37" i="39"/>
  <c r="AZ82" i="39"/>
  <c r="BN82" i="39" s="1"/>
  <c r="BX128" i="39"/>
  <c r="BX18" i="39"/>
  <c r="AZ15" i="42" l="1"/>
  <c r="BN15" i="42" s="1"/>
  <c r="BU156" i="42"/>
  <c r="BU136" i="42"/>
  <c r="BU138" i="42" s="1"/>
  <c r="BU132" i="42"/>
  <c r="BU135" i="42" s="1"/>
  <c r="AU135" i="42"/>
  <c r="AZ18" i="41"/>
  <c r="BN18" i="41" s="1"/>
  <c r="AQ168" i="40"/>
  <c r="AV20" i="40"/>
  <c r="AZ20" i="40" s="1"/>
  <c r="AU20" i="40"/>
  <c r="AU177" i="40"/>
  <c r="BM202" i="42"/>
  <c r="BY200" i="42"/>
  <c r="BU72" i="39"/>
  <c r="AU72" i="39"/>
  <c r="AZ69" i="39"/>
  <c r="BN69" i="39" s="1"/>
  <c r="AV107" i="39"/>
  <c r="BY167" i="40"/>
  <c r="AU15" i="40"/>
  <c r="BD20" i="47"/>
  <c r="AT64" i="42"/>
  <c r="BV72" i="39"/>
  <c r="BV30" i="40"/>
  <c r="BV177" i="40" s="1"/>
  <c r="AZ30" i="40"/>
  <c r="AZ177" i="40" s="1"/>
  <c r="AZ111" i="40"/>
  <c r="AZ114" i="40" s="1"/>
  <c r="AZ14" i="40"/>
  <c r="BN14" i="40" s="1"/>
  <c r="BN176" i="40" s="1"/>
  <c r="BU151" i="40"/>
  <c r="BM127" i="39"/>
  <c r="AZ41" i="42"/>
  <c r="BN41" i="42" s="1"/>
  <c r="AZ57" i="39"/>
  <c r="BN57" i="39" s="1"/>
  <c r="BN58" i="39" s="1"/>
  <c r="AV136" i="39"/>
  <c r="BM200" i="42"/>
  <c r="AV43" i="41"/>
  <c r="O21" i="47"/>
  <c r="AR143" i="41"/>
  <c r="AR141" i="41" s="1"/>
  <c r="AU88" i="40"/>
  <c r="AU176" i="40"/>
  <c r="BU93" i="39"/>
  <c r="AU137" i="39"/>
  <c r="AZ123" i="42"/>
  <c r="BN123" i="42" s="1"/>
  <c r="BO20" i="40"/>
  <c r="BO23" i="40" s="1"/>
  <c r="AH170" i="40"/>
  <c r="AH23" i="40"/>
  <c r="I168" i="40"/>
  <c r="BO44" i="40"/>
  <c r="BX126" i="39"/>
  <c r="BU113" i="42"/>
  <c r="BU115" i="42" s="1"/>
  <c r="AU115" i="42"/>
  <c r="O22" i="47"/>
  <c r="BO125" i="42"/>
  <c r="AZ154" i="42"/>
  <c r="AZ156" i="42" s="1"/>
  <c r="BV136" i="42"/>
  <c r="BV138" i="42" s="1"/>
  <c r="AZ37" i="42"/>
  <c r="AZ136" i="42"/>
  <c r="AZ138" i="42" s="1"/>
  <c r="BR140" i="41"/>
  <c r="Y21" i="47"/>
  <c r="BP139" i="41"/>
  <c r="BM138" i="41"/>
  <c r="BF21" i="47" s="1"/>
  <c r="AZ39" i="40"/>
  <c r="AQ167" i="40"/>
  <c r="O20" i="47"/>
  <c r="AV137" i="39"/>
  <c r="AV13" i="39"/>
  <c r="BX129" i="39"/>
  <c r="BX127" i="39" s="1"/>
  <c r="BM124" i="39"/>
  <c r="BF19" i="47" s="1"/>
  <c r="AZ12" i="39"/>
  <c r="BN12" i="39" s="1"/>
  <c r="BO50" i="39"/>
  <c r="AH126" i="39"/>
  <c r="I126" i="39"/>
  <c r="BY169" i="40"/>
  <c r="BX168" i="40" s="1"/>
  <c r="BY125" i="39"/>
  <c r="BV97" i="41"/>
  <c r="BD19" i="47"/>
  <c r="BP170" i="40"/>
  <c r="AU114" i="40"/>
  <c r="BY199" i="42"/>
  <c r="BR22" i="47" s="1"/>
  <c r="AZ59" i="42"/>
  <c r="AZ64" i="42" s="1"/>
  <c r="AV156" i="42"/>
  <c r="AV58" i="39"/>
  <c r="BV57" i="39"/>
  <c r="BV58" i="39" s="1"/>
  <c r="BV114" i="39"/>
  <c r="BP143" i="41"/>
  <c r="BP141" i="41" s="1"/>
  <c r="BU103" i="39"/>
  <c r="BU107" i="39" s="1"/>
  <c r="AZ103" i="39"/>
  <c r="BN103" i="39" s="1"/>
  <c r="BN107" i="39" s="1"/>
  <c r="BU47" i="39"/>
  <c r="AZ47" i="39"/>
  <c r="BN47" i="39" s="1"/>
  <c r="BU86" i="39"/>
  <c r="AZ40" i="40"/>
  <c r="BN40" i="40" s="1"/>
  <c r="BO24" i="39"/>
  <c r="AV86" i="39"/>
  <c r="AU153" i="42"/>
  <c r="AV148" i="41"/>
  <c r="BX140" i="41"/>
  <c r="BU58" i="41"/>
  <c r="I140" i="41"/>
  <c r="AZ30" i="41"/>
  <c r="BN30" i="41" s="1"/>
  <c r="AR105" i="41"/>
  <c r="AR138" i="41" s="1"/>
  <c r="AK21" i="47" s="1"/>
  <c r="BU149" i="41"/>
  <c r="BR139" i="41"/>
  <c r="BU30" i="41"/>
  <c r="AF166" i="40"/>
  <c r="Y20" i="47" s="1"/>
  <c r="AZ26" i="40"/>
  <c r="BN26" i="40" s="1"/>
  <c r="AQ169" i="40"/>
  <c r="BM169" i="40"/>
  <c r="BS167" i="40"/>
  <c r="AZ55" i="40"/>
  <c r="BN55" i="40" s="1"/>
  <c r="BO60" i="40"/>
  <c r="BU15" i="40"/>
  <c r="BS169" i="40"/>
  <c r="BV88" i="40"/>
  <c r="AZ80" i="39"/>
  <c r="AZ86" i="39" s="1"/>
  <c r="BU59" i="41"/>
  <c r="BU61" i="41" s="1"/>
  <c r="AZ59" i="41"/>
  <c r="BN59" i="41" s="1"/>
  <c r="BU95" i="42"/>
  <c r="BQ125" i="39"/>
  <c r="Z19" i="47"/>
  <c r="AS127" i="39"/>
  <c r="AS124" i="39"/>
  <c r="AL19" i="47" s="1"/>
  <c r="BX167" i="40"/>
  <c r="BR20" i="47"/>
  <c r="AU148" i="41"/>
  <c r="BV105" i="42"/>
  <c r="BX125" i="39"/>
  <c r="BR19" i="47"/>
  <c r="BX139" i="41"/>
  <c r="BS21" i="47"/>
  <c r="BQ124" i="39"/>
  <c r="BJ19" i="47" s="1"/>
  <c r="BR126" i="39"/>
  <c r="BR125" i="39"/>
  <c r="AZ156" i="40"/>
  <c r="AZ161" i="40" s="1"/>
  <c r="AU130" i="41"/>
  <c r="AV50" i="41"/>
  <c r="AZ40" i="41"/>
  <c r="BN40" i="41" s="1"/>
  <c r="AT206" i="42"/>
  <c r="I201" i="42"/>
  <c r="BX124" i="39"/>
  <c r="BQ19" i="47" s="1"/>
  <c r="AZ67" i="40"/>
  <c r="AZ83" i="40"/>
  <c r="BN83" i="40" s="1"/>
  <c r="AQ166" i="40"/>
  <c r="AJ20" i="47" s="1"/>
  <c r="BU130" i="41"/>
  <c r="BV130" i="41"/>
  <c r="BU43" i="41"/>
  <c r="I141" i="41"/>
  <c r="BV61" i="41"/>
  <c r="AV61" i="41"/>
  <c r="BO98" i="41"/>
  <c r="BO105" i="41" s="1"/>
  <c r="AH105" i="41"/>
  <c r="AV98" i="41"/>
  <c r="BV98" i="41" s="1"/>
  <c r="AU86" i="39"/>
  <c r="AV88" i="40"/>
  <c r="BQ167" i="40"/>
  <c r="Z20" i="47"/>
  <c r="BO144" i="40"/>
  <c r="AF169" i="40"/>
  <c r="AH168" i="40" s="1"/>
  <c r="BS166" i="40"/>
  <c r="AV130" i="41"/>
  <c r="BP138" i="41"/>
  <c r="BI21" i="47" s="1"/>
  <c r="AU61" i="41"/>
  <c r="BU112" i="42"/>
  <c r="BN34" i="42"/>
  <c r="BN37" i="42" s="1"/>
  <c r="AU44" i="42"/>
  <c r="BR200" i="42"/>
  <c r="BL22" i="47"/>
  <c r="I199" i="42"/>
  <c r="B22" i="47" s="1"/>
  <c r="AQ202" i="42"/>
  <c r="BS202" i="42"/>
  <c r="AF202" i="42"/>
  <c r="I200" i="42"/>
  <c r="BY202" i="42"/>
  <c r="BX201" i="42" s="1"/>
  <c r="AZ76" i="42"/>
  <c r="BM199" i="42"/>
  <c r="BF22" i="47" s="1"/>
  <c r="AZ43" i="42"/>
  <c r="BN43" i="42" s="1"/>
  <c r="BT202" i="42"/>
  <c r="AG202" i="42"/>
  <c r="BQ199" i="42"/>
  <c r="BJ22" i="47" s="1"/>
  <c r="BQ200" i="42"/>
  <c r="Z22" i="47"/>
  <c r="AQ199" i="42"/>
  <c r="AJ22" i="47" s="1"/>
  <c r="AH200" i="42"/>
  <c r="BP200" i="42"/>
  <c r="AU25" i="42"/>
  <c r="BU22" i="42"/>
  <c r="BU25" i="42" s="1"/>
  <c r="AT212" i="42"/>
  <c r="AZ45" i="42"/>
  <c r="AT46" i="42"/>
  <c r="AT209" i="42"/>
  <c r="AZ17" i="42"/>
  <c r="AV121" i="42"/>
  <c r="BV116" i="42"/>
  <c r="BV121" i="42" s="1"/>
  <c r="AZ48" i="42"/>
  <c r="BN48" i="42" s="1"/>
  <c r="BU44" i="42"/>
  <c r="AZ89" i="42"/>
  <c r="BN86" i="42"/>
  <c r="BN89" i="42" s="1"/>
  <c r="AS58" i="42"/>
  <c r="AS199" i="42" s="1"/>
  <c r="AL22" i="47" s="1"/>
  <c r="AS204" i="42"/>
  <c r="AT125" i="42"/>
  <c r="AZ122" i="42"/>
  <c r="AZ126" i="42"/>
  <c r="AT131" i="42"/>
  <c r="AT203" i="42"/>
  <c r="AZ12" i="42"/>
  <c r="AT21" i="42"/>
  <c r="AV191" i="42"/>
  <c r="BV186" i="42"/>
  <c r="BV191" i="42" s="1"/>
  <c r="AZ150" i="42"/>
  <c r="BN150" i="42" s="1"/>
  <c r="BN153" i="42" s="1"/>
  <c r="AV198" i="42"/>
  <c r="BO206" i="42"/>
  <c r="BO64" i="42"/>
  <c r="AT205" i="42"/>
  <c r="AZ14" i="42"/>
  <c r="AT211" i="42"/>
  <c r="AZ77" i="42"/>
  <c r="AT78" i="42"/>
  <c r="AZ169" i="42"/>
  <c r="BN169" i="42" s="1"/>
  <c r="AU198" i="42"/>
  <c r="AV209" i="42"/>
  <c r="BV17" i="42"/>
  <c r="BO203" i="42"/>
  <c r="BO21" i="42"/>
  <c r="AZ135" i="42"/>
  <c r="BN132" i="42"/>
  <c r="BN135" i="42" s="1"/>
  <c r="BO205" i="42"/>
  <c r="I202" i="42"/>
  <c r="AZ162" i="42"/>
  <c r="BN157" i="42"/>
  <c r="BN162" i="42" s="1"/>
  <c r="AV125" i="42"/>
  <c r="BV122" i="42"/>
  <c r="BV125" i="42" s="1"/>
  <c r="AV148" i="42"/>
  <c r="BV146" i="42"/>
  <c r="BV148" i="42" s="1"/>
  <c r="AU209" i="42"/>
  <c r="BU17" i="42"/>
  <c r="BU209" i="42" s="1"/>
  <c r="BO212" i="42"/>
  <c r="BO46" i="42"/>
  <c r="AZ30" i="42"/>
  <c r="AT33" i="42"/>
  <c r="AZ40" i="42"/>
  <c r="BN38" i="42"/>
  <c r="BN40" i="42" s="1"/>
  <c r="BV169" i="42"/>
  <c r="BV172" i="42" s="1"/>
  <c r="AV172" i="42"/>
  <c r="AU29" i="42"/>
  <c r="BU26" i="42"/>
  <c r="BU29" i="42" s="1"/>
  <c r="AU125" i="42"/>
  <c r="BU122" i="42"/>
  <c r="BU125" i="42" s="1"/>
  <c r="AZ105" i="42"/>
  <c r="BN100" i="42"/>
  <c r="BN105" i="42" s="1"/>
  <c r="BX21" i="42"/>
  <c r="BR44" i="42"/>
  <c r="BR209" i="42"/>
  <c r="AV203" i="42"/>
  <c r="AV21" i="42"/>
  <c r="BV12" i="42"/>
  <c r="AU205" i="42"/>
  <c r="BU14" i="42"/>
  <c r="AU172" i="42"/>
  <c r="AZ22" i="42"/>
  <c r="AT25" i="42"/>
  <c r="AV153" i="42"/>
  <c r="BQ204" i="42"/>
  <c r="AZ145" i="42"/>
  <c r="BN139" i="42"/>
  <c r="BN145" i="42" s="1"/>
  <c r="AZ173" i="42"/>
  <c r="AT179" i="42"/>
  <c r="AZ115" i="42"/>
  <c r="BN113" i="42"/>
  <c r="BN115" i="42" s="1"/>
  <c r="AV210" i="42"/>
  <c r="BV18" i="42"/>
  <c r="BV210" i="42" s="1"/>
  <c r="BO211" i="42"/>
  <c r="BO78" i="42"/>
  <c r="AU191" i="42"/>
  <c r="BU186" i="42"/>
  <c r="BU191" i="42" s="1"/>
  <c r="AZ185" i="42"/>
  <c r="BN180" i="42"/>
  <c r="BN185" i="42" s="1"/>
  <c r="AT112" i="42"/>
  <c r="AZ106" i="42"/>
  <c r="AZ95" i="42"/>
  <c r="BN90" i="42"/>
  <c r="BN95" i="42" s="1"/>
  <c r="BN192" i="42"/>
  <c r="AU206" i="42"/>
  <c r="AU64" i="42"/>
  <c r="BU59" i="42"/>
  <c r="AT53" i="42"/>
  <c r="AR204" i="42"/>
  <c r="AR52" i="42"/>
  <c r="AR199" i="42" s="1"/>
  <c r="AT47" i="42"/>
  <c r="AU203" i="42"/>
  <c r="AU21" i="42"/>
  <c r="BU12" i="42"/>
  <c r="AV205" i="42"/>
  <c r="BV14" i="42"/>
  <c r="BV44" i="42"/>
  <c r="AV131" i="42"/>
  <c r="BV126" i="42"/>
  <c r="BV131" i="42" s="1"/>
  <c r="BN167" i="42"/>
  <c r="AT148" i="42"/>
  <c r="AZ146" i="42"/>
  <c r="AU33" i="42"/>
  <c r="BU30" i="42"/>
  <c r="BU33" i="42" s="1"/>
  <c r="AU212" i="42"/>
  <c r="AU46" i="42"/>
  <c r="BU45" i="42"/>
  <c r="AV212" i="42"/>
  <c r="AV46" i="42"/>
  <c r="BV45" i="42"/>
  <c r="AZ186" i="42"/>
  <c r="AT191" i="42"/>
  <c r="AU69" i="42"/>
  <c r="BU65" i="42"/>
  <c r="BU69" i="42" s="1"/>
  <c r="AU210" i="42"/>
  <c r="BU18" i="42"/>
  <c r="BU210" i="42" s="1"/>
  <c r="AU211" i="42"/>
  <c r="AU78" i="42"/>
  <c r="BU77" i="42"/>
  <c r="AV33" i="42"/>
  <c r="BV30" i="42"/>
  <c r="BV33" i="42" s="1"/>
  <c r="AZ116" i="42"/>
  <c r="BR204" i="42"/>
  <c r="BR52" i="42"/>
  <c r="AU179" i="42"/>
  <c r="BU173" i="42"/>
  <c r="BU179" i="42" s="1"/>
  <c r="AV206" i="42"/>
  <c r="AV64" i="42"/>
  <c r="BV59" i="42"/>
  <c r="BP204" i="42"/>
  <c r="BP202" i="42" s="1"/>
  <c r="BP52" i="42"/>
  <c r="BP199" i="42" s="1"/>
  <c r="AV25" i="42"/>
  <c r="BV22" i="42"/>
  <c r="BV25" i="42" s="1"/>
  <c r="AV44" i="42"/>
  <c r="AU131" i="42"/>
  <c r="BU126" i="42"/>
  <c r="BU131" i="42" s="1"/>
  <c r="AU58" i="42"/>
  <c r="BU53" i="42"/>
  <c r="BU58" i="42" s="1"/>
  <c r="AT69" i="42"/>
  <c r="AZ65" i="42"/>
  <c r="AV29" i="42"/>
  <c r="BV26" i="42"/>
  <c r="BV29" i="42" s="1"/>
  <c r="BN76" i="42"/>
  <c r="AV69" i="42"/>
  <c r="BV65" i="42"/>
  <c r="BV69" i="42" s="1"/>
  <c r="AZ26" i="42"/>
  <c r="AT29" i="42"/>
  <c r="BX206" i="42"/>
  <c r="BX64" i="42"/>
  <c r="AV211" i="42"/>
  <c r="AV78" i="42"/>
  <c r="BV77" i="42"/>
  <c r="AZ194" i="42"/>
  <c r="BN194" i="42" s="1"/>
  <c r="AZ99" i="42"/>
  <c r="BN96" i="42"/>
  <c r="BN99" i="42" s="1"/>
  <c r="AV179" i="42"/>
  <c r="BV173" i="42"/>
  <c r="BV179" i="42" s="1"/>
  <c r="AU148" i="42"/>
  <c r="BU146" i="42"/>
  <c r="BU148" i="42" s="1"/>
  <c r="AH204" i="42"/>
  <c r="AH52" i="42"/>
  <c r="AH199" i="42" s="1"/>
  <c r="AA22" i="47" s="1"/>
  <c r="BO47" i="42"/>
  <c r="AV47" i="42"/>
  <c r="AT85" i="42"/>
  <c r="AZ79" i="42"/>
  <c r="AZ166" i="42"/>
  <c r="BN163" i="42"/>
  <c r="BN166" i="42" s="1"/>
  <c r="BO209" i="42"/>
  <c r="AU121" i="42"/>
  <c r="BU116" i="42"/>
  <c r="BU121" i="42" s="1"/>
  <c r="AT210" i="42"/>
  <c r="AZ18" i="42"/>
  <c r="AV58" i="42"/>
  <c r="BV53" i="42"/>
  <c r="BV58" i="42" s="1"/>
  <c r="BN149" i="41"/>
  <c r="BQ139" i="41"/>
  <c r="AH139" i="41"/>
  <c r="BN44" i="41"/>
  <c r="BQ27" i="41"/>
  <c r="BQ138" i="41" s="1"/>
  <c r="BQ143" i="41"/>
  <c r="BQ141" i="41" s="1"/>
  <c r="AU145" i="41"/>
  <c r="BU31" i="41"/>
  <c r="AV151" i="41"/>
  <c r="BV104" i="41"/>
  <c r="BV151" i="41" s="1"/>
  <c r="AH140" i="41"/>
  <c r="AU142" i="41"/>
  <c r="AU16" i="41"/>
  <c r="BU12" i="41"/>
  <c r="AT150" i="41"/>
  <c r="AZ28" i="41"/>
  <c r="AT29" i="41"/>
  <c r="AU93" i="41"/>
  <c r="BU88" i="41"/>
  <c r="BU93" i="41" s="1"/>
  <c r="BV148" i="41"/>
  <c r="AU97" i="41"/>
  <c r="AT151" i="41"/>
  <c r="AZ104" i="41"/>
  <c r="AZ126" i="41"/>
  <c r="AT130" i="41"/>
  <c r="AV145" i="41"/>
  <c r="BV31" i="41"/>
  <c r="BV145" i="41" s="1"/>
  <c r="AV97" i="41"/>
  <c r="AV142" i="41"/>
  <c r="BV12" i="41"/>
  <c r="AV16" i="41"/>
  <c r="BN79" i="41"/>
  <c r="BX143" i="41"/>
  <c r="BX141" i="41" s="1"/>
  <c r="BX21" i="41"/>
  <c r="BX138" i="41" s="1"/>
  <c r="BQ21" i="47" s="1"/>
  <c r="BR143" i="41"/>
  <c r="BR141" i="41" s="1"/>
  <c r="BO21" i="41"/>
  <c r="I139" i="41"/>
  <c r="BU97" i="41"/>
  <c r="AZ113" i="41"/>
  <c r="AT120" i="41"/>
  <c r="AT93" i="41"/>
  <c r="AZ88" i="41"/>
  <c r="AT124" i="41"/>
  <c r="AZ121" i="41"/>
  <c r="AZ131" i="41"/>
  <c r="AT137" i="41"/>
  <c r="AZ87" i="41"/>
  <c r="BN84" i="41"/>
  <c r="BN87" i="41" s="1"/>
  <c r="AV137" i="41"/>
  <c r="BV131" i="41"/>
  <c r="BV137" i="41" s="1"/>
  <c r="BO120" i="41"/>
  <c r="AZ17" i="41"/>
  <c r="AT21" i="41"/>
  <c r="BU50" i="41"/>
  <c r="I138" i="41"/>
  <c r="B21" i="47" s="1"/>
  <c r="AT65" i="41"/>
  <c r="AZ62" i="41"/>
  <c r="AV21" i="41"/>
  <c r="BV17" i="41"/>
  <c r="AZ47" i="41"/>
  <c r="BN47" i="41" s="1"/>
  <c r="AV36" i="41"/>
  <c r="AV65" i="41"/>
  <c r="BV62" i="41"/>
  <c r="BV65" i="41" s="1"/>
  <c r="AU124" i="41"/>
  <c r="BU121" i="41"/>
  <c r="BU124" i="41" s="1"/>
  <c r="BO150" i="41"/>
  <c r="BO29" i="41"/>
  <c r="AZ95" i="41"/>
  <c r="BN95" i="41" s="1"/>
  <c r="BN15" i="41"/>
  <c r="AV120" i="41"/>
  <c r="BV113" i="41"/>
  <c r="BV120" i="41" s="1"/>
  <c r="BU112" i="41"/>
  <c r="AU50" i="41"/>
  <c r="AT105" i="41"/>
  <c r="AV124" i="41"/>
  <c r="BV121" i="41"/>
  <c r="BV124" i="41" s="1"/>
  <c r="AT145" i="41"/>
  <c r="AZ31" i="41"/>
  <c r="AT36" i="41"/>
  <c r="AV150" i="41"/>
  <c r="AV29" i="41"/>
  <c r="BV28" i="41"/>
  <c r="AV22" i="41"/>
  <c r="AH27" i="41"/>
  <c r="BO22" i="41"/>
  <c r="BO27" i="41" s="1"/>
  <c r="AZ149" i="41"/>
  <c r="BU72" i="41"/>
  <c r="BN60" i="41"/>
  <c r="BR138" i="41"/>
  <c r="BK21" i="47" s="1"/>
  <c r="AU137" i="41"/>
  <c r="BU131" i="41"/>
  <c r="BU137" i="41" s="1"/>
  <c r="AU43" i="41"/>
  <c r="BN37" i="41"/>
  <c r="BO151" i="41"/>
  <c r="BO142" i="41"/>
  <c r="BO16" i="41"/>
  <c r="AU36" i="41"/>
  <c r="AZ72" i="41"/>
  <c r="BN66" i="41"/>
  <c r="BN72" i="41" s="1"/>
  <c r="AU21" i="41"/>
  <c r="BU17" i="41"/>
  <c r="AZ79" i="41"/>
  <c r="AV93" i="41"/>
  <c r="BV88" i="41"/>
  <c r="BV93" i="41" s="1"/>
  <c r="AU150" i="41"/>
  <c r="AU29" i="41"/>
  <c r="BU28" i="41"/>
  <c r="AS27" i="41"/>
  <c r="AS138" i="41" s="1"/>
  <c r="AS143" i="41"/>
  <c r="AS141" i="41" s="1"/>
  <c r="AT22" i="41"/>
  <c r="BN94" i="41"/>
  <c r="BO148" i="41"/>
  <c r="AZ83" i="41"/>
  <c r="BN80" i="41"/>
  <c r="BN83" i="41" s="1"/>
  <c r="BO145" i="41"/>
  <c r="BO36" i="41"/>
  <c r="BU148" i="41"/>
  <c r="AU151" i="41"/>
  <c r="BU104" i="41"/>
  <c r="AU120" i="41"/>
  <c r="BU113" i="41"/>
  <c r="BU120" i="41" s="1"/>
  <c r="AU65" i="41"/>
  <c r="BU62" i="41"/>
  <c r="BU65" i="41" s="1"/>
  <c r="AT142" i="41"/>
  <c r="AT16" i="41"/>
  <c r="AZ12" i="41"/>
  <c r="AT58" i="41"/>
  <c r="AZ51" i="41"/>
  <c r="AZ112" i="41"/>
  <c r="BN106" i="41"/>
  <c r="BN112" i="41" s="1"/>
  <c r="AH143" i="41"/>
  <c r="AH141" i="41" s="1"/>
  <c r="AZ115" i="41"/>
  <c r="BN115" i="41" s="1"/>
  <c r="BQ108" i="40"/>
  <c r="BQ166" i="40" s="1"/>
  <c r="BJ20" i="47" s="1"/>
  <c r="BQ171" i="40"/>
  <c r="BQ169" i="40" s="1"/>
  <c r="AV103" i="40"/>
  <c r="AH108" i="40"/>
  <c r="AU171" i="40"/>
  <c r="BO103" i="40"/>
  <c r="BO108" i="40" s="1"/>
  <c r="AT23" i="40"/>
  <c r="AU60" i="40"/>
  <c r="BU54" i="40"/>
  <c r="AR174" i="40"/>
  <c r="AT28" i="40"/>
  <c r="AR32" i="40"/>
  <c r="I169" i="40"/>
  <c r="AV118" i="40"/>
  <c r="BV115" i="40"/>
  <c r="BV118" i="40" s="1"/>
  <c r="AZ127" i="40"/>
  <c r="BN125" i="40"/>
  <c r="BN127" i="40" s="1"/>
  <c r="AU130" i="40"/>
  <c r="BU128" i="40"/>
  <c r="BU130" i="40" s="1"/>
  <c r="AH171" i="40"/>
  <c r="AV60" i="40"/>
  <c r="BV54" i="40"/>
  <c r="AV124" i="40"/>
  <c r="BV119" i="40"/>
  <c r="BV124" i="40" s="1"/>
  <c r="AT60" i="40"/>
  <c r="AZ54" i="40"/>
  <c r="AZ13" i="40"/>
  <c r="AT15" i="40"/>
  <c r="AT170" i="40"/>
  <c r="BP174" i="40"/>
  <c r="BP32" i="40"/>
  <c r="AU92" i="40"/>
  <c r="BU89" i="40"/>
  <c r="BU92" i="40" s="1"/>
  <c r="AZ19" i="40"/>
  <c r="BN16" i="40"/>
  <c r="BN19" i="40" s="1"/>
  <c r="AT165" i="40"/>
  <c r="AZ162" i="40"/>
  <c r="AT88" i="40"/>
  <c r="AZ82" i="40"/>
  <c r="AV23" i="40"/>
  <c r="BV20" i="40"/>
  <c r="BV23" i="40" s="1"/>
  <c r="BU40" i="40"/>
  <c r="AU44" i="40"/>
  <c r="AU74" i="40"/>
  <c r="BU68" i="40"/>
  <c r="BU74" i="40" s="1"/>
  <c r="AV130" i="40"/>
  <c r="BV128" i="40"/>
  <c r="BV130" i="40" s="1"/>
  <c r="AZ45" i="40"/>
  <c r="AT51" i="40"/>
  <c r="AU144" i="40"/>
  <c r="BU138" i="40"/>
  <c r="BU144" i="40" s="1"/>
  <c r="AT137" i="40"/>
  <c r="AZ131" i="40"/>
  <c r="I167" i="40"/>
  <c r="AT172" i="40"/>
  <c r="AT38" i="40"/>
  <c r="AZ33" i="40"/>
  <c r="BR174" i="40"/>
  <c r="BR32" i="40"/>
  <c r="AH174" i="40"/>
  <c r="AV28" i="40"/>
  <c r="BO28" i="40"/>
  <c r="AH32" i="40"/>
  <c r="AT118" i="40"/>
  <c r="AZ115" i="40"/>
  <c r="I166" i="40"/>
  <c r="B20" i="47" s="1"/>
  <c r="AU118" i="40"/>
  <c r="BU115" i="40"/>
  <c r="BU118" i="40" s="1"/>
  <c r="AZ140" i="40"/>
  <c r="BN140" i="40" s="1"/>
  <c r="BR178" i="40"/>
  <c r="BR53" i="40"/>
  <c r="AU165" i="40"/>
  <c r="BU162" i="40"/>
  <c r="BU165" i="40" s="1"/>
  <c r="BO173" i="40"/>
  <c r="AT179" i="40"/>
  <c r="AZ24" i="40"/>
  <c r="AT25" i="40"/>
  <c r="AV144" i="40"/>
  <c r="BV138" i="40"/>
  <c r="BV144" i="40" s="1"/>
  <c r="AZ102" i="40"/>
  <c r="BN99" i="40"/>
  <c r="BN102" i="40" s="1"/>
  <c r="AV92" i="40"/>
  <c r="BV89" i="40"/>
  <c r="BV92" i="40" s="1"/>
  <c r="AZ110" i="40"/>
  <c r="BN109" i="40"/>
  <c r="BN110" i="40" s="1"/>
  <c r="AU155" i="40"/>
  <c r="BU152" i="40"/>
  <c r="BU155" i="40" s="1"/>
  <c r="BR108" i="40"/>
  <c r="BR171" i="40"/>
  <c r="BX169" i="40"/>
  <c r="BN39" i="40"/>
  <c r="AV173" i="40"/>
  <c r="BV55" i="40"/>
  <c r="BV40" i="40"/>
  <c r="BV44" i="40" s="1"/>
  <c r="AV44" i="40"/>
  <c r="BO172" i="40"/>
  <c r="BO38" i="40"/>
  <c r="AH178" i="40"/>
  <c r="AV52" i="40"/>
  <c r="AH53" i="40"/>
  <c r="BO52" i="40"/>
  <c r="AZ138" i="40"/>
  <c r="AU161" i="40"/>
  <c r="BU156" i="40"/>
  <c r="BU161" i="40" s="1"/>
  <c r="AV179" i="40"/>
  <c r="AV25" i="40"/>
  <c r="BV24" i="40"/>
  <c r="BX44" i="40"/>
  <c r="BX166" i="40" s="1"/>
  <c r="BQ20" i="47" s="1"/>
  <c r="AU81" i="40"/>
  <c r="BU75" i="40"/>
  <c r="BU81" i="40" s="1"/>
  <c r="AU98" i="40"/>
  <c r="BU93" i="40"/>
  <c r="BU98" i="40" s="1"/>
  <c r="AT151" i="40"/>
  <c r="AZ145" i="40"/>
  <c r="AT130" i="40"/>
  <c r="AZ128" i="40"/>
  <c r="AV155" i="40"/>
  <c r="BV152" i="40"/>
  <c r="BV155" i="40" s="1"/>
  <c r="BR168" i="40"/>
  <c r="AU173" i="40"/>
  <c r="BU55" i="40"/>
  <c r="AV74" i="40"/>
  <c r="BV68" i="40"/>
  <c r="BV74" i="40" s="1"/>
  <c r="AU172" i="40"/>
  <c r="AU38" i="40"/>
  <c r="BU33" i="40"/>
  <c r="AU51" i="40"/>
  <c r="BU45" i="40"/>
  <c r="BU51" i="40" s="1"/>
  <c r="AT92" i="40"/>
  <c r="AZ89" i="40"/>
  <c r="AS108" i="40"/>
  <c r="AS166" i="40" s="1"/>
  <c r="AL20" i="47" s="1"/>
  <c r="AS171" i="40"/>
  <c r="AS169" i="40" s="1"/>
  <c r="AR178" i="40"/>
  <c r="AR53" i="40"/>
  <c r="AT52" i="40"/>
  <c r="AT74" i="40"/>
  <c r="AZ68" i="40"/>
  <c r="AU124" i="40"/>
  <c r="BU119" i="40"/>
  <c r="BU124" i="40" s="1"/>
  <c r="BO179" i="40"/>
  <c r="BO25" i="40"/>
  <c r="BP178" i="40"/>
  <c r="BP53" i="40"/>
  <c r="AV51" i="40"/>
  <c r="BV45" i="40"/>
  <c r="BV51" i="40" s="1"/>
  <c r="BV15" i="40"/>
  <c r="AZ93" i="40"/>
  <c r="AT98" i="40"/>
  <c r="AV161" i="40"/>
  <c r="BV156" i="40"/>
  <c r="BV161" i="40" s="1"/>
  <c r="AU179" i="40"/>
  <c r="AU25" i="40"/>
  <c r="BU24" i="40"/>
  <c r="AZ119" i="40"/>
  <c r="AT124" i="40"/>
  <c r="AV81" i="40"/>
  <c r="BV75" i="40"/>
  <c r="BV81" i="40" s="1"/>
  <c r="AT155" i="40"/>
  <c r="AZ152" i="40"/>
  <c r="AV98" i="40"/>
  <c r="BV93" i="40"/>
  <c r="BV98" i="40" s="1"/>
  <c r="AT103" i="40"/>
  <c r="AZ75" i="40"/>
  <c r="AT81" i="40"/>
  <c r="BU20" i="40"/>
  <c r="BN61" i="40"/>
  <c r="BN67" i="40" s="1"/>
  <c r="AV165" i="40"/>
  <c r="BV162" i="40"/>
  <c r="BV165" i="40" s="1"/>
  <c r="BU177" i="40"/>
  <c r="AV172" i="40"/>
  <c r="AV38" i="40"/>
  <c r="BV33" i="40"/>
  <c r="AH125" i="39"/>
  <c r="BP125" i="39"/>
  <c r="AT134" i="39"/>
  <c r="AZ17" i="39"/>
  <c r="BQ127" i="39"/>
  <c r="AT79" i="39"/>
  <c r="AZ73" i="39"/>
  <c r="AV135" i="39"/>
  <c r="BV22" i="39"/>
  <c r="AT136" i="39"/>
  <c r="AT44" i="39"/>
  <c r="AZ43" i="39"/>
  <c r="AU79" i="39"/>
  <c r="BU73" i="39"/>
  <c r="BU79" i="39" s="1"/>
  <c r="AV130" i="39"/>
  <c r="AV42" i="39"/>
  <c r="BV37" i="39"/>
  <c r="AV134" i="39"/>
  <c r="BV17" i="39"/>
  <c r="BV134" i="39" s="1"/>
  <c r="AZ109" i="39"/>
  <c r="BN109" i="39" s="1"/>
  <c r="AV114" i="39"/>
  <c r="AZ16" i="39"/>
  <c r="BN16" i="39" s="1"/>
  <c r="I124" i="39"/>
  <c r="B19" i="47" s="1"/>
  <c r="BU13" i="39"/>
  <c r="AV128" i="39"/>
  <c r="AV18" i="39"/>
  <c r="BV14" i="39"/>
  <c r="AT31" i="39"/>
  <c r="AT129" i="39" s="1"/>
  <c r="AR36" i="39"/>
  <c r="AR124" i="39" s="1"/>
  <c r="AR129" i="39"/>
  <c r="AR127" i="39" s="1"/>
  <c r="BO131" i="39"/>
  <c r="BO30" i="39"/>
  <c r="BV45" i="39"/>
  <c r="AV46" i="39"/>
  <c r="AT65" i="39"/>
  <c r="AZ59" i="39"/>
  <c r="AU56" i="39"/>
  <c r="BU51" i="39"/>
  <c r="BU56" i="39" s="1"/>
  <c r="BV44" i="39"/>
  <c r="BN93" i="39"/>
  <c r="AV50" i="39"/>
  <c r="BV48" i="39"/>
  <c r="BV50" i="39" s="1"/>
  <c r="BN108" i="39"/>
  <c r="AV65" i="39"/>
  <c r="BV59" i="39"/>
  <c r="BV65" i="39" s="1"/>
  <c r="AU128" i="39"/>
  <c r="AU18" i="39"/>
  <c r="BU14" i="39"/>
  <c r="BP36" i="39"/>
  <c r="BP124" i="39" s="1"/>
  <c r="BP129" i="39"/>
  <c r="BP127" i="39" s="1"/>
  <c r="BU114" i="39"/>
  <c r="AV131" i="39"/>
  <c r="AV30" i="39"/>
  <c r="BV25" i="39"/>
  <c r="BO46" i="39"/>
  <c r="BO137" i="39"/>
  <c r="AV56" i="39"/>
  <c r="BV51" i="39"/>
  <c r="BV56" i="39" s="1"/>
  <c r="AZ94" i="39"/>
  <c r="AT100" i="39"/>
  <c r="AZ93" i="39"/>
  <c r="BO130" i="39"/>
  <c r="BO42" i="39"/>
  <c r="AU134" i="39"/>
  <c r="BU17" i="39"/>
  <c r="BU134" i="39" s="1"/>
  <c r="AU130" i="39"/>
  <c r="AU42" i="39"/>
  <c r="BU37" i="39"/>
  <c r="AV100" i="39"/>
  <c r="BV94" i="39"/>
  <c r="BV100" i="39" s="1"/>
  <c r="AZ72" i="39"/>
  <c r="BN66" i="39"/>
  <c r="BN72" i="39" s="1"/>
  <c r="AZ48" i="39"/>
  <c r="AT50" i="39"/>
  <c r="AZ123" i="39"/>
  <c r="BN119" i="39"/>
  <c r="BN123" i="39" s="1"/>
  <c r="AZ118" i="39"/>
  <c r="BN115" i="39"/>
  <c r="BN118" i="39" s="1"/>
  <c r="AU114" i="39"/>
  <c r="AU46" i="39"/>
  <c r="BU45" i="39"/>
  <c r="BU46" i="39" s="1"/>
  <c r="AZ45" i="39"/>
  <c r="AT46" i="39"/>
  <c r="BR36" i="39"/>
  <c r="BR124" i="39" s="1"/>
  <c r="BK19" i="47" s="1"/>
  <c r="BR129" i="39"/>
  <c r="BR127" i="39" s="1"/>
  <c r="AZ14" i="39"/>
  <c r="BU48" i="39"/>
  <c r="AU50" i="39"/>
  <c r="AZ58" i="39"/>
  <c r="AU131" i="39"/>
  <c r="AU30" i="39"/>
  <c r="BU25" i="39"/>
  <c r="AV79" i="39"/>
  <c r="BV73" i="39"/>
  <c r="BV79" i="39" s="1"/>
  <c r="I127" i="39"/>
  <c r="AT18" i="39"/>
  <c r="AU65" i="39"/>
  <c r="BU59" i="39"/>
  <c r="BU65" i="39" s="1"/>
  <c r="BO128" i="39"/>
  <c r="BO18" i="39"/>
  <c r="AT135" i="39"/>
  <c r="AZ22" i="39"/>
  <c r="AU100" i="39"/>
  <c r="BU94" i="39"/>
  <c r="BU100" i="39" s="1"/>
  <c r="AT130" i="39"/>
  <c r="AT42" i="39"/>
  <c r="AZ37" i="39"/>
  <c r="AT24" i="39"/>
  <c r="AZ19" i="39"/>
  <c r="AH36" i="39"/>
  <c r="AH124" i="39" s="1"/>
  <c r="AA19" i="47" s="1"/>
  <c r="BO31" i="39"/>
  <c r="AV31" i="39"/>
  <c r="AH129" i="39"/>
  <c r="AH127" i="39" s="1"/>
  <c r="AT56" i="39"/>
  <c r="AZ51" i="39"/>
  <c r="I125" i="39"/>
  <c r="AU135" i="39"/>
  <c r="BU22" i="39"/>
  <c r="AT131" i="39"/>
  <c r="AT30" i="39"/>
  <c r="AZ25" i="39"/>
  <c r="AT128" i="39"/>
  <c r="AV170" i="40" l="1"/>
  <c r="AU23" i="40"/>
  <c r="AZ176" i="40"/>
  <c r="AU170" i="40"/>
  <c r="BN30" i="40"/>
  <c r="BN177" i="40" s="1"/>
  <c r="BO170" i="40"/>
  <c r="BN111" i="40"/>
  <c r="BN114" i="40" s="1"/>
  <c r="AZ13" i="39"/>
  <c r="BX200" i="42"/>
  <c r="AZ107" i="39"/>
  <c r="BN154" i="42"/>
  <c r="BN156" i="42" s="1"/>
  <c r="BN136" i="42"/>
  <c r="BN138" i="42" s="1"/>
  <c r="BN59" i="42"/>
  <c r="BN64" i="42" s="1"/>
  <c r="BV105" i="41"/>
  <c r="BN43" i="41"/>
  <c r="AZ43" i="41"/>
  <c r="AZ44" i="40"/>
  <c r="BN44" i="40"/>
  <c r="BU50" i="39"/>
  <c r="AT126" i="39"/>
  <c r="BV136" i="39"/>
  <c r="AV143" i="41"/>
  <c r="AV141" i="41" s="1"/>
  <c r="AR166" i="40"/>
  <c r="AT167" i="40" s="1"/>
  <c r="BO126" i="39"/>
  <c r="BN172" i="42"/>
  <c r="BN61" i="41"/>
  <c r="AZ61" i="41"/>
  <c r="BN80" i="39"/>
  <c r="BN86" i="39" s="1"/>
  <c r="AZ172" i="42"/>
  <c r="BN156" i="40"/>
  <c r="BN161" i="40" s="1"/>
  <c r="AH167" i="40"/>
  <c r="AZ97" i="41"/>
  <c r="BV36" i="41"/>
  <c r="AH201" i="42"/>
  <c r="AU143" i="41"/>
  <c r="AU141" i="41" s="1"/>
  <c r="BP167" i="40"/>
  <c r="AZ173" i="40"/>
  <c r="BU173" i="40"/>
  <c r="BP169" i="40"/>
  <c r="BO168" i="40" s="1"/>
  <c r="BO139" i="41"/>
  <c r="BJ21" i="47"/>
  <c r="AT139" i="41"/>
  <c r="AL21" i="47"/>
  <c r="BR167" i="40"/>
  <c r="BL20" i="47"/>
  <c r="BN114" i="39"/>
  <c r="BU137" i="39"/>
  <c r="AR169" i="40"/>
  <c r="AT168" i="40" s="1"/>
  <c r="AH169" i="40"/>
  <c r="BR166" i="40"/>
  <c r="BK20" i="47" s="1"/>
  <c r="BO138" i="41"/>
  <c r="BH21" i="47" s="1"/>
  <c r="BX199" i="42"/>
  <c r="BQ22" i="47" s="1"/>
  <c r="BU98" i="41"/>
  <c r="BU105" i="41" s="1"/>
  <c r="AZ98" i="41"/>
  <c r="BN98" i="41" s="1"/>
  <c r="AU105" i="41"/>
  <c r="AT125" i="39"/>
  <c r="AK19" i="47"/>
  <c r="BO125" i="39"/>
  <c r="BI19" i="47"/>
  <c r="AZ114" i="39"/>
  <c r="BO171" i="40"/>
  <c r="AV105" i="41"/>
  <c r="BP166" i="40"/>
  <c r="AH138" i="41"/>
  <c r="AA21" i="47" s="1"/>
  <c r="BO143" i="41"/>
  <c r="BO141" i="41" s="1"/>
  <c r="BR169" i="40"/>
  <c r="AH166" i="40"/>
  <c r="AA20" i="47" s="1"/>
  <c r="BQ202" i="42"/>
  <c r="BO201" i="42" s="1"/>
  <c r="BV209" i="42"/>
  <c r="BR202" i="42"/>
  <c r="AT200" i="42"/>
  <c r="AK22" i="47"/>
  <c r="AH202" i="42"/>
  <c r="AR202" i="42"/>
  <c r="BO200" i="42"/>
  <c r="BI22" i="47"/>
  <c r="BN44" i="42"/>
  <c r="AS202" i="42"/>
  <c r="BR201" i="42"/>
  <c r="BR199" i="42"/>
  <c r="BK22" i="47" s="1"/>
  <c r="AZ44" i="42"/>
  <c r="BX202" i="42"/>
  <c r="AU204" i="42"/>
  <c r="AU202" i="42" s="1"/>
  <c r="AU52" i="42"/>
  <c r="AU199" i="42" s="1"/>
  <c r="BU47" i="42"/>
  <c r="BU211" i="42"/>
  <c r="BU78" i="42"/>
  <c r="BU203" i="42"/>
  <c r="BU21" i="42"/>
  <c r="AZ53" i="42"/>
  <c r="AT58" i="42"/>
  <c r="BN198" i="42"/>
  <c r="AZ179" i="42"/>
  <c r="BN173" i="42"/>
  <c r="BN179" i="42" s="1"/>
  <c r="AZ25" i="42"/>
  <c r="BN22" i="42"/>
  <c r="BN25" i="42" s="1"/>
  <c r="AZ33" i="42"/>
  <c r="BN30" i="42"/>
  <c r="BN33" i="42" s="1"/>
  <c r="AZ205" i="42"/>
  <c r="BN14" i="42"/>
  <c r="AV204" i="42"/>
  <c r="AV52" i="42"/>
  <c r="AV199" i="42" s="1"/>
  <c r="BV47" i="42"/>
  <c r="BV211" i="42"/>
  <c r="BV78" i="42"/>
  <c r="AZ29" i="42"/>
  <c r="BN26" i="42"/>
  <c r="BN29" i="42" s="1"/>
  <c r="AZ148" i="42"/>
  <c r="BN146" i="42"/>
  <c r="BN148" i="42" s="1"/>
  <c r="BU206" i="42"/>
  <c r="BU64" i="42"/>
  <c r="AZ198" i="42"/>
  <c r="AZ131" i="42"/>
  <c r="BN126" i="42"/>
  <c r="BN131" i="42" s="1"/>
  <c r="AZ209" i="42"/>
  <c r="BN17" i="42"/>
  <c r="BN209" i="42" s="1"/>
  <c r="AZ210" i="42"/>
  <c r="BN18" i="42"/>
  <c r="BN210" i="42" s="1"/>
  <c r="BO204" i="42"/>
  <c r="BO52" i="42"/>
  <c r="BO199" i="42" s="1"/>
  <c r="BH22" i="47" s="1"/>
  <c r="AZ69" i="42"/>
  <c r="BN65" i="42"/>
  <c r="BN69" i="42" s="1"/>
  <c r="BV206" i="42"/>
  <c r="BV64" i="42"/>
  <c r="AZ191" i="42"/>
  <c r="BN186" i="42"/>
  <c r="BN191" i="42" s="1"/>
  <c r="BU212" i="42"/>
  <c r="BU46" i="42"/>
  <c r="BU205" i="42"/>
  <c r="AZ125" i="42"/>
  <c r="BN122" i="42"/>
  <c r="BN125" i="42" s="1"/>
  <c r="AZ153" i="42"/>
  <c r="AZ121" i="42"/>
  <c r="BN116" i="42"/>
  <c r="BN121" i="42" s="1"/>
  <c r="BV212" i="42"/>
  <c r="BV46" i="42"/>
  <c r="AT204" i="42"/>
  <c r="AZ47" i="42"/>
  <c r="AT52" i="42"/>
  <c r="AZ203" i="42"/>
  <c r="AZ21" i="42"/>
  <c r="BN12" i="42"/>
  <c r="AZ85" i="42"/>
  <c r="BN79" i="42"/>
  <c r="BN85" i="42" s="1"/>
  <c r="BV205" i="42"/>
  <c r="AZ112" i="42"/>
  <c r="BN106" i="42"/>
  <c r="BN112" i="42" s="1"/>
  <c r="BV203" i="42"/>
  <c r="BV21" i="42"/>
  <c r="AZ206" i="42"/>
  <c r="AZ211" i="42"/>
  <c r="AZ78" i="42"/>
  <c r="BN77" i="42"/>
  <c r="AZ212" i="42"/>
  <c r="AZ46" i="42"/>
  <c r="BN45" i="42"/>
  <c r="AT27" i="41"/>
  <c r="AT138" i="41" s="1"/>
  <c r="AM21" i="47" s="1"/>
  <c r="AZ22" i="41"/>
  <c r="BO140" i="41"/>
  <c r="BV21" i="41"/>
  <c r="AZ150" i="41"/>
  <c r="AZ29" i="41"/>
  <c r="BN28" i="41"/>
  <c r="AZ151" i="41"/>
  <c r="BN104" i="41"/>
  <c r="BN151" i="41" s="1"/>
  <c r="BU145" i="41"/>
  <c r="BU36" i="41"/>
  <c r="BU151" i="41"/>
  <c r="BN148" i="41"/>
  <c r="AT140" i="41"/>
  <c r="AZ58" i="41"/>
  <c r="BN51" i="41"/>
  <c r="BN58" i="41" s="1"/>
  <c r="AU27" i="41"/>
  <c r="BU22" i="41"/>
  <c r="BU27" i="41" s="1"/>
  <c r="AZ145" i="41"/>
  <c r="AZ36" i="41"/>
  <c r="BN31" i="41"/>
  <c r="AZ148" i="41"/>
  <c r="AZ137" i="41"/>
  <c r="BN131" i="41"/>
  <c r="BN137" i="41" s="1"/>
  <c r="AZ120" i="41"/>
  <c r="BN113" i="41"/>
  <c r="BN120" i="41" s="1"/>
  <c r="AZ93" i="41"/>
  <c r="BN88" i="41"/>
  <c r="BN93" i="41" s="1"/>
  <c r="BU150" i="41"/>
  <c r="BU29" i="41"/>
  <c r="BU21" i="41"/>
  <c r="AV27" i="41"/>
  <c r="BV22" i="41"/>
  <c r="BV27" i="41" s="1"/>
  <c r="AZ65" i="41"/>
  <c r="BN62" i="41"/>
  <c r="BN65" i="41" s="1"/>
  <c r="AZ21" i="41"/>
  <c r="BN17" i="41"/>
  <c r="AZ124" i="41"/>
  <c r="BN121" i="41"/>
  <c r="BN124" i="41" s="1"/>
  <c r="BN50" i="41"/>
  <c r="AZ142" i="41"/>
  <c r="AZ16" i="41"/>
  <c r="BN12" i="41"/>
  <c r="BN97" i="41"/>
  <c r="BV150" i="41"/>
  <c r="BV29" i="41"/>
  <c r="AT143" i="41"/>
  <c r="AT141" i="41" s="1"/>
  <c r="BV142" i="41"/>
  <c r="BV16" i="41"/>
  <c r="BN126" i="41"/>
  <c r="BN130" i="41" s="1"/>
  <c r="AZ130" i="41"/>
  <c r="BU142" i="41"/>
  <c r="BU16" i="41"/>
  <c r="AZ50" i="41"/>
  <c r="AZ81" i="40"/>
  <c r="BN75" i="40"/>
  <c r="BN81" i="40" s="1"/>
  <c r="BV170" i="40"/>
  <c r="AZ130" i="40"/>
  <c r="BN128" i="40"/>
  <c r="BN130" i="40" s="1"/>
  <c r="AU178" i="40"/>
  <c r="AU53" i="40"/>
  <c r="BU52" i="40"/>
  <c r="AZ179" i="40"/>
  <c r="AZ25" i="40"/>
  <c r="BN24" i="40"/>
  <c r="AZ137" i="40"/>
  <c r="BN131" i="40"/>
  <c r="BN137" i="40" s="1"/>
  <c r="AZ165" i="40"/>
  <c r="BN162" i="40"/>
  <c r="BN165" i="40" s="1"/>
  <c r="AZ15" i="40"/>
  <c r="BN13" i="40"/>
  <c r="AZ170" i="40"/>
  <c r="BU60" i="40"/>
  <c r="AZ103" i="40"/>
  <c r="AT108" i="40"/>
  <c r="AT171" i="40"/>
  <c r="AZ124" i="40"/>
  <c r="BN119" i="40"/>
  <c r="BN124" i="40" s="1"/>
  <c r="BO174" i="40"/>
  <c r="BO32" i="40"/>
  <c r="AZ172" i="40"/>
  <c r="AZ38" i="40"/>
  <c r="BN33" i="40"/>
  <c r="AZ60" i="40"/>
  <c r="BN54" i="40"/>
  <c r="BN60" i="40" s="1"/>
  <c r="BV60" i="40"/>
  <c r="AV108" i="40"/>
  <c r="BV103" i="40"/>
  <c r="BV108" i="40" s="1"/>
  <c r="AV171" i="40"/>
  <c r="BV172" i="40"/>
  <c r="BV38" i="40"/>
  <c r="BU172" i="40"/>
  <c r="BU38" i="40"/>
  <c r="AZ151" i="40"/>
  <c r="BN145" i="40"/>
  <c r="BN151" i="40" s="1"/>
  <c r="AZ144" i="40"/>
  <c r="BN138" i="40"/>
  <c r="BN144" i="40" s="1"/>
  <c r="AU174" i="40"/>
  <c r="BU28" i="40"/>
  <c r="AU32" i="40"/>
  <c r="AZ23" i="40"/>
  <c r="BN20" i="40"/>
  <c r="BN23" i="40" s="1"/>
  <c r="BU23" i="40"/>
  <c r="BU170" i="40"/>
  <c r="AZ74" i="40"/>
  <c r="BN68" i="40"/>
  <c r="BN74" i="40" s="1"/>
  <c r="BV179" i="40"/>
  <c r="BV25" i="40"/>
  <c r="BO178" i="40"/>
  <c r="BO53" i="40"/>
  <c r="BV173" i="40"/>
  <c r="BV171" i="40"/>
  <c r="AV174" i="40"/>
  <c r="BV28" i="40"/>
  <c r="AV32" i="40"/>
  <c r="AZ155" i="40"/>
  <c r="BN152" i="40"/>
  <c r="BN155" i="40" s="1"/>
  <c r="BU179" i="40"/>
  <c r="BU25" i="40"/>
  <c r="AZ98" i="40"/>
  <c r="BN93" i="40"/>
  <c r="BN98" i="40" s="1"/>
  <c r="AZ92" i="40"/>
  <c r="BN89" i="40"/>
  <c r="BN92" i="40" s="1"/>
  <c r="AZ118" i="40"/>
  <c r="BN115" i="40"/>
  <c r="BN118" i="40" s="1"/>
  <c r="AZ88" i="40"/>
  <c r="BN82" i="40"/>
  <c r="BN88" i="40" s="1"/>
  <c r="AT174" i="40"/>
  <c r="AZ28" i="40"/>
  <c r="AT32" i="40"/>
  <c r="AT178" i="40"/>
  <c r="AZ52" i="40"/>
  <c r="AT53" i="40"/>
  <c r="AV178" i="40"/>
  <c r="AV53" i="40"/>
  <c r="BV52" i="40"/>
  <c r="AZ51" i="40"/>
  <c r="BN45" i="40"/>
  <c r="BN51" i="40" s="1"/>
  <c r="BU44" i="40"/>
  <c r="AU108" i="40"/>
  <c r="BU103" i="40"/>
  <c r="BU108" i="40" s="1"/>
  <c r="BO36" i="39"/>
  <c r="BO124" i="39" s="1"/>
  <c r="BH19" i="47" s="1"/>
  <c r="BO129" i="39"/>
  <c r="BO127" i="39" s="1"/>
  <c r="AZ56" i="39"/>
  <c r="BN51" i="39"/>
  <c r="BN56" i="39" s="1"/>
  <c r="BN48" i="39"/>
  <c r="BN50" i="39" s="1"/>
  <c r="AZ50" i="39"/>
  <c r="BV130" i="39"/>
  <c r="BV42" i="39"/>
  <c r="AZ136" i="39"/>
  <c r="AZ44" i="39"/>
  <c r="BN43" i="39"/>
  <c r="AZ79" i="39"/>
  <c r="BN73" i="39"/>
  <c r="BN79" i="39" s="1"/>
  <c r="AZ24" i="39"/>
  <c r="BN19" i="39"/>
  <c r="BV131" i="39"/>
  <c r="BV30" i="39"/>
  <c r="BU128" i="39"/>
  <c r="BU18" i="39"/>
  <c r="AZ31" i="39"/>
  <c r="AT36" i="39"/>
  <c r="AT124" i="39" s="1"/>
  <c r="AM19" i="47" s="1"/>
  <c r="BV128" i="39"/>
  <c r="BV18" i="39"/>
  <c r="BU135" i="39"/>
  <c r="BU24" i="39"/>
  <c r="BU131" i="39"/>
  <c r="BU30" i="39"/>
  <c r="AZ100" i="39"/>
  <c r="BN94" i="39"/>
  <c r="BN100" i="39" s="1"/>
  <c r="BV46" i="39"/>
  <c r="BV137" i="39"/>
  <c r="BN13" i="39"/>
  <c r="AZ134" i="39"/>
  <c r="BN17" i="39"/>
  <c r="BN134" i="39" s="1"/>
  <c r="AZ131" i="39"/>
  <c r="AZ30" i="39"/>
  <c r="BN25" i="39"/>
  <c r="AZ128" i="39"/>
  <c r="AZ18" i="39"/>
  <c r="BN14" i="39"/>
  <c r="BU130" i="39"/>
  <c r="BU42" i="39"/>
  <c r="AZ65" i="39"/>
  <c r="BN59" i="39"/>
  <c r="BN65" i="39" s="1"/>
  <c r="AU36" i="39"/>
  <c r="AU124" i="39" s="1"/>
  <c r="AN19" i="47" s="1"/>
  <c r="BU31" i="39"/>
  <c r="AU129" i="39"/>
  <c r="AU127" i="39" s="1"/>
  <c r="AZ46" i="39"/>
  <c r="BN45" i="39"/>
  <c r="BN46" i="39" s="1"/>
  <c r="BV135" i="39"/>
  <c r="BV24" i="39"/>
  <c r="AT127" i="39"/>
  <c r="AV36" i="39"/>
  <c r="AV124" i="39" s="1"/>
  <c r="BV31" i="39"/>
  <c r="AV129" i="39"/>
  <c r="AV127" i="39" s="1"/>
  <c r="AZ130" i="39"/>
  <c r="AZ42" i="39"/>
  <c r="BN37" i="39"/>
  <c r="AZ135" i="39"/>
  <c r="BN22" i="39"/>
  <c r="BN135" i="39" s="1"/>
  <c r="AZ137" i="39"/>
  <c r="BO166" i="40" l="1"/>
  <c r="BH20" i="47" s="1"/>
  <c r="AZ143" i="41"/>
  <c r="AZ141" i="41" s="1"/>
  <c r="AK20" i="47"/>
  <c r="AV138" i="41"/>
  <c r="BV139" i="41" s="1"/>
  <c r="AU169" i="40"/>
  <c r="AZ105" i="41"/>
  <c r="AU138" i="41"/>
  <c r="AN21" i="47" s="1"/>
  <c r="AZ140" i="41"/>
  <c r="AT166" i="40"/>
  <c r="AM20" i="47" s="1"/>
  <c r="BO169" i="40"/>
  <c r="AV169" i="40"/>
  <c r="AU166" i="40"/>
  <c r="AN20" i="47" s="1"/>
  <c r="BV125" i="39"/>
  <c r="AO19" i="47"/>
  <c r="BU171" i="40"/>
  <c r="AT169" i="40"/>
  <c r="AV166" i="40"/>
  <c r="BU138" i="41"/>
  <c r="BN21" i="47" s="1"/>
  <c r="BN105" i="41"/>
  <c r="AT199" i="42"/>
  <c r="AM22" i="47" s="1"/>
  <c r="BO167" i="40"/>
  <c r="BI20" i="47"/>
  <c r="BU143" i="41"/>
  <c r="BU141" i="41" s="1"/>
  <c r="BV200" i="42"/>
  <c r="AO22" i="47"/>
  <c r="BU200" i="42"/>
  <c r="AN22" i="47"/>
  <c r="AV202" i="42"/>
  <c r="AZ201" i="42" s="1"/>
  <c r="AT201" i="42"/>
  <c r="BO202" i="42"/>
  <c r="AT202" i="42"/>
  <c r="BN211" i="42"/>
  <c r="BN78" i="42"/>
  <c r="BN203" i="42"/>
  <c r="BN21" i="42"/>
  <c r="BN212" i="42"/>
  <c r="BN46" i="42"/>
  <c r="BV204" i="42"/>
  <c r="BV52" i="42"/>
  <c r="BV199" i="42" s="1"/>
  <c r="BO22" i="47" s="1"/>
  <c r="BU204" i="42"/>
  <c r="BU52" i="42"/>
  <c r="BU199" i="42" s="1"/>
  <c r="BN22" i="47" s="1"/>
  <c r="AZ200" i="42"/>
  <c r="AZ58" i="42"/>
  <c r="BN53" i="42"/>
  <c r="BN58" i="42" s="1"/>
  <c r="AZ204" i="42"/>
  <c r="AZ52" i="42"/>
  <c r="BN47" i="42"/>
  <c r="BN206" i="42"/>
  <c r="BN205" i="42"/>
  <c r="AZ27" i="41"/>
  <c r="BN22" i="41"/>
  <c r="BN27" i="41" s="1"/>
  <c r="BV138" i="41"/>
  <c r="BO21" i="47" s="1"/>
  <c r="BN142" i="41"/>
  <c r="BN16" i="41"/>
  <c r="BN21" i="41"/>
  <c r="BV143" i="41"/>
  <c r="BV141" i="41" s="1"/>
  <c r="BN145" i="41"/>
  <c r="BN36" i="41"/>
  <c r="BN150" i="41"/>
  <c r="BN29" i="41"/>
  <c r="BV174" i="40"/>
  <c r="BV32" i="40"/>
  <c r="BU178" i="40"/>
  <c r="BU53" i="40"/>
  <c r="BV178" i="40"/>
  <c r="BV53" i="40"/>
  <c r="AZ108" i="40"/>
  <c r="BN103" i="40"/>
  <c r="BN108" i="40" s="1"/>
  <c r="AZ171" i="40"/>
  <c r="BN170" i="40"/>
  <c r="BN15" i="40"/>
  <c r="AZ174" i="40"/>
  <c r="BN28" i="40"/>
  <c r="AZ32" i="40"/>
  <c r="BN172" i="40"/>
  <c r="BN38" i="40"/>
  <c r="BN173" i="40"/>
  <c r="BN179" i="40"/>
  <c r="BN25" i="40"/>
  <c r="BU174" i="40"/>
  <c r="BU32" i="40"/>
  <c r="AZ178" i="40"/>
  <c r="AZ53" i="40"/>
  <c r="BN52" i="40"/>
  <c r="AZ126" i="39"/>
  <c r="BU125" i="39"/>
  <c r="AZ125" i="39"/>
  <c r="BV36" i="39"/>
  <c r="BV124" i="39" s="1"/>
  <c r="BO19" i="47" s="1"/>
  <c r="BV129" i="39"/>
  <c r="BV127" i="39" s="1"/>
  <c r="BN131" i="39"/>
  <c r="BN30" i="39"/>
  <c r="BN137" i="39"/>
  <c r="BN130" i="39"/>
  <c r="BN42" i="39"/>
  <c r="BN136" i="39"/>
  <c r="BN44" i="39"/>
  <c r="AZ36" i="39"/>
  <c r="AZ124" i="39" s="1"/>
  <c r="AS19" i="47" s="1"/>
  <c r="BN31" i="39"/>
  <c r="BN36" i="39" s="1"/>
  <c r="BN24" i="39"/>
  <c r="BU36" i="39"/>
  <c r="BU124" i="39" s="1"/>
  <c r="BU129" i="39"/>
  <c r="BU127" i="39" s="1"/>
  <c r="BN128" i="39"/>
  <c r="BN18" i="39"/>
  <c r="AZ129" i="39"/>
  <c r="AZ127" i="39" s="1"/>
  <c r="AZ168" i="40" l="1"/>
  <c r="AO21" i="47"/>
  <c r="AZ138" i="41"/>
  <c r="AS21" i="47" s="1"/>
  <c r="AZ166" i="40"/>
  <c r="AS20" i="47" s="1"/>
  <c r="AZ167" i="40"/>
  <c r="AZ199" i="42"/>
  <c r="AS22" i="47" s="1"/>
  <c r="AZ139" i="41"/>
  <c r="BU139" i="41"/>
  <c r="BV166" i="40"/>
  <c r="BO20" i="47" s="1"/>
  <c r="BU167" i="40"/>
  <c r="BU169" i="40"/>
  <c r="BN129" i="39"/>
  <c r="BN127" i="39" s="1"/>
  <c r="BN126" i="39"/>
  <c r="BN125" i="39"/>
  <c r="BN19" i="47"/>
  <c r="BN139" i="41"/>
  <c r="BV167" i="40"/>
  <c r="AO20" i="47"/>
  <c r="BN124" i="39"/>
  <c r="BG19" i="47" s="1"/>
  <c r="AZ169" i="40"/>
  <c r="BN140" i="41"/>
  <c r="BV169" i="40"/>
  <c r="AZ202" i="42"/>
  <c r="BU202" i="42"/>
  <c r="BV202" i="42"/>
  <c r="BN200" i="42"/>
  <c r="BN204" i="42"/>
  <c r="BN52" i="42"/>
  <c r="BN199" i="42" s="1"/>
  <c r="BG22" i="47" s="1"/>
  <c r="BN138" i="41"/>
  <c r="BG21" i="47" s="1"/>
  <c r="BN143" i="41"/>
  <c r="BN141" i="41" s="1"/>
  <c r="BN171" i="40"/>
  <c r="BU166" i="40"/>
  <c r="BN178" i="40"/>
  <c r="BN53" i="40"/>
  <c r="BN174" i="40"/>
  <c r="BN32" i="40"/>
  <c r="BN168" i="40" l="1"/>
  <c r="BN169" i="40"/>
  <c r="BN166" i="40"/>
  <c r="BG20" i="47" s="1"/>
  <c r="BN201" i="42"/>
  <c r="BN167" i="40"/>
  <c r="BN20" i="47"/>
  <c r="BN202" i="42"/>
  <c r="BJ306" i="32"/>
  <c r="BI306" i="32"/>
  <c r="BH306" i="32"/>
  <c r="BG306" i="32"/>
  <c r="BF306" i="32"/>
  <c r="BE306" i="32"/>
  <c r="BD306" i="32"/>
  <c r="BC306" i="32"/>
  <c r="BB306" i="32"/>
  <c r="BA306" i="32"/>
  <c r="AX306" i="32"/>
  <c r="AW306" i="32"/>
  <c r="AN306" i="32"/>
  <c r="AM306" i="32"/>
  <c r="AL306" i="32"/>
  <c r="AJ306" i="32"/>
  <c r="AI306" i="32"/>
  <c r="AE306" i="32"/>
  <c r="AD306" i="32"/>
  <c r="AC306" i="32"/>
  <c r="AB306" i="32"/>
  <c r="AA306" i="32"/>
  <c r="Z306" i="32"/>
  <c r="Y306" i="32"/>
  <c r="X306" i="32"/>
  <c r="U306" i="32"/>
  <c r="T306" i="32"/>
  <c r="R306" i="32"/>
  <c r="O306" i="32"/>
  <c r="N306" i="32"/>
  <c r="L306" i="32"/>
  <c r="K306" i="32"/>
  <c r="BJ305" i="32"/>
  <c r="BI305" i="32"/>
  <c r="BH305" i="32"/>
  <c r="BG305" i="32"/>
  <c r="BF305" i="32"/>
  <c r="BE305" i="32"/>
  <c r="BD305" i="32"/>
  <c r="BC305" i="32"/>
  <c r="BB305" i="32"/>
  <c r="BA305" i="32"/>
  <c r="AX305" i="32"/>
  <c r="AW305" i="32"/>
  <c r="AN305" i="32"/>
  <c r="AM305" i="32"/>
  <c r="AL305" i="32"/>
  <c r="AJ305" i="32"/>
  <c r="AI305" i="32"/>
  <c r="AE305" i="32"/>
  <c r="AD305" i="32"/>
  <c r="AC305" i="32"/>
  <c r="AB305" i="32"/>
  <c r="AA305" i="32"/>
  <c r="Z305" i="32"/>
  <c r="Y305" i="32"/>
  <c r="X305" i="32"/>
  <c r="U305" i="32"/>
  <c r="T305" i="32"/>
  <c r="R305" i="32"/>
  <c r="O305" i="32"/>
  <c r="N305" i="32"/>
  <c r="L305" i="32"/>
  <c r="K305" i="32"/>
  <c r="BJ304" i="32"/>
  <c r="BI304" i="32"/>
  <c r="BH304" i="32"/>
  <c r="BG304" i="32"/>
  <c r="BF304" i="32"/>
  <c r="BE304" i="32"/>
  <c r="BD304" i="32"/>
  <c r="BC304" i="32"/>
  <c r="BB304" i="32"/>
  <c r="BA304" i="32"/>
  <c r="AX304" i="32"/>
  <c r="AW304" i="32"/>
  <c r="AN304" i="32"/>
  <c r="AM304" i="32"/>
  <c r="AL304" i="32"/>
  <c r="AJ304" i="32"/>
  <c r="AI304" i="32"/>
  <c r="AE304" i="32"/>
  <c r="AD304" i="32"/>
  <c r="AC304" i="32"/>
  <c r="AB304" i="32"/>
  <c r="AA304" i="32"/>
  <c r="Z304" i="32"/>
  <c r="Y304" i="32"/>
  <c r="X304" i="32"/>
  <c r="U304" i="32"/>
  <c r="T304" i="32"/>
  <c r="R304" i="32"/>
  <c r="O304" i="32"/>
  <c r="N304" i="32"/>
  <c r="L304" i="32"/>
  <c r="K304" i="32"/>
  <c r="BJ303" i="32"/>
  <c r="BI303" i="32"/>
  <c r="BH303" i="32"/>
  <c r="BG303" i="32"/>
  <c r="BF303" i="32"/>
  <c r="BE303" i="32"/>
  <c r="BD303" i="32"/>
  <c r="BC303" i="32"/>
  <c r="BB303" i="32"/>
  <c r="BA303" i="32"/>
  <c r="AX303" i="32"/>
  <c r="AW303" i="32"/>
  <c r="AN303" i="32"/>
  <c r="AM303" i="32"/>
  <c r="AL303" i="32"/>
  <c r="AJ303" i="32"/>
  <c r="AI303" i="32"/>
  <c r="AE303" i="32"/>
  <c r="AD303" i="32"/>
  <c r="AC303" i="32"/>
  <c r="AB303" i="32"/>
  <c r="AA303" i="32"/>
  <c r="Z303" i="32"/>
  <c r="Y303" i="32"/>
  <c r="X303" i="32"/>
  <c r="U303" i="32"/>
  <c r="T303" i="32"/>
  <c r="R303" i="32"/>
  <c r="O303" i="32"/>
  <c r="N303" i="32"/>
  <c r="L303" i="32"/>
  <c r="K303" i="32"/>
  <c r="BJ302" i="32"/>
  <c r="BI302" i="32"/>
  <c r="BH302" i="32"/>
  <c r="BG302" i="32"/>
  <c r="BF302" i="32"/>
  <c r="BE302" i="32"/>
  <c r="BD302" i="32"/>
  <c r="BC302" i="32"/>
  <c r="BB302" i="32"/>
  <c r="BA302" i="32"/>
  <c r="AX302" i="32"/>
  <c r="AW302" i="32"/>
  <c r="AN302" i="32"/>
  <c r="AM302" i="32"/>
  <c r="AL302" i="32"/>
  <c r="AJ302" i="32"/>
  <c r="AI302" i="32"/>
  <c r="AE302" i="32"/>
  <c r="AD302" i="32"/>
  <c r="AC302" i="32"/>
  <c r="AB302" i="32"/>
  <c r="AA302" i="32"/>
  <c r="Z302" i="32"/>
  <c r="Y302" i="32"/>
  <c r="X302" i="32"/>
  <c r="U302" i="32"/>
  <c r="T302" i="32"/>
  <c r="R302" i="32"/>
  <c r="O302" i="32"/>
  <c r="N302" i="32"/>
  <c r="L302" i="32"/>
  <c r="K302" i="32"/>
  <c r="BZ301" i="32"/>
  <c r="BY301" i="32"/>
  <c r="BX301" i="32"/>
  <c r="BW301" i="32"/>
  <c r="BV301" i="32"/>
  <c r="BU301" i="32"/>
  <c r="BT301" i="32"/>
  <c r="BS301" i="32"/>
  <c r="BR301" i="32"/>
  <c r="BQ301" i="32"/>
  <c r="BP301" i="32"/>
  <c r="BO301" i="32"/>
  <c r="BN301" i="32"/>
  <c r="BM301" i="32"/>
  <c r="BL301" i="32"/>
  <c r="BK301" i="32"/>
  <c r="BJ301" i="32"/>
  <c r="BI301" i="32"/>
  <c r="BH301" i="32"/>
  <c r="BG301" i="32"/>
  <c r="BF301" i="32"/>
  <c r="BE301" i="32"/>
  <c r="BD301" i="32"/>
  <c r="BC301" i="32"/>
  <c r="BB301" i="32"/>
  <c r="BA301" i="32"/>
  <c r="AZ301" i="32"/>
  <c r="AY301" i="32"/>
  <c r="AX301" i="32"/>
  <c r="AW301" i="32"/>
  <c r="AV301" i="32"/>
  <c r="AU301" i="32"/>
  <c r="AT301" i="32"/>
  <c r="AS301" i="32"/>
  <c r="AR301" i="32"/>
  <c r="AQ301" i="32"/>
  <c r="AP301" i="32"/>
  <c r="AO301" i="32"/>
  <c r="AN301" i="32"/>
  <c r="AM301" i="32"/>
  <c r="AL301" i="32"/>
  <c r="AJ301" i="32"/>
  <c r="AI301" i="32"/>
  <c r="AH301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BJ300" i="32"/>
  <c r="BI300" i="32"/>
  <c r="BH300" i="32"/>
  <c r="BG300" i="32"/>
  <c r="BF300" i="32"/>
  <c r="BE300" i="32"/>
  <c r="BD300" i="32"/>
  <c r="BB300" i="32"/>
  <c r="BA300" i="32"/>
  <c r="AX300" i="32"/>
  <c r="AW300" i="32"/>
  <c r="AN300" i="32"/>
  <c r="AM300" i="32"/>
  <c r="AL300" i="32"/>
  <c r="AJ300" i="32"/>
  <c r="AI300" i="32"/>
  <c r="AE300" i="32"/>
  <c r="AD300" i="32"/>
  <c r="AC300" i="32"/>
  <c r="AB300" i="32"/>
  <c r="AA300" i="32"/>
  <c r="Z300" i="32"/>
  <c r="Y300" i="32"/>
  <c r="U300" i="32"/>
  <c r="T300" i="32"/>
  <c r="R300" i="32"/>
  <c r="O300" i="32"/>
  <c r="N300" i="32"/>
  <c r="L300" i="32"/>
  <c r="K300" i="32"/>
  <c r="BJ299" i="32"/>
  <c r="BI299" i="32"/>
  <c r="BH299" i="32"/>
  <c r="BG299" i="32"/>
  <c r="BF299" i="32"/>
  <c r="BE299" i="32"/>
  <c r="BD299" i="32"/>
  <c r="BC299" i="32"/>
  <c r="BB299" i="32"/>
  <c r="BA299" i="32"/>
  <c r="AX299" i="32"/>
  <c r="AW299" i="32"/>
  <c r="AN299" i="32"/>
  <c r="AM299" i="32"/>
  <c r="AL299" i="32"/>
  <c r="AJ299" i="32"/>
  <c r="AI299" i="32"/>
  <c r="AE299" i="32"/>
  <c r="AD299" i="32"/>
  <c r="AC299" i="32"/>
  <c r="AB299" i="32"/>
  <c r="AA299" i="32"/>
  <c r="Z299" i="32"/>
  <c r="Y299" i="32"/>
  <c r="X299" i="32"/>
  <c r="U299" i="32"/>
  <c r="T299" i="32"/>
  <c r="R299" i="32"/>
  <c r="O299" i="32"/>
  <c r="N299" i="32"/>
  <c r="L299" i="32"/>
  <c r="K299" i="32"/>
  <c r="BJ298" i="32"/>
  <c r="BI298" i="32"/>
  <c r="BH298" i="32"/>
  <c r="BG298" i="32"/>
  <c r="BF298" i="32"/>
  <c r="BE298" i="32"/>
  <c r="BD298" i="32"/>
  <c r="BB298" i="32"/>
  <c r="BA298" i="32"/>
  <c r="AX298" i="32"/>
  <c r="AN298" i="32"/>
  <c r="AM298" i="32"/>
  <c r="AL298" i="32"/>
  <c r="AJ298" i="32"/>
  <c r="AI298" i="32"/>
  <c r="AE298" i="32"/>
  <c r="AD298" i="32"/>
  <c r="AC298" i="32"/>
  <c r="AB298" i="32"/>
  <c r="AA298" i="32"/>
  <c r="Z298" i="32"/>
  <c r="Y298" i="32"/>
  <c r="U298" i="32"/>
  <c r="T298" i="32"/>
  <c r="R298" i="32"/>
  <c r="O298" i="32"/>
  <c r="N298" i="32"/>
  <c r="L298" i="32"/>
  <c r="K298" i="32"/>
  <c r="BJ297" i="32"/>
  <c r="BI297" i="32"/>
  <c r="BH297" i="32"/>
  <c r="BG297" i="32"/>
  <c r="BF297" i="32"/>
  <c r="BE297" i="32"/>
  <c r="BD297" i="32"/>
  <c r="BC297" i="32"/>
  <c r="BB297" i="32"/>
  <c r="BA297" i="32"/>
  <c r="AX297" i="32"/>
  <c r="AW297" i="32"/>
  <c r="AN297" i="32"/>
  <c r="AM297" i="32"/>
  <c r="AL297" i="32"/>
  <c r="AJ297" i="32"/>
  <c r="AI297" i="32"/>
  <c r="AE297" i="32"/>
  <c r="AD297" i="32"/>
  <c r="AC297" i="32"/>
  <c r="AB297" i="32"/>
  <c r="AA297" i="32"/>
  <c r="Z297" i="32"/>
  <c r="Y297" i="32"/>
  <c r="X297" i="32"/>
  <c r="U297" i="32"/>
  <c r="T297" i="32"/>
  <c r="R297" i="32"/>
  <c r="O297" i="32"/>
  <c r="N297" i="32"/>
  <c r="L297" i="32"/>
  <c r="K297" i="32"/>
  <c r="BJ292" i="32"/>
  <c r="BI292" i="32"/>
  <c r="BH292" i="32"/>
  <c r="BG292" i="32"/>
  <c r="BF292" i="32"/>
  <c r="BE292" i="32"/>
  <c r="BD292" i="32"/>
  <c r="BC292" i="32"/>
  <c r="BB292" i="32"/>
  <c r="BA292" i="32"/>
  <c r="AX292" i="32"/>
  <c r="AW292" i="32"/>
  <c r="AN292" i="32"/>
  <c r="AM292" i="32"/>
  <c r="AL292" i="32"/>
  <c r="AJ292" i="32"/>
  <c r="AI292" i="32"/>
  <c r="AE292" i="32"/>
  <c r="AD292" i="32"/>
  <c r="AC292" i="32"/>
  <c r="AB292" i="32"/>
  <c r="AA292" i="32"/>
  <c r="Z292" i="32"/>
  <c r="Y292" i="32"/>
  <c r="X292" i="32"/>
  <c r="U292" i="32"/>
  <c r="T292" i="32"/>
  <c r="R292" i="32"/>
  <c r="O292" i="32"/>
  <c r="N292" i="32"/>
  <c r="L292" i="32"/>
  <c r="K292" i="32"/>
  <c r="BL291" i="32"/>
  <c r="BL292" i="32" s="1"/>
  <c r="BK291" i="32"/>
  <c r="AY291" i="32"/>
  <c r="AY292" i="32" s="1"/>
  <c r="AP291" i="32"/>
  <c r="W291" i="32"/>
  <c r="V291" i="32"/>
  <c r="S291" i="32"/>
  <c r="S292" i="32" s="1"/>
  <c r="M291" i="32"/>
  <c r="M292" i="32" s="1"/>
  <c r="J291" i="32"/>
  <c r="BJ290" i="32"/>
  <c r="BI290" i="32"/>
  <c r="BH290" i="32"/>
  <c r="BG290" i="32"/>
  <c r="BF290" i="32"/>
  <c r="BE290" i="32"/>
  <c r="BD290" i="32"/>
  <c r="BC290" i="32"/>
  <c r="BB290" i="32"/>
  <c r="BA290" i="32"/>
  <c r="AX290" i="32"/>
  <c r="AW290" i="32"/>
  <c r="AN290" i="32"/>
  <c r="AM290" i="32"/>
  <c r="AL290" i="32"/>
  <c r="AJ290" i="32"/>
  <c r="AI290" i="32"/>
  <c r="AE290" i="32"/>
  <c r="AD290" i="32"/>
  <c r="AC290" i="32"/>
  <c r="AB290" i="32"/>
  <c r="AA290" i="32"/>
  <c r="Z290" i="32"/>
  <c r="Y290" i="32"/>
  <c r="X290" i="32"/>
  <c r="U290" i="32"/>
  <c r="T290" i="32"/>
  <c r="R290" i="32"/>
  <c r="O290" i="32"/>
  <c r="N290" i="32"/>
  <c r="L290" i="32"/>
  <c r="K290" i="32"/>
  <c r="BL289" i="32"/>
  <c r="BK289" i="32"/>
  <c r="BY289" i="32" s="1"/>
  <c r="AY289" i="32"/>
  <c r="BW289" i="32" s="1"/>
  <c r="AP289" i="32"/>
  <c r="BT289" i="32" s="1"/>
  <c r="W289" i="32"/>
  <c r="AG289" i="32" s="1"/>
  <c r="V289" i="32"/>
  <c r="AF289" i="32" s="1"/>
  <c r="BP289" i="32" s="1"/>
  <c r="S289" i="32"/>
  <c r="M289" i="32"/>
  <c r="J289" i="32"/>
  <c r="BL288" i="32"/>
  <c r="BZ288" i="32" s="1"/>
  <c r="BK288" i="32"/>
  <c r="AY288" i="32"/>
  <c r="BW288" i="32" s="1"/>
  <c r="AP288" i="32"/>
  <c r="BT288" i="32" s="1"/>
  <c r="BS288" i="32"/>
  <c r="W288" i="32"/>
  <c r="AG288" i="32" s="1"/>
  <c r="V288" i="32"/>
  <c r="AF288" i="32" s="1"/>
  <c r="S288" i="32"/>
  <c r="M288" i="32"/>
  <c r="J288" i="32"/>
  <c r="Q288" i="32" s="1"/>
  <c r="BL287" i="32"/>
  <c r="BZ287" i="32" s="1"/>
  <c r="BK287" i="32"/>
  <c r="AY287" i="32"/>
  <c r="BW287" i="32" s="1"/>
  <c r="AP287" i="32"/>
  <c r="BS287" i="32"/>
  <c r="W287" i="32"/>
  <c r="AG287" i="32" s="1"/>
  <c r="V287" i="32"/>
  <c r="AF287" i="32" s="1"/>
  <c r="S287" i="32"/>
  <c r="M287" i="32"/>
  <c r="J287" i="32"/>
  <c r="BL286" i="32"/>
  <c r="BZ286" i="32" s="1"/>
  <c r="BK286" i="32"/>
  <c r="BY286" i="32" s="1"/>
  <c r="AY286" i="32"/>
  <c r="BW286" i="32" s="1"/>
  <c r="AP286" i="32"/>
  <c r="BS286" i="32"/>
  <c r="W286" i="32"/>
  <c r="AG286" i="32" s="1"/>
  <c r="V286" i="32"/>
  <c r="AF286" i="32" s="1"/>
  <c r="S286" i="32"/>
  <c r="M286" i="32"/>
  <c r="J286" i="32"/>
  <c r="BL285" i="32"/>
  <c r="BZ285" i="32" s="1"/>
  <c r="BK285" i="32"/>
  <c r="AY285" i="32"/>
  <c r="BW285" i="32" s="1"/>
  <c r="AP285" i="32"/>
  <c r="BS285" i="32"/>
  <c r="W285" i="32"/>
  <c r="AG285" i="32" s="1"/>
  <c r="V285" i="32"/>
  <c r="AF285" i="32" s="1"/>
  <c r="S285" i="32"/>
  <c r="M285" i="32"/>
  <c r="J285" i="32"/>
  <c r="BL284" i="32"/>
  <c r="BZ284" i="32" s="1"/>
  <c r="BK284" i="32"/>
  <c r="AY284" i="32"/>
  <c r="AP284" i="32"/>
  <c r="BT284" i="32" s="1"/>
  <c r="W284" i="32"/>
  <c r="V284" i="32"/>
  <c r="AF284" i="32" s="1"/>
  <c r="S284" i="32"/>
  <c r="M284" i="32"/>
  <c r="J284" i="32"/>
  <c r="BJ283" i="32"/>
  <c r="BI283" i="32"/>
  <c r="BH283" i="32"/>
  <c r="BG283" i="32"/>
  <c r="BF283" i="32"/>
  <c r="BE283" i="32"/>
  <c r="BD283" i="32"/>
  <c r="BC283" i="32"/>
  <c r="BB283" i="32"/>
  <c r="BA283" i="32"/>
  <c r="AX283" i="32"/>
  <c r="AW283" i="32"/>
  <c r="AN283" i="32"/>
  <c r="AM283" i="32"/>
  <c r="AL283" i="32"/>
  <c r="AJ283" i="32"/>
  <c r="AI283" i="32"/>
  <c r="AE283" i="32"/>
  <c r="AD283" i="32"/>
  <c r="AC283" i="32"/>
  <c r="AB283" i="32"/>
  <c r="AA283" i="32"/>
  <c r="Z283" i="32"/>
  <c r="Y283" i="32"/>
  <c r="X283" i="32"/>
  <c r="U283" i="32"/>
  <c r="T283" i="32"/>
  <c r="R283" i="32"/>
  <c r="O283" i="32"/>
  <c r="N283" i="32"/>
  <c r="L283" i="32"/>
  <c r="K283" i="32"/>
  <c r="BL282" i="32"/>
  <c r="BK282" i="32"/>
  <c r="BY282" i="32" s="1"/>
  <c r="AY282" i="32"/>
  <c r="BW282" i="32" s="1"/>
  <c r="AP282" i="32"/>
  <c r="BT282" i="32" s="1"/>
  <c r="W282" i="32"/>
  <c r="AG282" i="32" s="1"/>
  <c r="V282" i="32"/>
  <c r="AF282" i="32" s="1"/>
  <c r="BP282" i="32" s="1"/>
  <c r="S282" i="32"/>
  <c r="M282" i="32"/>
  <c r="J282" i="32"/>
  <c r="Q282" i="32" s="1"/>
  <c r="BL281" i="32"/>
  <c r="BZ281" i="32" s="1"/>
  <c r="BK281" i="32"/>
  <c r="BY281" i="32" s="1"/>
  <c r="AY281" i="32"/>
  <c r="BW281" i="32" s="1"/>
  <c r="AP281" i="32"/>
  <c r="BT281" i="32" s="1"/>
  <c r="W281" i="32"/>
  <c r="AG281" i="32" s="1"/>
  <c r="V281" i="32"/>
  <c r="AF281" i="32" s="1"/>
  <c r="S281" i="32"/>
  <c r="M281" i="32"/>
  <c r="J281" i="32"/>
  <c r="P281" i="32" s="1"/>
  <c r="BL280" i="32"/>
  <c r="BZ280" i="32" s="1"/>
  <c r="BK280" i="32"/>
  <c r="AY280" i="32"/>
  <c r="AP280" i="32"/>
  <c r="BT280" i="32" s="1"/>
  <c r="BS280" i="32"/>
  <c r="W280" i="32"/>
  <c r="AG280" i="32" s="1"/>
  <c r="V280" i="32"/>
  <c r="AF280" i="32" s="1"/>
  <c r="S280" i="32"/>
  <c r="M280" i="32"/>
  <c r="J280" i="32"/>
  <c r="BL279" i="32"/>
  <c r="BZ279" i="32" s="1"/>
  <c r="BK279" i="32"/>
  <c r="AY279" i="32"/>
  <c r="BW279" i="32" s="1"/>
  <c r="AP279" i="32"/>
  <c r="BT279" i="32" s="1"/>
  <c r="W279" i="32"/>
  <c r="AG279" i="32" s="1"/>
  <c r="V279" i="32"/>
  <c r="AF279" i="32" s="1"/>
  <c r="S279" i="32"/>
  <c r="M279" i="32"/>
  <c r="J279" i="32"/>
  <c r="BL278" i="32"/>
  <c r="BZ278" i="32" s="1"/>
  <c r="BK278" i="32"/>
  <c r="AY278" i="32"/>
  <c r="BW278" i="32" s="1"/>
  <c r="AP278" i="32"/>
  <c r="BT278" i="32" s="1"/>
  <c r="W278" i="32"/>
  <c r="AG278" i="32" s="1"/>
  <c r="V278" i="32"/>
  <c r="AF278" i="32" s="1"/>
  <c r="S278" i="32"/>
  <c r="M278" i="32"/>
  <c r="J278" i="32"/>
  <c r="BL277" i="32"/>
  <c r="BK277" i="32"/>
  <c r="AY277" i="32"/>
  <c r="BW277" i="32" s="1"/>
  <c r="AP277" i="32"/>
  <c r="BT277" i="32" s="1"/>
  <c r="BS277" i="32"/>
  <c r="W277" i="32"/>
  <c r="V277" i="32"/>
  <c r="AF277" i="32" s="1"/>
  <c r="S277" i="32"/>
  <c r="M277" i="32"/>
  <c r="J277" i="32"/>
  <c r="BJ276" i="32"/>
  <c r="BI276" i="32"/>
  <c r="BH276" i="32"/>
  <c r="BG276" i="32"/>
  <c r="BF276" i="32"/>
  <c r="BE276" i="32"/>
  <c r="BD276" i="32"/>
  <c r="BC276" i="32"/>
  <c r="BB276" i="32"/>
  <c r="BA276" i="32"/>
  <c r="AX276" i="32"/>
  <c r="AW276" i="32"/>
  <c r="AN276" i="32"/>
  <c r="AM276" i="32"/>
  <c r="AL276" i="32"/>
  <c r="AJ276" i="32"/>
  <c r="AI276" i="32"/>
  <c r="AE276" i="32"/>
  <c r="AD276" i="32"/>
  <c r="AC276" i="32"/>
  <c r="AB276" i="32"/>
  <c r="AA276" i="32"/>
  <c r="Z276" i="32"/>
  <c r="Y276" i="32"/>
  <c r="X276" i="32"/>
  <c r="U276" i="32"/>
  <c r="T276" i="32"/>
  <c r="R276" i="32"/>
  <c r="O276" i="32"/>
  <c r="N276" i="32"/>
  <c r="L276" i="32"/>
  <c r="K276" i="32"/>
  <c r="BL275" i="32"/>
  <c r="BZ275" i="32" s="1"/>
  <c r="BK275" i="32"/>
  <c r="AY275" i="32"/>
  <c r="BW275" i="32" s="1"/>
  <c r="AP275" i="32"/>
  <c r="BS275" i="32"/>
  <c r="W275" i="32"/>
  <c r="AG275" i="32" s="1"/>
  <c r="V275" i="32"/>
  <c r="AF275" i="32" s="1"/>
  <c r="S275" i="32"/>
  <c r="M275" i="32"/>
  <c r="J275" i="32"/>
  <c r="BL274" i="32"/>
  <c r="BK274" i="32"/>
  <c r="BY274" i="32" s="1"/>
  <c r="AY274" i="32"/>
  <c r="BW274" i="32" s="1"/>
  <c r="AP274" i="32"/>
  <c r="BT274" i="32" s="1"/>
  <c r="W274" i="32"/>
  <c r="AG274" i="32" s="1"/>
  <c r="V274" i="32"/>
  <c r="AF274" i="32" s="1"/>
  <c r="S274" i="32"/>
  <c r="M274" i="32"/>
  <c r="J274" i="32"/>
  <c r="BL273" i="32"/>
  <c r="BZ273" i="32" s="1"/>
  <c r="BK273" i="32"/>
  <c r="AY273" i="32"/>
  <c r="BW273" i="32" s="1"/>
  <c r="AP273" i="32"/>
  <c r="BT273" i="32" s="1"/>
  <c r="W273" i="32"/>
  <c r="AG273" i="32" s="1"/>
  <c r="V273" i="32"/>
  <c r="AF273" i="32" s="1"/>
  <c r="S273" i="32"/>
  <c r="M273" i="32"/>
  <c r="J273" i="32"/>
  <c r="BL272" i="32"/>
  <c r="BZ272" i="32" s="1"/>
  <c r="BK272" i="32"/>
  <c r="BY272" i="32" s="1"/>
  <c r="AY272" i="32"/>
  <c r="BW272" i="32" s="1"/>
  <c r="AP272" i="32"/>
  <c r="BT272" i="32" s="1"/>
  <c r="W272" i="32"/>
  <c r="AG272" i="32" s="1"/>
  <c r="V272" i="32"/>
  <c r="AF272" i="32" s="1"/>
  <c r="S272" i="32"/>
  <c r="M272" i="32"/>
  <c r="J272" i="32"/>
  <c r="P272" i="32" s="1"/>
  <c r="BL271" i="32"/>
  <c r="BZ271" i="32" s="1"/>
  <c r="BK271" i="32"/>
  <c r="BY271" i="32" s="1"/>
  <c r="AY271" i="32"/>
  <c r="BW271" i="32" s="1"/>
  <c r="AP271" i="32"/>
  <c r="BT271" i="32" s="1"/>
  <c r="W271" i="32"/>
  <c r="AG271" i="32" s="1"/>
  <c r="BQ271" i="32" s="1"/>
  <c r="V271" i="32"/>
  <c r="AF271" i="32" s="1"/>
  <c r="S271" i="32"/>
  <c r="M271" i="32"/>
  <c r="J271" i="32"/>
  <c r="P271" i="32" s="1"/>
  <c r="BL270" i="32"/>
  <c r="BZ270" i="32" s="1"/>
  <c r="BK270" i="32"/>
  <c r="AY270" i="32"/>
  <c r="BW270" i="32" s="1"/>
  <c r="AP270" i="32"/>
  <c r="BS270" i="32"/>
  <c r="W270" i="32"/>
  <c r="V270" i="32"/>
  <c r="S270" i="32"/>
  <c r="M270" i="32"/>
  <c r="J270" i="32"/>
  <c r="Q270" i="32" s="1"/>
  <c r="BJ269" i="32"/>
  <c r="BI269" i="32"/>
  <c r="BH269" i="32"/>
  <c r="BG269" i="32"/>
  <c r="BF269" i="32"/>
  <c r="BE269" i="32"/>
  <c r="BD269" i="32"/>
  <c r="BC269" i="32"/>
  <c r="BB269" i="32"/>
  <c r="BA269" i="32"/>
  <c r="AX269" i="32"/>
  <c r="AW269" i="32"/>
  <c r="AN269" i="32"/>
  <c r="AM269" i="32"/>
  <c r="AL269" i="32"/>
  <c r="AJ269" i="32"/>
  <c r="AI269" i="32"/>
  <c r="AE269" i="32"/>
  <c r="AD269" i="32"/>
  <c r="AC269" i="32"/>
  <c r="AB269" i="32"/>
  <c r="AA269" i="32"/>
  <c r="Z269" i="32"/>
  <c r="Y269" i="32"/>
  <c r="X269" i="32"/>
  <c r="U269" i="32"/>
  <c r="T269" i="32"/>
  <c r="R269" i="32"/>
  <c r="O269" i="32"/>
  <c r="N269" i="32"/>
  <c r="L269" i="32"/>
  <c r="K269" i="32"/>
  <c r="BL268" i="32"/>
  <c r="BZ268" i="32" s="1"/>
  <c r="BK268" i="32"/>
  <c r="AY268" i="32"/>
  <c r="BW268" i="32" s="1"/>
  <c r="AP268" i="32"/>
  <c r="BS268" i="32"/>
  <c r="W268" i="32"/>
  <c r="AG268" i="32" s="1"/>
  <c r="V268" i="32"/>
  <c r="AF268" i="32" s="1"/>
  <c r="S268" i="32"/>
  <c r="M268" i="32"/>
  <c r="J268" i="32"/>
  <c r="P268" i="32" s="1"/>
  <c r="BL267" i="32"/>
  <c r="BK267" i="32"/>
  <c r="BY267" i="32" s="1"/>
  <c r="AY267" i="32"/>
  <c r="BW267" i="32" s="1"/>
  <c r="AP267" i="32"/>
  <c r="BS267" i="32"/>
  <c r="W267" i="32"/>
  <c r="AG267" i="32" s="1"/>
  <c r="V267" i="32"/>
  <c r="AF267" i="32" s="1"/>
  <c r="S267" i="32"/>
  <c r="M267" i="32"/>
  <c r="J267" i="32"/>
  <c r="BL266" i="32"/>
  <c r="BZ266" i="32" s="1"/>
  <c r="BK266" i="32"/>
  <c r="AY266" i="32"/>
  <c r="BW266" i="32" s="1"/>
  <c r="AP266" i="32"/>
  <c r="BS266" i="32"/>
  <c r="W266" i="32"/>
  <c r="AG266" i="32" s="1"/>
  <c r="V266" i="32"/>
  <c r="AF266" i="32" s="1"/>
  <c r="S266" i="32"/>
  <c r="M266" i="32"/>
  <c r="J266" i="32"/>
  <c r="P266" i="32" s="1"/>
  <c r="BL265" i="32"/>
  <c r="BZ265" i="32" s="1"/>
  <c r="BK265" i="32"/>
  <c r="AY265" i="32"/>
  <c r="BW265" i="32" s="1"/>
  <c r="AP265" i="32"/>
  <c r="BS265" i="32"/>
  <c r="W265" i="32"/>
  <c r="AG265" i="32" s="1"/>
  <c r="BQ265" i="32" s="1"/>
  <c r="V265" i="32"/>
  <c r="AF265" i="32" s="1"/>
  <c r="BP265" i="32" s="1"/>
  <c r="S265" i="32"/>
  <c r="M265" i="32"/>
  <c r="J265" i="32"/>
  <c r="Q265" i="32" s="1"/>
  <c r="BL264" i="32"/>
  <c r="BZ264" i="32" s="1"/>
  <c r="BK264" i="32"/>
  <c r="BY264" i="32" s="1"/>
  <c r="AY264" i="32"/>
  <c r="BW264" i="32" s="1"/>
  <c r="AP264" i="32"/>
  <c r="BT264" i="32" s="1"/>
  <c r="W264" i="32"/>
  <c r="AG264" i="32" s="1"/>
  <c r="V264" i="32"/>
  <c r="AF264" i="32" s="1"/>
  <c r="BP264" i="32" s="1"/>
  <c r="S264" i="32"/>
  <c r="M264" i="32"/>
  <c r="J264" i="32"/>
  <c r="Q264" i="32" s="1"/>
  <c r="BL263" i="32"/>
  <c r="BZ263" i="32" s="1"/>
  <c r="BK263" i="32"/>
  <c r="AY263" i="32"/>
  <c r="AP263" i="32"/>
  <c r="BS263" i="32"/>
  <c r="W263" i="32"/>
  <c r="V263" i="32"/>
  <c r="S263" i="32"/>
  <c r="M263" i="32"/>
  <c r="J263" i="32"/>
  <c r="BJ262" i="32"/>
  <c r="BI262" i="32"/>
  <c r="BH262" i="32"/>
  <c r="BG262" i="32"/>
  <c r="BF262" i="32"/>
  <c r="BE262" i="32"/>
  <c r="BD262" i="32"/>
  <c r="BC262" i="32"/>
  <c r="BB262" i="32"/>
  <c r="BA262" i="32"/>
  <c r="AX262" i="32"/>
  <c r="AW262" i="32"/>
  <c r="AN262" i="32"/>
  <c r="AM262" i="32"/>
  <c r="AL262" i="32"/>
  <c r="AJ262" i="32"/>
  <c r="AI262" i="32"/>
  <c r="AE262" i="32"/>
  <c r="AD262" i="32"/>
  <c r="AC262" i="32"/>
  <c r="AB262" i="32"/>
  <c r="AA262" i="32"/>
  <c r="Z262" i="32"/>
  <c r="Y262" i="32"/>
  <c r="X262" i="32"/>
  <c r="U262" i="32"/>
  <c r="T262" i="32"/>
  <c r="R262" i="32"/>
  <c r="O262" i="32"/>
  <c r="N262" i="32"/>
  <c r="L262" i="32"/>
  <c r="K262" i="32"/>
  <c r="BL261" i="32"/>
  <c r="BZ261" i="32" s="1"/>
  <c r="BK261" i="32"/>
  <c r="AY261" i="32"/>
  <c r="BW261" i="32" s="1"/>
  <c r="AP261" i="32"/>
  <c r="BS261" i="32"/>
  <c r="W261" i="32"/>
  <c r="AG261" i="32" s="1"/>
  <c r="V261" i="32"/>
  <c r="AF261" i="32" s="1"/>
  <c r="S261" i="32"/>
  <c r="M261" i="32"/>
  <c r="J261" i="32"/>
  <c r="BL260" i="32"/>
  <c r="BZ260" i="32" s="1"/>
  <c r="BK260" i="32"/>
  <c r="AY260" i="32"/>
  <c r="BW260" i="32" s="1"/>
  <c r="AP260" i="32"/>
  <c r="BT260" i="32" s="1"/>
  <c r="W260" i="32"/>
  <c r="AG260" i="32" s="1"/>
  <c r="V260" i="32"/>
  <c r="AF260" i="32" s="1"/>
  <c r="BP260" i="32" s="1"/>
  <c r="S260" i="32"/>
  <c r="M260" i="32"/>
  <c r="J260" i="32"/>
  <c r="BL259" i="32"/>
  <c r="BZ259" i="32" s="1"/>
  <c r="BK259" i="32"/>
  <c r="BY259" i="32" s="1"/>
  <c r="AY259" i="32"/>
  <c r="BW259" i="32" s="1"/>
  <c r="AP259" i="32"/>
  <c r="BT259" i="32" s="1"/>
  <c r="BS259" i="32"/>
  <c r="W259" i="32"/>
  <c r="AG259" i="32" s="1"/>
  <c r="BQ259" i="32" s="1"/>
  <c r="V259" i="32"/>
  <c r="AF259" i="32" s="1"/>
  <c r="S259" i="32"/>
  <c r="M259" i="32"/>
  <c r="J259" i="32"/>
  <c r="BL258" i="32"/>
  <c r="BZ258" i="32" s="1"/>
  <c r="BK258" i="32"/>
  <c r="BY258" i="32" s="1"/>
  <c r="AY258" i="32"/>
  <c r="BW258" i="32" s="1"/>
  <c r="AP258" i="32"/>
  <c r="BT258" i="32" s="1"/>
  <c r="W258" i="32"/>
  <c r="AG258" i="32" s="1"/>
  <c r="V258" i="32"/>
  <c r="AF258" i="32" s="1"/>
  <c r="S258" i="32"/>
  <c r="M258" i="32"/>
  <c r="J258" i="32"/>
  <c r="BL257" i="32"/>
  <c r="BZ257" i="32" s="1"/>
  <c r="BK257" i="32"/>
  <c r="BY257" i="32" s="1"/>
  <c r="AY257" i="32"/>
  <c r="BW257" i="32" s="1"/>
  <c r="AP257" i="32"/>
  <c r="BT257" i="32" s="1"/>
  <c r="BS257" i="32"/>
  <c r="W257" i="32"/>
  <c r="AG257" i="32" s="1"/>
  <c r="V257" i="32"/>
  <c r="AF257" i="32" s="1"/>
  <c r="S257" i="32"/>
  <c r="M257" i="32"/>
  <c r="J257" i="32"/>
  <c r="BL256" i="32"/>
  <c r="BZ256" i="32" s="1"/>
  <c r="BK256" i="32"/>
  <c r="BY256" i="32" s="1"/>
  <c r="AY256" i="32"/>
  <c r="AP256" i="32"/>
  <c r="BT256" i="32" s="1"/>
  <c r="BS256" i="32"/>
  <c r="W256" i="32"/>
  <c r="AG256" i="32" s="1"/>
  <c r="V256" i="32"/>
  <c r="AF256" i="32" s="1"/>
  <c r="BP256" i="32" s="1"/>
  <c r="S256" i="32"/>
  <c r="M256" i="32"/>
  <c r="J256" i="32"/>
  <c r="P256" i="32" s="1"/>
  <c r="BJ255" i="32"/>
  <c r="BI255" i="32"/>
  <c r="BH255" i="32"/>
  <c r="BG255" i="32"/>
  <c r="BF255" i="32"/>
  <c r="BE255" i="32"/>
  <c r="BD255" i="32"/>
  <c r="BC255" i="32"/>
  <c r="BB255" i="32"/>
  <c r="BA255" i="32"/>
  <c r="AX255" i="32"/>
  <c r="AW255" i="32"/>
  <c r="AN255" i="32"/>
  <c r="AM255" i="32"/>
  <c r="AL255" i="32"/>
  <c r="AJ255" i="32"/>
  <c r="AI255" i="32"/>
  <c r="AE255" i="32"/>
  <c r="AD255" i="32"/>
  <c r="AC255" i="32"/>
  <c r="AB255" i="32"/>
  <c r="AA255" i="32"/>
  <c r="Z255" i="32"/>
  <c r="Y255" i="32"/>
  <c r="X255" i="32"/>
  <c r="U255" i="32"/>
  <c r="T255" i="32"/>
  <c r="R255" i="32"/>
  <c r="O255" i="32"/>
  <c r="N255" i="32"/>
  <c r="L255" i="32"/>
  <c r="K255" i="32"/>
  <c r="BL254" i="32"/>
  <c r="BZ254" i="32" s="1"/>
  <c r="BK254" i="32"/>
  <c r="AY254" i="32"/>
  <c r="BW254" i="32" s="1"/>
  <c r="AP254" i="32"/>
  <c r="BT254" i="32" s="1"/>
  <c r="BS254" i="32"/>
  <c r="W254" i="32"/>
  <c r="AG254" i="32" s="1"/>
  <c r="V254" i="32"/>
  <c r="AF254" i="32" s="1"/>
  <c r="S254" i="32"/>
  <c r="M254" i="32"/>
  <c r="J254" i="32"/>
  <c r="BL253" i="32"/>
  <c r="BK253" i="32"/>
  <c r="BY253" i="32" s="1"/>
  <c r="AY253" i="32"/>
  <c r="BW253" i="32" s="1"/>
  <c r="AP253" i="32"/>
  <c r="BT253" i="32" s="1"/>
  <c r="W253" i="32"/>
  <c r="AG253" i="32" s="1"/>
  <c r="V253" i="32"/>
  <c r="AF253" i="32" s="1"/>
  <c r="S253" i="32"/>
  <c r="M253" i="32"/>
  <c r="J253" i="32"/>
  <c r="BL252" i="32"/>
  <c r="BZ252" i="32" s="1"/>
  <c r="BK252" i="32"/>
  <c r="BY252" i="32" s="1"/>
  <c r="AY252" i="32"/>
  <c r="BW252" i="32" s="1"/>
  <c r="AP252" i="32"/>
  <c r="BS252" i="32"/>
  <c r="W252" i="32"/>
  <c r="V252" i="32"/>
  <c r="AF252" i="32" s="1"/>
  <c r="S252" i="32"/>
  <c r="M252" i="32"/>
  <c r="J252" i="32"/>
  <c r="BL251" i="32"/>
  <c r="BZ251" i="32" s="1"/>
  <c r="BK251" i="32"/>
  <c r="AY251" i="32"/>
  <c r="BW251" i="32" s="1"/>
  <c r="AP251" i="32"/>
  <c r="BS251" i="32"/>
  <c r="W251" i="32"/>
  <c r="AG251" i="32" s="1"/>
  <c r="V251" i="32"/>
  <c r="AF251" i="32" s="1"/>
  <c r="S251" i="32"/>
  <c r="M251" i="32"/>
  <c r="J251" i="32"/>
  <c r="BL250" i="32"/>
  <c r="BZ250" i="32" s="1"/>
  <c r="BK250" i="32"/>
  <c r="AY250" i="32"/>
  <c r="AP250" i="32"/>
  <c r="BT250" i="32" s="1"/>
  <c r="W250" i="32"/>
  <c r="AG250" i="32" s="1"/>
  <c r="V250" i="32"/>
  <c r="AF250" i="32" s="1"/>
  <c r="S250" i="32"/>
  <c r="M250" i="32"/>
  <c r="J250" i="32"/>
  <c r="P250" i="32" s="1"/>
  <c r="BL249" i="32"/>
  <c r="BZ249" i="32" s="1"/>
  <c r="BK249" i="32"/>
  <c r="AY249" i="32"/>
  <c r="BW249" i="32" s="1"/>
  <c r="AP249" i="32"/>
  <c r="BT249" i="32" s="1"/>
  <c r="W249" i="32"/>
  <c r="AG249" i="32" s="1"/>
  <c r="BQ249" i="32" s="1"/>
  <c r="V249" i="32"/>
  <c r="S249" i="32"/>
  <c r="M249" i="32"/>
  <c r="J249" i="32"/>
  <c r="P249" i="32" s="1"/>
  <c r="BJ248" i="32"/>
  <c r="BI248" i="32"/>
  <c r="BH248" i="32"/>
  <c r="BG248" i="32"/>
  <c r="BF248" i="32"/>
  <c r="BE248" i="32"/>
  <c r="BD248" i="32"/>
  <c r="BC248" i="32"/>
  <c r="BB248" i="32"/>
  <c r="BA248" i="32"/>
  <c r="AX248" i="32"/>
  <c r="AW248" i="32"/>
  <c r="AN248" i="32"/>
  <c r="AM248" i="32"/>
  <c r="AL248" i="32"/>
  <c r="AJ248" i="32"/>
  <c r="AI248" i="32"/>
  <c r="AE248" i="32"/>
  <c r="AD248" i="32"/>
  <c r="AC248" i="32"/>
  <c r="AB248" i="32"/>
  <c r="AA248" i="32"/>
  <c r="Z248" i="32"/>
  <c r="Y248" i="32"/>
  <c r="X248" i="32"/>
  <c r="U248" i="32"/>
  <c r="T248" i="32"/>
  <c r="R248" i="32"/>
  <c r="O248" i="32"/>
  <c r="N248" i="32"/>
  <c r="L248" i="32"/>
  <c r="K248" i="32"/>
  <c r="BL247" i="32"/>
  <c r="BZ247" i="32" s="1"/>
  <c r="BK247" i="32"/>
  <c r="AY247" i="32"/>
  <c r="BW247" i="32" s="1"/>
  <c r="AP247" i="32"/>
  <c r="BT247" i="32" s="1"/>
  <c r="W247" i="32"/>
  <c r="AG247" i="32" s="1"/>
  <c r="V247" i="32"/>
  <c r="AF247" i="32" s="1"/>
  <c r="BP247" i="32" s="1"/>
  <c r="S247" i="32"/>
  <c r="M247" i="32"/>
  <c r="J247" i="32"/>
  <c r="BL246" i="32"/>
  <c r="BK246" i="32"/>
  <c r="AY246" i="32"/>
  <c r="AP246" i="32"/>
  <c r="BT246" i="32" s="1"/>
  <c r="W246" i="32"/>
  <c r="AG246" i="32" s="1"/>
  <c r="V246" i="32"/>
  <c r="S246" i="32"/>
  <c r="M246" i="32"/>
  <c r="J246" i="32"/>
  <c r="Q246" i="32" s="1"/>
  <c r="BJ245" i="32"/>
  <c r="BI245" i="32"/>
  <c r="BH245" i="32"/>
  <c r="BG245" i="32"/>
  <c r="BF245" i="32"/>
  <c r="BE245" i="32"/>
  <c r="BD245" i="32"/>
  <c r="BC245" i="32"/>
  <c r="BB245" i="32"/>
  <c r="BA245" i="32"/>
  <c r="AX245" i="32"/>
  <c r="AW245" i="32"/>
  <c r="AN245" i="32"/>
  <c r="AM245" i="32"/>
  <c r="AL245" i="32"/>
  <c r="AJ245" i="32"/>
  <c r="AI245" i="32"/>
  <c r="AE245" i="32"/>
  <c r="AD245" i="32"/>
  <c r="AC245" i="32"/>
  <c r="AB245" i="32"/>
  <c r="AA245" i="32"/>
  <c r="Z245" i="32"/>
  <c r="Y245" i="32"/>
  <c r="X245" i="32"/>
  <c r="U245" i="32"/>
  <c r="T245" i="32"/>
  <c r="R245" i="32"/>
  <c r="O245" i="32"/>
  <c r="N245" i="32"/>
  <c r="L245" i="32"/>
  <c r="K245" i="32"/>
  <c r="BL244" i="32"/>
  <c r="BZ244" i="32" s="1"/>
  <c r="BK244" i="32"/>
  <c r="AY244" i="32"/>
  <c r="BW244" i="32" s="1"/>
  <c r="AP244" i="32"/>
  <c r="BT244" i="32" s="1"/>
  <c r="W244" i="32"/>
  <c r="AG244" i="32" s="1"/>
  <c r="V244" i="32"/>
  <c r="AF244" i="32" s="1"/>
  <c r="S244" i="32"/>
  <c r="M244" i="32"/>
  <c r="J244" i="32"/>
  <c r="P244" i="32" s="1"/>
  <c r="BL243" i="32"/>
  <c r="BZ243" i="32" s="1"/>
  <c r="BK243" i="32"/>
  <c r="AY243" i="32"/>
  <c r="BW243" i="32" s="1"/>
  <c r="AP243" i="32"/>
  <c r="BS243" i="32"/>
  <c r="W243" i="32"/>
  <c r="AG243" i="32" s="1"/>
  <c r="V243" i="32"/>
  <c r="AF243" i="32" s="1"/>
  <c r="S243" i="32"/>
  <c r="M243" i="32"/>
  <c r="J243" i="32"/>
  <c r="BL242" i="32"/>
  <c r="BZ242" i="32" s="1"/>
  <c r="BK242" i="32"/>
  <c r="BY242" i="32" s="1"/>
  <c r="AY242" i="32"/>
  <c r="BW242" i="32" s="1"/>
  <c r="AP242" i="32"/>
  <c r="BT242" i="32" s="1"/>
  <c r="BS242" i="32"/>
  <c r="W242" i="32"/>
  <c r="AG242" i="32" s="1"/>
  <c r="V242" i="32"/>
  <c r="AF242" i="32" s="1"/>
  <c r="S242" i="32"/>
  <c r="M242" i="32"/>
  <c r="J242" i="32"/>
  <c r="P242" i="32" s="1"/>
  <c r="BL241" i="32"/>
  <c r="BZ241" i="32" s="1"/>
  <c r="BK241" i="32"/>
  <c r="AY241" i="32"/>
  <c r="BW241" i="32" s="1"/>
  <c r="AP241" i="32"/>
  <c r="BT241" i="32" s="1"/>
  <c r="W241" i="32"/>
  <c r="AG241" i="32" s="1"/>
  <c r="BQ241" i="32" s="1"/>
  <c r="V241" i="32"/>
  <c r="AF241" i="32" s="1"/>
  <c r="S241" i="32"/>
  <c r="M241" i="32"/>
  <c r="J241" i="32"/>
  <c r="Q241" i="32" s="1"/>
  <c r="BL240" i="32"/>
  <c r="BZ240" i="32" s="1"/>
  <c r="BK240" i="32"/>
  <c r="BY240" i="32" s="1"/>
  <c r="AY240" i="32"/>
  <c r="BW240" i="32" s="1"/>
  <c r="AP240" i="32"/>
  <c r="BT240" i="32" s="1"/>
  <c r="W240" i="32"/>
  <c r="AG240" i="32" s="1"/>
  <c r="V240" i="32"/>
  <c r="AF240" i="32" s="1"/>
  <c r="S240" i="32"/>
  <c r="M240" i="32"/>
  <c r="J240" i="32"/>
  <c r="P240" i="32" s="1"/>
  <c r="BL239" i="32"/>
  <c r="BK239" i="32"/>
  <c r="AY239" i="32"/>
  <c r="AP239" i="32"/>
  <c r="BT239" i="32" s="1"/>
  <c r="W239" i="32"/>
  <c r="V239" i="32"/>
  <c r="AF239" i="32" s="1"/>
  <c r="BP239" i="32" s="1"/>
  <c r="S239" i="32"/>
  <c r="M239" i="32"/>
  <c r="J239" i="32"/>
  <c r="P239" i="32" s="1"/>
  <c r="BJ238" i="32"/>
  <c r="BI238" i="32"/>
  <c r="BH238" i="32"/>
  <c r="BG238" i="32"/>
  <c r="BF238" i="32"/>
  <c r="BE238" i="32"/>
  <c r="BD238" i="32"/>
  <c r="BC238" i="32"/>
  <c r="BB238" i="32"/>
  <c r="BA238" i="32"/>
  <c r="AX238" i="32"/>
  <c r="AW238" i="32"/>
  <c r="AN238" i="32"/>
  <c r="AM238" i="32"/>
  <c r="AL238" i="32"/>
  <c r="AJ238" i="32"/>
  <c r="AI238" i="32"/>
  <c r="AE238" i="32"/>
  <c r="AD238" i="32"/>
  <c r="AC238" i="32"/>
  <c r="AB238" i="32"/>
  <c r="AA238" i="32"/>
  <c r="Z238" i="32"/>
  <c r="Y238" i="32"/>
  <c r="X238" i="32"/>
  <c r="U238" i="32"/>
  <c r="T238" i="32"/>
  <c r="R238" i="32"/>
  <c r="O238" i="32"/>
  <c r="N238" i="32"/>
  <c r="L238" i="32"/>
  <c r="K238" i="32"/>
  <c r="BL237" i="32"/>
  <c r="BZ237" i="32" s="1"/>
  <c r="BK237" i="32"/>
  <c r="BY237" i="32" s="1"/>
  <c r="AY237" i="32"/>
  <c r="BW237" i="32" s="1"/>
  <c r="AP237" i="32"/>
  <c r="BT237" i="32" s="1"/>
  <c r="BS237" i="32"/>
  <c r="W237" i="32"/>
  <c r="AG237" i="32" s="1"/>
  <c r="V237" i="32"/>
  <c r="AF237" i="32" s="1"/>
  <c r="S237" i="32"/>
  <c r="M237" i="32"/>
  <c r="J237" i="32"/>
  <c r="BL236" i="32"/>
  <c r="BZ236" i="32" s="1"/>
  <c r="BK236" i="32"/>
  <c r="AY236" i="32"/>
  <c r="BW236" i="32" s="1"/>
  <c r="AP236" i="32"/>
  <c r="BT236" i="32" s="1"/>
  <c r="W236" i="32"/>
  <c r="AG236" i="32" s="1"/>
  <c r="V236" i="32"/>
  <c r="AF236" i="32" s="1"/>
  <c r="S236" i="32"/>
  <c r="M236" i="32"/>
  <c r="J236" i="32"/>
  <c r="BL235" i="32"/>
  <c r="BK235" i="32"/>
  <c r="AY235" i="32"/>
  <c r="BW235" i="32" s="1"/>
  <c r="AP235" i="32"/>
  <c r="BS235" i="32"/>
  <c r="W235" i="32"/>
  <c r="V235" i="32"/>
  <c r="AF235" i="32" s="1"/>
  <c r="S235" i="32"/>
  <c r="M235" i="32"/>
  <c r="J235" i="32"/>
  <c r="BJ234" i="32"/>
  <c r="BI234" i="32"/>
  <c r="BH234" i="32"/>
  <c r="BG234" i="32"/>
  <c r="BF234" i="32"/>
  <c r="BE234" i="32"/>
  <c r="BD234" i="32"/>
  <c r="BC234" i="32"/>
  <c r="BB234" i="32"/>
  <c r="BA234" i="32"/>
  <c r="AX234" i="32"/>
  <c r="AW234" i="32"/>
  <c r="AN234" i="32"/>
  <c r="AM234" i="32"/>
  <c r="AL234" i="32"/>
  <c r="AJ234" i="32"/>
  <c r="AI234" i="32"/>
  <c r="AE234" i="32"/>
  <c r="AD234" i="32"/>
  <c r="AC234" i="32"/>
  <c r="AB234" i="32"/>
  <c r="AA234" i="32"/>
  <c r="Z234" i="32"/>
  <c r="Y234" i="32"/>
  <c r="X234" i="32"/>
  <c r="U234" i="32"/>
  <c r="T234" i="32"/>
  <c r="R234" i="32"/>
  <c r="O234" i="32"/>
  <c r="N234" i="32"/>
  <c r="L234" i="32"/>
  <c r="K234" i="32"/>
  <c r="BL233" i="32"/>
  <c r="BZ233" i="32" s="1"/>
  <c r="BK233" i="32"/>
  <c r="AY233" i="32"/>
  <c r="BW233" i="32" s="1"/>
  <c r="AP233" i="32"/>
  <c r="W233" i="32"/>
  <c r="AG233" i="32" s="1"/>
  <c r="BQ233" i="32" s="1"/>
  <c r="V233" i="32"/>
  <c r="AF233" i="32" s="1"/>
  <c r="BP233" i="32" s="1"/>
  <c r="S233" i="32"/>
  <c r="M233" i="32"/>
  <c r="J233" i="32"/>
  <c r="BL232" i="32"/>
  <c r="BZ232" i="32" s="1"/>
  <c r="BK232" i="32"/>
  <c r="AY232" i="32"/>
  <c r="BW232" i="32" s="1"/>
  <c r="AP232" i="32"/>
  <c r="BT232" i="32" s="1"/>
  <c r="W232" i="32"/>
  <c r="AG232" i="32" s="1"/>
  <c r="BQ232" i="32" s="1"/>
  <c r="V232" i="32"/>
  <c r="AF232" i="32" s="1"/>
  <c r="S232" i="32"/>
  <c r="M232" i="32"/>
  <c r="J232" i="32"/>
  <c r="P232" i="32" s="1"/>
  <c r="BL231" i="32"/>
  <c r="BZ231" i="32" s="1"/>
  <c r="BK231" i="32"/>
  <c r="AY231" i="32"/>
  <c r="BW231" i="32" s="1"/>
  <c r="AP231" i="32"/>
  <c r="BT231" i="32" s="1"/>
  <c r="W231" i="32"/>
  <c r="AG231" i="32" s="1"/>
  <c r="V231" i="32"/>
  <c r="AF231" i="32" s="1"/>
  <c r="S231" i="32"/>
  <c r="M231" i="32"/>
  <c r="J231" i="32"/>
  <c r="BL230" i="32"/>
  <c r="BZ230" i="32" s="1"/>
  <c r="BK230" i="32"/>
  <c r="BY230" i="32" s="1"/>
  <c r="AY230" i="32"/>
  <c r="AP230" i="32"/>
  <c r="BS230" i="32"/>
  <c r="W230" i="32"/>
  <c r="AG230" i="32" s="1"/>
  <c r="V230" i="32"/>
  <c r="AF230" i="32" s="1"/>
  <c r="BP230" i="32" s="1"/>
  <c r="S230" i="32"/>
  <c r="M230" i="32"/>
  <c r="J230" i="32"/>
  <c r="BL229" i="32"/>
  <c r="BZ229" i="32" s="1"/>
  <c r="BK229" i="32"/>
  <c r="AY229" i="32"/>
  <c r="BW229" i="32" s="1"/>
  <c r="AP229" i="32"/>
  <c r="BT229" i="32" s="1"/>
  <c r="W229" i="32"/>
  <c r="V229" i="32"/>
  <c r="AF229" i="32" s="1"/>
  <c r="BP229" i="32" s="1"/>
  <c r="S229" i="32"/>
  <c r="M229" i="32"/>
  <c r="J229" i="32"/>
  <c r="Q229" i="32" s="1"/>
  <c r="BL228" i="32"/>
  <c r="BK228" i="32"/>
  <c r="AY228" i="32"/>
  <c r="BW228" i="32" s="1"/>
  <c r="AP228" i="32"/>
  <c r="BT228" i="32" s="1"/>
  <c r="W228" i="32"/>
  <c r="AG228" i="32" s="1"/>
  <c r="BQ228" i="32" s="1"/>
  <c r="V228" i="32"/>
  <c r="AF228" i="32" s="1"/>
  <c r="S228" i="32"/>
  <c r="M228" i="32"/>
  <c r="J228" i="32"/>
  <c r="BJ227" i="32"/>
  <c r="BI227" i="32"/>
  <c r="BH227" i="32"/>
  <c r="BG227" i="32"/>
  <c r="BF227" i="32"/>
  <c r="BE227" i="32"/>
  <c r="BD227" i="32"/>
  <c r="BC227" i="32"/>
  <c r="BB227" i="32"/>
  <c r="BA227" i="32"/>
  <c r="AX227" i="32"/>
  <c r="AW227" i="32"/>
  <c r="AN227" i="32"/>
  <c r="AM227" i="32"/>
  <c r="AL227" i="32"/>
  <c r="AJ227" i="32"/>
  <c r="AI227" i="32"/>
  <c r="AE227" i="32"/>
  <c r="AD227" i="32"/>
  <c r="AC227" i="32"/>
  <c r="AB227" i="32"/>
  <c r="AA227" i="32"/>
  <c r="Z227" i="32"/>
  <c r="Y227" i="32"/>
  <c r="X227" i="32"/>
  <c r="U227" i="32"/>
  <c r="T227" i="32"/>
  <c r="R227" i="32"/>
  <c r="O227" i="32"/>
  <c r="N227" i="32"/>
  <c r="L227" i="32"/>
  <c r="K227" i="32"/>
  <c r="BL226" i="32"/>
  <c r="BZ226" i="32" s="1"/>
  <c r="BK226" i="32"/>
  <c r="AY226" i="32"/>
  <c r="BW226" i="32" s="1"/>
  <c r="AP226" i="32"/>
  <c r="BT226" i="32" s="1"/>
  <c r="BS226" i="32"/>
  <c r="W226" i="32"/>
  <c r="AG226" i="32" s="1"/>
  <c r="V226" i="32"/>
  <c r="AF226" i="32" s="1"/>
  <c r="S226" i="32"/>
  <c r="M226" i="32"/>
  <c r="J226" i="32"/>
  <c r="BL225" i="32"/>
  <c r="BZ225" i="32" s="1"/>
  <c r="BK225" i="32"/>
  <c r="AY225" i="32"/>
  <c r="BW225" i="32" s="1"/>
  <c r="AP225" i="32"/>
  <c r="BS225" i="32"/>
  <c r="W225" i="32"/>
  <c r="AG225" i="32" s="1"/>
  <c r="V225" i="32"/>
  <c r="AF225" i="32" s="1"/>
  <c r="S225" i="32"/>
  <c r="M225" i="32"/>
  <c r="J225" i="32"/>
  <c r="Q225" i="32" s="1"/>
  <c r="BL224" i="32"/>
  <c r="BZ224" i="32" s="1"/>
  <c r="BK224" i="32"/>
  <c r="AY224" i="32"/>
  <c r="BW224" i="32" s="1"/>
  <c r="AP224" i="32"/>
  <c r="BT224" i="32" s="1"/>
  <c r="W224" i="32"/>
  <c r="AG224" i="32" s="1"/>
  <c r="BQ224" i="32" s="1"/>
  <c r="V224" i="32"/>
  <c r="AF224" i="32" s="1"/>
  <c r="S224" i="32"/>
  <c r="M224" i="32"/>
  <c r="J224" i="32"/>
  <c r="BL223" i="32"/>
  <c r="BZ223" i="32" s="1"/>
  <c r="BK223" i="32"/>
  <c r="AY223" i="32"/>
  <c r="BW223" i="32" s="1"/>
  <c r="AP223" i="32"/>
  <c r="BT223" i="32" s="1"/>
  <c r="W223" i="32"/>
  <c r="AG223" i="32" s="1"/>
  <c r="V223" i="32"/>
  <c r="AF223" i="32" s="1"/>
  <c r="S223" i="32"/>
  <c r="M223" i="32"/>
  <c r="J223" i="32"/>
  <c r="BL222" i="32"/>
  <c r="BZ222" i="32" s="1"/>
  <c r="BK222" i="32"/>
  <c r="BY222" i="32" s="1"/>
  <c r="AY222" i="32"/>
  <c r="BW222" i="32" s="1"/>
  <c r="AP222" i="32"/>
  <c r="BT222" i="32" s="1"/>
  <c r="W222" i="32"/>
  <c r="AG222" i="32" s="1"/>
  <c r="BQ222" i="32" s="1"/>
  <c r="V222" i="32"/>
  <c r="AF222" i="32" s="1"/>
  <c r="S222" i="32"/>
  <c r="M222" i="32"/>
  <c r="J222" i="32"/>
  <c r="BL221" i="32"/>
  <c r="BZ221" i="32" s="1"/>
  <c r="BK221" i="32"/>
  <c r="BY221" i="32" s="1"/>
  <c r="AY221" i="32"/>
  <c r="AP221" i="32"/>
  <c r="BT221" i="32" s="1"/>
  <c r="W221" i="32"/>
  <c r="AG221" i="32" s="1"/>
  <c r="BQ221" i="32" s="1"/>
  <c r="V221" i="32"/>
  <c r="S221" i="32"/>
  <c r="M221" i="32"/>
  <c r="J221" i="32"/>
  <c r="P221" i="32" s="1"/>
  <c r="BJ220" i="32"/>
  <c r="BI220" i="32"/>
  <c r="BH220" i="32"/>
  <c r="BG220" i="32"/>
  <c r="BF220" i="32"/>
  <c r="BE220" i="32"/>
  <c r="BD220" i="32"/>
  <c r="BC220" i="32"/>
  <c r="BB220" i="32"/>
  <c r="BA220" i="32"/>
  <c r="AX220" i="32"/>
  <c r="AW220" i="32"/>
  <c r="AN220" i="32"/>
  <c r="AM220" i="32"/>
  <c r="AL220" i="32"/>
  <c r="AJ220" i="32"/>
  <c r="AI220" i="32"/>
  <c r="AE220" i="32"/>
  <c r="AD220" i="32"/>
  <c r="AC220" i="32"/>
  <c r="AB220" i="32"/>
  <c r="AA220" i="32"/>
  <c r="Z220" i="32"/>
  <c r="Y220" i="32"/>
  <c r="X220" i="32"/>
  <c r="U220" i="32"/>
  <c r="T220" i="32"/>
  <c r="R220" i="32"/>
  <c r="O220" i="32"/>
  <c r="N220" i="32"/>
  <c r="L220" i="32"/>
  <c r="K220" i="32"/>
  <c r="BL219" i="32"/>
  <c r="BK219" i="32"/>
  <c r="AY219" i="32"/>
  <c r="AP219" i="32"/>
  <c r="BT219" i="32" s="1"/>
  <c r="BS219" i="32"/>
  <c r="W219" i="32"/>
  <c r="AG219" i="32" s="1"/>
  <c r="V219" i="32"/>
  <c r="AF219" i="32" s="1"/>
  <c r="S219" i="32"/>
  <c r="M219" i="32"/>
  <c r="J219" i="32"/>
  <c r="P219" i="32" s="1"/>
  <c r="BL218" i="32"/>
  <c r="BK218" i="32"/>
  <c r="BY218" i="32" s="1"/>
  <c r="AY218" i="32"/>
  <c r="BW218" i="32" s="1"/>
  <c r="AP218" i="32"/>
  <c r="BT218" i="32" s="1"/>
  <c r="BS218" i="32"/>
  <c r="W218" i="32"/>
  <c r="AG218" i="32" s="1"/>
  <c r="V218" i="32"/>
  <c r="AF218" i="32" s="1"/>
  <c r="S218" i="32"/>
  <c r="M218" i="32"/>
  <c r="J218" i="32"/>
  <c r="BL217" i="32"/>
  <c r="BZ217" i="32" s="1"/>
  <c r="BK217" i="32"/>
  <c r="BY217" i="32" s="1"/>
  <c r="AY217" i="32"/>
  <c r="BW217" i="32" s="1"/>
  <c r="AP217" i="32"/>
  <c r="BT217" i="32" s="1"/>
  <c r="BS217" i="32"/>
  <c r="W217" i="32"/>
  <c r="AG217" i="32" s="1"/>
  <c r="V217" i="32"/>
  <c r="S217" i="32"/>
  <c r="M217" i="32"/>
  <c r="J217" i="32"/>
  <c r="P217" i="32" s="1"/>
  <c r="BJ216" i="32"/>
  <c r="BI216" i="32"/>
  <c r="BH216" i="32"/>
  <c r="BG216" i="32"/>
  <c r="BF216" i="32"/>
  <c r="BE216" i="32"/>
  <c r="BD216" i="32"/>
  <c r="BC216" i="32"/>
  <c r="BB216" i="32"/>
  <c r="BA216" i="32"/>
  <c r="AX216" i="32"/>
  <c r="AW216" i="32"/>
  <c r="AN216" i="32"/>
  <c r="AM216" i="32"/>
  <c r="AL216" i="32"/>
  <c r="AJ216" i="32"/>
  <c r="AI216" i="32"/>
  <c r="AE216" i="32"/>
  <c r="AD216" i="32"/>
  <c r="AC216" i="32"/>
  <c r="AB216" i="32"/>
  <c r="AA216" i="32"/>
  <c r="Z216" i="32"/>
  <c r="Y216" i="32"/>
  <c r="X216" i="32"/>
  <c r="U216" i="32"/>
  <c r="T216" i="32"/>
  <c r="R216" i="32"/>
  <c r="O216" i="32"/>
  <c r="N216" i="32"/>
  <c r="L216" i="32"/>
  <c r="K216" i="32"/>
  <c r="BL215" i="32"/>
  <c r="BK215" i="32"/>
  <c r="BK216" i="32" s="1"/>
  <c r="AY215" i="32"/>
  <c r="AY216" i="32" s="1"/>
  <c r="AP215" i="32"/>
  <c r="BT215" i="32" s="1"/>
  <c r="BT216" i="32" s="1"/>
  <c r="BS215" i="32"/>
  <c r="BS216" i="32" s="1"/>
  <c r="W215" i="32"/>
  <c r="W216" i="32" s="1"/>
  <c r="V215" i="32"/>
  <c r="S215" i="32"/>
  <c r="S216" i="32" s="1"/>
  <c r="M215" i="32"/>
  <c r="M216" i="32" s="1"/>
  <c r="J215" i="32"/>
  <c r="J216" i="32" s="1"/>
  <c r="BJ214" i="32"/>
  <c r="BI214" i="32"/>
  <c r="BH214" i="32"/>
  <c r="BG214" i="32"/>
  <c r="BF214" i="32"/>
  <c r="BE214" i="32"/>
  <c r="BD214" i="32"/>
  <c r="BB214" i="32"/>
  <c r="BA214" i="32"/>
  <c r="AX214" i="32"/>
  <c r="AW214" i="32"/>
  <c r="AN214" i="32"/>
  <c r="AM214" i="32"/>
  <c r="AL214" i="32"/>
  <c r="AJ214" i="32"/>
  <c r="AI214" i="32"/>
  <c r="AE214" i="32"/>
  <c r="AD214" i="32"/>
  <c r="AC214" i="32"/>
  <c r="AB214" i="32"/>
  <c r="AA214" i="32"/>
  <c r="Z214" i="32"/>
  <c r="Y214" i="32"/>
  <c r="U214" i="32"/>
  <c r="T214" i="32"/>
  <c r="R214" i="32"/>
  <c r="O214" i="32"/>
  <c r="N214" i="32"/>
  <c r="L214" i="32"/>
  <c r="K214" i="32"/>
  <c r="BL213" i="32"/>
  <c r="BZ213" i="32" s="1"/>
  <c r="BK213" i="32"/>
  <c r="BY213" i="32" s="1"/>
  <c r="AY213" i="32"/>
  <c r="BW213" i="32" s="1"/>
  <c r="AP213" i="32"/>
  <c r="BT213" i="32" s="1"/>
  <c r="W213" i="32"/>
  <c r="AG213" i="32" s="1"/>
  <c r="V213" i="32"/>
  <c r="AF213" i="32" s="1"/>
  <c r="S213" i="32"/>
  <c r="M213" i="32"/>
  <c r="J213" i="32"/>
  <c r="Q213" i="32" s="1"/>
  <c r="BL212" i="32"/>
  <c r="BZ212" i="32" s="1"/>
  <c r="BK212" i="32"/>
  <c r="AY212" i="32"/>
  <c r="BW212" i="32" s="1"/>
  <c r="AP212" i="32"/>
  <c r="BT212" i="32" s="1"/>
  <c r="W212" i="32"/>
  <c r="AG212" i="32" s="1"/>
  <c r="V212" i="32"/>
  <c r="AF212" i="32" s="1"/>
  <c r="S212" i="32"/>
  <c r="M212" i="32"/>
  <c r="J212" i="32"/>
  <c r="P212" i="32" s="1"/>
  <c r="BL211" i="32"/>
  <c r="BZ211" i="32" s="1"/>
  <c r="BK211" i="32"/>
  <c r="AY211" i="32"/>
  <c r="BW211" i="32" s="1"/>
  <c r="AP211" i="32"/>
  <c r="BT211" i="32" s="1"/>
  <c r="W211" i="32"/>
  <c r="AG211" i="32" s="1"/>
  <c r="V211" i="32"/>
  <c r="AF211" i="32" s="1"/>
  <c r="S211" i="32"/>
  <c r="M211" i="32"/>
  <c r="J211" i="32"/>
  <c r="Q211" i="32" s="1"/>
  <c r="BL210" i="32"/>
  <c r="BZ210" i="32" s="1"/>
  <c r="BK210" i="32"/>
  <c r="AY210" i="32"/>
  <c r="BW210" i="32" s="1"/>
  <c r="AP210" i="32"/>
  <c r="BT210" i="32" s="1"/>
  <c r="BS210" i="32"/>
  <c r="W210" i="32"/>
  <c r="AG210" i="32" s="1"/>
  <c r="V210" i="32"/>
  <c r="AF210" i="32" s="1"/>
  <c r="S210" i="32"/>
  <c r="M210" i="32"/>
  <c r="J210" i="32"/>
  <c r="P210" i="32" s="1"/>
  <c r="BL209" i="32"/>
  <c r="BC209" i="32"/>
  <c r="BK209" i="32" s="1"/>
  <c r="BY209" i="32" s="1"/>
  <c r="AY209" i="32"/>
  <c r="BW209" i="32" s="1"/>
  <c r="AP209" i="32"/>
  <c r="BT209" i="32" s="1"/>
  <c r="BS209" i="32"/>
  <c r="X209" i="32"/>
  <c r="X214" i="32" s="1"/>
  <c r="W209" i="32"/>
  <c r="AG209" i="32" s="1"/>
  <c r="BQ209" i="32" s="1"/>
  <c r="V209" i="32"/>
  <c r="S209" i="32"/>
  <c r="M209" i="32"/>
  <c r="J209" i="32"/>
  <c r="BL208" i="32"/>
  <c r="BZ208" i="32" s="1"/>
  <c r="BK208" i="32"/>
  <c r="AY208" i="32"/>
  <c r="BW208" i="32" s="1"/>
  <c r="AP208" i="32"/>
  <c r="BS208" i="32"/>
  <c r="W208" i="32"/>
  <c r="AG208" i="32" s="1"/>
  <c r="V208" i="32"/>
  <c r="AF208" i="32" s="1"/>
  <c r="S208" i="32"/>
  <c r="M208" i="32"/>
  <c r="J208" i="32"/>
  <c r="BL207" i="32"/>
  <c r="BK207" i="32"/>
  <c r="AY207" i="32"/>
  <c r="BW207" i="32" s="1"/>
  <c r="AP207" i="32"/>
  <c r="BT207" i="32" s="1"/>
  <c r="W207" i="32"/>
  <c r="AG207" i="32" s="1"/>
  <c r="V207" i="32"/>
  <c r="AF207" i="32" s="1"/>
  <c r="BP207" i="32" s="1"/>
  <c r="S207" i="32"/>
  <c r="M207" i="32"/>
  <c r="J207" i="32"/>
  <c r="BL206" i="32"/>
  <c r="BK206" i="32"/>
  <c r="BY206" i="32" s="1"/>
  <c r="AY206" i="32"/>
  <c r="BW206" i="32" s="1"/>
  <c r="AP206" i="32"/>
  <c r="BS206" i="32"/>
  <c r="W206" i="32"/>
  <c r="AG206" i="32" s="1"/>
  <c r="BQ206" i="32" s="1"/>
  <c r="V206" i="32"/>
  <c r="S206" i="32"/>
  <c r="M206" i="32"/>
  <c r="J206" i="32"/>
  <c r="BJ205" i="32"/>
  <c r="BI205" i="32"/>
  <c r="BH205" i="32"/>
  <c r="BG205" i="32"/>
  <c r="BF205" i="32"/>
  <c r="BE205" i="32"/>
  <c r="BD205" i="32"/>
  <c r="BC205" i="32"/>
  <c r="BB205" i="32"/>
  <c r="BA205" i="32"/>
  <c r="AX205" i="32"/>
  <c r="AW205" i="32"/>
  <c r="AN205" i="32"/>
  <c r="AM205" i="32"/>
  <c r="AL205" i="32"/>
  <c r="AJ205" i="32"/>
  <c r="AI205" i="32"/>
  <c r="AE205" i="32"/>
  <c r="AD205" i="32"/>
  <c r="AC205" i="32"/>
  <c r="AB205" i="32"/>
  <c r="AA205" i="32"/>
  <c r="Z205" i="32"/>
  <c r="Y205" i="32"/>
  <c r="X205" i="32"/>
  <c r="U205" i="32"/>
  <c r="T205" i="32"/>
  <c r="R205" i="32"/>
  <c r="O205" i="32"/>
  <c r="N205" i="32"/>
  <c r="L205" i="32"/>
  <c r="K205" i="32"/>
  <c r="BL204" i="32"/>
  <c r="BZ204" i="32" s="1"/>
  <c r="BK204" i="32"/>
  <c r="AY204" i="32"/>
  <c r="BW204" i="32" s="1"/>
  <c r="AP204" i="32"/>
  <c r="BS204" i="32"/>
  <c r="W204" i="32"/>
  <c r="AG204" i="32" s="1"/>
  <c r="BQ204" i="32" s="1"/>
  <c r="V204" i="32"/>
  <c r="AF204" i="32" s="1"/>
  <c r="S204" i="32"/>
  <c r="M204" i="32"/>
  <c r="J204" i="32"/>
  <c r="BL203" i="32"/>
  <c r="BZ203" i="32" s="1"/>
  <c r="BK203" i="32"/>
  <c r="BY203" i="32" s="1"/>
  <c r="AY203" i="32"/>
  <c r="BW203" i="32" s="1"/>
  <c r="AP203" i="32"/>
  <c r="BT203" i="32" s="1"/>
  <c r="W203" i="32"/>
  <c r="AG203" i="32" s="1"/>
  <c r="V203" i="32"/>
  <c r="AF203" i="32" s="1"/>
  <c r="BP203" i="32" s="1"/>
  <c r="S203" i="32"/>
  <c r="M203" i="32"/>
  <c r="J203" i="32"/>
  <c r="P203" i="32" s="1"/>
  <c r="BL202" i="32"/>
  <c r="BZ202" i="32" s="1"/>
  <c r="BK202" i="32"/>
  <c r="BY202" i="32" s="1"/>
  <c r="AY202" i="32"/>
  <c r="BW202" i="32" s="1"/>
  <c r="AP202" i="32"/>
  <c r="BT202" i="32" s="1"/>
  <c r="W202" i="32"/>
  <c r="AG202" i="32" s="1"/>
  <c r="BQ202" i="32" s="1"/>
  <c r="V202" i="32"/>
  <c r="AF202" i="32" s="1"/>
  <c r="S202" i="32"/>
  <c r="M202" i="32"/>
  <c r="J202" i="32"/>
  <c r="Q202" i="32" s="1"/>
  <c r="BL201" i="32"/>
  <c r="BZ201" i="32" s="1"/>
  <c r="BK201" i="32"/>
  <c r="BY201" i="32" s="1"/>
  <c r="AY201" i="32"/>
  <c r="BW201" i="32" s="1"/>
  <c r="AP201" i="32"/>
  <c r="BT201" i="32" s="1"/>
  <c r="W201" i="32"/>
  <c r="AG201" i="32" s="1"/>
  <c r="V201" i="32"/>
  <c r="AF201" i="32" s="1"/>
  <c r="S201" i="32"/>
  <c r="M201" i="32"/>
  <c r="J201" i="32"/>
  <c r="BL200" i="32"/>
  <c r="BZ200" i="32" s="1"/>
  <c r="BK200" i="32"/>
  <c r="BY200" i="32" s="1"/>
  <c r="AY200" i="32"/>
  <c r="AP200" i="32"/>
  <c r="BT200" i="32" s="1"/>
  <c r="W200" i="32"/>
  <c r="V200" i="32"/>
  <c r="AF200" i="32" s="1"/>
  <c r="S200" i="32"/>
  <c r="M200" i="32"/>
  <c r="J200" i="32"/>
  <c r="BJ199" i="32"/>
  <c r="BI199" i="32"/>
  <c r="BH199" i="32"/>
  <c r="BG199" i="32"/>
  <c r="BF199" i="32"/>
  <c r="BE199" i="32"/>
  <c r="BD199" i="32"/>
  <c r="BC199" i="32"/>
  <c r="BB199" i="32"/>
  <c r="BA199" i="32"/>
  <c r="AX199" i="32"/>
  <c r="AW199" i="32"/>
  <c r="AN199" i="32"/>
  <c r="AM199" i="32"/>
  <c r="AL199" i="32"/>
  <c r="AJ199" i="32"/>
  <c r="AI199" i="32"/>
  <c r="AE199" i="32"/>
  <c r="AD199" i="32"/>
  <c r="AC199" i="32"/>
  <c r="AB199" i="32"/>
  <c r="AA199" i="32"/>
  <c r="Z199" i="32"/>
  <c r="Y199" i="32"/>
  <c r="X199" i="32"/>
  <c r="U199" i="32"/>
  <c r="T199" i="32"/>
  <c r="R199" i="32"/>
  <c r="O199" i="32"/>
  <c r="N199" i="32"/>
  <c r="L199" i="32"/>
  <c r="K199" i="32"/>
  <c r="BL198" i="32"/>
  <c r="BZ198" i="32" s="1"/>
  <c r="BK198" i="32"/>
  <c r="AY198" i="32"/>
  <c r="BW198" i="32" s="1"/>
  <c r="AP198" i="32"/>
  <c r="BT198" i="32" s="1"/>
  <c r="BS198" i="32"/>
  <c r="W198" i="32"/>
  <c r="AG198" i="32" s="1"/>
  <c r="BQ198" i="32" s="1"/>
  <c r="V198" i="32"/>
  <c r="AF198" i="32" s="1"/>
  <c r="S198" i="32"/>
  <c r="M198" i="32"/>
  <c r="J198" i="32"/>
  <c r="BL197" i="32"/>
  <c r="BZ197" i="32" s="1"/>
  <c r="BK197" i="32"/>
  <c r="BY197" i="32" s="1"/>
  <c r="AY197" i="32"/>
  <c r="BW197" i="32" s="1"/>
  <c r="AP197" i="32"/>
  <c r="BS197" i="32"/>
  <c r="W197" i="32"/>
  <c r="AG197" i="32" s="1"/>
  <c r="V197" i="32"/>
  <c r="S197" i="32"/>
  <c r="M197" i="32"/>
  <c r="J197" i="32"/>
  <c r="BL196" i="32"/>
  <c r="BZ196" i="32" s="1"/>
  <c r="BK196" i="32"/>
  <c r="BY196" i="32" s="1"/>
  <c r="AY196" i="32"/>
  <c r="BW196" i="32" s="1"/>
  <c r="AP196" i="32"/>
  <c r="BT196" i="32" s="1"/>
  <c r="W196" i="32"/>
  <c r="V196" i="32"/>
  <c r="AF196" i="32" s="1"/>
  <c r="S196" i="32"/>
  <c r="M196" i="32"/>
  <c r="J196" i="32"/>
  <c r="BJ195" i="32"/>
  <c r="BI195" i="32"/>
  <c r="BH195" i="32"/>
  <c r="BG195" i="32"/>
  <c r="BF195" i="32"/>
  <c r="BE195" i="32"/>
  <c r="BD195" i="32"/>
  <c r="BC195" i="32"/>
  <c r="BB195" i="32"/>
  <c r="BA195" i="32"/>
  <c r="AX195" i="32"/>
  <c r="AW195" i="32"/>
  <c r="AN195" i="32"/>
  <c r="AM195" i="32"/>
  <c r="AL195" i="32"/>
  <c r="AJ195" i="32"/>
  <c r="AI195" i="32"/>
  <c r="AE195" i="32"/>
  <c r="AD195" i="32"/>
  <c r="AC195" i="32"/>
  <c r="AB195" i="32"/>
  <c r="AA195" i="32"/>
  <c r="Z195" i="32"/>
  <c r="Y195" i="32"/>
  <c r="X195" i="32"/>
  <c r="U195" i="32"/>
  <c r="T195" i="32"/>
  <c r="R195" i="32"/>
  <c r="O195" i="32"/>
  <c r="N195" i="32"/>
  <c r="L195" i="32"/>
  <c r="K195" i="32"/>
  <c r="BL194" i="32"/>
  <c r="BZ194" i="32" s="1"/>
  <c r="BK194" i="32"/>
  <c r="BY194" i="32" s="1"/>
  <c r="AY194" i="32"/>
  <c r="BW194" i="32" s="1"/>
  <c r="AP194" i="32"/>
  <c r="BT194" i="32" s="1"/>
  <c r="BS194" i="32"/>
  <c r="W194" i="32"/>
  <c r="AG194" i="32" s="1"/>
  <c r="BQ194" i="32" s="1"/>
  <c r="V194" i="32"/>
  <c r="AF194" i="32" s="1"/>
  <c r="S194" i="32"/>
  <c r="M194" i="32"/>
  <c r="J194" i="32"/>
  <c r="Q194" i="32" s="1"/>
  <c r="BL193" i="32"/>
  <c r="BZ193" i="32" s="1"/>
  <c r="BK193" i="32"/>
  <c r="BY193" i="32" s="1"/>
  <c r="AY193" i="32"/>
  <c r="BW193" i="32" s="1"/>
  <c r="AP193" i="32"/>
  <c r="BT193" i="32" s="1"/>
  <c r="W193" i="32"/>
  <c r="AG193" i="32" s="1"/>
  <c r="V193" i="32"/>
  <c r="AF193" i="32" s="1"/>
  <c r="S193" i="32"/>
  <c r="M193" i="32"/>
  <c r="J193" i="32"/>
  <c r="BL192" i="32"/>
  <c r="BZ192" i="32" s="1"/>
  <c r="BK192" i="32"/>
  <c r="BY192" i="32" s="1"/>
  <c r="AY192" i="32"/>
  <c r="BW192" i="32" s="1"/>
  <c r="AP192" i="32"/>
  <c r="BT192" i="32" s="1"/>
  <c r="BS192" i="32"/>
  <c r="W192" i="32"/>
  <c r="AG192" i="32" s="1"/>
  <c r="V192" i="32"/>
  <c r="AF192" i="32" s="1"/>
  <c r="S192" i="32"/>
  <c r="M192" i="32"/>
  <c r="J192" i="32"/>
  <c r="BL191" i="32"/>
  <c r="BZ191" i="32" s="1"/>
  <c r="BK191" i="32"/>
  <c r="AY191" i="32"/>
  <c r="BW191" i="32" s="1"/>
  <c r="AP191" i="32"/>
  <c r="BT191" i="32" s="1"/>
  <c r="W191" i="32"/>
  <c r="AG191" i="32" s="1"/>
  <c r="V191" i="32"/>
  <c r="AF191" i="32" s="1"/>
  <c r="S191" i="32"/>
  <c r="M191" i="32"/>
  <c r="J191" i="32"/>
  <c r="P191" i="32" s="1"/>
  <c r="BL190" i="32"/>
  <c r="BZ190" i="32" s="1"/>
  <c r="BK190" i="32"/>
  <c r="AY190" i="32"/>
  <c r="BW190" i="32" s="1"/>
  <c r="AP190" i="32"/>
  <c r="BS190" i="32"/>
  <c r="W190" i="32"/>
  <c r="AG190" i="32" s="1"/>
  <c r="V190" i="32"/>
  <c r="AF190" i="32" s="1"/>
  <c r="S190" i="32"/>
  <c r="M190" i="32"/>
  <c r="J190" i="32"/>
  <c r="Q190" i="32" s="1"/>
  <c r="BL189" i="32"/>
  <c r="BK189" i="32"/>
  <c r="BY189" i="32" s="1"/>
  <c r="AY189" i="32"/>
  <c r="BW189" i="32" s="1"/>
  <c r="AP189" i="32"/>
  <c r="BT189" i="32" s="1"/>
  <c r="W189" i="32"/>
  <c r="AG189" i="32" s="1"/>
  <c r="V189" i="32"/>
  <c r="AF189" i="32" s="1"/>
  <c r="BP189" i="32" s="1"/>
  <c r="S189" i="32"/>
  <c r="M189" i="32"/>
  <c r="J189" i="32"/>
  <c r="P189" i="32" s="1"/>
  <c r="BJ188" i="32"/>
  <c r="BI188" i="32"/>
  <c r="BH188" i="32"/>
  <c r="BG188" i="32"/>
  <c r="BF188" i="32"/>
  <c r="BE188" i="32"/>
  <c r="BD188" i="32"/>
  <c r="BC188" i="32"/>
  <c r="BB188" i="32"/>
  <c r="BA188" i="32"/>
  <c r="AX188" i="32"/>
  <c r="AW188" i="32"/>
  <c r="AN188" i="32"/>
  <c r="AM188" i="32"/>
  <c r="AL188" i="32"/>
  <c r="AJ188" i="32"/>
  <c r="AI188" i="32"/>
  <c r="AE188" i="32"/>
  <c r="AD188" i="32"/>
  <c r="AC188" i="32"/>
  <c r="AB188" i="32"/>
  <c r="AA188" i="32"/>
  <c r="Z188" i="32"/>
  <c r="Y188" i="32"/>
  <c r="X188" i="32"/>
  <c r="U188" i="32"/>
  <c r="T188" i="32"/>
  <c r="R188" i="32"/>
  <c r="O188" i="32"/>
  <c r="N188" i="32"/>
  <c r="L188" i="32"/>
  <c r="K188" i="32"/>
  <c r="BL187" i="32"/>
  <c r="BZ187" i="32" s="1"/>
  <c r="BK187" i="32"/>
  <c r="AY187" i="32"/>
  <c r="BW187" i="32" s="1"/>
  <c r="AP187" i="32"/>
  <c r="BT187" i="32" s="1"/>
  <c r="W187" i="32"/>
  <c r="AG187" i="32" s="1"/>
  <c r="BQ187" i="32" s="1"/>
  <c r="V187" i="32"/>
  <c r="AF187" i="32" s="1"/>
  <c r="S187" i="32"/>
  <c r="M187" i="32"/>
  <c r="J187" i="32"/>
  <c r="P187" i="32" s="1"/>
  <c r="BL186" i="32"/>
  <c r="BZ186" i="32" s="1"/>
  <c r="BK186" i="32"/>
  <c r="AY186" i="32"/>
  <c r="BW186" i="32" s="1"/>
  <c r="AP186" i="32"/>
  <c r="BS186" i="32"/>
  <c r="W186" i="32"/>
  <c r="AG186" i="32" s="1"/>
  <c r="BQ186" i="32" s="1"/>
  <c r="V186" i="32"/>
  <c r="AF186" i="32" s="1"/>
  <c r="S186" i="32"/>
  <c r="M186" i="32"/>
  <c r="J186" i="32"/>
  <c r="Q186" i="32" s="1"/>
  <c r="BL185" i="32"/>
  <c r="BZ185" i="32" s="1"/>
  <c r="BK185" i="32"/>
  <c r="BY185" i="32" s="1"/>
  <c r="AY185" i="32"/>
  <c r="BW185" i="32" s="1"/>
  <c r="AP185" i="32"/>
  <c r="BT185" i="32" s="1"/>
  <c r="W185" i="32"/>
  <c r="AG185" i="32" s="1"/>
  <c r="V185" i="32"/>
  <c r="AF185" i="32" s="1"/>
  <c r="S185" i="32"/>
  <c r="M185" i="32"/>
  <c r="J185" i="32"/>
  <c r="Q185" i="32" s="1"/>
  <c r="BL184" i="32"/>
  <c r="BZ184" i="32" s="1"/>
  <c r="BK184" i="32"/>
  <c r="AY184" i="32"/>
  <c r="BW184" i="32" s="1"/>
  <c r="AP184" i="32"/>
  <c r="BT184" i="32" s="1"/>
  <c r="W184" i="32"/>
  <c r="AG184" i="32" s="1"/>
  <c r="V184" i="32"/>
  <c r="S184" i="32"/>
  <c r="M184" i="32"/>
  <c r="J184" i="32"/>
  <c r="BL183" i="32"/>
  <c r="BK183" i="32"/>
  <c r="AY183" i="32"/>
  <c r="AP183" i="32"/>
  <c r="BS183" i="32"/>
  <c r="W183" i="32"/>
  <c r="AG183" i="32" s="1"/>
  <c r="V183" i="32"/>
  <c r="AF183" i="32" s="1"/>
  <c r="S183" i="32"/>
  <c r="M183" i="32"/>
  <c r="J183" i="32"/>
  <c r="BJ182" i="32"/>
  <c r="BI182" i="32"/>
  <c r="BH182" i="32"/>
  <c r="BG182" i="32"/>
  <c r="BF182" i="32"/>
  <c r="BE182" i="32"/>
  <c r="BD182" i="32"/>
  <c r="BC182" i="32"/>
  <c r="BB182" i="32"/>
  <c r="BA182" i="32"/>
  <c r="AX182" i="32"/>
  <c r="AW182" i="32"/>
  <c r="AN182" i="32"/>
  <c r="AM182" i="32"/>
  <c r="AL182" i="32"/>
  <c r="AJ182" i="32"/>
  <c r="AI182" i="32"/>
  <c r="AE182" i="32"/>
  <c r="AD182" i="32"/>
  <c r="AC182" i="32"/>
  <c r="AB182" i="32"/>
  <c r="AA182" i="32"/>
  <c r="Z182" i="32"/>
  <c r="Y182" i="32"/>
  <c r="X182" i="32"/>
  <c r="U182" i="32"/>
  <c r="T182" i="32"/>
  <c r="R182" i="32"/>
  <c r="O182" i="32"/>
  <c r="N182" i="32"/>
  <c r="L182" i="32"/>
  <c r="K182" i="32"/>
  <c r="BL181" i="32"/>
  <c r="BZ181" i="32" s="1"/>
  <c r="BK181" i="32"/>
  <c r="AY181" i="32"/>
  <c r="BW181" i="32" s="1"/>
  <c r="AP181" i="32"/>
  <c r="BT181" i="32" s="1"/>
  <c r="BS181" i="32"/>
  <c r="W181" i="32"/>
  <c r="AG181" i="32" s="1"/>
  <c r="V181" i="32"/>
  <c r="AF181" i="32" s="1"/>
  <c r="S181" i="32"/>
  <c r="M181" i="32"/>
  <c r="J181" i="32"/>
  <c r="BL180" i="32"/>
  <c r="BZ180" i="32" s="1"/>
  <c r="BK180" i="32"/>
  <c r="AY180" i="32"/>
  <c r="BW180" i="32" s="1"/>
  <c r="AP180" i="32"/>
  <c r="BT180" i="32" s="1"/>
  <c r="BS180" i="32"/>
  <c r="W180" i="32"/>
  <c r="AG180" i="32" s="1"/>
  <c r="V180" i="32"/>
  <c r="S180" i="32"/>
  <c r="M180" i="32"/>
  <c r="J180" i="32"/>
  <c r="Q180" i="32" s="1"/>
  <c r="BL179" i="32"/>
  <c r="BZ179" i="32" s="1"/>
  <c r="BK179" i="32"/>
  <c r="AY179" i="32"/>
  <c r="AP179" i="32"/>
  <c r="BT179" i="32" s="1"/>
  <c r="W179" i="32"/>
  <c r="V179" i="32"/>
  <c r="AF179" i="32" s="1"/>
  <c r="S179" i="32"/>
  <c r="M179" i="32"/>
  <c r="J179" i="32"/>
  <c r="BJ178" i="32"/>
  <c r="BI178" i="32"/>
  <c r="BH178" i="32"/>
  <c r="BG178" i="32"/>
  <c r="BF178" i="32"/>
  <c r="BE178" i="32"/>
  <c r="BD178" i="32"/>
  <c r="BB178" i="32"/>
  <c r="BA178" i="32"/>
  <c r="AX178" i="32"/>
  <c r="AW178" i="32"/>
  <c r="AN178" i="32"/>
  <c r="AM178" i="32"/>
  <c r="AL178" i="32"/>
  <c r="AJ178" i="32"/>
  <c r="AI178" i="32"/>
  <c r="AE178" i="32"/>
  <c r="AD178" i="32"/>
  <c r="AC178" i="32"/>
  <c r="AB178" i="32"/>
  <c r="AA178" i="32"/>
  <c r="Z178" i="32"/>
  <c r="Y178" i="32"/>
  <c r="U178" i="32"/>
  <c r="T178" i="32"/>
  <c r="R178" i="32"/>
  <c r="O178" i="32"/>
  <c r="N178" i="32"/>
  <c r="L178" i="32"/>
  <c r="K178" i="32"/>
  <c r="BL177" i="32"/>
  <c r="BZ177" i="32" s="1"/>
  <c r="BK177" i="32"/>
  <c r="AY177" i="32"/>
  <c r="BW177" i="32" s="1"/>
  <c r="AP177" i="32"/>
  <c r="BT177" i="32" s="1"/>
  <c r="W177" i="32"/>
  <c r="AG177" i="32" s="1"/>
  <c r="V177" i="32"/>
  <c r="AF177" i="32" s="1"/>
  <c r="S177" i="32"/>
  <c r="M177" i="32"/>
  <c r="J177" i="32"/>
  <c r="Q177" i="32" s="1"/>
  <c r="BL176" i="32"/>
  <c r="BZ176" i="32" s="1"/>
  <c r="BK176" i="32"/>
  <c r="AY176" i="32"/>
  <c r="BW176" i="32" s="1"/>
  <c r="AP176" i="32"/>
  <c r="BT176" i="32" s="1"/>
  <c r="W176" i="32"/>
  <c r="AG176" i="32" s="1"/>
  <c r="V176" i="32"/>
  <c r="AF176" i="32" s="1"/>
  <c r="S176" i="32"/>
  <c r="M176" i="32"/>
  <c r="J176" i="32"/>
  <c r="BL175" i="32"/>
  <c r="BK175" i="32"/>
  <c r="BY175" i="32" s="1"/>
  <c r="AY175" i="32"/>
  <c r="BW175" i="32" s="1"/>
  <c r="AP175" i="32"/>
  <c r="BT175" i="32" s="1"/>
  <c r="BS175" i="32"/>
  <c r="W175" i="32"/>
  <c r="AG175" i="32" s="1"/>
  <c r="BQ175" i="32" s="1"/>
  <c r="V175" i="32"/>
  <c r="AF175" i="32" s="1"/>
  <c r="S175" i="32"/>
  <c r="M175" i="32"/>
  <c r="J175" i="32"/>
  <c r="BL174" i="32"/>
  <c r="BZ174" i="32" s="1"/>
  <c r="BC174" i="32"/>
  <c r="BC178" i="32" s="1"/>
  <c r="AY174" i="32"/>
  <c r="BW174" i="32" s="1"/>
  <c r="AP174" i="32"/>
  <c r="BT174" i="32" s="1"/>
  <c r="X174" i="32"/>
  <c r="X300" i="32" s="1"/>
  <c r="W174" i="32"/>
  <c r="AG174" i="32" s="1"/>
  <c r="BQ174" i="32" s="1"/>
  <c r="V174" i="32"/>
  <c r="AF174" i="32" s="1"/>
  <c r="S174" i="32"/>
  <c r="M174" i="32"/>
  <c r="J174" i="32"/>
  <c r="BL173" i="32"/>
  <c r="BZ173" i="32" s="1"/>
  <c r="BK173" i="32"/>
  <c r="AY173" i="32"/>
  <c r="BW173" i="32" s="1"/>
  <c r="AP173" i="32"/>
  <c r="BT173" i="32" s="1"/>
  <c r="W173" i="32"/>
  <c r="V173" i="32"/>
  <c r="AF173" i="32" s="1"/>
  <c r="S173" i="32"/>
  <c r="M173" i="32"/>
  <c r="J173" i="32"/>
  <c r="BL172" i="32"/>
  <c r="BZ172" i="32" s="1"/>
  <c r="BK172" i="32"/>
  <c r="AY172" i="32"/>
  <c r="BW172" i="32" s="1"/>
  <c r="AP172" i="32"/>
  <c r="W172" i="32"/>
  <c r="AG172" i="32" s="1"/>
  <c r="V172" i="32"/>
  <c r="AF172" i="32" s="1"/>
  <c r="S172" i="32"/>
  <c r="M172" i="32"/>
  <c r="J172" i="32"/>
  <c r="Q172" i="32" s="1"/>
  <c r="BJ171" i="32"/>
  <c r="BI171" i="32"/>
  <c r="BH171" i="32"/>
  <c r="BG171" i="32"/>
  <c r="BF171" i="32"/>
  <c r="BE171" i="32"/>
  <c r="BD171" i="32"/>
  <c r="BC171" i="32"/>
  <c r="BB171" i="32"/>
  <c r="BA171" i="32"/>
  <c r="AX171" i="32"/>
  <c r="AW171" i="32"/>
  <c r="AN171" i="32"/>
  <c r="AM171" i="32"/>
  <c r="AL171" i="32"/>
  <c r="AJ171" i="32"/>
  <c r="AI171" i="32"/>
  <c r="AE171" i="32"/>
  <c r="AD171" i="32"/>
  <c r="AC171" i="32"/>
  <c r="AB171" i="32"/>
  <c r="AA171" i="32"/>
  <c r="Z171" i="32"/>
  <c r="Y171" i="32"/>
  <c r="X171" i="32"/>
  <c r="U171" i="32"/>
  <c r="T171" i="32"/>
  <c r="R171" i="32"/>
  <c r="O171" i="32"/>
  <c r="N171" i="32"/>
  <c r="L171" i="32"/>
  <c r="K171" i="32"/>
  <c r="BL170" i="32"/>
  <c r="BZ170" i="32" s="1"/>
  <c r="BK170" i="32"/>
  <c r="AY170" i="32"/>
  <c r="BW170" i="32" s="1"/>
  <c r="AP170" i="32"/>
  <c r="BS170" i="32"/>
  <c r="W170" i="32"/>
  <c r="AG170" i="32" s="1"/>
  <c r="V170" i="32"/>
  <c r="AF170" i="32" s="1"/>
  <c r="BP170" i="32" s="1"/>
  <c r="S170" i="32"/>
  <c r="M170" i="32"/>
  <c r="J170" i="32"/>
  <c r="BL169" i="32"/>
  <c r="BZ169" i="32" s="1"/>
  <c r="BK169" i="32"/>
  <c r="BY169" i="32" s="1"/>
  <c r="AY169" i="32"/>
  <c r="BW169" i="32" s="1"/>
  <c r="AP169" i="32"/>
  <c r="BT169" i="32" s="1"/>
  <c r="W169" i="32"/>
  <c r="AG169" i="32" s="1"/>
  <c r="V169" i="32"/>
  <c r="AF169" i="32" s="1"/>
  <c r="S169" i="32"/>
  <c r="M169" i="32"/>
  <c r="J169" i="32"/>
  <c r="Q169" i="32" s="1"/>
  <c r="BL168" i="32"/>
  <c r="BZ168" i="32" s="1"/>
  <c r="BK168" i="32"/>
  <c r="AY168" i="32"/>
  <c r="BW168" i="32" s="1"/>
  <c r="AP168" i="32"/>
  <c r="BT168" i="32" s="1"/>
  <c r="BS168" i="32"/>
  <c r="W168" i="32"/>
  <c r="AG168" i="32" s="1"/>
  <c r="V168" i="32"/>
  <c r="AF168" i="32" s="1"/>
  <c r="S168" i="32"/>
  <c r="M168" i="32"/>
  <c r="J168" i="32"/>
  <c r="BL167" i="32"/>
  <c r="BZ167" i="32" s="1"/>
  <c r="BK167" i="32"/>
  <c r="BY167" i="32" s="1"/>
  <c r="AY167" i="32"/>
  <c r="BW167" i="32" s="1"/>
  <c r="AP167" i="32"/>
  <c r="BT167" i="32" s="1"/>
  <c r="W167" i="32"/>
  <c r="AG167" i="32" s="1"/>
  <c r="V167" i="32"/>
  <c r="AF167" i="32" s="1"/>
  <c r="S167" i="32"/>
  <c r="M167" i="32"/>
  <c r="J167" i="32"/>
  <c r="BL166" i="32"/>
  <c r="BK166" i="32"/>
  <c r="BY166" i="32" s="1"/>
  <c r="AY166" i="32"/>
  <c r="BW166" i="32" s="1"/>
  <c r="AP166" i="32"/>
  <c r="BS166" i="32"/>
  <c r="W166" i="32"/>
  <c r="AG166" i="32" s="1"/>
  <c r="V166" i="32"/>
  <c r="AF166" i="32" s="1"/>
  <c r="S166" i="32"/>
  <c r="M166" i="32"/>
  <c r="J166" i="32"/>
  <c r="BL165" i="32"/>
  <c r="BK165" i="32"/>
  <c r="BY165" i="32" s="1"/>
  <c r="AY165" i="32"/>
  <c r="AP165" i="32"/>
  <c r="BT165" i="32" s="1"/>
  <c r="BS165" i="32"/>
  <c r="W165" i="32"/>
  <c r="V165" i="32"/>
  <c r="AF165" i="32" s="1"/>
  <c r="S165" i="32"/>
  <c r="M165" i="32"/>
  <c r="J165" i="32"/>
  <c r="Q165" i="32" s="1"/>
  <c r="BJ164" i="32"/>
  <c r="BI164" i="32"/>
  <c r="BH164" i="32"/>
  <c r="BG164" i="32"/>
  <c r="BF164" i="32"/>
  <c r="BE164" i="32"/>
  <c r="BD164" i="32"/>
  <c r="BC164" i="32"/>
  <c r="BB164" i="32"/>
  <c r="BA164" i="32"/>
  <c r="AX164" i="32"/>
  <c r="AW164" i="32"/>
  <c r="AN164" i="32"/>
  <c r="AM164" i="32"/>
  <c r="AL164" i="32"/>
  <c r="AJ164" i="32"/>
  <c r="AI164" i="32"/>
  <c r="AE164" i="32"/>
  <c r="AD164" i="32"/>
  <c r="AC164" i="32"/>
  <c r="AB164" i="32"/>
  <c r="AA164" i="32"/>
  <c r="Z164" i="32"/>
  <c r="Y164" i="32"/>
  <c r="X164" i="32"/>
  <c r="U164" i="32"/>
  <c r="T164" i="32"/>
  <c r="R164" i="32"/>
  <c r="O164" i="32"/>
  <c r="N164" i="32"/>
  <c r="L164" i="32"/>
  <c r="K164" i="32"/>
  <c r="BL163" i="32"/>
  <c r="BK163" i="32"/>
  <c r="BY163" i="32" s="1"/>
  <c r="AY163" i="32"/>
  <c r="BW163" i="32" s="1"/>
  <c r="AP163" i="32"/>
  <c r="BT163" i="32" s="1"/>
  <c r="W163" i="32"/>
  <c r="AG163" i="32" s="1"/>
  <c r="V163" i="32"/>
  <c r="AF163" i="32" s="1"/>
  <c r="S163" i="32"/>
  <c r="M163" i="32"/>
  <c r="J163" i="32"/>
  <c r="BL162" i="32"/>
  <c r="BZ162" i="32" s="1"/>
  <c r="BK162" i="32"/>
  <c r="AY162" i="32"/>
  <c r="BW162" i="32" s="1"/>
  <c r="AP162" i="32"/>
  <c r="BT162" i="32" s="1"/>
  <c r="W162" i="32"/>
  <c r="AG162" i="32" s="1"/>
  <c r="BQ162" i="32" s="1"/>
  <c r="V162" i="32"/>
  <c r="AF162" i="32" s="1"/>
  <c r="S162" i="32"/>
  <c r="M162" i="32"/>
  <c r="J162" i="32"/>
  <c r="BL161" i="32"/>
  <c r="BZ161" i="32" s="1"/>
  <c r="BK161" i="32"/>
  <c r="BY161" i="32" s="1"/>
  <c r="AY161" i="32"/>
  <c r="BW161" i="32" s="1"/>
  <c r="AP161" i="32"/>
  <c r="BS161" i="32"/>
  <c r="W161" i="32"/>
  <c r="AG161" i="32" s="1"/>
  <c r="V161" i="32"/>
  <c r="AF161" i="32" s="1"/>
  <c r="S161" i="32"/>
  <c r="M161" i="32"/>
  <c r="J161" i="32"/>
  <c r="Q161" i="32" s="1"/>
  <c r="BL160" i="32"/>
  <c r="BZ160" i="32" s="1"/>
  <c r="BK160" i="32"/>
  <c r="AY160" i="32"/>
  <c r="BW160" i="32" s="1"/>
  <c r="AP160" i="32"/>
  <c r="BT160" i="32" s="1"/>
  <c r="W160" i="32"/>
  <c r="AG160" i="32" s="1"/>
  <c r="V160" i="32"/>
  <c r="AF160" i="32" s="1"/>
  <c r="S160" i="32"/>
  <c r="M160" i="32"/>
  <c r="J160" i="32"/>
  <c r="BL159" i="32"/>
  <c r="BZ159" i="32" s="1"/>
  <c r="BK159" i="32"/>
  <c r="AY159" i="32"/>
  <c r="BW159" i="32" s="1"/>
  <c r="AP159" i="32"/>
  <c r="BT159" i="32" s="1"/>
  <c r="BS159" i="32"/>
  <c r="W159" i="32"/>
  <c r="AG159" i="32" s="1"/>
  <c r="BQ159" i="32" s="1"/>
  <c r="V159" i="32"/>
  <c r="AF159" i="32" s="1"/>
  <c r="S159" i="32"/>
  <c r="M159" i="32"/>
  <c r="J159" i="32"/>
  <c r="BL158" i="32"/>
  <c r="BK158" i="32"/>
  <c r="AY158" i="32"/>
  <c r="AP158" i="32"/>
  <c r="BS158" i="32"/>
  <c r="W158" i="32"/>
  <c r="V158" i="32"/>
  <c r="S158" i="32"/>
  <c r="M158" i="32"/>
  <c r="J158" i="32"/>
  <c r="Q158" i="32" s="1"/>
  <c r="BJ157" i="32"/>
  <c r="BI157" i="32"/>
  <c r="BH157" i="32"/>
  <c r="BG157" i="32"/>
  <c r="BF157" i="32"/>
  <c r="BE157" i="32"/>
  <c r="BD157" i="32"/>
  <c r="BC157" i="32"/>
  <c r="BB157" i="32"/>
  <c r="BA157" i="32"/>
  <c r="AX157" i="32"/>
  <c r="AW157" i="32"/>
  <c r="AN157" i="32"/>
  <c r="AM157" i="32"/>
  <c r="AL157" i="32"/>
  <c r="AJ157" i="32"/>
  <c r="AI157" i="32"/>
  <c r="AE157" i="32"/>
  <c r="AD157" i="32"/>
  <c r="AC157" i="32"/>
  <c r="AB157" i="32"/>
  <c r="AA157" i="32"/>
  <c r="Z157" i="32"/>
  <c r="Y157" i="32"/>
  <c r="X157" i="32"/>
  <c r="U157" i="32"/>
  <c r="T157" i="32"/>
  <c r="R157" i="32"/>
  <c r="O157" i="32"/>
  <c r="N157" i="32"/>
  <c r="L157" i="32"/>
  <c r="K157" i="32"/>
  <c r="BL156" i="32"/>
  <c r="BZ156" i="32" s="1"/>
  <c r="BK156" i="32"/>
  <c r="BY156" i="32" s="1"/>
  <c r="AY156" i="32"/>
  <c r="BW156" i="32" s="1"/>
  <c r="AP156" i="32"/>
  <c r="BT156" i="32" s="1"/>
  <c r="W156" i="32"/>
  <c r="AG156" i="32" s="1"/>
  <c r="V156" i="32"/>
  <c r="AF156" i="32" s="1"/>
  <c r="S156" i="32"/>
  <c r="M156" i="32"/>
  <c r="J156" i="32"/>
  <c r="BL155" i="32"/>
  <c r="BZ155" i="32" s="1"/>
  <c r="BK155" i="32"/>
  <c r="AY155" i="32"/>
  <c r="BW155" i="32" s="1"/>
  <c r="AP155" i="32"/>
  <c r="BT155" i="32" s="1"/>
  <c r="BS155" i="32"/>
  <c r="W155" i="32"/>
  <c r="AG155" i="32" s="1"/>
  <c r="BQ155" i="32" s="1"/>
  <c r="V155" i="32"/>
  <c r="AF155" i="32" s="1"/>
  <c r="S155" i="32"/>
  <c r="M155" i="32"/>
  <c r="J155" i="32"/>
  <c r="Q155" i="32" s="1"/>
  <c r="BL154" i="32"/>
  <c r="BZ154" i="32" s="1"/>
  <c r="BK154" i="32"/>
  <c r="BY154" i="32" s="1"/>
  <c r="AY154" i="32"/>
  <c r="BW154" i="32" s="1"/>
  <c r="AP154" i="32"/>
  <c r="BT154" i="32" s="1"/>
  <c r="BS154" i="32"/>
  <c r="W154" i="32"/>
  <c r="AG154" i="32" s="1"/>
  <c r="V154" i="32"/>
  <c r="AF154" i="32" s="1"/>
  <c r="S154" i="32"/>
  <c r="M154" i="32"/>
  <c r="J154" i="32"/>
  <c r="Q154" i="32" s="1"/>
  <c r="BL153" i="32"/>
  <c r="BZ153" i="32" s="1"/>
  <c r="BK153" i="32"/>
  <c r="AY153" i="32"/>
  <c r="BW153" i="32" s="1"/>
  <c r="AP153" i="32"/>
  <c r="BT153" i="32" s="1"/>
  <c r="W153" i="32"/>
  <c r="AG153" i="32" s="1"/>
  <c r="V153" i="32"/>
  <c r="AF153" i="32" s="1"/>
  <c r="S153" i="32"/>
  <c r="M153" i="32"/>
  <c r="J153" i="32"/>
  <c r="BL152" i="32"/>
  <c r="BZ152" i="32" s="1"/>
  <c r="BK152" i="32"/>
  <c r="AY152" i="32"/>
  <c r="BW152" i="32" s="1"/>
  <c r="AP152" i="32"/>
  <c r="BT152" i="32" s="1"/>
  <c r="W152" i="32"/>
  <c r="AG152" i="32" s="1"/>
  <c r="BQ152" i="32" s="1"/>
  <c r="V152" i="32"/>
  <c r="AF152" i="32" s="1"/>
  <c r="S152" i="32"/>
  <c r="M152" i="32"/>
  <c r="J152" i="32"/>
  <c r="P152" i="32" s="1"/>
  <c r="BL151" i="32"/>
  <c r="BK151" i="32"/>
  <c r="AY151" i="32"/>
  <c r="BW151" i="32" s="1"/>
  <c r="AP151" i="32"/>
  <c r="BS151" i="32"/>
  <c r="W151" i="32"/>
  <c r="AG151" i="32" s="1"/>
  <c r="V151" i="32"/>
  <c r="AF151" i="32" s="1"/>
  <c r="S151" i="32"/>
  <c r="M151" i="32"/>
  <c r="J151" i="32"/>
  <c r="BJ150" i="32"/>
  <c r="BI150" i="32"/>
  <c r="BH150" i="32"/>
  <c r="BG150" i="32"/>
  <c r="BF150" i="32"/>
  <c r="BE150" i="32"/>
  <c r="BD150" i="32"/>
  <c r="BC150" i="32"/>
  <c r="BB150" i="32"/>
  <c r="BA150" i="32"/>
  <c r="AX150" i="32"/>
  <c r="AW150" i="32"/>
  <c r="AN150" i="32"/>
  <c r="AM150" i="32"/>
  <c r="AL150" i="32"/>
  <c r="AJ150" i="32"/>
  <c r="AI150" i="32"/>
  <c r="AE150" i="32"/>
  <c r="AD150" i="32"/>
  <c r="AC150" i="32"/>
  <c r="AB150" i="32"/>
  <c r="AA150" i="32"/>
  <c r="Z150" i="32"/>
  <c r="Y150" i="32"/>
  <c r="X150" i="32"/>
  <c r="U150" i="32"/>
  <c r="T150" i="32"/>
  <c r="R150" i="32"/>
  <c r="O150" i="32"/>
  <c r="N150" i="32"/>
  <c r="L150" i="32"/>
  <c r="K150" i="32"/>
  <c r="BL149" i="32"/>
  <c r="BZ149" i="32" s="1"/>
  <c r="BK149" i="32"/>
  <c r="BY149" i="32" s="1"/>
  <c r="AY149" i="32"/>
  <c r="BW149" i="32" s="1"/>
  <c r="AP149" i="32"/>
  <c r="BS149" i="32"/>
  <c r="W149" i="32"/>
  <c r="AG149" i="32" s="1"/>
  <c r="V149" i="32"/>
  <c r="AF149" i="32" s="1"/>
  <c r="S149" i="32"/>
  <c r="M149" i="32"/>
  <c r="J149" i="32"/>
  <c r="BL148" i="32"/>
  <c r="BZ148" i="32" s="1"/>
  <c r="BK148" i="32"/>
  <c r="AY148" i="32"/>
  <c r="BW148" i="32" s="1"/>
  <c r="AP148" i="32"/>
  <c r="BT148" i="32" s="1"/>
  <c r="BS148" i="32"/>
  <c r="W148" i="32"/>
  <c r="AG148" i="32" s="1"/>
  <c r="V148" i="32"/>
  <c r="AF148" i="32" s="1"/>
  <c r="S148" i="32"/>
  <c r="M148" i="32"/>
  <c r="J148" i="32"/>
  <c r="BL147" i="32"/>
  <c r="BZ147" i="32" s="1"/>
  <c r="BK147" i="32"/>
  <c r="AY147" i="32"/>
  <c r="AP147" i="32"/>
  <c r="BS147" i="32"/>
  <c r="W147" i="32"/>
  <c r="AG147" i="32" s="1"/>
  <c r="V147" i="32"/>
  <c r="AF147" i="32" s="1"/>
  <c r="S147" i="32"/>
  <c r="M147" i="32"/>
  <c r="J147" i="32"/>
  <c r="P147" i="32" s="1"/>
  <c r="BJ146" i="32"/>
  <c r="BI146" i="32"/>
  <c r="BH146" i="32"/>
  <c r="BG146" i="32"/>
  <c r="BF146" i="32"/>
  <c r="BE146" i="32"/>
  <c r="BD146" i="32"/>
  <c r="BC146" i="32"/>
  <c r="BB146" i="32"/>
  <c r="BA146" i="32"/>
  <c r="AX146" i="32"/>
  <c r="AW146" i="32"/>
  <c r="AN146" i="32"/>
  <c r="AM146" i="32"/>
  <c r="AL146" i="32"/>
  <c r="AJ146" i="32"/>
  <c r="AI146" i="32"/>
  <c r="AE146" i="32"/>
  <c r="AD146" i="32"/>
  <c r="AC146" i="32"/>
  <c r="AB146" i="32"/>
  <c r="AA146" i="32"/>
  <c r="Z146" i="32"/>
  <c r="Y146" i="32"/>
  <c r="X146" i="32"/>
  <c r="U146" i="32"/>
  <c r="T146" i="32"/>
  <c r="R146" i="32"/>
  <c r="O146" i="32"/>
  <c r="N146" i="32"/>
  <c r="L146" i="32"/>
  <c r="K146" i="32"/>
  <c r="BL145" i="32"/>
  <c r="BK145" i="32"/>
  <c r="AY145" i="32"/>
  <c r="AP145" i="32"/>
  <c r="AO146" i="32"/>
  <c r="W145" i="32"/>
  <c r="V145" i="32"/>
  <c r="V146" i="32" s="1"/>
  <c r="S145" i="32"/>
  <c r="M145" i="32"/>
  <c r="M146" i="32" s="1"/>
  <c r="J145" i="32"/>
  <c r="BJ144" i="32"/>
  <c r="BI144" i="32"/>
  <c r="BH144" i="32"/>
  <c r="BG144" i="32"/>
  <c r="BF144" i="32"/>
  <c r="BE144" i="32"/>
  <c r="BD144" i="32"/>
  <c r="BC144" i="32"/>
  <c r="BB144" i="32"/>
  <c r="BA144" i="32"/>
  <c r="AX144" i="32"/>
  <c r="AN144" i="32"/>
  <c r="AM144" i="32"/>
  <c r="AL144" i="32"/>
  <c r="AJ144" i="32"/>
  <c r="AI144" i="32"/>
  <c r="AE144" i="32"/>
  <c r="AD144" i="32"/>
  <c r="AC144" i="32"/>
  <c r="AB144" i="32"/>
  <c r="AA144" i="32"/>
  <c r="Z144" i="32"/>
  <c r="Y144" i="32"/>
  <c r="X144" i="32"/>
  <c r="U144" i="32"/>
  <c r="T144" i="32"/>
  <c r="R144" i="32"/>
  <c r="O144" i="32"/>
  <c r="N144" i="32"/>
  <c r="L144" i="32"/>
  <c r="K144" i="32"/>
  <c r="BL143" i="32"/>
  <c r="BZ143" i="32" s="1"/>
  <c r="BK143" i="32"/>
  <c r="AY143" i="32"/>
  <c r="BW143" i="32" s="1"/>
  <c r="AP143" i="32"/>
  <c r="BT143" i="32" s="1"/>
  <c r="BS143" i="32"/>
  <c r="W143" i="32"/>
  <c r="AG143" i="32" s="1"/>
  <c r="V143" i="32"/>
  <c r="AF143" i="32" s="1"/>
  <c r="S143" i="32"/>
  <c r="M143" i="32"/>
  <c r="J143" i="32"/>
  <c r="Q143" i="32" s="1"/>
  <c r="BL142" i="32"/>
  <c r="BZ142" i="32" s="1"/>
  <c r="BK142" i="32"/>
  <c r="AY142" i="32"/>
  <c r="BW142" i="32" s="1"/>
  <c r="AP142" i="32"/>
  <c r="BS142" i="32"/>
  <c r="W142" i="32"/>
  <c r="AG142" i="32" s="1"/>
  <c r="BQ142" i="32" s="1"/>
  <c r="V142" i="32"/>
  <c r="AF142" i="32" s="1"/>
  <c r="S142" i="32"/>
  <c r="M142" i="32"/>
  <c r="J142" i="32"/>
  <c r="P142" i="32" s="1"/>
  <c r="BL141" i="32"/>
  <c r="BZ141" i="32" s="1"/>
  <c r="BK141" i="32"/>
  <c r="AY141" i="32"/>
  <c r="BW141" i="32" s="1"/>
  <c r="AP141" i="32"/>
  <c r="BT141" i="32" s="1"/>
  <c r="W141" i="32"/>
  <c r="AG141" i="32" s="1"/>
  <c r="V141" i="32"/>
  <c r="AF141" i="32" s="1"/>
  <c r="BP141" i="32" s="1"/>
  <c r="S141" i="32"/>
  <c r="M141" i="32"/>
  <c r="J141" i="32"/>
  <c r="Q141" i="32" s="1"/>
  <c r="BL140" i="32"/>
  <c r="BZ140" i="32" s="1"/>
  <c r="BK140" i="32"/>
  <c r="AW140" i="32"/>
  <c r="AP140" i="32"/>
  <c r="BS140" i="32"/>
  <c r="W140" i="32"/>
  <c r="AG140" i="32" s="1"/>
  <c r="V140" i="32"/>
  <c r="AF140" i="32" s="1"/>
  <c r="S140" i="32"/>
  <c r="M140" i="32"/>
  <c r="J140" i="32"/>
  <c r="BL139" i="32"/>
  <c r="BK139" i="32"/>
  <c r="BY139" i="32" s="1"/>
  <c r="AY139" i="32"/>
  <c r="BW139" i="32" s="1"/>
  <c r="AP139" i="32"/>
  <c r="BT139" i="32" s="1"/>
  <c r="BS139" i="32"/>
  <c r="W139" i="32"/>
  <c r="V139" i="32"/>
  <c r="AF139" i="32" s="1"/>
  <c r="S139" i="32"/>
  <c r="M139" i="32"/>
  <c r="J139" i="32"/>
  <c r="Q139" i="32" s="1"/>
  <c r="BL138" i="32"/>
  <c r="BZ138" i="32" s="1"/>
  <c r="BK138" i="32"/>
  <c r="BY138" i="32" s="1"/>
  <c r="AY138" i="32"/>
  <c r="BW138" i="32" s="1"/>
  <c r="AP138" i="32"/>
  <c r="W138" i="32"/>
  <c r="AG138" i="32" s="1"/>
  <c r="BQ138" i="32" s="1"/>
  <c r="V138" i="32"/>
  <c r="AF138" i="32" s="1"/>
  <c r="S138" i="32"/>
  <c r="M138" i="32"/>
  <c r="J138" i="32"/>
  <c r="Q138" i="32" s="1"/>
  <c r="BJ137" i="32"/>
  <c r="BI137" i="32"/>
  <c r="BH137" i="32"/>
  <c r="BG137" i="32"/>
  <c r="BF137" i="32"/>
  <c r="BE137" i="32"/>
  <c r="BD137" i="32"/>
  <c r="BC137" i="32"/>
  <c r="BB137" i="32"/>
  <c r="BA137" i="32"/>
  <c r="AX137" i="32"/>
  <c r="AW137" i="32"/>
  <c r="AN137" i="32"/>
  <c r="AM137" i="32"/>
  <c r="AL137" i="32"/>
  <c r="AJ137" i="32"/>
  <c r="AI137" i="32"/>
  <c r="AE137" i="32"/>
  <c r="AD137" i="32"/>
  <c r="AC137" i="32"/>
  <c r="AB137" i="32"/>
  <c r="AA137" i="32"/>
  <c r="Z137" i="32"/>
  <c r="Y137" i="32"/>
  <c r="X137" i="32"/>
  <c r="U137" i="32"/>
  <c r="T137" i="32"/>
  <c r="R137" i="32"/>
  <c r="O137" i="32"/>
  <c r="N137" i="32"/>
  <c r="L137" i="32"/>
  <c r="K137" i="32"/>
  <c r="BL136" i="32"/>
  <c r="BZ136" i="32" s="1"/>
  <c r="BK136" i="32"/>
  <c r="AY136" i="32"/>
  <c r="BW136" i="32" s="1"/>
  <c r="AP136" i="32"/>
  <c r="BS136" i="32"/>
  <c r="W136" i="32"/>
  <c r="AG136" i="32" s="1"/>
  <c r="BQ136" i="32" s="1"/>
  <c r="V136" i="32"/>
  <c r="AF136" i="32" s="1"/>
  <c r="S136" i="32"/>
  <c r="M136" i="32"/>
  <c r="J136" i="32"/>
  <c r="P136" i="32" s="1"/>
  <c r="BL135" i="32"/>
  <c r="BZ135" i="32" s="1"/>
  <c r="BK135" i="32"/>
  <c r="AY135" i="32"/>
  <c r="BW135" i="32" s="1"/>
  <c r="AP135" i="32"/>
  <c r="BS135" i="32"/>
  <c r="W135" i="32"/>
  <c r="AG135" i="32" s="1"/>
  <c r="V135" i="32"/>
  <c r="AF135" i="32" s="1"/>
  <c r="S135" i="32"/>
  <c r="M135" i="32"/>
  <c r="J135" i="32"/>
  <c r="BL134" i="32"/>
  <c r="BZ134" i="32" s="1"/>
  <c r="BK134" i="32"/>
  <c r="AY134" i="32"/>
  <c r="BW134" i="32" s="1"/>
  <c r="AP134" i="32"/>
  <c r="BT134" i="32" s="1"/>
  <c r="W134" i="32"/>
  <c r="AG134" i="32" s="1"/>
  <c r="V134" i="32"/>
  <c r="AF134" i="32" s="1"/>
  <c r="BP134" i="32" s="1"/>
  <c r="S134" i="32"/>
  <c r="M134" i="32"/>
  <c r="J134" i="32"/>
  <c r="P134" i="32" s="1"/>
  <c r="BL133" i="32"/>
  <c r="BZ133" i="32" s="1"/>
  <c r="BK133" i="32"/>
  <c r="BY133" i="32" s="1"/>
  <c r="AY133" i="32"/>
  <c r="BW133" i="32" s="1"/>
  <c r="AP133" i="32"/>
  <c r="BT133" i="32" s="1"/>
  <c r="W133" i="32"/>
  <c r="AG133" i="32" s="1"/>
  <c r="BQ133" i="32" s="1"/>
  <c r="V133" i="32"/>
  <c r="AF133" i="32" s="1"/>
  <c r="S133" i="32"/>
  <c r="M133" i="32"/>
  <c r="J133" i="32"/>
  <c r="Q133" i="32" s="1"/>
  <c r="BL132" i="32"/>
  <c r="BK132" i="32"/>
  <c r="BY132" i="32" s="1"/>
  <c r="AY132" i="32"/>
  <c r="BW132" i="32" s="1"/>
  <c r="AP132" i="32"/>
  <c r="BT132" i="32" s="1"/>
  <c r="W132" i="32"/>
  <c r="V132" i="32"/>
  <c r="AF132" i="32" s="1"/>
  <c r="BP132" i="32" s="1"/>
  <c r="S132" i="32"/>
  <c r="M132" i="32"/>
  <c r="J132" i="32"/>
  <c r="BL131" i="32"/>
  <c r="BK131" i="32"/>
  <c r="AY131" i="32"/>
  <c r="BW131" i="32" s="1"/>
  <c r="AP131" i="32"/>
  <c r="W131" i="32"/>
  <c r="AG131" i="32" s="1"/>
  <c r="BQ131" i="32" s="1"/>
  <c r="V131" i="32"/>
  <c r="S131" i="32"/>
  <c r="M131" i="32"/>
  <c r="J131" i="32"/>
  <c r="Q131" i="32" s="1"/>
  <c r="BJ130" i="32"/>
  <c r="BI130" i="32"/>
  <c r="BH130" i="32"/>
  <c r="BG130" i="32"/>
  <c r="BF130" i="32"/>
  <c r="BE130" i="32"/>
  <c r="BD130" i="32"/>
  <c r="BC130" i="32"/>
  <c r="BB130" i="32"/>
  <c r="BA130" i="32"/>
  <c r="AX130" i="32"/>
  <c r="AW130" i="32"/>
  <c r="AN130" i="32"/>
  <c r="AM130" i="32"/>
  <c r="AL130" i="32"/>
  <c r="AJ130" i="32"/>
  <c r="AI130" i="32"/>
  <c r="AE130" i="32"/>
  <c r="AD130" i="32"/>
  <c r="AC130" i="32"/>
  <c r="AB130" i="32"/>
  <c r="AA130" i="32"/>
  <c r="Z130" i="32"/>
  <c r="Y130" i="32"/>
  <c r="X130" i="32"/>
  <c r="U130" i="32"/>
  <c r="T130" i="32"/>
  <c r="R130" i="32"/>
  <c r="O130" i="32"/>
  <c r="N130" i="32"/>
  <c r="L130" i="32"/>
  <c r="K130" i="32"/>
  <c r="BL129" i="32"/>
  <c r="BZ129" i="32" s="1"/>
  <c r="BK129" i="32"/>
  <c r="BY129" i="32" s="1"/>
  <c r="AY129" i="32"/>
  <c r="BW129" i="32" s="1"/>
  <c r="AP129" i="32"/>
  <c r="BT129" i="32" s="1"/>
  <c r="BS129" i="32"/>
  <c r="W129" i="32"/>
  <c r="AG129" i="32" s="1"/>
  <c r="BQ129" i="32" s="1"/>
  <c r="V129" i="32"/>
  <c r="AF129" i="32" s="1"/>
  <c r="BP129" i="32" s="1"/>
  <c r="S129" i="32"/>
  <c r="M129" i="32"/>
  <c r="J129" i="32"/>
  <c r="Q129" i="32" s="1"/>
  <c r="BL128" i="32"/>
  <c r="BZ128" i="32" s="1"/>
  <c r="BK128" i="32"/>
  <c r="AY128" i="32"/>
  <c r="BW128" i="32" s="1"/>
  <c r="AP128" i="32"/>
  <c r="BT128" i="32" s="1"/>
  <c r="W128" i="32"/>
  <c r="AG128" i="32" s="1"/>
  <c r="BQ128" i="32" s="1"/>
  <c r="V128" i="32"/>
  <c r="AF128" i="32" s="1"/>
  <c r="S128" i="32"/>
  <c r="M128" i="32"/>
  <c r="J128" i="32"/>
  <c r="Q128" i="32" s="1"/>
  <c r="BL127" i="32"/>
  <c r="BZ127" i="32" s="1"/>
  <c r="BK127" i="32"/>
  <c r="AY127" i="32"/>
  <c r="BW127" i="32" s="1"/>
  <c r="AP127" i="32"/>
  <c r="BT127" i="32" s="1"/>
  <c r="BS127" i="32"/>
  <c r="W127" i="32"/>
  <c r="AG127" i="32" s="1"/>
  <c r="BQ127" i="32" s="1"/>
  <c r="V127" i="32"/>
  <c r="AF127" i="32" s="1"/>
  <c r="S127" i="32"/>
  <c r="M127" i="32"/>
  <c r="J127" i="32"/>
  <c r="BL126" i="32"/>
  <c r="BZ126" i="32" s="1"/>
  <c r="BK126" i="32"/>
  <c r="AY126" i="32"/>
  <c r="BW126" i="32" s="1"/>
  <c r="AP126" i="32"/>
  <c r="BS126" i="32"/>
  <c r="W126" i="32"/>
  <c r="AG126" i="32" s="1"/>
  <c r="V126" i="32"/>
  <c r="AF126" i="32" s="1"/>
  <c r="S126" i="32"/>
  <c r="M126" i="32"/>
  <c r="J126" i="32"/>
  <c r="BL125" i="32"/>
  <c r="BK125" i="32"/>
  <c r="BY125" i="32" s="1"/>
  <c r="AY125" i="32"/>
  <c r="AP125" i="32"/>
  <c r="BT125" i="32" s="1"/>
  <c r="W125" i="32"/>
  <c r="V125" i="32"/>
  <c r="AF125" i="32" s="1"/>
  <c r="S125" i="32"/>
  <c r="M125" i="32"/>
  <c r="J125" i="32"/>
  <c r="BJ124" i="32"/>
  <c r="BI124" i="32"/>
  <c r="BH124" i="32"/>
  <c r="BG124" i="32"/>
  <c r="BF124" i="32"/>
  <c r="BE124" i="32"/>
  <c r="BD124" i="32"/>
  <c r="BC124" i="32"/>
  <c r="BB124" i="32"/>
  <c r="BA124" i="32"/>
  <c r="AX124" i="32"/>
  <c r="AW124" i="32"/>
  <c r="AN124" i="32"/>
  <c r="AM124" i="32"/>
  <c r="AL124" i="32"/>
  <c r="AJ124" i="32"/>
  <c r="AI124" i="32"/>
  <c r="AE124" i="32"/>
  <c r="AD124" i="32"/>
  <c r="AC124" i="32"/>
  <c r="AB124" i="32"/>
  <c r="AA124" i="32"/>
  <c r="Z124" i="32"/>
  <c r="Y124" i="32"/>
  <c r="X124" i="32"/>
  <c r="U124" i="32"/>
  <c r="T124" i="32"/>
  <c r="R124" i="32"/>
  <c r="O124" i="32"/>
  <c r="N124" i="32"/>
  <c r="L124" i="32"/>
  <c r="K124" i="32"/>
  <c r="BL123" i="32"/>
  <c r="BZ123" i="32" s="1"/>
  <c r="BK123" i="32"/>
  <c r="AY123" i="32"/>
  <c r="BW123" i="32" s="1"/>
  <c r="AP123" i="32"/>
  <c r="BT123" i="32" s="1"/>
  <c r="BS123" i="32"/>
  <c r="W123" i="32"/>
  <c r="AG123" i="32" s="1"/>
  <c r="V123" i="32"/>
  <c r="AF123" i="32" s="1"/>
  <c r="S123" i="32"/>
  <c r="M123" i="32"/>
  <c r="J123" i="32"/>
  <c r="Q123" i="32" s="1"/>
  <c r="BL122" i="32"/>
  <c r="BK122" i="32"/>
  <c r="BY122" i="32" s="1"/>
  <c r="AY122" i="32"/>
  <c r="BW122" i="32" s="1"/>
  <c r="AP122" i="32"/>
  <c r="BT122" i="32" s="1"/>
  <c r="BS122" i="32"/>
  <c r="W122" i="32"/>
  <c r="AG122" i="32" s="1"/>
  <c r="V122" i="32"/>
  <c r="AF122" i="32" s="1"/>
  <c r="S122" i="32"/>
  <c r="M122" i="32"/>
  <c r="J122" i="32"/>
  <c r="BL121" i="32"/>
  <c r="BK121" i="32"/>
  <c r="BY121" i="32" s="1"/>
  <c r="AY121" i="32"/>
  <c r="BW121" i="32" s="1"/>
  <c r="AP121" i="32"/>
  <c r="BT121" i="32" s="1"/>
  <c r="W121" i="32"/>
  <c r="V121" i="32"/>
  <c r="S121" i="32"/>
  <c r="M121" i="32"/>
  <c r="J121" i="32"/>
  <c r="BJ120" i="32"/>
  <c r="BI120" i="32"/>
  <c r="BH120" i="32"/>
  <c r="BG120" i="32"/>
  <c r="BF120" i="32"/>
  <c r="BE120" i="32"/>
  <c r="BD120" i="32"/>
  <c r="BC120" i="32"/>
  <c r="BB120" i="32"/>
  <c r="BA120" i="32"/>
  <c r="AX120" i="32"/>
  <c r="AW120" i="32"/>
  <c r="AN120" i="32"/>
  <c r="AM120" i="32"/>
  <c r="AL120" i="32"/>
  <c r="AJ120" i="32"/>
  <c r="AI120" i="32"/>
  <c r="AE120" i="32"/>
  <c r="AD120" i="32"/>
  <c r="AC120" i="32"/>
  <c r="AB120" i="32"/>
  <c r="AA120" i="32"/>
  <c r="Z120" i="32"/>
  <c r="Y120" i="32"/>
  <c r="X120" i="32"/>
  <c r="U120" i="32"/>
  <c r="T120" i="32"/>
  <c r="R120" i="32"/>
  <c r="O120" i="32"/>
  <c r="N120" i="32"/>
  <c r="L120" i="32"/>
  <c r="K120" i="32"/>
  <c r="BL119" i="32"/>
  <c r="BZ119" i="32" s="1"/>
  <c r="BK119" i="32"/>
  <c r="AY119" i="32"/>
  <c r="BW119" i="32" s="1"/>
  <c r="AP119" i="32"/>
  <c r="BT119" i="32" s="1"/>
  <c r="BS119" i="32"/>
  <c r="W119" i="32"/>
  <c r="AG119" i="32" s="1"/>
  <c r="V119" i="32"/>
  <c r="AF119" i="32" s="1"/>
  <c r="S119" i="32"/>
  <c r="M119" i="32"/>
  <c r="J119" i="32"/>
  <c r="Q119" i="32" s="1"/>
  <c r="BL118" i="32"/>
  <c r="BZ118" i="32" s="1"/>
  <c r="BK118" i="32"/>
  <c r="BY118" i="32" s="1"/>
  <c r="AY118" i="32"/>
  <c r="BW118" i="32" s="1"/>
  <c r="AP118" i="32"/>
  <c r="BT118" i="32" s="1"/>
  <c r="W118" i="32"/>
  <c r="AG118" i="32" s="1"/>
  <c r="V118" i="32"/>
  <c r="AF118" i="32" s="1"/>
  <c r="S118" i="32"/>
  <c r="M118" i="32"/>
  <c r="J118" i="32"/>
  <c r="BL117" i="32"/>
  <c r="BZ117" i="32" s="1"/>
  <c r="BK117" i="32"/>
  <c r="BY117" i="32" s="1"/>
  <c r="AY117" i="32"/>
  <c r="BW117" i="32" s="1"/>
  <c r="AP117" i="32"/>
  <c r="BT117" i="32" s="1"/>
  <c r="W117" i="32"/>
  <c r="AG117" i="32" s="1"/>
  <c r="V117" i="32"/>
  <c r="AF117" i="32" s="1"/>
  <c r="S117" i="32"/>
  <c r="M117" i="32"/>
  <c r="J117" i="32"/>
  <c r="BL116" i="32"/>
  <c r="BZ116" i="32" s="1"/>
  <c r="BK116" i="32"/>
  <c r="AY116" i="32"/>
  <c r="BW116" i="32" s="1"/>
  <c r="AP116" i="32"/>
  <c r="BS116" i="32"/>
  <c r="W116" i="32"/>
  <c r="AG116" i="32" s="1"/>
  <c r="V116" i="32"/>
  <c r="AF116" i="32" s="1"/>
  <c r="BP116" i="32" s="1"/>
  <c r="S116" i="32"/>
  <c r="M116" i="32"/>
  <c r="J116" i="32"/>
  <c r="P116" i="32" s="1"/>
  <c r="BL115" i="32"/>
  <c r="BK115" i="32"/>
  <c r="BY115" i="32" s="1"/>
  <c r="AY115" i="32"/>
  <c r="AP115" i="32"/>
  <c r="W115" i="32"/>
  <c r="AG115" i="32" s="1"/>
  <c r="V115" i="32"/>
  <c r="S115" i="32"/>
  <c r="M115" i="32"/>
  <c r="J115" i="32"/>
  <c r="P115" i="32" s="1"/>
  <c r="BL114" i="32"/>
  <c r="BK114" i="32"/>
  <c r="AY114" i="32"/>
  <c r="BW114" i="32" s="1"/>
  <c r="AP114" i="32"/>
  <c r="BS114" i="32"/>
  <c r="W114" i="32"/>
  <c r="AG114" i="32" s="1"/>
  <c r="V114" i="32"/>
  <c r="S114" i="32"/>
  <c r="M114" i="32"/>
  <c r="J114" i="32"/>
  <c r="BJ113" i="32"/>
  <c r="BI113" i="32"/>
  <c r="BH113" i="32"/>
  <c r="BG113" i="32"/>
  <c r="BF113" i="32"/>
  <c r="BE113" i="32"/>
  <c r="BD113" i="32"/>
  <c r="BC113" i="32"/>
  <c r="BB113" i="32"/>
  <c r="BA113" i="32"/>
  <c r="AX113" i="32"/>
  <c r="AW113" i="32"/>
  <c r="AN113" i="32"/>
  <c r="AM113" i="32"/>
  <c r="AL113" i="32"/>
  <c r="AJ113" i="32"/>
  <c r="AI113" i="32"/>
  <c r="AE113" i="32"/>
  <c r="AD113" i="32"/>
  <c r="AC113" i="32"/>
  <c r="AB113" i="32"/>
  <c r="AA113" i="32"/>
  <c r="Z113" i="32"/>
  <c r="Y113" i="32"/>
  <c r="X113" i="32"/>
  <c r="U113" i="32"/>
  <c r="T113" i="32"/>
  <c r="R113" i="32"/>
  <c r="O113" i="32"/>
  <c r="N113" i="32"/>
  <c r="L113" i="32"/>
  <c r="K113" i="32"/>
  <c r="BL112" i="32"/>
  <c r="BZ112" i="32" s="1"/>
  <c r="BK112" i="32"/>
  <c r="AY112" i="32"/>
  <c r="BW112" i="32" s="1"/>
  <c r="AP112" i="32"/>
  <c r="BT112" i="32" s="1"/>
  <c r="W112" i="32"/>
  <c r="AG112" i="32" s="1"/>
  <c r="V112" i="32"/>
  <c r="AF112" i="32" s="1"/>
  <c r="BP112" i="32" s="1"/>
  <c r="S112" i="32"/>
  <c r="M112" i="32"/>
  <c r="J112" i="32"/>
  <c r="P112" i="32" s="1"/>
  <c r="BL111" i="32"/>
  <c r="BZ111" i="32" s="1"/>
  <c r="BK111" i="32"/>
  <c r="AY111" i="32"/>
  <c r="AP111" i="32"/>
  <c r="BT111" i="32" s="1"/>
  <c r="BS111" i="32"/>
  <c r="W111" i="32"/>
  <c r="AG111" i="32" s="1"/>
  <c r="BQ111" i="32" s="1"/>
  <c r="V111" i="32"/>
  <c r="AF111" i="32" s="1"/>
  <c r="S111" i="32"/>
  <c r="M111" i="32"/>
  <c r="J111" i="32"/>
  <c r="BL110" i="32"/>
  <c r="BK110" i="32"/>
  <c r="BY110" i="32" s="1"/>
  <c r="AY110" i="32"/>
  <c r="BW110" i="32" s="1"/>
  <c r="AP110" i="32"/>
  <c r="BT110" i="32" s="1"/>
  <c r="W110" i="32"/>
  <c r="AG110" i="32" s="1"/>
  <c r="V110" i="32"/>
  <c r="AF110" i="32" s="1"/>
  <c r="S110" i="32"/>
  <c r="M110" i="32"/>
  <c r="J110" i="32"/>
  <c r="BJ109" i="32"/>
  <c r="BI109" i="32"/>
  <c r="BH109" i="32"/>
  <c r="BG109" i="32"/>
  <c r="BF109" i="32"/>
  <c r="BE109" i="32"/>
  <c r="BD109" i="32"/>
  <c r="BC109" i="32"/>
  <c r="BB109" i="32"/>
  <c r="BA109" i="32"/>
  <c r="AX109" i="32"/>
  <c r="AW109" i="32"/>
  <c r="AN109" i="32"/>
  <c r="AM109" i="32"/>
  <c r="AL109" i="32"/>
  <c r="AJ109" i="32"/>
  <c r="AI109" i="32"/>
  <c r="AE109" i="32"/>
  <c r="AD109" i="32"/>
  <c r="AC109" i="32"/>
  <c r="AB109" i="32"/>
  <c r="AA109" i="32"/>
  <c r="Z109" i="32"/>
  <c r="Y109" i="32"/>
  <c r="X109" i="32"/>
  <c r="U109" i="32"/>
  <c r="T109" i="32"/>
  <c r="R109" i="32"/>
  <c r="O109" i="32"/>
  <c r="N109" i="32"/>
  <c r="L109" i="32"/>
  <c r="K109" i="32"/>
  <c r="BL108" i="32"/>
  <c r="BZ108" i="32" s="1"/>
  <c r="BZ109" i="32" s="1"/>
  <c r="BK108" i="32"/>
  <c r="AY108" i="32"/>
  <c r="BW108" i="32" s="1"/>
  <c r="AP108" i="32"/>
  <c r="W108" i="32"/>
  <c r="V108" i="32"/>
  <c r="S108" i="32"/>
  <c r="M108" i="32"/>
  <c r="J108" i="32"/>
  <c r="P108" i="32" s="1"/>
  <c r="BJ107" i="32"/>
  <c r="BI107" i="32"/>
  <c r="BH107" i="32"/>
  <c r="BG107" i="32"/>
  <c r="BF107" i="32"/>
  <c r="BE107" i="32"/>
  <c r="BD107" i="32"/>
  <c r="BC107" i="32"/>
  <c r="BB107" i="32"/>
  <c r="BA107" i="32"/>
  <c r="AX107" i="32"/>
  <c r="AW107" i="32"/>
  <c r="AN107" i="32"/>
  <c r="AM107" i="32"/>
  <c r="AL107" i="32"/>
  <c r="AJ107" i="32"/>
  <c r="AI107" i="32"/>
  <c r="AE107" i="32"/>
  <c r="AD107" i="32"/>
  <c r="AC107" i="32"/>
  <c r="AB107" i="32"/>
  <c r="AA107" i="32"/>
  <c r="Z107" i="32"/>
  <c r="Y107" i="32"/>
  <c r="X107" i="32"/>
  <c r="U107" i="32"/>
  <c r="T107" i="32"/>
  <c r="R107" i="32"/>
  <c r="O107" i="32"/>
  <c r="N107" i="32"/>
  <c r="L107" i="32"/>
  <c r="K107" i="32"/>
  <c r="BL106" i="32"/>
  <c r="BZ106" i="32" s="1"/>
  <c r="BK106" i="32"/>
  <c r="BY106" i="32" s="1"/>
  <c r="AY106" i="32"/>
  <c r="BW106" i="32" s="1"/>
  <c r="AP106" i="32"/>
  <c r="BT106" i="32" s="1"/>
  <c r="BS106" i="32"/>
  <c r="W106" i="32"/>
  <c r="AG106" i="32" s="1"/>
  <c r="V106" i="32"/>
  <c r="AF106" i="32" s="1"/>
  <c r="S106" i="32"/>
  <c r="M106" i="32"/>
  <c r="J106" i="32"/>
  <c r="BL105" i="32"/>
  <c r="BK105" i="32"/>
  <c r="BY105" i="32" s="1"/>
  <c r="AY105" i="32"/>
  <c r="BW105" i="32" s="1"/>
  <c r="AP105" i="32"/>
  <c r="BT105" i="32" s="1"/>
  <c r="BS105" i="32"/>
  <c r="W105" i="32"/>
  <c r="AG105" i="32" s="1"/>
  <c r="V105" i="32"/>
  <c r="AF105" i="32" s="1"/>
  <c r="BP105" i="32" s="1"/>
  <c r="S105" i="32"/>
  <c r="M105" i="32"/>
  <c r="J105" i="32"/>
  <c r="BL104" i="32"/>
  <c r="BZ104" i="32" s="1"/>
  <c r="BK104" i="32"/>
  <c r="AY104" i="32"/>
  <c r="BW104" i="32" s="1"/>
  <c r="AP104" i="32"/>
  <c r="BT104" i="32" s="1"/>
  <c r="BS104" i="32"/>
  <c r="W104" i="32"/>
  <c r="AG104" i="32" s="1"/>
  <c r="V104" i="32"/>
  <c r="AF104" i="32" s="1"/>
  <c r="S104" i="32"/>
  <c r="M104" i="32"/>
  <c r="J104" i="32"/>
  <c r="BL103" i="32"/>
  <c r="BZ103" i="32" s="1"/>
  <c r="BK103" i="32"/>
  <c r="AY103" i="32"/>
  <c r="BW103" i="32" s="1"/>
  <c r="AP103" i="32"/>
  <c r="BT103" i="32" s="1"/>
  <c r="BS103" i="32"/>
  <c r="W103" i="32"/>
  <c r="AG103" i="32" s="1"/>
  <c r="V103" i="32"/>
  <c r="AF103" i="32" s="1"/>
  <c r="S103" i="32"/>
  <c r="M103" i="32"/>
  <c r="J103" i="32"/>
  <c r="BL102" i="32"/>
  <c r="BZ102" i="32" s="1"/>
  <c r="BK102" i="32"/>
  <c r="AY102" i="32"/>
  <c r="BW102" i="32" s="1"/>
  <c r="AP102" i="32"/>
  <c r="BT102" i="32" s="1"/>
  <c r="BS102" i="32"/>
  <c r="W102" i="32"/>
  <c r="AG102" i="32" s="1"/>
  <c r="V102" i="32"/>
  <c r="AF102" i="32" s="1"/>
  <c r="BP102" i="32" s="1"/>
  <c r="S102" i="32"/>
  <c r="M102" i="32"/>
  <c r="J102" i="32"/>
  <c r="Q102" i="32" s="1"/>
  <c r="BL101" i="32"/>
  <c r="BZ101" i="32" s="1"/>
  <c r="BK101" i="32"/>
  <c r="AY101" i="32"/>
  <c r="AP101" i="32"/>
  <c r="W101" i="32"/>
  <c r="V101" i="32"/>
  <c r="S101" i="32"/>
  <c r="M101" i="32"/>
  <c r="J101" i="32"/>
  <c r="P101" i="32" s="1"/>
  <c r="BL100" i="32"/>
  <c r="BZ100" i="32" s="1"/>
  <c r="BK100" i="32"/>
  <c r="BY100" i="32" s="1"/>
  <c r="AY100" i="32"/>
  <c r="BW100" i="32" s="1"/>
  <c r="AP100" i="32"/>
  <c r="BT100" i="32" s="1"/>
  <c r="BS100" i="32"/>
  <c r="W100" i="32"/>
  <c r="AG100" i="32" s="1"/>
  <c r="V100" i="32"/>
  <c r="AF100" i="32" s="1"/>
  <c r="S100" i="32"/>
  <c r="M100" i="32"/>
  <c r="J100" i="32"/>
  <c r="BL99" i="32"/>
  <c r="BK99" i="32"/>
  <c r="AY99" i="32"/>
  <c r="AP99" i="32"/>
  <c r="W99" i="32"/>
  <c r="V99" i="32"/>
  <c r="AF99" i="32" s="1"/>
  <c r="BP99" i="32" s="1"/>
  <c r="S99" i="32"/>
  <c r="M99" i="32"/>
  <c r="J99" i="32"/>
  <c r="BL98" i="32"/>
  <c r="BZ98" i="32" s="1"/>
  <c r="BK98" i="32"/>
  <c r="AY98" i="32"/>
  <c r="BW98" i="32" s="1"/>
  <c r="AP98" i="32"/>
  <c r="BT98" i="32" s="1"/>
  <c r="W98" i="32"/>
  <c r="AG98" i="32" s="1"/>
  <c r="V98" i="32"/>
  <c r="AF98" i="32" s="1"/>
  <c r="S98" i="32"/>
  <c r="M98" i="32"/>
  <c r="J98" i="32"/>
  <c r="BL97" i="32"/>
  <c r="BZ97" i="32" s="1"/>
  <c r="BK97" i="32"/>
  <c r="AY97" i="32"/>
  <c r="BW97" i="32" s="1"/>
  <c r="AP97" i="32"/>
  <c r="W97" i="32"/>
  <c r="V97" i="32"/>
  <c r="AF97" i="32" s="1"/>
  <c r="S97" i="32"/>
  <c r="M97" i="32"/>
  <c r="J97" i="32"/>
  <c r="Q97" i="32" s="1"/>
  <c r="BJ96" i="32"/>
  <c r="BI96" i="32"/>
  <c r="BH96" i="32"/>
  <c r="BG96" i="32"/>
  <c r="BF96" i="32"/>
  <c r="BE96" i="32"/>
  <c r="BD96" i="32"/>
  <c r="BB96" i="32"/>
  <c r="BA96" i="32"/>
  <c r="AX96" i="32"/>
  <c r="AW96" i="32"/>
  <c r="AN96" i="32"/>
  <c r="AM96" i="32"/>
  <c r="AL96" i="32"/>
  <c r="AJ96" i="32"/>
  <c r="AI96" i="32"/>
  <c r="AE96" i="32"/>
  <c r="AD96" i="32"/>
  <c r="AC96" i="32"/>
  <c r="AB96" i="32"/>
  <c r="AA96" i="32"/>
  <c r="Z96" i="32"/>
  <c r="Y96" i="32"/>
  <c r="U96" i="32"/>
  <c r="T96" i="32"/>
  <c r="R96" i="32"/>
  <c r="O96" i="32"/>
  <c r="N96" i="32"/>
  <c r="L96" i="32"/>
  <c r="K96" i="32"/>
  <c r="BL95" i="32"/>
  <c r="BZ95" i="32" s="1"/>
  <c r="BK95" i="32"/>
  <c r="BY95" i="32" s="1"/>
  <c r="AY95" i="32"/>
  <c r="BW95" i="32" s="1"/>
  <c r="AP95" i="32"/>
  <c r="BT95" i="32" s="1"/>
  <c r="W95" i="32"/>
  <c r="AG95" i="32" s="1"/>
  <c r="V95" i="32"/>
  <c r="AF95" i="32" s="1"/>
  <c r="S95" i="32"/>
  <c r="M95" i="32"/>
  <c r="J95" i="32"/>
  <c r="BL94" i="32"/>
  <c r="BZ94" i="32" s="1"/>
  <c r="BK94" i="32"/>
  <c r="AY94" i="32"/>
  <c r="BW94" i="32" s="1"/>
  <c r="AP94" i="32"/>
  <c r="BT94" i="32" s="1"/>
  <c r="W94" i="32"/>
  <c r="AG94" i="32" s="1"/>
  <c r="BQ94" i="32" s="1"/>
  <c r="V94" i="32"/>
  <c r="AF94" i="32" s="1"/>
  <c r="S94" i="32"/>
  <c r="M94" i="32"/>
  <c r="J94" i="32"/>
  <c r="Q94" i="32" s="1"/>
  <c r="BL93" i="32"/>
  <c r="BZ93" i="32" s="1"/>
  <c r="BK93" i="32"/>
  <c r="AY93" i="32"/>
  <c r="BW93" i="32" s="1"/>
  <c r="AP93" i="32"/>
  <c r="BT93" i="32" s="1"/>
  <c r="BS93" i="32"/>
  <c r="W93" i="32"/>
  <c r="AG93" i="32" s="1"/>
  <c r="V93" i="32"/>
  <c r="AF93" i="32" s="1"/>
  <c r="BP93" i="32" s="1"/>
  <c r="S93" i="32"/>
  <c r="M93" i="32"/>
  <c r="J93" i="32"/>
  <c r="BL92" i="32"/>
  <c r="BZ92" i="32" s="1"/>
  <c r="BC92" i="32"/>
  <c r="AY92" i="32"/>
  <c r="BW92" i="32" s="1"/>
  <c r="AP92" i="32"/>
  <c r="BT92" i="32" s="1"/>
  <c r="X92" i="32"/>
  <c r="X96" i="32" s="1"/>
  <c r="W92" i="32"/>
  <c r="AG92" i="32" s="1"/>
  <c r="V92" i="32"/>
  <c r="AF92" i="32" s="1"/>
  <c r="BP92" i="32" s="1"/>
  <c r="S92" i="32"/>
  <c r="M92" i="32"/>
  <c r="J92" i="32"/>
  <c r="Q92" i="32" s="1"/>
  <c r="BL91" i="32"/>
  <c r="BZ91" i="32" s="1"/>
  <c r="BK91" i="32"/>
  <c r="BY91" i="32" s="1"/>
  <c r="AY91" i="32"/>
  <c r="AP91" i="32"/>
  <c r="BT91" i="32" s="1"/>
  <c r="W91" i="32"/>
  <c r="V91" i="32"/>
  <c r="AF91" i="32" s="1"/>
  <c r="S91" i="32"/>
  <c r="M91" i="32"/>
  <c r="J91" i="32"/>
  <c r="BJ90" i="32"/>
  <c r="BI90" i="32"/>
  <c r="BH90" i="32"/>
  <c r="BG90" i="32"/>
  <c r="BF90" i="32"/>
  <c r="BE90" i="32"/>
  <c r="BD90" i="32"/>
  <c r="BB90" i="32"/>
  <c r="BA90" i="32"/>
  <c r="AX90" i="32"/>
  <c r="AN90" i="32"/>
  <c r="AM90" i="32"/>
  <c r="AL90" i="32"/>
  <c r="AJ90" i="32"/>
  <c r="AI90" i="32"/>
  <c r="AE90" i="32"/>
  <c r="AD90" i="32"/>
  <c r="AC90" i="32"/>
  <c r="AB90" i="32"/>
  <c r="AA90" i="32"/>
  <c r="Z90" i="32"/>
  <c r="Y90" i="32"/>
  <c r="U90" i="32"/>
  <c r="T90" i="32"/>
  <c r="R90" i="32"/>
  <c r="O90" i="32"/>
  <c r="N90" i="32"/>
  <c r="L90" i="32"/>
  <c r="K90" i="32"/>
  <c r="BL89" i="32"/>
  <c r="BZ89" i="32" s="1"/>
  <c r="BK89" i="32"/>
  <c r="BY89" i="32" s="1"/>
  <c r="AY89" i="32"/>
  <c r="BW89" i="32" s="1"/>
  <c r="AP89" i="32"/>
  <c r="BT89" i="32" s="1"/>
  <c r="BS89" i="32"/>
  <c r="W89" i="32"/>
  <c r="AG89" i="32" s="1"/>
  <c r="BQ89" i="32" s="1"/>
  <c r="V89" i="32"/>
  <c r="AF89" i="32" s="1"/>
  <c r="S89" i="32"/>
  <c r="M89" i="32"/>
  <c r="J89" i="32"/>
  <c r="P89" i="32" s="1"/>
  <c r="BL88" i="32"/>
  <c r="BZ88" i="32" s="1"/>
  <c r="BK88" i="32"/>
  <c r="BY88" i="32" s="1"/>
  <c r="AY88" i="32"/>
  <c r="BW88" i="32" s="1"/>
  <c r="AP88" i="32"/>
  <c r="BT88" i="32" s="1"/>
  <c r="BS88" i="32"/>
  <c r="W88" i="32"/>
  <c r="AG88" i="32" s="1"/>
  <c r="V88" i="32"/>
  <c r="AF88" i="32" s="1"/>
  <c r="S88" i="32"/>
  <c r="M88" i="32"/>
  <c r="J88" i="32"/>
  <c r="Q88" i="32" s="1"/>
  <c r="BL87" i="32"/>
  <c r="BZ87" i="32" s="1"/>
  <c r="BK87" i="32"/>
  <c r="BY87" i="32" s="1"/>
  <c r="AY87" i="32"/>
  <c r="BW87" i="32" s="1"/>
  <c r="AP87" i="32"/>
  <c r="BT87" i="32" s="1"/>
  <c r="BS87" i="32"/>
  <c r="W87" i="32"/>
  <c r="AG87" i="32" s="1"/>
  <c r="V87" i="32"/>
  <c r="AF87" i="32" s="1"/>
  <c r="S87" i="32"/>
  <c r="M87" i="32"/>
  <c r="J87" i="32"/>
  <c r="BL86" i="32"/>
  <c r="BZ86" i="32" s="1"/>
  <c r="BC86" i="32"/>
  <c r="BC90" i="32" s="1"/>
  <c r="AW86" i="32"/>
  <c r="AP86" i="32"/>
  <c r="BT86" i="32" s="1"/>
  <c r="X86" i="32"/>
  <c r="X90" i="32" s="1"/>
  <c r="W86" i="32"/>
  <c r="AG86" i="32" s="1"/>
  <c r="V86" i="32"/>
  <c r="S86" i="32"/>
  <c r="M86" i="32"/>
  <c r="J86" i="32"/>
  <c r="BL85" i="32"/>
  <c r="BZ85" i="32" s="1"/>
  <c r="BK85" i="32"/>
  <c r="BY85" i="32" s="1"/>
  <c r="AY85" i="32"/>
  <c r="BW85" i="32" s="1"/>
  <c r="AP85" i="32"/>
  <c r="W85" i="32"/>
  <c r="V85" i="32"/>
  <c r="S85" i="32"/>
  <c r="M85" i="32"/>
  <c r="J85" i="32"/>
  <c r="P85" i="32" s="1"/>
  <c r="BJ84" i="32"/>
  <c r="BI84" i="32"/>
  <c r="BH84" i="32"/>
  <c r="BG84" i="32"/>
  <c r="BF84" i="32"/>
  <c r="BE84" i="32"/>
  <c r="BD84" i="32"/>
  <c r="BC84" i="32"/>
  <c r="BB84" i="32"/>
  <c r="BA84" i="32"/>
  <c r="AX84" i="32"/>
  <c r="AW84" i="32"/>
  <c r="AN84" i="32"/>
  <c r="AM84" i="32"/>
  <c r="AL84" i="32"/>
  <c r="AJ84" i="32"/>
  <c r="AI84" i="32"/>
  <c r="AE84" i="32"/>
  <c r="AD84" i="32"/>
  <c r="AC84" i="32"/>
  <c r="AB84" i="32"/>
  <c r="AA84" i="32"/>
  <c r="Z84" i="32"/>
  <c r="Y84" i="32"/>
  <c r="X84" i="32"/>
  <c r="U84" i="32"/>
  <c r="T84" i="32"/>
  <c r="R84" i="32"/>
  <c r="O84" i="32"/>
  <c r="N84" i="32"/>
  <c r="L84" i="32"/>
  <c r="K84" i="32"/>
  <c r="BL83" i="32"/>
  <c r="BK83" i="32"/>
  <c r="BY83" i="32" s="1"/>
  <c r="AY83" i="32"/>
  <c r="BW83" i="32" s="1"/>
  <c r="AP83" i="32"/>
  <c r="BT83" i="32" s="1"/>
  <c r="BS83" i="32"/>
  <c r="W83" i="32"/>
  <c r="AG83" i="32" s="1"/>
  <c r="V83" i="32"/>
  <c r="AF83" i="32" s="1"/>
  <c r="S83" i="32"/>
  <c r="M83" i="32"/>
  <c r="J83" i="32"/>
  <c r="P83" i="32" s="1"/>
  <c r="BL82" i="32"/>
  <c r="BZ82" i="32" s="1"/>
  <c r="BK82" i="32"/>
  <c r="BY82" i="32" s="1"/>
  <c r="AY82" i="32"/>
  <c r="BW82" i="32" s="1"/>
  <c r="AP82" i="32"/>
  <c r="BT82" i="32" s="1"/>
  <c r="W82" i="32"/>
  <c r="AG82" i="32" s="1"/>
  <c r="V82" i="32"/>
  <c r="AF82" i="32" s="1"/>
  <c r="S82" i="32"/>
  <c r="M82" i="32"/>
  <c r="J82" i="32"/>
  <c r="Q82" i="32" s="1"/>
  <c r="BL81" i="32"/>
  <c r="BZ81" i="32" s="1"/>
  <c r="BK81" i="32"/>
  <c r="BY81" i="32" s="1"/>
  <c r="AY81" i="32"/>
  <c r="BW81" i="32" s="1"/>
  <c r="AP81" i="32"/>
  <c r="BS81" i="32"/>
  <c r="W81" i="32"/>
  <c r="AG81" i="32" s="1"/>
  <c r="BQ81" i="32" s="1"/>
  <c r="V81" i="32"/>
  <c r="AF81" i="32" s="1"/>
  <c r="S81" i="32"/>
  <c r="M81" i="32"/>
  <c r="J81" i="32"/>
  <c r="BL80" i="32"/>
  <c r="BZ80" i="32" s="1"/>
  <c r="BK80" i="32"/>
  <c r="BY80" i="32" s="1"/>
  <c r="AY80" i="32"/>
  <c r="BW80" i="32" s="1"/>
  <c r="AP80" i="32"/>
  <c r="BT80" i="32" s="1"/>
  <c r="W80" i="32"/>
  <c r="AG80" i="32" s="1"/>
  <c r="V80" i="32"/>
  <c r="AF80" i="32" s="1"/>
  <c r="S80" i="32"/>
  <c r="M80" i="32"/>
  <c r="J80" i="32"/>
  <c r="BL79" i="32"/>
  <c r="BZ79" i="32" s="1"/>
  <c r="BK79" i="32"/>
  <c r="BY79" i="32" s="1"/>
  <c r="AY79" i="32"/>
  <c r="BW79" i="32" s="1"/>
  <c r="AP79" i="32"/>
  <c r="BT79" i="32" s="1"/>
  <c r="W79" i="32"/>
  <c r="AG79" i="32" s="1"/>
  <c r="V79" i="32"/>
  <c r="AF79" i="32" s="1"/>
  <c r="S79" i="32"/>
  <c r="M79" i="32"/>
  <c r="J79" i="32"/>
  <c r="BL78" i="32"/>
  <c r="BZ78" i="32" s="1"/>
  <c r="BK78" i="32"/>
  <c r="AY78" i="32"/>
  <c r="BW78" i="32" s="1"/>
  <c r="AP78" i="32"/>
  <c r="W78" i="32"/>
  <c r="AG78" i="32" s="1"/>
  <c r="V78" i="32"/>
  <c r="AF78" i="32" s="1"/>
  <c r="S78" i="32"/>
  <c r="M78" i="32"/>
  <c r="J78" i="32"/>
  <c r="BJ77" i="32"/>
  <c r="BI77" i="32"/>
  <c r="BH77" i="32"/>
  <c r="BG77" i="32"/>
  <c r="BF77" i="32"/>
  <c r="BE77" i="32"/>
  <c r="BD77" i="32"/>
  <c r="BB77" i="32"/>
  <c r="BA77" i="32"/>
  <c r="AX77" i="32"/>
  <c r="AW77" i="32"/>
  <c r="AN77" i="32"/>
  <c r="AM77" i="32"/>
  <c r="AL77" i="32"/>
  <c r="AJ77" i="32"/>
  <c r="AI77" i="32"/>
  <c r="AE77" i="32"/>
  <c r="AD77" i="32"/>
  <c r="AC77" i="32"/>
  <c r="AB77" i="32"/>
  <c r="AA77" i="32"/>
  <c r="Z77" i="32"/>
  <c r="Y77" i="32"/>
  <c r="U77" i="32"/>
  <c r="T77" i="32"/>
  <c r="R77" i="32"/>
  <c r="O77" i="32"/>
  <c r="N77" i="32"/>
  <c r="L77" i="32"/>
  <c r="K77" i="32"/>
  <c r="BL76" i="32"/>
  <c r="BZ76" i="32" s="1"/>
  <c r="BK76" i="32"/>
  <c r="BY76" i="32" s="1"/>
  <c r="AY76" i="32"/>
  <c r="BW76" i="32" s="1"/>
  <c r="AP76" i="32"/>
  <c r="BT76" i="32" s="1"/>
  <c r="W76" i="32"/>
  <c r="AG76" i="32" s="1"/>
  <c r="V76" i="32"/>
  <c r="AF76" i="32" s="1"/>
  <c r="BP76" i="32" s="1"/>
  <c r="S76" i="32"/>
  <c r="M76" i="32"/>
  <c r="J76" i="32"/>
  <c r="BL75" i="32"/>
  <c r="BZ75" i="32" s="1"/>
  <c r="BK75" i="32"/>
  <c r="AY75" i="32"/>
  <c r="BW75" i="32" s="1"/>
  <c r="AP75" i="32"/>
  <c r="BT75" i="32" s="1"/>
  <c r="W75" i="32"/>
  <c r="AG75" i="32" s="1"/>
  <c r="BQ75" i="32" s="1"/>
  <c r="V75" i="32"/>
  <c r="AF75" i="32" s="1"/>
  <c r="S75" i="32"/>
  <c r="M75" i="32"/>
  <c r="J75" i="32"/>
  <c r="Q75" i="32" s="1"/>
  <c r="BL74" i="32"/>
  <c r="BZ74" i="32" s="1"/>
  <c r="BK74" i="32"/>
  <c r="AY74" i="32"/>
  <c r="BW74" i="32" s="1"/>
  <c r="AP74" i="32"/>
  <c r="BT74" i="32" s="1"/>
  <c r="W74" i="32"/>
  <c r="AG74" i="32" s="1"/>
  <c r="BQ74" i="32" s="1"/>
  <c r="V74" i="32"/>
  <c r="AF74" i="32" s="1"/>
  <c r="S74" i="32"/>
  <c r="M74" i="32"/>
  <c r="J74" i="32"/>
  <c r="BL73" i="32"/>
  <c r="BC73" i="32"/>
  <c r="BC77" i="32" s="1"/>
  <c r="AY73" i="32"/>
  <c r="BW73" i="32" s="1"/>
  <c r="AP73" i="32"/>
  <c r="BT73" i="32" s="1"/>
  <c r="X73" i="32"/>
  <c r="X77" i="32" s="1"/>
  <c r="W73" i="32"/>
  <c r="AG73" i="32" s="1"/>
  <c r="V73" i="32"/>
  <c r="S73" i="32"/>
  <c r="M73" i="32"/>
  <c r="J73" i="32"/>
  <c r="BL72" i="32"/>
  <c r="BZ72" i="32" s="1"/>
  <c r="BK72" i="32"/>
  <c r="AY72" i="32"/>
  <c r="AP72" i="32"/>
  <c r="BT72" i="32" s="1"/>
  <c r="BS72" i="32"/>
  <c r="W72" i="32"/>
  <c r="V72" i="32"/>
  <c r="S72" i="32"/>
  <c r="M72" i="32"/>
  <c r="J72" i="32"/>
  <c r="BJ71" i="32"/>
  <c r="BI71" i="32"/>
  <c r="BH71" i="32"/>
  <c r="BG71" i="32"/>
  <c r="BF71" i="32"/>
  <c r="BE71" i="32"/>
  <c r="BD71" i="32"/>
  <c r="BC71" i="32"/>
  <c r="BB71" i="32"/>
  <c r="BA71" i="32"/>
  <c r="AX71" i="32"/>
  <c r="AW71" i="32"/>
  <c r="AN71" i="32"/>
  <c r="AM71" i="32"/>
  <c r="AL71" i="32"/>
  <c r="AJ71" i="32"/>
  <c r="AI71" i="32"/>
  <c r="AE71" i="32"/>
  <c r="AD71" i="32"/>
  <c r="AC71" i="32"/>
  <c r="AB71" i="32"/>
  <c r="AA71" i="32"/>
  <c r="Z71" i="32"/>
  <c r="Y71" i="32"/>
  <c r="X71" i="32"/>
  <c r="U71" i="32"/>
  <c r="T71" i="32"/>
  <c r="R71" i="32"/>
  <c r="O71" i="32"/>
  <c r="N71" i="32"/>
  <c r="L71" i="32"/>
  <c r="K71" i="32"/>
  <c r="BL70" i="32"/>
  <c r="BZ70" i="32" s="1"/>
  <c r="BK70" i="32"/>
  <c r="BY70" i="32" s="1"/>
  <c r="AY70" i="32"/>
  <c r="BW70" i="32" s="1"/>
  <c r="AP70" i="32"/>
  <c r="BT70" i="32" s="1"/>
  <c r="W70" i="32"/>
  <c r="AG70" i="32" s="1"/>
  <c r="V70" i="32"/>
  <c r="AF70" i="32" s="1"/>
  <c r="S70" i="32"/>
  <c r="M70" i="32"/>
  <c r="J70" i="32"/>
  <c r="Q70" i="32" s="1"/>
  <c r="BL69" i="32"/>
  <c r="BZ69" i="32" s="1"/>
  <c r="BK69" i="32"/>
  <c r="BY69" i="32" s="1"/>
  <c r="AY69" i="32"/>
  <c r="BW69" i="32" s="1"/>
  <c r="AP69" i="32"/>
  <c r="BS69" i="32"/>
  <c r="W69" i="32"/>
  <c r="AG69" i="32" s="1"/>
  <c r="V69" i="32"/>
  <c r="AF69" i="32" s="1"/>
  <c r="S69" i="32"/>
  <c r="M69" i="32"/>
  <c r="J69" i="32"/>
  <c r="Q69" i="32" s="1"/>
  <c r="BL68" i="32"/>
  <c r="BZ68" i="32" s="1"/>
  <c r="BK68" i="32"/>
  <c r="BY68" i="32" s="1"/>
  <c r="AY68" i="32"/>
  <c r="BW68" i="32" s="1"/>
  <c r="AP68" i="32"/>
  <c r="BT68" i="32" s="1"/>
  <c r="W68" i="32"/>
  <c r="AG68" i="32" s="1"/>
  <c r="V68" i="32"/>
  <c r="AF68" i="32" s="1"/>
  <c r="S68" i="32"/>
  <c r="M68" i="32"/>
  <c r="J68" i="32"/>
  <c r="BL67" i="32"/>
  <c r="BZ67" i="32" s="1"/>
  <c r="BK67" i="32"/>
  <c r="BY67" i="32" s="1"/>
  <c r="AY67" i="32"/>
  <c r="BW67" i="32" s="1"/>
  <c r="AP67" i="32"/>
  <c r="BT67" i="32" s="1"/>
  <c r="W67" i="32"/>
  <c r="AG67" i="32" s="1"/>
  <c r="V67" i="32"/>
  <c r="AF67" i="32" s="1"/>
  <c r="S67" i="32"/>
  <c r="M67" i="32"/>
  <c r="J67" i="32"/>
  <c r="BL66" i="32"/>
  <c r="BZ66" i="32" s="1"/>
  <c r="BK66" i="32"/>
  <c r="AY66" i="32"/>
  <c r="BW66" i="32" s="1"/>
  <c r="AP66" i="32"/>
  <c r="W66" i="32"/>
  <c r="V66" i="32"/>
  <c r="AF66" i="32" s="1"/>
  <c r="S66" i="32"/>
  <c r="M66" i="32"/>
  <c r="J66" i="32"/>
  <c r="P66" i="32" s="1"/>
  <c r="BJ65" i="32"/>
  <c r="BI65" i="32"/>
  <c r="BH65" i="32"/>
  <c r="BG65" i="32"/>
  <c r="BF65" i="32"/>
  <c r="BE65" i="32"/>
  <c r="BD65" i="32"/>
  <c r="BC65" i="32"/>
  <c r="BB65" i="32"/>
  <c r="BA65" i="32"/>
  <c r="AX65" i="32"/>
  <c r="AW65" i="32"/>
  <c r="AN65" i="32"/>
  <c r="AM65" i="32"/>
  <c r="AL65" i="32"/>
  <c r="AJ65" i="32"/>
  <c r="AI65" i="32"/>
  <c r="AE65" i="32"/>
  <c r="AD65" i="32"/>
  <c r="AC65" i="32"/>
  <c r="AB65" i="32"/>
  <c r="AA65" i="32"/>
  <c r="Z65" i="32"/>
  <c r="Y65" i="32"/>
  <c r="X65" i="32"/>
  <c r="U65" i="32"/>
  <c r="T65" i="32"/>
  <c r="R65" i="32"/>
  <c r="O65" i="32"/>
  <c r="N65" i="32"/>
  <c r="L65" i="32"/>
  <c r="K65" i="32"/>
  <c r="BL64" i="32"/>
  <c r="BZ64" i="32" s="1"/>
  <c r="BK64" i="32"/>
  <c r="BY64" i="32" s="1"/>
  <c r="AY64" i="32"/>
  <c r="BW64" i="32" s="1"/>
  <c r="AP64" i="32"/>
  <c r="BT64" i="32" s="1"/>
  <c r="BS64" i="32"/>
  <c r="W64" i="32"/>
  <c r="AG64" i="32" s="1"/>
  <c r="V64" i="32"/>
  <c r="AF64" i="32" s="1"/>
  <c r="S64" i="32"/>
  <c r="M64" i="32"/>
  <c r="J64" i="32"/>
  <c r="BL63" i="32"/>
  <c r="BZ63" i="32" s="1"/>
  <c r="BK63" i="32"/>
  <c r="BY63" i="32" s="1"/>
  <c r="AY63" i="32"/>
  <c r="BW63" i="32" s="1"/>
  <c r="AP63" i="32"/>
  <c r="BT63" i="32" s="1"/>
  <c r="W63" i="32"/>
  <c r="AG63" i="32" s="1"/>
  <c r="V63" i="32"/>
  <c r="AF63" i="32" s="1"/>
  <c r="S63" i="32"/>
  <c r="M63" i="32"/>
  <c r="J63" i="32"/>
  <c r="BL62" i="32"/>
  <c r="BZ62" i="32" s="1"/>
  <c r="BK62" i="32"/>
  <c r="AY62" i="32"/>
  <c r="BW62" i="32" s="1"/>
  <c r="AP62" i="32"/>
  <c r="BT62" i="32" s="1"/>
  <c r="W62" i="32"/>
  <c r="AG62" i="32" s="1"/>
  <c r="V62" i="32"/>
  <c r="AF62" i="32" s="1"/>
  <c r="BP62" i="32" s="1"/>
  <c r="S62" i="32"/>
  <c r="M62" i="32"/>
  <c r="J62" i="32"/>
  <c r="P62" i="32" s="1"/>
  <c r="BL61" i="32"/>
  <c r="BZ61" i="32" s="1"/>
  <c r="BK61" i="32"/>
  <c r="BY61" i="32" s="1"/>
  <c r="AY61" i="32"/>
  <c r="BW61" i="32" s="1"/>
  <c r="AP61" i="32"/>
  <c r="BT61" i="32" s="1"/>
  <c r="BS61" i="32"/>
  <c r="W61" i="32"/>
  <c r="AG61" i="32" s="1"/>
  <c r="V61" i="32"/>
  <c r="AF61" i="32" s="1"/>
  <c r="S61" i="32"/>
  <c r="M61" i="32"/>
  <c r="J61" i="32"/>
  <c r="P61" i="32" s="1"/>
  <c r="BL60" i="32"/>
  <c r="BZ60" i="32" s="1"/>
  <c r="BK60" i="32"/>
  <c r="BY60" i="32" s="1"/>
  <c r="AY60" i="32"/>
  <c r="BW60" i="32" s="1"/>
  <c r="AP60" i="32"/>
  <c r="BT60" i="32" s="1"/>
  <c r="W60" i="32"/>
  <c r="AG60" i="32" s="1"/>
  <c r="V60" i="32"/>
  <c r="AF60" i="32" s="1"/>
  <c r="S60" i="32"/>
  <c r="M60" i="32"/>
  <c r="J60" i="32"/>
  <c r="BL59" i="32"/>
  <c r="BZ59" i="32" s="1"/>
  <c r="BK59" i="32"/>
  <c r="AY59" i="32"/>
  <c r="AP59" i="32"/>
  <c r="BS59" i="32"/>
  <c r="W59" i="32"/>
  <c r="AG59" i="32" s="1"/>
  <c r="V59" i="32"/>
  <c r="S59" i="32"/>
  <c r="M59" i="32"/>
  <c r="J59" i="32"/>
  <c r="P59" i="32" s="1"/>
  <c r="BJ58" i="32"/>
  <c r="BI58" i="32"/>
  <c r="BH58" i="32"/>
  <c r="BG58" i="32"/>
  <c r="BF58" i="32"/>
  <c r="BE58" i="32"/>
  <c r="BD58" i="32"/>
  <c r="BB58" i="32"/>
  <c r="BA58" i="32"/>
  <c r="AX58" i="32"/>
  <c r="AW58" i="32"/>
  <c r="AN58" i="32"/>
  <c r="AM58" i="32"/>
  <c r="AL58" i="32"/>
  <c r="AJ58" i="32"/>
  <c r="AI58" i="32"/>
  <c r="AE58" i="32"/>
  <c r="AD58" i="32"/>
  <c r="AC58" i="32"/>
  <c r="AB58" i="32"/>
  <c r="AA58" i="32"/>
  <c r="Z58" i="32"/>
  <c r="Y58" i="32"/>
  <c r="U58" i="32"/>
  <c r="T58" i="32"/>
  <c r="R58" i="32"/>
  <c r="O58" i="32"/>
  <c r="N58" i="32"/>
  <c r="L58" i="32"/>
  <c r="K58" i="32"/>
  <c r="BL57" i="32"/>
  <c r="BZ57" i="32" s="1"/>
  <c r="BK57" i="32"/>
  <c r="BY57" i="32" s="1"/>
  <c r="AY57" i="32"/>
  <c r="BW57" i="32" s="1"/>
  <c r="AP57" i="32"/>
  <c r="BT57" i="32" s="1"/>
  <c r="W57" i="32"/>
  <c r="AG57" i="32" s="1"/>
  <c r="V57" i="32"/>
  <c r="AF57" i="32" s="1"/>
  <c r="S57" i="32"/>
  <c r="M57" i="32"/>
  <c r="J57" i="32"/>
  <c r="P57" i="32" s="1"/>
  <c r="BL56" i="32"/>
  <c r="BZ56" i="32" s="1"/>
  <c r="BK56" i="32"/>
  <c r="BY56" i="32" s="1"/>
  <c r="AY56" i="32"/>
  <c r="BW56" i="32" s="1"/>
  <c r="AP56" i="32"/>
  <c r="BT56" i="32" s="1"/>
  <c r="W56" i="32"/>
  <c r="AG56" i="32" s="1"/>
  <c r="BQ56" i="32" s="1"/>
  <c r="V56" i="32"/>
  <c r="AF56" i="32" s="1"/>
  <c r="S56" i="32"/>
  <c r="M56" i="32"/>
  <c r="J56" i="32"/>
  <c r="BL55" i="32"/>
  <c r="BZ55" i="32" s="1"/>
  <c r="BK55" i="32"/>
  <c r="AY55" i="32"/>
  <c r="BW55" i="32" s="1"/>
  <c r="AP55" i="32"/>
  <c r="BT55" i="32" s="1"/>
  <c r="BS55" i="32"/>
  <c r="W55" i="32"/>
  <c r="AG55" i="32" s="1"/>
  <c r="BQ55" i="32" s="1"/>
  <c r="V55" i="32"/>
  <c r="AF55" i="32" s="1"/>
  <c r="S55" i="32"/>
  <c r="M55" i="32"/>
  <c r="J55" i="32"/>
  <c r="P55" i="32" s="1"/>
  <c r="BL54" i="32"/>
  <c r="BZ54" i="32" s="1"/>
  <c r="BC54" i="32"/>
  <c r="BK54" i="32" s="1"/>
  <c r="BY54" i="32" s="1"/>
  <c r="AY54" i="32"/>
  <c r="BW54" i="32" s="1"/>
  <c r="AP54" i="32"/>
  <c r="BT54" i="32" s="1"/>
  <c r="X54" i="32"/>
  <c r="X58" i="32" s="1"/>
  <c r="W54" i="32"/>
  <c r="AG54" i="32" s="1"/>
  <c r="BQ54" i="32" s="1"/>
  <c r="V54" i="32"/>
  <c r="S54" i="32"/>
  <c r="M54" i="32"/>
  <c r="J54" i="32"/>
  <c r="Q54" i="32" s="1"/>
  <c r="BL53" i="32"/>
  <c r="BK53" i="32"/>
  <c r="AY53" i="32"/>
  <c r="BW53" i="32" s="1"/>
  <c r="AP53" i="32"/>
  <c r="BS53" i="32"/>
  <c r="W53" i="32"/>
  <c r="AG53" i="32" s="1"/>
  <c r="V53" i="32"/>
  <c r="S53" i="32"/>
  <c r="M53" i="32"/>
  <c r="J53" i="32"/>
  <c r="BJ52" i="32"/>
  <c r="BI52" i="32"/>
  <c r="BH52" i="32"/>
  <c r="BG52" i="32"/>
  <c r="BF52" i="32"/>
  <c r="BE52" i="32"/>
  <c r="BD52" i="32"/>
  <c r="BC52" i="32"/>
  <c r="BB52" i="32"/>
  <c r="BA52" i="32"/>
  <c r="AX52" i="32"/>
  <c r="AW52" i="32"/>
  <c r="AN52" i="32"/>
  <c r="AM52" i="32"/>
  <c r="AL52" i="32"/>
  <c r="AJ52" i="32"/>
  <c r="AI52" i="32"/>
  <c r="AE52" i="32"/>
  <c r="AD52" i="32"/>
  <c r="AC52" i="32"/>
  <c r="AB52" i="32"/>
  <c r="AA52" i="32"/>
  <c r="Z52" i="32"/>
  <c r="Y52" i="32"/>
  <c r="X52" i="32"/>
  <c r="U52" i="32"/>
  <c r="T52" i="32"/>
  <c r="R52" i="32"/>
  <c r="O52" i="32"/>
  <c r="N52" i="32"/>
  <c r="L52" i="32"/>
  <c r="K52" i="32"/>
  <c r="BL51" i="32"/>
  <c r="BZ51" i="32" s="1"/>
  <c r="BK51" i="32"/>
  <c r="BY51" i="32" s="1"/>
  <c r="AY51" i="32"/>
  <c r="BW51" i="32" s="1"/>
  <c r="AP51" i="32"/>
  <c r="BT51" i="32" s="1"/>
  <c r="BS51" i="32"/>
  <c r="W51" i="32"/>
  <c r="AG51" i="32" s="1"/>
  <c r="V51" i="32"/>
  <c r="AF51" i="32" s="1"/>
  <c r="S51" i="32"/>
  <c r="M51" i="32"/>
  <c r="J51" i="32"/>
  <c r="Q51" i="32" s="1"/>
  <c r="BL50" i="32"/>
  <c r="BK50" i="32"/>
  <c r="AY50" i="32"/>
  <c r="AP50" i="32"/>
  <c r="W50" i="32"/>
  <c r="V50" i="32"/>
  <c r="AF50" i="32" s="1"/>
  <c r="S50" i="32"/>
  <c r="M50" i="32"/>
  <c r="J50" i="32"/>
  <c r="BL49" i="32"/>
  <c r="BZ49" i="32" s="1"/>
  <c r="BK49" i="32"/>
  <c r="BY49" i="32" s="1"/>
  <c r="AY49" i="32"/>
  <c r="BW49" i="32" s="1"/>
  <c r="AP49" i="32"/>
  <c r="BT49" i="32" s="1"/>
  <c r="BS49" i="32"/>
  <c r="W49" i="32"/>
  <c r="AG49" i="32" s="1"/>
  <c r="BQ49" i="32" s="1"/>
  <c r="V49" i="32"/>
  <c r="AF49" i="32" s="1"/>
  <c r="S49" i="32"/>
  <c r="M49" i="32"/>
  <c r="J49" i="32"/>
  <c r="Q49" i="32" s="1"/>
  <c r="BL48" i="32"/>
  <c r="BZ48" i="32" s="1"/>
  <c r="BK48" i="32"/>
  <c r="BY48" i="32" s="1"/>
  <c r="AY48" i="32"/>
  <c r="BW48" i="32" s="1"/>
  <c r="AP48" i="32"/>
  <c r="BT48" i="32" s="1"/>
  <c r="BS48" i="32"/>
  <c r="W48" i="32"/>
  <c r="AG48" i="32" s="1"/>
  <c r="BQ48" i="32" s="1"/>
  <c r="V48" i="32"/>
  <c r="AF48" i="32" s="1"/>
  <c r="S48" i="32"/>
  <c r="M48" i="32"/>
  <c r="J48" i="32"/>
  <c r="BL47" i="32"/>
  <c r="BK47" i="32"/>
  <c r="BY47" i="32" s="1"/>
  <c r="AY47" i="32"/>
  <c r="BW47" i="32" s="1"/>
  <c r="AP47" i="32"/>
  <c r="W47" i="32"/>
  <c r="AG47" i="32" s="1"/>
  <c r="V47" i="32"/>
  <c r="S47" i="32"/>
  <c r="M47" i="32"/>
  <c r="J47" i="32"/>
  <c r="BL46" i="32"/>
  <c r="BZ46" i="32" s="1"/>
  <c r="BK46" i="32"/>
  <c r="AY46" i="32"/>
  <c r="AP46" i="32"/>
  <c r="W46" i="32"/>
  <c r="AG46" i="32" s="1"/>
  <c r="V46" i="32"/>
  <c r="AF46" i="32" s="1"/>
  <c r="S46" i="32"/>
  <c r="M46" i="32"/>
  <c r="J46" i="32"/>
  <c r="P46" i="32" s="1"/>
  <c r="BJ45" i="32"/>
  <c r="BI45" i="32"/>
  <c r="BH45" i="32"/>
  <c r="BG45" i="32"/>
  <c r="BF45" i="32"/>
  <c r="BE45" i="32"/>
  <c r="BD45" i="32"/>
  <c r="BC45" i="32"/>
  <c r="BB45" i="32"/>
  <c r="BA45" i="32"/>
  <c r="AX45" i="32"/>
  <c r="AW45" i="32"/>
  <c r="AN45" i="32"/>
  <c r="AM45" i="32"/>
  <c r="AL45" i="32"/>
  <c r="AJ45" i="32"/>
  <c r="AI45" i="32"/>
  <c r="AE45" i="32"/>
  <c r="AD45" i="32"/>
  <c r="AC45" i="32"/>
  <c r="AB45" i="32"/>
  <c r="AA45" i="32"/>
  <c r="Z45" i="32"/>
  <c r="Y45" i="32"/>
  <c r="X45" i="32"/>
  <c r="U45" i="32"/>
  <c r="T45" i="32"/>
  <c r="R45" i="32"/>
  <c r="O45" i="32"/>
  <c r="N45" i="32"/>
  <c r="L45" i="32"/>
  <c r="K45" i="32"/>
  <c r="BL44" i="32"/>
  <c r="BL45" i="32" s="1"/>
  <c r="BK44" i="32"/>
  <c r="BK45" i="32" s="1"/>
  <c r="AY44" i="32"/>
  <c r="AY45" i="32" s="1"/>
  <c r="AP44" i="32"/>
  <c r="W44" i="32"/>
  <c r="W45" i="32" s="1"/>
  <c r="V44" i="32"/>
  <c r="V45" i="32" s="1"/>
  <c r="S44" i="32"/>
  <c r="S45" i="32" s="1"/>
  <c r="M44" i="32"/>
  <c r="M45" i="32" s="1"/>
  <c r="J44" i="32"/>
  <c r="P44" i="32" s="1"/>
  <c r="BJ43" i="32"/>
  <c r="BI43" i="32"/>
  <c r="BH43" i="32"/>
  <c r="BG43" i="32"/>
  <c r="BF43" i="32"/>
  <c r="BE43" i="32"/>
  <c r="BD43" i="32"/>
  <c r="BC43" i="32"/>
  <c r="BB43" i="32"/>
  <c r="BA43" i="32"/>
  <c r="AX43" i="32"/>
  <c r="AW43" i="32"/>
  <c r="AN43" i="32"/>
  <c r="AM43" i="32"/>
  <c r="AL43" i="32"/>
  <c r="AJ43" i="32"/>
  <c r="AI43" i="32"/>
  <c r="AE43" i="32"/>
  <c r="AD43" i="32"/>
  <c r="AC43" i="32"/>
  <c r="AB43" i="32"/>
  <c r="AA43" i="32"/>
  <c r="Z43" i="32"/>
  <c r="Y43" i="32"/>
  <c r="X43" i="32"/>
  <c r="U43" i="32"/>
  <c r="T43" i="32"/>
  <c r="R43" i="32"/>
  <c r="O43" i="32"/>
  <c r="N43" i="32"/>
  <c r="L43" i="32"/>
  <c r="K43" i="32"/>
  <c r="BL42" i="32"/>
  <c r="BZ42" i="32" s="1"/>
  <c r="BK42" i="32"/>
  <c r="BY42" i="32" s="1"/>
  <c r="AY42" i="32"/>
  <c r="BW42" i="32" s="1"/>
  <c r="AP42" i="32"/>
  <c r="BT42" i="32" s="1"/>
  <c r="W42" i="32"/>
  <c r="AG42" i="32" s="1"/>
  <c r="V42" i="32"/>
  <c r="AF42" i="32" s="1"/>
  <c r="S42" i="32"/>
  <c r="M42" i="32"/>
  <c r="J42" i="32"/>
  <c r="Q42" i="32" s="1"/>
  <c r="BL41" i="32"/>
  <c r="BZ41" i="32" s="1"/>
  <c r="BK41" i="32"/>
  <c r="BY41" i="32" s="1"/>
  <c r="AY41" i="32"/>
  <c r="BW41" i="32" s="1"/>
  <c r="AP41" i="32"/>
  <c r="BT41" i="32" s="1"/>
  <c r="BS41" i="32"/>
  <c r="W41" i="32"/>
  <c r="AG41" i="32" s="1"/>
  <c r="BQ41" i="32" s="1"/>
  <c r="V41" i="32"/>
  <c r="AF41" i="32" s="1"/>
  <c r="S41" i="32"/>
  <c r="M41" i="32"/>
  <c r="J41" i="32"/>
  <c r="Q41" i="32" s="1"/>
  <c r="BL40" i="32"/>
  <c r="BZ40" i="32" s="1"/>
  <c r="BK40" i="32"/>
  <c r="BY40" i="32" s="1"/>
  <c r="AY40" i="32"/>
  <c r="AP40" i="32"/>
  <c r="BT40" i="32" s="1"/>
  <c r="W40" i="32"/>
  <c r="V40" i="32"/>
  <c r="AF40" i="32" s="1"/>
  <c r="S40" i="32"/>
  <c r="M40" i="32"/>
  <c r="J40" i="32"/>
  <c r="BJ39" i="32"/>
  <c r="BI39" i="32"/>
  <c r="BH39" i="32"/>
  <c r="BG39" i="32"/>
  <c r="BF39" i="32"/>
  <c r="BE39" i="32"/>
  <c r="BD39" i="32"/>
  <c r="BC39" i="32"/>
  <c r="BB39" i="32"/>
  <c r="BA39" i="32"/>
  <c r="AX39" i="32"/>
  <c r="AW39" i="32"/>
  <c r="AN39" i="32"/>
  <c r="AM39" i="32"/>
  <c r="AL39" i="32"/>
  <c r="AJ39" i="32"/>
  <c r="AI39" i="32"/>
  <c r="AE39" i="32"/>
  <c r="AD39" i="32"/>
  <c r="AC39" i="32"/>
  <c r="AB39" i="32"/>
  <c r="AA39" i="32"/>
  <c r="Z39" i="32"/>
  <c r="Y39" i="32"/>
  <c r="X39" i="32"/>
  <c r="U39" i="32"/>
  <c r="T39" i="32"/>
  <c r="R39" i="32"/>
  <c r="O39" i="32"/>
  <c r="N39" i="32"/>
  <c r="L39" i="32"/>
  <c r="K39" i="32"/>
  <c r="BL38" i="32"/>
  <c r="BZ38" i="32" s="1"/>
  <c r="BK38" i="32"/>
  <c r="BY38" i="32" s="1"/>
  <c r="AY38" i="32"/>
  <c r="BW38" i="32" s="1"/>
  <c r="AP38" i="32"/>
  <c r="BT38" i="32" s="1"/>
  <c r="BS38" i="32"/>
  <c r="W38" i="32"/>
  <c r="AG38" i="32" s="1"/>
  <c r="V38" i="32"/>
  <c r="AF38" i="32" s="1"/>
  <c r="S38" i="32"/>
  <c r="M38" i="32"/>
  <c r="J38" i="32"/>
  <c r="Q38" i="32" s="1"/>
  <c r="BL37" i="32"/>
  <c r="BZ37" i="32" s="1"/>
  <c r="BK37" i="32"/>
  <c r="AY37" i="32"/>
  <c r="BW37" i="32" s="1"/>
  <c r="AP37" i="32"/>
  <c r="BT37" i="32" s="1"/>
  <c r="BS37" i="32"/>
  <c r="W37" i="32"/>
  <c r="AG37" i="32" s="1"/>
  <c r="BQ37" i="32" s="1"/>
  <c r="V37" i="32"/>
  <c r="AF37" i="32" s="1"/>
  <c r="BP37" i="32" s="1"/>
  <c r="S37" i="32"/>
  <c r="M37" i="32"/>
  <c r="J37" i="32"/>
  <c r="BL36" i="32"/>
  <c r="BK36" i="32"/>
  <c r="AY36" i="32"/>
  <c r="AP36" i="32"/>
  <c r="BT36" i="32" s="1"/>
  <c r="W36" i="32"/>
  <c r="V36" i="32"/>
  <c r="S36" i="32"/>
  <c r="M36" i="32"/>
  <c r="J36" i="32"/>
  <c r="BJ35" i="32"/>
  <c r="BI35" i="32"/>
  <c r="BH35" i="32"/>
  <c r="BG35" i="32"/>
  <c r="BF35" i="32"/>
  <c r="BE35" i="32"/>
  <c r="BD35" i="32"/>
  <c r="BC35" i="32"/>
  <c r="BB35" i="32"/>
  <c r="BA35" i="32"/>
  <c r="AX35" i="32"/>
  <c r="AW35" i="32"/>
  <c r="AN35" i="32"/>
  <c r="AM35" i="32"/>
  <c r="AL35" i="32"/>
  <c r="AJ35" i="32"/>
  <c r="AI35" i="32"/>
  <c r="AE35" i="32"/>
  <c r="AD35" i="32"/>
  <c r="AC35" i="32"/>
  <c r="AB35" i="32"/>
  <c r="AA35" i="32"/>
  <c r="Z35" i="32"/>
  <c r="Y35" i="32"/>
  <c r="X35" i="32"/>
  <c r="U35" i="32"/>
  <c r="T35" i="32"/>
  <c r="R35" i="32"/>
  <c r="O35" i="32"/>
  <c r="N35" i="32"/>
  <c r="L35" i="32"/>
  <c r="K35" i="32"/>
  <c r="BL34" i="32"/>
  <c r="BZ34" i="32" s="1"/>
  <c r="BK34" i="32"/>
  <c r="BY34" i="32" s="1"/>
  <c r="AY34" i="32"/>
  <c r="BW34" i="32" s="1"/>
  <c r="AP34" i="32"/>
  <c r="BS34" i="32"/>
  <c r="W34" i="32"/>
  <c r="AG34" i="32" s="1"/>
  <c r="V34" i="32"/>
  <c r="AF34" i="32" s="1"/>
  <c r="S34" i="32"/>
  <c r="M34" i="32"/>
  <c r="J34" i="32"/>
  <c r="BL33" i="32"/>
  <c r="BZ33" i="32" s="1"/>
  <c r="BK33" i="32"/>
  <c r="AY33" i="32"/>
  <c r="BW33" i="32" s="1"/>
  <c r="AP33" i="32"/>
  <c r="BT33" i="32" s="1"/>
  <c r="BS33" i="32"/>
  <c r="W33" i="32"/>
  <c r="AG33" i="32" s="1"/>
  <c r="V33" i="32"/>
  <c r="AF33" i="32" s="1"/>
  <c r="BP33" i="32" s="1"/>
  <c r="S33" i="32"/>
  <c r="M33" i="32"/>
  <c r="J33" i="32"/>
  <c r="Q33" i="32" s="1"/>
  <c r="BL32" i="32"/>
  <c r="BZ32" i="32" s="1"/>
  <c r="BK32" i="32"/>
  <c r="AY32" i="32"/>
  <c r="BW32" i="32" s="1"/>
  <c r="AP32" i="32"/>
  <c r="BT32" i="32" s="1"/>
  <c r="W32" i="32"/>
  <c r="V32" i="32"/>
  <c r="AF32" i="32" s="1"/>
  <c r="S32" i="32"/>
  <c r="M32" i="32"/>
  <c r="J32" i="32"/>
  <c r="Q32" i="32" s="1"/>
  <c r="BJ31" i="32"/>
  <c r="BI31" i="32"/>
  <c r="BH31" i="32"/>
  <c r="BG31" i="32"/>
  <c r="BF31" i="32"/>
  <c r="BE31" i="32"/>
  <c r="BD31" i="32"/>
  <c r="BC31" i="32"/>
  <c r="BB31" i="32"/>
  <c r="BA31" i="32"/>
  <c r="AX31" i="32"/>
  <c r="AW31" i="32"/>
  <c r="AN31" i="32"/>
  <c r="AM31" i="32"/>
  <c r="AL31" i="32"/>
  <c r="AJ31" i="32"/>
  <c r="AI31" i="32"/>
  <c r="AE31" i="32"/>
  <c r="AD31" i="32"/>
  <c r="AC31" i="32"/>
  <c r="AB31" i="32"/>
  <c r="AA31" i="32"/>
  <c r="Z31" i="32"/>
  <c r="Y31" i="32"/>
  <c r="X31" i="32"/>
  <c r="U31" i="32"/>
  <c r="T31" i="32"/>
  <c r="R31" i="32"/>
  <c r="O31" i="32"/>
  <c r="N31" i="32"/>
  <c r="L31" i="32"/>
  <c r="K31" i="32"/>
  <c r="BL30" i="32"/>
  <c r="BZ30" i="32" s="1"/>
  <c r="BK30" i="32"/>
  <c r="AY30" i="32"/>
  <c r="BW30" i="32" s="1"/>
  <c r="AP30" i="32"/>
  <c r="BS30" i="32"/>
  <c r="W30" i="32"/>
  <c r="AG30" i="32" s="1"/>
  <c r="V30" i="32"/>
  <c r="AF30" i="32" s="1"/>
  <c r="S30" i="32"/>
  <c r="M30" i="32"/>
  <c r="J30" i="32"/>
  <c r="P30" i="32" s="1"/>
  <c r="BL29" i="32"/>
  <c r="BZ29" i="32" s="1"/>
  <c r="BK29" i="32"/>
  <c r="AY29" i="32"/>
  <c r="BW29" i="32" s="1"/>
  <c r="AP29" i="32"/>
  <c r="BT29" i="32" s="1"/>
  <c r="BS29" i="32"/>
  <c r="W29" i="32"/>
  <c r="AG29" i="32" s="1"/>
  <c r="V29" i="32"/>
  <c r="AF29" i="32" s="1"/>
  <c r="S29" i="32"/>
  <c r="M29" i="32"/>
  <c r="J29" i="32"/>
  <c r="BL28" i="32"/>
  <c r="BK28" i="32"/>
  <c r="AY28" i="32"/>
  <c r="AP28" i="32"/>
  <c r="BS28" i="32"/>
  <c r="W28" i="32"/>
  <c r="AG28" i="32" s="1"/>
  <c r="V28" i="32"/>
  <c r="AF28" i="32" s="1"/>
  <c r="S28" i="32"/>
  <c r="M28" i="32"/>
  <c r="J28" i="32"/>
  <c r="Q28" i="32" s="1"/>
  <c r="BJ27" i="32"/>
  <c r="BI27" i="32"/>
  <c r="BH27" i="32"/>
  <c r="BG27" i="32"/>
  <c r="BF27" i="32"/>
  <c r="BE27" i="32"/>
  <c r="BD27" i="32"/>
  <c r="BC27" i="32"/>
  <c r="BB27" i="32"/>
  <c r="BA27" i="32"/>
  <c r="AX27" i="32"/>
  <c r="AW27" i="32"/>
  <c r="AN27" i="32"/>
  <c r="AM27" i="32"/>
  <c r="AL27" i="32"/>
  <c r="AJ27" i="32"/>
  <c r="AI27" i="32"/>
  <c r="AE27" i="32"/>
  <c r="AD27" i="32"/>
  <c r="AC27" i="32"/>
  <c r="AB27" i="32"/>
  <c r="AA27" i="32"/>
  <c r="Z27" i="32"/>
  <c r="Y27" i="32"/>
  <c r="X27" i="32"/>
  <c r="U27" i="32"/>
  <c r="T27" i="32"/>
  <c r="R27" i="32"/>
  <c r="O27" i="32"/>
  <c r="N27" i="32"/>
  <c r="L27" i="32"/>
  <c r="K27" i="32"/>
  <c r="BL26" i="32"/>
  <c r="BZ26" i="32" s="1"/>
  <c r="BK26" i="32"/>
  <c r="BY26" i="32" s="1"/>
  <c r="AY26" i="32"/>
  <c r="BW26" i="32" s="1"/>
  <c r="AP26" i="32"/>
  <c r="BT26" i="32" s="1"/>
  <c r="W26" i="32"/>
  <c r="AG26" i="32" s="1"/>
  <c r="V26" i="32"/>
  <c r="AF26" i="32" s="1"/>
  <c r="S26" i="32"/>
  <c r="M26" i="32"/>
  <c r="J26" i="32"/>
  <c r="BL25" i="32"/>
  <c r="BZ25" i="32" s="1"/>
  <c r="BK25" i="32"/>
  <c r="AY25" i="32"/>
  <c r="BW25" i="32" s="1"/>
  <c r="AP25" i="32"/>
  <c r="BS25" i="32"/>
  <c r="W25" i="32"/>
  <c r="AG25" i="32" s="1"/>
  <c r="V25" i="32"/>
  <c r="AF25" i="32" s="1"/>
  <c r="S25" i="32"/>
  <c r="M25" i="32"/>
  <c r="J25" i="32"/>
  <c r="P25" i="32" s="1"/>
  <c r="BL24" i="32"/>
  <c r="BZ24" i="32" s="1"/>
  <c r="BK24" i="32"/>
  <c r="BY24" i="32" s="1"/>
  <c r="AY24" i="32"/>
  <c r="BW24" i="32" s="1"/>
  <c r="AP24" i="32"/>
  <c r="BS24" i="32"/>
  <c r="W24" i="32"/>
  <c r="AG24" i="32" s="1"/>
  <c r="V24" i="32"/>
  <c r="AF24" i="32" s="1"/>
  <c r="S24" i="32"/>
  <c r="M24" i="32"/>
  <c r="J24" i="32"/>
  <c r="Q24" i="32" s="1"/>
  <c r="BL23" i="32"/>
  <c r="BK23" i="32"/>
  <c r="BY23" i="32" s="1"/>
  <c r="AY23" i="32"/>
  <c r="BW23" i="32" s="1"/>
  <c r="AP23" i="32"/>
  <c r="W23" i="32"/>
  <c r="AG23" i="32" s="1"/>
  <c r="V23" i="32"/>
  <c r="AF23" i="32" s="1"/>
  <c r="S23" i="32"/>
  <c r="M23" i="32"/>
  <c r="J23" i="32"/>
  <c r="P23" i="32" s="1"/>
  <c r="BJ22" i="32"/>
  <c r="BI22" i="32"/>
  <c r="BH22" i="32"/>
  <c r="BG22" i="32"/>
  <c r="BF22" i="32"/>
  <c r="BE22" i="32"/>
  <c r="BD22" i="32"/>
  <c r="BC22" i="32"/>
  <c r="BB22" i="32"/>
  <c r="BA22" i="32"/>
  <c r="AX22" i="32"/>
  <c r="AW22" i="32"/>
  <c r="AN22" i="32"/>
  <c r="AM22" i="32"/>
  <c r="AL22" i="32"/>
  <c r="AJ22" i="32"/>
  <c r="AI22" i="32"/>
  <c r="AE22" i="32"/>
  <c r="AD22" i="32"/>
  <c r="AC22" i="32"/>
  <c r="AB22" i="32"/>
  <c r="AA22" i="32"/>
  <c r="Z22" i="32"/>
  <c r="Y22" i="32"/>
  <c r="X22" i="32"/>
  <c r="U22" i="32"/>
  <c r="T22" i="32"/>
  <c r="R22" i="32"/>
  <c r="O22" i="32"/>
  <c r="N22" i="32"/>
  <c r="L22" i="32"/>
  <c r="K22" i="32"/>
  <c r="BL21" i="32"/>
  <c r="BZ21" i="32" s="1"/>
  <c r="BK21" i="32"/>
  <c r="BY21" i="32" s="1"/>
  <c r="AY21" i="32"/>
  <c r="BW21" i="32" s="1"/>
  <c r="AP21" i="32"/>
  <c r="BT21" i="32" s="1"/>
  <c r="W21" i="32"/>
  <c r="AG21" i="32" s="1"/>
  <c r="V21" i="32"/>
  <c r="AF21" i="32" s="1"/>
  <c r="S21" i="32"/>
  <c r="M21" i="32"/>
  <c r="J21" i="32"/>
  <c r="P21" i="32" s="1"/>
  <c r="BL20" i="32"/>
  <c r="BZ20" i="32" s="1"/>
  <c r="BK20" i="32"/>
  <c r="BY20" i="32" s="1"/>
  <c r="AY20" i="32"/>
  <c r="BW20" i="32" s="1"/>
  <c r="AP20" i="32"/>
  <c r="BT20" i="32" s="1"/>
  <c r="W20" i="32"/>
  <c r="AG20" i="32" s="1"/>
  <c r="V20" i="32"/>
  <c r="AF20" i="32" s="1"/>
  <c r="S20" i="32"/>
  <c r="M20" i="32"/>
  <c r="J20" i="32"/>
  <c r="Q20" i="32" s="1"/>
  <c r="BL19" i="32"/>
  <c r="BZ19" i="32" s="1"/>
  <c r="BK19" i="32"/>
  <c r="BY19" i="32" s="1"/>
  <c r="AY19" i="32"/>
  <c r="BW19" i="32" s="1"/>
  <c r="AP19" i="32"/>
  <c r="BT19" i="32" s="1"/>
  <c r="BS19" i="32"/>
  <c r="W19" i="32"/>
  <c r="AG19" i="32" s="1"/>
  <c r="BQ19" i="32" s="1"/>
  <c r="V19" i="32"/>
  <c r="AF19" i="32" s="1"/>
  <c r="S19" i="32"/>
  <c r="M19" i="32"/>
  <c r="J19" i="32"/>
  <c r="Q19" i="32" s="1"/>
  <c r="BL18" i="32"/>
  <c r="BZ18" i="32" s="1"/>
  <c r="BK18" i="32"/>
  <c r="BY18" i="32" s="1"/>
  <c r="AY18" i="32"/>
  <c r="BW18" i="32" s="1"/>
  <c r="AP18" i="32"/>
  <c r="W18" i="32"/>
  <c r="AG18" i="32" s="1"/>
  <c r="V18" i="32"/>
  <c r="S18" i="32"/>
  <c r="M18" i="32"/>
  <c r="J18" i="32"/>
  <c r="Q18" i="32" s="1"/>
  <c r="BJ17" i="32"/>
  <c r="BI17" i="32"/>
  <c r="BH17" i="32"/>
  <c r="BG17" i="32"/>
  <c r="BF17" i="32"/>
  <c r="BE17" i="32"/>
  <c r="BD17" i="32"/>
  <c r="BC17" i="32"/>
  <c r="BB17" i="32"/>
  <c r="BA17" i="32"/>
  <c r="AX17" i="32"/>
  <c r="AW17" i="32"/>
  <c r="AN17" i="32"/>
  <c r="AM17" i="32"/>
  <c r="AL17" i="32"/>
  <c r="AJ17" i="32"/>
  <c r="AI17" i="32"/>
  <c r="AE17" i="32"/>
  <c r="AD17" i="32"/>
  <c r="AC17" i="32"/>
  <c r="AB17" i="32"/>
  <c r="AA17" i="32"/>
  <c r="Z17" i="32"/>
  <c r="Y17" i="32"/>
  <c r="X17" i="32"/>
  <c r="U17" i="32"/>
  <c r="T17" i="32"/>
  <c r="R17" i="32"/>
  <c r="O17" i="32"/>
  <c r="N17" i="32"/>
  <c r="L17" i="32"/>
  <c r="K17" i="32"/>
  <c r="BL16" i="32"/>
  <c r="BZ16" i="32" s="1"/>
  <c r="BK16" i="32"/>
  <c r="AY16" i="32"/>
  <c r="AP16" i="32"/>
  <c r="W16" i="32"/>
  <c r="V16" i="32"/>
  <c r="S16" i="32"/>
  <c r="M16" i="32"/>
  <c r="J16" i="32"/>
  <c r="BL15" i="32"/>
  <c r="BZ15" i="32" s="1"/>
  <c r="BK15" i="32"/>
  <c r="BY15" i="32" s="1"/>
  <c r="AY15" i="32"/>
  <c r="BW15" i="32" s="1"/>
  <c r="AP15" i="32"/>
  <c r="BT15" i="32" s="1"/>
  <c r="BS15" i="32"/>
  <c r="W15" i="32"/>
  <c r="V15" i="32"/>
  <c r="AF15" i="32" s="1"/>
  <c r="S15" i="32"/>
  <c r="M15" i="32"/>
  <c r="J15" i="32"/>
  <c r="Q15" i="32" s="1"/>
  <c r="BL14" i="32"/>
  <c r="BK14" i="32"/>
  <c r="AY14" i="32"/>
  <c r="BW14" i="32" s="1"/>
  <c r="AP14" i="32"/>
  <c r="W14" i="32"/>
  <c r="AG14" i="32" s="1"/>
  <c r="V14" i="32"/>
  <c r="AF14" i="32" s="1"/>
  <c r="S14" i="32"/>
  <c r="M14" i="32"/>
  <c r="J14" i="32"/>
  <c r="Q14" i="32" s="1"/>
  <c r="BJ13" i="32"/>
  <c r="BI13" i="32"/>
  <c r="BH13" i="32"/>
  <c r="BG13" i="32"/>
  <c r="BF13" i="32"/>
  <c r="BE13" i="32"/>
  <c r="BD13" i="32"/>
  <c r="BC13" i="32"/>
  <c r="BB13" i="32"/>
  <c r="BA13" i="32"/>
  <c r="AX13" i="32"/>
  <c r="AW13" i="32"/>
  <c r="AN13" i="32"/>
  <c r="AM13" i="32"/>
  <c r="AL13" i="32"/>
  <c r="AJ13" i="32"/>
  <c r="AI13" i="32"/>
  <c r="AE13" i="32"/>
  <c r="AD13" i="32"/>
  <c r="AC13" i="32"/>
  <c r="AB13" i="32"/>
  <c r="AA13" i="32"/>
  <c r="Z13" i="32"/>
  <c r="Y13" i="32"/>
  <c r="X13" i="32"/>
  <c r="U13" i="32"/>
  <c r="T13" i="32"/>
  <c r="R13" i="32"/>
  <c r="O13" i="32"/>
  <c r="N13" i="32"/>
  <c r="L13" i="32"/>
  <c r="K13" i="32"/>
  <c r="BL12" i="32"/>
  <c r="BK12" i="32"/>
  <c r="AY12" i="32"/>
  <c r="AP12" i="32"/>
  <c r="W12" i="32"/>
  <c r="V12" i="32"/>
  <c r="S12" i="32"/>
  <c r="M12" i="32"/>
  <c r="J12" i="32"/>
  <c r="BJ87" i="31"/>
  <c r="BI87" i="31"/>
  <c r="BH87" i="31"/>
  <c r="BG87" i="31"/>
  <c r="BF87" i="31"/>
  <c r="BE87" i="31"/>
  <c r="BD87" i="31"/>
  <c r="BC87" i="31"/>
  <c r="BB87" i="31"/>
  <c r="BA87" i="31"/>
  <c r="AX87" i="31"/>
  <c r="AW87" i="31"/>
  <c r="AN87" i="31"/>
  <c r="AM87" i="31"/>
  <c r="AL87" i="31"/>
  <c r="AJ87" i="31"/>
  <c r="AI87" i="31"/>
  <c r="AE87" i="31"/>
  <c r="AD87" i="31"/>
  <c r="AC87" i="31"/>
  <c r="AB87" i="31"/>
  <c r="AA87" i="31"/>
  <c r="Z87" i="31"/>
  <c r="Y87" i="31"/>
  <c r="X87" i="31"/>
  <c r="U87" i="31"/>
  <c r="T87" i="31"/>
  <c r="R87" i="31"/>
  <c r="O87" i="31"/>
  <c r="N87" i="31"/>
  <c r="L87" i="31"/>
  <c r="K87" i="31"/>
  <c r="BJ86" i="31"/>
  <c r="BI86" i="31"/>
  <c r="BH86" i="31"/>
  <c r="BG86" i="31"/>
  <c r="BF86" i="31"/>
  <c r="BE86" i="31"/>
  <c r="BD86" i="31"/>
  <c r="BC86" i="31"/>
  <c r="BB86" i="31"/>
  <c r="BA86" i="31"/>
  <c r="AX86" i="31"/>
  <c r="AW86" i="31"/>
  <c r="AN86" i="31"/>
  <c r="AM86" i="31"/>
  <c r="AL86" i="31"/>
  <c r="AJ86" i="31"/>
  <c r="AI86" i="31"/>
  <c r="AE86" i="31"/>
  <c r="AD86" i="31"/>
  <c r="AC86" i="31"/>
  <c r="AB86" i="31"/>
  <c r="AA86" i="31"/>
  <c r="Z86" i="31"/>
  <c r="Y86" i="31"/>
  <c r="X86" i="31"/>
  <c r="U86" i="31"/>
  <c r="T86" i="31"/>
  <c r="R86" i="31"/>
  <c r="O86" i="31"/>
  <c r="N86" i="31"/>
  <c r="L86" i="31"/>
  <c r="K86" i="31"/>
  <c r="BJ85" i="31"/>
  <c r="BI85" i="31"/>
  <c r="BH85" i="31"/>
  <c r="BG85" i="31"/>
  <c r="BF85" i="31"/>
  <c r="BE85" i="31"/>
  <c r="BD85" i="31"/>
  <c r="BC85" i="31"/>
  <c r="BB85" i="31"/>
  <c r="BA85" i="31"/>
  <c r="AX85" i="31"/>
  <c r="AW85" i="31"/>
  <c r="AN85" i="31"/>
  <c r="AM85" i="31"/>
  <c r="AL85" i="31"/>
  <c r="AJ85" i="31"/>
  <c r="AI85" i="31"/>
  <c r="AE85" i="31"/>
  <c r="AD85" i="31"/>
  <c r="AC85" i="31"/>
  <c r="AB85" i="31"/>
  <c r="AA85" i="31"/>
  <c r="Z85" i="31"/>
  <c r="Y85" i="31"/>
  <c r="X85" i="31"/>
  <c r="U85" i="31"/>
  <c r="T85" i="31"/>
  <c r="R85" i="31"/>
  <c r="O85" i="31"/>
  <c r="N85" i="31"/>
  <c r="L85" i="31"/>
  <c r="K85" i="31"/>
  <c r="BJ84" i="31"/>
  <c r="BI84" i="31"/>
  <c r="BH84" i="31"/>
  <c r="BG84" i="31"/>
  <c r="BF84" i="31"/>
  <c r="BE84" i="31"/>
  <c r="BD84" i="31"/>
  <c r="BC84" i="31"/>
  <c r="BB84" i="31"/>
  <c r="BA84" i="31"/>
  <c r="AX84" i="31"/>
  <c r="AW84" i="31"/>
  <c r="AN84" i="31"/>
  <c r="AM84" i="31"/>
  <c r="AL84" i="31"/>
  <c r="AJ84" i="31"/>
  <c r="AI84" i="31"/>
  <c r="AE84" i="31"/>
  <c r="AD84" i="31"/>
  <c r="AC84" i="31"/>
  <c r="AB84" i="31"/>
  <c r="AA84" i="31"/>
  <c r="Z84" i="31"/>
  <c r="Y84" i="31"/>
  <c r="X84" i="31"/>
  <c r="U84" i="31"/>
  <c r="T84" i="31"/>
  <c r="R84" i="31"/>
  <c r="O84" i="31"/>
  <c r="N84" i="31"/>
  <c r="L84" i="31"/>
  <c r="K84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BJ81" i="31"/>
  <c r="BI81" i="31"/>
  <c r="BH81" i="31"/>
  <c r="BG81" i="31"/>
  <c r="BF81" i="31"/>
  <c r="BE81" i="31"/>
  <c r="BD81" i="31"/>
  <c r="BC81" i="31"/>
  <c r="BB81" i="31"/>
  <c r="BA81" i="31"/>
  <c r="AX81" i="31"/>
  <c r="AW81" i="31"/>
  <c r="AN81" i="31"/>
  <c r="AM81" i="31"/>
  <c r="AL81" i="31"/>
  <c r="AJ81" i="31"/>
  <c r="AI81" i="31"/>
  <c r="AE81" i="31"/>
  <c r="AD81" i="31"/>
  <c r="AC81" i="31"/>
  <c r="AB81" i="31"/>
  <c r="AA81" i="31"/>
  <c r="Z81" i="31"/>
  <c r="Y81" i="31"/>
  <c r="X81" i="31"/>
  <c r="U81" i="31"/>
  <c r="T81" i="31"/>
  <c r="R81" i="31"/>
  <c r="O81" i="31"/>
  <c r="N81" i="31"/>
  <c r="L81" i="31"/>
  <c r="K81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BJ79" i="31"/>
  <c r="BI79" i="31"/>
  <c r="BH79" i="31"/>
  <c r="BG79" i="31"/>
  <c r="BF79" i="31"/>
  <c r="BE79" i="31"/>
  <c r="BD79" i="31"/>
  <c r="BB79" i="31"/>
  <c r="BA79" i="31"/>
  <c r="AX79" i="31"/>
  <c r="AW79" i="31"/>
  <c r="AN79" i="31"/>
  <c r="AM79" i="31"/>
  <c r="AL79" i="31"/>
  <c r="AJ79" i="31"/>
  <c r="AI79" i="31"/>
  <c r="AE79" i="31"/>
  <c r="AD79" i="31"/>
  <c r="AC79" i="31"/>
  <c r="AB79" i="31"/>
  <c r="AA79" i="31"/>
  <c r="Z79" i="31"/>
  <c r="Y79" i="31"/>
  <c r="U79" i="31"/>
  <c r="T79" i="31"/>
  <c r="R79" i="31"/>
  <c r="O79" i="31"/>
  <c r="N79" i="31"/>
  <c r="L79" i="31"/>
  <c r="K79" i="31"/>
  <c r="BJ78" i="31"/>
  <c r="BI78" i="31"/>
  <c r="BH78" i="31"/>
  <c r="BG78" i="31"/>
  <c r="BF78" i="31"/>
  <c r="BE78" i="31"/>
  <c r="BD78" i="31"/>
  <c r="BC78" i="31"/>
  <c r="BB78" i="31"/>
  <c r="BA78" i="31"/>
  <c r="AX78" i="31"/>
  <c r="AW78" i="31"/>
  <c r="AN78" i="31"/>
  <c r="AM78" i="31"/>
  <c r="AL78" i="31"/>
  <c r="AJ78" i="31"/>
  <c r="AI78" i="31"/>
  <c r="AE78" i="31"/>
  <c r="AD78" i="31"/>
  <c r="AC78" i="31"/>
  <c r="AB78" i="31"/>
  <c r="AA78" i="31"/>
  <c r="Z78" i="31"/>
  <c r="Y78" i="31"/>
  <c r="X78" i="31"/>
  <c r="U78" i="31"/>
  <c r="T78" i="31"/>
  <c r="R78" i="31"/>
  <c r="O78" i="31"/>
  <c r="N78" i="31"/>
  <c r="L78" i="31"/>
  <c r="K78" i="31"/>
  <c r="BJ73" i="31"/>
  <c r="BI73" i="31"/>
  <c r="BH73" i="31"/>
  <c r="BG73" i="31"/>
  <c r="BF73" i="31"/>
  <c r="BE73" i="31"/>
  <c r="BD73" i="31"/>
  <c r="BC73" i="31"/>
  <c r="BB73" i="31"/>
  <c r="BA73" i="31"/>
  <c r="AX73" i="31"/>
  <c r="AW73" i="31"/>
  <c r="AN73" i="31"/>
  <c r="AM73" i="31"/>
  <c r="AL73" i="31"/>
  <c r="AJ73" i="31"/>
  <c r="AI73" i="31"/>
  <c r="AE73" i="31"/>
  <c r="AD73" i="31"/>
  <c r="AC73" i="31"/>
  <c r="AB73" i="31"/>
  <c r="AA73" i="31"/>
  <c r="Z73" i="31"/>
  <c r="Y73" i="31"/>
  <c r="X73" i="31"/>
  <c r="U73" i="31"/>
  <c r="T73" i="31"/>
  <c r="R73" i="31"/>
  <c r="O73" i="31"/>
  <c r="N73" i="31"/>
  <c r="L73" i="31"/>
  <c r="K73" i="31"/>
  <c r="BL72" i="31"/>
  <c r="BZ72" i="31" s="1"/>
  <c r="BK72" i="31"/>
  <c r="AY72" i="31"/>
  <c r="BW72" i="31" s="1"/>
  <c r="AP72" i="31"/>
  <c r="BT72" i="31" s="1"/>
  <c r="W72" i="31"/>
  <c r="AG72" i="31" s="1"/>
  <c r="BQ72" i="31" s="1"/>
  <c r="V72" i="31"/>
  <c r="AF72" i="31" s="1"/>
  <c r="S72" i="31"/>
  <c r="M72" i="31"/>
  <c r="J72" i="31"/>
  <c r="Q72" i="31" s="1"/>
  <c r="BL71" i="31"/>
  <c r="BZ71" i="31" s="1"/>
  <c r="BK71" i="31"/>
  <c r="BY71" i="31" s="1"/>
  <c r="AY71" i="31"/>
  <c r="BW71" i="31" s="1"/>
  <c r="AP71" i="31"/>
  <c r="BT71" i="31" s="1"/>
  <c r="W71" i="31"/>
  <c r="AG71" i="31" s="1"/>
  <c r="V71" i="31"/>
  <c r="AF71" i="31" s="1"/>
  <c r="S71" i="31"/>
  <c r="M71" i="31"/>
  <c r="J71" i="31"/>
  <c r="BL70" i="31"/>
  <c r="BZ70" i="31" s="1"/>
  <c r="BK70" i="31"/>
  <c r="BY70" i="31" s="1"/>
  <c r="AY70" i="31"/>
  <c r="BW70" i="31" s="1"/>
  <c r="AP70" i="31"/>
  <c r="BT70" i="31" s="1"/>
  <c r="W70" i="31"/>
  <c r="AG70" i="31" s="1"/>
  <c r="V70" i="31"/>
  <c r="AF70" i="31" s="1"/>
  <c r="S70" i="31"/>
  <c r="M70" i="31"/>
  <c r="J70" i="31"/>
  <c r="BL69" i="31"/>
  <c r="BZ69" i="31" s="1"/>
  <c r="BK69" i="31"/>
  <c r="AY69" i="31"/>
  <c r="BW69" i="31" s="1"/>
  <c r="AP69" i="31"/>
  <c r="BT69" i="31" s="1"/>
  <c r="BS69" i="31"/>
  <c r="W69" i="31"/>
  <c r="AG69" i="31" s="1"/>
  <c r="BQ69" i="31" s="1"/>
  <c r="V69" i="31"/>
  <c r="AF69" i="31" s="1"/>
  <c r="S69" i="31"/>
  <c r="M69" i="31"/>
  <c r="J69" i="31"/>
  <c r="BL68" i="31"/>
  <c r="BK68" i="31"/>
  <c r="AY68" i="31"/>
  <c r="BW68" i="31" s="1"/>
  <c r="AP68" i="31"/>
  <c r="W68" i="31"/>
  <c r="AG68" i="31" s="1"/>
  <c r="V68" i="31"/>
  <c r="AF68" i="31" s="1"/>
  <c r="BP68" i="31" s="1"/>
  <c r="S68" i="31"/>
  <c r="M68" i="31"/>
  <c r="J68" i="31"/>
  <c r="BJ67" i="31"/>
  <c r="BI67" i="31"/>
  <c r="BH67" i="31"/>
  <c r="BG67" i="31"/>
  <c r="BF67" i="31"/>
  <c r="BE67" i="31"/>
  <c r="BD67" i="31"/>
  <c r="BC67" i="31"/>
  <c r="BB67" i="31"/>
  <c r="BA67" i="31"/>
  <c r="AX67" i="31"/>
  <c r="AW67" i="31"/>
  <c r="AN67" i="31"/>
  <c r="AM67" i="31"/>
  <c r="AL67" i="31"/>
  <c r="AJ67" i="31"/>
  <c r="AI67" i="31"/>
  <c r="AE67" i="31"/>
  <c r="AD67" i="31"/>
  <c r="AC67" i="31"/>
  <c r="AB67" i="31"/>
  <c r="AA67" i="31"/>
  <c r="Z67" i="31"/>
  <c r="Y67" i="31"/>
  <c r="X67" i="31"/>
  <c r="U67" i="31"/>
  <c r="T67" i="31"/>
  <c r="R67" i="31"/>
  <c r="O67" i="31"/>
  <c r="N67" i="31"/>
  <c r="L67" i="31"/>
  <c r="K67" i="31"/>
  <c r="BL66" i="31"/>
  <c r="BK66" i="31"/>
  <c r="BY66" i="31" s="1"/>
  <c r="AY66" i="31"/>
  <c r="AP66" i="31"/>
  <c r="BT66" i="31" s="1"/>
  <c r="W66" i="31"/>
  <c r="AG66" i="31" s="1"/>
  <c r="V66" i="31"/>
  <c r="AF66" i="31" s="1"/>
  <c r="BP66" i="31" s="1"/>
  <c r="S66" i="31"/>
  <c r="M66" i="31"/>
  <c r="J66" i="31"/>
  <c r="BL65" i="31"/>
  <c r="BZ65" i="31" s="1"/>
  <c r="BK65" i="31"/>
  <c r="AY65" i="31"/>
  <c r="BW65" i="31" s="1"/>
  <c r="AP65" i="31"/>
  <c r="BT65" i="31" s="1"/>
  <c r="BS65" i="31"/>
  <c r="W65" i="31"/>
  <c r="V65" i="31"/>
  <c r="S65" i="31"/>
  <c r="M65" i="31"/>
  <c r="J65" i="31"/>
  <c r="BJ64" i="31"/>
  <c r="BI64" i="31"/>
  <c r="BH64" i="31"/>
  <c r="BG64" i="31"/>
  <c r="BF64" i="31"/>
  <c r="BE64" i="31"/>
  <c r="BD64" i="31"/>
  <c r="BC64" i="31"/>
  <c r="BB64" i="31"/>
  <c r="BA64" i="31"/>
  <c r="AX64" i="31"/>
  <c r="AW64" i="31"/>
  <c r="AN64" i="31"/>
  <c r="AM64" i="31"/>
  <c r="AL64" i="31"/>
  <c r="AJ64" i="31"/>
  <c r="AI64" i="31"/>
  <c r="AE64" i="31"/>
  <c r="AD64" i="31"/>
  <c r="AC64" i="31"/>
  <c r="AB64" i="31"/>
  <c r="AA64" i="31"/>
  <c r="Z64" i="31"/>
  <c r="Y64" i="31"/>
  <c r="X64" i="31"/>
  <c r="U64" i="31"/>
  <c r="T64" i="31"/>
  <c r="R64" i="31"/>
  <c r="O64" i="31"/>
  <c r="N64" i="31"/>
  <c r="L64" i="31"/>
  <c r="K64" i="31"/>
  <c r="BL63" i="31"/>
  <c r="BZ63" i="31" s="1"/>
  <c r="BK63" i="31"/>
  <c r="BY63" i="31" s="1"/>
  <c r="AY63" i="31"/>
  <c r="BW63" i="31" s="1"/>
  <c r="AP63" i="31"/>
  <c r="BT63" i="31" s="1"/>
  <c r="W63" i="31"/>
  <c r="AG63" i="31" s="1"/>
  <c r="V63" i="31"/>
  <c r="AF63" i="31" s="1"/>
  <c r="S63" i="31"/>
  <c r="M63" i="31"/>
  <c r="J63" i="31"/>
  <c r="BL62" i="31"/>
  <c r="BZ62" i="31" s="1"/>
  <c r="BK62" i="31"/>
  <c r="AY62" i="31"/>
  <c r="BW62" i="31" s="1"/>
  <c r="AP62" i="31"/>
  <c r="BT62" i="31" s="1"/>
  <c r="BS62" i="31"/>
  <c r="W62" i="31"/>
  <c r="AG62" i="31" s="1"/>
  <c r="V62" i="31"/>
  <c r="AF62" i="31" s="1"/>
  <c r="S62" i="31"/>
  <c r="M62" i="31"/>
  <c r="J62" i="31"/>
  <c r="BL61" i="31"/>
  <c r="BZ61" i="31" s="1"/>
  <c r="BK61" i="31"/>
  <c r="AY61" i="31"/>
  <c r="BW61" i="31" s="1"/>
  <c r="AP61" i="31"/>
  <c r="BT61" i="31" s="1"/>
  <c r="BS61" i="31"/>
  <c r="W61" i="31"/>
  <c r="AG61" i="31" s="1"/>
  <c r="V61" i="31"/>
  <c r="AF61" i="31" s="1"/>
  <c r="BP61" i="31" s="1"/>
  <c r="S61" i="31"/>
  <c r="M61" i="31"/>
  <c r="J61" i="31"/>
  <c r="P61" i="31" s="1"/>
  <c r="BL60" i="31"/>
  <c r="BZ60" i="31" s="1"/>
  <c r="BK60" i="31"/>
  <c r="AY60" i="31"/>
  <c r="BW60" i="31" s="1"/>
  <c r="AP60" i="31"/>
  <c r="BT60" i="31" s="1"/>
  <c r="W60" i="31"/>
  <c r="AG60" i="31" s="1"/>
  <c r="V60" i="31"/>
  <c r="AF60" i="31" s="1"/>
  <c r="S60" i="31"/>
  <c r="M60" i="31"/>
  <c r="J60" i="31"/>
  <c r="P60" i="31" s="1"/>
  <c r="BL59" i="31"/>
  <c r="BZ59" i="31" s="1"/>
  <c r="BK59" i="31"/>
  <c r="AY59" i="31"/>
  <c r="BW59" i="31" s="1"/>
  <c r="AP59" i="31"/>
  <c r="BT59" i="31" s="1"/>
  <c r="W59" i="31"/>
  <c r="AG59" i="31" s="1"/>
  <c r="V59" i="31"/>
  <c r="AF59" i="31" s="1"/>
  <c r="S59" i="31"/>
  <c r="M59" i="31"/>
  <c r="J59" i="31"/>
  <c r="Q59" i="31" s="1"/>
  <c r="BL58" i="31"/>
  <c r="BZ58" i="31" s="1"/>
  <c r="BK58" i="31"/>
  <c r="AY58" i="31"/>
  <c r="AP58" i="31"/>
  <c r="BT58" i="31" s="1"/>
  <c r="W58" i="31"/>
  <c r="V58" i="31"/>
  <c r="S58" i="31"/>
  <c r="M58" i="31"/>
  <c r="J58" i="31"/>
  <c r="BJ57" i="31"/>
  <c r="BI57" i="31"/>
  <c r="BH57" i="31"/>
  <c r="BG57" i="31"/>
  <c r="BF57" i="31"/>
  <c r="BE57" i="31"/>
  <c r="BD57" i="31"/>
  <c r="BC57" i="31"/>
  <c r="BB57" i="31"/>
  <c r="BA57" i="31"/>
  <c r="AX57" i="31"/>
  <c r="AW57" i="31"/>
  <c r="AN57" i="31"/>
  <c r="AM57" i="31"/>
  <c r="AL57" i="31"/>
  <c r="AJ57" i="31"/>
  <c r="AI57" i="31"/>
  <c r="AE57" i="31"/>
  <c r="AD57" i="31"/>
  <c r="AC57" i="31"/>
  <c r="AB57" i="31"/>
  <c r="AA57" i="31"/>
  <c r="Z57" i="31"/>
  <c r="Y57" i="31"/>
  <c r="X57" i="31"/>
  <c r="U57" i="31"/>
  <c r="T57" i="31"/>
  <c r="R57" i="31"/>
  <c r="O57" i="31"/>
  <c r="N57" i="31"/>
  <c r="L57" i="31"/>
  <c r="K57" i="31"/>
  <c r="BL56" i="31"/>
  <c r="BZ56" i="31" s="1"/>
  <c r="BK56" i="31"/>
  <c r="AY56" i="31"/>
  <c r="BW56" i="31" s="1"/>
  <c r="AP56" i="31"/>
  <c r="BT56" i="31" s="1"/>
  <c r="W56" i="31"/>
  <c r="AG56" i="31" s="1"/>
  <c r="BQ56" i="31" s="1"/>
  <c r="V56" i="31"/>
  <c r="AF56" i="31" s="1"/>
  <c r="S56" i="31"/>
  <c r="M56" i="31"/>
  <c r="J56" i="31"/>
  <c r="P56" i="31" s="1"/>
  <c r="BL55" i="31"/>
  <c r="BZ55" i="31" s="1"/>
  <c r="BK55" i="31"/>
  <c r="BY55" i="31" s="1"/>
  <c r="AY55" i="31"/>
  <c r="BW55" i="31" s="1"/>
  <c r="AP55" i="31"/>
  <c r="BT55" i="31" s="1"/>
  <c r="BS55" i="31"/>
  <c r="W55" i="31"/>
  <c r="AG55" i="31" s="1"/>
  <c r="BQ55" i="31" s="1"/>
  <c r="V55" i="31"/>
  <c r="AF55" i="31" s="1"/>
  <c r="S55" i="31"/>
  <c r="M55" i="31"/>
  <c r="J55" i="31"/>
  <c r="BL54" i="31"/>
  <c r="BZ54" i="31" s="1"/>
  <c r="BK54" i="31"/>
  <c r="AY54" i="31"/>
  <c r="BW54" i="31" s="1"/>
  <c r="AP54" i="31"/>
  <c r="BT54" i="31" s="1"/>
  <c r="W54" i="31"/>
  <c r="AG54" i="31" s="1"/>
  <c r="V54" i="31"/>
  <c r="AF54" i="31" s="1"/>
  <c r="S54" i="31"/>
  <c r="M54" i="31"/>
  <c r="J54" i="31"/>
  <c r="BL53" i="31"/>
  <c r="BK53" i="31"/>
  <c r="AY53" i="31"/>
  <c r="AP53" i="31"/>
  <c r="W53" i="31"/>
  <c r="AG53" i="31" s="1"/>
  <c r="V53" i="31"/>
  <c r="S53" i="31"/>
  <c r="M53" i="31"/>
  <c r="J53" i="31"/>
  <c r="BJ52" i="31"/>
  <c r="BI52" i="31"/>
  <c r="BH52" i="31"/>
  <c r="BG52" i="31"/>
  <c r="BF52" i="31"/>
  <c r="BE52" i="31"/>
  <c r="BD52" i="31"/>
  <c r="BC52" i="31"/>
  <c r="BB52" i="31"/>
  <c r="BA52" i="31"/>
  <c r="AX52" i="31"/>
  <c r="AW52" i="31"/>
  <c r="AN52" i="31"/>
  <c r="AM52" i="31"/>
  <c r="AL52" i="31"/>
  <c r="AJ52" i="31"/>
  <c r="AI52" i="31"/>
  <c r="AE52" i="31"/>
  <c r="AD52" i="31"/>
  <c r="AC52" i="31"/>
  <c r="AB52" i="31"/>
  <c r="AA52" i="31"/>
  <c r="Z52" i="31"/>
  <c r="Y52" i="31"/>
  <c r="X52" i="31"/>
  <c r="U52" i="31"/>
  <c r="T52" i="31"/>
  <c r="R52" i="31"/>
  <c r="O52" i="31"/>
  <c r="N52" i="31"/>
  <c r="L52" i="31"/>
  <c r="K52" i="31"/>
  <c r="BL51" i="31"/>
  <c r="BZ51" i="31" s="1"/>
  <c r="BK51" i="31"/>
  <c r="AY51" i="31"/>
  <c r="BW51" i="31" s="1"/>
  <c r="AP51" i="31"/>
  <c r="BT51" i="31" s="1"/>
  <c r="BS51" i="31"/>
  <c r="W51" i="31"/>
  <c r="AG51" i="31" s="1"/>
  <c r="BQ51" i="31" s="1"/>
  <c r="V51" i="31"/>
  <c r="AF51" i="31" s="1"/>
  <c r="S51" i="31"/>
  <c r="M51" i="31"/>
  <c r="J51" i="31"/>
  <c r="P51" i="31" s="1"/>
  <c r="BL50" i="31"/>
  <c r="BZ50" i="31" s="1"/>
  <c r="BK50" i="31"/>
  <c r="BY50" i="31" s="1"/>
  <c r="AY50" i="31"/>
  <c r="BW50" i="31" s="1"/>
  <c r="AP50" i="31"/>
  <c r="BT50" i="31" s="1"/>
  <c r="W50" i="31"/>
  <c r="AG50" i="31" s="1"/>
  <c r="V50" i="31"/>
  <c r="AF50" i="31" s="1"/>
  <c r="S50" i="31"/>
  <c r="M50" i="31"/>
  <c r="J50" i="31"/>
  <c r="P50" i="31" s="1"/>
  <c r="BL49" i="31"/>
  <c r="BK49" i="31"/>
  <c r="BY49" i="31" s="1"/>
  <c r="AY49" i="31"/>
  <c r="BW49" i="31" s="1"/>
  <c r="AP49" i="31"/>
  <c r="W49" i="31"/>
  <c r="AG49" i="31" s="1"/>
  <c r="V49" i="31"/>
  <c r="AF49" i="31" s="1"/>
  <c r="BP49" i="31" s="1"/>
  <c r="S49" i="31"/>
  <c r="M49" i="31"/>
  <c r="J49" i="31"/>
  <c r="Q49" i="31" s="1"/>
  <c r="BJ48" i="31"/>
  <c r="BI48" i="31"/>
  <c r="BH48" i="31"/>
  <c r="BG48" i="31"/>
  <c r="BF48" i="31"/>
  <c r="BE48" i="31"/>
  <c r="BD48" i="31"/>
  <c r="BC48" i="31"/>
  <c r="BB48" i="31"/>
  <c r="BA48" i="31"/>
  <c r="AX48" i="31"/>
  <c r="AW48" i="31"/>
  <c r="AN48" i="31"/>
  <c r="AM48" i="31"/>
  <c r="AL48" i="31"/>
  <c r="AJ48" i="31"/>
  <c r="AI48" i="31"/>
  <c r="AE48" i="31"/>
  <c r="AD48" i="31"/>
  <c r="AC48" i="31"/>
  <c r="AB48" i="31"/>
  <c r="AA48" i="31"/>
  <c r="Z48" i="31"/>
  <c r="Y48" i="31"/>
  <c r="X48" i="31"/>
  <c r="U48" i="31"/>
  <c r="T48" i="31"/>
  <c r="R48" i="31"/>
  <c r="O48" i="31"/>
  <c r="N48" i="31"/>
  <c r="L48" i="31"/>
  <c r="K48" i="31"/>
  <c r="BL47" i="31"/>
  <c r="BZ47" i="31" s="1"/>
  <c r="BK47" i="31"/>
  <c r="BY47" i="31" s="1"/>
  <c r="AY47" i="31"/>
  <c r="BW47" i="31" s="1"/>
  <c r="AP47" i="31"/>
  <c r="BT47" i="31" s="1"/>
  <c r="BS47" i="31"/>
  <c r="W47" i="31"/>
  <c r="AG47" i="31" s="1"/>
  <c r="V47" i="31"/>
  <c r="AF47" i="31" s="1"/>
  <c r="S47" i="31"/>
  <c r="M47" i="31"/>
  <c r="J47" i="31"/>
  <c r="Q47" i="31" s="1"/>
  <c r="BL46" i="31"/>
  <c r="BZ46" i="31" s="1"/>
  <c r="BK46" i="31"/>
  <c r="AY46" i="31"/>
  <c r="AP46" i="31"/>
  <c r="BT46" i="31" s="1"/>
  <c r="BS46" i="31"/>
  <c r="W46" i="31"/>
  <c r="AG46" i="31" s="1"/>
  <c r="BQ46" i="31" s="1"/>
  <c r="V46" i="31"/>
  <c r="AF46" i="31" s="1"/>
  <c r="S46" i="31"/>
  <c r="M46" i="31"/>
  <c r="J46" i="31"/>
  <c r="P46" i="31" s="1"/>
  <c r="BL45" i="31"/>
  <c r="BK45" i="31"/>
  <c r="BY45" i="31" s="1"/>
  <c r="AY45" i="31"/>
  <c r="BW45" i="31" s="1"/>
  <c r="AP45" i="31"/>
  <c r="BT45" i="31" s="1"/>
  <c r="W45" i="31"/>
  <c r="AG45" i="31" s="1"/>
  <c r="BQ45" i="31" s="1"/>
  <c r="V45" i="31"/>
  <c r="AF45" i="31" s="1"/>
  <c r="S45" i="31"/>
  <c r="M45" i="31"/>
  <c r="J45" i="31"/>
  <c r="Q45" i="31" s="1"/>
  <c r="BL44" i="31"/>
  <c r="BZ44" i="31" s="1"/>
  <c r="BK44" i="31"/>
  <c r="AY44" i="31"/>
  <c r="BW44" i="31" s="1"/>
  <c r="AP44" i="31"/>
  <c r="BT44" i="31" s="1"/>
  <c r="W44" i="31"/>
  <c r="V44" i="31"/>
  <c r="S44" i="31"/>
  <c r="M44" i="31"/>
  <c r="J44" i="31"/>
  <c r="BJ43" i="31"/>
  <c r="BI43" i="31"/>
  <c r="BH43" i="31"/>
  <c r="BG43" i="31"/>
  <c r="BF43" i="31"/>
  <c r="BE43" i="31"/>
  <c r="BD43" i="31"/>
  <c r="BC43" i="31"/>
  <c r="BB43" i="31"/>
  <c r="BA43" i="31"/>
  <c r="AX43" i="31"/>
  <c r="AW43" i="31"/>
  <c r="AN43" i="31"/>
  <c r="AM43" i="31"/>
  <c r="AL43" i="31"/>
  <c r="AJ43" i="31"/>
  <c r="AI43" i="31"/>
  <c r="AE43" i="31"/>
  <c r="AD43" i="31"/>
  <c r="AC43" i="31"/>
  <c r="AB43" i="31"/>
  <c r="AA43" i="31"/>
  <c r="Z43" i="31"/>
  <c r="Y43" i="31"/>
  <c r="X43" i="31"/>
  <c r="U43" i="31"/>
  <c r="T43" i="31"/>
  <c r="R43" i="31"/>
  <c r="O43" i="31"/>
  <c r="N43" i="31"/>
  <c r="L43" i="31"/>
  <c r="K43" i="31"/>
  <c r="BL42" i="31"/>
  <c r="BZ42" i="31" s="1"/>
  <c r="BK42" i="31"/>
  <c r="BY42" i="31" s="1"/>
  <c r="AY42" i="31"/>
  <c r="BW42" i="31" s="1"/>
  <c r="AP42" i="31"/>
  <c r="BT42" i="31" s="1"/>
  <c r="BS42" i="31"/>
  <c r="W42" i="31"/>
  <c r="V42" i="31"/>
  <c r="AF42" i="31" s="1"/>
  <c r="S42" i="31"/>
  <c r="M42" i="31"/>
  <c r="J42" i="31"/>
  <c r="BL41" i="31"/>
  <c r="BZ41" i="31" s="1"/>
  <c r="BK41" i="31"/>
  <c r="AY41" i="31"/>
  <c r="BW41" i="31" s="1"/>
  <c r="AP41" i="31"/>
  <c r="BS41" i="31"/>
  <c r="W41" i="31"/>
  <c r="AG41" i="31" s="1"/>
  <c r="V41" i="31"/>
  <c r="S41" i="31"/>
  <c r="M41" i="31"/>
  <c r="J41" i="31"/>
  <c r="Q41" i="31" s="1"/>
  <c r="BJ40" i="31"/>
  <c r="BI40" i="31"/>
  <c r="BH40" i="31"/>
  <c r="BG40" i="31"/>
  <c r="BF40" i="31"/>
  <c r="BE40" i="31"/>
  <c r="BD40" i="31"/>
  <c r="BC40" i="31"/>
  <c r="BB40" i="31"/>
  <c r="BA40" i="31"/>
  <c r="AX40" i="31"/>
  <c r="AW40" i="31"/>
  <c r="AN40" i="31"/>
  <c r="AM40" i="31"/>
  <c r="AL40" i="31"/>
  <c r="AJ40" i="31"/>
  <c r="AI40" i="31"/>
  <c r="AE40" i="31"/>
  <c r="AD40" i="31"/>
  <c r="AC40" i="31"/>
  <c r="AB40" i="31"/>
  <c r="AA40" i="31"/>
  <c r="Z40" i="31"/>
  <c r="Y40" i="31"/>
  <c r="X40" i="31"/>
  <c r="U40" i="31"/>
  <c r="T40" i="31"/>
  <c r="R40" i="31"/>
  <c r="O40" i="31"/>
  <c r="N40" i="31"/>
  <c r="L40" i="31"/>
  <c r="K40" i="31"/>
  <c r="BL39" i="31"/>
  <c r="BL86" i="31" s="1"/>
  <c r="BK39" i="31"/>
  <c r="AY39" i="31"/>
  <c r="AY86" i="31" s="1"/>
  <c r="AP39" i="31"/>
  <c r="W39" i="31"/>
  <c r="W86" i="31" s="1"/>
  <c r="V39" i="31"/>
  <c r="S39" i="31"/>
  <c r="S86" i="31" s="1"/>
  <c r="M39" i="31"/>
  <c r="M86" i="31" s="1"/>
  <c r="J39" i="31"/>
  <c r="J86" i="31" s="1"/>
  <c r="BJ38" i="31"/>
  <c r="BI38" i="31"/>
  <c r="BH38" i="31"/>
  <c r="BG38" i="31"/>
  <c r="BF38" i="31"/>
  <c r="BE38" i="31"/>
  <c r="BD38" i="31"/>
  <c r="BC38" i="31"/>
  <c r="BB38" i="31"/>
  <c r="BA38" i="31"/>
  <c r="AX38" i="31"/>
  <c r="AW38" i="31"/>
  <c r="AN38" i="31"/>
  <c r="AM38" i="31"/>
  <c r="AL38" i="31"/>
  <c r="AJ38" i="31"/>
  <c r="AI38" i="31"/>
  <c r="AE38" i="31"/>
  <c r="AD38" i="31"/>
  <c r="AC38" i="31"/>
  <c r="AB38" i="31"/>
  <c r="AA38" i="31"/>
  <c r="Z38" i="31"/>
  <c r="Y38" i="31"/>
  <c r="X38" i="31"/>
  <c r="U38" i="31"/>
  <c r="T38" i="31"/>
  <c r="R38" i="31"/>
  <c r="O38" i="31"/>
  <c r="N38" i="31"/>
  <c r="L38" i="31"/>
  <c r="K38" i="31"/>
  <c r="BL37" i="31"/>
  <c r="BK37" i="31"/>
  <c r="BY37" i="31" s="1"/>
  <c r="AY37" i="31"/>
  <c r="BW37" i="31" s="1"/>
  <c r="AP37" i="31"/>
  <c r="BT37" i="31" s="1"/>
  <c r="BS37" i="31"/>
  <c r="W37" i="31"/>
  <c r="AG37" i="31" s="1"/>
  <c r="V37" i="31"/>
  <c r="AF37" i="31" s="1"/>
  <c r="S37" i="31"/>
  <c r="M37" i="31"/>
  <c r="J37" i="31"/>
  <c r="P37" i="31" s="1"/>
  <c r="BL36" i="31"/>
  <c r="BZ36" i="31" s="1"/>
  <c r="BK36" i="31"/>
  <c r="BY36" i="31" s="1"/>
  <c r="AY36" i="31"/>
  <c r="BW36" i="31" s="1"/>
  <c r="AP36" i="31"/>
  <c r="BT36" i="31" s="1"/>
  <c r="W36" i="31"/>
  <c r="AG36" i="31" s="1"/>
  <c r="V36" i="31"/>
  <c r="AF36" i="31" s="1"/>
  <c r="BP36" i="31" s="1"/>
  <c r="S36" i="31"/>
  <c r="M36" i="31"/>
  <c r="J36" i="31"/>
  <c r="BL35" i="31"/>
  <c r="BZ35" i="31" s="1"/>
  <c r="BK35" i="31"/>
  <c r="AY35" i="31"/>
  <c r="BW35" i="31" s="1"/>
  <c r="AP35" i="31"/>
  <c r="BS35" i="31"/>
  <c r="W35" i="31"/>
  <c r="AG35" i="31" s="1"/>
  <c r="BQ35" i="31" s="1"/>
  <c r="V35" i="31"/>
  <c r="AF35" i="31" s="1"/>
  <c r="S35" i="31"/>
  <c r="M35" i="31"/>
  <c r="J35" i="31"/>
  <c r="P35" i="31" s="1"/>
  <c r="BL34" i="31"/>
  <c r="BZ34" i="31" s="1"/>
  <c r="BK34" i="31"/>
  <c r="BY34" i="31" s="1"/>
  <c r="AY34" i="31"/>
  <c r="AP34" i="31"/>
  <c r="BT34" i="31" s="1"/>
  <c r="W34" i="31"/>
  <c r="AG34" i="31" s="1"/>
  <c r="V34" i="31"/>
  <c r="AF34" i="31" s="1"/>
  <c r="BP34" i="31" s="1"/>
  <c r="S34" i="31"/>
  <c r="M34" i="31"/>
  <c r="J34" i="31"/>
  <c r="Q34" i="31" s="1"/>
  <c r="BL33" i="31"/>
  <c r="BZ33" i="31" s="1"/>
  <c r="BK33" i="31"/>
  <c r="BY33" i="31" s="1"/>
  <c r="AY33" i="31"/>
  <c r="BW33" i="31" s="1"/>
  <c r="AP33" i="31"/>
  <c r="BS33" i="31"/>
  <c r="W33" i="31"/>
  <c r="AG33" i="31" s="1"/>
  <c r="BQ33" i="31" s="1"/>
  <c r="V33" i="31"/>
  <c r="AF33" i="31" s="1"/>
  <c r="S33" i="31"/>
  <c r="M33" i="31"/>
  <c r="J33" i="31"/>
  <c r="P33" i="31" s="1"/>
  <c r="BJ32" i="31"/>
  <c r="BI32" i="31"/>
  <c r="BH32" i="31"/>
  <c r="BG32" i="31"/>
  <c r="BF32" i="31"/>
  <c r="BE32" i="31"/>
  <c r="BD32" i="31"/>
  <c r="BB32" i="31"/>
  <c r="BA32" i="31"/>
  <c r="AX32" i="31"/>
  <c r="AW32" i="31"/>
  <c r="AN32" i="31"/>
  <c r="AM32" i="31"/>
  <c r="AL32" i="31"/>
  <c r="AJ32" i="31"/>
  <c r="AI32" i="31"/>
  <c r="AE32" i="31"/>
  <c r="AD32" i="31"/>
  <c r="AC32" i="31"/>
  <c r="AB32" i="31"/>
  <c r="AA32" i="31"/>
  <c r="Z32" i="31"/>
  <c r="Y32" i="31"/>
  <c r="U32" i="31"/>
  <c r="T32" i="31"/>
  <c r="R32" i="31"/>
  <c r="O32" i="31"/>
  <c r="N32" i="31"/>
  <c r="L32" i="31"/>
  <c r="K32" i="31"/>
  <c r="BL31" i="31"/>
  <c r="BZ31" i="31" s="1"/>
  <c r="BK31" i="31"/>
  <c r="BY31" i="31" s="1"/>
  <c r="AY31" i="31"/>
  <c r="BW31" i="31" s="1"/>
  <c r="AP31" i="31"/>
  <c r="BT31" i="31" s="1"/>
  <c r="W31" i="31"/>
  <c r="AG31" i="31" s="1"/>
  <c r="V31" i="31"/>
  <c r="AF31" i="31" s="1"/>
  <c r="BP31" i="31" s="1"/>
  <c r="S31" i="31"/>
  <c r="M31" i="31"/>
  <c r="J31" i="31"/>
  <c r="BL30" i="31"/>
  <c r="BZ30" i="31" s="1"/>
  <c r="BK30" i="31"/>
  <c r="AY30" i="31"/>
  <c r="BW30" i="31" s="1"/>
  <c r="AP30" i="31"/>
  <c r="W30" i="31"/>
  <c r="AG30" i="31" s="1"/>
  <c r="V30" i="31"/>
  <c r="S30" i="31"/>
  <c r="M30" i="31"/>
  <c r="J30" i="31"/>
  <c r="P30" i="31" s="1"/>
  <c r="BL29" i="31"/>
  <c r="BZ29" i="31" s="1"/>
  <c r="BK29" i="31"/>
  <c r="BY29" i="31" s="1"/>
  <c r="AY29" i="31"/>
  <c r="BW29" i="31" s="1"/>
  <c r="AP29" i="31"/>
  <c r="BT29" i="31" s="1"/>
  <c r="BS29" i="31"/>
  <c r="W29" i="31"/>
  <c r="AG29" i="31" s="1"/>
  <c r="V29" i="31"/>
  <c r="AF29" i="31" s="1"/>
  <c r="BP29" i="31" s="1"/>
  <c r="S29" i="31"/>
  <c r="M29" i="31"/>
  <c r="J29" i="31"/>
  <c r="P29" i="31" s="1"/>
  <c r="BL28" i="31"/>
  <c r="BC28" i="31"/>
  <c r="BC79" i="31" s="1"/>
  <c r="AY28" i="31"/>
  <c r="BW28" i="31" s="1"/>
  <c r="AP28" i="31"/>
  <c r="BT28" i="31" s="1"/>
  <c r="BS28" i="31"/>
  <c r="X28" i="31"/>
  <c r="X79" i="31" s="1"/>
  <c r="W28" i="31"/>
  <c r="AG28" i="31" s="1"/>
  <c r="V28" i="31"/>
  <c r="AF28" i="31" s="1"/>
  <c r="S28" i="31"/>
  <c r="M28" i="31"/>
  <c r="J28" i="31"/>
  <c r="BL27" i="31"/>
  <c r="BZ27" i="31" s="1"/>
  <c r="BK27" i="31"/>
  <c r="AY27" i="31"/>
  <c r="BW27" i="31" s="1"/>
  <c r="AP27" i="31"/>
  <c r="BT27" i="31" s="1"/>
  <c r="W27" i="31"/>
  <c r="AG27" i="31" s="1"/>
  <c r="V27" i="31"/>
  <c r="AF27" i="31" s="1"/>
  <c r="S27" i="31"/>
  <c r="M27" i="31"/>
  <c r="J27" i="31"/>
  <c r="BL26" i="31"/>
  <c r="BZ26" i="31" s="1"/>
  <c r="BK26" i="31"/>
  <c r="AY26" i="31"/>
  <c r="BW26" i="31" s="1"/>
  <c r="AP26" i="31"/>
  <c r="W26" i="31"/>
  <c r="V26" i="31"/>
  <c r="S26" i="31"/>
  <c r="M26" i="31"/>
  <c r="J26" i="31"/>
  <c r="BJ25" i="31"/>
  <c r="BI25" i="31"/>
  <c r="BH25" i="31"/>
  <c r="BG25" i="31"/>
  <c r="BF25" i="31"/>
  <c r="BE25" i="31"/>
  <c r="BD25" i="31"/>
  <c r="BC25" i="31"/>
  <c r="BB25" i="31"/>
  <c r="BA25" i="31"/>
  <c r="AX25" i="31"/>
  <c r="AW25" i="31"/>
  <c r="AN25" i="31"/>
  <c r="AM25" i="31"/>
  <c r="AL25" i="31"/>
  <c r="AJ25" i="31"/>
  <c r="AI25" i="31"/>
  <c r="AE25" i="31"/>
  <c r="AD25" i="31"/>
  <c r="AC25" i="31"/>
  <c r="AB25" i="31"/>
  <c r="AA25" i="31"/>
  <c r="Z25" i="31"/>
  <c r="Y25" i="31"/>
  <c r="X25" i="31"/>
  <c r="U25" i="31"/>
  <c r="T25" i="31"/>
  <c r="R25" i="31"/>
  <c r="O25" i="31"/>
  <c r="N25" i="31"/>
  <c r="L25" i="31"/>
  <c r="K25" i="31"/>
  <c r="BL24" i="31"/>
  <c r="BL87" i="31" s="1"/>
  <c r="BK24" i="31"/>
  <c r="AY24" i="31"/>
  <c r="AP24" i="31"/>
  <c r="AP87" i="31" s="1"/>
  <c r="AO87" i="31"/>
  <c r="W24" i="31"/>
  <c r="V24" i="31"/>
  <c r="V87" i="31" s="1"/>
  <c r="S24" i="31"/>
  <c r="S87" i="31" s="1"/>
  <c r="M24" i="31"/>
  <c r="M87" i="31" s="1"/>
  <c r="J24" i="31"/>
  <c r="BJ23" i="31"/>
  <c r="BI23" i="31"/>
  <c r="BH23" i="31"/>
  <c r="BG23" i="31"/>
  <c r="BF23" i="31"/>
  <c r="BE23" i="31"/>
  <c r="BD23" i="31"/>
  <c r="BC23" i="31"/>
  <c r="BB23" i="31"/>
  <c r="BA23" i="31"/>
  <c r="AX23" i="31"/>
  <c r="AW23" i="31"/>
  <c r="AN23" i="31"/>
  <c r="AM23" i="31"/>
  <c r="AL23" i="31"/>
  <c r="AJ23" i="31"/>
  <c r="AI23" i="31"/>
  <c r="AE23" i="31"/>
  <c r="AD23" i="31"/>
  <c r="AC23" i="31"/>
  <c r="AB23" i="31"/>
  <c r="AA23" i="31"/>
  <c r="Z23" i="31"/>
  <c r="Y23" i="31"/>
  <c r="X23" i="31"/>
  <c r="U23" i="31"/>
  <c r="T23" i="31"/>
  <c r="R23" i="31"/>
  <c r="O23" i="31"/>
  <c r="N23" i="31"/>
  <c r="L23" i="31"/>
  <c r="K23" i="31"/>
  <c r="BL22" i="31"/>
  <c r="BZ22" i="31" s="1"/>
  <c r="BK22" i="31"/>
  <c r="AY22" i="31"/>
  <c r="BW22" i="31" s="1"/>
  <c r="AP22" i="31"/>
  <c r="BT22" i="31" s="1"/>
  <c r="W22" i="31"/>
  <c r="AG22" i="31" s="1"/>
  <c r="BQ22" i="31" s="1"/>
  <c r="V22" i="31"/>
  <c r="AF22" i="31" s="1"/>
  <c r="S22" i="31"/>
  <c r="M22" i="31"/>
  <c r="J22" i="31"/>
  <c r="Q22" i="31" s="1"/>
  <c r="BL21" i="31"/>
  <c r="BZ21" i="31" s="1"/>
  <c r="BK21" i="31"/>
  <c r="BY21" i="31" s="1"/>
  <c r="AY21" i="31"/>
  <c r="BW21" i="31" s="1"/>
  <c r="AP21" i="31"/>
  <c r="BS21" i="31"/>
  <c r="W21" i="31"/>
  <c r="AG21" i="31" s="1"/>
  <c r="BQ21" i="31" s="1"/>
  <c r="V21" i="31"/>
  <c r="S21" i="31"/>
  <c r="M21" i="31"/>
  <c r="J21" i="31"/>
  <c r="BL20" i="31"/>
  <c r="BZ20" i="31" s="1"/>
  <c r="BK20" i="31"/>
  <c r="BY20" i="31" s="1"/>
  <c r="AY20" i="31"/>
  <c r="AP20" i="31"/>
  <c r="BT20" i="31" s="1"/>
  <c r="BS20" i="31"/>
  <c r="W20" i="31"/>
  <c r="V20" i="31"/>
  <c r="AF20" i="31" s="1"/>
  <c r="S20" i="31"/>
  <c r="M20" i="31"/>
  <c r="J20" i="31"/>
  <c r="BJ19" i="31"/>
  <c r="BI19" i="31"/>
  <c r="BH19" i="31"/>
  <c r="BG19" i="31"/>
  <c r="BF19" i="31"/>
  <c r="BE19" i="31"/>
  <c r="BD19" i="31"/>
  <c r="BC19" i="31"/>
  <c r="BB19" i="31"/>
  <c r="BA19" i="31"/>
  <c r="AX19" i="31"/>
  <c r="AW19" i="31"/>
  <c r="AN19" i="31"/>
  <c r="AM19" i="31"/>
  <c r="AL19" i="31"/>
  <c r="AJ19" i="31"/>
  <c r="AI19" i="31"/>
  <c r="AE19" i="31"/>
  <c r="AD19" i="31"/>
  <c r="AC19" i="31"/>
  <c r="AB19" i="31"/>
  <c r="AA19" i="31"/>
  <c r="Z19" i="31"/>
  <c r="Y19" i="31"/>
  <c r="X19" i="31"/>
  <c r="U19" i="31"/>
  <c r="T19" i="31"/>
  <c r="R19" i="31"/>
  <c r="O19" i="31"/>
  <c r="N19" i="31"/>
  <c r="L19" i="31"/>
  <c r="K19" i="31"/>
  <c r="BL18" i="31"/>
  <c r="BZ18" i="31" s="1"/>
  <c r="BK18" i="31"/>
  <c r="AY18" i="31"/>
  <c r="BW18" i="31" s="1"/>
  <c r="AP18" i="31"/>
  <c r="BT18" i="31" s="1"/>
  <c r="BS18" i="31"/>
  <c r="W18" i="31"/>
  <c r="AG18" i="31" s="1"/>
  <c r="BQ18" i="31" s="1"/>
  <c r="V18" i="31"/>
  <c r="AF18" i="31" s="1"/>
  <c r="S18" i="31"/>
  <c r="M18" i="31"/>
  <c r="J18" i="31"/>
  <c r="Q18" i="31" s="1"/>
  <c r="BL17" i="31"/>
  <c r="BZ17" i="31" s="1"/>
  <c r="BK17" i="31"/>
  <c r="BY17" i="31" s="1"/>
  <c r="AY17" i="31"/>
  <c r="BW17" i="31" s="1"/>
  <c r="AP17" i="31"/>
  <c r="BS17" i="31"/>
  <c r="W17" i="31"/>
  <c r="AG17" i="31" s="1"/>
  <c r="BQ17" i="31" s="1"/>
  <c r="V17" i="31"/>
  <c r="S17" i="31"/>
  <c r="M17" i="31"/>
  <c r="J17" i="31"/>
  <c r="P17" i="31" s="1"/>
  <c r="BL16" i="31"/>
  <c r="BZ16" i="31" s="1"/>
  <c r="BK16" i="31"/>
  <c r="AY16" i="31"/>
  <c r="AP16" i="31"/>
  <c r="BT16" i="31" s="1"/>
  <c r="BS16" i="31"/>
  <c r="W16" i="31"/>
  <c r="V16" i="31"/>
  <c r="AF16" i="31" s="1"/>
  <c r="S16" i="31"/>
  <c r="M16" i="31"/>
  <c r="J16" i="31"/>
  <c r="BJ15" i="31"/>
  <c r="BI15" i="31"/>
  <c r="BH15" i="31"/>
  <c r="BG15" i="31"/>
  <c r="BF15" i="31"/>
  <c r="BE15" i="31"/>
  <c r="BD15" i="31"/>
  <c r="BC15" i="31"/>
  <c r="BB15" i="31"/>
  <c r="BA15" i="31"/>
  <c r="AX15" i="31"/>
  <c r="AW15" i="31"/>
  <c r="AN15" i="31"/>
  <c r="AM15" i="31"/>
  <c r="AL15" i="31"/>
  <c r="AJ15" i="31"/>
  <c r="AI15" i="31"/>
  <c r="AE15" i="31"/>
  <c r="AD15" i="31"/>
  <c r="AC15" i="31"/>
  <c r="AB15" i="31"/>
  <c r="AA15" i="31"/>
  <c r="Z15" i="31"/>
  <c r="Y15" i="31"/>
  <c r="X15" i="31"/>
  <c r="U15" i="31"/>
  <c r="T15" i="31"/>
  <c r="R15" i="31"/>
  <c r="O15" i="31"/>
  <c r="N15" i="31"/>
  <c r="L15" i="31"/>
  <c r="K15" i="31"/>
  <c r="BL14" i="31"/>
  <c r="BZ14" i="31" s="1"/>
  <c r="BK14" i="31"/>
  <c r="BY14" i="31" s="1"/>
  <c r="AY14" i="31"/>
  <c r="BW14" i="31" s="1"/>
  <c r="AP14" i="31"/>
  <c r="W14" i="31"/>
  <c r="AG14" i="31" s="1"/>
  <c r="V14" i="31"/>
  <c r="AF14" i="31" s="1"/>
  <c r="S14" i="31"/>
  <c r="M14" i="31"/>
  <c r="J14" i="31"/>
  <c r="Q14" i="31" s="1"/>
  <c r="BL13" i="31"/>
  <c r="BZ13" i="31" s="1"/>
  <c r="BK13" i="31"/>
  <c r="BY13" i="31" s="1"/>
  <c r="AY13" i="31"/>
  <c r="BW13" i="31" s="1"/>
  <c r="AP13" i="31"/>
  <c r="BS13" i="31"/>
  <c r="W13" i="31"/>
  <c r="AG13" i="31" s="1"/>
  <c r="BQ13" i="31" s="1"/>
  <c r="V13" i="31"/>
  <c r="S13" i="31"/>
  <c r="M13" i="31"/>
  <c r="J13" i="31"/>
  <c r="Q13" i="31" s="1"/>
  <c r="BL12" i="31"/>
  <c r="BK12" i="31"/>
  <c r="BY12" i="31" s="1"/>
  <c r="AY12" i="31"/>
  <c r="AP12" i="31"/>
  <c r="W12" i="31"/>
  <c r="V12" i="31"/>
  <c r="AF12" i="31" s="1"/>
  <c r="S12" i="31"/>
  <c r="M12" i="31"/>
  <c r="J12" i="31"/>
  <c r="BJ113" i="30"/>
  <c r="BI113" i="30"/>
  <c r="BH113" i="30"/>
  <c r="BG113" i="30"/>
  <c r="BF113" i="30"/>
  <c r="BE113" i="30"/>
  <c r="BD113" i="30"/>
  <c r="BC113" i="30"/>
  <c r="BB113" i="30"/>
  <c r="BA113" i="30"/>
  <c r="AX113" i="30"/>
  <c r="AW113" i="30"/>
  <c r="AN113" i="30"/>
  <c r="AM113" i="30"/>
  <c r="AL113" i="30"/>
  <c r="AJ113" i="30"/>
  <c r="AI113" i="30"/>
  <c r="AE113" i="30"/>
  <c r="AD113" i="30"/>
  <c r="AC113" i="30"/>
  <c r="AB113" i="30"/>
  <c r="AA113" i="30"/>
  <c r="Z113" i="30"/>
  <c r="Y113" i="30"/>
  <c r="X113" i="30"/>
  <c r="U113" i="30"/>
  <c r="T113" i="30"/>
  <c r="R113" i="30"/>
  <c r="O113" i="30"/>
  <c r="N113" i="30"/>
  <c r="L113" i="30"/>
  <c r="K113" i="30"/>
  <c r="BJ112" i="30"/>
  <c r="BI112" i="30"/>
  <c r="BH112" i="30"/>
  <c r="BG112" i="30"/>
  <c r="BF112" i="30"/>
  <c r="BE112" i="30"/>
  <c r="BD112" i="30"/>
  <c r="BC112" i="30"/>
  <c r="BB112" i="30"/>
  <c r="BA112" i="30"/>
  <c r="AX112" i="30"/>
  <c r="AW112" i="30"/>
  <c r="AN112" i="30"/>
  <c r="AM112" i="30"/>
  <c r="AL112" i="30"/>
  <c r="AJ112" i="30"/>
  <c r="AI112" i="30"/>
  <c r="AE112" i="30"/>
  <c r="AD112" i="30"/>
  <c r="AC112" i="30"/>
  <c r="AB112" i="30"/>
  <c r="AA112" i="30"/>
  <c r="Z112" i="30"/>
  <c r="Y112" i="30"/>
  <c r="X112" i="30"/>
  <c r="U112" i="30"/>
  <c r="T112" i="30"/>
  <c r="R112" i="30"/>
  <c r="O112" i="30"/>
  <c r="N112" i="30"/>
  <c r="L112" i="30"/>
  <c r="K112" i="30"/>
  <c r="BJ111" i="30"/>
  <c r="BI111" i="30"/>
  <c r="BH111" i="30"/>
  <c r="BG111" i="30"/>
  <c r="BF111" i="30"/>
  <c r="BE111" i="30"/>
  <c r="BD111" i="30"/>
  <c r="BC111" i="30"/>
  <c r="BB111" i="30"/>
  <c r="BA111" i="30"/>
  <c r="AX111" i="30"/>
  <c r="AW111" i="30"/>
  <c r="AN111" i="30"/>
  <c r="AM111" i="30"/>
  <c r="AL111" i="30"/>
  <c r="AJ111" i="30"/>
  <c r="AI111" i="30"/>
  <c r="AE111" i="30"/>
  <c r="AD111" i="30"/>
  <c r="AC111" i="30"/>
  <c r="AB111" i="30"/>
  <c r="AA111" i="30"/>
  <c r="Z111" i="30"/>
  <c r="Y111" i="30"/>
  <c r="X111" i="30"/>
  <c r="U111" i="30"/>
  <c r="T111" i="30"/>
  <c r="R111" i="30"/>
  <c r="O111" i="30"/>
  <c r="N111" i="30"/>
  <c r="L111" i="30"/>
  <c r="K111" i="30"/>
  <c r="BJ110" i="30"/>
  <c r="BI110" i="30"/>
  <c r="BH110" i="30"/>
  <c r="BG110" i="30"/>
  <c r="BF110" i="30"/>
  <c r="BE110" i="30"/>
  <c r="BD110" i="30"/>
  <c r="BC110" i="30"/>
  <c r="BB110" i="30"/>
  <c r="BA110" i="30"/>
  <c r="AX110" i="30"/>
  <c r="AW110" i="30"/>
  <c r="AN110" i="30"/>
  <c r="AM110" i="30"/>
  <c r="AL110" i="30"/>
  <c r="AJ110" i="30"/>
  <c r="AI110" i="30"/>
  <c r="AE110" i="30"/>
  <c r="AD110" i="30"/>
  <c r="AC110" i="30"/>
  <c r="AB110" i="30"/>
  <c r="AA110" i="30"/>
  <c r="Z110" i="30"/>
  <c r="Y110" i="30"/>
  <c r="X110" i="30"/>
  <c r="U110" i="30"/>
  <c r="T110" i="30"/>
  <c r="R110" i="30"/>
  <c r="O110" i="30"/>
  <c r="N110" i="30"/>
  <c r="L110" i="30"/>
  <c r="K110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BJ107" i="30"/>
  <c r="BI107" i="30"/>
  <c r="BH107" i="30"/>
  <c r="BG107" i="30"/>
  <c r="BF107" i="30"/>
  <c r="BE107" i="30"/>
  <c r="BD107" i="30"/>
  <c r="BC107" i="30"/>
  <c r="BB107" i="30"/>
  <c r="BA107" i="30"/>
  <c r="AX107" i="30"/>
  <c r="AW107" i="30"/>
  <c r="AN107" i="30"/>
  <c r="AM107" i="30"/>
  <c r="AL107" i="30"/>
  <c r="AJ107" i="30"/>
  <c r="AI107" i="30"/>
  <c r="AE107" i="30"/>
  <c r="AD107" i="30"/>
  <c r="AC107" i="30"/>
  <c r="AB107" i="30"/>
  <c r="AA107" i="30"/>
  <c r="Z107" i="30"/>
  <c r="Y107" i="30"/>
  <c r="X107" i="30"/>
  <c r="U107" i="30"/>
  <c r="T107" i="30"/>
  <c r="R107" i="30"/>
  <c r="O107" i="30"/>
  <c r="N107" i="30"/>
  <c r="L107" i="30"/>
  <c r="K107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BJ105" i="30"/>
  <c r="BI105" i="30"/>
  <c r="BH105" i="30"/>
  <c r="BG105" i="30"/>
  <c r="BF105" i="30"/>
  <c r="BE105" i="30"/>
  <c r="BD105" i="30"/>
  <c r="BB105" i="30"/>
  <c r="BA105" i="30"/>
  <c r="AX105" i="30"/>
  <c r="AN105" i="30"/>
  <c r="AM105" i="30"/>
  <c r="AL105" i="30"/>
  <c r="AJ105" i="30"/>
  <c r="AI105" i="30"/>
  <c r="AE105" i="30"/>
  <c r="AD105" i="30"/>
  <c r="AC105" i="30"/>
  <c r="AB105" i="30"/>
  <c r="AA105" i="30"/>
  <c r="Z105" i="30"/>
  <c r="Y105" i="30"/>
  <c r="U105" i="30"/>
  <c r="T105" i="30"/>
  <c r="R105" i="30"/>
  <c r="O105" i="30"/>
  <c r="N105" i="30"/>
  <c r="L105" i="30"/>
  <c r="K105" i="30"/>
  <c r="BJ104" i="30"/>
  <c r="BI104" i="30"/>
  <c r="BH104" i="30"/>
  <c r="BG104" i="30"/>
  <c r="BF104" i="30"/>
  <c r="BE104" i="30"/>
  <c r="BD104" i="30"/>
  <c r="BB104" i="30"/>
  <c r="BA104" i="30"/>
  <c r="AX104" i="30"/>
  <c r="AW104" i="30"/>
  <c r="AN104" i="30"/>
  <c r="AM104" i="30"/>
  <c r="AL104" i="30"/>
  <c r="AJ104" i="30"/>
  <c r="AI104" i="30"/>
  <c r="AE104" i="30"/>
  <c r="AD104" i="30"/>
  <c r="AC104" i="30"/>
  <c r="AB104" i="30"/>
  <c r="AA104" i="30"/>
  <c r="Z104" i="30"/>
  <c r="Y104" i="30"/>
  <c r="U104" i="30"/>
  <c r="T104" i="30"/>
  <c r="R104" i="30"/>
  <c r="O104" i="30"/>
  <c r="N104" i="30"/>
  <c r="L104" i="30"/>
  <c r="K104" i="30"/>
  <c r="BJ99" i="30"/>
  <c r="BI99" i="30"/>
  <c r="BH99" i="30"/>
  <c r="BG99" i="30"/>
  <c r="BF99" i="30"/>
  <c r="BE99" i="30"/>
  <c r="BD99" i="30"/>
  <c r="BC99" i="30"/>
  <c r="BB99" i="30"/>
  <c r="BA99" i="30"/>
  <c r="AX99" i="30"/>
  <c r="AW99" i="30"/>
  <c r="AN99" i="30"/>
  <c r="AM99" i="30"/>
  <c r="AL99" i="30"/>
  <c r="AJ99" i="30"/>
  <c r="AI99" i="30"/>
  <c r="AE99" i="30"/>
  <c r="AD99" i="30"/>
  <c r="AC99" i="30"/>
  <c r="AB99" i="30"/>
  <c r="AA99" i="30"/>
  <c r="Z99" i="30"/>
  <c r="Y99" i="30"/>
  <c r="X99" i="30"/>
  <c r="U99" i="30"/>
  <c r="T99" i="30"/>
  <c r="R99" i="30"/>
  <c r="O99" i="30"/>
  <c r="N99" i="30"/>
  <c r="L99" i="30"/>
  <c r="K99" i="30"/>
  <c r="BL98" i="30"/>
  <c r="BZ98" i="30" s="1"/>
  <c r="BK98" i="30"/>
  <c r="BY98" i="30" s="1"/>
  <c r="AY98" i="30"/>
  <c r="BW98" i="30" s="1"/>
  <c r="AP98" i="30"/>
  <c r="BS98" i="30"/>
  <c r="W98" i="30"/>
  <c r="AG98" i="30" s="1"/>
  <c r="V98" i="30"/>
  <c r="AF98" i="30" s="1"/>
  <c r="S98" i="30"/>
  <c r="M98" i="30"/>
  <c r="J98" i="30"/>
  <c r="P98" i="30" s="1"/>
  <c r="BL97" i="30"/>
  <c r="BZ97" i="30" s="1"/>
  <c r="BK97" i="30"/>
  <c r="AY97" i="30"/>
  <c r="BW97" i="30" s="1"/>
  <c r="AP97" i="30"/>
  <c r="BT97" i="30" s="1"/>
  <c r="BS97" i="30"/>
  <c r="W97" i="30"/>
  <c r="AG97" i="30" s="1"/>
  <c r="V97" i="30"/>
  <c r="AF97" i="30" s="1"/>
  <c r="S97" i="30"/>
  <c r="M97" i="30"/>
  <c r="J97" i="30"/>
  <c r="BL96" i="30"/>
  <c r="BZ96" i="30" s="1"/>
  <c r="BK96" i="30"/>
  <c r="AY96" i="30"/>
  <c r="BW96" i="30" s="1"/>
  <c r="AP96" i="30"/>
  <c r="BS96" i="30"/>
  <c r="W96" i="30"/>
  <c r="AG96" i="30" s="1"/>
  <c r="V96" i="30"/>
  <c r="AF96" i="30" s="1"/>
  <c r="S96" i="30"/>
  <c r="M96" i="30"/>
  <c r="J96" i="30"/>
  <c r="BL95" i="30"/>
  <c r="BZ95" i="30" s="1"/>
  <c r="BK95" i="30"/>
  <c r="AY95" i="30"/>
  <c r="BW95" i="30" s="1"/>
  <c r="AP95" i="30"/>
  <c r="BT95" i="30" s="1"/>
  <c r="BS95" i="30"/>
  <c r="W95" i="30"/>
  <c r="AG95" i="30" s="1"/>
  <c r="V95" i="30"/>
  <c r="AF95" i="30" s="1"/>
  <c r="S95" i="30"/>
  <c r="M95" i="30"/>
  <c r="J95" i="30"/>
  <c r="BL94" i="30"/>
  <c r="BZ94" i="30" s="1"/>
  <c r="BK94" i="30"/>
  <c r="BY94" i="30" s="1"/>
  <c r="AY94" i="30"/>
  <c r="BW94" i="30" s="1"/>
  <c r="AP94" i="30"/>
  <c r="BT94" i="30" s="1"/>
  <c r="BS94" i="30"/>
  <c r="W94" i="30"/>
  <c r="AG94" i="30" s="1"/>
  <c r="BQ94" i="30" s="1"/>
  <c r="V94" i="30"/>
  <c r="AF94" i="30" s="1"/>
  <c r="S94" i="30"/>
  <c r="M94" i="30"/>
  <c r="J94" i="30"/>
  <c r="Q94" i="30" s="1"/>
  <c r="BL93" i="30"/>
  <c r="BZ93" i="30" s="1"/>
  <c r="BK93" i="30"/>
  <c r="BY93" i="30" s="1"/>
  <c r="AY93" i="30"/>
  <c r="AP93" i="30"/>
  <c r="BS93" i="30"/>
  <c r="W93" i="30"/>
  <c r="V93" i="30"/>
  <c r="S93" i="30"/>
  <c r="M93" i="30"/>
  <c r="J93" i="30"/>
  <c r="P93" i="30" s="1"/>
  <c r="BJ92" i="30"/>
  <c r="BI92" i="30"/>
  <c r="BH92" i="30"/>
  <c r="BG92" i="30"/>
  <c r="BF92" i="30"/>
  <c r="BE92" i="30"/>
  <c r="BD92" i="30"/>
  <c r="BC92" i="30"/>
  <c r="BB92" i="30"/>
  <c r="BA92" i="30"/>
  <c r="AX92" i="30"/>
  <c r="AW92" i="30"/>
  <c r="AN92" i="30"/>
  <c r="AM92" i="30"/>
  <c r="AL92" i="30"/>
  <c r="AJ92" i="30"/>
  <c r="AI92" i="30"/>
  <c r="AE92" i="30"/>
  <c r="AD92" i="30"/>
  <c r="AC92" i="30"/>
  <c r="AB92" i="30"/>
  <c r="AA92" i="30"/>
  <c r="Z92" i="30"/>
  <c r="Y92" i="30"/>
  <c r="X92" i="30"/>
  <c r="U92" i="30"/>
  <c r="T92" i="30"/>
  <c r="R92" i="30"/>
  <c r="O92" i="30"/>
  <c r="N92" i="30"/>
  <c r="L92" i="30"/>
  <c r="K92" i="30"/>
  <c r="BL91" i="30"/>
  <c r="BK91" i="30"/>
  <c r="BY91" i="30" s="1"/>
  <c r="AY91" i="30"/>
  <c r="BW91" i="30" s="1"/>
  <c r="AP91" i="30"/>
  <c r="BT91" i="30" s="1"/>
  <c r="BS91" i="30"/>
  <c r="W91" i="30"/>
  <c r="AG91" i="30" s="1"/>
  <c r="V91" i="30"/>
  <c r="AF91" i="30" s="1"/>
  <c r="BP91" i="30" s="1"/>
  <c r="S91" i="30"/>
  <c r="M91" i="30"/>
  <c r="J91" i="30"/>
  <c r="P91" i="30" s="1"/>
  <c r="BL90" i="30"/>
  <c r="BK90" i="30"/>
  <c r="BY90" i="30" s="1"/>
  <c r="AY90" i="30"/>
  <c r="BW90" i="30" s="1"/>
  <c r="AP90" i="30"/>
  <c r="BS90" i="30"/>
  <c r="W90" i="30"/>
  <c r="AG90" i="30" s="1"/>
  <c r="BQ90" i="30" s="1"/>
  <c r="V90" i="30"/>
  <c r="AF90" i="30" s="1"/>
  <c r="S90" i="30"/>
  <c r="M90" i="30"/>
  <c r="J90" i="30"/>
  <c r="P90" i="30" s="1"/>
  <c r="BL89" i="30"/>
  <c r="BZ89" i="30" s="1"/>
  <c r="BK89" i="30"/>
  <c r="AY89" i="30"/>
  <c r="BW89" i="30" s="1"/>
  <c r="AP89" i="30"/>
  <c r="BT89" i="30" s="1"/>
  <c r="BS89" i="30"/>
  <c r="W89" i="30"/>
  <c r="AG89" i="30" s="1"/>
  <c r="V89" i="30"/>
  <c r="AF89" i="30" s="1"/>
  <c r="S89" i="30"/>
  <c r="M89" i="30"/>
  <c r="J89" i="30"/>
  <c r="Q89" i="30" s="1"/>
  <c r="BL88" i="30"/>
  <c r="BZ88" i="30" s="1"/>
  <c r="BK88" i="30"/>
  <c r="AY88" i="30"/>
  <c r="BW88" i="30" s="1"/>
  <c r="AP88" i="30"/>
  <c r="BT88" i="30" s="1"/>
  <c r="BS88" i="30"/>
  <c r="W88" i="30"/>
  <c r="AG88" i="30" s="1"/>
  <c r="BQ88" i="30" s="1"/>
  <c r="V88" i="30"/>
  <c r="AF88" i="30" s="1"/>
  <c r="S88" i="30"/>
  <c r="M88" i="30"/>
  <c r="J88" i="30"/>
  <c r="Q88" i="30" s="1"/>
  <c r="BL87" i="30"/>
  <c r="BZ87" i="30" s="1"/>
  <c r="BK87" i="30"/>
  <c r="AY87" i="30"/>
  <c r="BW87" i="30" s="1"/>
  <c r="AP87" i="30"/>
  <c r="BS87" i="30"/>
  <c r="W87" i="30"/>
  <c r="AG87" i="30" s="1"/>
  <c r="V87" i="30"/>
  <c r="AF87" i="30" s="1"/>
  <c r="S87" i="30"/>
  <c r="M87" i="30"/>
  <c r="J87" i="30"/>
  <c r="Q87" i="30" s="1"/>
  <c r="BL86" i="30"/>
  <c r="BK86" i="30"/>
  <c r="BY86" i="30" s="1"/>
  <c r="AY86" i="30"/>
  <c r="AP86" i="30"/>
  <c r="BS86" i="30"/>
  <c r="W86" i="30"/>
  <c r="AG86" i="30" s="1"/>
  <c r="V86" i="30"/>
  <c r="AF86" i="30" s="1"/>
  <c r="S86" i="30"/>
  <c r="M86" i="30"/>
  <c r="J86" i="30"/>
  <c r="Q86" i="30" s="1"/>
  <c r="BJ85" i="30"/>
  <c r="BI85" i="30"/>
  <c r="BH85" i="30"/>
  <c r="BG85" i="30"/>
  <c r="BF85" i="30"/>
  <c r="BE85" i="30"/>
  <c r="BD85" i="30"/>
  <c r="BB85" i="30"/>
  <c r="BA85" i="30"/>
  <c r="AX85" i="30"/>
  <c r="AW85" i="30"/>
  <c r="AN85" i="30"/>
  <c r="AM85" i="30"/>
  <c r="AL85" i="30"/>
  <c r="AJ85" i="30"/>
  <c r="AI85" i="30"/>
  <c r="AE85" i="30"/>
  <c r="AD85" i="30"/>
  <c r="AC85" i="30"/>
  <c r="AB85" i="30"/>
  <c r="AA85" i="30"/>
  <c r="Z85" i="30"/>
  <c r="Y85" i="30"/>
  <c r="U85" i="30"/>
  <c r="T85" i="30"/>
  <c r="R85" i="30"/>
  <c r="O85" i="30"/>
  <c r="N85" i="30"/>
  <c r="L85" i="30"/>
  <c r="K85" i="30"/>
  <c r="BL84" i="30"/>
  <c r="BZ84" i="30" s="1"/>
  <c r="BK84" i="30"/>
  <c r="AY84" i="30"/>
  <c r="BW84" i="30" s="1"/>
  <c r="AP84" i="30"/>
  <c r="BT84" i="30" s="1"/>
  <c r="BS84" i="30"/>
  <c r="W84" i="30"/>
  <c r="AG84" i="30" s="1"/>
  <c r="V84" i="30"/>
  <c r="AF84" i="30" s="1"/>
  <c r="S84" i="30"/>
  <c r="M84" i="30"/>
  <c r="J84" i="30"/>
  <c r="Q84" i="30" s="1"/>
  <c r="BL83" i="30"/>
  <c r="BZ83" i="30" s="1"/>
  <c r="BC83" i="30"/>
  <c r="BK83" i="30" s="1"/>
  <c r="AY83" i="30"/>
  <c r="BW83" i="30" s="1"/>
  <c r="AP83" i="30"/>
  <c r="BT83" i="30" s="1"/>
  <c r="BS83" i="30"/>
  <c r="X83" i="30"/>
  <c r="X85" i="30" s="1"/>
  <c r="W83" i="30"/>
  <c r="AG83" i="30" s="1"/>
  <c r="V83" i="30"/>
  <c r="S83" i="30"/>
  <c r="M83" i="30"/>
  <c r="J83" i="30"/>
  <c r="BL82" i="30"/>
  <c r="BK82" i="30"/>
  <c r="AY82" i="30"/>
  <c r="BW82" i="30" s="1"/>
  <c r="AP82" i="30"/>
  <c r="BT82" i="30" s="1"/>
  <c r="BS82" i="30"/>
  <c r="W82" i="30"/>
  <c r="AG82" i="30" s="1"/>
  <c r="V82" i="30"/>
  <c r="AF82" i="30" s="1"/>
  <c r="S82" i="30"/>
  <c r="M82" i="30"/>
  <c r="J82" i="30"/>
  <c r="Q82" i="30" s="1"/>
  <c r="BJ81" i="30"/>
  <c r="BI81" i="30"/>
  <c r="BH81" i="30"/>
  <c r="BG81" i="30"/>
  <c r="BF81" i="30"/>
  <c r="BE81" i="30"/>
  <c r="BD81" i="30"/>
  <c r="BC81" i="30"/>
  <c r="BB81" i="30"/>
  <c r="BA81" i="30"/>
  <c r="AX81" i="30"/>
  <c r="AW81" i="30"/>
  <c r="AN81" i="30"/>
  <c r="AM81" i="30"/>
  <c r="AL81" i="30"/>
  <c r="AJ81" i="30"/>
  <c r="AI81" i="30"/>
  <c r="AE81" i="30"/>
  <c r="AD81" i="30"/>
  <c r="AC81" i="30"/>
  <c r="AB81" i="30"/>
  <c r="AA81" i="30"/>
  <c r="Z81" i="30"/>
  <c r="Y81" i="30"/>
  <c r="X81" i="30"/>
  <c r="U81" i="30"/>
  <c r="T81" i="30"/>
  <c r="R81" i="30"/>
  <c r="O81" i="30"/>
  <c r="N81" i="30"/>
  <c r="L81" i="30"/>
  <c r="K81" i="30"/>
  <c r="BL80" i="30"/>
  <c r="BZ80" i="30" s="1"/>
  <c r="BK80" i="30"/>
  <c r="BY80" i="30" s="1"/>
  <c r="AY80" i="30"/>
  <c r="BW80" i="30" s="1"/>
  <c r="AP80" i="30"/>
  <c r="BT80" i="30" s="1"/>
  <c r="W80" i="30"/>
  <c r="AG80" i="30" s="1"/>
  <c r="V80" i="30"/>
  <c r="AF80" i="30" s="1"/>
  <c r="S80" i="30"/>
  <c r="M80" i="30"/>
  <c r="J80" i="30"/>
  <c r="BL79" i="30"/>
  <c r="BK79" i="30"/>
  <c r="BY79" i="30" s="1"/>
  <c r="AY79" i="30"/>
  <c r="BW79" i="30" s="1"/>
  <c r="AP79" i="30"/>
  <c r="BS79" i="30"/>
  <c r="W79" i="30"/>
  <c r="AG79" i="30" s="1"/>
  <c r="BQ79" i="30" s="1"/>
  <c r="V79" i="30"/>
  <c r="AF79" i="30" s="1"/>
  <c r="BP79" i="30" s="1"/>
  <c r="S79" i="30"/>
  <c r="M79" i="30"/>
  <c r="J79" i="30"/>
  <c r="BL78" i="30"/>
  <c r="BZ78" i="30" s="1"/>
  <c r="BK78" i="30"/>
  <c r="AY78" i="30"/>
  <c r="AP78" i="30"/>
  <c r="BT78" i="30" s="1"/>
  <c r="BS78" i="30"/>
  <c r="W78" i="30"/>
  <c r="AG78" i="30" s="1"/>
  <c r="V78" i="30"/>
  <c r="AF78" i="30" s="1"/>
  <c r="S78" i="30"/>
  <c r="M78" i="30"/>
  <c r="J78" i="30"/>
  <c r="BL77" i="30"/>
  <c r="BK77" i="30"/>
  <c r="BY77" i="30" s="1"/>
  <c r="AY77" i="30"/>
  <c r="BW77" i="30" s="1"/>
  <c r="AP77" i="30"/>
  <c r="BT77" i="30" s="1"/>
  <c r="W77" i="30"/>
  <c r="AG77" i="30" s="1"/>
  <c r="V77" i="30"/>
  <c r="AF77" i="30" s="1"/>
  <c r="S77" i="30"/>
  <c r="M77" i="30"/>
  <c r="J77" i="30"/>
  <c r="Q77" i="30" s="1"/>
  <c r="BL76" i="30"/>
  <c r="BK76" i="30"/>
  <c r="AY76" i="30"/>
  <c r="BW76" i="30" s="1"/>
  <c r="AP76" i="30"/>
  <c r="BS76" i="30"/>
  <c r="W76" i="30"/>
  <c r="AG76" i="30" s="1"/>
  <c r="BQ76" i="30" s="1"/>
  <c r="V76" i="30"/>
  <c r="AF76" i="30" s="1"/>
  <c r="S76" i="30"/>
  <c r="M76" i="30"/>
  <c r="J76" i="30"/>
  <c r="P76" i="30" s="1"/>
  <c r="BJ75" i="30"/>
  <c r="BI75" i="30"/>
  <c r="BH75" i="30"/>
  <c r="BG75" i="30"/>
  <c r="BF75" i="30"/>
  <c r="BE75" i="30"/>
  <c r="BD75" i="30"/>
  <c r="BC75" i="30"/>
  <c r="BB75" i="30"/>
  <c r="BA75" i="30"/>
  <c r="AX75" i="30"/>
  <c r="AW75" i="30"/>
  <c r="AN75" i="30"/>
  <c r="AM75" i="30"/>
  <c r="AL75" i="30"/>
  <c r="AJ75" i="30"/>
  <c r="AI75" i="30"/>
  <c r="AE75" i="30"/>
  <c r="AD75" i="30"/>
  <c r="AC75" i="30"/>
  <c r="AB75" i="30"/>
  <c r="AA75" i="30"/>
  <c r="Z75" i="30"/>
  <c r="Y75" i="30"/>
  <c r="X75" i="30"/>
  <c r="U75" i="30"/>
  <c r="T75" i="30"/>
  <c r="R75" i="30"/>
  <c r="O75" i="30"/>
  <c r="N75" i="30"/>
  <c r="L75" i="30"/>
  <c r="K75" i="30"/>
  <c r="BL74" i="30"/>
  <c r="BZ74" i="30" s="1"/>
  <c r="BK74" i="30"/>
  <c r="AY74" i="30"/>
  <c r="BW74" i="30" s="1"/>
  <c r="AP74" i="30"/>
  <c r="BS74" i="30"/>
  <c r="W74" i="30"/>
  <c r="V74" i="30"/>
  <c r="AF74" i="30" s="1"/>
  <c r="S74" i="30"/>
  <c r="M74" i="30"/>
  <c r="J74" i="30"/>
  <c r="BL73" i="30"/>
  <c r="BZ73" i="30" s="1"/>
  <c r="BK73" i="30"/>
  <c r="AY73" i="30"/>
  <c r="AP73" i="30"/>
  <c r="BT73" i="30" s="1"/>
  <c r="W73" i="30"/>
  <c r="AG73" i="30" s="1"/>
  <c r="V73" i="30"/>
  <c r="AF73" i="30" s="1"/>
  <c r="S73" i="30"/>
  <c r="M73" i="30"/>
  <c r="J73" i="30"/>
  <c r="BL72" i="30"/>
  <c r="BK72" i="30"/>
  <c r="BY72" i="30" s="1"/>
  <c r="AY72" i="30"/>
  <c r="BW72" i="30" s="1"/>
  <c r="AP72" i="30"/>
  <c r="BT72" i="30" s="1"/>
  <c r="W72" i="30"/>
  <c r="AG72" i="30" s="1"/>
  <c r="V72" i="30"/>
  <c r="AF72" i="30" s="1"/>
  <c r="S72" i="30"/>
  <c r="M72" i="30"/>
  <c r="J72" i="30"/>
  <c r="BJ71" i="30"/>
  <c r="BI71" i="30"/>
  <c r="BH71" i="30"/>
  <c r="BG71" i="30"/>
  <c r="BF71" i="30"/>
  <c r="BE71" i="30"/>
  <c r="BD71" i="30"/>
  <c r="BC71" i="30"/>
  <c r="BB71" i="30"/>
  <c r="BA71" i="30"/>
  <c r="AX71" i="30"/>
  <c r="AW71" i="30"/>
  <c r="AN71" i="30"/>
  <c r="AM71" i="30"/>
  <c r="AL71" i="30"/>
  <c r="AJ71" i="30"/>
  <c r="AI71" i="30"/>
  <c r="AE71" i="30"/>
  <c r="AD71" i="30"/>
  <c r="AC71" i="30"/>
  <c r="AB71" i="30"/>
  <c r="AA71" i="30"/>
  <c r="Z71" i="30"/>
  <c r="Y71" i="30"/>
  <c r="X71" i="30"/>
  <c r="U71" i="30"/>
  <c r="T71" i="30"/>
  <c r="R71" i="30"/>
  <c r="O71" i="30"/>
  <c r="N71" i="30"/>
  <c r="L71" i="30"/>
  <c r="K71" i="30"/>
  <c r="BL70" i="30"/>
  <c r="BZ70" i="30" s="1"/>
  <c r="BK70" i="30"/>
  <c r="AY70" i="30"/>
  <c r="BW70" i="30" s="1"/>
  <c r="AP70" i="30"/>
  <c r="BT70" i="30" s="1"/>
  <c r="BS70" i="30"/>
  <c r="W70" i="30"/>
  <c r="AG70" i="30" s="1"/>
  <c r="V70" i="30"/>
  <c r="AF70" i="30" s="1"/>
  <c r="S70" i="30"/>
  <c r="M70" i="30"/>
  <c r="J70" i="30"/>
  <c r="BL69" i="30"/>
  <c r="BZ69" i="30" s="1"/>
  <c r="BK69" i="30"/>
  <c r="BY69" i="30" s="1"/>
  <c r="AY69" i="30"/>
  <c r="BW69" i="30" s="1"/>
  <c r="AP69" i="30"/>
  <c r="BS69" i="30"/>
  <c r="W69" i="30"/>
  <c r="AG69" i="30" s="1"/>
  <c r="V69" i="30"/>
  <c r="AF69" i="30" s="1"/>
  <c r="BP69" i="30" s="1"/>
  <c r="S69" i="30"/>
  <c r="M69" i="30"/>
  <c r="J69" i="30"/>
  <c r="BL68" i="30"/>
  <c r="BZ68" i="30" s="1"/>
  <c r="BK68" i="30"/>
  <c r="AY68" i="30"/>
  <c r="BW68" i="30" s="1"/>
  <c r="AP68" i="30"/>
  <c r="BT68" i="30" s="1"/>
  <c r="BS68" i="30"/>
  <c r="W68" i="30"/>
  <c r="AG68" i="30" s="1"/>
  <c r="BQ68" i="30" s="1"/>
  <c r="V68" i="30"/>
  <c r="AF68" i="30" s="1"/>
  <c r="S68" i="30"/>
  <c r="M68" i="30"/>
  <c r="J68" i="30"/>
  <c r="Q68" i="30" s="1"/>
  <c r="BL67" i="30"/>
  <c r="BZ67" i="30" s="1"/>
  <c r="BK67" i="30"/>
  <c r="AY67" i="30"/>
  <c r="BW67" i="30" s="1"/>
  <c r="AP67" i="30"/>
  <c r="BS67" i="30"/>
  <c r="W67" i="30"/>
  <c r="AG67" i="30" s="1"/>
  <c r="V67" i="30"/>
  <c r="AF67" i="30" s="1"/>
  <c r="S67" i="30"/>
  <c r="M67" i="30"/>
  <c r="J67" i="30"/>
  <c r="P67" i="30" s="1"/>
  <c r="BL66" i="30"/>
  <c r="BZ66" i="30" s="1"/>
  <c r="BK66" i="30"/>
  <c r="BY66" i="30" s="1"/>
  <c r="AY66" i="30"/>
  <c r="AP66" i="30"/>
  <c r="BT66" i="30" s="1"/>
  <c r="BS66" i="30"/>
  <c r="W66" i="30"/>
  <c r="AG66" i="30" s="1"/>
  <c r="V66" i="30"/>
  <c r="S66" i="30"/>
  <c r="M66" i="30"/>
  <c r="J66" i="30"/>
  <c r="BJ65" i="30"/>
  <c r="BI65" i="30"/>
  <c r="BH65" i="30"/>
  <c r="BG65" i="30"/>
  <c r="BF65" i="30"/>
  <c r="BE65" i="30"/>
  <c r="BD65" i="30"/>
  <c r="BC65" i="30"/>
  <c r="BB65" i="30"/>
  <c r="BA65" i="30"/>
  <c r="AX65" i="30"/>
  <c r="AW65" i="30"/>
  <c r="AN65" i="30"/>
  <c r="AM65" i="30"/>
  <c r="AL65" i="30"/>
  <c r="AJ65" i="30"/>
  <c r="AI65" i="30"/>
  <c r="AE65" i="30"/>
  <c r="AD65" i="30"/>
  <c r="AC65" i="30"/>
  <c r="AB65" i="30"/>
  <c r="AA65" i="30"/>
  <c r="Z65" i="30"/>
  <c r="Y65" i="30"/>
  <c r="X65" i="30"/>
  <c r="U65" i="30"/>
  <c r="T65" i="30"/>
  <c r="R65" i="30"/>
  <c r="O65" i="30"/>
  <c r="N65" i="30"/>
  <c r="L65" i="30"/>
  <c r="K65" i="30"/>
  <c r="BL64" i="30"/>
  <c r="BZ64" i="30" s="1"/>
  <c r="BK64" i="30"/>
  <c r="AY64" i="30"/>
  <c r="BW64" i="30" s="1"/>
  <c r="AP64" i="30"/>
  <c r="BT64" i="30" s="1"/>
  <c r="BS64" i="30"/>
  <c r="W64" i="30"/>
  <c r="AG64" i="30" s="1"/>
  <c r="V64" i="30"/>
  <c r="AF64" i="30" s="1"/>
  <c r="S64" i="30"/>
  <c r="M64" i="30"/>
  <c r="J64" i="30"/>
  <c r="Q64" i="30" s="1"/>
  <c r="BL63" i="30"/>
  <c r="BZ63" i="30" s="1"/>
  <c r="BK63" i="30"/>
  <c r="AY63" i="30"/>
  <c r="BW63" i="30" s="1"/>
  <c r="AP63" i="30"/>
  <c r="BT63" i="30" s="1"/>
  <c r="BS63" i="30"/>
  <c r="W63" i="30"/>
  <c r="AG63" i="30" s="1"/>
  <c r="V63" i="30"/>
  <c r="AF63" i="30" s="1"/>
  <c r="S63" i="30"/>
  <c r="M63" i="30"/>
  <c r="J63" i="30"/>
  <c r="P63" i="30" s="1"/>
  <c r="BL62" i="30"/>
  <c r="BK62" i="30"/>
  <c r="AY62" i="30"/>
  <c r="BW62" i="30" s="1"/>
  <c r="AP62" i="30"/>
  <c r="BS62" i="30"/>
  <c r="W62" i="30"/>
  <c r="V62" i="30"/>
  <c r="AF62" i="30" s="1"/>
  <c r="S62" i="30"/>
  <c r="M62" i="30"/>
  <c r="J62" i="30"/>
  <c r="BJ61" i="30"/>
  <c r="BI61" i="30"/>
  <c r="BH61" i="30"/>
  <c r="BG61" i="30"/>
  <c r="BF61" i="30"/>
  <c r="BE61" i="30"/>
  <c r="BD61" i="30"/>
  <c r="BC61" i="30"/>
  <c r="BB61" i="30"/>
  <c r="BA61" i="30"/>
  <c r="AX61" i="30"/>
  <c r="AW61" i="30"/>
  <c r="AN61" i="30"/>
  <c r="AM61" i="30"/>
  <c r="AL61" i="30"/>
  <c r="AJ61" i="30"/>
  <c r="AI61" i="30"/>
  <c r="AE61" i="30"/>
  <c r="AD61" i="30"/>
  <c r="AC61" i="30"/>
  <c r="AB61" i="30"/>
  <c r="AA61" i="30"/>
  <c r="Z61" i="30"/>
  <c r="Y61" i="30"/>
  <c r="X61" i="30"/>
  <c r="U61" i="30"/>
  <c r="T61" i="30"/>
  <c r="R61" i="30"/>
  <c r="O61" i="30"/>
  <c r="N61" i="30"/>
  <c r="L61" i="30"/>
  <c r="K61" i="30"/>
  <c r="BL60" i="30"/>
  <c r="BZ60" i="30" s="1"/>
  <c r="BK60" i="30"/>
  <c r="BY60" i="30" s="1"/>
  <c r="AY60" i="30"/>
  <c r="BW60" i="30" s="1"/>
  <c r="AP60" i="30"/>
  <c r="BT60" i="30" s="1"/>
  <c r="BS60" i="30"/>
  <c r="W60" i="30"/>
  <c r="AG60" i="30" s="1"/>
  <c r="V60" i="30"/>
  <c r="AF60" i="30" s="1"/>
  <c r="BP60" i="30" s="1"/>
  <c r="S60" i="30"/>
  <c r="M60" i="30"/>
  <c r="J60" i="30"/>
  <c r="P60" i="30" s="1"/>
  <c r="BL59" i="30"/>
  <c r="BZ59" i="30" s="1"/>
  <c r="BK59" i="30"/>
  <c r="BY59" i="30" s="1"/>
  <c r="AY59" i="30"/>
  <c r="BW59" i="30" s="1"/>
  <c r="AP59" i="30"/>
  <c r="BT59" i="30" s="1"/>
  <c r="W59" i="30"/>
  <c r="AG59" i="30" s="1"/>
  <c r="BQ59" i="30" s="1"/>
  <c r="V59" i="30"/>
  <c r="AF59" i="30" s="1"/>
  <c r="S59" i="30"/>
  <c r="M59" i="30"/>
  <c r="J59" i="30"/>
  <c r="Q59" i="30" s="1"/>
  <c r="BL58" i="30"/>
  <c r="BZ58" i="30" s="1"/>
  <c r="BK58" i="30"/>
  <c r="BY58" i="30" s="1"/>
  <c r="AY58" i="30"/>
  <c r="BW58" i="30" s="1"/>
  <c r="AP58" i="30"/>
  <c r="BT58" i="30" s="1"/>
  <c r="BS58" i="30"/>
  <c r="W58" i="30"/>
  <c r="AG58" i="30" s="1"/>
  <c r="V58" i="30"/>
  <c r="AF58" i="30" s="1"/>
  <c r="S58" i="30"/>
  <c r="M58" i="30"/>
  <c r="J58" i="30"/>
  <c r="BL57" i="30"/>
  <c r="BZ57" i="30" s="1"/>
  <c r="BK57" i="30"/>
  <c r="BY57" i="30" s="1"/>
  <c r="AY57" i="30"/>
  <c r="BW57" i="30" s="1"/>
  <c r="AP57" i="30"/>
  <c r="BT57" i="30" s="1"/>
  <c r="BS57" i="30"/>
  <c r="W57" i="30"/>
  <c r="AG57" i="30" s="1"/>
  <c r="V57" i="30"/>
  <c r="AF57" i="30" s="1"/>
  <c r="BP57" i="30" s="1"/>
  <c r="S57" i="30"/>
  <c r="M57" i="30"/>
  <c r="J57" i="30"/>
  <c r="P57" i="30" s="1"/>
  <c r="BL56" i="30"/>
  <c r="BZ56" i="30" s="1"/>
  <c r="BK56" i="30"/>
  <c r="AY56" i="30"/>
  <c r="BW56" i="30" s="1"/>
  <c r="AP56" i="30"/>
  <c r="BT56" i="30" s="1"/>
  <c r="BS56" i="30"/>
  <c r="W56" i="30"/>
  <c r="AG56" i="30" s="1"/>
  <c r="BQ56" i="30" s="1"/>
  <c r="V56" i="30"/>
  <c r="AF56" i="30" s="1"/>
  <c r="S56" i="30"/>
  <c r="M56" i="30"/>
  <c r="J56" i="30"/>
  <c r="BL55" i="30"/>
  <c r="BK55" i="30"/>
  <c r="AY55" i="30"/>
  <c r="AP55" i="30"/>
  <c r="BT55" i="30" s="1"/>
  <c r="W55" i="30"/>
  <c r="AG55" i="30" s="1"/>
  <c r="BQ55" i="30" s="1"/>
  <c r="V55" i="30"/>
  <c r="AF55" i="30" s="1"/>
  <c r="S55" i="30"/>
  <c r="M55" i="30"/>
  <c r="J55" i="30"/>
  <c r="P55" i="30" s="1"/>
  <c r="BJ54" i="30"/>
  <c r="BI54" i="30"/>
  <c r="BH54" i="30"/>
  <c r="BG54" i="30"/>
  <c r="BF54" i="30"/>
  <c r="BE54" i="30"/>
  <c r="BD54" i="30"/>
  <c r="BC54" i="30"/>
  <c r="BB54" i="30"/>
  <c r="BA54" i="30"/>
  <c r="AX54" i="30"/>
  <c r="AW54" i="30"/>
  <c r="AN54" i="30"/>
  <c r="AM54" i="30"/>
  <c r="AL54" i="30"/>
  <c r="AJ54" i="30"/>
  <c r="AI54" i="30"/>
  <c r="AE54" i="30"/>
  <c r="AD54" i="30"/>
  <c r="AC54" i="30"/>
  <c r="AB54" i="30"/>
  <c r="AA54" i="30"/>
  <c r="Z54" i="30"/>
  <c r="Y54" i="30"/>
  <c r="X54" i="30"/>
  <c r="U54" i="30"/>
  <c r="T54" i="30"/>
  <c r="R54" i="30"/>
  <c r="O54" i="30"/>
  <c r="N54" i="30"/>
  <c r="L54" i="30"/>
  <c r="K54" i="30"/>
  <c r="BL53" i="30"/>
  <c r="BK53" i="30"/>
  <c r="BY53" i="30" s="1"/>
  <c r="AY53" i="30"/>
  <c r="BW53" i="30" s="1"/>
  <c r="AP53" i="30"/>
  <c r="BT53" i="30" s="1"/>
  <c r="BS53" i="30"/>
  <c r="W53" i="30"/>
  <c r="AG53" i="30" s="1"/>
  <c r="V53" i="30"/>
  <c r="AF53" i="30" s="1"/>
  <c r="BP53" i="30" s="1"/>
  <c r="S53" i="30"/>
  <c r="M53" i="30"/>
  <c r="J53" i="30"/>
  <c r="BL52" i="30"/>
  <c r="BK52" i="30"/>
  <c r="BY52" i="30" s="1"/>
  <c r="AY52" i="30"/>
  <c r="BW52" i="30" s="1"/>
  <c r="AP52" i="30"/>
  <c r="BT52" i="30" s="1"/>
  <c r="W52" i="30"/>
  <c r="AG52" i="30" s="1"/>
  <c r="V52" i="30"/>
  <c r="AF52" i="30" s="1"/>
  <c r="S52" i="30"/>
  <c r="M52" i="30"/>
  <c r="J52" i="30"/>
  <c r="BL51" i="30"/>
  <c r="BZ51" i="30" s="1"/>
  <c r="BK51" i="30"/>
  <c r="AY51" i="30"/>
  <c r="BW51" i="30" s="1"/>
  <c r="AP51" i="30"/>
  <c r="BS51" i="30"/>
  <c r="W51" i="30"/>
  <c r="AG51" i="30" s="1"/>
  <c r="V51" i="30"/>
  <c r="S51" i="30"/>
  <c r="M51" i="30"/>
  <c r="J51" i="30"/>
  <c r="BL50" i="30"/>
  <c r="BZ50" i="30" s="1"/>
  <c r="BK50" i="30"/>
  <c r="AY50" i="30"/>
  <c r="BW50" i="30" s="1"/>
  <c r="AP50" i="30"/>
  <c r="BT50" i="30" s="1"/>
  <c r="BS50" i="30"/>
  <c r="W50" i="30"/>
  <c r="AG50" i="30" s="1"/>
  <c r="V50" i="30"/>
  <c r="AF50" i="30" s="1"/>
  <c r="BP50" i="30" s="1"/>
  <c r="S50" i="30"/>
  <c r="M50" i="30"/>
  <c r="J50" i="30"/>
  <c r="BL49" i="30"/>
  <c r="BK49" i="30"/>
  <c r="AY49" i="30"/>
  <c r="BW49" i="30" s="1"/>
  <c r="AP49" i="30"/>
  <c r="W49" i="30"/>
  <c r="AG49" i="30" s="1"/>
  <c r="BQ49" i="30" s="1"/>
  <c r="V49" i="30"/>
  <c r="AF49" i="30" s="1"/>
  <c r="S49" i="30"/>
  <c r="M49" i="30"/>
  <c r="J49" i="30"/>
  <c r="BJ48" i="30"/>
  <c r="BI48" i="30"/>
  <c r="BH48" i="30"/>
  <c r="BG48" i="30"/>
  <c r="BF48" i="30"/>
  <c r="BE48" i="30"/>
  <c r="BD48" i="30"/>
  <c r="BC48" i="30"/>
  <c r="BB48" i="30"/>
  <c r="BA48" i="30"/>
  <c r="AX48" i="30"/>
  <c r="AW48" i="30"/>
  <c r="AN48" i="30"/>
  <c r="AM48" i="30"/>
  <c r="AL48" i="30"/>
  <c r="AJ48" i="30"/>
  <c r="AI48" i="30"/>
  <c r="AE48" i="30"/>
  <c r="AD48" i="30"/>
  <c r="AC48" i="30"/>
  <c r="AB48" i="30"/>
  <c r="AA48" i="30"/>
  <c r="Z48" i="30"/>
  <c r="Y48" i="30"/>
  <c r="X48" i="30"/>
  <c r="U48" i="30"/>
  <c r="T48" i="30"/>
  <c r="R48" i="30"/>
  <c r="O48" i="30"/>
  <c r="N48" i="30"/>
  <c r="L48" i="30"/>
  <c r="K48" i="30"/>
  <c r="BL47" i="30"/>
  <c r="BZ47" i="30" s="1"/>
  <c r="BK47" i="30"/>
  <c r="AY47" i="30"/>
  <c r="BW47" i="30" s="1"/>
  <c r="AP47" i="30"/>
  <c r="BT47" i="30" s="1"/>
  <c r="BS47" i="30"/>
  <c r="W47" i="30"/>
  <c r="AG47" i="30" s="1"/>
  <c r="V47" i="30"/>
  <c r="AF47" i="30" s="1"/>
  <c r="S47" i="30"/>
  <c r="M47" i="30"/>
  <c r="J47" i="30"/>
  <c r="BL46" i="30"/>
  <c r="BK46" i="30"/>
  <c r="BY46" i="30" s="1"/>
  <c r="AY46" i="30"/>
  <c r="BW46" i="30" s="1"/>
  <c r="AP46" i="30"/>
  <c r="BT46" i="30" s="1"/>
  <c r="W46" i="30"/>
  <c r="AG46" i="30" s="1"/>
  <c r="BQ46" i="30" s="1"/>
  <c r="V46" i="30"/>
  <c r="AF46" i="30" s="1"/>
  <c r="S46" i="30"/>
  <c r="M46" i="30"/>
  <c r="J46" i="30"/>
  <c r="P46" i="30" s="1"/>
  <c r="BL45" i="30"/>
  <c r="BZ45" i="30" s="1"/>
  <c r="BK45" i="30"/>
  <c r="BY45" i="30" s="1"/>
  <c r="AY45" i="30"/>
  <c r="BW45" i="30" s="1"/>
  <c r="AP45" i="30"/>
  <c r="BS45" i="30"/>
  <c r="W45" i="30"/>
  <c r="AG45" i="30" s="1"/>
  <c r="BQ45" i="30" s="1"/>
  <c r="V45" i="30"/>
  <c r="S45" i="30"/>
  <c r="M45" i="30"/>
  <c r="J45" i="30"/>
  <c r="Q45" i="30" s="1"/>
  <c r="BJ44" i="30"/>
  <c r="BI44" i="30"/>
  <c r="BH44" i="30"/>
  <c r="BG44" i="30"/>
  <c r="BF44" i="30"/>
  <c r="BE44" i="30"/>
  <c r="BD44" i="30"/>
  <c r="BB44" i="30"/>
  <c r="BA44" i="30"/>
  <c r="AX44" i="30"/>
  <c r="AN44" i="30"/>
  <c r="AM44" i="30"/>
  <c r="AL44" i="30"/>
  <c r="AJ44" i="30"/>
  <c r="AI44" i="30"/>
  <c r="AE44" i="30"/>
  <c r="AD44" i="30"/>
  <c r="AC44" i="30"/>
  <c r="AB44" i="30"/>
  <c r="AA44" i="30"/>
  <c r="Z44" i="30"/>
  <c r="Y44" i="30"/>
  <c r="U44" i="30"/>
  <c r="T44" i="30"/>
  <c r="R44" i="30"/>
  <c r="O44" i="30"/>
  <c r="N44" i="30"/>
  <c r="L44" i="30"/>
  <c r="K44" i="30"/>
  <c r="BL43" i="30"/>
  <c r="BZ43" i="30" s="1"/>
  <c r="BK43" i="30"/>
  <c r="AY43" i="30"/>
  <c r="BW43" i="30" s="1"/>
  <c r="AP43" i="30"/>
  <c r="BS43" i="30"/>
  <c r="W43" i="30"/>
  <c r="AG43" i="30" s="1"/>
  <c r="V43" i="30"/>
  <c r="AF43" i="30" s="1"/>
  <c r="S43" i="30"/>
  <c r="M43" i="30"/>
  <c r="J43" i="30"/>
  <c r="P43" i="30" s="1"/>
  <c r="BL42" i="30"/>
  <c r="BZ42" i="30" s="1"/>
  <c r="BK42" i="30"/>
  <c r="BY42" i="30" s="1"/>
  <c r="AY42" i="30"/>
  <c r="BW42" i="30" s="1"/>
  <c r="AP42" i="30"/>
  <c r="BT42" i="30" s="1"/>
  <c r="W42" i="30"/>
  <c r="AG42" i="30" s="1"/>
  <c r="V42" i="30"/>
  <c r="AF42" i="30" s="1"/>
  <c r="S42" i="30"/>
  <c r="M42" i="30"/>
  <c r="J42" i="30"/>
  <c r="P42" i="30" s="1"/>
  <c r="BL41" i="30"/>
  <c r="BZ41" i="30" s="1"/>
  <c r="BK41" i="30"/>
  <c r="BY41" i="30" s="1"/>
  <c r="AY41" i="30"/>
  <c r="BW41" i="30" s="1"/>
  <c r="AP41" i="30"/>
  <c r="BT41" i="30" s="1"/>
  <c r="BS41" i="30"/>
  <c r="W41" i="30"/>
  <c r="AG41" i="30" s="1"/>
  <c r="V41" i="30"/>
  <c r="AF41" i="30" s="1"/>
  <c r="S41" i="30"/>
  <c r="M41" i="30"/>
  <c r="J41" i="30"/>
  <c r="Q41" i="30" s="1"/>
  <c r="BL40" i="30"/>
  <c r="BZ40" i="30" s="1"/>
  <c r="BC40" i="30"/>
  <c r="BC44" i="30" s="1"/>
  <c r="AW40" i="30"/>
  <c r="AW105" i="30" s="1"/>
  <c r="AP40" i="30"/>
  <c r="BT40" i="30" s="1"/>
  <c r="BS40" i="30"/>
  <c r="X40" i="30"/>
  <c r="W40" i="30"/>
  <c r="AG40" i="30" s="1"/>
  <c r="V40" i="30"/>
  <c r="S40" i="30"/>
  <c r="M40" i="30"/>
  <c r="J40" i="30"/>
  <c r="Q40" i="30" s="1"/>
  <c r="BL39" i="30"/>
  <c r="BZ39" i="30" s="1"/>
  <c r="BK39" i="30"/>
  <c r="BY39" i="30" s="1"/>
  <c r="AY39" i="30"/>
  <c r="BW39" i="30" s="1"/>
  <c r="AP39" i="30"/>
  <c r="BT39" i="30" s="1"/>
  <c r="W39" i="30"/>
  <c r="AG39" i="30" s="1"/>
  <c r="BQ39" i="30" s="1"/>
  <c r="V39" i="30"/>
  <c r="AF39" i="30" s="1"/>
  <c r="BP39" i="30" s="1"/>
  <c r="S39" i="30"/>
  <c r="M39" i="30"/>
  <c r="J39" i="30"/>
  <c r="P39" i="30" s="1"/>
  <c r="BL38" i="30"/>
  <c r="BK38" i="30"/>
  <c r="BY38" i="30" s="1"/>
  <c r="AY38" i="30"/>
  <c r="BW38" i="30" s="1"/>
  <c r="AP38" i="30"/>
  <c r="BT38" i="30" s="1"/>
  <c r="W38" i="30"/>
  <c r="V38" i="30"/>
  <c r="AF38" i="30" s="1"/>
  <c r="S38" i="30"/>
  <c r="M38" i="30"/>
  <c r="J38" i="30"/>
  <c r="BJ37" i="30"/>
  <c r="BI37" i="30"/>
  <c r="BH37" i="30"/>
  <c r="BG37" i="30"/>
  <c r="BF37" i="30"/>
  <c r="BE37" i="30"/>
  <c r="BD37" i="30"/>
  <c r="BC37" i="30"/>
  <c r="BB37" i="30"/>
  <c r="BA37" i="30"/>
  <c r="AX37" i="30"/>
  <c r="AW37" i="30"/>
  <c r="AN37" i="30"/>
  <c r="AM37" i="30"/>
  <c r="AL37" i="30"/>
  <c r="AJ37" i="30"/>
  <c r="AI37" i="30"/>
  <c r="AE37" i="30"/>
  <c r="AD37" i="30"/>
  <c r="AC37" i="30"/>
  <c r="AB37" i="30"/>
  <c r="AA37" i="30"/>
  <c r="Z37" i="30"/>
  <c r="Y37" i="30"/>
  <c r="X37" i="30"/>
  <c r="U37" i="30"/>
  <c r="T37" i="30"/>
  <c r="R37" i="30"/>
  <c r="O37" i="30"/>
  <c r="N37" i="30"/>
  <c r="L37" i="30"/>
  <c r="K37" i="30"/>
  <c r="BL36" i="30"/>
  <c r="BZ36" i="30" s="1"/>
  <c r="BK36" i="30"/>
  <c r="AY36" i="30"/>
  <c r="BW36" i="30" s="1"/>
  <c r="AP36" i="30"/>
  <c r="BT36" i="30" s="1"/>
  <c r="W36" i="30"/>
  <c r="AG36" i="30" s="1"/>
  <c r="V36" i="30"/>
  <c r="AF36" i="30" s="1"/>
  <c r="BP36" i="30" s="1"/>
  <c r="S36" i="30"/>
  <c r="M36" i="30"/>
  <c r="J36" i="30"/>
  <c r="Q36" i="30" s="1"/>
  <c r="BL35" i="30"/>
  <c r="BZ35" i="30" s="1"/>
  <c r="BK35" i="30"/>
  <c r="AY35" i="30"/>
  <c r="BW35" i="30" s="1"/>
  <c r="AP35" i="30"/>
  <c r="BT35" i="30" s="1"/>
  <c r="W35" i="30"/>
  <c r="AG35" i="30" s="1"/>
  <c r="V35" i="30"/>
  <c r="AF35" i="30" s="1"/>
  <c r="BP35" i="30" s="1"/>
  <c r="S35" i="30"/>
  <c r="M35" i="30"/>
  <c r="J35" i="30"/>
  <c r="Q35" i="30" s="1"/>
  <c r="BL34" i="30"/>
  <c r="BZ34" i="30" s="1"/>
  <c r="BK34" i="30"/>
  <c r="AY34" i="30"/>
  <c r="BW34" i="30" s="1"/>
  <c r="AP34" i="30"/>
  <c r="BT34" i="30" s="1"/>
  <c r="W34" i="30"/>
  <c r="AG34" i="30" s="1"/>
  <c r="BQ34" i="30" s="1"/>
  <c r="V34" i="30"/>
  <c r="AF34" i="30" s="1"/>
  <c r="S34" i="30"/>
  <c r="M34" i="30"/>
  <c r="J34" i="30"/>
  <c r="Q34" i="30" s="1"/>
  <c r="BL33" i="30"/>
  <c r="BZ33" i="30" s="1"/>
  <c r="BK33" i="30"/>
  <c r="BY33" i="30" s="1"/>
  <c r="AY33" i="30"/>
  <c r="BW33" i="30" s="1"/>
  <c r="AP33" i="30"/>
  <c r="BT33" i="30" s="1"/>
  <c r="W33" i="30"/>
  <c r="AG33" i="30" s="1"/>
  <c r="V33" i="30"/>
  <c r="AF33" i="30" s="1"/>
  <c r="S33" i="30"/>
  <c r="M33" i="30"/>
  <c r="J33" i="30"/>
  <c r="P33" i="30" s="1"/>
  <c r="BL32" i="30"/>
  <c r="BZ32" i="30" s="1"/>
  <c r="BK32" i="30"/>
  <c r="BY32" i="30" s="1"/>
  <c r="AY32" i="30"/>
  <c r="AP32" i="30"/>
  <c r="BT32" i="30" s="1"/>
  <c r="W32" i="30"/>
  <c r="V32" i="30"/>
  <c r="S32" i="30"/>
  <c r="M32" i="30"/>
  <c r="J32" i="30"/>
  <c r="BL31" i="30"/>
  <c r="BZ31" i="30" s="1"/>
  <c r="BK31" i="30"/>
  <c r="AY31" i="30"/>
  <c r="AP31" i="30"/>
  <c r="BS31" i="30"/>
  <c r="W31" i="30"/>
  <c r="V31" i="30"/>
  <c r="AF31" i="30" s="1"/>
  <c r="BP31" i="30" s="1"/>
  <c r="S31" i="30"/>
  <c r="M31" i="30"/>
  <c r="J31" i="30"/>
  <c r="Q31" i="30" s="1"/>
  <c r="BJ30" i="30"/>
  <c r="BI30" i="30"/>
  <c r="BH30" i="30"/>
  <c r="BG30" i="30"/>
  <c r="BF30" i="30"/>
  <c r="BE30" i="30"/>
  <c r="BD30" i="30"/>
  <c r="BC30" i="30"/>
  <c r="BB30" i="30"/>
  <c r="BA30" i="30"/>
  <c r="AX30" i="30"/>
  <c r="AW30" i="30"/>
  <c r="AN30" i="30"/>
  <c r="AM30" i="30"/>
  <c r="AL30" i="30"/>
  <c r="AJ30" i="30"/>
  <c r="AI30" i="30"/>
  <c r="AE30" i="30"/>
  <c r="AD30" i="30"/>
  <c r="AC30" i="30"/>
  <c r="AB30" i="30"/>
  <c r="AA30" i="30"/>
  <c r="Z30" i="30"/>
  <c r="Y30" i="30"/>
  <c r="X30" i="30"/>
  <c r="U30" i="30"/>
  <c r="T30" i="30"/>
  <c r="R30" i="30"/>
  <c r="O30" i="30"/>
  <c r="N30" i="30"/>
  <c r="L30" i="30"/>
  <c r="K30" i="30"/>
  <c r="BL29" i="30"/>
  <c r="BL112" i="30" s="1"/>
  <c r="BK29" i="30"/>
  <c r="BK112" i="30" s="1"/>
  <c r="AY29" i="30"/>
  <c r="AY30" i="30" s="1"/>
  <c r="AP29" i="30"/>
  <c r="BT29" i="30" s="1"/>
  <c r="W29" i="30"/>
  <c r="V29" i="30"/>
  <c r="S29" i="30"/>
  <c r="S112" i="30" s="1"/>
  <c r="M29" i="30"/>
  <c r="M112" i="30" s="1"/>
  <c r="J29" i="30"/>
  <c r="BJ28" i="30"/>
  <c r="BI28" i="30"/>
  <c r="BH28" i="30"/>
  <c r="BG28" i="30"/>
  <c r="BF28" i="30"/>
  <c r="BE28" i="30"/>
  <c r="BD28" i="30"/>
  <c r="BB28" i="30"/>
  <c r="BA28" i="30"/>
  <c r="AX28" i="30"/>
  <c r="AW28" i="30"/>
  <c r="AN28" i="30"/>
  <c r="AM28" i="30"/>
  <c r="AL28" i="30"/>
  <c r="AJ28" i="30"/>
  <c r="AI28" i="30"/>
  <c r="AE28" i="30"/>
  <c r="AD28" i="30"/>
  <c r="AC28" i="30"/>
  <c r="AB28" i="30"/>
  <c r="AA28" i="30"/>
  <c r="Z28" i="30"/>
  <c r="Y28" i="30"/>
  <c r="U28" i="30"/>
  <c r="T28" i="30"/>
  <c r="R28" i="30"/>
  <c r="O28" i="30"/>
  <c r="N28" i="30"/>
  <c r="L28" i="30"/>
  <c r="K28" i="30"/>
  <c r="BL27" i="30"/>
  <c r="BZ27" i="30" s="1"/>
  <c r="BK27" i="30"/>
  <c r="AY27" i="30"/>
  <c r="BW27" i="30" s="1"/>
  <c r="AP27" i="30"/>
  <c r="BT27" i="30" s="1"/>
  <c r="W27" i="30"/>
  <c r="AG27" i="30" s="1"/>
  <c r="V27" i="30"/>
  <c r="AF27" i="30" s="1"/>
  <c r="S27" i="30"/>
  <c r="M27" i="30"/>
  <c r="J27" i="30"/>
  <c r="Q27" i="30" s="1"/>
  <c r="BL26" i="30"/>
  <c r="BZ26" i="30" s="1"/>
  <c r="BK26" i="30"/>
  <c r="AY26" i="30"/>
  <c r="BW26" i="30" s="1"/>
  <c r="AP26" i="30"/>
  <c r="BT26" i="30" s="1"/>
  <c r="BS26" i="30"/>
  <c r="W26" i="30"/>
  <c r="AG26" i="30" s="1"/>
  <c r="V26" i="30"/>
  <c r="AF26" i="30" s="1"/>
  <c r="S26" i="30"/>
  <c r="M26" i="30"/>
  <c r="J26" i="30"/>
  <c r="Q26" i="30" s="1"/>
  <c r="BL25" i="30"/>
  <c r="BZ25" i="30" s="1"/>
  <c r="BK25" i="30"/>
  <c r="BC25" i="30"/>
  <c r="AY25" i="30"/>
  <c r="BW25" i="30" s="1"/>
  <c r="AP25" i="30"/>
  <c r="BT25" i="30" s="1"/>
  <c r="X25" i="30"/>
  <c r="W25" i="30"/>
  <c r="AG25" i="30" s="1"/>
  <c r="V25" i="30"/>
  <c r="S25" i="30"/>
  <c r="M25" i="30"/>
  <c r="J25" i="30"/>
  <c r="Q25" i="30" s="1"/>
  <c r="BL24" i="30"/>
  <c r="BK24" i="30"/>
  <c r="AY24" i="30"/>
  <c r="AP24" i="30"/>
  <c r="BT24" i="30" s="1"/>
  <c r="BS24" i="30"/>
  <c r="W24" i="30"/>
  <c r="AG24" i="30" s="1"/>
  <c r="V24" i="30"/>
  <c r="AF24" i="30" s="1"/>
  <c r="S24" i="30"/>
  <c r="M24" i="30"/>
  <c r="J24" i="30"/>
  <c r="BJ23" i="30"/>
  <c r="BI23" i="30"/>
  <c r="BH23" i="30"/>
  <c r="BG23" i="30"/>
  <c r="BF23" i="30"/>
  <c r="BE23" i="30"/>
  <c r="BD23" i="30"/>
  <c r="BC23" i="30"/>
  <c r="BB23" i="30"/>
  <c r="BA23" i="30"/>
  <c r="AX23" i="30"/>
  <c r="AW23" i="30"/>
  <c r="AN23" i="30"/>
  <c r="AM23" i="30"/>
  <c r="AL23" i="30"/>
  <c r="AJ23" i="30"/>
  <c r="AI23" i="30"/>
  <c r="AE23" i="30"/>
  <c r="AD23" i="30"/>
  <c r="AC23" i="30"/>
  <c r="AB23" i="30"/>
  <c r="AA23" i="30"/>
  <c r="Z23" i="30"/>
  <c r="Y23" i="30"/>
  <c r="X23" i="30"/>
  <c r="U23" i="30"/>
  <c r="T23" i="30"/>
  <c r="R23" i="30"/>
  <c r="O23" i="30"/>
  <c r="N23" i="30"/>
  <c r="L23" i="30"/>
  <c r="K23" i="30"/>
  <c r="BL22" i="30"/>
  <c r="BK22" i="30"/>
  <c r="BY22" i="30" s="1"/>
  <c r="AY22" i="30"/>
  <c r="BW22" i="30" s="1"/>
  <c r="AP22" i="30"/>
  <c r="BT22" i="30" s="1"/>
  <c r="W22" i="30"/>
  <c r="AG22" i="30" s="1"/>
  <c r="V22" i="30"/>
  <c r="AF22" i="30" s="1"/>
  <c r="S22" i="30"/>
  <c r="M22" i="30"/>
  <c r="J22" i="30"/>
  <c r="BL21" i="30"/>
  <c r="BZ21" i="30" s="1"/>
  <c r="BK21" i="30"/>
  <c r="BY21" i="30" s="1"/>
  <c r="AY21" i="30"/>
  <c r="BW21" i="30" s="1"/>
  <c r="AP21" i="30"/>
  <c r="BT21" i="30" s="1"/>
  <c r="W21" i="30"/>
  <c r="AG21" i="30" s="1"/>
  <c r="V21" i="30"/>
  <c r="AF21" i="30" s="1"/>
  <c r="S21" i="30"/>
  <c r="M21" i="30"/>
  <c r="J21" i="30"/>
  <c r="Q21" i="30" s="1"/>
  <c r="BL20" i="30"/>
  <c r="BZ20" i="30" s="1"/>
  <c r="BK20" i="30"/>
  <c r="AY20" i="30"/>
  <c r="AP20" i="30"/>
  <c r="W20" i="30"/>
  <c r="V20" i="30"/>
  <c r="S20" i="30"/>
  <c r="M20" i="30"/>
  <c r="J20" i="30"/>
  <c r="Q20" i="30" s="1"/>
  <c r="BL19" i="30"/>
  <c r="BZ19" i="30" s="1"/>
  <c r="BK19" i="30"/>
  <c r="BY19" i="30" s="1"/>
  <c r="AY19" i="30"/>
  <c r="BW19" i="30" s="1"/>
  <c r="AP19" i="30"/>
  <c r="BT19" i="30" s="1"/>
  <c r="W19" i="30"/>
  <c r="AG19" i="30" s="1"/>
  <c r="V19" i="30"/>
  <c r="AF19" i="30" s="1"/>
  <c r="S19" i="30"/>
  <c r="M19" i="30"/>
  <c r="J19" i="30"/>
  <c r="P19" i="30" s="1"/>
  <c r="BL18" i="30"/>
  <c r="BK18" i="30"/>
  <c r="AY18" i="30"/>
  <c r="BW18" i="30" s="1"/>
  <c r="AP18" i="30"/>
  <c r="W18" i="30"/>
  <c r="AG18" i="30" s="1"/>
  <c r="BQ18" i="30" s="1"/>
  <c r="V18" i="30"/>
  <c r="S18" i="30"/>
  <c r="M18" i="30"/>
  <c r="J18" i="30"/>
  <c r="BJ17" i="30"/>
  <c r="BI17" i="30"/>
  <c r="BH17" i="30"/>
  <c r="BG17" i="30"/>
  <c r="BF17" i="30"/>
  <c r="BE17" i="30"/>
  <c r="BD17" i="30"/>
  <c r="BC17" i="30"/>
  <c r="BB17" i="30"/>
  <c r="BA17" i="30"/>
  <c r="AX17" i="30"/>
  <c r="AW17" i="30"/>
  <c r="AN17" i="30"/>
  <c r="AM17" i="30"/>
  <c r="AL17" i="30"/>
  <c r="AJ17" i="30"/>
  <c r="AI17" i="30"/>
  <c r="AE17" i="30"/>
  <c r="AD17" i="30"/>
  <c r="AC17" i="30"/>
  <c r="AB17" i="30"/>
  <c r="AA17" i="30"/>
  <c r="Z17" i="30"/>
  <c r="Y17" i="30"/>
  <c r="X17" i="30"/>
  <c r="U17" i="30"/>
  <c r="T17" i="30"/>
  <c r="R17" i="30"/>
  <c r="O17" i="30"/>
  <c r="N17" i="30"/>
  <c r="L17" i="30"/>
  <c r="K17" i="30"/>
  <c r="BL16" i="30"/>
  <c r="BL113" i="30" s="1"/>
  <c r="BK16" i="30"/>
  <c r="BK17" i="30" s="1"/>
  <c r="AY16" i="30"/>
  <c r="AP16" i="30"/>
  <c r="AO113" i="30"/>
  <c r="W16" i="30"/>
  <c r="V16" i="30"/>
  <c r="S16" i="30"/>
  <c r="S113" i="30" s="1"/>
  <c r="M16" i="30"/>
  <c r="J16" i="30"/>
  <c r="BJ15" i="30"/>
  <c r="BI15" i="30"/>
  <c r="BH15" i="30"/>
  <c r="BG15" i="30"/>
  <c r="BF15" i="30"/>
  <c r="BE15" i="30"/>
  <c r="BD15" i="30"/>
  <c r="BB15" i="30"/>
  <c r="BA15" i="30"/>
  <c r="AX15" i="30"/>
  <c r="AW15" i="30"/>
  <c r="AN15" i="30"/>
  <c r="AM15" i="30"/>
  <c r="AL15" i="30"/>
  <c r="AJ15" i="30"/>
  <c r="AI15" i="30"/>
  <c r="AE15" i="30"/>
  <c r="AD15" i="30"/>
  <c r="AC15" i="30"/>
  <c r="AB15" i="30"/>
  <c r="AA15" i="30"/>
  <c r="Z15" i="30"/>
  <c r="Y15" i="30"/>
  <c r="U15" i="30"/>
  <c r="T15" i="30"/>
  <c r="R15" i="30"/>
  <c r="O15" i="30"/>
  <c r="N15" i="30"/>
  <c r="L15" i="30"/>
  <c r="K15" i="30"/>
  <c r="BL14" i="30"/>
  <c r="BK14" i="30"/>
  <c r="BY14" i="30" s="1"/>
  <c r="AY14" i="30"/>
  <c r="AP14" i="30"/>
  <c r="W14" i="30"/>
  <c r="V14" i="30"/>
  <c r="S14" i="30"/>
  <c r="M14" i="30"/>
  <c r="J14" i="30"/>
  <c r="Q14" i="30" s="1"/>
  <c r="BL13" i="30"/>
  <c r="BZ13" i="30" s="1"/>
  <c r="BC13" i="30"/>
  <c r="BC15" i="30" s="1"/>
  <c r="AY13" i="30"/>
  <c r="AP13" i="30"/>
  <c r="BT13" i="30" s="1"/>
  <c r="BS13" i="30"/>
  <c r="X13" i="30"/>
  <c r="W13" i="30"/>
  <c r="AG13" i="30" s="1"/>
  <c r="V13" i="30"/>
  <c r="S13" i="30"/>
  <c r="M13" i="30"/>
  <c r="J13" i="30"/>
  <c r="BL12" i="30"/>
  <c r="BK12" i="30"/>
  <c r="AY12" i="30"/>
  <c r="BW12" i="30" s="1"/>
  <c r="AP12" i="30"/>
  <c r="W12" i="30"/>
  <c r="AG12" i="30" s="1"/>
  <c r="V12" i="30"/>
  <c r="AF12" i="30" s="1"/>
  <c r="S12" i="30"/>
  <c r="M12" i="30"/>
  <c r="J12" i="30"/>
  <c r="Q12" i="30" s="1"/>
  <c r="BJ204" i="29"/>
  <c r="BI204" i="29"/>
  <c r="BH204" i="29"/>
  <c r="BG204" i="29"/>
  <c r="BF204" i="29"/>
  <c r="BE204" i="29"/>
  <c r="BD204" i="29"/>
  <c r="BC204" i="29"/>
  <c r="BB204" i="29"/>
  <c r="BA204" i="29"/>
  <c r="AX204" i="29"/>
  <c r="AW204" i="29"/>
  <c r="AN204" i="29"/>
  <c r="AM204" i="29"/>
  <c r="AL204" i="29"/>
  <c r="AJ204" i="29"/>
  <c r="AI204" i="29"/>
  <c r="AE204" i="29"/>
  <c r="AD204" i="29"/>
  <c r="AC204" i="29"/>
  <c r="AB204" i="29"/>
  <c r="AA204" i="29"/>
  <c r="Z204" i="29"/>
  <c r="Y204" i="29"/>
  <c r="X204" i="29"/>
  <c r="U204" i="29"/>
  <c r="T204" i="29"/>
  <c r="R204" i="29"/>
  <c r="O204" i="29"/>
  <c r="N204" i="29"/>
  <c r="L204" i="29"/>
  <c r="K204" i="29"/>
  <c r="BJ203" i="29"/>
  <c r="BI203" i="29"/>
  <c r="BH203" i="29"/>
  <c r="BG203" i="29"/>
  <c r="BF203" i="29"/>
  <c r="BE203" i="29"/>
  <c r="BD203" i="29"/>
  <c r="BC203" i="29"/>
  <c r="BB203" i="29"/>
  <c r="BA203" i="29"/>
  <c r="AX203" i="29"/>
  <c r="AW203" i="29"/>
  <c r="AN203" i="29"/>
  <c r="AM203" i="29"/>
  <c r="AL203" i="29"/>
  <c r="AJ203" i="29"/>
  <c r="AI203" i="29"/>
  <c r="AE203" i="29"/>
  <c r="AD203" i="29"/>
  <c r="AC203" i="29"/>
  <c r="AB203" i="29"/>
  <c r="AA203" i="29"/>
  <c r="Z203" i="29"/>
  <c r="Y203" i="29"/>
  <c r="X203" i="29"/>
  <c r="U203" i="29"/>
  <c r="T203" i="29"/>
  <c r="R203" i="29"/>
  <c r="O203" i="29"/>
  <c r="N203" i="29"/>
  <c r="L203" i="29"/>
  <c r="K203" i="29"/>
  <c r="BJ202" i="29"/>
  <c r="BI202" i="29"/>
  <c r="BH202" i="29"/>
  <c r="BG202" i="29"/>
  <c r="BF202" i="29"/>
  <c r="BE202" i="29"/>
  <c r="BD202" i="29"/>
  <c r="BC202" i="29"/>
  <c r="BB202" i="29"/>
  <c r="BA202" i="29"/>
  <c r="AX202" i="29"/>
  <c r="AW202" i="29"/>
  <c r="AN202" i="29"/>
  <c r="AM202" i="29"/>
  <c r="AL202" i="29"/>
  <c r="AJ202" i="29"/>
  <c r="AI202" i="29"/>
  <c r="AE202" i="29"/>
  <c r="AD202" i="29"/>
  <c r="AC202" i="29"/>
  <c r="AB202" i="29"/>
  <c r="AA202" i="29"/>
  <c r="Z202" i="29"/>
  <c r="Y202" i="29"/>
  <c r="X202" i="29"/>
  <c r="U202" i="29"/>
  <c r="T202" i="29"/>
  <c r="R202" i="29"/>
  <c r="O202" i="29"/>
  <c r="N202" i="29"/>
  <c r="L202" i="29"/>
  <c r="K202" i="29"/>
  <c r="BJ201" i="29"/>
  <c r="BI201" i="29"/>
  <c r="BH201" i="29"/>
  <c r="BG201" i="29"/>
  <c r="BF201" i="29"/>
  <c r="BE201" i="29"/>
  <c r="BD201" i="29"/>
  <c r="BC201" i="29"/>
  <c r="BB201" i="29"/>
  <c r="BA201" i="29"/>
  <c r="AX201" i="29"/>
  <c r="AW201" i="29"/>
  <c r="AN201" i="29"/>
  <c r="AM201" i="29"/>
  <c r="AL201" i="29"/>
  <c r="AJ201" i="29"/>
  <c r="AI201" i="29"/>
  <c r="AE201" i="29"/>
  <c r="AD201" i="29"/>
  <c r="AC201" i="29"/>
  <c r="AB201" i="29"/>
  <c r="AA201" i="29"/>
  <c r="Z201" i="29"/>
  <c r="Y201" i="29"/>
  <c r="X201" i="29"/>
  <c r="U201" i="29"/>
  <c r="T201" i="29"/>
  <c r="R201" i="29"/>
  <c r="O201" i="29"/>
  <c r="N201" i="29"/>
  <c r="L201" i="29"/>
  <c r="K201" i="29"/>
  <c r="BZ200" i="29"/>
  <c r="BY200" i="29"/>
  <c r="BX200" i="29"/>
  <c r="BW200" i="29"/>
  <c r="BV200" i="29"/>
  <c r="BU200" i="29"/>
  <c r="BT200" i="29"/>
  <c r="BS200" i="29"/>
  <c r="BR200" i="29"/>
  <c r="BQ200" i="29"/>
  <c r="BP200" i="29"/>
  <c r="BO200" i="29"/>
  <c r="BN200" i="29"/>
  <c r="BM200" i="29"/>
  <c r="BL200" i="29"/>
  <c r="BK200" i="29"/>
  <c r="BJ200" i="29"/>
  <c r="BI200" i="29"/>
  <c r="BH200" i="29"/>
  <c r="BG200" i="29"/>
  <c r="BF200" i="29"/>
  <c r="BE200" i="29"/>
  <c r="BD200" i="29"/>
  <c r="BC200" i="29"/>
  <c r="BB200" i="29"/>
  <c r="BA200" i="29"/>
  <c r="AZ200" i="29"/>
  <c r="AY200" i="29"/>
  <c r="AX200" i="29"/>
  <c r="AW200" i="29"/>
  <c r="AV200" i="29"/>
  <c r="AU200" i="29"/>
  <c r="AT200" i="29"/>
  <c r="AS200" i="29"/>
  <c r="AR200" i="29"/>
  <c r="AQ200" i="29"/>
  <c r="AP200" i="29"/>
  <c r="AO200" i="29"/>
  <c r="AN200" i="29"/>
  <c r="AM200" i="29"/>
  <c r="AL200" i="29"/>
  <c r="AJ200" i="29"/>
  <c r="AI200" i="29"/>
  <c r="AH200" i="29"/>
  <c r="AG200" i="29"/>
  <c r="AF200" i="29"/>
  <c r="AE200" i="29"/>
  <c r="AD200" i="29"/>
  <c r="AC200" i="29"/>
  <c r="AB200" i="29"/>
  <c r="AA200" i="29"/>
  <c r="Z200" i="29"/>
  <c r="Y200" i="29"/>
  <c r="X200" i="29"/>
  <c r="W200" i="29"/>
  <c r="V200" i="29"/>
  <c r="U200" i="29"/>
  <c r="T200" i="29"/>
  <c r="S200" i="29"/>
  <c r="R200" i="29"/>
  <c r="Q200" i="29"/>
  <c r="P200" i="29"/>
  <c r="O200" i="29"/>
  <c r="N200" i="29"/>
  <c r="M200" i="29"/>
  <c r="L200" i="29"/>
  <c r="K200" i="29"/>
  <c r="J200" i="29"/>
  <c r="I200" i="29"/>
  <c r="BZ199" i="29"/>
  <c r="BY199" i="29"/>
  <c r="BX199" i="29"/>
  <c r="BW199" i="29"/>
  <c r="BV199" i="29"/>
  <c r="BU199" i="29"/>
  <c r="BT199" i="29"/>
  <c r="BS199" i="29"/>
  <c r="BR199" i="29"/>
  <c r="BQ199" i="29"/>
  <c r="BP199" i="29"/>
  <c r="BO199" i="29"/>
  <c r="BN199" i="29"/>
  <c r="BM199" i="29"/>
  <c r="BL199" i="29"/>
  <c r="BK199" i="29"/>
  <c r="BJ199" i="29"/>
  <c r="BI199" i="29"/>
  <c r="BH199" i="29"/>
  <c r="BG199" i="29"/>
  <c r="BF199" i="29"/>
  <c r="BE199" i="29"/>
  <c r="BD199" i="29"/>
  <c r="BC199" i="29"/>
  <c r="BB199" i="29"/>
  <c r="BA199" i="29"/>
  <c r="AZ199" i="29"/>
  <c r="AY199" i="29"/>
  <c r="AX199" i="29"/>
  <c r="AW199" i="29"/>
  <c r="AV199" i="29"/>
  <c r="AU199" i="29"/>
  <c r="AT199" i="29"/>
  <c r="AS199" i="29"/>
  <c r="AR199" i="29"/>
  <c r="AQ199" i="29"/>
  <c r="AP199" i="29"/>
  <c r="AO199" i="29"/>
  <c r="AN199" i="29"/>
  <c r="AM199" i="29"/>
  <c r="AL199" i="29"/>
  <c r="AJ199" i="29"/>
  <c r="AI199" i="29"/>
  <c r="AH199" i="29"/>
  <c r="AG199" i="29"/>
  <c r="AF199" i="29"/>
  <c r="AE199" i="29"/>
  <c r="AD199" i="29"/>
  <c r="AC199" i="29"/>
  <c r="AB199" i="29"/>
  <c r="AA199" i="29"/>
  <c r="Z199" i="29"/>
  <c r="Y199" i="29"/>
  <c r="X199" i="29"/>
  <c r="W199" i="29"/>
  <c r="V199" i="29"/>
  <c r="U199" i="29"/>
  <c r="T199" i="29"/>
  <c r="S199" i="29"/>
  <c r="R199" i="29"/>
  <c r="Q199" i="29"/>
  <c r="P199" i="29"/>
  <c r="O199" i="29"/>
  <c r="N199" i="29"/>
  <c r="M199" i="29"/>
  <c r="L199" i="29"/>
  <c r="K199" i="29"/>
  <c r="J199" i="29"/>
  <c r="I199" i="29"/>
  <c r="BJ198" i="29"/>
  <c r="BI198" i="29"/>
  <c r="BH198" i="29"/>
  <c r="BG198" i="29"/>
  <c r="BF198" i="29"/>
  <c r="BE198" i="29"/>
  <c r="BD198" i="29"/>
  <c r="BC198" i="29"/>
  <c r="BB198" i="29"/>
  <c r="BA198" i="29"/>
  <c r="AX198" i="29"/>
  <c r="AW198" i="29"/>
  <c r="AN198" i="29"/>
  <c r="AM198" i="29"/>
  <c r="AL198" i="29"/>
  <c r="AJ198" i="29"/>
  <c r="AI198" i="29"/>
  <c r="AE198" i="29"/>
  <c r="AD198" i="29"/>
  <c r="AC198" i="29"/>
  <c r="AB198" i="29"/>
  <c r="AA198" i="29"/>
  <c r="Z198" i="29"/>
  <c r="Y198" i="29"/>
  <c r="X198" i="29"/>
  <c r="U198" i="29"/>
  <c r="T198" i="29"/>
  <c r="R198" i="29"/>
  <c r="O198" i="29"/>
  <c r="N198" i="29"/>
  <c r="L198" i="29"/>
  <c r="K198" i="29"/>
  <c r="BZ197" i="29"/>
  <c r="BY197" i="29"/>
  <c r="BX197" i="29"/>
  <c r="BW197" i="29"/>
  <c r="BV197" i="29"/>
  <c r="BU197" i="29"/>
  <c r="BT197" i="29"/>
  <c r="BS197" i="29"/>
  <c r="BR197" i="29"/>
  <c r="BQ197" i="29"/>
  <c r="BP197" i="29"/>
  <c r="BO197" i="29"/>
  <c r="BN197" i="29"/>
  <c r="BM197" i="29"/>
  <c r="BL197" i="29"/>
  <c r="BK197" i="29"/>
  <c r="BJ197" i="29"/>
  <c r="BI197" i="29"/>
  <c r="BH197" i="29"/>
  <c r="BG197" i="29"/>
  <c r="BF197" i="29"/>
  <c r="BE197" i="29"/>
  <c r="BD197" i="29"/>
  <c r="BC197" i="29"/>
  <c r="BB197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J196" i="29"/>
  <c r="BI196" i="29"/>
  <c r="BH196" i="29"/>
  <c r="BG196" i="29"/>
  <c r="BF196" i="29"/>
  <c r="BE196" i="29"/>
  <c r="BD196" i="29"/>
  <c r="BB196" i="29"/>
  <c r="BA196" i="29"/>
  <c r="AX196" i="29"/>
  <c r="AW196" i="29"/>
  <c r="AN196" i="29"/>
  <c r="AM196" i="29"/>
  <c r="AL196" i="29"/>
  <c r="AJ196" i="29"/>
  <c r="AI196" i="29"/>
  <c r="AE196" i="29"/>
  <c r="AD196" i="29"/>
  <c r="AC196" i="29"/>
  <c r="AB196" i="29"/>
  <c r="AA196" i="29"/>
  <c r="Z196" i="29"/>
  <c r="Y196" i="29"/>
  <c r="U196" i="29"/>
  <c r="T196" i="29"/>
  <c r="R196" i="29"/>
  <c r="O196" i="29"/>
  <c r="N196" i="29"/>
  <c r="L196" i="29"/>
  <c r="K196" i="29"/>
  <c r="BJ195" i="29"/>
  <c r="BI195" i="29"/>
  <c r="BH195" i="29"/>
  <c r="BG195" i="29"/>
  <c r="BF195" i="29"/>
  <c r="BE195" i="29"/>
  <c r="BD195" i="29"/>
  <c r="BB195" i="29"/>
  <c r="BA195" i="29"/>
  <c r="AX195" i="29"/>
  <c r="AW195" i="29"/>
  <c r="AN195" i="29"/>
  <c r="AM195" i="29"/>
  <c r="AL195" i="29"/>
  <c r="AJ195" i="29"/>
  <c r="AI195" i="29"/>
  <c r="AE195" i="29"/>
  <c r="AD195" i="29"/>
  <c r="AC195" i="29"/>
  <c r="AB195" i="29"/>
  <c r="AA195" i="29"/>
  <c r="Z195" i="29"/>
  <c r="Y195" i="29"/>
  <c r="U195" i="29"/>
  <c r="T195" i="29"/>
  <c r="R195" i="29"/>
  <c r="O195" i="29"/>
  <c r="N195" i="29"/>
  <c r="L195" i="29"/>
  <c r="K195" i="29"/>
  <c r="BJ190" i="29"/>
  <c r="BI190" i="29"/>
  <c r="BH190" i="29"/>
  <c r="BG190" i="29"/>
  <c r="BF190" i="29"/>
  <c r="BE190" i="29"/>
  <c r="BD190" i="29"/>
  <c r="BB190" i="29"/>
  <c r="BA190" i="29"/>
  <c r="AX190" i="29"/>
  <c r="AW190" i="29"/>
  <c r="AN190" i="29"/>
  <c r="AM190" i="29"/>
  <c r="AL190" i="29"/>
  <c r="AJ190" i="29"/>
  <c r="AI190" i="29"/>
  <c r="AE190" i="29"/>
  <c r="AD190" i="29"/>
  <c r="AC190" i="29"/>
  <c r="AB190" i="29"/>
  <c r="AA190" i="29"/>
  <c r="Z190" i="29"/>
  <c r="Y190" i="29"/>
  <c r="U190" i="29"/>
  <c r="T190" i="29"/>
  <c r="R190" i="29"/>
  <c r="O190" i="29"/>
  <c r="N190" i="29"/>
  <c r="L190" i="29"/>
  <c r="K190" i="29"/>
  <c r="BL189" i="29"/>
  <c r="BZ189" i="29" s="1"/>
  <c r="BK189" i="29"/>
  <c r="AY189" i="29"/>
  <c r="BW189" i="29" s="1"/>
  <c r="AP189" i="29"/>
  <c r="BS189" i="29"/>
  <c r="W189" i="29"/>
  <c r="AG189" i="29" s="1"/>
  <c r="V189" i="29"/>
  <c r="AF189" i="29" s="1"/>
  <c r="S189" i="29"/>
  <c r="M189" i="29"/>
  <c r="J189" i="29"/>
  <c r="P189" i="29" s="1"/>
  <c r="BL188" i="29"/>
  <c r="BZ188" i="29" s="1"/>
  <c r="BK188" i="29"/>
  <c r="AY188" i="29"/>
  <c r="BW188" i="29" s="1"/>
  <c r="AP188" i="29"/>
  <c r="BS188" i="29"/>
  <c r="W188" i="29"/>
  <c r="V188" i="29"/>
  <c r="AF188" i="29" s="1"/>
  <c r="S188" i="29"/>
  <c r="M188" i="29"/>
  <c r="J188" i="29"/>
  <c r="P188" i="29" s="1"/>
  <c r="BL187" i="29"/>
  <c r="BZ187" i="29" s="1"/>
  <c r="BK187" i="29"/>
  <c r="BY187" i="29" s="1"/>
  <c r="AY187" i="29"/>
  <c r="BW187" i="29" s="1"/>
  <c r="AP187" i="29"/>
  <c r="BT187" i="29" s="1"/>
  <c r="BS187" i="29"/>
  <c r="W187" i="29"/>
  <c r="AG187" i="29" s="1"/>
  <c r="V187" i="29"/>
  <c r="AF187" i="29" s="1"/>
  <c r="S187" i="29"/>
  <c r="M187" i="29"/>
  <c r="J187" i="29"/>
  <c r="BL186" i="29"/>
  <c r="BZ186" i="29" s="1"/>
  <c r="BC186" i="29"/>
  <c r="AY186" i="29"/>
  <c r="BW186" i="29" s="1"/>
  <c r="AP186" i="29"/>
  <c r="BS186" i="29"/>
  <c r="X186" i="29"/>
  <c r="X190" i="29" s="1"/>
  <c r="W186" i="29"/>
  <c r="V186" i="29"/>
  <c r="AF186" i="29" s="1"/>
  <c r="S186" i="29"/>
  <c r="M186" i="29"/>
  <c r="J186" i="29"/>
  <c r="Q186" i="29" s="1"/>
  <c r="BL185" i="29"/>
  <c r="BZ185" i="29" s="1"/>
  <c r="BK185" i="29"/>
  <c r="BY185" i="29" s="1"/>
  <c r="AY185" i="29"/>
  <c r="AP185" i="29"/>
  <c r="W185" i="29"/>
  <c r="V185" i="29"/>
  <c r="S185" i="29"/>
  <c r="M185" i="29"/>
  <c r="J185" i="29"/>
  <c r="P185" i="29" s="1"/>
  <c r="BL184" i="29"/>
  <c r="BK184" i="29"/>
  <c r="AY184" i="29"/>
  <c r="BW184" i="29" s="1"/>
  <c r="AP184" i="29"/>
  <c r="W184" i="29"/>
  <c r="V184" i="29"/>
  <c r="AF184" i="29" s="1"/>
  <c r="S184" i="29"/>
  <c r="M184" i="29"/>
  <c r="J184" i="29"/>
  <c r="Q184" i="29" s="1"/>
  <c r="BJ183" i="29"/>
  <c r="BI183" i="29"/>
  <c r="BH183" i="29"/>
  <c r="BG183" i="29"/>
  <c r="BF183" i="29"/>
  <c r="BE183" i="29"/>
  <c r="BD183" i="29"/>
  <c r="BC183" i="29"/>
  <c r="BB183" i="29"/>
  <c r="BA183" i="29"/>
  <c r="AX183" i="29"/>
  <c r="AW183" i="29"/>
  <c r="AN183" i="29"/>
  <c r="AM183" i="29"/>
  <c r="AL183" i="29"/>
  <c r="AJ183" i="29"/>
  <c r="AI183" i="29"/>
  <c r="AE183" i="29"/>
  <c r="AD183" i="29"/>
  <c r="AC183" i="29"/>
  <c r="AB183" i="29"/>
  <c r="AA183" i="29"/>
  <c r="Z183" i="29"/>
  <c r="Y183" i="29"/>
  <c r="X183" i="29"/>
  <c r="U183" i="29"/>
  <c r="T183" i="29"/>
  <c r="R183" i="29"/>
  <c r="O183" i="29"/>
  <c r="N183" i="29"/>
  <c r="L183" i="29"/>
  <c r="K183" i="29"/>
  <c r="BL182" i="29"/>
  <c r="BZ182" i="29" s="1"/>
  <c r="BK182" i="29"/>
  <c r="AY182" i="29"/>
  <c r="BW182" i="29" s="1"/>
  <c r="AP182" i="29"/>
  <c r="BT182" i="29" s="1"/>
  <c r="BS182" i="29"/>
  <c r="W182" i="29"/>
  <c r="AG182" i="29" s="1"/>
  <c r="V182" i="29"/>
  <c r="S182" i="29"/>
  <c r="M182" i="29"/>
  <c r="J182" i="29"/>
  <c r="P182" i="29" s="1"/>
  <c r="BL181" i="29"/>
  <c r="BZ181" i="29" s="1"/>
  <c r="BK181" i="29"/>
  <c r="BY181" i="29" s="1"/>
  <c r="AY181" i="29"/>
  <c r="BW181" i="29" s="1"/>
  <c r="AP181" i="29"/>
  <c r="BT181" i="29" s="1"/>
  <c r="W181" i="29"/>
  <c r="AG181" i="29" s="1"/>
  <c r="V181" i="29"/>
  <c r="AF181" i="29" s="1"/>
  <c r="S181" i="29"/>
  <c r="M181" i="29"/>
  <c r="J181" i="29"/>
  <c r="BL180" i="29"/>
  <c r="BZ180" i="29" s="1"/>
  <c r="BK180" i="29"/>
  <c r="AY180" i="29"/>
  <c r="BW180" i="29" s="1"/>
  <c r="AP180" i="29"/>
  <c r="BT180" i="29" s="1"/>
  <c r="BS180" i="29"/>
  <c r="W180" i="29"/>
  <c r="V180" i="29"/>
  <c r="S180" i="29"/>
  <c r="M180" i="29"/>
  <c r="J180" i="29"/>
  <c r="Q180" i="29" s="1"/>
  <c r="BL179" i="29"/>
  <c r="BZ179" i="29" s="1"/>
  <c r="BK179" i="29"/>
  <c r="AY179" i="29"/>
  <c r="BW179" i="29" s="1"/>
  <c r="AP179" i="29"/>
  <c r="BT179" i="29" s="1"/>
  <c r="BS179" i="29"/>
  <c r="W179" i="29"/>
  <c r="AG179" i="29" s="1"/>
  <c r="V179" i="29"/>
  <c r="AF179" i="29" s="1"/>
  <c r="S179" i="29"/>
  <c r="M179" i="29"/>
  <c r="J179" i="29"/>
  <c r="Q179" i="29" s="1"/>
  <c r="BL178" i="29"/>
  <c r="BK178" i="29"/>
  <c r="BY178" i="29" s="1"/>
  <c r="AY178" i="29"/>
  <c r="AP178" i="29"/>
  <c r="BT178" i="29" s="1"/>
  <c r="BS178" i="29"/>
  <c r="W178" i="29"/>
  <c r="AG178" i="29" s="1"/>
  <c r="V178" i="29"/>
  <c r="S178" i="29"/>
  <c r="M178" i="29"/>
  <c r="J178" i="29"/>
  <c r="BJ177" i="29"/>
  <c r="BI177" i="29"/>
  <c r="BH177" i="29"/>
  <c r="BG177" i="29"/>
  <c r="BF177" i="29"/>
  <c r="BE177" i="29"/>
  <c r="BD177" i="29"/>
  <c r="BC177" i="29"/>
  <c r="BB177" i="29"/>
  <c r="BA177" i="29"/>
  <c r="AX177" i="29"/>
  <c r="AW177" i="29"/>
  <c r="AN177" i="29"/>
  <c r="AM177" i="29"/>
  <c r="AL177" i="29"/>
  <c r="AJ177" i="29"/>
  <c r="AI177" i="29"/>
  <c r="AE177" i="29"/>
  <c r="AD177" i="29"/>
  <c r="AC177" i="29"/>
  <c r="AB177" i="29"/>
  <c r="AA177" i="29"/>
  <c r="Z177" i="29"/>
  <c r="Y177" i="29"/>
  <c r="X177" i="29"/>
  <c r="U177" i="29"/>
  <c r="T177" i="29"/>
  <c r="R177" i="29"/>
  <c r="O177" i="29"/>
  <c r="N177" i="29"/>
  <c r="L177" i="29"/>
  <c r="K177" i="29"/>
  <c r="BL176" i="29"/>
  <c r="BZ176" i="29" s="1"/>
  <c r="BK176" i="29"/>
  <c r="BY176" i="29" s="1"/>
  <c r="AY176" i="29"/>
  <c r="BW176" i="29" s="1"/>
  <c r="AP176" i="29"/>
  <c r="BT176" i="29" s="1"/>
  <c r="W176" i="29"/>
  <c r="AG176" i="29" s="1"/>
  <c r="V176" i="29"/>
  <c r="S176" i="29"/>
  <c r="M176" i="29"/>
  <c r="J176" i="29"/>
  <c r="BL175" i="29"/>
  <c r="BZ175" i="29" s="1"/>
  <c r="BK175" i="29"/>
  <c r="AY175" i="29"/>
  <c r="AP175" i="29"/>
  <c r="BT175" i="29" s="1"/>
  <c r="BS175" i="29"/>
  <c r="W175" i="29"/>
  <c r="AG175" i="29" s="1"/>
  <c r="V175" i="29"/>
  <c r="AF175" i="29" s="1"/>
  <c r="S175" i="29"/>
  <c r="M175" i="29"/>
  <c r="J175" i="29"/>
  <c r="BJ174" i="29"/>
  <c r="BI174" i="29"/>
  <c r="BH174" i="29"/>
  <c r="BG174" i="29"/>
  <c r="BF174" i="29"/>
  <c r="BE174" i="29"/>
  <c r="BD174" i="29"/>
  <c r="BC174" i="29"/>
  <c r="BB174" i="29"/>
  <c r="BA174" i="29"/>
  <c r="AX174" i="29"/>
  <c r="AW174" i="29"/>
  <c r="AN174" i="29"/>
  <c r="AM174" i="29"/>
  <c r="AL174" i="29"/>
  <c r="AJ174" i="29"/>
  <c r="AI174" i="29"/>
  <c r="AE174" i="29"/>
  <c r="AD174" i="29"/>
  <c r="AC174" i="29"/>
  <c r="AB174" i="29"/>
  <c r="AA174" i="29"/>
  <c r="Z174" i="29"/>
  <c r="Y174" i="29"/>
  <c r="X174" i="29"/>
  <c r="U174" i="29"/>
  <c r="T174" i="29"/>
  <c r="R174" i="29"/>
  <c r="O174" i="29"/>
  <c r="N174" i="29"/>
  <c r="L174" i="29"/>
  <c r="K174" i="29"/>
  <c r="BL173" i="29"/>
  <c r="BZ173" i="29" s="1"/>
  <c r="BK173" i="29"/>
  <c r="AY173" i="29"/>
  <c r="BW173" i="29" s="1"/>
  <c r="AP173" i="29"/>
  <c r="BS173" i="29"/>
  <c r="W173" i="29"/>
  <c r="AG173" i="29" s="1"/>
  <c r="V173" i="29"/>
  <c r="AF173" i="29" s="1"/>
  <c r="S173" i="29"/>
  <c r="M173" i="29"/>
  <c r="J173" i="29"/>
  <c r="BL172" i="29"/>
  <c r="BZ172" i="29" s="1"/>
  <c r="BK172" i="29"/>
  <c r="BY172" i="29" s="1"/>
  <c r="AY172" i="29"/>
  <c r="BW172" i="29" s="1"/>
  <c r="AP172" i="29"/>
  <c r="BT172" i="29" s="1"/>
  <c r="BS172" i="29"/>
  <c r="W172" i="29"/>
  <c r="AG172" i="29" s="1"/>
  <c r="V172" i="29"/>
  <c r="AF172" i="29" s="1"/>
  <c r="S172" i="29"/>
  <c r="M172" i="29"/>
  <c r="J172" i="29"/>
  <c r="BL171" i="29"/>
  <c r="BZ171" i="29" s="1"/>
  <c r="BK171" i="29"/>
  <c r="AY171" i="29"/>
  <c r="BW171" i="29" s="1"/>
  <c r="AP171" i="29"/>
  <c r="BS171" i="29"/>
  <c r="W171" i="29"/>
  <c r="AG171" i="29" s="1"/>
  <c r="V171" i="29"/>
  <c r="AF171" i="29" s="1"/>
  <c r="S171" i="29"/>
  <c r="M171" i="29"/>
  <c r="J171" i="29"/>
  <c r="BL170" i="29"/>
  <c r="BZ170" i="29" s="1"/>
  <c r="BK170" i="29"/>
  <c r="AY170" i="29"/>
  <c r="BW170" i="29" s="1"/>
  <c r="AP170" i="29"/>
  <c r="BT170" i="29" s="1"/>
  <c r="W170" i="29"/>
  <c r="AG170" i="29" s="1"/>
  <c r="V170" i="29"/>
  <c r="S170" i="29"/>
  <c r="M170" i="29"/>
  <c r="J170" i="29"/>
  <c r="Q170" i="29" s="1"/>
  <c r="BL169" i="29"/>
  <c r="BK169" i="29"/>
  <c r="BY169" i="29" s="1"/>
  <c r="AY169" i="29"/>
  <c r="BW169" i="29" s="1"/>
  <c r="AP169" i="29"/>
  <c r="BS169" i="29"/>
  <c r="W169" i="29"/>
  <c r="AG169" i="29" s="1"/>
  <c r="V169" i="29"/>
  <c r="AF169" i="29" s="1"/>
  <c r="S169" i="29"/>
  <c r="M169" i="29"/>
  <c r="J169" i="29"/>
  <c r="BL168" i="29"/>
  <c r="BZ168" i="29" s="1"/>
  <c r="BK168" i="29"/>
  <c r="BY168" i="29" s="1"/>
  <c r="AY168" i="29"/>
  <c r="AP168" i="29"/>
  <c r="BT168" i="29" s="1"/>
  <c r="W168" i="29"/>
  <c r="AG168" i="29" s="1"/>
  <c r="V168" i="29"/>
  <c r="AF168" i="29" s="1"/>
  <c r="S168" i="29"/>
  <c r="M168" i="29"/>
  <c r="J168" i="29"/>
  <c r="Q168" i="29" s="1"/>
  <c r="BJ167" i="29"/>
  <c r="BI167" i="29"/>
  <c r="BH167" i="29"/>
  <c r="BG167" i="29"/>
  <c r="BF167" i="29"/>
  <c r="BE167" i="29"/>
  <c r="BD167" i="29"/>
  <c r="BC167" i="29"/>
  <c r="BB167" i="29"/>
  <c r="BA167" i="29"/>
  <c r="AX167" i="29"/>
  <c r="AW167" i="29"/>
  <c r="AN167" i="29"/>
  <c r="AM167" i="29"/>
  <c r="AL167" i="29"/>
  <c r="AJ167" i="29"/>
  <c r="AI167" i="29"/>
  <c r="AE167" i="29"/>
  <c r="AD167" i="29"/>
  <c r="AC167" i="29"/>
  <c r="AB167" i="29"/>
  <c r="AA167" i="29"/>
  <c r="Z167" i="29"/>
  <c r="Y167" i="29"/>
  <c r="X167" i="29"/>
  <c r="U167" i="29"/>
  <c r="T167" i="29"/>
  <c r="R167" i="29"/>
  <c r="O167" i="29"/>
  <c r="N167" i="29"/>
  <c r="L167" i="29"/>
  <c r="K167" i="29"/>
  <c r="BL166" i="29"/>
  <c r="BZ166" i="29" s="1"/>
  <c r="BK166" i="29"/>
  <c r="AY166" i="29"/>
  <c r="BW166" i="29" s="1"/>
  <c r="AP166" i="29"/>
  <c r="BT166" i="29" s="1"/>
  <c r="BS166" i="29"/>
  <c r="W166" i="29"/>
  <c r="V166" i="29"/>
  <c r="AF166" i="29" s="1"/>
  <c r="S166" i="29"/>
  <c r="M166" i="29"/>
  <c r="J166" i="29"/>
  <c r="Q166" i="29" s="1"/>
  <c r="BL165" i="29"/>
  <c r="BZ165" i="29" s="1"/>
  <c r="BK165" i="29"/>
  <c r="AY165" i="29"/>
  <c r="BW165" i="29" s="1"/>
  <c r="AP165" i="29"/>
  <c r="BT165" i="29" s="1"/>
  <c r="W165" i="29"/>
  <c r="V165" i="29"/>
  <c r="AF165" i="29" s="1"/>
  <c r="S165" i="29"/>
  <c r="M165" i="29"/>
  <c r="J165" i="29"/>
  <c r="Q165" i="29" s="1"/>
  <c r="BL164" i="29"/>
  <c r="BZ164" i="29" s="1"/>
  <c r="BK164" i="29"/>
  <c r="AY164" i="29"/>
  <c r="AP164" i="29"/>
  <c r="W164" i="29"/>
  <c r="AG164" i="29" s="1"/>
  <c r="V164" i="29"/>
  <c r="AF164" i="29" s="1"/>
  <c r="S164" i="29"/>
  <c r="M164" i="29"/>
  <c r="J164" i="29"/>
  <c r="Q164" i="29" s="1"/>
  <c r="BJ163" i="29"/>
  <c r="BI163" i="29"/>
  <c r="BH163" i="29"/>
  <c r="BG163" i="29"/>
  <c r="BF163" i="29"/>
  <c r="BE163" i="29"/>
  <c r="BD163" i="29"/>
  <c r="BC163" i="29"/>
  <c r="BB163" i="29"/>
  <c r="BA163" i="29"/>
  <c r="AX163" i="29"/>
  <c r="AW163" i="29"/>
  <c r="AN163" i="29"/>
  <c r="AM163" i="29"/>
  <c r="AL163" i="29"/>
  <c r="AJ163" i="29"/>
  <c r="AI163" i="29"/>
  <c r="AE163" i="29"/>
  <c r="AD163" i="29"/>
  <c r="AC163" i="29"/>
  <c r="AB163" i="29"/>
  <c r="AA163" i="29"/>
  <c r="Z163" i="29"/>
  <c r="Y163" i="29"/>
  <c r="X163" i="29"/>
  <c r="U163" i="29"/>
  <c r="T163" i="29"/>
  <c r="R163" i="29"/>
  <c r="O163" i="29"/>
  <c r="N163" i="29"/>
  <c r="L163" i="29"/>
  <c r="K163" i="29"/>
  <c r="BL162" i="29"/>
  <c r="BZ162" i="29" s="1"/>
  <c r="BK162" i="29"/>
  <c r="AY162" i="29"/>
  <c r="BW162" i="29" s="1"/>
  <c r="AP162" i="29"/>
  <c r="BT162" i="29" s="1"/>
  <c r="BS162" i="29"/>
  <c r="W162" i="29"/>
  <c r="V162" i="29"/>
  <c r="S162" i="29"/>
  <c r="M162" i="29"/>
  <c r="J162" i="29"/>
  <c r="Q162" i="29" s="1"/>
  <c r="BL161" i="29"/>
  <c r="BZ161" i="29" s="1"/>
  <c r="BK161" i="29"/>
  <c r="AY161" i="29"/>
  <c r="BW161" i="29" s="1"/>
  <c r="AP161" i="29"/>
  <c r="BT161" i="29" s="1"/>
  <c r="BS161" i="29"/>
  <c r="W161" i="29"/>
  <c r="V161" i="29"/>
  <c r="AF161" i="29" s="1"/>
  <c r="S161" i="29"/>
  <c r="M161" i="29"/>
  <c r="J161" i="29"/>
  <c r="Q161" i="29" s="1"/>
  <c r="BL160" i="29"/>
  <c r="BZ160" i="29" s="1"/>
  <c r="BK160" i="29"/>
  <c r="BY160" i="29" s="1"/>
  <c r="AY160" i="29"/>
  <c r="BW160" i="29" s="1"/>
  <c r="AP160" i="29"/>
  <c r="BT160" i="29" s="1"/>
  <c r="BS160" i="29"/>
  <c r="W160" i="29"/>
  <c r="AG160" i="29" s="1"/>
  <c r="V160" i="29"/>
  <c r="AF160" i="29" s="1"/>
  <c r="S160" i="29"/>
  <c r="M160" i="29"/>
  <c r="J160" i="29"/>
  <c r="P160" i="29" s="1"/>
  <c r="BL159" i="29"/>
  <c r="BK159" i="29"/>
  <c r="BY159" i="29" s="1"/>
  <c r="AY159" i="29"/>
  <c r="AP159" i="29"/>
  <c r="BT159" i="29" s="1"/>
  <c r="W159" i="29"/>
  <c r="AG159" i="29" s="1"/>
  <c r="V159" i="29"/>
  <c r="AF159" i="29" s="1"/>
  <c r="S159" i="29"/>
  <c r="M159" i="29"/>
  <c r="J159" i="29"/>
  <c r="Q159" i="29" s="1"/>
  <c r="BJ158" i="29"/>
  <c r="BI158" i="29"/>
  <c r="BH158" i="29"/>
  <c r="BG158" i="29"/>
  <c r="BF158" i="29"/>
  <c r="BE158" i="29"/>
  <c r="BD158" i="29"/>
  <c r="BB158" i="29"/>
  <c r="BA158" i="29"/>
  <c r="AX158" i="29"/>
  <c r="AW158" i="29"/>
  <c r="AN158" i="29"/>
  <c r="AM158" i="29"/>
  <c r="AL158" i="29"/>
  <c r="AJ158" i="29"/>
  <c r="AI158" i="29"/>
  <c r="AE158" i="29"/>
  <c r="AD158" i="29"/>
  <c r="AC158" i="29"/>
  <c r="AB158" i="29"/>
  <c r="AA158" i="29"/>
  <c r="Z158" i="29"/>
  <c r="Y158" i="29"/>
  <c r="U158" i="29"/>
  <c r="T158" i="29"/>
  <c r="R158" i="29"/>
  <c r="O158" i="29"/>
  <c r="N158" i="29"/>
  <c r="L158" i="29"/>
  <c r="K158" i="29"/>
  <c r="BL157" i="29"/>
  <c r="BZ157" i="29" s="1"/>
  <c r="BK157" i="29"/>
  <c r="BY157" i="29" s="1"/>
  <c r="AY157" i="29"/>
  <c r="BW157" i="29" s="1"/>
  <c r="AP157" i="29"/>
  <c r="BT157" i="29" s="1"/>
  <c r="W157" i="29"/>
  <c r="V157" i="29"/>
  <c r="AF157" i="29" s="1"/>
  <c r="S157" i="29"/>
  <c r="M157" i="29"/>
  <c r="J157" i="29"/>
  <c r="Q157" i="29" s="1"/>
  <c r="BL156" i="29"/>
  <c r="BC156" i="29"/>
  <c r="BK156" i="29" s="1"/>
  <c r="BY156" i="29" s="1"/>
  <c r="AY156" i="29"/>
  <c r="BW156" i="29" s="1"/>
  <c r="AP156" i="29"/>
  <c r="BT156" i="29" s="1"/>
  <c r="X156" i="29"/>
  <c r="X158" i="29" s="1"/>
  <c r="W156" i="29"/>
  <c r="V156" i="29"/>
  <c r="AF156" i="29" s="1"/>
  <c r="S156" i="29"/>
  <c r="M156" i="29"/>
  <c r="J156" i="29"/>
  <c r="BL155" i="29"/>
  <c r="BZ155" i="29" s="1"/>
  <c r="BK155" i="29"/>
  <c r="AY155" i="29"/>
  <c r="BW155" i="29" s="1"/>
  <c r="AP155" i="29"/>
  <c r="W155" i="29"/>
  <c r="AG155" i="29" s="1"/>
  <c r="V155" i="29"/>
  <c r="AF155" i="29" s="1"/>
  <c r="S155" i="29"/>
  <c r="M155" i="29"/>
  <c r="J155" i="29"/>
  <c r="Q155" i="29" s="1"/>
  <c r="BJ154" i="29"/>
  <c r="BI154" i="29"/>
  <c r="BH154" i="29"/>
  <c r="BG154" i="29"/>
  <c r="BF154" i="29"/>
  <c r="BE154" i="29"/>
  <c r="BD154" i="29"/>
  <c r="BC154" i="29"/>
  <c r="BB154" i="29"/>
  <c r="BA154" i="29"/>
  <c r="AX154" i="29"/>
  <c r="AW154" i="29"/>
  <c r="AN154" i="29"/>
  <c r="AM154" i="29"/>
  <c r="AL154" i="29"/>
  <c r="AJ154" i="29"/>
  <c r="AI154" i="29"/>
  <c r="AE154" i="29"/>
  <c r="AD154" i="29"/>
  <c r="AC154" i="29"/>
  <c r="AB154" i="29"/>
  <c r="AA154" i="29"/>
  <c r="Z154" i="29"/>
  <c r="Y154" i="29"/>
  <c r="X154" i="29"/>
  <c r="U154" i="29"/>
  <c r="T154" i="29"/>
  <c r="R154" i="29"/>
  <c r="O154" i="29"/>
  <c r="N154" i="29"/>
  <c r="L154" i="29"/>
  <c r="K154" i="29"/>
  <c r="BL153" i="29"/>
  <c r="BZ153" i="29" s="1"/>
  <c r="BK153" i="29"/>
  <c r="AY153" i="29"/>
  <c r="BW153" i="29" s="1"/>
  <c r="AP153" i="29"/>
  <c r="BS153" i="29"/>
  <c r="W153" i="29"/>
  <c r="AG153" i="29" s="1"/>
  <c r="V153" i="29"/>
  <c r="S153" i="29"/>
  <c r="M153" i="29"/>
  <c r="J153" i="29"/>
  <c r="BL152" i="29"/>
  <c r="BZ152" i="29" s="1"/>
  <c r="BK152" i="29"/>
  <c r="AY152" i="29"/>
  <c r="BW152" i="29" s="1"/>
  <c r="AP152" i="29"/>
  <c r="BT152" i="29" s="1"/>
  <c r="W152" i="29"/>
  <c r="AG152" i="29" s="1"/>
  <c r="V152" i="29"/>
  <c r="AF152" i="29" s="1"/>
  <c r="S152" i="29"/>
  <c r="M152" i="29"/>
  <c r="J152" i="29"/>
  <c r="BL151" i="29"/>
  <c r="BZ151" i="29" s="1"/>
  <c r="BK151" i="29"/>
  <c r="AY151" i="29"/>
  <c r="BW151" i="29" s="1"/>
  <c r="AP151" i="29"/>
  <c r="BS151" i="29"/>
  <c r="W151" i="29"/>
  <c r="V151" i="29"/>
  <c r="AF151" i="29" s="1"/>
  <c r="S151" i="29"/>
  <c r="M151" i="29"/>
  <c r="J151" i="29"/>
  <c r="Q151" i="29" s="1"/>
  <c r="BL150" i="29"/>
  <c r="BZ150" i="29" s="1"/>
  <c r="BK150" i="29"/>
  <c r="BY150" i="29" s="1"/>
  <c r="AY150" i="29"/>
  <c r="BW150" i="29" s="1"/>
  <c r="AP150" i="29"/>
  <c r="BT150" i="29" s="1"/>
  <c r="BS150" i="29"/>
  <c r="W150" i="29"/>
  <c r="V150" i="29"/>
  <c r="S150" i="29"/>
  <c r="M150" i="29"/>
  <c r="J150" i="29"/>
  <c r="BL149" i="29"/>
  <c r="BZ149" i="29" s="1"/>
  <c r="BK149" i="29"/>
  <c r="AY149" i="29"/>
  <c r="BW149" i="29" s="1"/>
  <c r="AP149" i="29"/>
  <c r="BT149" i="29" s="1"/>
  <c r="W149" i="29"/>
  <c r="AG149" i="29" s="1"/>
  <c r="V149" i="29"/>
  <c r="AF149" i="29" s="1"/>
  <c r="S149" i="29"/>
  <c r="M149" i="29"/>
  <c r="J149" i="29"/>
  <c r="P149" i="29" s="1"/>
  <c r="BL148" i="29"/>
  <c r="BK148" i="29"/>
  <c r="AY148" i="29"/>
  <c r="AP148" i="29"/>
  <c r="BT148" i="29" s="1"/>
  <c r="BS148" i="29"/>
  <c r="W148" i="29"/>
  <c r="AG148" i="29" s="1"/>
  <c r="V148" i="29"/>
  <c r="AF148" i="29" s="1"/>
  <c r="S148" i="29"/>
  <c r="M148" i="29"/>
  <c r="J148" i="29"/>
  <c r="Q148" i="29" s="1"/>
  <c r="BJ147" i="29"/>
  <c r="BI147" i="29"/>
  <c r="BH147" i="29"/>
  <c r="BG147" i="29"/>
  <c r="BF147" i="29"/>
  <c r="BE147" i="29"/>
  <c r="BD147" i="29"/>
  <c r="BB147" i="29"/>
  <c r="BA147" i="29"/>
  <c r="AX147" i="29"/>
  <c r="AW147" i="29"/>
  <c r="AN147" i="29"/>
  <c r="AM147" i="29"/>
  <c r="AL147" i="29"/>
  <c r="AJ147" i="29"/>
  <c r="AI147" i="29"/>
  <c r="AE147" i="29"/>
  <c r="AD147" i="29"/>
  <c r="AC147" i="29"/>
  <c r="AB147" i="29"/>
  <c r="AA147" i="29"/>
  <c r="Z147" i="29"/>
  <c r="Y147" i="29"/>
  <c r="U147" i="29"/>
  <c r="T147" i="29"/>
  <c r="R147" i="29"/>
  <c r="O147" i="29"/>
  <c r="N147" i="29"/>
  <c r="L147" i="29"/>
  <c r="K147" i="29"/>
  <c r="BL146" i="29"/>
  <c r="BK146" i="29"/>
  <c r="BY146" i="29" s="1"/>
  <c r="AY146" i="29"/>
  <c r="BW146" i="29" s="1"/>
  <c r="AP146" i="29"/>
  <c r="BT146" i="29" s="1"/>
  <c r="W146" i="29"/>
  <c r="AG146" i="29" s="1"/>
  <c r="V146" i="29"/>
  <c r="AF146" i="29" s="1"/>
  <c r="S146" i="29"/>
  <c r="M146" i="29"/>
  <c r="J146" i="29"/>
  <c r="BL145" i="29"/>
  <c r="BZ145" i="29" s="1"/>
  <c r="BK145" i="29"/>
  <c r="AY145" i="29"/>
  <c r="BW145" i="29" s="1"/>
  <c r="AP145" i="29"/>
  <c r="BT145" i="29" s="1"/>
  <c r="W145" i="29"/>
  <c r="AG145" i="29" s="1"/>
  <c r="V145" i="29"/>
  <c r="AF145" i="29" s="1"/>
  <c r="S145" i="29"/>
  <c r="M145" i="29"/>
  <c r="J145" i="29"/>
  <c r="Q145" i="29" s="1"/>
  <c r="BL144" i="29"/>
  <c r="BZ144" i="29" s="1"/>
  <c r="BK144" i="29"/>
  <c r="AY144" i="29"/>
  <c r="BW144" i="29" s="1"/>
  <c r="AP144" i="29"/>
  <c r="BS144" i="29"/>
  <c r="W144" i="29"/>
  <c r="AG144" i="29" s="1"/>
  <c r="V144" i="29"/>
  <c r="S144" i="29"/>
  <c r="M144" i="29"/>
  <c r="J144" i="29"/>
  <c r="Q144" i="29" s="1"/>
  <c r="BL143" i="29"/>
  <c r="BZ143" i="29" s="1"/>
  <c r="BK143" i="29"/>
  <c r="BY143" i="29" s="1"/>
  <c r="AY143" i="29"/>
  <c r="BW143" i="29" s="1"/>
  <c r="AP143" i="29"/>
  <c r="BT143" i="29" s="1"/>
  <c r="W143" i="29"/>
  <c r="AG143" i="29" s="1"/>
  <c r="V143" i="29"/>
  <c r="S143" i="29"/>
  <c r="M143" i="29"/>
  <c r="J143" i="29"/>
  <c r="Q143" i="29" s="1"/>
  <c r="BL142" i="29"/>
  <c r="BZ142" i="29" s="1"/>
  <c r="BC142" i="29"/>
  <c r="BC147" i="29" s="1"/>
  <c r="AY142" i="29"/>
  <c r="BW142" i="29" s="1"/>
  <c r="AP142" i="29"/>
  <c r="BT142" i="29" s="1"/>
  <c r="BS142" i="29"/>
  <c r="X142" i="29"/>
  <c r="X147" i="29" s="1"/>
  <c r="W142" i="29"/>
  <c r="AG142" i="29" s="1"/>
  <c r="V142" i="29"/>
  <c r="AF142" i="29" s="1"/>
  <c r="S142" i="29"/>
  <c r="M142" i="29"/>
  <c r="J142" i="29"/>
  <c r="BL141" i="29"/>
  <c r="BZ141" i="29" s="1"/>
  <c r="BK141" i="29"/>
  <c r="BY141" i="29" s="1"/>
  <c r="AY141" i="29"/>
  <c r="BW141" i="29" s="1"/>
  <c r="AP141" i="29"/>
  <c r="BT141" i="29" s="1"/>
  <c r="BS141" i="29"/>
  <c r="W141" i="29"/>
  <c r="V141" i="29"/>
  <c r="AF141" i="29" s="1"/>
  <c r="S141" i="29"/>
  <c r="M141" i="29"/>
  <c r="J141" i="29"/>
  <c r="BL140" i="29"/>
  <c r="BZ140" i="29" s="1"/>
  <c r="BK140" i="29"/>
  <c r="AY140" i="29"/>
  <c r="AP140" i="29"/>
  <c r="BS140" i="29"/>
  <c r="W140" i="29"/>
  <c r="AG140" i="29" s="1"/>
  <c r="V140" i="29"/>
  <c r="AF140" i="29" s="1"/>
  <c r="S140" i="29"/>
  <c r="M140" i="29"/>
  <c r="J140" i="29"/>
  <c r="P140" i="29" s="1"/>
  <c r="BJ139" i="29"/>
  <c r="BI139" i="29"/>
  <c r="BH139" i="29"/>
  <c r="BG139" i="29"/>
  <c r="BF139" i="29"/>
  <c r="BE139" i="29"/>
  <c r="BD139" i="29"/>
  <c r="BC139" i="29"/>
  <c r="BB139" i="29"/>
  <c r="BA139" i="29"/>
  <c r="AX139" i="29"/>
  <c r="AW139" i="29"/>
  <c r="AN139" i="29"/>
  <c r="AM139" i="29"/>
  <c r="AL139" i="29"/>
  <c r="AJ139" i="29"/>
  <c r="AI139" i="29"/>
  <c r="AE139" i="29"/>
  <c r="AD139" i="29"/>
  <c r="AC139" i="29"/>
  <c r="AB139" i="29"/>
  <c r="AA139" i="29"/>
  <c r="Z139" i="29"/>
  <c r="Y139" i="29"/>
  <c r="X139" i="29"/>
  <c r="U139" i="29"/>
  <c r="T139" i="29"/>
  <c r="R139" i="29"/>
  <c r="O139" i="29"/>
  <c r="N139" i="29"/>
  <c r="L139" i="29"/>
  <c r="K139" i="29"/>
  <c r="BL138" i="29"/>
  <c r="BL203" i="29" s="1"/>
  <c r="BK138" i="29"/>
  <c r="BK203" i="29" s="1"/>
  <c r="AY138" i="29"/>
  <c r="AY139" i="29" s="1"/>
  <c r="AP138" i="29"/>
  <c r="BT138" i="29" s="1"/>
  <c r="AO203" i="29"/>
  <c r="W138" i="29"/>
  <c r="AG138" i="29" s="1"/>
  <c r="AG139" i="29" s="1"/>
  <c r="V138" i="29"/>
  <c r="S138" i="29"/>
  <c r="S203" i="29" s="1"/>
  <c r="M138" i="29"/>
  <c r="J138" i="29"/>
  <c r="BJ137" i="29"/>
  <c r="BI137" i="29"/>
  <c r="BH137" i="29"/>
  <c r="BG137" i="29"/>
  <c r="BF137" i="29"/>
  <c r="BE137" i="29"/>
  <c r="BD137" i="29"/>
  <c r="BB137" i="29"/>
  <c r="BA137" i="29"/>
  <c r="AX137" i="29"/>
  <c r="AW137" i="29"/>
  <c r="AN137" i="29"/>
  <c r="AM137" i="29"/>
  <c r="AL137" i="29"/>
  <c r="AJ137" i="29"/>
  <c r="AI137" i="29"/>
  <c r="AE137" i="29"/>
  <c r="AD137" i="29"/>
  <c r="AC137" i="29"/>
  <c r="AB137" i="29"/>
  <c r="AA137" i="29"/>
  <c r="Z137" i="29"/>
  <c r="Y137" i="29"/>
  <c r="U137" i="29"/>
  <c r="T137" i="29"/>
  <c r="R137" i="29"/>
  <c r="O137" i="29"/>
  <c r="N137" i="29"/>
  <c r="L137" i="29"/>
  <c r="K137" i="29"/>
  <c r="BL136" i="29"/>
  <c r="BZ136" i="29" s="1"/>
  <c r="BK136" i="29"/>
  <c r="BY136" i="29" s="1"/>
  <c r="AY136" i="29"/>
  <c r="BW136" i="29" s="1"/>
  <c r="AP136" i="29"/>
  <c r="BT136" i="29" s="1"/>
  <c r="W136" i="29"/>
  <c r="V136" i="29"/>
  <c r="AF136" i="29" s="1"/>
  <c r="S136" i="29"/>
  <c r="M136" i="29"/>
  <c r="J136" i="29"/>
  <c r="BL135" i="29"/>
  <c r="BZ135" i="29" s="1"/>
  <c r="BK135" i="29"/>
  <c r="BY135" i="29" s="1"/>
  <c r="AY135" i="29"/>
  <c r="BW135" i="29" s="1"/>
  <c r="AP135" i="29"/>
  <c r="BT135" i="29" s="1"/>
  <c r="BS135" i="29"/>
  <c r="W135" i="29"/>
  <c r="AG135" i="29" s="1"/>
  <c r="V135" i="29"/>
  <c r="AF135" i="29" s="1"/>
  <c r="S135" i="29"/>
  <c r="M135" i="29"/>
  <c r="J135" i="29"/>
  <c r="BL134" i="29"/>
  <c r="BZ134" i="29" s="1"/>
  <c r="BK134" i="29"/>
  <c r="BY134" i="29" s="1"/>
  <c r="AY134" i="29"/>
  <c r="BW134" i="29" s="1"/>
  <c r="AP134" i="29"/>
  <c r="BT134" i="29" s="1"/>
  <c r="BS134" i="29"/>
  <c r="W134" i="29"/>
  <c r="AG134" i="29" s="1"/>
  <c r="V134" i="29"/>
  <c r="AF134" i="29" s="1"/>
  <c r="S134" i="29"/>
  <c r="M134" i="29"/>
  <c r="J134" i="29"/>
  <c r="BL133" i="29"/>
  <c r="BZ133" i="29" s="1"/>
  <c r="BC133" i="29"/>
  <c r="AY133" i="29"/>
  <c r="BW133" i="29" s="1"/>
  <c r="AP133" i="29"/>
  <c r="BT133" i="29" s="1"/>
  <c r="X133" i="29"/>
  <c r="X137" i="29" s="1"/>
  <c r="W133" i="29"/>
  <c r="V133" i="29"/>
  <c r="AF133" i="29" s="1"/>
  <c r="S133" i="29"/>
  <c r="M133" i="29"/>
  <c r="J133" i="29"/>
  <c r="BL132" i="29"/>
  <c r="BK132" i="29"/>
  <c r="AY132" i="29"/>
  <c r="AP132" i="29"/>
  <c r="BT132" i="29" s="1"/>
  <c r="W132" i="29"/>
  <c r="AG132" i="29" s="1"/>
  <c r="V132" i="29"/>
  <c r="AF132" i="29" s="1"/>
  <c r="S132" i="29"/>
  <c r="M132" i="29"/>
  <c r="J132" i="29"/>
  <c r="BJ131" i="29"/>
  <c r="BI131" i="29"/>
  <c r="BH131" i="29"/>
  <c r="BG131" i="29"/>
  <c r="BF131" i="29"/>
  <c r="BE131" i="29"/>
  <c r="BD131" i="29"/>
  <c r="BC131" i="29"/>
  <c r="BB131" i="29"/>
  <c r="BA131" i="29"/>
  <c r="AX131" i="29"/>
  <c r="AW131" i="29"/>
  <c r="AN131" i="29"/>
  <c r="AM131" i="29"/>
  <c r="AL131" i="29"/>
  <c r="AJ131" i="29"/>
  <c r="AI131" i="29"/>
  <c r="AE131" i="29"/>
  <c r="AD131" i="29"/>
  <c r="AC131" i="29"/>
  <c r="AB131" i="29"/>
  <c r="AA131" i="29"/>
  <c r="Z131" i="29"/>
  <c r="Y131" i="29"/>
  <c r="X131" i="29"/>
  <c r="U131" i="29"/>
  <c r="T131" i="29"/>
  <c r="R131" i="29"/>
  <c r="O131" i="29"/>
  <c r="N131" i="29"/>
  <c r="L131" i="29"/>
  <c r="K131" i="29"/>
  <c r="BL130" i="29"/>
  <c r="BZ130" i="29" s="1"/>
  <c r="BK130" i="29"/>
  <c r="BY130" i="29" s="1"/>
  <c r="AY130" i="29"/>
  <c r="BW130" i="29" s="1"/>
  <c r="AP130" i="29"/>
  <c r="BT130" i="29" s="1"/>
  <c r="W130" i="29"/>
  <c r="AG130" i="29" s="1"/>
  <c r="V130" i="29"/>
  <c r="AF130" i="29" s="1"/>
  <c r="S130" i="29"/>
  <c r="M130" i="29"/>
  <c r="J130" i="29"/>
  <c r="Q130" i="29" s="1"/>
  <c r="BL129" i="29"/>
  <c r="BZ129" i="29" s="1"/>
  <c r="BK129" i="29"/>
  <c r="AY129" i="29"/>
  <c r="BW129" i="29" s="1"/>
  <c r="AP129" i="29"/>
  <c r="BS129" i="29"/>
  <c r="W129" i="29"/>
  <c r="AG129" i="29" s="1"/>
  <c r="V129" i="29"/>
  <c r="S129" i="29"/>
  <c r="M129" i="29"/>
  <c r="J129" i="29"/>
  <c r="P129" i="29" s="1"/>
  <c r="BL128" i="29"/>
  <c r="BZ128" i="29" s="1"/>
  <c r="BK128" i="29"/>
  <c r="BY128" i="29" s="1"/>
  <c r="AY128" i="29"/>
  <c r="BW128" i="29" s="1"/>
  <c r="AP128" i="29"/>
  <c r="BT128" i="29" s="1"/>
  <c r="W128" i="29"/>
  <c r="V128" i="29"/>
  <c r="AF128" i="29" s="1"/>
  <c r="S128" i="29"/>
  <c r="M128" i="29"/>
  <c r="J128" i="29"/>
  <c r="P128" i="29" s="1"/>
  <c r="BL127" i="29"/>
  <c r="BZ127" i="29" s="1"/>
  <c r="BK127" i="29"/>
  <c r="AY127" i="29"/>
  <c r="BW127" i="29" s="1"/>
  <c r="AP127" i="29"/>
  <c r="BT127" i="29" s="1"/>
  <c r="BS127" i="29"/>
  <c r="W127" i="29"/>
  <c r="AG127" i="29" s="1"/>
  <c r="V127" i="29"/>
  <c r="AF127" i="29" s="1"/>
  <c r="S127" i="29"/>
  <c r="M127" i="29"/>
  <c r="J127" i="29"/>
  <c r="Q127" i="29" s="1"/>
  <c r="BL126" i="29"/>
  <c r="BZ126" i="29" s="1"/>
  <c r="BK126" i="29"/>
  <c r="BY126" i="29" s="1"/>
  <c r="AY126" i="29"/>
  <c r="AP126" i="29"/>
  <c r="BS126" i="29"/>
  <c r="W126" i="29"/>
  <c r="AG126" i="29" s="1"/>
  <c r="V126" i="29"/>
  <c r="AF126" i="29" s="1"/>
  <c r="S126" i="29"/>
  <c r="M126" i="29"/>
  <c r="J126" i="29"/>
  <c r="BJ125" i="29"/>
  <c r="BI125" i="29"/>
  <c r="BH125" i="29"/>
  <c r="BG125" i="29"/>
  <c r="BF125" i="29"/>
  <c r="BE125" i="29"/>
  <c r="BD125" i="29"/>
  <c r="BB125" i="29"/>
  <c r="BA125" i="29"/>
  <c r="AX125" i="29"/>
  <c r="AW125" i="29"/>
  <c r="AN125" i="29"/>
  <c r="AM125" i="29"/>
  <c r="AL125" i="29"/>
  <c r="AJ125" i="29"/>
  <c r="AI125" i="29"/>
  <c r="AE125" i="29"/>
  <c r="AD125" i="29"/>
  <c r="AC125" i="29"/>
  <c r="AB125" i="29"/>
  <c r="AA125" i="29"/>
  <c r="Z125" i="29"/>
  <c r="Y125" i="29"/>
  <c r="U125" i="29"/>
  <c r="T125" i="29"/>
  <c r="R125" i="29"/>
  <c r="O125" i="29"/>
  <c r="N125" i="29"/>
  <c r="L125" i="29"/>
  <c r="K125" i="29"/>
  <c r="BL124" i="29"/>
  <c r="BZ124" i="29" s="1"/>
  <c r="BK124" i="29"/>
  <c r="AY124" i="29"/>
  <c r="BW124" i="29" s="1"/>
  <c r="AP124" i="29"/>
  <c r="BT124" i="29" s="1"/>
  <c r="W124" i="29"/>
  <c r="AG124" i="29" s="1"/>
  <c r="V124" i="29"/>
  <c r="AF124" i="29" s="1"/>
  <c r="S124" i="29"/>
  <c r="M124" i="29"/>
  <c r="J124" i="29"/>
  <c r="BL123" i="29"/>
  <c r="BZ123" i="29" s="1"/>
  <c r="BK123" i="29"/>
  <c r="AY123" i="29"/>
  <c r="BW123" i="29" s="1"/>
  <c r="AP123" i="29"/>
  <c r="BT123" i="29" s="1"/>
  <c r="W123" i="29"/>
  <c r="AG123" i="29" s="1"/>
  <c r="V123" i="29"/>
  <c r="AF123" i="29" s="1"/>
  <c r="S123" i="29"/>
  <c r="M123" i="29"/>
  <c r="J123" i="29"/>
  <c r="Q123" i="29" s="1"/>
  <c r="BL122" i="29"/>
  <c r="BZ122" i="29" s="1"/>
  <c r="BK122" i="29"/>
  <c r="BY122" i="29" s="1"/>
  <c r="AY122" i="29"/>
  <c r="BW122" i="29" s="1"/>
  <c r="AP122" i="29"/>
  <c r="BS122" i="29"/>
  <c r="W122" i="29"/>
  <c r="V122" i="29"/>
  <c r="AF122" i="29" s="1"/>
  <c r="S122" i="29"/>
  <c r="M122" i="29"/>
  <c r="J122" i="29"/>
  <c r="BL121" i="29"/>
  <c r="BZ121" i="29" s="1"/>
  <c r="BC121" i="29"/>
  <c r="BK121" i="29" s="1"/>
  <c r="AY121" i="29"/>
  <c r="BW121" i="29" s="1"/>
  <c r="AP121" i="29"/>
  <c r="BT121" i="29" s="1"/>
  <c r="X121" i="29"/>
  <c r="X125" i="29" s="1"/>
  <c r="W121" i="29"/>
  <c r="V121" i="29"/>
  <c r="AF121" i="29" s="1"/>
  <c r="S121" i="29"/>
  <c r="M121" i="29"/>
  <c r="J121" i="29"/>
  <c r="Q121" i="29" s="1"/>
  <c r="BL120" i="29"/>
  <c r="BZ120" i="29" s="1"/>
  <c r="BK120" i="29"/>
  <c r="AY120" i="29"/>
  <c r="AP120" i="29"/>
  <c r="BT120" i="29" s="1"/>
  <c r="W120" i="29"/>
  <c r="AG120" i="29" s="1"/>
  <c r="V120" i="29"/>
  <c r="AF120" i="29" s="1"/>
  <c r="S120" i="29"/>
  <c r="M120" i="29"/>
  <c r="J120" i="29"/>
  <c r="BJ119" i="29"/>
  <c r="BI119" i="29"/>
  <c r="BH119" i="29"/>
  <c r="BG119" i="29"/>
  <c r="BF119" i="29"/>
  <c r="BE119" i="29"/>
  <c r="BD119" i="29"/>
  <c r="BC119" i="29"/>
  <c r="BB119" i="29"/>
  <c r="BA119" i="29"/>
  <c r="AX119" i="29"/>
  <c r="AW119" i="29"/>
  <c r="AN119" i="29"/>
  <c r="AM119" i="29"/>
  <c r="AL119" i="29"/>
  <c r="AJ119" i="29"/>
  <c r="AI119" i="29"/>
  <c r="AE119" i="29"/>
  <c r="AD119" i="29"/>
  <c r="AC119" i="29"/>
  <c r="AB119" i="29"/>
  <c r="AA119" i="29"/>
  <c r="Z119" i="29"/>
  <c r="Y119" i="29"/>
  <c r="X119" i="29"/>
  <c r="U119" i="29"/>
  <c r="T119" i="29"/>
  <c r="R119" i="29"/>
  <c r="O119" i="29"/>
  <c r="N119" i="29"/>
  <c r="L119" i="29"/>
  <c r="K119" i="29"/>
  <c r="BL118" i="29"/>
  <c r="BZ118" i="29" s="1"/>
  <c r="BK118" i="29"/>
  <c r="BY118" i="29" s="1"/>
  <c r="AY118" i="29"/>
  <c r="BW118" i="29" s="1"/>
  <c r="AP118" i="29"/>
  <c r="BT118" i="29" s="1"/>
  <c r="W118" i="29"/>
  <c r="AG118" i="29" s="1"/>
  <c r="V118" i="29"/>
  <c r="AF118" i="29" s="1"/>
  <c r="S118" i="29"/>
  <c r="M118" i="29"/>
  <c r="J118" i="29"/>
  <c r="Q118" i="29" s="1"/>
  <c r="BL117" i="29"/>
  <c r="BZ117" i="29" s="1"/>
  <c r="BK117" i="29"/>
  <c r="AY117" i="29"/>
  <c r="BW117" i="29" s="1"/>
  <c r="AP117" i="29"/>
  <c r="BS117" i="29"/>
  <c r="W117" i="29"/>
  <c r="AG117" i="29" s="1"/>
  <c r="V117" i="29"/>
  <c r="AF117" i="29" s="1"/>
  <c r="S117" i="29"/>
  <c r="M117" i="29"/>
  <c r="J117" i="29"/>
  <c r="BL116" i="29"/>
  <c r="BZ116" i="29" s="1"/>
  <c r="BK116" i="29"/>
  <c r="BY116" i="29" s="1"/>
  <c r="AY116" i="29"/>
  <c r="BW116" i="29" s="1"/>
  <c r="AP116" i="29"/>
  <c r="BT116" i="29" s="1"/>
  <c r="BS116" i="29"/>
  <c r="W116" i="29"/>
  <c r="AG116" i="29" s="1"/>
  <c r="V116" i="29"/>
  <c r="AF116" i="29" s="1"/>
  <c r="S116" i="29"/>
  <c r="M116" i="29"/>
  <c r="J116" i="29"/>
  <c r="P116" i="29" s="1"/>
  <c r="BL115" i="29"/>
  <c r="BZ115" i="29" s="1"/>
  <c r="BK115" i="29"/>
  <c r="BY115" i="29" s="1"/>
  <c r="AY115" i="29"/>
  <c r="BW115" i="29" s="1"/>
  <c r="AP115" i="29"/>
  <c r="BT115" i="29" s="1"/>
  <c r="BS115" i="29"/>
  <c r="W115" i="29"/>
  <c r="AG115" i="29" s="1"/>
  <c r="V115" i="29"/>
  <c r="AF115" i="29" s="1"/>
  <c r="S115" i="29"/>
  <c r="M115" i="29"/>
  <c r="J115" i="29"/>
  <c r="BL114" i="29"/>
  <c r="BZ114" i="29" s="1"/>
  <c r="BK114" i="29"/>
  <c r="AY114" i="29"/>
  <c r="AP114" i="29"/>
  <c r="W114" i="29"/>
  <c r="AG114" i="29" s="1"/>
  <c r="V114" i="29"/>
  <c r="AF114" i="29" s="1"/>
  <c r="S114" i="29"/>
  <c r="M114" i="29"/>
  <c r="J114" i="29"/>
  <c r="BJ113" i="29"/>
  <c r="BI113" i="29"/>
  <c r="BH113" i="29"/>
  <c r="BG113" i="29"/>
  <c r="BF113" i="29"/>
  <c r="BE113" i="29"/>
  <c r="BD113" i="29"/>
  <c r="BC113" i="29"/>
  <c r="BB113" i="29"/>
  <c r="BA113" i="29"/>
  <c r="AX113" i="29"/>
  <c r="AW113" i="29"/>
  <c r="AN113" i="29"/>
  <c r="AM113" i="29"/>
  <c r="AL113" i="29"/>
  <c r="AJ113" i="29"/>
  <c r="AI113" i="29"/>
  <c r="AE113" i="29"/>
  <c r="AD113" i="29"/>
  <c r="AC113" i="29"/>
  <c r="AB113" i="29"/>
  <c r="AA113" i="29"/>
  <c r="Z113" i="29"/>
  <c r="Y113" i="29"/>
  <c r="X113" i="29"/>
  <c r="U113" i="29"/>
  <c r="T113" i="29"/>
  <c r="R113" i="29"/>
  <c r="O113" i="29"/>
  <c r="N113" i="29"/>
  <c r="L113" i="29"/>
  <c r="K113" i="29"/>
  <c r="BL112" i="29"/>
  <c r="BZ112" i="29" s="1"/>
  <c r="BK112" i="29"/>
  <c r="BY112" i="29" s="1"/>
  <c r="AY112" i="29"/>
  <c r="BW112" i="29" s="1"/>
  <c r="AP112" i="29"/>
  <c r="BT112" i="29" s="1"/>
  <c r="BS112" i="29"/>
  <c r="W112" i="29"/>
  <c r="V112" i="29"/>
  <c r="AF112" i="29" s="1"/>
  <c r="S112" i="29"/>
  <c r="M112" i="29"/>
  <c r="J112" i="29"/>
  <c r="BL111" i="29"/>
  <c r="BZ111" i="29" s="1"/>
  <c r="BK111" i="29"/>
  <c r="AY111" i="29"/>
  <c r="BW111" i="29" s="1"/>
  <c r="AP111" i="29"/>
  <c r="BT111" i="29" s="1"/>
  <c r="W111" i="29"/>
  <c r="V111" i="29"/>
  <c r="AF111" i="29" s="1"/>
  <c r="S111" i="29"/>
  <c r="M111" i="29"/>
  <c r="J111" i="29"/>
  <c r="P111" i="29" s="1"/>
  <c r="BL110" i="29"/>
  <c r="BZ110" i="29" s="1"/>
  <c r="BK110" i="29"/>
  <c r="BY110" i="29" s="1"/>
  <c r="AY110" i="29"/>
  <c r="BW110" i="29" s="1"/>
  <c r="AP110" i="29"/>
  <c r="BT110" i="29" s="1"/>
  <c r="BS110" i="29"/>
  <c r="W110" i="29"/>
  <c r="V110" i="29"/>
  <c r="AF110" i="29" s="1"/>
  <c r="S110" i="29"/>
  <c r="M110" i="29"/>
  <c r="J110" i="29"/>
  <c r="BL109" i="29"/>
  <c r="BZ109" i="29" s="1"/>
  <c r="BK109" i="29"/>
  <c r="AY109" i="29"/>
  <c r="BW109" i="29" s="1"/>
  <c r="AP109" i="29"/>
  <c r="BT109" i="29" s="1"/>
  <c r="W109" i="29"/>
  <c r="AG109" i="29" s="1"/>
  <c r="V109" i="29"/>
  <c r="AF109" i="29" s="1"/>
  <c r="S109" i="29"/>
  <c r="M109" i="29"/>
  <c r="J109" i="29"/>
  <c r="BL108" i="29"/>
  <c r="BZ108" i="29" s="1"/>
  <c r="BK108" i="29"/>
  <c r="BY108" i="29" s="1"/>
  <c r="AY108" i="29"/>
  <c r="AP108" i="29"/>
  <c r="W108" i="29"/>
  <c r="AG108" i="29" s="1"/>
  <c r="V108" i="29"/>
  <c r="AF108" i="29" s="1"/>
  <c r="S108" i="29"/>
  <c r="M108" i="29"/>
  <c r="J108" i="29"/>
  <c r="BJ107" i="29"/>
  <c r="BI107" i="29"/>
  <c r="BH107" i="29"/>
  <c r="BG107" i="29"/>
  <c r="BF107" i="29"/>
  <c r="BE107" i="29"/>
  <c r="BD107" i="29"/>
  <c r="BB107" i="29"/>
  <c r="BA107" i="29"/>
  <c r="AX107" i="29"/>
  <c r="AW107" i="29"/>
  <c r="AN107" i="29"/>
  <c r="AM107" i="29"/>
  <c r="AL107" i="29"/>
  <c r="AJ107" i="29"/>
  <c r="AI107" i="29"/>
  <c r="AE107" i="29"/>
  <c r="AD107" i="29"/>
  <c r="AC107" i="29"/>
  <c r="AB107" i="29"/>
  <c r="AA107" i="29"/>
  <c r="Z107" i="29"/>
  <c r="Y107" i="29"/>
  <c r="U107" i="29"/>
  <c r="T107" i="29"/>
  <c r="R107" i="29"/>
  <c r="O107" i="29"/>
  <c r="N107" i="29"/>
  <c r="L107" i="29"/>
  <c r="K107" i="29"/>
  <c r="BL106" i="29"/>
  <c r="BZ106" i="29" s="1"/>
  <c r="BK106" i="29"/>
  <c r="AY106" i="29"/>
  <c r="BW106" i="29" s="1"/>
  <c r="AP106" i="29"/>
  <c r="BT106" i="29" s="1"/>
  <c r="W106" i="29"/>
  <c r="V106" i="29"/>
  <c r="AF106" i="29" s="1"/>
  <c r="S106" i="29"/>
  <c r="M106" i="29"/>
  <c r="J106" i="29"/>
  <c r="P106" i="29" s="1"/>
  <c r="BL105" i="29"/>
  <c r="BZ105" i="29" s="1"/>
  <c r="BK105" i="29"/>
  <c r="BY105" i="29" s="1"/>
  <c r="AY105" i="29"/>
  <c r="BW105" i="29" s="1"/>
  <c r="AP105" i="29"/>
  <c r="BT105" i="29" s="1"/>
  <c r="W105" i="29"/>
  <c r="AG105" i="29" s="1"/>
  <c r="V105" i="29"/>
  <c r="AF105" i="29" s="1"/>
  <c r="S105" i="29"/>
  <c r="M105" i="29"/>
  <c r="J105" i="29"/>
  <c r="BL104" i="29"/>
  <c r="BZ104" i="29" s="1"/>
  <c r="BK104" i="29"/>
  <c r="AY104" i="29"/>
  <c r="BW104" i="29" s="1"/>
  <c r="AP104" i="29"/>
  <c r="BT104" i="29" s="1"/>
  <c r="BS104" i="29"/>
  <c r="W104" i="29"/>
  <c r="AG104" i="29" s="1"/>
  <c r="V104" i="29"/>
  <c r="AF104" i="29" s="1"/>
  <c r="S104" i="29"/>
  <c r="M104" i="29"/>
  <c r="J104" i="29"/>
  <c r="BL103" i="29"/>
  <c r="BZ103" i="29" s="1"/>
  <c r="BC103" i="29"/>
  <c r="AY103" i="29"/>
  <c r="BW103" i="29" s="1"/>
  <c r="AP103" i="29"/>
  <c r="BT103" i="29" s="1"/>
  <c r="X103" i="29"/>
  <c r="X107" i="29" s="1"/>
  <c r="W103" i="29"/>
  <c r="AG103" i="29" s="1"/>
  <c r="V103" i="29"/>
  <c r="AF103" i="29" s="1"/>
  <c r="S103" i="29"/>
  <c r="M103" i="29"/>
  <c r="J103" i="29"/>
  <c r="P103" i="29" s="1"/>
  <c r="BL102" i="29"/>
  <c r="BK102" i="29"/>
  <c r="AY102" i="29"/>
  <c r="BW102" i="29" s="1"/>
  <c r="AP102" i="29"/>
  <c r="W102" i="29"/>
  <c r="V102" i="29"/>
  <c r="AF102" i="29" s="1"/>
  <c r="S102" i="29"/>
  <c r="M102" i="29"/>
  <c r="J102" i="29"/>
  <c r="Q102" i="29" s="1"/>
  <c r="BJ101" i="29"/>
  <c r="BI101" i="29"/>
  <c r="BH101" i="29"/>
  <c r="BG101" i="29"/>
  <c r="BF101" i="29"/>
  <c r="BE101" i="29"/>
  <c r="BD101" i="29"/>
  <c r="BB101" i="29"/>
  <c r="BA101" i="29"/>
  <c r="AX101" i="29"/>
  <c r="AW101" i="29"/>
  <c r="AN101" i="29"/>
  <c r="AM101" i="29"/>
  <c r="AL101" i="29"/>
  <c r="AJ101" i="29"/>
  <c r="AI101" i="29"/>
  <c r="AE101" i="29"/>
  <c r="AD101" i="29"/>
  <c r="AC101" i="29"/>
  <c r="AB101" i="29"/>
  <c r="AA101" i="29"/>
  <c r="Z101" i="29"/>
  <c r="Y101" i="29"/>
  <c r="U101" i="29"/>
  <c r="T101" i="29"/>
  <c r="R101" i="29"/>
  <c r="O101" i="29"/>
  <c r="N101" i="29"/>
  <c r="L101" i="29"/>
  <c r="K101" i="29"/>
  <c r="BL100" i="29"/>
  <c r="BZ100" i="29" s="1"/>
  <c r="BK100" i="29"/>
  <c r="AY100" i="29"/>
  <c r="BW100" i="29" s="1"/>
  <c r="AP100" i="29"/>
  <c r="BT100" i="29" s="1"/>
  <c r="BS100" i="29"/>
  <c r="W100" i="29"/>
  <c r="AG100" i="29" s="1"/>
  <c r="V100" i="29"/>
  <c r="AF100" i="29" s="1"/>
  <c r="S100" i="29"/>
  <c r="M100" i="29"/>
  <c r="J100" i="29"/>
  <c r="BL99" i="29"/>
  <c r="BZ99" i="29" s="1"/>
  <c r="BK99" i="29"/>
  <c r="BY99" i="29" s="1"/>
  <c r="AY99" i="29"/>
  <c r="BW99" i="29" s="1"/>
  <c r="AP99" i="29"/>
  <c r="BT99" i="29" s="1"/>
  <c r="W99" i="29"/>
  <c r="AG99" i="29" s="1"/>
  <c r="V99" i="29"/>
  <c r="AF99" i="29" s="1"/>
  <c r="S99" i="29"/>
  <c r="M99" i="29"/>
  <c r="J99" i="29"/>
  <c r="P99" i="29" s="1"/>
  <c r="BL98" i="29"/>
  <c r="BZ98" i="29" s="1"/>
  <c r="BK98" i="29"/>
  <c r="AY98" i="29"/>
  <c r="BW98" i="29" s="1"/>
  <c r="AP98" i="29"/>
  <c r="BT98" i="29" s="1"/>
  <c r="W98" i="29"/>
  <c r="V98" i="29"/>
  <c r="AF98" i="29" s="1"/>
  <c r="S98" i="29"/>
  <c r="M98" i="29"/>
  <c r="J98" i="29"/>
  <c r="BL97" i="29"/>
  <c r="BZ97" i="29" s="1"/>
  <c r="BC97" i="29"/>
  <c r="AY97" i="29"/>
  <c r="BW97" i="29" s="1"/>
  <c r="AP97" i="29"/>
  <c r="BT97" i="29" s="1"/>
  <c r="BS97" i="29"/>
  <c r="X97" i="29"/>
  <c r="X101" i="29" s="1"/>
  <c r="W97" i="29"/>
  <c r="AG97" i="29" s="1"/>
  <c r="V97" i="29"/>
  <c r="AF97" i="29" s="1"/>
  <c r="S97" i="29"/>
  <c r="M97" i="29"/>
  <c r="J97" i="29"/>
  <c r="Q97" i="29" s="1"/>
  <c r="BL96" i="29"/>
  <c r="BZ96" i="29" s="1"/>
  <c r="BK96" i="29"/>
  <c r="AY96" i="29"/>
  <c r="BW96" i="29" s="1"/>
  <c r="AP96" i="29"/>
  <c r="BS96" i="29"/>
  <c r="W96" i="29"/>
  <c r="AG96" i="29" s="1"/>
  <c r="V96" i="29"/>
  <c r="AF96" i="29" s="1"/>
  <c r="S96" i="29"/>
  <c r="M96" i="29"/>
  <c r="J96" i="29"/>
  <c r="BJ95" i="29"/>
  <c r="BI95" i="29"/>
  <c r="BH95" i="29"/>
  <c r="BG95" i="29"/>
  <c r="BF95" i="29"/>
  <c r="BE95" i="29"/>
  <c r="BD95" i="29"/>
  <c r="BC95" i="29"/>
  <c r="BB95" i="29"/>
  <c r="BA95" i="29"/>
  <c r="AX95" i="29"/>
  <c r="AW95" i="29"/>
  <c r="AN95" i="29"/>
  <c r="AM95" i="29"/>
  <c r="AL95" i="29"/>
  <c r="AJ95" i="29"/>
  <c r="AI95" i="29"/>
  <c r="AE95" i="29"/>
  <c r="AD95" i="29"/>
  <c r="AC95" i="29"/>
  <c r="AB95" i="29"/>
  <c r="AA95" i="29"/>
  <c r="Z95" i="29"/>
  <c r="Y95" i="29"/>
  <c r="X95" i="29"/>
  <c r="U95" i="29"/>
  <c r="T95" i="29"/>
  <c r="R95" i="29"/>
  <c r="O95" i="29"/>
  <c r="N95" i="29"/>
  <c r="L95" i="29"/>
  <c r="K95" i="29"/>
  <c r="BL94" i="29"/>
  <c r="BK94" i="29"/>
  <c r="BY94" i="29" s="1"/>
  <c r="AY94" i="29"/>
  <c r="BW94" i="29" s="1"/>
  <c r="AP94" i="29"/>
  <c r="BT94" i="29" s="1"/>
  <c r="BS94" i="29"/>
  <c r="W94" i="29"/>
  <c r="AG94" i="29" s="1"/>
  <c r="V94" i="29"/>
  <c r="AF94" i="29" s="1"/>
  <c r="S94" i="29"/>
  <c r="M94" i="29"/>
  <c r="J94" i="29"/>
  <c r="P94" i="29" s="1"/>
  <c r="BL93" i="29"/>
  <c r="BZ93" i="29" s="1"/>
  <c r="BK93" i="29"/>
  <c r="AY93" i="29"/>
  <c r="BW93" i="29" s="1"/>
  <c r="AP93" i="29"/>
  <c r="BT93" i="29" s="1"/>
  <c r="W93" i="29"/>
  <c r="AG93" i="29" s="1"/>
  <c r="V93" i="29"/>
  <c r="AF93" i="29" s="1"/>
  <c r="S93" i="29"/>
  <c r="M93" i="29"/>
  <c r="J93" i="29"/>
  <c r="BL92" i="29"/>
  <c r="BZ92" i="29" s="1"/>
  <c r="BK92" i="29"/>
  <c r="AY92" i="29"/>
  <c r="BW92" i="29" s="1"/>
  <c r="AP92" i="29"/>
  <c r="BS92" i="29"/>
  <c r="W92" i="29"/>
  <c r="V92" i="29"/>
  <c r="AF92" i="29" s="1"/>
  <c r="S92" i="29"/>
  <c r="M92" i="29"/>
  <c r="J92" i="29"/>
  <c r="P92" i="29" s="1"/>
  <c r="BL91" i="29"/>
  <c r="BZ91" i="29" s="1"/>
  <c r="BK91" i="29"/>
  <c r="BY91" i="29" s="1"/>
  <c r="AY91" i="29"/>
  <c r="AP91" i="29"/>
  <c r="BT91" i="29" s="1"/>
  <c r="W91" i="29"/>
  <c r="AG91" i="29" s="1"/>
  <c r="V91" i="29"/>
  <c r="AF91" i="29" s="1"/>
  <c r="S91" i="29"/>
  <c r="M91" i="29"/>
  <c r="J91" i="29"/>
  <c r="Q91" i="29" s="1"/>
  <c r="BL90" i="29"/>
  <c r="BK90" i="29"/>
  <c r="AY90" i="29"/>
  <c r="BW90" i="29" s="1"/>
  <c r="AP90" i="29"/>
  <c r="BT90" i="29" s="1"/>
  <c r="BS90" i="29"/>
  <c r="W90" i="29"/>
  <c r="AG90" i="29" s="1"/>
  <c r="V90" i="29"/>
  <c r="AF90" i="29" s="1"/>
  <c r="S90" i="29"/>
  <c r="M90" i="29"/>
  <c r="J90" i="29"/>
  <c r="BJ89" i="29"/>
  <c r="BI89" i="29"/>
  <c r="BH89" i="29"/>
  <c r="BG89" i="29"/>
  <c r="BF89" i="29"/>
  <c r="BE89" i="29"/>
  <c r="BD89" i="29"/>
  <c r="BB89" i="29"/>
  <c r="BA89" i="29"/>
  <c r="AX89" i="29"/>
  <c r="AW89" i="29"/>
  <c r="AN89" i="29"/>
  <c r="AM89" i="29"/>
  <c r="AL89" i="29"/>
  <c r="AJ89" i="29"/>
  <c r="AI89" i="29"/>
  <c r="AE89" i="29"/>
  <c r="AD89" i="29"/>
  <c r="AC89" i="29"/>
  <c r="AB89" i="29"/>
  <c r="AA89" i="29"/>
  <c r="Z89" i="29"/>
  <c r="Y89" i="29"/>
  <c r="U89" i="29"/>
  <c r="T89" i="29"/>
  <c r="R89" i="29"/>
  <c r="O89" i="29"/>
  <c r="N89" i="29"/>
  <c r="L89" i="29"/>
  <c r="K89" i="29"/>
  <c r="BL88" i="29"/>
  <c r="BZ88" i="29" s="1"/>
  <c r="BK88" i="29"/>
  <c r="AY88" i="29"/>
  <c r="BW88" i="29" s="1"/>
  <c r="AP88" i="29"/>
  <c r="BT88" i="29" s="1"/>
  <c r="BS88" i="29"/>
  <c r="W88" i="29"/>
  <c r="AG88" i="29" s="1"/>
  <c r="V88" i="29"/>
  <c r="AF88" i="29" s="1"/>
  <c r="S88" i="29"/>
  <c r="M88" i="29"/>
  <c r="J88" i="29"/>
  <c r="P88" i="29" s="1"/>
  <c r="BL87" i="29"/>
  <c r="BK87" i="29"/>
  <c r="AY87" i="29"/>
  <c r="AP87" i="29"/>
  <c r="BS87" i="29"/>
  <c r="W87" i="29"/>
  <c r="AG87" i="29" s="1"/>
  <c r="V87" i="29"/>
  <c r="S87" i="29"/>
  <c r="M87" i="29"/>
  <c r="J87" i="29"/>
  <c r="BL86" i="29"/>
  <c r="BZ86" i="29" s="1"/>
  <c r="BK86" i="29"/>
  <c r="BY86" i="29" s="1"/>
  <c r="AY86" i="29"/>
  <c r="BW86" i="29" s="1"/>
  <c r="AP86" i="29"/>
  <c r="BT86" i="29" s="1"/>
  <c r="BS86" i="29"/>
  <c r="W86" i="29"/>
  <c r="AG86" i="29" s="1"/>
  <c r="V86" i="29"/>
  <c r="AF86" i="29" s="1"/>
  <c r="S86" i="29"/>
  <c r="M86" i="29"/>
  <c r="J86" i="29"/>
  <c r="P86" i="29" s="1"/>
  <c r="BL85" i="29"/>
  <c r="BZ85" i="29" s="1"/>
  <c r="BC85" i="29"/>
  <c r="BK85" i="29" s="1"/>
  <c r="AY85" i="29"/>
  <c r="BW85" i="29" s="1"/>
  <c r="AP85" i="29"/>
  <c r="BS85" i="29"/>
  <c r="X85" i="29"/>
  <c r="X89" i="29" s="1"/>
  <c r="W85" i="29"/>
  <c r="AG85" i="29" s="1"/>
  <c r="V85" i="29"/>
  <c r="AF85" i="29" s="1"/>
  <c r="S85" i="29"/>
  <c r="M85" i="29"/>
  <c r="J85" i="29"/>
  <c r="Q85" i="29" s="1"/>
  <c r="BL84" i="29"/>
  <c r="BZ84" i="29" s="1"/>
  <c r="BK84" i="29"/>
  <c r="AY84" i="29"/>
  <c r="AP84" i="29"/>
  <c r="BT84" i="29" s="1"/>
  <c r="W84" i="29"/>
  <c r="AG84" i="29" s="1"/>
  <c r="V84" i="29"/>
  <c r="AF84" i="29" s="1"/>
  <c r="S84" i="29"/>
  <c r="M84" i="29"/>
  <c r="J84" i="29"/>
  <c r="P84" i="29" s="1"/>
  <c r="BJ83" i="29"/>
  <c r="BI83" i="29"/>
  <c r="BH83" i="29"/>
  <c r="BG83" i="29"/>
  <c r="BF83" i="29"/>
  <c r="BE83" i="29"/>
  <c r="BD83" i="29"/>
  <c r="BC83" i="29"/>
  <c r="BB83" i="29"/>
  <c r="BA83" i="29"/>
  <c r="AX83" i="29"/>
  <c r="AW83" i="29"/>
  <c r="AN83" i="29"/>
  <c r="AM83" i="29"/>
  <c r="AL83" i="29"/>
  <c r="AJ83" i="29"/>
  <c r="AI83" i="29"/>
  <c r="AE83" i="29"/>
  <c r="AD83" i="29"/>
  <c r="AC83" i="29"/>
  <c r="AB83" i="29"/>
  <c r="AA83" i="29"/>
  <c r="Z83" i="29"/>
  <c r="Y83" i="29"/>
  <c r="X83" i="29"/>
  <c r="U83" i="29"/>
  <c r="T83" i="29"/>
  <c r="R83" i="29"/>
  <c r="O83" i="29"/>
  <c r="N83" i="29"/>
  <c r="L83" i="29"/>
  <c r="K83" i="29"/>
  <c r="BL82" i="29"/>
  <c r="BZ82" i="29" s="1"/>
  <c r="BK82" i="29"/>
  <c r="AY82" i="29"/>
  <c r="BW82" i="29" s="1"/>
  <c r="AP82" i="29"/>
  <c r="BT82" i="29" s="1"/>
  <c r="BS82" i="29"/>
  <c r="W82" i="29"/>
  <c r="V82" i="29"/>
  <c r="AF82" i="29" s="1"/>
  <c r="S82" i="29"/>
  <c r="M82" i="29"/>
  <c r="J82" i="29"/>
  <c r="BL81" i="29"/>
  <c r="BZ81" i="29" s="1"/>
  <c r="BK81" i="29"/>
  <c r="BY81" i="29" s="1"/>
  <c r="AY81" i="29"/>
  <c r="BW81" i="29" s="1"/>
  <c r="AP81" i="29"/>
  <c r="BT81" i="29" s="1"/>
  <c r="BS81" i="29"/>
  <c r="W81" i="29"/>
  <c r="AG81" i="29" s="1"/>
  <c r="V81" i="29"/>
  <c r="AF81" i="29" s="1"/>
  <c r="S81" i="29"/>
  <c r="M81" i="29"/>
  <c r="J81" i="29"/>
  <c r="BL80" i="29"/>
  <c r="BZ80" i="29" s="1"/>
  <c r="BK80" i="29"/>
  <c r="BY80" i="29" s="1"/>
  <c r="AY80" i="29"/>
  <c r="AP80" i="29"/>
  <c r="BT80" i="29" s="1"/>
  <c r="W80" i="29"/>
  <c r="AG80" i="29" s="1"/>
  <c r="V80" i="29"/>
  <c r="AF80" i="29" s="1"/>
  <c r="S80" i="29"/>
  <c r="M80" i="29"/>
  <c r="J80" i="29"/>
  <c r="BL79" i="29"/>
  <c r="BK79" i="29"/>
  <c r="BY79" i="29" s="1"/>
  <c r="AY79" i="29"/>
  <c r="BW79" i="29" s="1"/>
  <c r="AP79" i="29"/>
  <c r="BT79" i="29" s="1"/>
  <c r="W79" i="29"/>
  <c r="AG79" i="29" s="1"/>
  <c r="V79" i="29"/>
  <c r="AF79" i="29" s="1"/>
  <c r="S79" i="29"/>
  <c r="M79" i="29"/>
  <c r="J79" i="29"/>
  <c r="P79" i="29" s="1"/>
  <c r="BJ78" i="29"/>
  <c r="BI78" i="29"/>
  <c r="BH78" i="29"/>
  <c r="BG78" i="29"/>
  <c r="BF78" i="29"/>
  <c r="BE78" i="29"/>
  <c r="BD78" i="29"/>
  <c r="BC78" i="29"/>
  <c r="BB78" i="29"/>
  <c r="BA78" i="29"/>
  <c r="AX78" i="29"/>
  <c r="AW78" i="29"/>
  <c r="AN78" i="29"/>
  <c r="AM78" i="29"/>
  <c r="AL78" i="29"/>
  <c r="AJ78" i="29"/>
  <c r="AI78" i="29"/>
  <c r="AE78" i="29"/>
  <c r="AD78" i="29"/>
  <c r="AC78" i="29"/>
  <c r="AB78" i="29"/>
  <c r="AA78" i="29"/>
  <c r="Z78" i="29"/>
  <c r="Y78" i="29"/>
  <c r="X78" i="29"/>
  <c r="U78" i="29"/>
  <c r="T78" i="29"/>
  <c r="R78" i="29"/>
  <c r="O78" i="29"/>
  <c r="N78" i="29"/>
  <c r="L78" i="29"/>
  <c r="K78" i="29"/>
  <c r="BL77" i="29"/>
  <c r="BZ77" i="29" s="1"/>
  <c r="BK77" i="29"/>
  <c r="BY77" i="29" s="1"/>
  <c r="AY77" i="29"/>
  <c r="BW77" i="29" s="1"/>
  <c r="AP77" i="29"/>
  <c r="BT77" i="29" s="1"/>
  <c r="BS77" i="29"/>
  <c r="W77" i="29"/>
  <c r="AG77" i="29" s="1"/>
  <c r="V77" i="29"/>
  <c r="AF77" i="29" s="1"/>
  <c r="S77" i="29"/>
  <c r="M77" i="29"/>
  <c r="J77" i="29"/>
  <c r="P77" i="29" s="1"/>
  <c r="BL76" i="29"/>
  <c r="BZ76" i="29" s="1"/>
  <c r="BK76" i="29"/>
  <c r="AY76" i="29"/>
  <c r="BW76" i="29" s="1"/>
  <c r="AP76" i="29"/>
  <c r="BT76" i="29" s="1"/>
  <c r="W76" i="29"/>
  <c r="AG76" i="29" s="1"/>
  <c r="V76" i="29"/>
  <c r="AF76" i="29" s="1"/>
  <c r="S76" i="29"/>
  <c r="M76" i="29"/>
  <c r="J76" i="29"/>
  <c r="P76" i="29" s="1"/>
  <c r="BL75" i="29"/>
  <c r="BK75" i="29"/>
  <c r="BY75" i="29" s="1"/>
  <c r="AY75" i="29"/>
  <c r="BW75" i="29" s="1"/>
  <c r="AP75" i="29"/>
  <c r="BT75" i="29" s="1"/>
  <c r="BS75" i="29"/>
  <c r="W75" i="29"/>
  <c r="AG75" i="29" s="1"/>
  <c r="V75" i="29"/>
  <c r="AF75" i="29" s="1"/>
  <c r="S75" i="29"/>
  <c r="M75" i="29"/>
  <c r="J75" i="29"/>
  <c r="Q75" i="29" s="1"/>
  <c r="BJ74" i="29"/>
  <c r="BI74" i="29"/>
  <c r="BH74" i="29"/>
  <c r="BG74" i="29"/>
  <c r="BF74" i="29"/>
  <c r="BE74" i="29"/>
  <c r="BD74" i="29"/>
  <c r="BC74" i="29"/>
  <c r="BB74" i="29"/>
  <c r="BA74" i="29"/>
  <c r="AX74" i="29"/>
  <c r="AW74" i="29"/>
  <c r="AN74" i="29"/>
  <c r="AM74" i="29"/>
  <c r="AL74" i="29"/>
  <c r="AJ74" i="29"/>
  <c r="AI74" i="29"/>
  <c r="AE74" i="29"/>
  <c r="AD74" i="29"/>
  <c r="AC74" i="29"/>
  <c r="AB74" i="29"/>
  <c r="AA74" i="29"/>
  <c r="Z74" i="29"/>
  <c r="Y74" i="29"/>
  <c r="X74" i="29"/>
  <c r="U74" i="29"/>
  <c r="T74" i="29"/>
  <c r="R74" i="29"/>
  <c r="O74" i="29"/>
  <c r="N74" i="29"/>
  <c r="L74" i="29"/>
  <c r="K74" i="29"/>
  <c r="BL73" i="29"/>
  <c r="BZ73" i="29" s="1"/>
  <c r="BK73" i="29"/>
  <c r="AY73" i="29"/>
  <c r="BW73" i="29" s="1"/>
  <c r="AP73" i="29"/>
  <c r="BT73" i="29" s="1"/>
  <c r="BS73" i="29"/>
  <c r="W73" i="29"/>
  <c r="V73" i="29"/>
  <c r="AF73" i="29" s="1"/>
  <c r="S73" i="29"/>
  <c r="M73" i="29"/>
  <c r="J73" i="29"/>
  <c r="BL72" i="29"/>
  <c r="BZ72" i="29" s="1"/>
  <c r="BK72" i="29"/>
  <c r="AY72" i="29"/>
  <c r="BW72" i="29" s="1"/>
  <c r="AP72" i="29"/>
  <c r="BT72" i="29" s="1"/>
  <c r="BS72" i="29"/>
  <c r="W72" i="29"/>
  <c r="AG72" i="29" s="1"/>
  <c r="V72" i="29"/>
  <c r="AF72" i="29" s="1"/>
  <c r="S72" i="29"/>
  <c r="M72" i="29"/>
  <c r="J72" i="29"/>
  <c r="BL71" i="29"/>
  <c r="BZ71" i="29" s="1"/>
  <c r="BK71" i="29"/>
  <c r="BY71" i="29" s="1"/>
  <c r="AY71" i="29"/>
  <c r="BW71" i="29" s="1"/>
  <c r="AP71" i="29"/>
  <c r="W71" i="29"/>
  <c r="V71" i="29"/>
  <c r="AF71" i="29" s="1"/>
  <c r="S71" i="29"/>
  <c r="M71" i="29"/>
  <c r="J71" i="29"/>
  <c r="P71" i="29" s="1"/>
  <c r="BJ70" i="29"/>
  <c r="BI70" i="29"/>
  <c r="BH70" i="29"/>
  <c r="BG70" i="29"/>
  <c r="BF70" i="29"/>
  <c r="BE70" i="29"/>
  <c r="BD70" i="29"/>
  <c r="BB70" i="29"/>
  <c r="BA70" i="29"/>
  <c r="AX70" i="29"/>
  <c r="AW70" i="29"/>
  <c r="AN70" i="29"/>
  <c r="AM70" i="29"/>
  <c r="AL70" i="29"/>
  <c r="AJ70" i="29"/>
  <c r="AI70" i="29"/>
  <c r="AE70" i="29"/>
  <c r="AD70" i="29"/>
  <c r="AC70" i="29"/>
  <c r="AB70" i="29"/>
  <c r="AA70" i="29"/>
  <c r="Z70" i="29"/>
  <c r="Y70" i="29"/>
  <c r="U70" i="29"/>
  <c r="T70" i="29"/>
  <c r="R70" i="29"/>
  <c r="O70" i="29"/>
  <c r="N70" i="29"/>
  <c r="L70" i="29"/>
  <c r="K70" i="29"/>
  <c r="BL69" i="29"/>
  <c r="BZ69" i="29" s="1"/>
  <c r="BK69" i="29"/>
  <c r="AY69" i="29"/>
  <c r="BW69" i="29" s="1"/>
  <c r="AP69" i="29"/>
  <c r="BS69" i="29"/>
  <c r="W69" i="29"/>
  <c r="V69" i="29"/>
  <c r="AF69" i="29" s="1"/>
  <c r="S69" i="29"/>
  <c r="M69" i="29"/>
  <c r="J69" i="29"/>
  <c r="Q69" i="29" s="1"/>
  <c r="BL68" i="29"/>
  <c r="BZ68" i="29" s="1"/>
  <c r="BC68" i="29"/>
  <c r="AY68" i="29"/>
  <c r="BW68" i="29" s="1"/>
  <c r="AP68" i="29"/>
  <c r="BT68" i="29" s="1"/>
  <c r="BS68" i="29"/>
  <c r="X68" i="29"/>
  <c r="X70" i="29" s="1"/>
  <c r="W68" i="29"/>
  <c r="AG68" i="29" s="1"/>
  <c r="V68" i="29"/>
  <c r="AF68" i="29" s="1"/>
  <c r="S68" i="29"/>
  <c r="M68" i="29"/>
  <c r="J68" i="29"/>
  <c r="Q68" i="29" s="1"/>
  <c r="BL67" i="29"/>
  <c r="BZ67" i="29" s="1"/>
  <c r="BK67" i="29"/>
  <c r="BY67" i="29" s="1"/>
  <c r="AY67" i="29"/>
  <c r="BW67" i="29" s="1"/>
  <c r="AP67" i="29"/>
  <c r="BT67" i="29" s="1"/>
  <c r="W67" i="29"/>
  <c r="AG67" i="29" s="1"/>
  <c r="V67" i="29"/>
  <c r="AF67" i="29" s="1"/>
  <c r="S67" i="29"/>
  <c r="M67" i="29"/>
  <c r="J67" i="29"/>
  <c r="BJ66" i="29"/>
  <c r="BI66" i="29"/>
  <c r="BH66" i="29"/>
  <c r="BG66" i="29"/>
  <c r="BF66" i="29"/>
  <c r="BE66" i="29"/>
  <c r="BD66" i="29"/>
  <c r="BC66" i="29"/>
  <c r="BB66" i="29"/>
  <c r="BA66" i="29"/>
  <c r="AX66" i="29"/>
  <c r="AW66" i="29"/>
  <c r="AN66" i="29"/>
  <c r="AM66" i="29"/>
  <c r="AL66" i="29"/>
  <c r="AJ66" i="29"/>
  <c r="AI66" i="29"/>
  <c r="AE66" i="29"/>
  <c r="AD66" i="29"/>
  <c r="AC66" i="29"/>
  <c r="AB66" i="29"/>
  <c r="AA66" i="29"/>
  <c r="Z66" i="29"/>
  <c r="Y66" i="29"/>
  <c r="X66" i="29"/>
  <c r="U66" i="29"/>
  <c r="T66" i="29"/>
  <c r="R66" i="29"/>
  <c r="O66" i="29"/>
  <c r="N66" i="29"/>
  <c r="L66" i="29"/>
  <c r="K66" i="29"/>
  <c r="BL65" i="29"/>
  <c r="BZ65" i="29" s="1"/>
  <c r="BK65" i="29"/>
  <c r="BY65" i="29" s="1"/>
  <c r="AY65" i="29"/>
  <c r="BW65" i="29" s="1"/>
  <c r="AP65" i="29"/>
  <c r="BT65" i="29" s="1"/>
  <c r="BS65" i="29"/>
  <c r="W65" i="29"/>
  <c r="AG65" i="29" s="1"/>
  <c r="V65" i="29"/>
  <c r="S65" i="29"/>
  <c r="M65" i="29"/>
  <c r="J65" i="29"/>
  <c r="P65" i="29" s="1"/>
  <c r="BL64" i="29"/>
  <c r="BZ64" i="29" s="1"/>
  <c r="BK64" i="29"/>
  <c r="BY64" i="29" s="1"/>
  <c r="AY64" i="29"/>
  <c r="BW64" i="29" s="1"/>
  <c r="AP64" i="29"/>
  <c r="BT64" i="29" s="1"/>
  <c r="W64" i="29"/>
  <c r="AG64" i="29" s="1"/>
  <c r="V64" i="29"/>
  <c r="AF64" i="29" s="1"/>
  <c r="S64" i="29"/>
  <c r="M64" i="29"/>
  <c r="J64" i="29"/>
  <c r="P64" i="29" s="1"/>
  <c r="BL63" i="29"/>
  <c r="BK63" i="29"/>
  <c r="BY63" i="29" s="1"/>
  <c r="AY63" i="29"/>
  <c r="BW63" i="29" s="1"/>
  <c r="AP63" i="29"/>
  <c r="W63" i="29"/>
  <c r="AG63" i="29" s="1"/>
  <c r="V63" i="29"/>
  <c r="AF63" i="29" s="1"/>
  <c r="S63" i="29"/>
  <c r="M63" i="29"/>
  <c r="J63" i="29"/>
  <c r="BJ62" i="29"/>
  <c r="BI62" i="29"/>
  <c r="BH62" i="29"/>
  <c r="BG62" i="29"/>
  <c r="BF62" i="29"/>
  <c r="BE62" i="29"/>
  <c r="BD62" i="29"/>
  <c r="BC62" i="29"/>
  <c r="BB62" i="29"/>
  <c r="BA62" i="29"/>
  <c r="AX62" i="29"/>
  <c r="AW62" i="29"/>
  <c r="AN62" i="29"/>
  <c r="AM62" i="29"/>
  <c r="AL62" i="29"/>
  <c r="AJ62" i="29"/>
  <c r="AI62" i="29"/>
  <c r="AE62" i="29"/>
  <c r="AD62" i="29"/>
  <c r="AC62" i="29"/>
  <c r="AB62" i="29"/>
  <c r="AA62" i="29"/>
  <c r="Z62" i="29"/>
  <c r="Y62" i="29"/>
  <c r="X62" i="29"/>
  <c r="U62" i="29"/>
  <c r="T62" i="29"/>
  <c r="R62" i="29"/>
  <c r="O62" i="29"/>
  <c r="N62" i="29"/>
  <c r="L62" i="29"/>
  <c r="K62" i="29"/>
  <c r="BL61" i="29"/>
  <c r="BZ61" i="29" s="1"/>
  <c r="BK61" i="29"/>
  <c r="AY61" i="29"/>
  <c r="BW61" i="29" s="1"/>
  <c r="AP61" i="29"/>
  <c r="W61" i="29"/>
  <c r="AG61" i="29" s="1"/>
  <c r="V61" i="29"/>
  <c r="AF61" i="29" s="1"/>
  <c r="S61" i="29"/>
  <c r="M61" i="29"/>
  <c r="J61" i="29"/>
  <c r="BL60" i="29"/>
  <c r="BZ60" i="29" s="1"/>
  <c r="BK60" i="29"/>
  <c r="AY60" i="29"/>
  <c r="BW60" i="29" s="1"/>
  <c r="AP60" i="29"/>
  <c r="BT60" i="29" s="1"/>
  <c r="BS60" i="29"/>
  <c r="W60" i="29"/>
  <c r="V60" i="29"/>
  <c r="AF60" i="29" s="1"/>
  <c r="S60" i="29"/>
  <c r="M60" i="29"/>
  <c r="J60" i="29"/>
  <c r="P60" i="29" s="1"/>
  <c r="BL59" i="29"/>
  <c r="BK59" i="29"/>
  <c r="BY59" i="29" s="1"/>
  <c r="AY59" i="29"/>
  <c r="BW59" i="29" s="1"/>
  <c r="AP59" i="29"/>
  <c r="BT59" i="29" s="1"/>
  <c r="W59" i="29"/>
  <c r="AG59" i="29" s="1"/>
  <c r="V59" i="29"/>
  <c r="S59" i="29"/>
  <c r="M59" i="29"/>
  <c r="J59" i="29"/>
  <c r="BJ58" i="29"/>
  <c r="BI58" i="29"/>
  <c r="BH58" i="29"/>
  <c r="BG58" i="29"/>
  <c r="BF58" i="29"/>
  <c r="BE58" i="29"/>
  <c r="BD58" i="29"/>
  <c r="BC58" i="29"/>
  <c r="BB58" i="29"/>
  <c r="BA58" i="29"/>
  <c r="AX58" i="29"/>
  <c r="AW58" i="29"/>
  <c r="AN58" i="29"/>
  <c r="AM58" i="29"/>
  <c r="AL58" i="29"/>
  <c r="AJ58" i="29"/>
  <c r="AI58" i="29"/>
  <c r="AE58" i="29"/>
  <c r="AD58" i="29"/>
  <c r="AC58" i="29"/>
  <c r="AB58" i="29"/>
  <c r="AA58" i="29"/>
  <c r="Z58" i="29"/>
  <c r="Y58" i="29"/>
  <c r="X58" i="29"/>
  <c r="U58" i="29"/>
  <c r="T58" i="29"/>
  <c r="R58" i="29"/>
  <c r="O58" i="29"/>
  <c r="N58" i="29"/>
  <c r="L58" i="29"/>
  <c r="K58" i="29"/>
  <c r="BL57" i="29"/>
  <c r="BZ57" i="29" s="1"/>
  <c r="BK57" i="29"/>
  <c r="BY57" i="29" s="1"/>
  <c r="AY57" i="29"/>
  <c r="BW57" i="29" s="1"/>
  <c r="AP57" i="29"/>
  <c r="BT57" i="29" s="1"/>
  <c r="BS57" i="29"/>
  <c r="W57" i="29"/>
  <c r="V57" i="29"/>
  <c r="AF57" i="29" s="1"/>
  <c r="S57" i="29"/>
  <c r="M57" i="29"/>
  <c r="J57" i="29"/>
  <c r="BL56" i="29"/>
  <c r="BZ56" i="29" s="1"/>
  <c r="BK56" i="29"/>
  <c r="AY56" i="29"/>
  <c r="AP56" i="29"/>
  <c r="BT56" i="29" s="1"/>
  <c r="W56" i="29"/>
  <c r="AG56" i="29" s="1"/>
  <c r="V56" i="29"/>
  <c r="AF56" i="29" s="1"/>
  <c r="S56" i="29"/>
  <c r="M56" i="29"/>
  <c r="J56" i="29"/>
  <c r="Q56" i="29" s="1"/>
  <c r="BJ55" i="29"/>
  <c r="BI55" i="29"/>
  <c r="BH55" i="29"/>
  <c r="BG55" i="29"/>
  <c r="BF55" i="29"/>
  <c r="BE55" i="29"/>
  <c r="BD55" i="29"/>
  <c r="BC55" i="29"/>
  <c r="BB55" i="29"/>
  <c r="BA55" i="29"/>
  <c r="AX55" i="29"/>
  <c r="AW55" i="29"/>
  <c r="AN55" i="29"/>
  <c r="AM55" i="29"/>
  <c r="AL55" i="29"/>
  <c r="AJ55" i="29"/>
  <c r="AI55" i="29"/>
  <c r="AE55" i="29"/>
  <c r="AD55" i="29"/>
  <c r="AC55" i="29"/>
  <c r="AB55" i="29"/>
  <c r="AA55" i="29"/>
  <c r="Z55" i="29"/>
  <c r="Y55" i="29"/>
  <c r="X55" i="29"/>
  <c r="U55" i="29"/>
  <c r="T55" i="29"/>
  <c r="R55" i="29"/>
  <c r="O55" i="29"/>
  <c r="N55" i="29"/>
  <c r="L55" i="29"/>
  <c r="K55" i="29"/>
  <c r="BL54" i="29"/>
  <c r="BZ54" i="29" s="1"/>
  <c r="BK54" i="29"/>
  <c r="BY54" i="29" s="1"/>
  <c r="AY54" i="29"/>
  <c r="BW54" i="29" s="1"/>
  <c r="AP54" i="29"/>
  <c r="BT54" i="29" s="1"/>
  <c r="W54" i="29"/>
  <c r="AG54" i="29" s="1"/>
  <c r="V54" i="29"/>
  <c r="S54" i="29"/>
  <c r="M54" i="29"/>
  <c r="J54" i="29"/>
  <c r="P54" i="29" s="1"/>
  <c r="BL53" i="29"/>
  <c r="BZ53" i="29" s="1"/>
  <c r="BK53" i="29"/>
  <c r="AY53" i="29"/>
  <c r="BW53" i="29" s="1"/>
  <c r="AP53" i="29"/>
  <c r="BS53" i="29"/>
  <c r="W53" i="29"/>
  <c r="AG53" i="29" s="1"/>
  <c r="V53" i="29"/>
  <c r="AF53" i="29" s="1"/>
  <c r="S53" i="29"/>
  <c r="M53" i="29"/>
  <c r="J53" i="29"/>
  <c r="P53" i="29" s="1"/>
  <c r="BL52" i="29"/>
  <c r="BK52" i="29"/>
  <c r="BY52" i="29" s="1"/>
  <c r="AY52" i="29"/>
  <c r="BW52" i="29" s="1"/>
  <c r="AP52" i="29"/>
  <c r="BT52" i="29" s="1"/>
  <c r="BS52" i="29"/>
  <c r="W52" i="29"/>
  <c r="AG52" i="29" s="1"/>
  <c r="V52" i="29"/>
  <c r="AF52" i="29" s="1"/>
  <c r="S52" i="29"/>
  <c r="M52" i="29"/>
  <c r="J52" i="29"/>
  <c r="Q52" i="29" s="1"/>
  <c r="BJ51" i="29"/>
  <c r="BI51" i="29"/>
  <c r="BH51" i="29"/>
  <c r="BG51" i="29"/>
  <c r="BF51" i="29"/>
  <c r="BE51" i="29"/>
  <c r="BD51" i="29"/>
  <c r="BC51" i="29"/>
  <c r="BB51" i="29"/>
  <c r="BA51" i="29"/>
  <c r="AX51" i="29"/>
  <c r="AW51" i="29"/>
  <c r="AN51" i="29"/>
  <c r="AM51" i="29"/>
  <c r="AL51" i="29"/>
  <c r="AJ51" i="29"/>
  <c r="AI51" i="29"/>
  <c r="AE51" i="29"/>
  <c r="AD51" i="29"/>
  <c r="AC51" i="29"/>
  <c r="AB51" i="29"/>
  <c r="AA51" i="29"/>
  <c r="Z51" i="29"/>
  <c r="Y51" i="29"/>
  <c r="X51" i="29"/>
  <c r="U51" i="29"/>
  <c r="T51" i="29"/>
  <c r="R51" i="29"/>
  <c r="O51" i="29"/>
  <c r="N51" i="29"/>
  <c r="L51" i="29"/>
  <c r="K51" i="29"/>
  <c r="BL50" i="29"/>
  <c r="BK50" i="29"/>
  <c r="BY50" i="29" s="1"/>
  <c r="AY50" i="29"/>
  <c r="BW50" i="29" s="1"/>
  <c r="AP50" i="29"/>
  <c r="BT50" i="29" s="1"/>
  <c r="W50" i="29"/>
  <c r="AG50" i="29" s="1"/>
  <c r="V50" i="29"/>
  <c r="AF50" i="29" s="1"/>
  <c r="S50" i="29"/>
  <c r="M50" i="29"/>
  <c r="J50" i="29"/>
  <c r="P50" i="29" s="1"/>
  <c r="BL49" i="29"/>
  <c r="BZ49" i="29" s="1"/>
  <c r="BK49" i="29"/>
  <c r="AY49" i="29"/>
  <c r="BW49" i="29" s="1"/>
  <c r="AP49" i="29"/>
  <c r="BS49" i="29"/>
  <c r="W49" i="29"/>
  <c r="AG49" i="29" s="1"/>
  <c r="V49" i="29"/>
  <c r="AF49" i="29" s="1"/>
  <c r="S49" i="29"/>
  <c r="M49" i="29"/>
  <c r="J49" i="29"/>
  <c r="P49" i="29" s="1"/>
  <c r="BL48" i="29"/>
  <c r="BK48" i="29"/>
  <c r="BY48" i="29" s="1"/>
  <c r="AY48" i="29"/>
  <c r="BW48" i="29" s="1"/>
  <c r="AP48" i="29"/>
  <c r="BT48" i="29" s="1"/>
  <c r="BS48" i="29"/>
  <c r="W48" i="29"/>
  <c r="AG48" i="29" s="1"/>
  <c r="V48" i="29"/>
  <c r="AF48" i="29" s="1"/>
  <c r="S48" i="29"/>
  <c r="M48" i="29"/>
  <c r="J48" i="29"/>
  <c r="Q48" i="29" s="1"/>
  <c r="BJ47" i="29"/>
  <c r="BI47" i="29"/>
  <c r="BH47" i="29"/>
  <c r="BG47" i="29"/>
  <c r="BF47" i="29"/>
  <c r="BE47" i="29"/>
  <c r="BD47" i="29"/>
  <c r="BC47" i="29"/>
  <c r="BB47" i="29"/>
  <c r="BA47" i="29"/>
  <c r="AX47" i="29"/>
  <c r="AW47" i="29"/>
  <c r="AN47" i="29"/>
  <c r="AM47" i="29"/>
  <c r="AL47" i="29"/>
  <c r="AJ47" i="29"/>
  <c r="AI47" i="29"/>
  <c r="AE47" i="29"/>
  <c r="AD47" i="29"/>
  <c r="AC47" i="29"/>
  <c r="AB47" i="29"/>
  <c r="AA47" i="29"/>
  <c r="Z47" i="29"/>
  <c r="Y47" i="29"/>
  <c r="X47" i="29"/>
  <c r="U47" i="29"/>
  <c r="T47" i="29"/>
  <c r="R47" i="29"/>
  <c r="O47" i="29"/>
  <c r="N47" i="29"/>
  <c r="L47" i="29"/>
  <c r="K47" i="29"/>
  <c r="BL46" i="29"/>
  <c r="BZ46" i="29" s="1"/>
  <c r="BK46" i="29"/>
  <c r="BY46" i="29" s="1"/>
  <c r="AY46" i="29"/>
  <c r="BW46" i="29" s="1"/>
  <c r="AP46" i="29"/>
  <c r="BT46" i="29" s="1"/>
  <c r="BS46" i="29"/>
  <c r="W46" i="29"/>
  <c r="AG46" i="29" s="1"/>
  <c r="V46" i="29"/>
  <c r="AF46" i="29" s="1"/>
  <c r="S46" i="29"/>
  <c r="M46" i="29"/>
  <c r="J46" i="29"/>
  <c r="BL45" i="29"/>
  <c r="BZ45" i="29" s="1"/>
  <c r="BK45" i="29"/>
  <c r="AY45" i="29"/>
  <c r="BW45" i="29" s="1"/>
  <c r="AP45" i="29"/>
  <c r="BT45" i="29" s="1"/>
  <c r="BS45" i="29"/>
  <c r="W45" i="29"/>
  <c r="V45" i="29"/>
  <c r="AF45" i="29" s="1"/>
  <c r="S45" i="29"/>
  <c r="M45" i="29"/>
  <c r="J45" i="29"/>
  <c r="P45" i="29" s="1"/>
  <c r="BL44" i="29"/>
  <c r="BK44" i="29"/>
  <c r="BY44" i="29" s="1"/>
  <c r="AY44" i="29"/>
  <c r="AP44" i="29"/>
  <c r="BT44" i="29" s="1"/>
  <c r="W44" i="29"/>
  <c r="AG44" i="29" s="1"/>
  <c r="V44" i="29"/>
  <c r="AF44" i="29" s="1"/>
  <c r="S44" i="29"/>
  <c r="M44" i="29"/>
  <c r="J44" i="29"/>
  <c r="BJ43" i="29"/>
  <c r="BI43" i="29"/>
  <c r="BH43" i="29"/>
  <c r="BG43" i="29"/>
  <c r="BF43" i="29"/>
  <c r="BE43" i="29"/>
  <c r="BD43" i="29"/>
  <c r="BC43" i="29"/>
  <c r="BB43" i="29"/>
  <c r="BA43" i="29"/>
  <c r="AX43" i="29"/>
  <c r="AW43" i="29"/>
  <c r="AN43" i="29"/>
  <c r="AM43" i="29"/>
  <c r="AL43" i="29"/>
  <c r="AJ43" i="29"/>
  <c r="AI43" i="29"/>
  <c r="AE43" i="29"/>
  <c r="AD43" i="29"/>
  <c r="AC43" i="29"/>
  <c r="AB43" i="29"/>
  <c r="AA43" i="29"/>
  <c r="Z43" i="29"/>
  <c r="Y43" i="29"/>
  <c r="X43" i="29"/>
  <c r="U43" i="29"/>
  <c r="T43" i="29"/>
  <c r="R43" i="29"/>
  <c r="O43" i="29"/>
  <c r="N43" i="29"/>
  <c r="L43" i="29"/>
  <c r="K43" i="29"/>
  <c r="BL42" i="29"/>
  <c r="BZ42" i="29" s="1"/>
  <c r="BK42" i="29"/>
  <c r="BY42" i="29" s="1"/>
  <c r="AY42" i="29"/>
  <c r="BW42" i="29" s="1"/>
  <c r="AP42" i="29"/>
  <c r="BT42" i="29" s="1"/>
  <c r="W42" i="29"/>
  <c r="V42" i="29"/>
  <c r="AF42" i="29" s="1"/>
  <c r="S42" i="29"/>
  <c r="M42" i="29"/>
  <c r="J42" i="29"/>
  <c r="Q42" i="29" s="1"/>
  <c r="BL41" i="29"/>
  <c r="BZ41" i="29" s="1"/>
  <c r="BK41" i="29"/>
  <c r="BY41" i="29" s="1"/>
  <c r="AY41" i="29"/>
  <c r="BW41" i="29" s="1"/>
  <c r="AP41" i="29"/>
  <c r="BS41" i="29"/>
  <c r="W41" i="29"/>
  <c r="V41" i="29"/>
  <c r="AF41" i="29" s="1"/>
  <c r="S41" i="29"/>
  <c r="M41" i="29"/>
  <c r="J41" i="29"/>
  <c r="P41" i="29" s="1"/>
  <c r="BL40" i="29"/>
  <c r="BZ40" i="29" s="1"/>
  <c r="BK40" i="29"/>
  <c r="BY40" i="29" s="1"/>
  <c r="AY40" i="29"/>
  <c r="AP40" i="29"/>
  <c r="BT40" i="29" s="1"/>
  <c r="W40" i="29"/>
  <c r="AG40" i="29" s="1"/>
  <c r="V40" i="29"/>
  <c r="AF40" i="29" s="1"/>
  <c r="S40" i="29"/>
  <c r="M40" i="29"/>
  <c r="J40" i="29"/>
  <c r="BJ39" i="29"/>
  <c r="BI39" i="29"/>
  <c r="BH39" i="29"/>
  <c r="BG39" i="29"/>
  <c r="BF39" i="29"/>
  <c r="BE39" i="29"/>
  <c r="BD39" i="29"/>
  <c r="BC39" i="29"/>
  <c r="BB39" i="29"/>
  <c r="BA39" i="29"/>
  <c r="AX39" i="29"/>
  <c r="AW39" i="29"/>
  <c r="AN39" i="29"/>
  <c r="AM39" i="29"/>
  <c r="AL39" i="29"/>
  <c r="AJ39" i="29"/>
  <c r="AI39" i="29"/>
  <c r="AE39" i="29"/>
  <c r="AD39" i="29"/>
  <c r="AC39" i="29"/>
  <c r="AB39" i="29"/>
  <c r="AA39" i="29"/>
  <c r="Z39" i="29"/>
  <c r="Y39" i="29"/>
  <c r="X39" i="29"/>
  <c r="U39" i="29"/>
  <c r="T39" i="29"/>
  <c r="R39" i="29"/>
  <c r="O39" i="29"/>
  <c r="N39" i="29"/>
  <c r="L39" i="29"/>
  <c r="K39" i="29"/>
  <c r="BL38" i="29"/>
  <c r="BZ38" i="29" s="1"/>
  <c r="BK38" i="29"/>
  <c r="BY38" i="29" s="1"/>
  <c r="AY38" i="29"/>
  <c r="BW38" i="29" s="1"/>
  <c r="AP38" i="29"/>
  <c r="BT38" i="29" s="1"/>
  <c r="W38" i="29"/>
  <c r="V38" i="29"/>
  <c r="AF38" i="29" s="1"/>
  <c r="S38" i="29"/>
  <c r="M38" i="29"/>
  <c r="J38" i="29"/>
  <c r="Q38" i="29" s="1"/>
  <c r="BL37" i="29"/>
  <c r="BZ37" i="29" s="1"/>
  <c r="BK37" i="29"/>
  <c r="BY37" i="29" s="1"/>
  <c r="AY37" i="29"/>
  <c r="BW37" i="29" s="1"/>
  <c r="AP37" i="29"/>
  <c r="BS37" i="29"/>
  <c r="W37" i="29"/>
  <c r="V37" i="29"/>
  <c r="AF37" i="29" s="1"/>
  <c r="S37" i="29"/>
  <c r="M37" i="29"/>
  <c r="J37" i="29"/>
  <c r="P37" i="29" s="1"/>
  <c r="BL36" i="29"/>
  <c r="BZ36" i="29" s="1"/>
  <c r="BK36" i="29"/>
  <c r="BY36" i="29" s="1"/>
  <c r="AY36" i="29"/>
  <c r="AP36" i="29"/>
  <c r="BT36" i="29" s="1"/>
  <c r="BS36" i="29"/>
  <c r="W36" i="29"/>
  <c r="AG36" i="29" s="1"/>
  <c r="V36" i="29"/>
  <c r="AF36" i="29" s="1"/>
  <c r="S36" i="29"/>
  <c r="M36" i="29"/>
  <c r="J36" i="29"/>
  <c r="BJ35" i="29"/>
  <c r="BI35" i="29"/>
  <c r="BH35" i="29"/>
  <c r="BG35" i="29"/>
  <c r="BF35" i="29"/>
  <c r="BE35" i="29"/>
  <c r="BD35" i="29"/>
  <c r="BC35" i="29"/>
  <c r="BB35" i="29"/>
  <c r="BA35" i="29"/>
  <c r="AX35" i="29"/>
  <c r="AW35" i="29"/>
  <c r="AN35" i="29"/>
  <c r="AM35" i="29"/>
  <c r="AL35" i="29"/>
  <c r="AJ35" i="29"/>
  <c r="AI35" i="29"/>
  <c r="AE35" i="29"/>
  <c r="AD35" i="29"/>
  <c r="AC35" i="29"/>
  <c r="AB35" i="29"/>
  <c r="AA35" i="29"/>
  <c r="Z35" i="29"/>
  <c r="Y35" i="29"/>
  <c r="X35" i="29"/>
  <c r="U35" i="29"/>
  <c r="T35" i="29"/>
  <c r="R35" i="29"/>
  <c r="O35" i="29"/>
  <c r="N35" i="29"/>
  <c r="L35" i="29"/>
  <c r="K35" i="29"/>
  <c r="BL34" i="29"/>
  <c r="BZ34" i="29" s="1"/>
  <c r="BK34" i="29"/>
  <c r="BY34" i="29" s="1"/>
  <c r="AY34" i="29"/>
  <c r="BW34" i="29" s="1"/>
  <c r="AP34" i="29"/>
  <c r="BT34" i="29" s="1"/>
  <c r="W34" i="29"/>
  <c r="V34" i="29"/>
  <c r="AF34" i="29" s="1"/>
  <c r="S34" i="29"/>
  <c r="M34" i="29"/>
  <c r="J34" i="29"/>
  <c r="Q34" i="29" s="1"/>
  <c r="BL33" i="29"/>
  <c r="BZ33" i="29" s="1"/>
  <c r="BK33" i="29"/>
  <c r="BY33" i="29" s="1"/>
  <c r="AY33" i="29"/>
  <c r="BW33" i="29" s="1"/>
  <c r="AP33" i="29"/>
  <c r="BS33" i="29"/>
  <c r="W33" i="29"/>
  <c r="V33" i="29"/>
  <c r="AF33" i="29" s="1"/>
  <c r="S33" i="29"/>
  <c r="M33" i="29"/>
  <c r="J33" i="29"/>
  <c r="BL32" i="29"/>
  <c r="BZ32" i="29" s="1"/>
  <c r="BK32" i="29"/>
  <c r="BY32" i="29" s="1"/>
  <c r="AY32" i="29"/>
  <c r="AP32" i="29"/>
  <c r="BT32" i="29" s="1"/>
  <c r="BS32" i="29"/>
  <c r="W32" i="29"/>
  <c r="AG32" i="29" s="1"/>
  <c r="V32" i="29"/>
  <c r="AF32" i="29" s="1"/>
  <c r="S32" i="29"/>
  <c r="M32" i="29"/>
  <c r="J32" i="29"/>
  <c r="BJ31" i="29"/>
  <c r="BI31" i="29"/>
  <c r="BH31" i="29"/>
  <c r="BG31" i="29"/>
  <c r="BF31" i="29"/>
  <c r="BE31" i="29"/>
  <c r="BD31" i="29"/>
  <c r="BC31" i="29"/>
  <c r="BB31" i="29"/>
  <c r="BA31" i="29"/>
  <c r="AX31" i="29"/>
  <c r="AW31" i="29"/>
  <c r="AN31" i="29"/>
  <c r="AM31" i="29"/>
  <c r="AL31" i="29"/>
  <c r="AJ31" i="29"/>
  <c r="AI31" i="29"/>
  <c r="AE31" i="29"/>
  <c r="AD31" i="29"/>
  <c r="AC31" i="29"/>
  <c r="AB31" i="29"/>
  <c r="AA31" i="29"/>
  <c r="Z31" i="29"/>
  <c r="Y31" i="29"/>
  <c r="X31" i="29"/>
  <c r="U31" i="29"/>
  <c r="T31" i="29"/>
  <c r="R31" i="29"/>
  <c r="O31" i="29"/>
  <c r="N31" i="29"/>
  <c r="L31" i="29"/>
  <c r="K31" i="29"/>
  <c r="BL30" i="29"/>
  <c r="BZ30" i="29" s="1"/>
  <c r="BK30" i="29"/>
  <c r="BY30" i="29" s="1"/>
  <c r="AY30" i="29"/>
  <c r="BW30" i="29" s="1"/>
  <c r="AP30" i="29"/>
  <c r="BT30" i="29" s="1"/>
  <c r="BS30" i="29"/>
  <c r="W30" i="29"/>
  <c r="V30" i="29"/>
  <c r="AF30" i="29" s="1"/>
  <c r="S30" i="29"/>
  <c r="M30" i="29"/>
  <c r="J30" i="29"/>
  <c r="BL29" i="29"/>
  <c r="BZ29" i="29" s="1"/>
  <c r="BK29" i="29"/>
  <c r="BY29" i="29" s="1"/>
  <c r="AY29" i="29"/>
  <c r="AP29" i="29"/>
  <c r="BS29" i="29"/>
  <c r="W29" i="29"/>
  <c r="AG29" i="29" s="1"/>
  <c r="V29" i="29"/>
  <c r="AF29" i="29" s="1"/>
  <c r="S29" i="29"/>
  <c r="M29" i="29"/>
  <c r="J29" i="29"/>
  <c r="P29" i="29" s="1"/>
  <c r="BJ28" i="29"/>
  <c r="BI28" i="29"/>
  <c r="BH28" i="29"/>
  <c r="BG28" i="29"/>
  <c r="BF28" i="29"/>
  <c r="BE28" i="29"/>
  <c r="BD28" i="29"/>
  <c r="BC28" i="29"/>
  <c r="BB28" i="29"/>
  <c r="BA28" i="29"/>
  <c r="AX28" i="29"/>
  <c r="AW28" i="29"/>
  <c r="AN28" i="29"/>
  <c r="AM28" i="29"/>
  <c r="AL28" i="29"/>
  <c r="AJ28" i="29"/>
  <c r="AI28" i="29"/>
  <c r="AE28" i="29"/>
  <c r="AD28" i="29"/>
  <c r="AC28" i="29"/>
  <c r="AB28" i="29"/>
  <c r="AA28" i="29"/>
  <c r="Z28" i="29"/>
  <c r="Y28" i="29"/>
  <c r="X28" i="29"/>
  <c r="U28" i="29"/>
  <c r="T28" i="29"/>
  <c r="R28" i="29"/>
  <c r="O28" i="29"/>
  <c r="N28" i="29"/>
  <c r="L28" i="29"/>
  <c r="K28" i="29"/>
  <c r="BL27" i="29"/>
  <c r="BZ27" i="29" s="1"/>
  <c r="BK27" i="29"/>
  <c r="BY27" i="29" s="1"/>
  <c r="AY27" i="29"/>
  <c r="BW27" i="29" s="1"/>
  <c r="AP27" i="29"/>
  <c r="BT27" i="29" s="1"/>
  <c r="BS27" i="29"/>
  <c r="W27" i="29"/>
  <c r="AG27" i="29" s="1"/>
  <c r="V27" i="29"/>
  <c r="S27" i="29"/>
  <c r="M27" i="29"/>
  <c r="J27" i="29"/>
  <c r="P27" i="29" s="1"/>
  <c r="BL26" i="29"/>
  <c r="BZ26" i="29" s="1"/>
  <c r="BK26" i="29"/>
  <c r="BY26" i="29" s="1"/>
  <c r="AY26" i="29"/>
  <c r="BW26" i="29" s="1"/>
  <c r="AP26" i="29"/>
  <c r="BT26" i="29" s="1"/>
  <c r="BS26" i="29"/>
  <c r="W26" i="29"/>
  <c r="V26" i="29"/>
  <c r="AF26" i="29" s="1"/>
  <c r="S26" i="29"/>
  <c r="M26" i="29"/>
  <c r="J26" i="29"/>
  <c r="Q26" i="29" s="1"/>
  <c r="BL25" i="29"/>
  <c r="BZ25" i="29" s="1"/>
  <c r="BK25" i="29"/>
  <c r="BY25" i="29" s="1"/>
  <c r="AY25" i="29"/>
  <c r="BW25" i="29" s="1"/>
  <c r="AP25" i="29"/>
  <c r="BS25" i="29"/>
  <c r="W25" i="29"/>
  <c r="AG25" i="29" s="1"/>
  <c r="V25" i="29"/>
  <c r="AF25" i="29" s="1"/>
  <c r="S25" i="29"/>
  <c r="M25" i="29"/>
  <c r="J25" i="29"/>
  <c r="Q25" i="29" s="1"/>
  <c r="BJ24" i="29"/>
  <c r="BI24" i="29"/>
  <c r="BH24" i="29"/>
  <c r="BG24" i="29"/>
  <c r="BF24" i="29"/>
  <c r="BE24" i="29"/>
  <c r="BD24" i="29"/>
  <c r="BC24" i="29"/>
  <c r="BB24" i="29"/>
  <c r="BA24" i="29"/>
  <c r="AX24" i="29"/>
  <c r="AW24" i="29"/>
  <c r="AN24" i="29"/>
  <c r="AM24" i="29"/>
  <c r="AL24" i="29"/>
  <c r="AJ24" i="29"/>
  <c r="AI24" i="29"/>
  <c r="AE24" i="29"/>
  <c r="AD24" i="29"/>
  <c r="AC24" i="29"/>
  <c r="AB24" i="29"/>
  <c r="AA24" i="29"/>
  <c r="Z24" i="29"/>
  <c r="Y24" i="29"/>
  <c r="X24" i="29"/>
  <c r="U24" i="29"/>
  <c r="T24" i="29"/>
  <c r="R24" i="29"/>
  <c r="O24" i="29"/>
  <c r="N24" i="29"/>
  <c r="L24" i="29"/>
  <c r="K24" i="29"/>
  <c r="BL23" i="29"/>
  <c r="BZ23" i="29" s="1"/>
  <c r="BK23" i="29"/>
  <c r="BY23" i="29" s="1"/>
  <c r="AY23" i="29"/>
  <c r="BW23" i="29" s="1"/>
  <c r="AP23" i="29"/>
  <c r="BT23" i="29" s="1"/>
  <c r="BS23" i="29"/>
  <c r="W23" i="29"/>
  <c r="AG23" i="29" s="1"/>
  <c r="V23" i="29"/>
  <c r="AF23" i="29" s="1"/>
  <c r="S23" i="29"/>
  <c r="M23" i="29"/>
  <c r="J23" i="29"/>
  <c r="P23" i="29" s="1"/>
  <c r="BL22" i="29"/>
  <c r="BZ22" i="29" s="1"/>
  <c r="BK22" i="29"/>
  <c r="BY22" i="29" s="1"/>
  <c r="AY22" i="29"/>
  <c r="BW22" i="29" s="1"/>
  <c r="AP22" i="29"/>
  <c r="BT22" i="29" s="1"/>
  <c r="BS22" i="29"/>
  <c r="W22" i="29"/>
  <c r="V22" i="29"/>
  <c r="AF22" i="29" s="1"/>
  <c r="S22" i="29"/>
  <c r="M22" i="29"/>
  <c r="J22" i="29"/>
  <c r="Q22" i="29" s="1"/>
  <c r="BL21" i="29"/>
  <c r="BZ21" i="29" s="1"/>
  <c r="BK21" i="29"/>
  <c r="BY21" i="29" s="1"/>
  <c r="AY21" i="29"/>
  <c r="BW21" i="29" s="1"/>
  <c r="AP21" i="29"/>
  <c r="BS21" i="29"/>
  <c r="W21" i="29"/>
  <c r="AG21" i="29" s="1"/>
  <c r="V21" i="29"/>
  <c r="AF21" i="29" s="1"/>
  <c r="S21" i="29"/>
  <c r="M21" i="29"/>
  <c r="J21" i="29"/>
  <c r="BJ20" i="29"/>
  <c r="BI20" i="29"/>
  <c r="BH20" i="29"/>
  <c r="BG20" i="29"/>
  <c r="BF20" i="29"/>
  <c r="BE20" i="29"/>
  <c r="BD20" i="29"/>
  <c r="BC20" i="29"/>
  <c r="BB20" i="29"/>
  <c r="BA20" i="29"/>
  <c r="AX20" i="29"/>
  <c r="AW20" i="29"/>
  <c r="AN20" i="29"/>
  <c r="AM20" i="29"/>
  <c r="AL20" i="29"/>
  <c r="AJ20" i="29"/>
  <c r="AI20" i="29"/>
  <c r="AE20" i="29"/>
  <c r="AD20" i="29"/>
  <c r="AC20" i="29"/>
  <c r="AB20" i="29"/>
  <c r="AA20" i="29"/>
  <c r="Z20" i="29"/>
  <c r="Y20" i="29"/>
  <c r="X20" i="29"/>
  <c r="U20" i="29"/>
  <c r="T20" i="29"/>
  <c r="R20" i="29"/>
  <c r="O20" i="29"/>
  <c r="N20" i="29"/>
  <c r="L20" i="29"/>
  <c r="K20" i="29"/>
  <c r="BL19" i="29"/>
  <c r="BZ19" i="29" s="1"/>
  <c r="BK19" i="29"/>
  <c r="BY19" i="29" s="1"/>
  <c r="AY19" i="29"/>
  <c r="BW19" i="29" s="1"/>
  <c r="AP19" i="29"/>
  <c r="BS19" i="29"/>
  <c r="W19" i="29"/>
  <c r="AG19" i="29" s="1"/>
  <c r="V19" i="29"/>
  <c r="AF19" i="29" s="1"/>
  <c r="S19" i="29"/>
  <c r="M19" i="29"/>
  <c r="J19" i="29"/>
  <c r="BL18" i="29"/>
  <c r="BZ18" i="29" s="1"/>
  <c r="BK18" i="29"/>
  <c r="AY18" i="29"/>
  <c r="BW18" i="29" s="1"/>
  <c r="AP18" i="29"/>
  <c r="BT18" i="29" s="1"/>
  <c r="W18" i="29"/>
  <c r="AG18" i="29" s="1"/>
  <c r="V18" i="29"/>
  <c r="AF18" i="29" s="1"/>
  <c r="S18" i="29"/>
  <c r="M18" i="29"/>
  <c r="J18" i="29"/>
  <c r="Q18" i="29" s="1"/>
  <c r="BJ17" i="29"/>
  <c r="BI17" i="29"/>
  <c r="BH17" i="29"/>
  <c r="BG17" i="29"/>
  <c r="BF17" i="29"/>
  <c r="BE17" i="29"/>
  <c r="BD17" i="29"/>
  <c r="BC17" i="29"/>
  <c r="BB17" i="29"/>
  <c r="BA17" i="29"/>
  <c r="AX17" i="29"/>
  <c r="AW17" i="29"/>
  <c r="AN17" i="29"/>
  <c r="AM17" i="29"/>
  <c r="AL17" i="29"/>
  <c r="AJ17" i="29"/>
  <c r="AI17" i="29"/>
  <c r="AE17" i="29"/>
  <c r="AD17" i="29"/>
  <c r="AC17" i="29"/>
  <c r="AB17" i="29"/>
  <c r="AA17" i="29"/>
  <c r="Z17" i="29"/>
  <c r="Y17" i="29"/>
  <c r="X17" i="29"/>
  <c r="U17" i="29"/>
  <c r="T17" i="29"/>
  <c r="R17" i="29"/>
  <c r="O17" i="29"/>
  <c r="N17" i="29"/>
  <c r="L17" i="29"/>
  <c r="K17" i="29"/>
  <c r="BL16" i="29"/>
  <c r="BZ16" i="29" s="1"/>
  <c r="BK16" i="29"/>
  <c r="AY16" i="29"/>
  <c r="BW16" i="29" s="1"/>
  <c r="AP16" i="29"/>
  <c r="W16" i="29"/>
  <c r="AG16" i="29" s="1"/>
  <c r="V16" i="29"/>
  <c r="AF16" i="29" s="1"/>
  <c r="S16" i="29"/>
  <c r="M16" i="29"/>
  <c r="J16" i="29"/>
  <c r="P16" i="29" s="1"/>
  <c r="BL15" i="29"/>
  <c r="BZ15" i="29" s="1"/>
  <c r="BK15" i="29"/>
  <c r="BY15" i="29" s="1"/>
  <c r="AY15" i="29"/>
  <c r="BW15" i="29" s="1"/>
  <c r="AP15" i="29"/>
  <c r="BT15" i="29" s="1"/>
  <c r="BS15" i="29"/>
  <c r="W15" i="29"/>
  <c r="AG15" i="29" s="1"/>
  <c r="V15" i="29"/>
  <c r="AF15" i="29" s="1"/>
  <c r="S15" i="29"/>
  <c r="M15" i="29"/>
  <c r="J15" i="29"/>
  <c r="P15" i="29" s="1"/>
  <c r="BL14" i="29"/>
  <c r="BK14" i="29"/>
  <c r="AY14" i="29"/>
  <c r="AP14" i="29"/>
  <c r="W14" i="29"/>
  <c r="AG14" i="29" s="1"/>
  <c r="V14" i="29"/>
  <c r="AF14" i="29" s="1"/>
  <c r="S14" i="29"/>
  <c r="M14" i="29"/>
  <c r="J14" i="29"/>
  <c r="Q14" i="29" s="1"/>
  <c r="BJ13" i="29"/>
  <c r="BI13" i="29"/>
  <c r="BH13" i="29"/>
  <c r="BG13" i="29"/>
  <c r="BF13" i="29"/>
  <c r="BE13" i="29"/>
  <c r="BD13" i="29"/>
  <c r="BC13" i="29"/>
  <c r="BB13" i="29"/>
  <c r="BA13" i="29"/>
  <c r="AX13" i="29"/>
  <c r="AW13" i="29"/>
  <c r="AN13" i="29"/>
  <c r="AM13" i="29"/>
  <c r="AL13" i="29"/>
  <c r="AJ13" i="29"/>
  <c r="AI13" i="29"/>
  <c r="AE13" i="29"/>
  <c r="AD13" i="29"/>
  <c r="AC13" i="29"/>
  <c r="AB13" i="29"/>
  <c r="AA13" i="29"/>
  <c r="Z13" i="29"/>
  <c r="Y13" i="29"/>
  <c r="X13" i="29"/>
  <c r="U13" i="29"/>
  <c r="T13" i="29"/>
  <c r="R13" i="29"/>
  <c r="O13" i="29"/>
  <c r="N13" i="29"/>
  <c r="L13" i="29"/>
  <c r="K13" i="29"/>
  <c r="BL12" i="29"/>
  <c r="BL204" i="29" s="1"/>
  <c r="BK12" i="29"/>
  <c r="BK204" i="29" s="1"/>
  <c r="AY12" i="29"/>
  <c r="AY204" i="29" s="1"/>
  <c r="AP12" i="29"/>
  <c r="AP204" i="29" s="1"/>
  <c r="W12" i="29"/>
  <c r="V12" i="29"/>
  <c r="S12" i="29"/>
  <c r="S13" i="29" s="1"/>
  <c r="M12" i="29"/>
  <c r="M13" i="29" s="1"/>
  <c r="J12" i="29"/>
  <c r="J13" i="29" s="1"/>
  <c r="AF125" i="29" l="1"/>
  <c r="AF158" i="29"/>
  <c r="AG51" i="29"/>
  <c r="AG66" i="29"/>
  <c r="AF39" i="29"/>
  <c r="AG78" i="29"/>
  <c r="AG177" i="29"/>
  <c r="BM211" i="32"/>
  <c r="BX211" i="32" s="1"/>
  <c r="BM232" i="32"/>
  <c r="AF31" i="29"/>
  <c r="AF58" i="29"/>
  <c r="AF70" i="29"/>
  <c r="AG20" i="29"/>
  <c r="AG17" i="29"/>
  <c r="AG26" i="29"/>
  <c r="AG28" i="29" s="1"/>
  <c r="AG37" i="29"/>
  <c r="AS37" i="29" s="1"/>
  <c r="AG42" i="29"/>
  <c r="AS42" i="29" s="1"/>
  <c r="AF78" i="29"/>
  <c r="AF101" i="29"/>
  <c r="AG111" i="29"/>
  <c r="AS111" i="29" s="1"/>
  <c r="AG121" i="29"/>
  <c r="AS121" i="29" s="1"/>
  <c r="AG162" i="29"/>
  <c r="BQ162" i="29" s="1"/>
  <c r="AG174" i="29"/>
  <c r="AG22" i="29"/>
  <c r="AG24" i="29" s="1"/>
  <c r="AG33" i="29"/>
  <c r="AS33" i="29" s="1"/>
  <c r="AG38" i="29"/>
  <c r="AS38" i="29" s="1"/>
  <c r="AG55" i="29"/>
  <c r="AG60" i="29"/>
  <c r="AG62" i="29" s="1"/>
  <c r="AF83" i="29"/>
  <c r="AG92" i="29"/>
  <c r="BQ92" i="29" s="1"/>
  <c r="AG106" i="29"/>
  <c r="BQ106" i="29" s="1"/>
  <c r="AG112" i="29"/>
  <c r="AS112" i="29" s="1"/>
  <c r="AF137" i="29"/>
  <c r="AG136" i="29"/>
  <c r="BQ136" i="29" s="1"/>
  <c r="AF143" i="29"/>
  <c r="AF153" i="29"/>
  <c r="BP153" i="29" s="1"/>
  <c r="AG157" i="29"/>
  <c r="AS157" i="29" s="1"/>
  <c r="AG184" i="29"/>
  <c r="BQ184" i="29" s="1"/>
  <c r="AF162" i="29"/>
  <c r="AF163" i="29" s="1"/>
  <c r="AF27" i="29"/>
  <c r="AH27" i="29" s="1"/>
  <c r="AF51" i="29"/>
  <c r="V204" i="29"/>
  <c r="AF12" i="29"/>
  <c r="AF13" i="29" s="1"/>
  <c r="AF35" i="29"/>
  <c r="AF43" i="29"/>
  <c r="AG82" i="29"/>
  <c r="BQ82" i="29" s="1"/>
  <c r="AF87" i="29"/>
  <c r="BP87" i="29" s="1"/>
  <c r="AF113" i="29"/>
  <c r="AG122" i="29"/>
  <c r="BQ122" i="29" s="1"/>
  <c r="AG128" i="29"/>
  <c r="AG131" i="29" s="1"/>
  <c r="AG133" i="29"/>
  <c r="BQ133" i="29" s="1"/>
  <c r="AF170" i="29"/>
  <c r="BP170" i="29" s="1"/>
  <c r="AF180" i="29"/>
  <c r="AF185" i="29"/>
  <c r="AF190" i="29" s="1"/>
  <c r="AG188" i="29"/>
  <c r="AH188" i="29" s="1"/>
  <c r="AF24" i="29"/>
  <c r="AF54" i="29"/>
  <c r="AF55" i="29" s="1"/>
  <c r="AF65" i="29"/>
  <c r="AF66" i="29" s="1"/>
  <c r="W204" i="29"/>
  <c r="AG12" i="29"/>
  <c r="AG13" i="29" s="1"/>
  <c r="AG34" i="29"/>
  <c r="AH34" i="29" s="1"/>
  <c r="AU34" i="29" s="1"/>
  <c r="AG45" i="29"/>
  <c r="AG47" i="29" s="1"/>
  <c r="AF74" i="29"/>
  <c r="AG119" i="29"/>
  <c r="AF129" i="29"/>
  <c r="BP129" i="29" s="1"/>
  <c r="AF144" i="29"/>
  <c r="AF150" i="29"/>
  <c r="AG165" i="29"/>
  <c r="BQ165" i="29" s="1"/>
  <c r="AG180" i="29"/>
  <c r="AG183" i="29" s="1"/>
  <c r="AG185" i="29"/>
  <c r="AF59" i="29"/>
  <c r="BP59" i="29" s="1"/>
  <c r="AG151" i="29"/>
  <c r="BQ151" i="29" s="1"/>
  <c r="AG156" i="29"/>
  <c r="AF182" i="29"/>
  <c r="AR182" i="29" s="1"/>
  <c r="AG69" i="29"/>
  <c r="AG70" i="29" s="1"/>
  <c r="AG71" i="29"/>
  <c r="AS71" i="29" s="1"/>
  <c r="AF107" i="29"/>
  <c r="V139" i="29"/>
  <c r="AF138" i="29"/>
  <c r="AF139" i="29" s="1"/>
  <c r="AF20" i="29"/>
  <c r="AF47" i="29"/>
  <c r="AG73" i="29"/>
  <c r="BQ73" i="29" s="1"/>
  <c r="AG89" i="29"/>
  <c r="AF95" i="29"/>
  <c r="AG98" i="29"/>
  <c r="BQ98" i="29" s="1"/>
  <c r="AF119" i="29"/>
  <c r="AG150" i="29"/>
  <c r="AF167" i="29"/>
  <c r="AF176" i="29"/>
  <c r="AF177" i="29" s="1"/>
  <c r="AF178" i="29"/>
  <c r="AF17" i="29"/>
  <c r="AG102" i="29"/>
  <c r="AG107" i="29" s="1"/>
  <c r="AG30" i="29"/>
  <c r="AG31" i="29" s="1"/>
  <c r="AG41" i="29"/>
  <c r="BQ41" i="29" s="1"/>
  <c r="AG57" i="29"/>
  <c r="AG58" i="29" s="1"/>
  <c r="AG110" i="29"/>
  <c r="AG141" i="29"/>
  <c r="AG147" i="29" s="1"/>
  <c r="AG161" i="29"/>
  <c r="AG166" i="29"/>
  <c r="AH166" i="29" s="1"/>
  <c r="AU166" i="29" s="1"/>
  <c r="AG186" i="29"/>
  <c r="BQ186" i="29" s="1"/>
  <c r="AH272" i="32"/>
  <c r="AR267" i="32"/>
  <c r="W306" i="32"/>
  <c r="AR43" i="30"/>
  <c r="BM177" i="32"/>
  <c r="BX177" i="32" s="1"/>
  <c r="BM72" i="31"/>
  <c r="BX72" i="31" s="1"/>
  <c r="AS246" i="32"/>
  <c r="AQ97" i="32"/>
  <c r="BR97" i="32" s="1"/>
  <c r="BM127" i="32"/>
  <c r="BX127" i="32" s="1"/>
  <c r="W182" i="32"/>
  <c r="M306" i="32"/>
  <c r="AQ40" i="32"/>
  <c r="BR40" i="32" s="1"/>
  <c r="AQ169" i="32"/>
  <c r="BR169" i="32" s="1"/>
  <c r="AH218" i="32"/>
  <c r="AQ30" i="31"/>
  <c r="AH22" i="31"/>
  <c r="P34" i="30"/>
  <c r="I34" i="30" s="1"/>
  <c r="AR98" i="30"/>
  <c r="AS24" i="30"/>
  <c r="AQ73" i="30"/>
  <c r="BR73" i="30" s="1"/>
  <c r="AH160" i="29"/>
  <c r="AS123" i="29"/>
  <c r="AQ151" i="29"/>
  <c r="BR151" i="29" s="1"/>
  <c r="AP31" i="29"/>
  <c r="BC89" i="29"/>
  <c r="AQ69" i="29"/>
  <c r="BR69" i="29" s="1"/>
  <c r="P102" i="32"/>
  <c r="P302" i="32" s="1"/>
  <c r="AQ147" i="32"/>
  <c r="BR147" i="32" s="1"/>
  <c r="P172" i="32"/>
  <c r="I172" i="32" s="1"/>
  <c r="AS100" i="29"/>
  <c r="BC104" i="30"/>
  <c r="AS89" i="30"/>
  <c r="Q152" i="32"/>
  <c r="I152" i="32" s="1"/>
  <c r="AH80" i="29"/>
  <c r="AU80" i="29" s="1"/>
  <c r="BM106" i="29"/>
  <c r="BX106" i="29" s="1"/>
  <c r="AH84" i="30"/>
  <c r="AQ45" i="31"/>
  <c r="BR45" i="31" s="1"/>
  <c r="BL52" i="31"/>
  <c r="BL306" i="32"/>
  <c r="AF145" i="32"/>
  <c r="AF146" i="32" s="1"/>
  <c r="BS145" i="32"/>
  <c r="BS146" i="32" s="1"/>
  <c r="BM179" i="32"/>
  <c r="AS226" i="32"/>
  <c r="BM233" i="32"/>
  <c r="BX233" i="32" s="1"/>
  <c r="AQ64" i="29"/>
  <c r="BR64" i="29" s="1"/>
  <c r="BM85" i="29"/>
  <c r="BX85" i="29" s="1"/>
  <c r="BM53" i="31"/>
  <c r="BX53" i="31" s="1"/>
  <c r="AH19" i="32"/>
  <c r="AQ112" i="32"/>
  <c r="BR112" i="32" s="1"/>
  <c r="AQ223" i="32"/>
  <c r="BR223" i="32" s="1"/>
  <c r="W31" i="29"/>
  <c r="BM111" i="29"/>
  <c r="BX111" i="29" s="1"/>
  <c r="P151" i="29"/>
  <c r="I151" i="29" s="1"/>
  <c r="M163" i="29"/>
  <c r="AQ187" i="29"/>
  <c r="BR187" i="29" s="1"/>
  <c r="Q188" i="29"/>
  <c r="I188" i="29" s="1"/>
  <c r="AW44" i="30"/>
  <c r="AW100" i="30" s="1"/>
  <c r="AP16" i="47" s="1"/>
  <c r="AR82" i="30"/>
  <c r="BM27" i="31"/>
  <c r="BM36" i="31"/>
  <c r="BX36" i="31" s="1"/>
  <c r="AH111" i="32"/>
  <c r="BM121" i="32"/>
  <c r="BX121" i="32" s="1"/>
  <c r="AR225" i="32"/>
  <c r="AR252" i="32"/>
  <c r="BY43" i="29"/>
  <c r="BZ177" i="29"/>
  <c r="BM34" i="30"/>
  <c r="BX34" i="30" s="1"/>
  <c r="AQ46" i="32"/>
  <c r="BR46" i="32" s="1"/>
  <c r="BK73" i="32"/>
  <c r="BY73" i="32" s="1"/>
  <c r="BM128" i="32"/>
  <c r="BM180" i="32"/>
  <c r="BX180" i="32" s="1"/>
  <c r="Q250" i="32"/>
  <c r="I250" i="32" s="1"/>
  <c r="BE77" i="31"/>
  <c r="AO204" i="29"/>
  <c r="AQ12" i="29"/>
  <c r="BR12" i="29" s="1"/>
  <c r="P22" i="29"/>
  <c r="I22" i="29" s="1"/>
  <c r="Q54" i="29"/>
  <c r="I54" i="29" s="1"/>
  <c r="AH97" i="29"/>
  <c r="AQ103" i="29"/>
  <c r="BR103" i="29" s="1"/>
  <c r="AQ111" i="29"/>
  <c r="BR111" i="29" s="1"/>
  <c r="AR128" i="29"/>
  <c r="BM153" i="29"/>
  <c r="BX153" i="29" s="1"/>
  <c r="BC158" i="29"/>
  <c r="AQ181" i="29"/>
  <c r="BR181" i="29" s="1"/>
  <c r="AR55" i="30"/>
  <c r="BC85" i="30"/>
  <c r="AQ96" i="30"/>
  <c r="BR96" i="30" s="1"/>
  <c r="N103" i="30"/>
  <c r="AM103" i="30"/>
  <c r="BE103" i="30"/>
  <c r="AQ116" i="32"/>
  <c r="BR116" i="32" s="1"/>
  <c r="P155" i="32"/>
  <c r="I155" i="32" s="1"/>
  <c r="AS260" i="32"/>
  <c r="AQ38" i="29"/>
  <c r="BR38" i="29" s="1"/>
  <c r="AQ84" i="29"/>
  <c r="BR84" i="29" s="1"/>
  <c r="P130" i="29"/>
  <c r="I130" i="29" s="1"/>
  <c r="AQ157" i="29"/>
  <c r="BR157" i="29" s="1"/>
  <c r="P184" i="29"/>
  <c r="I184" i="29" s="1"/>
  <c r="AS27" i="30"/>
  <c r="AF83" i="30"/>
  <c r="AF85" i="30" s="1"/>
  <c r="V43" i="31"/>
  <c r="AQ54" i="31"/>
  <c r="BR54" i="31" s="1"/>
  <c r="AQ68" i="31"/>
  <c r="BR68" i="31" s="1"/>
  <c r="BM70" i="31"/>
  <c r="BX70" i="31" s="1"/>
  <c r="BH77" i="31"/>
  <c r="P49" i="32"/>
  <c r="I49" i="32" s="1"/>
  <c r="AS278" i="32"/>
  <c r="AR56" i="31"/>
  <c r="BM21" i="32"/>
  <c r="BX21" i="32" s="1"/>
  <c r="BW27" i="32"/>
  <c r="AS104" i="32"/>
  <c r="AP216" i="32"/>
  <c r="BK40" i="30"/>
  <c r="BY40" i="30" s="1"/>
  <c r="BM49" i="30"/>
  <c r="BX49" i="30" s="1"/>
  <c r="J32" i="31"/>
  <c r="M43" i="29"/>
  <c r="Q76" i="29"/>
  <c r="P102" i="29"/>
  <c r="I102" i="29" s="1"/>
  <c r="AQ105" i="29"/>
  <c r="BR105" i="29" s="1"/>
  <c r="AH123" i="29"/>
  <c r="AU123" i="29" s="1"/>
  <c r="BM146" i="29"/>
  <c r="BX146" i="29" s="1"/>
  <c r="P157" i="29"/>
  <c r="I157" i="29" s="1"/>
  <c r="BM164" i="29"/>
  <c r="BX164" i="29" s="1"/>
  <c r="AQ16" i="30"/>
  <c r="AQ17" i="30" s="1"/>
  <c r="AQ22" i="30"/>
  <c r="BR22" i="30" s="1"/>
  <c r="AQ79" i="30"/>
  <c r="BR79" i="30" s="1"/>
  <c r="BS43" i="31"/>
  <c r="M57" i="31"/>
  <c r="AQ63" i="31"/>
  <c r="BR63" i="31" s="1"/>
  <c r="J306" i="32"/>
  <c r="AP306" i="32"/>
  <c r="AQ36" i="32"/>
  <c r="BR36" i="32" s="1"/>
  <c r="P54" i="32"/>
  <c r="I54" i="32" s="1"/>
  <c r="S71" i="32"/>
  <c r="AH136" i="32"/>
  <c r="BM141" i="32"/>
  <c r="BX141" i="32" s="1"/>
  <c r="AQ156" i="32"/>
  <c r="BR156" i="32" s="1"/>
  <c r="P180" i="32"/>
  <c r="I180" i="32" s="1"/>
  <c r="AQ185" i="32"/>
  <c r="BR185" i="32" s="1"/>
  <c r="Q212" i="32"/>
  <c r="I212" i="32" s="1"/>
  <c r="BT220" i="32"/>
  <c r="AP238" i="32"/>
  <c r="BJ103" i="30"/>
  <c r="BJ77" i="31"/>
  <c r="BW24" i="29"/>
  <c r="Q29" i="29"/>
  <c r="I29" i="29" s="1"/>
  <c r="Q50" i="29"/>
  <c r="I50" i="29" s="1"/>
  <c r="Q60" i="29"/>
  <c r="I60" i="29" s="1"/>
  <c r="AR68" i="29"/>
  <c r="BC195" i="29"/>
  <c r="BC70" i="29"/>
  <c r="AQ87" i="29"/>
  <c r="BR87" i="29" s="1"/>
  <c r="BM94" i="29"/>
  <c r="BX94" i="29" s="1"/>
  <c r="AS97" i="29"/>
  <c r="W119" i="29"/>
  <c r="AS117" i="29"/>
  <c r="BY164" i="29"/>
  <c r="AS173" i="29"/>
  <c r="BT28" i="30"/>
  <c r="W37" i="30"/>
  <c r="AS35" i="30"/>
  <c r="AR97" i="30"/>
  <c r="P39" i="31"/>
  <c r="P86" i="31" s="1"/>
  <c r="P47" i="31"/>
  <c r="I47" i="31" s="1"/>
  <c r="BT67" i="31"/>
  <c r="BK306" i="32"/>
  <c r="P14" i="32"/>
  <c r="I14" i="32" s="1"/>
  <c r="AF86" i="32"/>
  <c r="BP86" i="32" s="1"/>
  <c r="AG188" i="32"/>
  <c r="Q210" i="32"/>
  <c r="I210" i="32" s="1"/>
  <c r="AQ210" i="32"/>
  <c r="AS236" i="32"/>
  <c r="S248" i="32"/>
  <c r="P264" i="32"/>
  <c r="I264" i="32" s="1"/>
  <c r="AR266" i="32"/>
  <c r="AR275" i="32"/>
  <c r="AR280" i="32"/>
  <c r="BD103" i="30"/>
  <c r="N77" i="31"/>
  <c r="AS61" i="29"/>
  <c r="AS76" i="29"/>
  <c r="AR88" i="29"/>
  <c r="AQ91" i="29"/>
  <c r="BR91" i="29" s="1"/>
  <c r="BY153" i="29"/>
  <c r="BP186" i="29"/>
  <c r="BB194" i="29"/>
  <c r="BC105" i="30"/>
  <c r="AY40" i="30"/>
  <c r="AY44" i="30" s="1"/>
  <c r="AQ46" i="30"/>
  <c r="BR46" i="30" s="1"/>
  <c r="AR76" i="30"/>
  <c r="BM34" i="31"/>
  <c r="BX34" i="31" s="1"/>
  <c r="BK43" i="31"/>
  <c r="Q46" i="31"/>
  <c r="I46" i="31" s="1"/>
  <c r="AR60" i="31"/>
  <c r="AM77" i="31"/>
  <c r="V306" i="32"/>
  <c r="AQ23" i="32"/>
  <c r="BR23" i="32" s="1"/>
  <c r="AF54" i="32"/>
  <c r="AH54" i="32" s="1"/>
  <c r="AU54" i="32" s="1"/>
  <c r="AH64" i="32"/>
  <c r="AQ92" i="32"/>
  <c r="BR92" i="32" s="1"/>
  <c r="AS112" i="32"/>
  <c r="BM126" i="32"/>
  <c r="BX126" i="32" s="1"/>
  <c r="AQ187" i="32"/>
  <c r="BR187" i="32" s="1"/>
  <c r="Q203" i="32"/>
  <c r="I203" i="32" s="1"/>
  <c r="AH211" i="32"/>
  <c r="AU211" i="32" s="1"/>
  <c r="BM213" i="32"/>
  <c r="BX213" i="32" s="1"/>
  <c r="AF238" i="32"/>
  <c r="Q268" i="32"/>
  <c r="I268" i="32" s="1"/>
  <c r="BY141" i="32"/>
  <c r="AS191" i="32"/>
  <c r="BT248" i="32"/>
  <c r="BZ291" i="32"/>
  <c r="BZ292" i="32" s="1"/>
  <c r="AR104" i="32"/>
  <c r="AQ62" i="32"/>
  <c r="BR62" i="32" s="1"/>
  <c r="AQ66" i="32"/>
  <c r="BR66" i="32" s="1"/>
  <c r="BM95" i="32"/>
  <c r="BX95" i="32" s="1"/>
  <c r="AQ103" i="32"/>
  <c r="BR103" i="32" s="1"/>
  <c r="AO305" i="32"/>
  <c r="AQ151" i="32"/>
  <c r="BR151" i="32" s="1"/>
  <c r="AQ179" i="32"/>
  <c r="BR179" i="32" s="1"/>
  <c r="AQ191" i="32"/>
  <c r="BR191" i="32" s="1"/>
  <c r="AP214" i="32"/>
  <c r="BM210" i="32"/>
  <c r="BX210" i="32" s="1"/>
  <c r="AR213" i="32"/>
  <c r="AI296" i="32"/>
  <c r="V295" i="32" s="1"/>
  <c r="BM153" i="32"/>
  <c r="BX153" i="32" s="1"/>
  <c r="AQ165" i="32"/>
  <c r="BR165" i="32" s="1"/>
  <c r="AQ207" i="32"/>
  <c r="BR207" i="32" s="1"/>
  <c r="BM240" i="32"/>
  <c r="BX240" i="32" s="1"/>
  <c r="AS241" i="32"/>
  <c r="AQ99" i="32"/>
  <c r="BR99" i="32" s="1"/>
  <c r="M302" i="32"/>
  <c r="AY188" i="32"/>
  <c r="W17" i="32"/>
  <c r="S77" i="32"/>
  <c r="BT113" i="32"/>
  <c r="P143" i="32"/>
  <c r="I143" i="32" s="1"/>
  <c r="AH147" i="32"/>
  <c r="M195" i="32"/>
  <c r="BM189" i="32"/>
  <c r="BX189" i="32" s="1"/>
  <c r="P211" i="32"/>
  <c r="I211" i="32" s="1"/>
  <c r="S227" i="32"/>
  <c r="BM230" i="32"/>
  <c r="BX230" i="32" s="1"/>
  <c r="BM237" i="32"/>
  <c r="BX237" i="32" s="1"/>
  <c r="BM241" i="32"/>
  <c r="BX241" i="32" s="1"/>
  <c r="BM244" i="32"/>
  <c r="BX244" i="32" s="1"/>
  <c r="AQ263" i="32"/>
  <c r="BR263" i="32" s="1"/>
  <c r="BM271" i="32"/>
  <c r="BX271" i="32" s="1"/>
  <c r="BM286" i="32"/>
  <c r="BX286" i="32" s="1"/>
  <c r="AO306" i="32"/>
  <c r="AQ26" i="32"/>
  <c r="BR26" i="32" s="1"/>
  <c r="W58" i="32"/>
  <c r="AQ86" i="32"/>
  <c r="BR86" i="32" s="1"/>
  <c r="AR105" i="32"/>
  <c r="J109" i="32"/>
  <c r="P129" i="32"/>
  <c r="I129" i="32" s="1"/>
  <c r="P133" i="32"/>
  <c r="I133" i="32" s="1"/>
  <c r="P138" i="32"/>
  <c r="I138" i="32" s="1"/>
  <c r="AH153" i="32"/>
  <c r="AU153" i="32" s="1"/>
  <c r="AH156" i="32"/>
  <c r="AS170" i="32"/>
  <c r="Q189" i="32"/>
  <c r="I189" i="32" s="1"/>
  <c r="AQ212" i="32"/>
  <c r="BR212" i="32" s="1"/>
  <c r="AQ215" i="32"/>
  <c r="Q249" i="32"/>
  <c r="I249" i="32" s="1"/>
  <c r="AP276" i="32"/>
  <c r="BZ43" i="32"/>
  <c r="AQ56" i="32"/>
  <c r="BR56" i="32" s="1"/>
  <c r="AH57" i="32"/>
  <c r="AQ115" i="32"/>
  <c r="BR115" i="32" s="1"/>
  <c r="AQ132" i="32"/>
  <c r="J164" i="32"/>
  <c r="AQ160" i="32"/>
  <c r="BR160" i="32" s="1"/>
  <c r="AR173" i="32"/>
  <c r="BM184" i="32"/>
  <c r="BX184" i="32" s="1"/>
  <c r="BL238" i="32"/>
  <c r="AH289" i="32"/>
  <c r="AU289" i="32" s="1"/>
  <c r="BW291" i="32"/>
  <c r="BW292" i="32" s="1"/>
  <c r="BQ208" i="32"/>
  <c r="AS208" i="32"/>
  <c r="AO39" i="32"/>
  <c r="BM60" i="32"/>
  <c r="BX60" i="32" s="1"/>
  <c r="BZ90" i="32"/>
  <c r="P160" i="32"/>
  <c r="Q160" i="32"/>
  <c r="Q287" i="32"/>
  <c r="P287" i="32"/>
  <c r="BI293" i="32"/>
  <c r="BB18" i="47" s="1"/>
  <c r="P18" i="32"/>
  <c r="I18" i="32" s="1"/>
  <c r="BL27" i="32"/>
  <c r="M31" i="32"/>
  <c r="BT39" i="32"/>
  <c r="Q44" i="32"/>
  <c r="M52" i="32"/>
  <c r="AY52" i="32"/>
  <c r="AH49" i="32"/>
  <c r="P60" i="32"/>
  <c r="Q60" i="32"/>
  <c r="BS80" i="32"/>
  <c r="AQ80" i="32"/>
  <c r="BR80" i="32" s="1"/>
  <c r="AQ83" i="32"/>
  <c r="BR83" i="32" s="1"/>
  <c r="Q89" i="32"/>
  <c r="I89" i="32" s="1"/>
  <c r="AQ93" i="32"/>
  <c r="BR93" i="32" s="1"/>
  <c r="P94" i="32"/>
  <c r="I94" i="32" s="1"/>
  <c r="AO109" i="32"/>
  <c r="P114" i="32"/>
  <c r="Q114" i="32"/>
  <c r="BW124" i="32"/>
  <c r="W130" i="32"/>
  <c r="BY128" i="32"/>
  <c r="BW137" i="32"/>
  <c r="Q142" i="32"/>
  <c r="I142" i="32" s="1"/>
  <c r="BY143" i="32"/>
  <c r="BM143" i="32"/>
  <c r="BX143" i="32" s="1"/>
  <c r="M150" i="32"/>
  <c r="P174" i="32"/>
  <c r="Q174" i="32"/>
  <c r="AY182" i="32"/>
  <c r="BP181" i="32"/>
  <c r="AH181" i="32"/>
  <c r="BS185" i="32"/>
  <c r="BQ191" i="32"/>
  <c r="P207" i="32"/>
  <c r="Q207" i="32"/>
  <c r="Q208" i="32"/>
  <c r="P208" i="32"/>
  <c r="AQ228" i="32"/>
  <c r="BR228" i="32" s="1"/>
  <c r="BS229" i="32"/>
  <c r="AQ229" i="32"/>
  <c r="BR229" i="32" s="1"/>
  <c r="P243" i="32"/>
  <c r="Q243" i="32"/>
  <c r="BP257" i="32"/>
  <c r="AH257" i="32"/>
  <c r="AU257" i="32" s="1"/>
  <c r="AR257" i="32"/>
  <c r="BM265" i="32"/>
  <c r="BX265" i="32" s="1"/>
  <c r="BY265" i="32"/>
  <c r="BM281" i="32"/>
  <c r="BX281" i="32" s="1"/>
  <c r="BY268" i="32"/>
  <c r="BM268" i="32"/>
  <c r="BX268" i="32" s="1"/>
  <c r="BQ273" i="32"/>
  <c r="AS273" i="32"/>
  <c r="W90" i="32"/>
  <c r="P127" i="32"/>
  <c r="Q127" i="32"/>
  <c r="AQ154" i="32"/>
  <c r="BR154" i="32" s="1"/>
  <c r="S283" i="32"/>
  <c r="AQ19" i="32"/>
  <c r="BR19" i="32" s="1"/>
  <c r="AO27" i="32"/>
  <c r="S52" i="32"/>
  <c r="BK304" i="32"/>
  <c r="BK58" i="32"/>
  <c r="BM56" i="32"/>
  <c r="BX56" i="32" s="1"/>
  <c r="AQ57" i="32"/>
  <c r="BR57" i="32" s="1"/>
  <c r="AP65" i="32"/>
  <c r="AP302" i="32"/>
  <c r="BT101" i="32"/>
  <c r="BT302" i="32" s="1"/>
  <c r="P110" i="32"/>
  <c r="Q110" i="32"/>
  <c r="BQ116" i="32"/>
  <c r="AS116" i="32"/>
  <c r="BY119" i="32"/>
  <c r="BM119" i="32"/>
  <c r="BX119" i="32" s="1"/>
  <c r="AQ128" i="32"/>
  <c r="BR128" i="32" s="1"/>
  <c r="AH141" i="32"/>
  <c r="AU141" i="32" s="1"/>
  <c r="Q148" i="32"/>
  <c r="P148" i="32"/>
  <c r="P156" i="32"/>
  <c r="Q156" i="32"/>
  <c r="P162" i="32"/>
  <c r="Q162" i="32"/>
  <c r="AQ167" i="32"/>
  <c r="BR167" i="32" s="1"/>
  <c r="Q168" i="32"/>
  <c r="P168" i="32"/>
  <c r="AQ200" i="32"/>
  <c r="BR200" i="32" s="1"/>
  <c r="J238" i="32"/>
  <c r="BY285" i="32"/>
  <c r="BM285" i="32"/>
  <c r="BX285" i="32" s="1"/>
  <c r="AH34" i="32"/>
  <c r="BM91" i="32"/>
  <c r="BX91" i="32" s="1"/>
  <c r="AQ16" i="32"/>
  <c r="BR16" i="32" s="1"/>
  <c r="AR30" i="32"/>
  <c r="Q56" i="32"/>
  <c r="P56" i="32"/>
  <c r="M65" i="32"/>
  <c r="BM75" i="32"/>
  <c r="BX75" i="32" s="1"/>
  <c r="BY75" i="32"/>
  <c r="AY302" i="32"/>
  <c r="BW101" i="32"/>
  <c r="BW302" i="32" s="1"/>
  <c r="V305" i="32"/>
  <c r="AF108" i="32"/>
  <c r="AF109" i="32" s="1"/>
  <c r="V109" i="32"/>
  <c r="BK113" i="32"/>
  <c r="BS134" i="32"/>
  <c r="AQ134" i="32"/>
  <c r="BR134" i="32" s="1"/>
  <c r="BS160" i="32"/>
  <c r="AP178" i="32"/>
  <c r="BT172" i="32"/>
  <c r="BT178" i="32" s="1"/>
  <c r="P184" i="32"/>
  <c r="Q184" i="32"/>
  <c r="P204" i="32"/>
  <c r="Q204" i="32"/>
  <c r="BM226" i="32"/>
  <c r="BX226" i="32" s="1"/>
  <c r="BY226" i="32"/>
  <c r="J146" i="32"/>
  <c r="Q145" i="32"/>
  <c r="Q146" i="32" s="1"/>
  <c r="AR210" i="32"/>
  <c r="BP210" i="32"/>
  <c r="Q237" i="32"/>
  <c r="P237" i="32"/>
  <c r="Q274" i="32"/>
  <c r="P274" i="32"/>
  <c r="AO31" i="32"/>
  <c r="BM105" i="32"/>
  <c r="BX105" i="32" s="1"/>
  <c r="BZ105" i="32"/>
  <c r="BS31" i="32"/>
  <c r="P33" i="32"/>
  <c r="I33" i="32" s="1"/>
  <c r="Q73" i="32"/>
  <c r="P73" i="32"/>
  <c r="AG85" i="32"/>
  <c r="AG90" i="32" s="1"/>
  <c r="AQ139" i="32"/>
  <c r="BR139" i="32" s="1"/>
  <c r="Q159" i="32"/>
  <c r="P159" i="32"/>
  <c r="BM194" i="32"/>
  <c r="BX194" i="32" s="1"/>
  <c r="Q198" i="32"/>
  <c r="P198" i="32"/>
  <c r="P236" i="32"/>
  <c r="Q236" i="32"/>
  <c r="BP242" i="32"/>
  <c r="AR242" i="32"/>
  <c r="P251" i="32"/>
  <c r="Q251" i="32"/>
  <c r="BM258" i="32"/>
  <c r="BX258" i="32" s="1"/>
  <c r="BS289" i="32"/>
  <c r="AQ289" i="32"/>
  <c r="BR289" i="32" s="1"/>
  <c r="BM166" i="32"/>
  <c r="BX166" i="32" s="1"/>
  <c r="AG179" i="32"/>
  <c r="AS179" i="32" s="1"/>
  <c r="S195" i="32"/>
  <c r="AG215" i="32"/>
  <c r="BQ215" i="32" s="1"/>
  <c r="BQ216" i="32" s="1"/>
  <c r="AP220" i="32"/>
  <c r="AH222" i="32"/>
  <c r="AS224" i="32"/>
  <c r="AQ251" i="32"/>
  <c r="BR251" i="32" s="1"/>
  <c r="BQ278" i="32"/>
  <c r="AQ69" i="32"/>
  <c r="BR69" i="32" s="1"/>
  <c r="AP90" i="32"/>
  <c r="W302" i="32"/>
  <c r="AY109" i="32"/>
  <c r="BL120" i="32"/>
  <c r="BM138" i="32"/>
  <c r="BX138" i="32" s="1"/>
  <c r="AR140" i="32"/>
  <c r="S150" i="32"/>
  <c r="P169" i="32"/>
  <c r="I169" i="32" s="1"/>
  <c r="J182" i="32"/>
  <c r="AH191" i="32"/>
  <c r="AU191" i="32" s="1"/>
  <c r="AQ192" i="32"/>
  <c r="BR192" i="32" s="1"/>
  <c r="AH203" i="32"/>
  <c r="BM203" i="32"/>
  <c r="BX203" i="32" s="1"/>
  <c r="AQ209" i="32"/>
  <c r="BR209" i="32" s="1"/>
  <c r="AR212" i="32"/>
  <c r="P215" i="32"/>
  <c r="P216" i="32" s="1"/>
  <c r="AQ218" i="32"/>
  <c r="BR218" i="32" s="1"/>
  <c r="BM221" i="32"/>
  <c r="BX221" i="32" s="1"/>
  <c r="P225" i="32"/>
  <c r="I225" i="32" s="1"/>
  <c r="AQ226" i="32"/>
  <c r="BR226" i="32" s="1"/>
  <c r="BP235" i="32"/>
  <c r="AP245" i="32"/>
  <c r="Q272" i="32"/>
  <c r="AQ280" i="32"/>
  <c r="BR280" i="32" s="1"/>
  <c r="AQ50" i="32"/>
  <c r="BR50" i="32" s="1"/>
  <c r="AP58" i="32"/>
  <c r="AH61" i="32"/>
  <c r="AQ75" i="32"/>
  <c r="BR75" i="32" s="1"/>
  <c r="AH83" i="32"/>
  <c r="AU83" i="32" s="1"/>
  <c r="AS88" i="32"/>
  <c r="AQ98" i="32"/>
  <c r="BR98" i="32" s="1"/>
  <c r="S305" i="32"/>
  <c r="S124" i="32"/>
  <c r="BK124" i="32"/>
  <c r="BZ150" i="32"/>
  <c r="AR148" i="32"/>
  <c r="BZ166" i="32"/>
  <c r="BM167" i="32"/>
  <c r="BX167" i="32" s="1"/>
  <c r="BM168" i="32"/>
  <c r="BX168" i="32" s="1"/>
  <c r="M178" i="32"/>
  <c r="AQ177" i="32"/>
  <c r="BR177" i="32" s="1"/>
  <c r="AQ181" i="32"/>
  <c r="BR181" i="32" s="1"/>
  <c r="BM185" i="32"/>
  <c r="BX185" i="32" s="1"/>
  <c r="AH189" i="32"/>
  <c r="AH204" i="32"/>
  <c r="BR210" i="32"/>
  <c r="Q215" i="32"/>
  <c r="AR218" i="32"/>
  <c r="Q219" i="32"/>
  <c r="I219" i="32" s="1"/>
  <c r="AQ219" i="32"/>
  <c r="BR219" i="32" s="1"/>
  <c r="BZ235" i="32"/>
  <c r="BZ238" i="32" s="1"/>
  <c r="Q239" i="32"/>
  <c r="I239" i="32" s="1"/>
  <c r="P241" i="32"/>
  <c r="BY241" i="32"/>
  <c r="BM246" i="32"/>
  <c r="BX246" i="32" s="1"/>
  <c r="AR251" i="32"/>
  <c r="BM264" i="32"/>
  <c r="BX264" i="32" s="1"/>
  <c r="BL290" i="32"/>
  <c r="AL296" i="32"/>
  <c r="BB296" i="32"/>
  <c r="BH296" i="32"/>
  <c r="O296" i="32"/>
  <c r="AX296" i="32"/>
  <c r="S107" i="32"/>
  <c r="BL113" i="32"/>
  <c r="S234" i="32"/>
  <c r="AO248" i="32"/>
  <c r="N296" i="32"/>
  <c r="Y296" i="32"/>
  <c r="AE296" i="32"/>
  <c r="BE296" i="32"/>
  <c r="AD296" i="32"/>
  <c r="AN296" i="32"/>
  <c r="BD296" i="32"/>
  <c r="Z296" i="32"/>
  <c r="BI296" i="32"/>
  <c r="AL77" i="31"/>
  <c r="BM18" i="31"/>
  <c r="BX18" i="31" s="1"/>
  <c r="Q60" i="31"/>
  <c r="I60" i="31" s="1"/>
  <c r="AC77" i="31"/>
  <c r="M25" i="31"/>
  <c r="W32" i="31"/>
  <c r="W40" i="31"/>
  <c r="BM41" i="31"/>
  <c r="BX41" i="31" s="1"/>
  <c r="Q56" i="31"/>
  <c r="I56" i="31" s="1"/>
  <c r="BM71" i="31"/>
  <c r="BX71" i="31" s="1"/>
  <c r="BL25" i="31"/>
  <c r="AO32" i="31"/>
  <c r="Q33" i="31"/>
  <c r="I33" i="31" s="1"/>
  <c r="BY41" i="31"/>
  <c r="BY43" i="31" s="1"/>
  <c r="S57" i="31"/>
  <c r="BM58" i="31"/>
  <c r="BX58" i="31" s="1"/>
  <c r="AQ71" i="31"/>
  <c r="BR71" i="31" s="1"/>
  <c r="AH45" i="31"/>
  <c r="AU45" i="31" s="1"/>
  <c r="BC77" i="31"/>
  <c r="AO48" i="31"/>
  <c r="BM45" i="31"/>
  <c r="BX45" i="31" s="1"/>
  <c r="BL67" i="31"/>
  <c r="AP73" i="31"/>
  <c r="AH72" i="31"/>
  <c r="T77" i="31"/>
  <c r="BB77" i="31"/>
  <c r="AQ12" i="31"/>
  <c r="BR12" i="31" s="1"/>
  <c r="AL74" i="31"/>
  <c r="AE17" i="47" s="1"/>
  <c r="BB74" i="31"/>
  <c r="AU17" i="47" s="1"/>
  <c r="BH74" i="31"/>
  <c r="BA17" i="47" s="1"/>
  <c r="P34" i="31"/>
  <c r="I34" i="31" s="1"/>
  <c r="AQ35" i="31"/>
  <c r="BR35" i="31" s="1"/>
  <c r="BW52" i="31"/>
  <c r="V57" i="31"/>
  <c r="BZ64" i="31"/>
  <c r="AH59" i="31"/>
  <c r="K77" i="31"/>
  <c r="BI77" i="31"/>
  <c r="P13" i="31"/>
  <c r="I13" i="31" s="1"/>
  <c r="P14" i="31"/>
  <c r="I14" i="31" s="1"/>
  <c r="K74" i="31"/>
  <c r="D17" i="47" s="1"/>
  <c r="BY27" i="31"/>
  <c r="BM33" i="31"/>
  <c r="BX33" i="31" s="1"/>
  <c r="Q35" i="31"/>
  <c r="I35" i="31" s="1"/>
  <c r="BZ39" i="31"/>
  <c r="BZ86" i="31" s="1"/>
  <c r="P45" i="31"/>
  <c r="I45" i="31" s="1"/>
  <c r="BZ45" i="31"/>
  <c r="Q51" i="31"/>
  <c r="I51" i="31" s="1"/>
  <c r="BY53" i="31"/>
  <c r="BY58" i="31"/>
  <c r="BZ66" i="31"/>
  <c r="BZ67" i="31" s="1"/>
  <c r="AN77" i="31"/>
  <c r="BY18" i="31"/>
  <c r="AQ26" i="31"/>
  <c r="BR26" i="31" s="1"/>
  <c r="J40" i="31"/>
  <c r="BM49" i="31"/>
  <c r="BX49" i="31" s="1"/>
  <c r="AS60" i="31"/>
  <c r="P72" i="31"/>
  <c r="I72" i="31" s="1"/>
  <c r="BL15" i="31"/>
  <c r="Q17" i="31"/>
  <c r="I17" i="31" s="1"/>
  <c r="M23" i="31"/>
  <c r="AQ22" i="31"/>
  <c r="BR22" i="31" s="1"/>
  <c r="BM37" i="31"/>
  <c r="BX37" i="31" s="1"/>
  <c r="BM50" i="31"/>
  <c r="BX50" i="31" s="1"/>
  <c r="AQ60" i="31"/>
  <c r="BR60" i="31" s="1"/>
  <c r="BM62" i="31"/>
  <c r="BX62" i="31" s="1"/>
  <c r="M67" i="31"/>
  <c r="BY72" i="31"/>
  <c r="O77" i="31"/>
  <c r="Z77" i="31"/>
  <c r="AI77" i="31"/>
  <c r="V76" i="31" s="1"/>
  <c r="AX77" i="31"/>
  <c r="BF77" i="31"/>
  <c r="L77" i="31"/>
  <c r="Y77" i="31"/>
  <c r="AE77" i="31"/>
  <c r="AW77" i="31"/>
  <c r="BM18" i="30"/>
  <c r="BX18" i="30" s="1"/>
  <c r="AH34" i="30"/>
  <c r="BW54" i="30"/>
  <c r="S15" i="30"/>
  <c r="Q42" i="30"/>
  <c r="I42" i="30" s="1"/>
  <c r="P45" i="30"/>
  <c r="I45" i="30" s="1"/>
  <c r="P94" i="30"/>
  <c r="I94" i="30" s="1"/>
  <c r="AO17" i="30"/>
  <c r="AQ24" i="30"/>
  <c r="BR24" i="30" s="1"/>
  <c r="P27" i="30"/>
  <c r="I27" i="30" s="1"/>
  <c r="Q39" i="30"/>
  <c r="I39" i="30" s="1"/>
  <c r="AS43" i="30"/>
  <c r="Q46" i="30"/>
  <c r="I46" i="30" s="1"/>
  <c r="AS58" i="30"/>
  <c r="P68" i="30"/>
  <c r="I68" i="30" s="1"/>
  <c r="Q76" i="30"/>
  <c r="I76" i="30" s="1"/>
  <c r="Y103" i="30"/>
  <c r="BH103" i="30"/>
  <c r="AF13" i="30"/>
  <c r="AH13" i="30" s="1"/>
  <c r="AU13" i="30" s="1"/>
  <c r="AQ33" i="30"/>
  <c r="BR33" i="30" s="1"/>
  <c r="AQ34" i="30"/>
  <c r="BR34" i="30" s="1"/>
  <c r="AR41" i="30"/>
  <c r="Q67" i="30"/>
  <c r="I67" i="30" s="1"/>
  <c r="AR74" i="30"/>
  <c r="AH80" i="30"/>
  <c r="AR86" i="30"/>
  <c r="P88" i="30"/>
  <c r="I88" i="30" s="1"/>
  <c r="P89" i="30"/>
  <c r="I89" i="30" s="1"/>
  <c r="AQ29" i="30"/>
  <c r="AQ112" i="30" s="1"/>
  <c r="AS47" i="30"/>
  <c r="AC103" i="30"/>
  <c r="BY29" i="30"/>
  <c r="BY30" i="30" s="1"/>
  <c r="Q63" i="30"/>
  <c r="I63" i="30" s="1"/>
  <c r="T103" i="30"/>
  <c r="L103" i="30"/>
  <c r="J15" i="30"/>
  <c r="AR24" i="30"/>
  <c r="P26" i="30"/>
  <c r="I26" i="30" s="1"/>
  <c r="S37" i="30"/>
  <c r="BM50" i="30"/>
  <c r="BX50" i="30" s="1"/>
  <c r="Q55" i="30"/>
  <c r="I55" i="30" s="1"/>
  <c r="Q57" i="30"/>
  <c r="I57" i="30" s="1"/>
  <c r="AQ57" i="30"/>
  <c r="BR57" i="30" s="1"/>
  <c r="P64" i="30"/>
  <c r="I64" i="30" s="1"/>
  <c r="J71" i="30"/>
  <c r="P82" i="30"/>
  <c r="I82" i="30" s="1"/>
  <c r="AQ87" i="30"/>
  <c r="BR87" i="30" s="1"/>
  <c r="Q98" i="30"/>
  <c r="I98" i="30" s="1"/>
  <c r="V75" i="30"/>
  <c r="AO85" i="30"/>
  <c r="AR88" i="30"/>
  <c r="AH91" i="30"/>
  <c r="R103" i="30"/>
  <c r="BB103" i="30"/>
  <c r="P12" i="30"/>
  <c r="I12" i="30" s="1"/>
  <c r="AH33" i="30"/>
  <c r="AQ39" i="30"/>
  <c r="BR39" i="30" s="1"/>
  <c r="AQ43" i="30"/>
  <c r="BR43" i="30" s="1"/>
  <c r="AQ60" i="30"/>
  <c r="BR60" i="30" s="1"/>
  <c r="W65" i="30"/>
  <c r="AQ66" i="30"/>
  <c r="BR66" i="30" s="1"/>
  <c r="P87" i="30"/>
  <c r="I87" i="30" s="1"/>
  <c r="Q90" i="30"/>
  <c r="I90" i="30" s="1"/>
  <c r="BT96" i="30"/>
  <c r="AI103" i="30"/>
  <c r="V102" i="30" s="1"/>
  <c r="AH12" i="30"/>
  <c r="J28" i="30"/>
  <c r="BL30" i="30"/>
  <c r="BQ35" i="30"/>
  <c r="AQ53" i="30"/>
  <c r="BR53" i="30" s="1"/>
  <c r="Q60" i="30"/>
  <c r="I60" i="30" s="1"/>
  <c r="BM66" i="30"/>
  <c r="BX66" i="30" s="1"/>
  <c r="AQ78" i="30"/>
  <c r="BR78" i="30" s="1"/>
  <c r="AQ83" i="30"/>
  <c r="BR83" i="30" s="1"/>
  <c r="BL15" i="30"/>
  <c r="BM29" i="30"/>
  <c r="BX29" i="30" s="1"/>
  <c r="BX112" i="30" s="1"/>
  <c r="AQ50" i="30"/>
  <c r="BR50" i="30" s="1"/>
  <c r="P59" i="30"/>
  <c r="I59" i="30" s="1"/>
  <c r="AQ63" i="30"/>
  <c r="BR63" i="30" s="1"/>
  <c r="BK85" i="30"/>
  <c r="AH64" i="29"/>
  <c r="BY66" i="29"/>
  <c r="AQ53" i="29"/>
  <c r="BR53" i="29" s="1"/>
  <c r="BL78" i="29"/>
  <c r="AR77" i="29"/>
  <c r="BZ101" i="29"/>
  <c r="AQ108" i="29"/>
  <c r="BR108" i="29" s="1"/>
  <c r="AQ126" i="29"/>
  <c r="BR126" i="29" s="1"/>
  <c r="AS130" i="29"/>
  <c r="AR173" i="29"/>
  <c r="BK17" i="29"/>
  <c r="BQ29" i="29"/>
  <c r="J31" i="29"/>
  <c r="M39" i="29"/>
  <c r="BZ43" i="29"/>
  <c r="AO70" i="29"/>
  <c r="AS80" i="29"/>
  <c r="BM34" i="29"/>
  <c r="BX34" i="29" s="1"/>
  <c r="Q49" i="29"/>
  <c r="Q53" i="29"/>
  <c r="BT58" i="29"/>
  <c r="BM63" i="29"/>
  <c r="BX63" i="29" s="1"/>
  <c r="AH75" i="29"/>
  <c r="BP77" i="29"/>
  <c r="Q86" i="29"/>
  <c r="I86" i="29" s="1"/>
  <c r="BM87" i="29"/>
  <c r="BX87" i="29" s="1"/>
  <c r="AQ120" i="29"/>
  <c r="BR120" i="29" s="1"/>
  <c r="P127" i="29"/>
  <c r="I127" i="29" s="1"/>
  <c r="BM162" i="29"/>
  <c r="BX162" i="29" s="1"/>
  <c r="P165" i="29"/>
  <c r="I165" i="29" s="1"/>
  <c r="AQ171" i="29"/>
  <c r="BR171" i="29" s="1"/>
  <c r="P180" i="29"/>
  <c r="I180" i="29" s="1"/>
  <c r="M55" i="29"/>
  <c r="BL13" i="29"/>
  <c r="AP28" i="29"/>
  <c r="AY31" i="29"/>
  <c r="P34" i="29"/>
  <c r="I34" i="29" s="1"/>
  <c r="Q41" i="29"/>
  <c r="I41" i="29" s="1"/>
  <c r="P42" i="29"/>
  <c r="BM50" i="29"/>
  <c r="BX50" i="29" s="1"/>
  <c r="BM54" i="29"/>
  <c r="BX54" i="29" s="1"/>
  <c r="AY83" i="29"/>
  <c r="BK89" i="29"/>
  <c r="AR86" i="29"/>
  <c r="AR91" i="29"/>
  <c r="BM98" i="29"/>
  <c r="BX98" i="29" s="1"/>
  <c r="AY107" i="29"/>
  <c r="Q103" i="29"/>
  <c r="AR116" i="29"/>
  <c r="BM127" i="29"/>
  <c r="BX127" i="29" s="1"/>
  <c r="P143" i="29"/>
  <c r="I143" i="29" s="1"/>
  <c r="BM156" i="29"/>
  <c r="BX156" i="29" s="1"/>
  <c r="AQ173" i="29"/>
  <c r="BR173" i="29" s="1"/>
  <c r="M35" i="29"/>
  <c r="AR67" i="29"/>
  <c r="AP74" i="29"/>
  <c r="P75" i="29"/>
  <c r="I75" i="29" s="1"/>
  <c r="AQ76" i="29"/>
  <c r="BR76" i="29" s="1"/>
  <c r="BM93" i="29"/>
  <c r="BX93" i="29" s="1"/>
  <c r="AQ99" i="29"/>
  <c r="BR99" i="29" s="1"/>
  <c r="BM102" i="29"/>
  <c r="BX102" i="29" s="1"/>
  <c r="BM126" i="29"/>
  <c r="BX126" i="29" s="1"/>
  <c r="AQ128" i="29"/>
  <c r="BR128" i="29" s="1"/>
  <c r="AH135" i="29"/>
  <c r="AQ146" i="29"/>
  <c r="BR146" i="29" s="1"/>
  <c r="K194" i="29"/>
  <c r="BP19" i="29"/>
  <c r="AH19" i="29"/>
  <c r="BS105" i="29"/>
  <c r="BL17" i="29"/>
  <c r="V20" i="29"/>
  <c r="AP20" i="29"/>
  <c r="Q23" i="29"/>
  <c r="I23" i="29" s="1"/>
  <c r="BW51" i="29"/>
  <c r="BM59" i="29"/>
  <c r="BX59" i="29" s="1"/>
  <c r="AH61" i="29"/>
  <c r="AU61" i="29" s="1"/>
  <c r="M66" i="29"/>
  <c r="Q71" i="29"/>
  <c r="I71" i="29" s="1"/>
  <c r="AH91" i="29"/>
  <c r="AQ114" i="29"/>
  <c r="BR114" i="29" s="1"/>
  <c r="M119" i="29"/>
  <c r="P144" i="29"/>
  <c r="I144" i="29" s="1"/>
  <c r="BZ146" i="29"/>
  <c r="BZ147" i="29" s="1"/>
  <c r="AO154" i="29"/>
  <c r="BM170" i="29"/>
  <c r="BX170" i="29" s="1"/>
  <c r="BM171" i="29"/>
  <c r="BX171" i="29" s="1"/>
  <c r="P179" i="29"/>
  <c r="I179" i="29" s="1"/>
  <c r="BM185" i="29"/>
  <c r="BX185" i="29" s="1"/>
  <c r="BM189" i="29"/>
  <c r="BX189" i="29" s="1"/>
  <c r="W195" i="29"/>
  <c r="M24" i="29"/>
  <c r="BM22" i="29"/>
  <c r="BX22" i="29" s="1"/>
  <c r="P25" i="29"/>
  <c r="I25" i="29" s="1"/>
  <c r="BM26" i="29"/>
  <c r="BX26" i="29" s="1"/>
  <c r="Q77" i="29"/>
  <c r="I77" i="29" s="1"/>
  <c r="AQ122" i="29"/>
  <c r="BR122" i="29" s="1"/>
  <c r="P123" i="29"/>
  <c r="I123" i="29" s="1"/>
  <c r="BM134" i="29"/>
  <c r="BX134" i="29" s="1"/>
  <c r="BM138" i="29"/>
  <c r="BM203" i="29" s="1"/>
  <c r="P145" i="29"/>
  <c r="I145" i="29" s="1"/>
  <c r="AQ150" i="29"/>
  <c r="BR150" i="29" s="1"/>
  <c r="P161" i="29"/>
  <c r="AJ194" i="29"/>
  <c r="W193" i="29" s="1"/>
  <c r="BA194" i="29"/>
  <c r="BH194" i="29"/>
  <c r="L194" i="29"/>
  <c r="AE194" i="29"/>
  <c r="AL194" i="29"/>
  <c r="AX194" i="29"/>
  <c r="BJ194" i="29"/>
  <c r="AB194" i="29"/>
  <c r="BG194" i="29"/>
  <c r="W28" i="29"/>
  <c r="BW62" i="29"/>
  <c r="BE191" i="29"/>
  <c r="AX15" i="47" s="1"/>
  <c r="BM30" i="29"/>
  <c r="BX30" i="29" s="1"/>
  <c r="BQ61" i="29"/>
  <c r="AQ72" i="29"/>
  <c r="BR72" i="29" s="1"/>
  <c r="BQ80" i="29"/>
  <c r="BY85" i="29"/>
  <c r="BM108" i="29"/>
  <c r="BX108" i="29" s="1"/>
  <c r="BM110" i="29"/>
  <c r="BX110" i="29" s="1"/>
  <c r="BM145" i="29"/>
  <c r="BX145" i="29" s="1"/>
  <c r="M158" i="29"/>
  <c r="AQ155" i="29"/>
  <c r="BR155" i="29" s="1"/>
  <c r="BT163" i="29"/>
  <c r="BY170" i="29"/>
  <c r="BM172" i="29"/>
  <c r="BX172" i="29" s="1"/>
  <c r="AQ182" i="29"/>
  <c r="BR182" i="29" s="1"/>
  <c r="P12" i="29"/>
  <c r="P204" i="29" s="1"/>
  <c r="Z191" i="29"/>
  <c r="S15" i="47" s="1"/>
  <c r="AP62" i="29"/>
  <c r="AY66" i="29"/>
  <c r="M83" i="29"/>
  <c r="BW80" i="29"/>
  <c r="BW83" i="29" s="1"/>
  <c r="AP89" i="29"/>
  <c r="AQ88" i="29"/>
  <c r="BR88" i="29" s="1"/>
  <c r="AQ97" i="29"/>
  <c r="BR97" i="29" s="1"/>
  <c r="BM105" i="29"/>
  <c r="BX105" i="29" s="1"/>
  <c r="P118" i="29"/>
  <c r="I118" i="29" s="1"/>
  <c r="Q129" i="29"/>
  <c r="I129" i="29" s="1"/>
  <c r="BY138" i="29"/>
  <c r="BY203" i="29" s="1"/>
  <c r="Q140" i="29"/>
  <c r="I140" i="29" s="1"/>
  <c r="AQ140" i="29"/>
  <c r="BR140" i="29" s="1"/>
  <c r="P148" i="29"/>
  <c r="I148" i="29" s="1"/>
  <c r="BM150" i="29"/>
  <c r="BX150" i="29" s="1"/>
  <c r="BZ167" i="29"/>
  <c r="BM179" i="29"/>
  <c r="BX179" i="29" s="1"/>
  <c r="T194" i="29"/>
  <c r="BZ12" i="29"/>
  <c r="BZ204" i="29" s="1"/>
  <c r="AY17" i="29"/>
  <c r="P18" i="29"/>
  <c r="I18" i="29" s="1"/>
  <c r="AQ18" i="29"/>
  <c r="BR18" i="29" s="1"/>
  <c r="Q27" i="29"/>
  <c r="Q28" i="29" s="1"/>
  <c r="AQ34" i="29"/>
  <c r="BR34" i="29" s="1"/>
  <c r="AQ42" i="29"/>
  <c r="BR42" i="29" s="1"/>
  <c r="AS60" i="29"/>
  <c r="AQ82" i="29"/>
  <c r="BR82" i="29" s="1"/>
  <c r="BY93" i="29"/>
  <c r="BM99" i="29"/>
  <c r="BX99" i="29" s="1"/>
  <c r="BS103" i="29"/>
  <c r="Q106" i="29"/>
  <c r="I106" i="29" s="1"/>
  <c r="BY111" i="29"/>
  <c r="BZ119" i="29"/>
  <c r="AQ143" i="29"/>
  <c r="BR143" i="29" s="1"/>
  <c r="BS146" i="29"/>
  <c r="BM166" i="29"/>
  <c r="BX166" i="29" s="1"/>
  <c r="AS65" i="29"/>
  <c r="BQ65" i="29"/>
  <c r="AR48" i="29"/>
  <c r="BP48" i="29"/>
  <c r="AR15" i="29"/>
  <c r="AH15" i="29"/>
  <c r="BS44" i="29"/>
  <c r="BS47" i="29" s="1"/>
  <c r="AQ44" i="29"/>
  <c r="BR44" i="29" s="1"/>
  <c r="AP66" i="29"/>
  <c r="BT63" i="29"/>
  <c r="BT66" i="29" s="1"/>
  <c r="BS132" i="29"/>
  <c r="AQ132" i="29"/>
  <c r="BR132" i="29" s="1"/>
  <c r="BS143" i="29"/>
  <c r="BQ164" i="29"/>
  <c r="W167" i="29"/>
  <c r="AY13" i="29"/>
  <c r="BM14" i="29"/>
  <c r="BX14" i="29" s="1"/>
  <c r="Q21" i="29"/>
  <c r="P21" i="29"/>
  <c r="AQ23" i="29"/>
  <c r="BR23" i="29" s="1"/>
  <c r="P26" i="29"/>
  <c r="M31" i="29"/>
  <c r="BW29" i="29"/>
  <c r="BW31" i="29" s="1"/>
  <c r="BS34" i="29"/>
  <c r="BS35" i="29" s="1"/>
  <c r="AQ36" i="29"/>
  <c r="BR36" i="29" s="1"/>
  <c r="BM38" i="29"/>
  <c r="BX38" i="29" s="1"/>
  <c r="Q46" i="29"/>
  <c r="P46" i="29"/>
  <c r="BK51" i="29"/>
  <c r="AR52" i="29"/>
  <c r="BP52" i="29"/>
  <c r="BW56" i="29"/>
  <c r="BW58" i="29" s="1"/>
  <c r="AY58" i="29"/>
  <c r="M58" i="29"/>
  <c r="P59" i="29"/>
  <c r="Q59" i="29"/>
  <c r="J62" i="29"/>
  <c r="BM64" i="29"/>
  <c r="BX64" i="29" s="1"/>
  <c r="AQ77" i="29"/>
  <c r="BR77" i="29" s="1"/>
  <c r="J78" i="29"/>
  <c r="W83" i="29"/>
  <c r="AQ85" i="29"/>
  <c r="BR85" i="29" s="1"/>
  <c r="AS86" i="29"/>
  <c r="Q90" i="29"/>
  <c r="P90" i="29"/>
  <c r="BP91" i="29"/>
  <c r="Q93" i="29"/>
  <c r="AQ93" i="29"/>
  <c r="BR93" i="29" s="1"/>
  <c r="AH94" i="29"/>
  <c r="P98" i="29"/>
  <c r="Q98" i="29"/>
  <c r="AH100" i="29"/>
  <c r="AU100" i="29" s="1"/>
  <c r="BL107" i="29"/>
  <c r="BZ102" i="29"/>
  <c r="BZ107" i="29" s="1"/>
  <c r="AR103" i="29"/>
  <c r="BC107" i="29"/>
  <c r="BK103" i="29"/>
  <c r="BY103" i="29" s="1"/>
  <c r="BY106" i="29"/>
  <c r="V113" i="29"/>
  <c r="P110" i="29"/>
  <c r="Q110" i="29"/>
  <c r="AQ112" i="29"/>
  <c r="BR112" i="29" s="1"/>
  <c r="AS114" i="29"/>
  <c r="BM115" i="29"/>
  <c r="BX115" i="29" s="1"/>
  <c r="AR121" i="29"/>
  <c r="BY123" i="29"/>
  <c r="BM123" i="29"/>
  <c r="BX123" i="29" s="1"/>
  <c r="BS128" i="29"/>
  <c r="BS138" i="29"/>
  <c r="AO139" i="29"/>
  <c r="AY154" i="29"/>
  <c r="AQ164" i="29"/>
  <c r="BR164" i="29" s="1"/>
  <c r="AO167" i="29"/>
  <c r="BS164" i="29"/>
  <c r="BQ171" i="29"/>
  <c r="AS171" i="29"/>
  <c r="BK177" i="29"/>
  <c r="BM175" i="29"/>
  <c r="BX175" i="29" s="1"/>
  <c r="BY175" i="29"/>
  <c r="BY177" i="29" s="1"/>
  <c r="BT183" i="29"/>
  <c r="P181" i="29"/>
  <c r="Q181" i="29"/>
  <c r="BT188" i="29"/>
  <c r="J54" i="30"/>
  <c r="P50" i="30"/>
  <c r="Q50" i="30"/>
  <c r="BT51" i="30"/>
  <c r="AQ51" i="30"/>
  <c r="BR51" i="30" s="1"/>
  <c r="P96" i="30"/>
  <c r="Q96" i="30"/>
  <c r="Q57" i="29"/>
  <c r="Q58" i="29" s="1"/>
  <c r="P57" i="29"/>
  <c r="P63" i="29"/>
  <c r="P66" i="29" s="1"/>
  <c r="J66" i="29"/>
  <c r="P81" i="29"/>
  <c r="Q81" i="29"/>
  <c r="AP163" i="29"/>
  <c r="AB191" i="29"/>
  <c r="U15" i="47" s="1"/>
  <c r="AL191" i="29"/>
  <c r="AE15" i="47" s="1"/>
  <c r="BA191" i="29"/>
  <c r="AT15" i="47" s="1"/>
  <c r="BG191" i="29"/>
  <c r="AZ15" i="47" s="1"/>
  <c r="W201" i="29"/>
  <c r="AY20" i="29"/>
  <c r="S39" i="29"/>
  <c r="AP39" i="29"/>
  <c r="P38" i="29"/>
  <c r="I38" i="29" s="1"/>
  <c r="BS38" i="29"/>
  <c r="BS39" i="29" s="1"/>
  <c r="Q45" i="29"/>
  <c r="I45" i="29" s="1"/>
  <c r="BZ50" i="29"/>
  <c r="BZ201" i="29" s="1"/>
  <c r="J55" i="29"/>
  <c r="BY56" i="29"/>
  <c r="BY58" i="29" s="1"/>
  <c r="BM56" i="29"/>
  <c r="BX56" i="29" s="1"/>
  <c r="BY61" i="29"/>
  <c r="BM61" i="29"/>
  <c r="BX61" i="29" s="1"/>
  <c r="BS64" i="29"/>
  <c r="BS67" i="29"/>
  <c r="BS70" i="29" s="1"/>
  <c r="AP70" i="29"/>
  <c r="V74" i="29"/>
  <c r="AQ73" i="29"/>
  <c r="BR73" i="29" s="1"/>
  <c r="BQ76" i="29"/>
  <c r="V89" i="29"/>
  <c r="AR85" i="29"/>
  <c r="AH86" i="29"/>
  <c r="BM86" i="29"/>
  <c r="BX86" i="29" s="1"/>
  <c r="P91" i="29"/>
  <c r="I91" i="29" s="1"/>
  <c r="Q100" i="29"/>
  <c r="P100" i="29"/>
  <c r="AS103" i="29"/>
  <c r="BQ103" i="29"/>
  <c r="Q111" i="29"/>
  <c r="I111" i="29" s="1"/>
  <c r="BP111" i="29"/>
  <c r="J119" i="29"/>
  <c r="P115" i="29"/>
  <c r="Q115" i="29"/>
  <c r="AS118" i="29"/>
  <c r="P121" i="29"/>
  <c r="I121" i="29" s="1"/>
  <c r="AS129" i="29"/>
  <c r="AQ138" i="29"/>
  <c r="AR172" i="29"/>
  <c r="BP172" i="29"/>
  <c r="V177" i="29"/>
  <c r="BP175" i="29"/>
  <c r="BP89" i="30"/>
  <c r="AH89" i="30"/>
  <c r="BK19" i="31"/>
  <c r="BM16" i="31"/>
  <c r="BY16" i="31"/>
  <c r="BT12" i="29"/>
  <c r="BT204" i="29" s="1"/>
  <c r="U191" i="29"/>
  <c r="N15" i="47" s="1"/>
  <c r="AC191" i="29"/>
  <c r="V15" i="47" s="1"/>
  <c r="W20" i="29"/>
  <c r="BK20" i="29"/>
  <c r="AQ19" i="29"/>
  <c r="BR19" i="29" s="1"/>
  <c r="S24" i="29"/>
  <c r="BP23" i="29"/>
  <c r="AH23" i="29"/>
  <c r="Q30" i="29"/>
  <c r="P30" i="29"/>
  <c r="P31" i="29" s="1"/>
  <c r="BY35" i="29"/>
  <c r="Q37" i="29"/>
  <c r="I37" i="29" s="1"/>
  <c r="S43" i="29"/>
  <c r="BK43" i="29"/>
  <c r="AP43" i="29"/>
  <c r="BM42" i="29"/>
  <c r="BX42" i="29" s="1"/>
  <c r="BY45" i="29"/>
  <c r="BM45" i="29"/>
  <c r="BX45" i="29" s="1"/>
  <c r="AO47" i="29"/>
  <c r="J51" i="29"/>
  <c r="AH54" i="29"/>
  <c r="AQ60" i="29"/>
  <c r="BR60" i="29" s="1"/>
  <c r="BL66" i="29"/>
  <c r="Q65" i="29"/>
  <c r="I65" i="29" s="1"/>
  <c r="BM65" i="29"/>
  <c r="BX65" i="29" s="1"/>
  <c r="X195" i="29"/>
  <c r="BS76" i="29"/>
  <c r="BS78" i="29" s="1"/>
  <c r="J196" i="29"/>
  <c r="Q84" i="29"/>
  <c r="J89" i="29"/>
  <c r="AS85" i="29"/>
  <c r="BQ86" i="29"/>
  <c r="S95" i="29"/>
  <c r="AQ92" i="29"/>
  <c r="BR92" i="29" s="1"/>
  <c r="BT92" i="29"/>
  <c r="BT95" i="29" s="1"/>
  <c r="P93" i="29"/>
  <c r="Q99" i="29"/>
  <c r="I99" i="29" s="1"/>
  <c r="M107" i="29"/>
  <c r="BM104" i="29"/>
  <c r="BX104" i="29" s="1"/>
  <c r="BY104" i="29"/>
  <c r="BK113" i="29"/>
  <c r="BY109" i="29"/>
  <c r="AR124" i="29"/>
  <c r="J131" i="29"/>
  <c r="AR134" i="29"/>
  <c r="BM135" i="29"/>
  <c r="BX135" i="29" s="1"/>
  <c r="M147" i="29"/>
  <c r="AQ141" i="29"/>
  <c r="BR141" i="29" s="1"/>
  <c r="BK142" i="29"/>
  <c r="BM142" i="29" s="1"/>
  <c r="BX142" i="29" s="1"/>
  <c r="AR143" i="29"/>
  <c r="BT151" i="29"/>
  <c r="BS155" i="29"/>
  <c r="AO158" i="29"/>
  <c r="BW158" i="29"/>
  <c r="Q171" i="29"/>
  <c r="P171" i="29"/>
  <c r="P172" i="29"/>
  <c r="Q172" i="29"/>
  <c r="AH172" i="29"/>
  <c r="AU172" i="29" s="1"/>
  <c r="W177" i="29"/>
  <c r="J177" i="29"/>
  <c r="Q176" i="29"/>
  <c r="BS176" i="29"/>
  <c r="BS177" i="29" s="1"/>
  <c r="AQ176" i="29"/>
  <c r="BR176" i="29" s="1"/>
  <c r="AR42" i="30"/>
  <c r="BP42" i="30"/>
  <c r="AH42" i="30"/>
  <c r="AU42" i="30" s="1"/>
  <c r="V85" i="30"/>
  <c r="BS40" i="29"/>
  <c r="AQ40" i="29"/>
  <c r="BR40" i="29" s="1"/>
  <c r="BS109" i="29"/>
  <c r="AQ109" i="29"/>
  <c r="BR109" i="29" s="1"/>
  <c r="AY177" i="29"/>
  <c r="BW175" i="29"/>
  <c r="BW177" i="29" s="1"/>
  <c r="BT185" i="29"/>
  <c r="AP201" i="29"/>
  <c r="AR18" i="29"/>
  <c r="AH50" i="29"/>
  <c r="BP50" i="29"/>
  <c r="BQ54" i="29"/>
  <c r="AS54" i="29"/>
  <c r="Q61" i="29"/>
  <c r="P61" i="29"/>
  <c r="AR73" i="29"/>
  <c r="Q79" i="29"/>
  <c r="I79" i="29" s="1"/>
  <c r="BQ79" i="29"/>
  <c r="BL95" i="29"/>
  <c r="BZ90" i="29"/>
  <c r="BK97" i="29"/>
  <c r="BY97" i="29" s="1"/>
  <c r="BC101" i="29"/>
  <c r="BP112" i="29"/>
  <c r="AY119" i="29"/>
  <c r="BS124" i="29"/>
  <c r="AQ124" i="29"/>
  <c r="BR124" i="29" s="1"/>
  <c r="BT126" i="29"/>
  <c r="AS148" i="29"/>
  <c r="Q149" i="29"/>
  <c r="I149" i="29" s="1"/>
  <c r="P150" i="29"/>
  <c r="Q150" i="29"/>
  <c r="AR166" i="29"/>
  <c r="BP166" i="29"/>
  <c r="P169" i="29"/>
  <c r="Q169" i="29"/>
  <c r="BM178" i="29"/>
  <c r="BX178" i="29" s="1"/>
  <c r="BZ178" i="29"/>
  <c r="BZ183" i="29" s="1"/>
  <c r="BL183" i="29"/>
  <c r="AR181" i="29"/>
  <c r="BP181" i="29"/>
  <c r="AS72" i="30"/>
  <c r="BQ72" i="30"/>
  <c r="Q74" i="30"/>
  <c r="P74" i="30"/>
  <c r="BP63" i="31"/>
  <c r="AR63" i="31"/>
  <c r="AQ70" i="31"/>
  <c r="BR70" i="31" s="1"/>
  <c r="BS70" i="31"/>
  <c r="BS42" i="32"/>
  <c r="AQ42" i="32"/>
  <c r="BR42" i="32" s="1"/>
  <c r="V43" i="32"/>
  <c r="BK52" i="32"/>
  <c r="BY46" i="32"/>
  <c r="BM46" i="32"/>
  <c r="BX46" i="32" s="1"/>
  <c r="P48" i="32"/>
  <c r="Q48" i="32"/>
  <c r="AR187" i="32"/>
  <c r="BP187" i="32"/>
  <c r="P96" i="29"/>
  <c r="Q96" i="29"/>
  <c r="P136" i="29"/>
  <c r="Q136" i="29"/>
  <c r="BW12" i="29"/>
  <c r="N191" i="29"/>
  <c r="G15" i="47" s="1"/>
  <c r="AN191" i="29"/>
  <c r="AG15" i="47" s="1"/>
  <c r="BZ20" i="29"/>
  <c r="AO20" i="29"/>
  <c r="O191" i="29"/>
  <c r="H15" i="47" s="1"/>
  <c r="Y191" i="29"/>
  <c r="R15" i="47" s="1"/>
  <c r="AE191" i="29"/>
  <c r="X15" i="47" s="1"/>
  <c r="V17" i="29"/>
  <c r="AQ16" i="29"/>
  <c r="BR16" i="29" s="1"/>
  <c r="BL20" i="29"/>
  <c r="AH26" i="29"/>
  <c r="AQ27" i="29"/>
  <c r="BR27" i="29" s="1"/>
  <c r="AQ32" i="29"/>
  <c r="BR32" i="29" s="1"/>
  <c r="Q33" i="29"/>
  <c r="P33" i="29"/>
  <c r="M51" i="29"/>
  <c r="AQ49" i="29"/>
  <c r="BR49" i="29" s="1"/>
  <c r="BQ50" i="29"/>
  <c r="AS50" i="29"/>
  <c r="BT61" i="29"/>
  <c r="BT62" i="29" s="1"/>
  <c r="AQ63" i="29"/>
  <c r="BR63" i="29" s="1"/>
  <c r="AO66" i="29"/>
  <c r="BS63" i="29"/>
  <c r="BT71" i="29"/>
  <c r="BT74" i="29" s="1"/>
  <c r="J83" i="29"/>
  <c r="Q80" i="29"/>
  <c r="P80" i="29"/>
  <c r="AH81" i="29"/>
  <c r="BO81" i="29" s="1"/>
  <c r="BM109" i="29"/>
  <c r="BX109" i="29" s="1"/>
  <c r="P112" i="29"/>
  <c r="Q112" i="29"/>
  <c r="BY114" i="29"/>
  <c r="BM114" i="29"/>
  <c r="AQ116" i="29"/>
  <c r="BR116" i="29" s="1"/>
  <c r="Q117" i="29"/>
  <c r="P117" i="29"/>
  <c r="BY121" i="29"/>
  <c r="BM121" i="29"/>
  <c r="BX121" i="29" s="1"/>
  <c r="P133" i="29"/>
  <c r="Q133" i="29"/>
  <c r="BQ143" i="29"/>
  <c r="AS143" i="29"/>
  <c r="AQ156" i="29"/>
  <c r="BS156" i="29"/>
  <c r="AQ165" i="29"/>
  <c r="BR165" i="29" s="1"/>
  <c r="P175" i="29"/>
  <c r="Q175" i="29"/>
  <c r="BQ181" i="29"/>
  <c r="AS181" i="29"/>
  <c r="P18" i="30"/>
  <c r="Q18" i="30"/>
  <c r="J44" i="30"/>
  <c r="P38" i="30"/>
  <c r="Q38" i="30"/>
  <c r="P73" i="30"/>
  <c r="Q73" i="30"/>
  <c r="BY54" i="31"/>
  <c r="BM54" i="31"/>
  <c r="BX54" i="31" s="1"/>
  <c r="W24" i="29"/>
  <c r="AY24" i="29"/>
  <c r="BY31" i="29"/>
  <c r="BK35" i="29"/>
  <c r="M47" i="29"/>
  <c r="S55" i="29"/>
  <c r="W58" i="29"/>
  <c r="M62" i="29"/>
  <c r="W66" i="29"/>
  <c r="BK68" i="29"/>
  <c r="BK70" i="29" s="1"/>
  <c r="BK74" i="29"/>
  <c r="AS73" i="29"/>
  <c r="AP78" i="29"/>
  <c r="AY78" i="29"/>
  <c r="AO78" i="29"/>
  <c r="J95" i="29"/>
  <c r="AR93" i="29"/>
  <c r="S107" i="29"/>
  <c r="AP119" i="29"/>
  <c r="BS114" i="29"/>
  <c r="AH126" i="29"/>
  <c r="AY137" i="29"/>
  <c r="BK139" i="29"/>
  <c r="AR149" i="29"/>
  <c r="AQ160" i="29"/>
  <c r="BR160" i="29" s="1"/>
  <c r="BM161" i="29"/>
  <c r="BX161" i="29" s="1"/>
  <c r="P166" i="29"/>
  <c r="I166" i="29" s="1"/>
  <c r="BS181" i="29"/>
  <c r="BS183" i="29" s="1"/>
  <c r="AS12" i="30"/>
  <c r="BQ12" i="30"/>
  <c r="BQ19" i="30"/>
  <c r="AS19" i="30"/>
  <c r="BQ26" i="30"/>
  <c r="AS26" i="30"/>
  <c r="AR27" i="30"/>
  <c r="AH27" i="30"/>
  <c r="AU27" i="30" s="1"/>
  <c r="BP27" i="30"/>
  <c r="BY27" i="30"/>
  <c r="BM27" i="30"/>
  <c r="BX27" i="30" s="1"/>
  <c r="BY34" i="30"/>
  <c r="BM52" i="30"/>
  <c r="BX52" i="30" s="1"/>
  <c r="BZ52" i="30"/>
  <c r="BT62" i="30"/>
  <c r="BT65" i="30" s="1"/>
  <c r="AQ62" i="30"/>
  <c r="AP65" i="30"/>
  <c r="Q79" i="30"/>
  <c r="P79" i="30"/>
  <c r="AQ80" i="30"/>
  <c r="BR80" i="30" s="1"/>
  <c r="BS80" i="30"/>
  <c r="BT86" i="30"/>
  <c r="AQ86" i="30"/>
  <c r="BR86" i="30" s="1"/>
  <c r="AS96" i="30"/>
  <c r="BQ96" i="30"/>
  <c r="AH96" i="30"/>
  <c r="AU96" i="30" s="1"/>
  <c r="Z103" i="30"/>
  <c r="AO86" i="31"/>
  <c r="AO40" i="31"/>
  <c r="BY46" i="31"/>
  <c r="BM46" i="31"/>
  <c r="BX46" i="31" s="1"/>
  <c r="AQ56" i="31"/>
  <c r="BR56" i="31" s="1"/>
  <c r="BS56" i="31"/>
  <c r="AG22" i="32"/>
  <c r="AP305" i="32"/>
  <c r="AP109" i="32"/>
  <c r="AP24" i="29"/>
  <c r="M28" i="29"/>
  <c r="AY28" i="29"/>
  <c r="BL31" i="29"/>
  <c r="BZ35" i="29"/>
  <c r="AP35" i="29"/>
  <c r="BK39" i="29"/>
  <c r="S47" i="29"/>
  <c r="S51" i="29"/>
  <c r="BK66" i="29"/>
  <c r="BZ70" i="29"/>
  <c r="P69" i="29"/>
  <c r="I69" i="29" s="1"/>
  <c r="W78" i="29"/>
  <c r="BM76" i="29"/>
  <c r="BX76" i="29" s="1"/>
  <c r="AQ80" i="29"/>
  <c r="BR80" i="29" s="1"/>
  <c r="BM80" i="29"/>
  <c r="BX80" i="29" s="1"/>
  <c r="AQ81" i="29"/>
  <c r="BR81" i="29" s="1"/>
  <c r="AP83" i="29"/>
  <c r="Q88" i="29"/>
  <c r="I88" i="29" s="1"/>
  <c r="AY95" i="29"/>
  <c r="AS93" i="29"/>
  <c r="BQ93" i="29"/>
  <c r="AY101" i="29"/>
  <c r="P97" i="29"/>
  <c r="I97" i="29" s="1"/>
  <c r="AQ100" i="29"/>
  <c r="BR100" i="29" s="1"/>
  <c r="J107" i="29"/>
  <c r="AQ104" i="29"/>
  <c r="BR104" i="29" s="1"/>
  <c r="AO113" i="29"/>
  <c r="BL113" i="29"/>
  <c r="S119" i="29"/>
  <c r="BT114" i="29"/>
  <c r="BM118" i="29"/>
  <c r="BX118" i="29" s="1"/>
  <c r="AP125" i="29"/>
  <c r="BM124" i="29"/>
  <c r="BX124" i="29" s="1"/>
  <c r="W131" i="29"/>
  <c r="M131" i="29"/>
  <c r="AS127" i="29"/>
  <c r="BM130" i="29"/>
  <c r="BX130" i="29" s="1"/>
  <c r="V131" i="29"/>
  <c r="W147" i="29"/>
  <c r="BL147" i="29"/>
  <c r="AO147" i="29"/>
  <c r="BM152" i="29"/>
  <c r="BX152" i="29" s="1"/>
  <c r="AR156" i="29"/>
  <c r="P162" i="29"/>
  <c r="I162" i="29" s="1"/>
  <c r="S167" i="29"/>
  <c r="BK167" i="29"/>
  <c r="AQ166" i="29"/>
  <c r="P170" i="29"/>
  <c r="I170" i="29" s="1"/>
  <c r="AS172" i="29"/>
  <c r="BL177" i="29"/>
  <c r="V183" i="29"/>
  <c r="AS179" i="29"/>
  <c r="M190" i="29"/>
  <c r="AQ186" i="29"/>
  <c r="BR186" i="29" s="1"/>
  <c r="BT186" i="29"/>
  <c r="BS19" i="30"/>
  <c r="AQ19" i="30"/>
  <c r="BR19" i="30" s="1"/>
  <c r="BS36" i="30"/>
  <c r="AQ36" i="30"/>
  <c r="BR36" i="30" s="1"/>
  <c r="AG38" i="30"/>
  <c r="AS38" i="30" s="1"/>
  <c r="W44" i="30"/>
  <c r="BM39" i="30"/>
  <c r="BX39" i="30" s="1"/>
  <c r="S54" i="30"/>
  <c r="BQ50" i="30"/>
  <c r="AH50" i="30"/>
  <c r="Q52" i="30"/>
  <c r="P52" i="30"/>
  <c r="BT69" i="30"/>
  <c r="AQ69" i="30"/>
  <c r="BR69" i="30" s="1"/>
  <c r="BQ73" i="30"/>
  <c r="AS73" i="30"/>
  <c r="AH95" i="30"/>
  <c r="AR95" i="30"/>
  <c r="BP95" i="30"/>
  <c r="P55" i="31"/>
  <c r="Q55" i="31"/>
  <c r="AS61" i="31"/>
  <c r="BQ61" i="31"/>
  <c r="BQ62" i="32"/>
  <c r="AS62" i="32"/>
  <c r="BS68" i="32"/>
  <c r="AQ68" i="32"/>
  <c r="BS76" i="32"/>
  <c r="AQ76" i="32"/>
  <c r="BR76" i="32" s="1"/>
  <c r="BP128" i="32"/>
  <c r="AH128" i="32"/>
  <c r="AU128" i="32" s="1"/>
  <c r="BM212" i="32"/>
  <c r="BX212" i="32" s="1"/>
  <c r="BY212" i="32"/>
  <c r="M19" i="31"/>
  <c r="AG38" i="31"/>
  <c r="AQ36" i="31"/>
  <c r="BR36" i="31" s="1"/>
  <c r="BS36" i="31"/>
  <c r="BL65" i="32"/>
  <c r="BM206" i="32"/>
  <c r="BZ206" i="32"/>
  <c r="AO183" i="29"/>
  <c r="AQ178" i="29"/>
  <c r="BR178" i="29" s="1"/>
  <c r="V190" i="29"/>
  <c r="AM194" i="29"/>
  <c r="BD194" i="29"/>
  <c r="AC194" i="29"/>
  <c r="BY25" i="30"/>
  <c r="BM25" i="30"/>
  <c r="BX25" i="30" s="1"/>
  <c r="AS40" i="30"/>
  <c r="BQ40" i="30"/>
  <c r="M71" i="30"/>
  <c r="BT67" i="30"/>
  <c r="BT107" i="30" s="1"/>
  <c r="AQ67" i="30"/>
  <c r="BR67" i="30" s="1"/>
  <c r="P72" i="30"/>
  <c r="Q72" i="30"/>
  <c r="BM79" i="30"/>
  <c r="BX79" i="30" s="1"/>
  <c r="BZ79" i="30"/>
  <c r="K103" i="30"/>
  <c r="U103" i="30"/>
  <c r="BM22" i="31"/>
  <c r="BX22" i="31" s="1"/>
  <c r="BY22" i="31"/>
  <c r="BY23" i="31" s="1"/>
  <c r="BQ30" i="31"/>
  <c r="AS30" i="31"/>
  <c r="BS21" i="32"/>
  <c r="AQ21" i="32"/>
  <c r="BR21" i="32" s="1"/>
  <c r="BT24" i="32"/>
  <c r="AQ24" i="32"/>
  <c r="BM25" i="32"/>
  <c r="BX25" i="32" s="1"/>
  <c r="BY25" i="32"/>
  <c r="BY27" i="32" s="1"/>
  <c r="BQ102" i="32"/>
  <c r="AH102" i="32"/>
  <c r="BT161" i="32"/>
  <c r="AQ161" i="32"/>
  <c r="BR161" i="32" s="1"/>
  <c r="BW70" i="29"/>
  <c r="BT83" i="29"/>
  <c r="X196" i="29"/>
  <c r="BS91" i="29"/>
  <c r="AP107" i="29"/>
  <c r="BW107" i="29"/>
  <c r="AY125" i="29"/>
  <c r="S131" i="29"/>
  <c r="AY131" i="29"/>
  <c r="S137" i="29"/>
  <c r="AP137" i="29"/>
  <c r="S139" i="29"/>
  <c r="BY162" i="29"/>
  <c r="M183" i="29"/>
  <c r="BK183" i="29"/>
  <c r="W190" i="29"/>
  <c r="AR188" i="29"/>
  <c r="BP188" i="29"/>
  <c r="BT189" i="29"/>
  <c r="AQ189" i="29"/>
  <c r="BR189" i="29" s="1"/>
  <c r="AD194" i="29"/>
  <c r="BE194" i="29"/>
  <c r="AR19" i="30"/>
  <c r="BZ37" i="30"/>
  <c r="AS36" i="30"/>
  <c r="BQ36" i="30"/>
  <c r="BT43" i="30"/>
  <c r="BS55" i="30"/>
  <c r="AQ55" i="30"/>
  <c r="BR55" i="30" s="1"/>
  <c r="AO61" i="30"/>
  <c r="AY75" i="30"/>
  <c r="BW73" i="30"/>
  <c r="BW75" i="30" s="1"/>
  <c r="AS77" i="30"/>
  <c r="BQ84" i="30"/>
  <c r="AS84" i="30"/>
  <c r="BM88" i="30"/>
  <c r="BX88" i="30" s="1"/>
  <c r="BY88" i="30"/>
  <c r="BP94" i="30"/>
  <c r="AH94" i="30"/>
  <c r="BM95" i="30"/>
  <c r="BX95" i="30" s="1"/>
  <c r="BY95" i="30"/>
  <c r="BK87" i="31"/>
  <c r="BM24" i="31"/>
  <c r="BM87" i="31" s="1"/>
  <c r="BK25" i="31"/>
  <c r="BY24" i="31"/>
  <c r="BY87" i="31" s="1"/>
  <c r="BP27" i="31"/>
  <c r="AR27" i="31"/>
  <c r="AP52" i="31"/>
  <c r="BT49" i="31"/>
  <c r="BT52" i="31" s="1"/>
  <c r="BP56" i="31"/>
  <c r="BZ22" i="32"/>
  <c r="BQ98" i="32"/>
  <c r="AS98" i="32"/>
  <c r="P111" i="32"/>
  <c r="Q111" i="32"/>
  <c r="BP139" i="32"/>
  <c r="AR139" i="32"/>
  <c r="AF263" i="32"/>
  <c r="V269" i="32"/>
  <c r="U194" i="29"/>
  <c r="BS22" i="30"/>
  <c r="S28" i="30"/>
  <c r="AQ25" i="30"/>
  <c r="BR25" i="30" s="1"/>
  <c r="AG31" i="30"/>
  <c r="V107" i="30"/>
  <c r="BM33" i="30"/>
  <c r="BX33" i="30" s="1"/>
  <c r="AR36" i="30"/>
  <c r="AS42" i="30"/>
  <c r="BM53" i="30"/>
  <c r="BX53" i="30" s="1"/>
  <c r="AQ56" i="30"/>
  <c r="BR56" i="30" s="1"/>
  <c r="AQ58" i="30"/>
  <c r="BR58" i="30" s="1"/>
  <c r="AR59" i="30"/>
  <c r="BS65" i="30"/>
  <c r="BL71" i="30"/>
  <c r="BM73" i="30"/>
  <c r="BX73" i="30" s="1"/>
  <c r="AY85" i="30"/>
  <c r="AQ95" i="30"/>
  <c r="BR95" i="30" s="1"/>
  <c r="AQ97" i="30"/>
  <c r="BR97" i="30" s="1"/>
  <c r="BF103" i="30"/>
  <c r="AE103" i="30"/>
  <c r="AL103" i="30"/>
  <c r="BM14" i="31"/>
  <c r="BX14" i="31" s="1"/>
  <c r="Y74" i="31"/>
  <c r="R17" i="47" s="1"/>
  <c r="AE74" i="31"/>
  <c r="X17" i="47" s="1"/>
  <c r="AW74" i="31"/>
  <c r="AP17" i="47" s="1"/>
  <c r="AH18" i="31"/>
  <c r="BK23" i="31"/>
  <c r="BS22" i="31"/>
  <c r="BS23" i="31" s="1"/>
  <c r="AG26" i="31"/>
  <c r="AG79" i="31" s="1"/>
  <c r="S32" i="31"/>
  <c r="BK28" i="31"/>
  <c r="BK79" i="31" s="1"/>
  <c r="V32" i="31"/>
  <c r="AY38" i="31"/>
  <c r="BW43" i="31"/>
  <c r="BQ60" i="31"/>
  <c r="AQ61" i="31"/>
  <c r="BR61" i="31" s="1"/>
  <c r="BM63" i="31"/>
  <c r="BX63" i="31" s="1"/>
  <c r="BM66" i="31"/>
  <c r="BX66" i="31" s="1"/>
  <c r="R77" i="31"/>
  <c r="AD77" i="31"/>
  <c r="AX293" i="32"/>
  <c r="AQ18" i="47" s="1"/>
  <c r="BF293" i="32"/>
  <c r="AY18" i="47" s="1"/>
  <c r="M17" i="32"/>
  <c r="AP22" i="32"/>
  <c r="AG27" i="32"/>
  <c r="BT30" i="32"/>
  <c r="AQ30" i="32"/>
  <c r="BR30" i="32" s="1"/>
  <c r="AP35" i="32"/>
  <c r="Q40" i="32"/>
  <c r="P40" i="32"/>
  <c r="AQ44" i="32"/>
  <c r="AQ45" i="32" s="1"/>
  <c r="M298" i="32"/>
  <c r="J58" i="32"/>
  <c r="P53" i="32"/>
  <c r="Q53" i="32"/>
  <c r="Q81" i="32"/>
  <c r="P81" i="32"/>
  <c r="BM82" i="32"/>
  <c r="BX82" i="32" s="1"/>
  <c r="P103" i="32"/>
  <c r="Q103" i="32"/>
  <c r="AH104" i="32"/>
  <c r="AU104" i="32" s="1"/>
  <c r="BP104" i="32"/>
  <c r="AP113" i="32"/>
  <c r="BM118" i="32"/>
  <c r="BX118" i="32" s="1"/>
  <c r="AP130" i="32"/>
  <c r="BK137" i="32"/>
  <c r="BM131" i="32"/>
  <c r="BX131" i="32" s="1"/>
  <c r="BY131" i="32"/>
  <c r="BQ172" i="32"/>
  <c r="AS172" i="32"/>
  <c r="Q176" i="32"/>
  <c r="P176" i="32"/>
  <c r="P209" i="32"/>
  <c r="Q209" i="32"/>
  <c r="BM209" i="32"/>
  <c r="BX209" i="32" s="1"/>
  <c r="BZ209" i="32"/>
  <c r="BQ230" i="32"/>
  <c r="AS230" i="32"/>
  <c r="P233" i="32"/>
  <c r="Q233" i="32"/>
  <c r="P278" i="32"/>
  <c r="Q278" i="32"/>
  <c r="Y194" i="29"/>
  <c r="BK13" i="30"/>
  <c r="BA100" i="30"/>
  <c r="AT16" i="47" s="1"/>
  <c r="BG100" i="30"/>
  <c r="AZ16" i="47" s="1"/>
  <c r="BL17" i="30"/>
  <c r="J23" i="30"/>
  <c r="BM21" i="30"/>
  <c r="BX21" i="30" s="1"/>
  <c r="P24" i="30"/>
  <c r="BL28" i="30"/>
  <c r="AF25" i="30"/>
  <c r="AF28" i="30" s="1"/>
  <c r="P35" i="30"/>
  <c r="I35" i="30" s="1"/>
  <c r="P36" i="30"/>
  <c r="I36" i="30" s="1"/>
  <c r="AP44" i="30"/>
  <c r="AQ40" i="30"/>
  <c r="BR40" i="30" s="1"/>
  <c r="P41" i="30"/>
  <c r="I41" i="30" s="1"/>
  <c r="V44" i="30"/>
  <c r="AS46" i="30"/>
  <c r="AQ47" i="30"/>
  <c r="BR47" i="30" s="1"/>
  <c r="P49" i="30"/>
  <c r="AS51" i="30"/>
  <c r="BM57" i="30"/>
  <c r="BX57" i="30" s="1"/>
  <c r="AG62" i="30"/>
  <c r="AS62" i="30" s="1"/>
  <c r="AQ70" i="30"/>
  <c r="BR70" i="30" s="1"/>
  <c r="S75" i="30"/>
  <c r="BS73" i="30"/>
  <c r="P77" i="30"/>
  <c r="I77" i="30" s="1"/>
  <c r="BM80" i="30"/>
  <c r="BX80" i="30" s="1"/>
  <c r="AQ82" i="30"/>
  <c r="BR82" i="30" s="1"/>
  <c r="P84" i="30"/>
  <c r="I84" i="30" s="1"/>
  <c r="AH86" i="30"/>
  <c r="AU86" i="30" s="1"/>
  <c r="AQ93" i="30"/>
  <c r="BR93" i="30" s="1"/>
  <c r="BZ99" i="30"/>
  <c r="BG103" i="30"/>
  <c r="AA103" i="30"/>
  <c r="S78" i="31"/>
  <c r="AI74" i="31"/>
  <c r="AX74" i="31"/>
  <c r="AQ17" i="47" s="1"/>
  <c r="AQ16" i="31"/>
  <c r="BR16" i="31" s="1"/>
  <c r="P18" i="31"/>
  <c r="BZ23" i="31"/>
  <c r="P21" i="31"/>
  <c r="AQ24" i="31"/>
  <c r="AQ87" i="31" s="1"/>
  <c r="X77" i="31"/>
  <c r="AH29" i="31"/>
  <c r="AU29" i="31" s="1"/>
  <c r="BM31" i="31"/>
  <c r="BX31" i="31" s="1"/>
  <c r="W81" i="31"/>
  <c r="BS45" i="31"/>
  <c r="P59" i="31"/>
  <c r="I59" i="31" s="1"/>
  <c r="BS63" i="31"/>
  <c r="AQ65" i="31"/>
  <c r="AR70" i="31"/>
  <c r="BD77" i="31"/>
  <c r="T293" i="32"/>
  <c r="M18" i="47" s="1"/>
  <c r="AB293" i="32"/>
  <c r="U18" i="47" s="1"/>
  <c r="AL293" i="32"/>
  <c r="AE18" i="47" s="1"/>
  <c r="BA293" i="32"/>
  <c r="AT18" i="47" s="1"/>
  <c r="BG293" i="32"/>
  <c r="AZ18" i="47" s="1"/>
  <c r="M303" i="32"/>
  <c r="V22" i="32"/>
  <c r="AF18" i="32"/>
  <c r="BT25" i="32"/>
  <c r="AQ25" i="32"/>
  <c r="BR25" i="32" s="1"/>
  <c r="W35" i="32"/>
  <c r="AG32" i="32"/>
  <c r="AH32" i="32" s="1"/>
  <c r="AU32" i="32" s="1"/>
  <c r="Q36" i="32"/>
  <c r="P36" i="32"/>
  <c r="BT44" i="32"/>
  <c r="BT45" i="32" s="1"/>
  <c r="AP45" i="32"/>
  <c r="M58" i="32"/>
  <c r="BY55" i="32"/>
  <c r="BM55" i="32"/>
  <c r="BX55" i="32" s="1"/>
  <c r="BQ78" i="32"/>
  <c r="AS78" i="32"/>
  <c r="P104" i="32"/>
  <c r="AR117" i="32"/>
  <c r="BP117" i="32"/>
  <c r="BS118" i="32"/>
  <c r="AQ118" i="32"/>
  <c r="BR118" i="32" s="1"/>
  <c r="BS121" i="32"/>
  <c r="BS124" i="32" s="1"/>
  <c r="AQ121" i="32"/>
  <c r="BR121" i="32" s="1"/>
  <c r="BL137" i="32"/>
  <c r="BZ131" i="32"/>
  <c r="AQ142" i="32"/>
  <c r="BR142" i="32" s="1"/>
  <c r="BT142" i="32"/>
  <c r="AR169" i="32"/>
  <c r="BP169" i="32"/>
  <c r="BS196" i="32"/>
  <c r="BS199" i="32" s="1"/>
  <c r="AQ196" i="32"/>
  <c r="BR196" i="32" s="1"/>
  <c r="BQ217" i="32"/>
  <c r="AS217" i="32"/>
  <c r="BZ218" i="32"/>
  <c r="BM218" i="32"/>
  <c r="BX218" i="32" s="1"/>
  <c r="BW221" i="32"/>
  <c r="BW227" i="32" s="1"/>
  <c r="AY227" i="32"/>
  <c r="P223" i="32"/>
  <c r="Q223" i="32"/>
  <c r="AQ224" i="32"/>
  <c r="BR224" i="32" s="1"/>
  <c r="BS224" i="32"/>
  <c r="V163" i="29"/>
  <c r="AQ162" i="29"/>
  <c r="BR162" i="29" s="1"/>
  <c r="M198" i="29"/>
  <c r="AQ170" i="29"/>
  <c r="BR170" i="29" s="1"/>
  <c r="BT177" i="29"/>
  <c r="S183" i="29"/>
  <c r="BM180" i="29"/>
  <c r="BX180" i="29" s="1"/>
  <c r="N194" i="29"/>
  <c r="Z194" i="29"/>
  <c r="AI194" i="29"/>
  <c r="V193" i="29" s="1"/>
  <c r="P13" i="30"/>
  <c r="AO110" i="30"/>
  <c r="AL100" i="30"/>
  <c r="AE16" i="47" s="1"/>
  <c r="P21" i="30"/>
  <c r="I21" i="30" s="1"/>
  <c r="BM26" i="30"/>
  <c r="BX26" i="30" s="1"/>
  <c r="BC28" i="30"/>
  <c r="M30" i="30"/>
  <c r="P31" i="30"/>
  <c r="I31" i="30" s="1"/>
  <c r="AF32" i="30"/>
  <c r="AR32" i="30" s="1"/>
  <c r="BM32" i="30"/>
  <c r="BX32" i="30" s="1"/>
  <c r="Q33" i="30"/>
  <c r="I33" i="30" s="1"/>
  <c r="AH35" i="30"/>
  <c r="AH36" i="30"/>
  <c r="AU36" i="30" s="1"/>
  <c r="AW103" i="30"/>
  <c r="BM42" i="30"/>
  <c r="BX42" i="30" s="1"/>
  <c r="W48" i="30"/>
  <c r="AY48" i="30"/>
  <c r="Q49" i="30"/>
  <c r="BQ51" i="30"/>
  <c r="BM56" i="30"/>
  <c r="BX56" i="30" s="1"/>
  <c r="BM59" i="30"/>
  <c r="BX59" i="30" s="1"/>
  <c r="BM69" i="30"/>
  <c r="BX69" i="30" s="1"/>
  <c r="W75" i="30"/>
  <c r="W81" i="30"/>
  <c r="BL81" i="30"/>
  <c r="BW85" i="30"/>
  <c r="S85" i="30"/>
  <c r="BS92" i="30"/>
  <c r="BM86" i="30"/>
  <c r="BX86" i="30" s="1"/>
  <c r="AO92" i="30"/>
  <c r="AQ89" i="30"/>
  <c r="BR89" i="30" s="1"/>
  <c r="BQ89" i="30"/>
  <c r="AQ91" i="30"/>
  <c r="BR91" i="30" s="1"/>
  <c r="BM98" i="30"/>
  <c r="BX98" i="30" s="1"/>
  <c r="O103" i="30"/>
  <c r="AJ103" i="30"/>
  <c r="W102" i="30" s="1"/>
  <c r="BI103" i="30"/>
  <c r="BK15" i="31"/>
  <c r="S15" i="31"/>
  <c r="R74" i="31"/>
  <c r="K17" i="47" s="1"/>
  <c r="AJ74" i="31"/>
  <c r="BX16" i="31"/>
  <c r="AQ18" i="31"/>
  <c r="BR18" i="31" s="1"/>
  <c r="BM20" i="31"/>
  <c r="BX20" i="31" s="1"/>
  <c r="Q21" i="31"/>
  <c r="AP23" i="31"/>
  <c r="P26" i="31"/>
  <c r="AP32" i="31"/>
  <c r="Q29" i="31"/>
  <c r="I29" i="31" s="1"/>
  <c r="W85" i="31"/>
  <c r="AY85" i="31"/>
  <c r="AQ31" i="31"/>
  <c r="BR31" i="31" s="1"/>
  <c r="AQ37" i="31"/>
  <c r="BR37" i="31" s="1"/>
  <c r="AG39" i="31"/>
  <c r="AG40" i="31" s="1"/>
  <c r="AY40" i="31"/>
  <c r="AF41" i="31"/>
  <c r="BZ43" i="31"/>
  <c r="AQ42" i="31"/>
  <c r="BR42" i="31" s="1"/>
  <c r="J81" i="31"/>
  <c r="AG44" i="31"/>
  <c r="BQ44" i="31" s="1"/>
  <c r="M52" i="31"/>
  <c r="AO64" i="31"/>
  <c r="AQ59" i="31"/>
  <c r="BR59" i="31" s="1"/>
  <c r="BS59" i="31"/>
  <c r="K293" i="32"/>
  <c r="D18" i="47" s="1"/>
  <c r="U293" i="32"/>
  <c r="N18" i="47" s="1"/>
  <c r="AC293" i="32"/>
  <c r="V18" i="47" s="1"/>
  <c r="AM293" i="32"/>
  <c r="AF18" i="47" s="1"/>
  <c r="S297" i="32"/>
  <c r="AP297" i="32"/>
  <c r="AP31" i="32"/>
  <c r="AQ28" i="32"/>
  <c r="BR28" i="32" s="1"/>
  <c r="AQ32" i="32"/>
  <c r="BR32" i="32" s="1"/>
  <c r="AO35" i="32"/>
  <c r="AY39" i="32"/>
  <c r="BW36" i="32"/>
  <c r="BW39" i="32" s="1"/>
  <c r="AH51" i="32"/>
  <c r="AU51" i="32" s="1"/>
  <c r="P74" i="32"/>
  <c r="Q74" i="32"/>
  <c r="J84" i="32"/>
  <c r="P78" i="32"/>
  <c r="BM102" i="32"/>
  <c r="BX102" i="32" s="1"/>
  <c r="BY102" i="32"/>
  <c r="BQ104" i="32"/>
  <c r="BS117" i="32"/>
  <c r="AQ117" i="32"/>
  <c r="BR117" i="32" s="1"/>
  <c r="BM123" i="32"/>
  <c r="BY123" i="32"/>
  <c r="BY124" i="32" s="1"/>
  <c r="BT140" i="32"/>
  <c r="AQ140" i="32"/>
  <c r="BR140" i="32" s="1"/>
  <c r="BQ169" i="32"/>
  <c r="AS169" i="32"/>
  <c r="AR185" i="32"/>
  <c r="AH185" i="32"/>
  <c r="AU185" i="32" s="1"/>
  <c r="BQ190" i="32"/>
  <c r="AS190" i="32"/>
  <c r="Q218" i="32"/>
  <c r="BL220" i="32"/>
  <c r="BZ219" i="32"/>
  <c r="BQ240" i="32"/>
  <c r="AS240" i="32"/>
  <c r="BY249" i="32"/>
  <c r="BM249" i="32"/>
  <c r="BX249" i="32" s="1"/>
  <c r="M255" i="32"/>
  <c r="BQ251" i="32"/>
  <c r="AH251" i="32"/>
  <c r="AU251" i="32" s="1"/>
  <c r="AQ271" i="32"/>
  <c r="BR271" i="32" s="1"/>
  <c r="BS271" i="32"/>
  <c r="AQ273" i="32"/>
  <c r="BR273" i="32" s="1"/>
  <c r="BS273" i="32"/>
  <c r="BP274" i="32"/>
  <c r="AH274" i="32"/>
  <c r="AG291" i="32"/>
  <c r="AG292" i="32" s="1"/>
  <c r="W292" i="32"/>
  <c r="R194" i="29"/>
  <c r="BI194" i="29"/>
  <c r="AQ13" i="30"/>
  <c r="BR13" i="30" s="1"/>
  <c r="AQ14" i="30"/>
  <c r="BR14" i="30" s="1"/>
  <c r="BM22" i="30"/>
  <c r="BX22" i="30" s="1"/>
  <c r="BK30" i="30"/>
  <c r="P40" i="30"/>
  <c r="I40" i="30" s="1"/>
  <c r="BM46" i="30"/>
  <c r="BX46" i="30" s="1"/>
  <c r="BK54" i="30"/>
  <c r="S61" i="30"/>
  <c r="AQ64" i="30"/>
  <c r="BR64" i="30" s="1"/>
  <c r="W71" i="30"/>
  <c r="BK75" i="30"/>
  <c r="AY81" i="30"/>
  <c r="AS82" i="30"/>
  <c r="BP86" i="30"/>
  <c r="BL99" i="30"/>
  <c r="AS94" i="30"/>
  <c r="BM94" i="30"/>
  <c r="BX94" i="30" s="1"/>
  <c r="AR96" i="30"/>
  <c r="AX103" i="30"/>
  <c r="AO78" i="31"/>
  <c r="BM12" i="31"/>
  <c r="BX12" i="31" s="1"/>
  <c r="AP15" i="31"/>
  <c r="J84" i="31"/>
  <c r="W84" i="31"/>
  <c r="AC74" i="31"/>
  <c r="V17" i="47" s="1"/>
  <c r="BZ19" i="31"/>
  <c r="AQ20" i="31"/>
  <c r="BR20" i="31" s="1"/>
  <c r="P22" i="31"/>
  <c r="AQ27" i="31"/>
  <c r="BR27" i="31" s="1"/>
  <c r="AQ29" i="31"/>
  <c r="BR30" i="31"/>
  <c r="AQ34" i="31"/>
  <c r="BR34" i="31" s="1"/>
  <c r="Q39" i="31"/>
  <c r="BW39" i="31"/>
  <c r="BW86" i="31" s="1"/>
  <c r="AP43" i="31"/>
  <c r="P44" i="31"/>
  <c r="BZ49" i="31"/>
  <c r="BZ52" i="31" s="1"/>
  <c r="V73" i="31"/>
  <c r="AQ12" i="32"/>
  <c r="AQ13" i="32" s="1"/>
  <c r="N293" i="32"/>
  <c r="G18" i="47" s="1"/>
  <c r="Y293" i="32"/>
  <c r="R18" i="47" s="1"/>
  <c r="AE293" i="32"/>
  <c r="X18" i="47" s="1"/>
  <c r="AO13" i="32"/>
  <c r="W303" i="32"/>
  <c r="BL303" i="32"/>
  <c r="BW22" i="32"/>
  <c r="BS20" i="32"/>
  <c r="AQ20" i="32"/>
  <c r="BR20" i="32" s="1"/>
  <c r="AH23" i="32"/>
  <c r="BM26" i="32"/>
  <c r="BX26" i="32" s="1"/>
  <c r="BK31" i="32"/>
  <c r="P32" i="32"/>
  <c r="I32" i="32" s="1"/>
  <c r="V35" i="32"/>
  <c r="AF36" i="32"/>
  <c r="AR36" i="32" s="1"/>
  <c r="V39" i="32"/>
  <c r="W43" i="32"/>
  <c r="AG40" i="32"/>
  <c r="AG43" i="32" s="1"/>
  <c r="AO298" i="32"/>
  <c r="W304" i="32"/>
  <c r="BL304" i="32"/>
  <c r="BT59" i="32"/>
  <c r="BT65" i="32" s="1"/>
  <c r="AH63" i="32"/>
  <c r="AR63" i="32"/>
  <c r="AH67" i="32"/>
  <c r="AU67" i="32" s="1"/>
  <c r="S96" i="32"/>
  <c r="AR98" i="32"/>
  <c r="BP98" i="32"/>
  <c r="BK299" i="32"/>
  <c r="BM99" i="32"/>
  <c r="BX99" i="32" s="1"/>
  <c r="BY99" i="32"/>
  <c r="BY299" i="32" s="1"/>
  <c r="AS103" i="32"/>
  <c r="BQ103" i="32"/>
  <c r="BM114" i="32"/>
  <c r="BX114" i="32" s="1"/>
  <c r="BY114" i="32"/>
  <c r="BS128" i="32"/>
  <c r="BP133" i="32"/>
  <c r="AH133" i="32"/>
  <c r="BT145" i="32"/>
  <c r="BT146" i="32" s="1"/>
  <c r="AP146" i="32"/>
  <c r="AQ145" i="32"/>
  <c r="AQ146" i="32" s="1"/>
  <c r="BT149" i="32"/>
  <c r="AQ149" i="32"/>
  <c r="BR149" i="32" s="1"/>
  <c r="BT158" i="32"/>
  <c r="AQ158" i="32"/>
  <c r="BR158" i="32" s="1"/>
  <c r="BS193" i="32"/>
  <c r="AQ193" i="32"/>
  <c r="BR193" i="32" s="1"/>
  <c r="BZ267" i="32"/>
  <c r="BZ269" i="32" s="1"/>
  <c r="BL269" i="32"/>
  <c r="BZ282" i="32"/>
  <c r="BM282" i="32"/>
  <c r="BX282" i="32" s="1"/>
  <c r="J292" i="32"/>
  <c r="P291" i="32"/>
  <c r="P292" i="32" s="1"/>
  <c r="Q291" i="32"/>
  <c r="Q292" i="32" s="1"/>
  <c r="AN194" i="29"/>
  <c r="BF194" i="29"/>
  <c r="S110" i="30"/>
  <c r="Y100" i="30"/>
  <c r="R16" i="47" s="1"/>
  <c r="AE100" i="30"/>
  <c r="X16" i="47" s="1"/>
  <c r="AO23" i="30"/>
  <c r="BT44" i="30"/>
  <c r="M48" i="30"/>
  <c r="V65" i="30"/>
  <c r="BS85" i="30"/>
  <c r="AD103" i="30"/>
  <c r="AN103" i="30"/>
  <c r="M84" i="31"/>
  <c r="M15" i="31"/>
  <c r="AD74" i="31"/>
  <c r="W17" i="47" s="1"/>
  <c r="BD74" i="31"/>
  <c r="AW17" i="47" s="1"/>
  <c r="BJ74" i="31"/>
  <c r="BC17" i="47" s="1"/>
  <c r="AP19" i="31"/>
  <c r="AP38" i="31"/>
  <c r="BL38" i="31"/>
  <c r="AY81" i="31"/>
  <c r="M64" i="31"/>
  <c r="BL297" i="32"/>
  <c r="BL31" i="32"/>
  <c r="BZ28" i="32"/>
  <c r="BZ31" i="32" s="1"/>
  <c r="BT34" i="32"/>
  <c r="BT35" i="32" s="1"/>
  <c r="AQ34" i="32"/>
  <c r="BR34" i="32" s="1"/>
  <c r="W39" i="32"/>
  <c r="AG36" i="32"/>
  <c r="AG39" i="32" s="1"/>
  <c r="P37" i="32"/>
  <c r="Q37" i="32"/>
  <c r="P47" i="32"/>
  <c r="Q47" i="32"/>
  <c r="AP298" i="32"/>
  <c r="AF304" i="32"/>
  <c r="BQ53" i="32"/>
  <c r="AS53" i="32"/>
  <c r="BS56" i="32"/>
  <c r="BZ65" i="32"/>
  <c r="BS63" i="32"/>
  <c r="AQ63" i="32"/>
  <c r="BR63" i="32" s="1"/>
  <c r="Q67" i="32"/>
  <c r="P98" i="32"/>
  <c r="Q98" i="32"/>
  <c r="BP103" i="32"/>
  <c r="AH103" i="32"/>
  <c r="AY113" i="32"/>
  <c r="BW111" i="32"/>
  <c r="BW113" i="32" s="1"/>
  <c r="V120" i="32"/>
  <c r="AF114" i="32"/>
  <c r="BM122" i="32"/>
  <c r="BZ122" i="32"/>
  <c r="BL130" i="32"/>
  <c r="BZ125" i="32"/>
  <c r="BZ130" i="32" s="1"/>
  <c r="BQ134" i="32"/>
  <c r="AS134" i="32"/>
  <c r="BY135" i="32"/>
  <c r="BM135" i="32"/>
  <c r="BX135" i="32" s="1"/>
  <c r="M144" i="32"/>
  <c r="AS143" i="32"/>
  <c r="BQ143" i="32"/>
  <c r="BM160" i="32"/>
  <c r="BX160" i="32" s="1"/>
  <c r="BY160" i="32"/>
  <c r="BQ176" i="32"/>
  <c r="AS176" i="32"/>
  <c r="P259" i="32"/>
  <c r="Q259" i="32"/>
  <c r="P261" i="32"/>
  <c r="Q261" i="32"/>
  <c r="AQ279" i="32"/>
  <c r="BR279" i="32" s="1"/>
  <c r="BS279" i="32"/>
  <c r="BQ285" i="32"/>
  <c r="AS285" i="32"/>
  <c r="AO43" i="32"/>
  <c r="S298" i="32"/>
  <c r="M304" i="32"/>
  <c r="BW58" i="32"/>
  <c r="S65" i="32"/>
  <c r="BK65" i="32"/>
  <c r="BS86" i="32"/>
  <c r="W107" i="32"/>
  <c r="BK302" i="32"/>
  <c r="BZ302" i="32"/>
  <c r="W305" i="32"/>
  <c r="V124" i="32"/>
  <c r="BX128" i="32"/>
  <c r="P132" i="32"/>
  <c r="BK144" i="32"/>
  <c r="BM140" i="32"/>
  <c r="BX140" i="32" s="1"/>
  <c r="BK146" i="32"/>
  <c r="BM145" i="32"/>
  <c r="BY145" i="32"/>
  <c r="BY146" i="32" s="1"/>
  <c r="V157" i="32"/>
  <c r="AF158" i="32"/>
  <c r="AR158" i="32" s="1"/>
  <c r="V164" i="32"/>
  <c r="Q170" i="32"/>
  <c r="P170" i="32"/>
  <c r="BS179" i="32"/>
  <c r="BS182" i="32" s="1"/>
  <c r="V188" i="32"/>
  <c r="BW195" i="32"/>
  <c r="BY198" i="32"/>
  <c r="BM198" i="32"/>
  <c r="BX198" i="32" s="1"/>
  <c r="P206" i="32"/>
  <c r="J214" i="32"/>
  <c r="P231" i="32"/>
  <c r="Q231" i="32"/>
  <c r="AS237" i="32"/>
  <c r="BQ237" i="32"/>
  <c r="BP250" i="32"/>
  <c r="AH250" i="32"/>
  <c r="BM250" i="32"/>
  <c r="BX250" i="32" s="1"/>
  <c r="BY250" i="32"/>
  <c r="BT252" i="32"/>
  <c r="AQ252" i="32"/>
  <c r="BR252" i="32" s="1"/>
  <c r="P253" i="32"/>
  <c r="Q253" i="32"/>
  <c r="AS256" i="32"/>
  <c r="BQ256" i="32"/>
  <c r="AS274" i="32"/>
  <c r="BQ274" i="32"/>
  <c r="BM277" i="32"/>
  <c r="BX277" i="32" s="1"/>
  <c r="BY277" i="32"/>
  <c r="BS284" i="32"/>
  <c r="AQ284" i="32"/>
  <c r="BR284" i="32" s="1"/>
  <c r="AO290" i="32"/>
  <c r="BT285" i="32"/>
  <c r="AQ285" i="32"/>
  <c r="BR285" i="32" s="1"/>
  <c r="S306" i="32"/>
  <c r="AY306" i="32"/>
  <c r="O293" i="32"/>
  <c r="H18" i="47" s="1"/>
  <c r="Z293" i="32"/>
  <c r="S18" i="47" s="1"/>
  <c r="AI293" i="32"/>
  <c r="AP13" i="32"/>
  <c r="BD293" i="32"/>
  <c r="AW18" i="47" s="1"/>
  <c r="BJ293" i="32"/>
  <c r="BC18" i="47" s="1"/>
  <c r="V297" i="32"/>
  <c r="AQ15" i="32"/>
  <c r="BR15" i="32" s="1"/>
  <c r="AY303" i="32"/>
  <c r="P19" i="32"/>
  <c r="I19" i="32" s="1"/>
  <c r="W27" i="32"/>
  <c r="AY27" i="32"/>
  <c r="BT43" i="32"/>
  <c r="M43" i="32"/>
  <c r="AH41" i="32"/>
  <c r="V298" i="32"/>
  <c r="BL298" i="32"/>
  <c r="AQ48" i="32"/>
  <c r="BR48" i="32" s="1"/>
  <c r="S304" i="32"/>
  <c r="S58" i="32"/>
  <c r="AQ64" i="32"/>
  <c r="BR64" i="32" s="1"/>
  <c r="W71" i="32"/>
  <c r="BM70" i="32"/>
  <c r="BX70" i="32" s="1"/>
  <c r="BT77" i="32"/>
  <c r="BL77" i="32"/>
  <c r="AH75" i="32"/>
  <c r="AU75" i="32" s="1"/>
  <c r="S84" i="32"/>
  <c r="AH79" i="32"/>
  <c r="BM79" i="32"/>
  <c r="BX79" i="32" s="1"/>
  <c r="S90" i="32"/>
  <c r="AO107" i="32"/>
  <c r="S299" i="32"/>
  <c r="J305" i="32"/>
  <c r="BL305" i="32"/>
  <c r="W109" i="32"/>
  <c r="AF113" i="32"/>
  <c r="BM110" i="32"/>
  <c r="BX110" i="32" s="1"/>
  <c r="V113" i="32"/>
  <c r="AP120" i="32"/>
  <c r="V300" i="32"/>
  <c r="AY300" i="32"/>
  <c r="W124" i="32"/>
  <c r="AQ122" i="32"/>
  <c r="BR122" i="32" s="1"/>
  <c r="BZ132" i="32"/>
  <c r="BM132" i="32"/>
  <c r="BX132" i="32" s="1"/>
  <c r="BS133" i="32"/>
  <c r="AQ133" i="32"/>
  <c r="BR133" i="32" s="1"/>
  <c r="BT135" i="32"/>
  <c r="AQ135" i="32"/>
  <c r="BR135" i="32" s="1"/>
  <c r="AF144" i="32"/>
  <c r="BP138" i="32"/>
  <c r="BZ145" i="32"/>
  <c r="BZ146" i="32" s="1"/>
  <c r="BL146" i="32"/>
  <c r="AG150" i="32"/>
  <c r="BQ147" i="32"/>
  <c r="BM181" i="32"/>
  <c r="BX181" i="32" s="1"/>
  <c r="BY181" i="32"/>
  <c r="J188" i="32"/>
  <c r="Q183" i="32"/>
  <c r="BQ184" i="32"/>
  <c r="AS184" i="32"/>
  <c r="AH192" i="32"/>
  <c r="BP192" i="32"/>
  <c r="BK199" i="32"/>
  <c r="BP200" i="32"/>
  <c r="AR200" i="32"/>
  <c r="BZ205" i="32"/>
  <c r="BS222" i="32"/>
  <c r="AQ222" i="32"/>
  <c r="BR222" i="32" s="1"/>
  <c r="J227" i="32"/>
  <c r="BQ243" i="32"/>
  <c r="AS243" i="32"/>
  <c r="J262" i="32"/>
  <c r="P257" i="32"/>
  <c r="Q257" i="32"/>
  <c r="AQ258" i="32"/>
  <c r="BR258" i="32" s="1"/>
  <c r="BS258" i="32"/>
  <c r="AQ266" i="32"/>
  <c r="BR266" i="32" s="1"/>
  <c r="BT266" i="32"/>
  <c r="AP290" i="32"/>
  <c r="BQ288" i="32"/>
  <c r="AS288" i="32"/>
  <c r="T296" i="32"/>
  <c r="AA296" i="32"/>
  <c r="R293" i="32"/>
  <c r="K18" i="47" s="1"/>
  <c r="AA293" i="32"/>
  <c r="T18" i="47" s="1"/>
  <c r="AJ293" i="32"/>
  <c r="BE293" i="32"/>
  <c r="AX18" i="47" s="1"/>
  <c r="BK297" i="32"/>
  <c r="V303" i="32"/>
  <c r="BK303" i="32"/>
  <c r="M22" i="32"/>
  <c r="J27" i="32"/>
  <c r="V27" i="32"/>
  <c r="V31" i="32"/>
  <c r="AY31" i="32"/>
  <c r="S35" i="32"/>
  <c r="S39" i="32"/>
  <c r="AQ38" i="32"/>
  <c r="BR38" i="32" s="1"/>
  <c r="S43" i="32"/>
  <c r="AY43" i="32"/>
  <c r="P41" i="32"/>
  <c r="I41" i="32" s="1"/>
  <c r="AG44" i="32"/>
  <c r="AG45" i="32" s="1"/>
  <c r="BW44" i="32"/>
  <c r="BW45" i="32" s="1"/>
  <c r="AP52" i="32"/>
  <c r="AY304" i="32"/>
  <c r="AQ51" i="32"/>
  <c r="BR51" i="32" s="1"/>
  <c r="AY58" i="32"/>
  <c r="X298" i="32"/>
  <c r="X296" i="32" s="1"/>
  <c r="BC298" i="32"/>
  <c r="Q55" i="32"/>
  <c r="I55" i="32" s="1"/>
  <c r="Q57" i="32"/>
  <c r="I57" i="32" s="1"/>
  <c r="J65" i="32"/>
  <c r="AG65" i="32"/>
  <c r="BM59" i="32"/>
  <c r="BX59" i="32" s="1"/>
  <c r="Q61" i="32"/>
  <c r="I61" i="32" s="1"/>
  <c r="AQ61" i="32"/>
  <c r="BR61" i="32" s="1"/>
  <c r="AG66" i="32"/>
  <c r="AQ70" i="32"/>
  <c r="BR70" i="32" s="1"/>
  <c r="BS70" i="32"/>
  <c r="M77" i="32"/>
  <c r="AQ72" i="32"/>
  <c r="BR72" i="32" s="1"/>
  <c r="P75" i="32"/>
  <c r="I75" i="32" s="1"/>
  <c r="AY84" i="32"/>
  <c r="AQ79" i="32"/>
  <c r="BR79" i="32" s="1"/>
  <c r="Q83" i="32"/>
  <c r="I83" i="32" s="1"/>
  <c r="V90" i="32"/>
  <c r="AQ87" i="32"/>
  <c r="BR87" i="32" s="1"/>
  <c r="P88" i="32"/>
  <c r="I88" i="32" s="1"/>
  <c r="AQ100" i="32"/>
  <c r="BR100" i="32" s="1"/>
  <c r="J302" i="32"/>
  <c r="AG101" i="32"/>
  <c r="AG302" i="32" s="1"/>
  <c r="BM101" i="32"/>
  <c r="BX101" i="32" s="1"/>
  <c r="AQ104" i="32"/>
  <c r="BR104" i="32" s="1"/>
  <c r="AQ105" i="32"/>
  <c r="BR105" i="32" s="1"/>
  <c r="BM106" i="32"/>
  <c r="BX106" i="32" s="1"/>
  <c r="M305" i="32"/>
  <c r="AG108" i="32"/>
  <c r="BQ108" i="32" s="1"/>
  <c r="M113" i="32"/>
  <c r="AQ111" i="32"/>
  <c r="BR111" i="32" s="1"/>
  <c r="W113" i="32"/>
  <c r="J300" i="32"/>
  <c r="W300" i="32"/>
  <c r="AF121" i="32"/>
  <c r="AF124" i="32" s="1"/>
  <c r="BL124" i="32"/>
  <c r="P123" i="32"/>
  <c r="I123" i="32" s="1"/>
  <c r="BY126" i="32"/>
  <c r="BY127" i="32"/>
  <c r="AH129" i="32"/>
  <c r="P131" i="32"/>
  <c r="I131" i="32" s="1"/>
  <c r="Q132" i="32"/>
  <c r="BT136" i="32"/>
  <c r="AQ136" i="32"/>
  <c r="BR136" i="32" s="1"/>
  <c r="AH142" i="32"/>
  <c r="BP145" i="32"/>
  <c r="BP146" i="32" s="1"/>
  <c r="Q147" i="32"/>
  <c r="I147" i="32" s="1"/>
  <c r="BL150" i="32"/>
  <c r="BY153" i="32"/>
  <c r="BM156" i="32"/>
  <c r="BX156" i="32" s="1"/>
  <c r="BZ163" i="32"/>
  <c r="BM163" i="32"/>
  <c r="BX163" i="32" s="1"/>
  <c r="BS167" i="32"/>
  <c r="BL178" i="32"/>
  <c r="AH176" i="32"/>
  <c r="AU176" i="32" s="1"/>
  <c r="BY180" i="32"/>
  <c r="AQ184" i="32"/>
  <c r="BR184" i="32" s="1"/>
  <c r="BS201" i="32"/>
  <c r="AQ201" i="32"/>
  <c r="BR201" i="32" s="1"/>
  <c r="P202" i="32"/>
  <c r="I202" i="32" s="1"/>
  <c r="BM202" i="32"/>
  <c r="BX202" i="32" s="1"/>
  <c r="Q206" i="32"/>
  <c r="BY210" i="32"/>
  <c r="BQ223" i="32"/>
  <c r="AS223" i="32"/>
  <c r="BY231" i="32"/>
  <c r="BM231" i="32"/>
  <c r="BX231" i="32" s="1"/>
  <c r="BY235" i="32"/>
  <c r="BM235" i="32"/>
  <c r="BX235" i="32" s="1"/>
  <c r="BY239" i="32"/>
  <c r="BM239" i="32"/>
  <c r="BX239" i="32" s="1"/>
  <c r="AF246" i="32"/>
  <c r="V248" i="32"/>
  <c r="BS247" i="32"/>
  <c r="AQ247" i="32"/>
  <c r="BR247" i="32" s="1"/>
  <c r="BQ250" i="32"/>
  <c r="AS250" i="32"/>
  <c r="BW276" i="32"/>
  <c r="BM272" i="32"/>
  <c r="BX272" i="32" s="1"/>
  <c r="BT275" i="32"/>
  <c r="AQ275" i="32"/>
  <c r="BR275" i="32" s="1"/>
  <c r="P288" i="32"/>
  <c r="I288" i="32" s="1"/>
  <c r="K296" i="32"/>
  <c r="AM296" i="32"/>
  <c r="AJ77" i="31"/>
  <c r="W76" i="31" s="1"/>
  <c r="L293" i="32"/>
  <c r="E18" i="47" s="1"/>
  <c r="AD293" i="32"/>
  <c r="W18" i="47" s="1"/>
  <c r="AN293" i="32"/>
  <c r="AG18" i="47" s="1"/>
  <c r="BB293" i="32"/>
  <c r="BH293" i="32"/>
  <c r="BA18" i="47" s="1"/>
  <c r="AO297" i="32"/>
  <c r="J303" i="32"/>
  <c r="AP303" i="32"/>
  <c r="S22" i="32"/>
  <c r="AO22" i="32"/>
  <c r="J22" i="32"/>
  <c r="W22" i="32"/>
  <c r="AY22" i="32"/>
  <c r="S27" i="32"/>
  <c r="AP27" i="32"/>
  <c r="BZ35" i="32"/>
  <c r="BW40" i="32"/>
  <c r="BW43" i="32" s="1"/>
  <c r="BL52" i="32"/>
  <c r="J304" i="32"/>
  <c r="AO304" i="32"/>
  <c r="BW50" i="32"/>
  <c r="BW304" i="32" s="1"/>
  <c r="AQ54" i="32"/>
  <c r="BR54" i="32" s="1"/>
  <c r="BC58" i="32"/>
  <c r="Q59" i="32"/>
  <c r="I59" i="32" s="1"/>
  <c r="AY65" i="32"/>
  <c r="AQ60" i="32"/>
  <c r="BR60" i="32" s="1"/>
  <c r="AQ67" i="32"/>
  <c r="BR67" i="32" s="1"/>
  <c r="AF73" i="32"/>
  <c r="AH73" i="32" s="1"/>
  <c r="AU73" i="32" s="1"/>
  <c r="AQ74" i="32"/>
  <c r="BR74" i="32" s="1"/>
  <c r="M84" i="32"/>
  <c r="AO84" i="32"/>
  <c r="AQ81" i="32"/>
  <c r="BR81" i="32" s="1"/>
  <c r="AQ82" i="32"/>
  <c r="BR82" i="32" s="1"/>
  <c r="M90" i="32"/>
  <c r="AO90" i="32"/>
  <c r="J96" i="32"/>
  <c r="AR91" i="32"/>
  <c r="AR95" i="32"/>
  <c r="AO299" i="32"/>
  <c r="BY101" i="32"/>
  <c r="AQ102" i="32"/>
  <c r="BR102" i="32" s="1"/>
  <c r="AY305" i="32"/>
  <c r="J113" i="32"/>
  <c r="Q115" i="32"/>
  <c r="I115" i="32" s="1"/>
  <c r="AP300" i="32"/>
  <c r="BW115" i="32"/>
  <c r="BW120" i="32" s="1"/>
  <c r="BZ121" i="32"/>
  <c r="AQ125" i="32"/>
  <c r="BR125" i="32" s="1"/>
  <c r="W137" i="32"/>
  <c r="AG132" i="32"/>
  <c r="BQ132" i="32" s="1"/>
  <c r="AY137" i="32"/>
  <c r="AR135" i="32"/>
  <c r="BP135" i="32"/>
  <c r="AS136" i="32"/>
  <c r="AS148" i="32"/>
  <c r="BQ148" i="32"/>
  <c r="BM149" i="32"/>
  <c r="BX149" i="32" s="1"/>
  <c r="J157" i="32"/>
  <c r="AS152" i="32"/>
  <c r="AS155" i="32"/>
  <c r="BZ165" i="32"/>
  <c r="BL171" i="32"/>
  <c r="AR192" i="32"/>
  <c r="AY195" i="32"/>
  <c r="BW199" i="32"/>
  <c r="AQ203" i="32"/>
  <c r="BR203" i="32" s="1"/>
  <c r="BS203" i="32"/>
  <c r="AS204" i="32"/>
  <c r="BT206" i="32"/>
  <c r="BM207" i="32"/>
  <c r="BX207" i="32" s="1"/>
  <c r="BY207" i="32"/>
  <c r="BQ212" i="32"/>
  <c r="AS212" i="32"/>
  <c r="BS253" i="32"/>
  <c r="AQ253" i="32"/>
  <c r="BR253" i="32" s="1"/>
  <c r="BT265" i="32"/>
  <c r="AQ265" i="32"/>
  <c r="BR265" i="32" s="1"/>
  <c r="AY276" i="32"/>
  <c r="BZ274" i="32"/>
  <c r="BZ276" i="32" s="1"/>
  <c r="BM274" i="32"/>
  <c r="BX274" i="32" s="1"/>
  <c r="BM287" i="32"/>
  <c r="BX287" i="32" s="1"/>
  <c r="BY287" i="32"/>
  <c r="BM288" i="32"/>
  <c r="BX288" i="32" s="1"/>
  <c r="BY288" i="32"/>
  <c r="AQ126" i="32"/>
  <c r="BR126" i="32" s="1"/>
  <c r="P128" i="32"/>
  <c r="I128" i="32" s="1"/>
  <c r="AQ129" i="32"/>
  <c r="BR129" i="32" s="1"/>
  <c r="AP137" i="32"/>
  <c r="BR132" i="32"/>
  <c r="AH163" i="32"/>
  <c r="P186" i="32"/>
  <c r="I186" i="32" s="1"/>
  <c r="P190" i="32"/>
  <c r="I190" i="32" s="1"/>
  <c r="P194" i="32"/>
  <c r="I194" i="32" s="1"/>
  <c r="AP205" i="32"/>
  <c r="AF209" i="32"/>
  <c r="AH223" i="32"/>
  <c r="AU223" i="32" s="1"/>
  <c r="AQ225" i="32"/>
  <c r="BR225" i="32" s="1"/>
  <c r="AS232" i="32"/>
  <c r="BL245" i="32"/>
  <c r="AQ243" i="32"/>
  <c r="BR243" i="32" s="1"/>
  <c r="AQ261" i="32"/>
  <c r="BR261" i="32" s="1"/>
  <c r="AQ287" i="32"/>
  <c r="BR287" i="32" s="1"/>
  <c r="BF296" i="32"/>
  <c r="V130" i="32"/>
  <c r="BS132" i="32"/>
  <c r="W157" i="32"/>
  <c r="AQ163" i="32"/>
  <c r="BR163" i="32" s="1"/>
  <c r="AO171" i="32"/>
  <c r="BS169" i="32"/>
  <c r="AY178" i="32"/>
  <c r="J178" i="32"/>
  <c r="AQ173" i="32"/>
  <c r="BR173" i="32" s="1"/>
  <c r="AQ175" i="32"/>
  <c r="BR175" i="32" s="1"/>
  <c r="AP195" i="32"/>
  <c r="BM208" i="32"/>
  <c r="BX208" i="32" s="1"/>
  <c r="AH213" i="32"/>
  <c r="V220" i="32"/>
  <c r="BK234" i="32"/>
  <c r="AQ257" i="32"/>
  <c r="BR257" i="32" s="1"/>
  <c r="AR261" i="32"/>
  <c r="M269" i="32"/>
  <c r="M276" i="32"/>
  <c r="BM273" i="32"/>
  <c r="BX273" i="32" s="1"/>
  <c r="AY283" i="32"/>
  <c r="AJ296" i="32"/>
  <c r="W295" i="32" s="1"/>
  <c r="BA296" i="32"/>
  <c r="BG296" i="32"/>
  <c r="M227" i="32"/>
  <c r="AO227" i="32"/>
  <c r="J234" i="32"/>
  <c r="M238" i="32"/>
  <c r="AP262" i="32"/>
  <c r="U296" i="32"/>
  <c r="AC296" i="32"/>
  <c r="R296" i="32"/>
  <c r="BJ296" i="32"/>
  <c r="AO130" i="32"/>
  <c r="J144" i="32"/>
  <c r="BK171" i="32"/>
  <c r="BM173" i="32"/>
  <c r="BX173" i="32" s="1"/>
  <c r="BM176" i="32"/>
  <c r="BX176" i="32" s="1"/>
  <c r="W188" i="32"/>
  <c r="BY184" i="32"/>
  <c r="BK195" i="32"/>
  <c r="AQ204" i="32"/>
  <c r="BR204" i="32" s="1"/>
  <c r="AH207" i="32"/>
  <c r="AU207" i="32" s="1"/>
  <c r="AQ208" i="32"/>
  <c r="BR208" i="32" s="1"/>
  <c r="BC214" i="32"/>
  <c r="AP227" i="32"/>
  <c r="BM222" i="32"/>
  <c r="M234" i="32"/>
  <c r="W234" i="32"/>
  <c r="AQ232" i="32"/>
  <c r="BR232" i="32" s="1"/>
  <c r="BS232" i="32"/>
  <c r="AH233" i="32"/>
  <c r="BZ239" i="32"/>
  <c r="BZ245" i="32" s="1"/>
  <c r="BK245" i="32"/>
  <c r="AP248" i="32"/>
  <c r="S255" i="32"/>
  <c r="AQ250" i="32"/>
  <c r="BR250" i="32" s="1"/>
  <c r="AH261" i="32"/>
  <c r="AU261" i="32" s="1"/>
  <c r="BT261" i="32"/>
  <c r="BT262" i="32" s="1"/>
  <c r="AR265" i="32"/>
  <c r="AQ267" i="32"/>
  <c r="BR267" i="32" s="1"/>
  <c r="BY273" i="32"/>
  <c r="L296" i="32"/>
  <c r="BY22" i="32"/>
  <c r="AH20" i="32"/>
  <c r="BQ21" i="32"/>
  <c r="AS21" i="32"/>
  <c r="BQ24" i="32"/>
  <c r="AS24" i="32"/>
  <c r="BP25" i="32"/>
  <c r="AR25" i="32"/>
  <c r="AH25" i="32"/>
  <c r="BQ28" i="32"/>
  <c r="AS28" i="32"/>
  <c r="AG31" i="32"/>
  <c r="BP29" i="32"/>
  <c r="AR29" i="32"/>
  <c r="AH29" i="32"/>
  <c r="BQ30" i="32"/>
  <c r="AS30" i="32"/>
  <c r="AH24" i="32"/>
  <c r="BQ25" i="32"/>
  <c r="AS25" i="32"/>
  <c r="BQ29" i="32"/>
  <c r="AS29" i="32"/>
  <c r="BP26" i="32"/>
  <c r="AR26" i="32"/>
  <c r="AH26" i="32"/>
  <c r="BQ26" i="32"/>
  <c r="AS26" i="32"/>
  <c r="BQ20" i="32"/>
  <c r="AS20" i="32"/>
  <c r="BP21" i="32"/>
  <c r="AR21" i="32"/>
  <c r="AH21" i="32"/>
  <c r="BM12" i="32"/>
  <c r="BS12" i="32"/>
  <c r="BY12" i="32"/>
  <c r="M13" i="32"/>
  <c r="S13" i="32"/>
  <c r="J297" i="32"/>
  <c r="W297" i="32"/>
  <c r="AQ14" i="32"/>
  <c r="BR14" i="32" s="1"/>
  <c r="AY297" i="32"/>
  <c r="S303" i="32"/>
  <c r="AO303" i="32"/>
  <c r="BM16" i="32"/>
  <c r="BS16" i="32"/>
  <c r="BY16" i="32"/>
  <c r="S17" i="32"/>
  <c r="AQ18" i="32"/>
  <c r="BM20" i="32"/>
  <c r="BX20" i="32" s="1"/>
  <c r="Q21" i="32"/>
  <c r="Q22" i="32" s="1"/>
  <c r="BT23" i="32"/>
  <c r="BZ23" i="32"/>
  <c r="BZ27" i="32" s="1"/>
  <c r="BM24" i="32"/>
  <c r="BX24" i="32" s="1"/>
  <c r="Q25" i="32"/>
  <c r="I25" i="32" s="1"/>
  <c r="P26" i="32"/>
  <c r="S31" i="32"/>
  <c r="BM28" i="32"/>
  <c r="BY28" i="32"/>
  <c r="Q29" i="32"/>
  <c r="AY35" i="32"/>
  <c r="AR33" i="32"/>
  <c r="AR37" i="32"/>
  <c r="AH42" i="32"/>
  <c r="BQ47" i="32"/>
  <c r="AS47" i="32"/>
  <c r="AH48" i="32"/>
  <c r="BP48" i="32"/>
  <c r="AR48" i="32"/>
  <c r="BT12" i="32"/>
  <c r="BZ12" i="32"/>
  <c r="AY13" i="32"/>
  <c r="BK13" i="32"/>
  <c r="M297" i="32"/>
  <c r="AR14" i="32"/>
  <c r="BP14" i="32"/>
  <c r="BT16" i="32"/>
  <c r="AY17" i="32"/>
  <c r="BK17" i="32"/>
  <c r="Q26" i="32"/>
  <c r="BT28" i="32"/>
  <c r="BT31" i="32" s="1"/>
  <c r="BY30" i="32"/>
  <c r="BM30" i="32"/>
  <c r="BX30" i="32" s="1"/>
  <c r="BY32" i="32"/>
  <c r="BM32" i="32"/>
  <c r="BK35" i="32"/>
  <c r="AS33" i="32"/>
  <c r="BQ33" i="32"/>
  <c r="AR34" i="32"/>
  <c r="BP34" i="32"/>
  <c r="BY36" i="32"/>
  <c r="BM36" i="32"/>
  <c r="BK39" i="32"/>
  <c r="AS37" i="32"/>
  <c r="AF43" i="32"/>
  <c r="BP40" i="32"/>
  <c r="AR40" i="32"/>
  <c r="BY43" i="32"/>
  <c r="BL13" i="32"/>
  <c r="AS14" i="32"/>
  <c r="BQ14" i="32"/>
  <c r="AR15" i="32"/>
  <c r="BP15" i="32"/>
  <c r="BL17" i="32"/>
  <c r="AS18" i="32"/>
  <c r="BQ18" i="32"/>
  <c r="AR19" i="32"/>
  <c r="BP19" i="32"/>
  <c r="BK22" i="32"/>
  <c r="AR23" i="32"/>
  <c r="BP23" i="32"/>
  <c r="BS26" i="32"/>
  <c r="M27" i="32"/>
  <c r="BY29" i="32"/>
  <c r="BM29" i="32"/>
  <c r="BX29" i="32" s="1"/>
  <c r="M35" i="32"/>
  <c r="AH33" i="32"/>
  <c r="AU33" i="32" s="1"/>
  <c r="BQ34" i="32"/>
  <c r="AS34" i="32"/>
  <c r="BZ36" i="32"/>
  <c r="BZ39" i="32" s="1"/>
  <c r="BL39" i="32"/>
  <c r="M39" i="32"/>
  <c r="AH37" i="32"/>
  <c r="AU37" i="32" s="1"/>
  <c r="BQ38" i="32"/>
  <c r="AS38" i="32"/>
  <c r="BQ51" i="32"/>
  <c r="AS51" i="32"/>
  <c r="AF12" i="32"/>
  <c r="J13" i="32"/>
  <c r="V13" i="32"/>
  <c r="AH14" i="32"/>
  <c r="AU14" i="32" s="1"/>
  <c r="P15" i="32"/>
  <c r="AG15" i="32"/>
  <c r="AF16" i="32"/>
  <c r="J17" i="32"/>
  <c r="V17" i="32"/>
  <c r="AO17" i="32"/>
  <c r="AS19" i="32"/>
  <c r="AR20" i="32"/>
  <c r="BP20" i="32"/>
  <c r="BL22" i="32"/>
  <c r="AS23" i="32"/>
  <c r="BQ23" i="32"/>
  <c r="AR24" i="32"/>
  <c r="BP24" i="32"/>
  <c r="AF27" i="32"/>
  <c r="BK27" i="32"/>
  <c r="AF31" i="32"/>
  <c r="AR28" i="32"/>
  <c r="BP28" i="32"/>
  <c r="W31" i="32"/>
  <c r="AH38" i="32"/>
  <c r="BP38" i="32"/>
  <c r="AR38" i="32"/>
  <c r="BP46" i="32"/>
  <c r="AR46" i="32"/>
  <c r="AH46" i="32"/>
  <c r="P12" i="32"/>
  <c r="AG12" i="32"/>
  <c r="BW12" i="32"/>
  <c r="W13" i="32"/>
  <c r="BM14" i="32"/>
  <c r="BS14" i="32"/>
  <c r="BY14" i="32"/>
  <c r="P16" i="32"/>
  <c r="AG16" i="32"/>
  <c r="BW16" i="32"/>
  <c r="BW17" i="32" s="1"/>
  <c r="AP17" i="32"/>
  <c r="BM18" i="32"/>
  <c r="BS18" i="32"/>
  <c r="P20" i="32"/>
  <c r="Q23" i="32"/>
  <c r="P24" i="32"/>
  <c r="P28" i="32"/>
  <c r="I28" i="32" s="1"/>
  <c r="BW28" i="32"/>
  <c r="BW31" i="32" s="1"/>
  <c r="Q30" i="32"/>
  <c r="I30" i="32" s="1"/>
  <c r="AH30" i="32"/>
  <c r="AU30" i="32" s="1"/>
  <c r="BP30" i="32"/>
  <c r="J31" i="32"/>
  <c r="AF35" i="32"/>
  <c r="BP32" i="32"/>
  <c r="AR32" i="32"/>
  <c r="BY33" i="32"/>
  <c r="BM33" i="32"/>
  <c r="BX33" i="32" s="1"/>
  <c r="Q34" i="32"/>
  <c r="P34" i="32"/>
  <c r="BY37" i="32"/>
  <c r="BM37" i="32"/>
  <c r="BX37" i="32" s="1"/>
  <c r="BQ46" i="32"/>
  <c r="AS46" i="32"/>
  <c r="Q12" i="32"/>
  <c r="BT14" i="32"/>
  <c r="BZ14" i="32"/>
  <c r="BM15" i="32"/>
  <c r="BX15" i="32" s="1"/>
  <c r="Q16" i="32"/>
  <c r="Q17" i="32" s="1"/>
  <c r="BT18" i="32"/>
  <c r="BT22" i="32" s="1"/>
  <c r="BM19" i="32"/>
  <c r="BX19" i="32" s="1"/>
  <c r="BM23" i="32"/>
  <c r="BS23" i="32"/>
  <c r="AH28" i="32"/>
  <c r="P29" i="32"/>
  <c r="BW35" i="32"/>
  <c r="J35" i="32"/>
  <c r="BL35" i="32"/>
  <c r="BQ42" i="32"/>
  <c r="AS42" i="32"/>
  <c r="AQ29" i="32"/>
  <c r="BR29" i="32" s="1"/>
  <c r="AQ33" i="32"/>
  <c r="BR33" i="32" s="1"/>
  <c r="AQ37" i="32"/>
  <c r="AQ41" i="32"/>
  <c r="BK43" i="32"/>
  <c r="AF44" i="32"/>
  <c r="J45" i="32"/>
  <c r="P45" i="32"/>
  <c r="AO45" i="32"/>
  <c r="Q46" i="32"/>
  <c r="I46" i="32" s="1"/>
  <c r="AQ49" i="32"/>
  <c r="BR49" i="32" s="1"/>
  <c r="V304" i="32"/>
  <c r="AP304" i="32"/>
  <c r="BT50" i="32"/>
  <c r="BZ50" i="32"/>
  <c r="BM51" i="32"/>
  <c r="BX51" i="32" s="1"/>
  <c r="AG58" i="32"/>
  <c r="AS54" i="32"/>
  <c r="BQ57" i="32"/>
  <c r="BQ58" i="32" s="1"/>
  <c r="AS57" i="32"/>
  <c r="BQ63" i="32"/>
  <c r="AS63" i="32"/>
  <c r="Q64" i="32"/>
  <c r="P64" i="32"/>
  <c r="Q68" i="32"/>
  <c r="P68" i="32"/>
  <c r="BQ69" i="32"/>
  <c r="AS69" i="32"/>
  <c r="W77" i="32"/>
  <c r="AG72" i="32"/>
  <c r="W84" i="32"/>
  <c r="BK84" i="32"/>
  <c r="BY78" i="32"/>
  <c r="BY84" i="32" s="1"/>
  <c r="BM78" i="32"/>
  <c r="BX78" i="32" s="1"/>
  <c r="BS82" i="32"/>
  <c r="BP83" i="32"/>
  <c r="AR83" i="32"/>
  <c r="AR41" i="32"/>
  <c r="BP41" i="32"/>
  <c r="BL43" i="32"/>
  <c r="BS46" i="32"/>
  <c r="AS48" i="32"/>
  <c r="AR49" i="32"/>
  <c r="BP49" i="32"/>
  <c r="AH55" i="32"/>
  <c r="BP55" i="32"/>
  <c r="AR55" i="32"/>
  <c r="AH56" i="32"/>
  <c r="BP56" i="32"/>
  <c r="AR56" i="32"/>
  <c r="AH60" i="32"/>
  <c r="BP60" i="32"/>
  <c r="AR60" i="32"/>
  <c r="AP71" i="32"/>
  <c r="BW71" i="32"/>
  <c r="BQ67" i="32"/>
  <c r="AS67" i="32"/>
  <c r="AS74" i="32"/>
  <c r="AR75" i="32"/>
  <c r="BP75" i="32"/>
  <c r="AG84" i="32"/>
  <c r="AR79" i="32"/>
  <c r="BP79" i="32"/>
  <c r="AH80" i="32"/>
  <c r="BP80" i="32"/>
  <c r="AR80" i="32"/>
  <c r="BQ83" i="32"/>
  <c r="AS83" i="32"/>
  <c r="J39" i="32"/>
  <c r="AS41" i="32"/>
  <c r="AR42" i="32"/>
  <c r="BP42" i="32"/>
  <c r="J43" i="32"/>
  <c r="BT46" i="32"/>
  <c r="BM47" i="32"/>
  <c r="BS47" i="32"/>
  <c r="AS49" i="32"/>
  <c r="AR50" i="32"/>
  <c r="BP50" i="32"/>
  <c r="BO51" i="32"/>
  <c r="AO52" i="32"/>
  <c r="AO58" i="32"/>
  <c r="AQ53" i="32"/>
  <c r="BQ60" i="32"/>
  <c r="AS60" i="32"/>
  <c r="BT69" i="32"/>
  <c r="BQ70" i="32"/>
  <c r="AS70" i="32"/>
  <c r="Q72" i="32"/>
  <c r="P72" i="32"/>
  <c r="J77" i="32"/>
  <c r="BP74" i="32"/>
  <c r="AR74" i="32"/>
  <c r="AH74" i="32"/>
  <c r="AH76" i="32"/>
  <c r="BQ76" i="32"/>
  <c r="AS76" i="32"/>
  <c r="BQ80" i="32"/>
  <c r="AS80" i="32"/>
  <c r="BT81" i="32"/>
  <c r="AS86" i="32"/>
  <c r="BQ86" i="32"/>
  <c r="AH87" i="32"/>
  <c r="BP87" i="32"/>
  <c r="AR87" i="32"/>
  <c r="BP88" i="32"/>
  <c r="AH88" i="32"/>
  <c r="AR88" i="32"/>
  <c r="AT88" i="32" s="1"/>
  <c r="BS32" i="32"/>
  <c r="BS35" i="32" s="1"/>
  <c r="BS36" i="32"/>
  <c r="BS39" i="32" s="1"/>
  <c r="P38" i="32"/>
  <c r="AP39" i="32"/>
  <c r="BM40" i="32"/>
  <c r="BS40" i="32"/>
  <c r="P42" i="32"/>
  <c r="I42" i="32" s="1"/>
  <c r="AP43" i="32"/>
  <c r="BM44" i="32"/>
  <c r="BS44" i="32"/>
  <c r="BS45" i="32" s="1"/>
  <c r="BY44" i="32"/>
  <c r="BY45" i="32" s="1"/>
  <c r="BT47" i="32"/>
  <c r="BZ47" i="32"/>
  <c r="BM48" i="32"/>
  <c r="BX48" i="32" s="1"/>
  <c r="P50" i="32"/>
  <c r="AG50" i="32"/>
  <c r="AG52" i="32" s="1"/>
  <c r="AR51" i="32"/>
  <c r="BP51" i="32"/>
  <c r="J52" i="32"/>
  <c r="V52" i="32"/>
  <c r="BL58" i="32"/>
  <c r="BZ53" i="32"/>
  <c r="BZ58" i="32" s="1"/>
  <c r="AF59" i="32"/>
  <c r="V65" i="32"/>
  <c r="BP66" i="32"/>
  <c r="AR66" i="32"/>
  <c r="AF71" i="32"/>
  <c r="AY71" i="32"/>
  <c r="AH68" i="32"/>
  <c r="AU68" i="32" s="1"/>
  <c r="BP68" i="32"/>
  <c r="AR68" i="32"/>
  <c r="AH70" i="32"/>
  <c r="M71" i="32"/>
  <c r="BQ73" i="32"/>
  <c r="AS73" i="32"/>
  <c r="BY74" i="32"/>
  <c r="BM74" i="32"/>
  <c r="BX74" i="32" s="1"/>
  <c r="AP84" i="32"/>
  <c r="BW84" i="32"/>
  <c r="BQ79" i="32"/>
  <c r="AS79" i="32"/>
  <c r="BQ82" i="32"/>
  <c r="AS82" i="32"/>
  <c r="BZ83" i="32"/>
  <c r="BZ84" i="32" s="1"/>
  <c r="BM83" i="32"/>
  <c r="BX83" i="32" s="1"/>
  <c r="BQ87" i="32"/>
  <c r="AS87" i="32"/>
  <c r="BQ92" i="32"/>
  <c r="AS92" i="32"/>
  <c r="AH93" i="32"/>
  <c r="BQ93" i="32"/>
  <c r="AS93" i="32"/>
  <c r="BM41" i="32"/>
  <c r="BX41" i="32" s="1"/>
  <c r="BZ44" i="32"/>
  <c r="BZ45" i="32" s="1"/>
  <c r="J298" i="32"/>
  <c r="W298" i="32"/>
  <c r="AQ47" i="32"/>
  <c r="BM49" i="32"/>
  <c r="BX49" i="32" s="1"/>
  <c r="Q50" i="32"/>
  <c r="P51" i="32"/>
  <c r="W52" i="32"/>
  <c r="V58" i="32"/>
  <c r="BM53" i="32"/>
  <c r="BY53" i="32"/>
  <c r="BQ59" i="32"/>
  <c r="AS59" i="32"/>
  <c r="BS60" i="32"/>
  <c r="BP61" i="32"/>
  <c r="AR61" i="32"/>
  <c r="BY62" i="32"/>
  <c r="BM62" i="32"/>
  <c r="BX62" i="32" s="1"/>
  <c r="BP63" i="32"/>
  <c r="BQ64" i="32"/>
  <c r="AS64" i="32"/>
  <c r="BY66" i="32"/>
  <c r="BY71" i="32" s="1"/>
  <c r="BM66" i="32"/>
  <c r="BK71" i="32"/>
  <c r="BP67" i="32"/>
  <c r="BQ68" i="32"/>
  <c r="AS68" i="32"/>
  <c r="AY77" i="32"/>
  <c r="BW72" i="32"/>
  <c r="BW77" i="32" s="1"/>
  <c r="Q76" i="32"/>
  <c r="P76" i="32"/>
  <c r="Q80" i="32"/>
  <c r="P80" i="32"/>
  <c r="AH81" i="32"/>
  <c r="BP81" i="32"/>
  <c r="AR81" i="32"/>
  <c r="AH82" i="32"/>
  <c r="BM34" i="32"/>
  <c r="BX34" i="32" s="1"/>
  <c r="BM38" i="32"/>
  <c r="BX38" i="32" s="1"/>
  <c r="BM42" i="32"/>
  <c r="BX42" i="32" s="1"/>
  <c r="BW46" i="32"/>
  <c r="AF47" i="32"/>
  <c r="BM50" i="32"/>
  <c r="BX50" i="32" s="1"/>
  <c r="BS50" i="32"/>
  <c r="BY50" i="32"/>
  <c r="BP57" i="32"/>
  <c r="AR57" i="32"/>
  <c r="BQ61" i="32"/>
  <c r="AS61" i="32"/>
  <c r="BZ71" i="32"/>
  <c r="AR67" i="32"/>
  <c r="AH69" i="32"/>
  <c r="BP69" i="32"/>
  <c r="AR69" i="32"/>
  <c r="V77" i="32"/>
  <c r="AQ73" i="32"/>
  <c r="BR73" i="32" s="1"/>
  <c r="BS73" i="32"/>
  <c r="BZ73" i="32"/>
  <c r="BZ77" i="32" s="1"/>
  <c r="BP78" i="32"/>
  <c r="AR78" i="32"/>
  <c r="AF84" i="32"/>
  <c r="AH78" i="32"/>
  <c r="AH94" i="32"/>
  <c r="BP94" i="32"/>
  <c r="AR94" i="32"/>
  <c r="BT85" i="32"/>
  <c r="BT90" i="32" s="1"/>
  <c r="W96" i="32"/>
  <c r="AG91" i="32"/>
  <c r="AH91" i="32" s="1"/>
  <c r="AU91" i="32" s="1"/>
  <c r="BQ95" i="32"/>
  <c r="AS95" i="32"/>
  <c r="V96" i="32"/>
  <c r="BY97" i="32"/>
  <c r="BM97" i="32"/>
  <c r="AH106" i="32"/>
  <c r="BP106" i="32"/>
  <c r="AR106" i="32"/>
  <c r="AY107" i="32"/>
  <c r="BK107" i="32"/>
  <c r="BK305" i="32"/>
  <c r="BK109" i="32"/>
  <c r="BY108" i="32"/>
  <c r="BM108" i="32"/>
  <c r="BX108" i="32" s="1"/>
  <c r="S120" i="32"/>
  <c r="BQ119" i="32"/>
  <c r="AS119" i="32"/>
  <c r="AY120" i="32"/>
  <c r="AH122" i="32"/>
  <c r="AU122" i="32" s="1"/>
  <c r="BP122" i="32"/>
  <c r="AR122" i="32"/>
  <c r="AF130" i="32"/>
  <c r="Q126" i="32"/>
  <c r="P126" i="32"/>
  <c r="BS141" i="32"/>
  <c r="AQ141" i="32"/>
  <c r="BR141" i="32" s="1"/>
  <c r="AH168" i="32"/>
  <c r="AR168" i="32"/>
  <c r="BP168" i="32"/>
  <c r="AH174" i="32"/>
  <c r="AR174" i="32"/>
  <c r="BP174" i="32"/>
  <c r="BP177" i="32"/>
  <c r="AH177" i="32"/>
  <c r="AU177" i="32" s="1"/>
  <c r="AR177" i="32"/>
  <c r="AQ55" i="32"/>
  <c r="BR55" i="32" s="1"/>
  <c r="BM57" i="32"/>
  <c r="BX57" i="32" s="1"/>
  <c r="BS57" i="32"/>
  <c r="AQ59" i="32"/>
  <c r="BR59" i="32" s="1"/>
  <c r="BM61" i="32"/>
  <c r="BX61" i="32" s="1"/>
  <c r="Q62" i="32"/>
  <c r="I62" i="32" s="1"/>
  <c r="AH62" i="32"/>
  <c r="AU62" i="32" s="1"/>
  <c r="P63" i="32"/>
  <c r="AR64" i="32"/>
  <c r="BP64" i="32"/>
  <c r="AO65" i="32"/>
  <c r="Q66" i="32"/>
  <c r="I66" i="32" s="1"/>
  <c r="P67" i="32"/>
  <c r="AF72" i="32"/>
  <c r="AS75" i="32"/>
  <c r="AR76" i="32"/>
  <c r="AO77" i="32"/>
  <c r="Q78" i="32"/>
  <c r="P79" i="32"/>
  <c r="J90" i="32"/>
  <c r="AQ85" i="32"/>
  <c r="BR85" i="32" s="1"/>
  <c r="BK86" i="32"/>
  <c r="AQ88" i="32"/>
  <c r="BR88" i="32" s="1"/>
  <c r="AS89" i="32"/>
  <c r="BM89" i="32"/>
  <c r="BX89" i="32" s="1"/>
  <c r="AF96" i="32"/>
  <c r="AY96" i="32"/>
  <c r="BW91" i="32"/>
  <c r="BW96" i="32" s="1"/>
  <c r="BP91" i="32"/>
  <c r="P92" i="32"/>
  <c r="AS94" i="32"/>
  <c r="AH95" i="32"/>
  <c r="AU95" i="32" s="1"/>
  <c r="BP95" i="32"/>
  <c r="BL96" i="32"/>
  <c r="AP107" i="32"/>
  <c r="AH98" i="32"/>
  <c r="AU98" i="32" s="1"/>
  <c r="AR99" i="32"/>
  <c r="Q100" i="32"/>
  <c r="P100" i="32"/>
  <c r="BY103" i="32"/>
  <c r="BM103" i="32"/>
  <c r="BX103" i="32" s="1"/>
  <c r="BQ106" i="32"/>
  <c r="AS106" i="32"/>
  <c r="BL107" i="32"/>
  <c r="AO113" i="32"/>
  <c r="AQ110" i="32"/>
  <c r="BQ112" i="32"/>
  <c r="AH118" i="32"/>
  <c r="BP118" i="32"/>
  <c r="AR118" i="32"/>
  <c r="BQ122" i="32"/>
  <c r="AS122" i="32"/>
  <c r="BT131" i="32"/>
  <c r="BQ135" i="32"/>
  <c r="AS135" i="32"/>
  <c r="AG157" i="32"/>
  <c r="BQ151" i="32"/>
  <c r="AS151" i="32"/>
  <c r="M157" i="32"/>
  <c r="AH152" i="32"/>
  <c r="AR152" i="32"/>
  <c r="Q153" i="32"/>
  <c r="P153" i="32"/>
  <c r="BS153" i="32"/>
  <c r="AO157" i="32"/>
  <c r="AQ153" i="32"/>
  <c r="BR153" i="32" s="1"/>
  <c r="BP161" i="32"/>
  <c r="AR161" i="32"/>
  <c r="AH161" i="32"/>
  <c r="AU161" i="32" s="1"/>
  <c r="AP188" i="32"/>
  <c r="AQ183" i="32"/>
  <c r="BT183" i="32"/>
  <c r="BQ193" i="32"/>
  <c r="AS193" i="32"/>
  <c r="BT53" i="32"/>
  <c r="BT58" i="32" s="1"/>
  <c r="BS62" i="32"/>
  <c r="Q63" i="32"/>
  <c r="W65" i="32"/>
  <c r="BS66" i="32"/>
  <c r="BL71" i="32"/>
  <c r="BS74" i="32"/>
  <c r="AP77" i="32"/>
  <c r="BS78" i="32"/>
  <c r="Q79" i="32"/>
  <c r="AF85" i="32"/>
  <c r="P87" i="32"/>
  <c r="BQ88" i="32"/>
  <c r="AH89" i="32"/>
  <c r="BP89" i="32"/>
  <c r="AR89" i="32"/>
  <c r="Q91" i="32"/>
  <c r="P91" i="32"/>
  <c r="BS91" i="32"/>
  <c r="BS92" i="32"/>
  <c r="P93" i="32"/>
  <c r="Q95" i="32"/>
  <c r="P95" i="32"/>
  <c r="BS95" i="32"/>
  <c r="BP97" i="32"/>
  <c r="AR97" i="32"/>
  <c r="W299" i="32"/>
  <c r="AG99" i="32"/>
  <c r="AH99" i="32" s="1"/>
  <c r="AU99" i="32" s="1"/>
  <c r="AY299" i="32"/>
  <c r="BW99" i="32"/>
  <c r="BW299" i="32" s="1"/>
  <c r="AO302" i="32"/>
  <c r="AQ101" i="32"/>
  <c r="P109" i="32"/>
  <c r="BS110" i="32"/>
  <c r="BQ114" i="32"/>
  <c r="AS114" i="32"/>
  <c r="AG120" i="32"/>
  <c r="BY116" i="32"/>
  <c r="BM116" i="32"/>
  <c r="BX116" i="32" s="1"/>
  <c r="BQ118" i="32"/>
  <c r="AS118" i="32"/>
  <c r="M130" i="32"/>
  <c r="V137" i="32"/>
  <c r="AF131" i="32"/>
  <c r="AH135" i="32"/>
  <c r="AH143" i="32"/>
  <c r="AR143" i="32"/>
  <c r="BP143" i="32"/>
  <c r="AY150" i="32"/>
  <c r="BW147" i="32"/>
  <c r="BW150" i="32" s="1"/>
  <c r="AH148" i="32"/>
  <c r="BP148" i="32"/>
  <c r="AR149" i="32"/>
  <c r="BP149" i="32"/>
  <c r="AH149" i="32"/>
  <c r="AU149" i="32" s="1"/>
  <c r="BP154" i="32"/>
  <c r="AR154" i="32"/>
  <c r="AH154" i="32"/>
  <c r="AU154" i="32" s="1"/>
  <c r="BY204" i="32"/>
  <c r="BY205" i="32" s="1"/>
  <c r="BM204" i="32"/>
  <c r="BX204" i="32" s="1"/>
  <c r="AS55" i="32"/>
  <c r="BW59" i="32"/>
  <c r="BW65" i="32" s="1"/>
  <c r="BM63" i="32"/>
  <c r="BX63" i="32" s="1"/>
  <c r="BT66" i="32"/>
  <c r="BM67" i="32"/>
  <c r="BX67" i="32" s="1"/>
  <c r="BS67" i="32"/>
  <c r="P69" i="32"/>
  <c r="AR70" i="32"/>
  <c r="BP70" i="32"/>
  <c r="J71" i="32"/>
  <c r="V71" i="32"/>
  <c r="AO71" i="32"/>
  <c r="BS75" i="32"/>
  <c r="BT78" i="32"/>
  <c r="BS79" i="32"/>
  <c r="AS81" i="32"/>
  <c r="AR82" i="32"/>
  <c r="BP82" i="32"/>
  <c r="BL84" i="32"/>
  <c r="AW298" i="32"/>
  <c r="AW296" i="32" s="1"/>
  <c r="AW90" i="32"/>
  <c r="Q87" i="32"/>
  <c r="BT96" i="32"/>
  <c r="BK92" i="32"/>
  <c r="BK96" i="32" s="1"/>
  <c r="BC96" i="32"/>
  <c r="Q93" i="32"/>
  <c r="AO96" i="32"/>
  <c r="J107" i="32"/>
  <c r="BY98" i="32"/>
  <c r="BM98" i="32"/>
  <c r="BX98" i="32" s="1"/>
  <c r="AF299" i="32"/>
  <c r="BQ105" i="32"/>
  <c r="AS105" i="32"/>
  <c r="Q106" i="32"/>
  <c r="P106" i="32"/>
  <c r="BW109" i="32"/>
  <c r="S113" i="32"/>
  <c r="BP111" i="32"/>
  <c r="AR111" i="32"/>
  <c r="M120" i="32"/>
  <c r="M124" i="32"/>
  <c r="BT124" i="32"/>
  <c r="Q122" i="32"/>
  <c r="P122" i="32"/>
  <c r="BP125" i="32"/>
  <c r="AH126" i="32"/>
  <c r="AU126" i="32" s="1"/>
  <c r="BP126" i="32"/>
  <c r="AR126" i="32"/>
  <c r="AH127" i="32"/>
  <c r="BP127" i="32"/>
  <c r="AR127" i="32"/>
  <c r="AS138" i="32"/>
  <c r="AG139" i="32"/>
  <c r="AG144" i="32" s="1"/>
  <c r="W144" i="32"/>
  <c r="AS140" i="32"/>
  <c r="BQ140" i="32"/>
  <c r="BY142" i="32"/>
  <c r="BM142" i="32"/>
  <c r="BX142" i="32" s="1"/>
  <c r="BY148" i="32"/>
  <c r="BM148" i="32"/>
  <c r="BX148" i="32" s="1"/>
  <c r="P149" i="32"/>
  <c r="Q149" i="32"/>
  <c r="AF53" i="32"/>
  <c r="BM54" i="32"/>
  <c r="BX54" i="32" s="1"/>
  <c r="BS54" i="32"/>
  <c r="AS56" i="32"/>
  <c r="BM64" i="32"/>
  <c r="BX64" i="32" s="1"/>
  <c r="BM68" i="32"/>
  <c r="BX68" i="32" s="1"/>
  <c r="P70" i="32"/>
  <c r="I70" i="32" s="1"/>
  <c r="BM72" i="32"/>
  <c r="BY72" i="32"/>
  <c r="BM76" i="32"/>
  <c r="BX76" i="32" s="1"/>
  <c r="AQ78" i="32"/>
  <c r="BM80" i="32"/>
  <c r="BX80" i="32" s="1"/>
  <c r="P82" i="32"/>
  <c r="V84" i="32"/>
  <c r="Q85" i="32"/>
  <c r="BL90" i="32"/>
  <c r="P86" i="32"/>
  <c r="AY86" i="32"/>
  <c r="BM87" i="32"/>
  <c r="BX87" i="32" s="1"/>
  <c r="AQ91" i="32"/>
  <c r="BZ96" i="32"/>
  <c r="BY93" i="32"/>
  <c r="BM93" i="32"/>
  <c r="BX93" i="32" s="1"/>
  <c r="AQ94" i="32"/>
  <c r="BR94" i="32" s="1"/>
  <c r="AQ95" i="32"/>
  <c r="BR95" i="32" s="1"/>
  <c r="M96" i="32"/>
  <c r="M107" i="32"/>
  <c r="AG97" i="32"/>
  <c r="AH97" i="32" s="1"/>
  <c r="J299" i="32"/>
  <c r="Q99" i="32"/>
  <c r="P99" i="32"/>
  <c r="AH100" i="32"/>
  <c r="AU100" i="32" s="1"/>
  <c r="BP100" i="32"/>
  <c r="BP299" i="32" s="1"/>
  <c r="AR100" i="32"/>
  <c r="S302" i="32"/>
  <c r="BY104" i="32"/>
  <c r="BM104" i="32"/>
  <c r="BX104" i="32" s="1"/>
  <c r="AH105" i="32"/>
  <c r="AQ106" i="32"/>
  <c r="BR106" i="32" s="1"/>
  <c r="AS108" i="32"/>
  <c r="AO120" i="32"/>
  <c r="AQ114" i="32"/>
  <c r="BL300" i="32"/>
  <c r="BZ115" i="32"/>
  <c r="BQ117" i="32"/>
  <c r="AS117" i="32"/>
  <c r="Q118" i="32"/>
  <c r="P118" i="32"/>
  <c r="AH123" i="32"/>
  <c r="BP123" i="32"/>
  <c r="AR123" i="32"/>
  <c r="AR125" i="32"/>
  <c r="BQ126" i="32"/>
  <c r="AS126" i="32"/>
  <c r="AV129" i="32"/>
  <c r="BV129" i="32" s="1"/>
  <c r="BY134" i="32"/>
  <c r="BM134" i="32"/>
  <c r="BX134" i="32" s="1"/>
  <c r="AO144" i="32"/>
  <c r="AR141" i="32"/>
  <c r="AS142" i="32"/>
  <c r="V150" i="32"/>
  <c r="BP152" i="32"/>
  <c r="AH160" i="32"/>
  <c r="BP160" i="32"/>
  <c r="AR160" i="32"/>
  <c r="M164" i="32"/>
  <c r="BY59" i="32"/>
  <c r="AR62" i="32"/>
  <c r="BM69" i="32"/>
  <c r="BX69" i="32" s="1"/>
  <c r="BM81" i="32"/>
  <c r="BX81" i="32" s="1"/>
  <c r="BM85" i="32"/>
  <c r="BX85" i="32" s="1"/>
  <c r="BS85" i="32"/>
  <c r="Q86" i="32"/>
  <c r="BM88" i="32"/>
  <c r="BX88" i="32" s="1"/>
  <c r="AQ89" i="32"/>
  <c r="BR89" i="32" s="1"/>
  <c r="AH92" i="32"/>
  <c r="AU92" i="32" s="1"/>
  <c r="AR92" i="32"/>
  <c r="BY94" i="32"/>
  <c r="BM94" i="32"/>
  <c r="BX94" i="32" s="1"/>
  <c r="P97" i="32"/>
  <c r="M299" i="32"/>
  <c r="BQ100" i="32"/>
  <c r="AS100" i="32"/>
  <c r="V302" i="32"/>
  <c r="AF101" i="32"/>
  <c r="AF107" i="32" s="1"/>
  <c r="BS101" i="32"/>
  <c r="BS302" i="32" s="1"/>
  <c r="Q105" i="32"/>
  <c r="P105" i="32"/>
  <c r="AH110" i="32"/>
  <c r="AG113" i="32"/>
  <c r="BQ110" i="32"/>
  <c r="AS110" i="32"/>
  <c r="BY112" i="32"/>
  <c r="BM112" i="32"/>
  <c r="BX112" i="32" s="1"/>
  <c r="AH117" i="32"/>
  <c r="AH119" i="32"/>
  <c r="BP119" i="32"/>
  <c r="AR119" i="32"/>
  <c r="BK120" i="32"/>
  <c r="BQ123" i="32"/>
  <c r="AS123" i="32"/>
  <c r="AY124" i="32"/>
  <c r="AY130" i="32"/>
  <c r="AQ131" i="32"/>
  <c r="S144" i="32"/>
  <c r="AP144" i="32"/>
  <c r="BT138" i="32"/>
  <c r="BZ139" i="32"/>
  <c r="BZ144" i="32" s="1"/>
  <c r="BM139" i="32"/>
  <c r="BX139" i="32" s="1"/>
  <c r="BS150" i="32"/>
  <c r="AH151" i="32"/>
  <c r="AU151" i="32" s="1"/>
  <c r="AQ172" i="32"/>
  <c r="BR172" i="32" s="1"/>
  <c r="BS172" i="32"/>
  <c r="AO178" i="32"/>
  <c r="BP196" i="32"/>
  <c r="AR196" i="32"/>
  <c r="AP96" i="32"/>
  <c r="BS97" i="32"/>
  <c r="Q104" i="32"/>
  <c r="V107" i="32"/>
  <c r="Q108" i="32"/>
  <c r="BZ110" i="32"/>
  <c r="BZ113" i="32" s="1"/>
  <c r="BM111" i="32"/>
  <c r="BX111" i="32" s="1"/>
  <c r="BY111" i="32"/>
  <c r="Q112" i="32"/>
  <c r="I112" i="32" s="1"/>
  <c r="AH112" i="32"/>
  <c r="BT114" i="32"/>
  <c r="BZ114" i="32"/>
  <c r="S300" i="32"/>
  <c r="AO300" i="32"/>
  <c r="BM115" i="32"/>
  <c r="BS115" i="32"/>
  <c r="Q116" i="32"/>
  <c r="AH116" i="32"/>
  <c r="AU116" i="32" s="1"/>
  <c r="P117" i="32"/>
  <c r="AQ119" i="32"/>
  <c r="BR119" i="32" s="1"/>
  <c r="P121" i="32"/>
  <c r="AG121" i="32"/>
  <c r="AQ123" i="32"/>
  <c r="BR123" i="32" s="1"/>
  <c r="P125" i="32"/>
  <c r="AG125" i="32"/>
  <c r="AH125" i="32" s="1"/>
  <c r="AU125" i="32" s="1"/>
  <c r="BW125" i="32"/>
  <c r="BW130" i="32" s="1"/>
  <c r="AQ127" i="32"/>
  <c r="BM129" i="32"/>
  <c r="BX129" i="32" s="1"/>
  <c r="S130" i="32"/>
  <c r="J137" i="32"/>
  <c r="BM133" i="32"/>
  <c r="BX133" i="32" s="1"/>
  <c r="Q134" i="32"/>
  <c r="I134" i="32" s="1"/>
  <c r="AH134" i="32"/>
  <c r="AU134" i="32" s="1"/>
  <c r="P135" i="32"/>
  <c r="Q136" i="32"/>
  <c r="AR138" i="32"/>
  <c r="BS138" i="32"/>
  <c r="P139" i="32"/>
  <c r="I139" i="32" s="1"/>
  <c r="P140" i="32"/>
  <c r="AH140" i="32"/>
  <c r="BP142" i="32"/>
  <c r="AR142" i="32"/>
  <c r="W146" i="32"/>
  <c r="AG145" i="32"/>
  <c r="AR145" i="32"/>
  <c r="AP150" i="32"/>
  <c r="BK150" i="32"/>
  <c r="BY147" i="32"/>
  <c r="BM147" i="32"/>
  <c r="BT147" i="32"/>
  <c r="J150" i="32"/>
  <c r="P151" i="32"/>
  <c r="AY157" i="32"/>
  <c r="BQ154" i="32"/>
  <c r="AS154" i="32"/>
  <c r="AH155" i="32"/>
  <c r="BP155" i="32"/>
  <c r="AR155" i="32"/>
  <c r="AR156" i="32"/>
  <c r="BQ161" i="32"/>
  <c r="AS161" i="32"/>
  <c r="AS162" i="32"/>
  <c r="AR163" i="32"/>
  <c r="BT170" i="32"/>
  <c r="AQ170" i="32"/>
  <c r="BR170" i="32" s="1"/>
  <c r="S178" i="32"/>
  <c r="BY173" i="32"/>
  <c r="Q175" i="32"/>
  <c r="P175" i="32"/>
  <c r="AQ176" i="32"/>
  <c r="BR176" i="32" s="1"/>
  <c r="BS176" i="32"/>
  <c r="BZ182" i="32"/>
  <c r="AS180" i="32"/>
  <c r="BP190" i="32"/>
  <c r="AR190" i="32"/>
  <c r="AF195" i="32"/>
  <c r="AH190" i="32"/>
  <c r="AU190" i="32" s="1"/>
  <c r="V199" i="32"/>
  <c r="AF197" i="32"/>
  <c r="V214" i="32"/>
  <c r="AF206" i="32"/>
  <c r="AR208" i="32"/>
  <c r="BP208" i="32"/>
  <c r="AH208" i="32"/>
  <c r="BM223" i="32"/>
  <c r="BX223" i="32" s="1"/>
  <c r="BY223" i="32"/>
  <c r="AS247" i="32"/>
  <c r="BQ247" i="32"/>
  <c r="BS94" i="32"/>
  <c r="BT97" i="32"/>
  <c r="BS98" i="32"/>
  <c r="BL299" i="32"/>
  <c r="BS108" i="32"/>
  <c r="M109" i="32"/>
  <c r="S109" i="32"/>
  <c r="BS112" i="32"/>
  <c r="BT115" i="32"/>
  <c r="Q117" i="32"/>
  <c r="J120" i="32"/>
  <c r="Q121" i="32"/>
  <c r="J124" i="32"/>
  <c r="AO124" i="32"/>
  <c r="Q125" i="32"/>
  <c r="BK130" i="32"/>
  <c r="M137" i="32"/>
  <c r="Q135" i="32"/>
  <c r="BY136" i="32"/>
  <c r="BM136" i="32"/>
  <c r="BX136" i="32" s="1"/>
  <c r="BL144" i="32"/>
  <c r="Q140" i="32"/>
  <c r="AW144" i="32"/>
  <c r="AY140" i="32"/>
  <c r="BW140" i="32" s="1"/>
  <c r="BW144" i="32" s="1"/>
  <c r="BP140" i="32"/>
  <c r="BY140" i="32"/>
  <c r="AQ143" i="32"/>
  <c r="BR143" i="32" s="1"/>
  <c r="P145" i="32"/>
  <c r="S146" i="32"/>
  <c r="AF150" i="32"/>
  <c r="BP147" i="32"/>
  <c r="AR147" i="32"/>
  <c r="Q151" i="32"/>
  <c r="BK157" i="32"/>
  <c r="BY151" i="32"/>
  <c r="BM151" i="32"/>
  <c r="BW157" i="32"/>
  <c r="AQ152" i="32"/>
  <c r="BR152" i="32" s="1"/>
  <c r="P154" i="32"/>
  <c r="I154" i="32" s="1"/>
  <c r="BP156" i="32"/>
  <c r="S157" i="32"/>
  <c r="AS159" i="32"/>
  <c r="P161" i="32"/>
  <c r="I161" i="32" s="1"/>
  <c r="BP162" i="32"/>
  <c r="AR162" i="32"/>
  <c r="AH162" i="32"/>
  <c r="BP163" i="32"/>
  <c r="S164" i="32"/>
  <c r="AO164" i="32"/>
  <c r="BP165" i="32"/>
  <c r="AR165" i="32"/>
  <c r="AS167" i="32"/>
  <c r="BQ167" i="32"/>
  <c r="AH167" i="32"/>
  <c r="AS168" i="32"/>
  <c r="AS175" i="32"/>
  <c r="BY177" i="32"/>
  <c r="BY183" i="32"/>
  <c r="BM183" i="32"/>
  <c r="BK188" i="32"/>
  <c r="AQ202" i="32"/>
  <c r="BR202" i="32" s="1"/>
  <c r="BS202" i="32"/>
  <c r="BS99" i="32"/>
  <c r="BS299" i="32" s="1"/>
  <c r="AR102" i="32"/>
  <c r="BT108" i="32"/>
  <c r="AR110" i="32"/>
  <c r="BP110" i="32"/>
  <c r="BT116" i="32"/>
  <c r="BM117" i="32"/>
  <c r="BX117" i="32" s="1"/>
  <c r="P119" i="32"/>
  <c r="W120" i="32"/>
  <c r="AP124" i="32"/>
  <c r="BM125" i="32"/>
  <c r="BS125" i="32"/>
  <c r="AS127" i="32"/>
  <c r="AR128" i="32"/>
  <c r="AS131" i="32"/>
  <c r="AR132" i="32"/>
  <c r="BP136" i="32"/>
  <c r="AR136" i="32"/>
  <c r="AH138" i="32"/>
  <c r="BQ141" i="32"/>
  <c r="AS141" i="32"/>
  <c r="W150" i="32"/>
  <c r="AS147" i="32"/>
  <c r="AP157" i="32"/>
  <c r="BL157" i="32"/>
  <c r="BZ151" i="32"/>
  <c r="BZ157" i="32" s="1"/>
  <c r="BY152" i="32"/>
  <c r="BM152" i="32"/>
  <c r="BX152" i="32" s="1"/>
  <c r="AR153" i="32"/>
  <c r="BY155" i="32"/>
  <c r="BM155" i="32"/>
  <c r="BX155" i="32" s="1"/>
  <c r="BQ156" i="32"/>
  <c r="AS156" i="32"/>
  <c r="BS156" i="32"/>
  <c r="AG158" i="32"/>
  <c r="W164" i="32"/>
  <c r="AY164" i="32"/>
  <c r="BW158" i="32"/>
  <c r="BW164" i="32" s="1"/>
  <c r="AH159" i="32"/>
  <c r="BP159" i="32"/>
  <c r="AR159" i="32"/>
  <c r="BQ163" i="32"/>
  <c r="AS163" i="32"/>
  <c r="BS163" i="32"/>
  <c r="AG165" i="32"/>
  <c r="AH165" i="32" s="1"/>
  <c r="AU165" i="32" s="1"/>
  <c r="W171" i="32"/>
  <c r="AY171" i="32"/>
  <c r="BW165" i="32"/>
  <c r="BW171" i="32" s="1"/>
  <c r="AH166" i="32"/>
  <c r="AR166" i="32"/>
  <c r="BP166" i="32"/>
  <c r="AH170" i="32"/>
  <c r="AU170" i="32" s="1"/>
  <c r="AR170" i="32"/>
  <c r="BZ175" i="32"/>
  <c r="BZ178" i="32" s="1"/>
  <c r="AQ186" i="32"/>
  <c r="BR186" i="32" s="1"/>
  <c r="BT186" i="32"/>
  <c r="AG200" i="32"/>
  <c r="AH200" i="32" s="1"/>
  <c r="W205" i="32"/>
  <c r="AY205" i="32"/>
  <c r="BW200" i="32"/>
  <c r="BW205" i="32" s="1"/>
  <c r="BZ215" i="32"/>
  <c r="BZ216" i="32" s="1"/>
  <c r="BL216" i="32"/>
  <c r="AR93" i="32"/>
  <c r="V299" i="32"/>
  <c r="AP299" i="32"/>
  <c r="BT99" i="32"/>
  <c r="BT299" i="32" s="1"/>
  <c r="BZ99" i="32"/>
  <c r="BZ299" i="32" s="1"/>
  <c r="BM100" i="32"/>
  <c r="BX100" i="32" s="1"/>
  <c r="Q101" i="32"/>
  <c r="BL302" i="32"/>
  <c r="AS102" i="32"/>
  <c r="AR103" i="32"/>
  <c r="AQ108" i="32"/>
  <c r="BL109" i="32"/>
  <c r="M300" i="32"/>
  <c r="AF115" i="32"/>
  <c r="BX123" i="32"/>
  <c r="AS128" i="32"/>
  <c r="AR129" i="32"/>
  <c r="J130" i="32"/>
  <c r="AR133" i="32"/>
  <c r="P141" i="32"/>
  <c r="I141" i="32" s="1"/>
  <c r="V144" i="32"/>
  <c r="AY146" i="32"/>
  <c r="BW145" i="32"/>
  <c r="BW146" i="32" s="1"/>
  <c r="AQ148" i="32"/>
  <c r="AO150" i="32"/>
  <c r="BP151" i="32"/>
  <c r="AR151" i="32"/>
  <c r="AF157" i="32"/>
  <c r="BQ153" i="32"/>
  <c r="AS153" i="32"/>
  <c r="BP153" i="32"/>
  <c r="P158" i="32"/>
  <c r="I158" i="32" s="1"/>
  <c r="BK164" i="32"/>
  <c r="BY162" i="32"/>
  <c r="BM162" i="32"/>
  <c r="BX162" i="32" s="1"/>
  <c r="P165" i="32"/>
  <c r="I165" i="32" s="1"/>
  <c r="J171" i="32"/>
  <c r="P166" i="32"/>
  <c r="Q166" i="32"/>
  <c r="AF171" i="32"/>
  <c r="AR172" i="32"/>
  <c r="W178" i="32"/>
  <c r="BS174" i="32"/>
  <c r="AQ174" i="32"/>
  <c r="BR174" i="32" s="1"/>
  <c r="AH175" i="32"/>
  <c r="BT182" i="32"/>
  <c r="BP108" i="32"/>
  <c r="AS111" i="32"/>
  <c r="AR112" i="32"/>
  <c r="AS115" i="32"/>
  <c r="BQ115" i="32"/>
  <c r="AR116" i="32"/>
  <c r="BT126" i="32"/>
  <c r="BT130" i="32" s="1"/>
  <c r="AS129" i="32"/>
  <c r="S137" i="32"/>
  <c r="AO137" i="32"/>
  <c r="BS131" i="32"/>
  <c r="AS133" i="32"/>
  <c r="AR134" i="32"/>
  <c r="AQ138" i="32"/>
  <c r="BR138" i="32" s="1"/>
  <c r="BQ149" i="32"/>
  <c r="AS149" i="32"/>
  <c r="BL164" i="32"/>
  <c r="BZ158" i="32"/>
  <c r="BY159" i="32"/>
  <c r="BM159" i="32"/>
  <c r="BX159" i="32" s="1"/>
  <c r="BQ160" i="32"/>
  <c r="AS160" i="32"/>
  <c r="AQ162" i="32"/>
  <c r="BR162" i="32" s="1"/>
  <c r="BT166" i="32"/>
  <c r="AP171" i="32"/>
  <c r="BP173" i="32"/>
  <c r="BQ177" i="32"/>
  <c r="AS177" i="32"/>
  <c r="V182" i="32"/>
  <c r="AF180" i="32"/>
  <c r="AF182" i="32" s="1"/>
  <c r="Q192" i="32"/>
  <c r="P192" i="32"/>
  <c r="BO211" i="32"/>
  <c r="AQ155" i="32"/>
  <c r="BR155" i="32" s="1"/>
  <c r="AQ159" i="32"/>
  <c r="BM161" i="32"/>
  <c r="BX161" i="32" s="1"/>
  <c r="P163" i="32"/>
  <c r="AP164" i="32"/>
  <c r="S171" i="32"/>
  <c r="BM165" i="32"/>
  <c r="BX165" i="32" s="1"/>
  <c r="AQ166" i="32"/>
  <c r="BR166" i="32" s="1"/>
  <c r="P167" i="32"/>
  <c r="BQ168" i="32"/>
  <c r="AH169" i="32"/>
  <c r="AU169" i="32" s="1"/>
  <c r="BM169" i="32"/>
  <c r="BX169" i="32" s="1"/>
  <c r="BQ170" i="32"/>
  <c r="BP172" i="32"/>
  <c r="BW178" i="32"/>
  <c r="P173" i="32"/>
  <c r="AG173" i="32"/>
  <c r="AH173" i="32" s="1"/>
  <c r="AU173" i="32" s="1"/>
  <c r="BS173" i="32"/>
  <c r="BM175" i="32"/>
  <c r="BX175" i="32" s="1"/>
  <c r="BP176" i="32"/>
  <c r="P177" i="32"/>
  <c r="I177" i="32" s="1"/>
  <c r="BS177" i="32"/>
  <c r="P179" i="32"/>
  <c r="BQ180" i="32"/>
  <c r="BQ181" i="32"/>
  <c r="AS181" i="32"/>
  <c r="AR181" i="32"/>
  <c r="BP183" i="32"/>
  <c r="AR183" i="32"/>
  <c r="BL188" i="32"/>
  <c r="M188" i="32"/>
  <c r="AF184" i="32"/>
  <c r="BP185" i="32"/>
  <c r="BP186" i="32"/>
  <c r="AR186" i="32"/>
  <c r="AS186" i="32"/>
  <c r="AS187" i="32"/>
  <c r="AO188" i="32"/>
  <c r="AO195" i="32"/>
  <c r="AQ189" i="32"/>
  <c r="BL195" i="32"/>
  <c r="BZ189" i="32"/>
  <c r="BZ195" i="32" s="1"/>
  <c r="AR191" i="32"/>
  <c r="BP191" i="32"/>
  <c r="AH194" i="32"/>
  <c r="BP194" i="32"/>
  <c r="AR194" i="32"/>
  <c r="J199" i="32"/>
  <c r="Q196" i="32"/>
  <c r="P196" i="32"/>
  <c r="BY199" i="32"/>
  <c r="BQ197" i="32"/>
  <c r="AS197" i="32"/>
  <c r="S199" i="32"/>
  <c r="AF205" i="32"/>
  <c r="AH201" i="32"/>
  <c r="AU201" i="32" s="1"/>
  <c r="BP201" i="32"/>
  <c r="AR201" i="32"/>
  <c r="BQ203" i="32"/>
  <c r="AS203" i="32"/>
  <c r="BL214" i="32"/>
  <c r="BZ207" i="32"/>
  <c r="BY208" i="32"/>
  <c r="AH210" i="32"/>
  <c r="AU210" i="32" s="1"/>
  <c r="BS211" i="32"/>
  <c r="AQ211" i="32"/>
  <c r="BR211" i="32" s="1"/>
  <c r="BW230" i="32"/>
  <c r="BW234" i="32" s="1"/>
  <c r="AY234" i="32"/>
  <c r="AQ264" i="32"/>
  <c r="BR264" i="32" s="1"/>
  <c r="BS264" i="32"/>
  <c r="BS269" i="32" s="1"/>
  <c r="AR264" i="32"/>
  <c r="BT151" i="32"/>
  <c r="BT157" i="32" s="1"/>
  <c r="BS152" i="32"/>
  <c r="BS162" i="32"/>
  <c r="Q163" i="32"/>
  <c r="BQ166" i="32"/>
  <c r="AS166" i="32"/>
  <c r="Q167" i="32"/>
  <c r="BY168" i="32"/>
  <c r="BY170" i="32"/>
  <c r="BM170" i="32"/>
  <c r="BX170" i="32" s="1"/>
  <c r="V171" i="32"/>
  <c r="Q173" i="32"/>
  <c r="AR176" i="32"/>
  <c r="V178" i="32"/>
  <c r="Q179" i="32"/>
  <c r="BW179" i="32"/>
  <c r="BW182" i="32" s="1"/>
  <c r="P181" i="32"/>
  <c r="S182" i="32"/>
  <c r="AS183" i="32"/>
  <c r="BW183" i="32"/>
  <c r="BW188" i="32" s="1"/>
  <c r="AH187" i="32"/>
  <c r="Q193" i="32"/>
  <c r="P193" i="32"/>
  <c r="BZ199" i="32"/>
  <c r="AH198" i="32"/>
  <c r="BP198" i="32"/>
  <c r="AR198" i="32"/>
  <c r="J205" i="32"/>
  <c r="Q200" i="32"/>
  <c r="P200" i="32"/>
  <c r="AO205" i="32"/>
  <c r="BQ201" i="32"/>
  <c r="AS201" i="32"/>
  <c r="BQ210" i="32"/>
  <c r="AS210" i="32"/>
  <c r="BP212" i="32"/>
  <c r="AH212" i="32"/>
  <c r="AU212" i="32" s="1"/>
  <c r="BS213" i="32"/>
  <c r="AQ213" i="32"/>
  <c r="BW219" i="32"/>
  <c r="BW220" i="32" s="1"/>
  <c r="AY220" i="32"/>
  <c r="Q226" i="32"/>
  <c r="P226" i="32"/>
  <c r="AG227" i="32"/>
  <c r="AS244" i="32"/>
  <c r="BQ244" i="32"/>
  <c r="AF178" i="32"/>
  <c r="BY172" i="32"/>
  <c r="BC300" i="32"/>
  <c r="BK174" i="32"/>
  <c r="BK178" i="32" s="1"/>
  <c r="BY176" i="32"/>
  <c r="AP182" i="32"/>
  <c r="M182" i="32"/>
  <c r="AO182" i="32"/>
  <c r="BL182" i="32"/>
  <c r="BY190" i="32"/>
  <c r="BM190" i="32"/>
  <c r="BX190" i="32" s="1"/>
  <c r="Q197" i="32"/>
  <c r="P197" i="32"/>
  <c r="AP199" i="32"/>
  <c r="M199" i="32"/>
  <c r="M205" i="32"/>
  <c r="AH202" i="32"/>
  <c r="BP202" i="32"/>
  <c r="AR202" i="32"/>
  <c r="BP204" i="32"/>
  <c r="AR204" i="32"/>
  <c r="AO214" i="32"/>
  <c r="AQ206" i="32"/>
  <c r="AH225" i="32"/>
  <c r="AU225" i="32" s="1"/>
  <c r="BP225" i="32"/>
  <c r="BM154" i="32"/>
  <c r="BX154" i="32" s="1"/>
  <c r="BM158" i="32"/>
  <c r="BY158" i="32"/>
  <c r="M171" i="32"/>
  <c r="BP167" i="32"/>
  <c r="AR167" i="32"/>
  <c r="AS174" i="32"/>
  <c r="X178" i="32"/>
  <c r="X293" i="32" s="1"/>
  <c r="Q18" i="47" s="1"/>
  <c r="BP179" i="32"/>
  <c r="AR179" i="32"/>
  <c r="BK182" i="32"/>
  <c r="BY179" i="32"/>
  <c r="Q181" i="32"/>
  <c r="P183" i="32"/>
  <c r="AH183" i="32"/>
  <c r="AU183" i="32" s="1"/>
  <c r="BQ183" i="32"/>
  <c r="BZ183" i="32"/>
  <c r="BZ188" i="32" s="1"/>
  <c r="S188" i="32"/>
  <c r="BQ185" i="32"/>
  <c r="AS185" i="32"/>
  <c r="AT185" i="32" s="1"/>
  <c r="AH186" i="32"/>
  <c r="AU186" i="32" s="1"/>
  <c r="BY187" i="32"/>
  <c r="BM187" i="32"/>
  <c r="BX187" i="32" s="1"/>
  <c r="BQ189" i="32"/>
  <c r="AS189" i="32"/>
  <c r="AG195" i="32"/>
  <c r="BS189" i="32"/>
  <c r="BQ192" i="32"/>
  <c r="AS192" i="32"/>
  <c r="AQ194" i="32"/>
  <c r="BR194" i="32" s="1"/>
  <c r="AQ197" i="32"/>
  <c r="BR197" i="32" s="1"/>
  <c r="AY199" i="32"/>
  <c r="S205" i="32"/>
  <c r="Q201" i="32"/>
  <c r="P201" i="32"/>
  <c r="BQ207" i="32"/>
  <c r="AS207" i="32"/>
  <c r="BS207" i="32"/>
  <c r="V216" i="32"/>
  <c r="AF215" i="32"/>
  <c r="BQ219" i="32"/>
  <c r="AH219" i="32"/>
  <c r="AS219" i="32"/>
  <c r="BQ226" i="32"/>
  <c r="AQ260" i="32"/>
  <c r="BR260" i="32" s="1"/>
  <c r="BS260" i="32"/>
  <c r="AQ168" i="32"/>
  <c r="BR168" i="32" s="1"/>
  <c r="AH172" i="32"/>
  <c r="AU172" i="32" s="1"/>
  <c r="BM172" i="32"/>
  <c r="BX172" i="32" s="1"/>
  <c r="BP175" i="32"/>
  <c r="AR175" i="32"/>
  <c r="AQ180" i="32"/>
  <c r="BR180" i="32" s="1"/>
  <c r="BS184" i="32"/>
  <c r="P185" i="32"/>
  <c r="I185" i="32" s="1"/>
  <c r="BY186" i="32"/>
  <c r="BM186" i="32"/>
  <c r="BX186" i="32" s="1"/>
  <c r="BY191" i="32"/>
  <c r="BM191" i="32"/>
  <c r="BX191" i="32" s="1"/>
  <c r="AH193" i="32"/>
  <c r="AU193" i="32" s="1"/>
  <c r="BP193" i="32"/>
  <c r="AR193" i="32"/>
  <c r="W199" i="32"/>
  <c r="AG196" i="32"/>
  <c r="AH196" i="32" s="1"/>
  <c r="AU196" i="32" s="1"/>
  <c r="BT197" i="32"/>
  <c r="BT199" i="32" s="1"/>
  <c r="AQ198" i="32"/>
  <c r="BR198" i="32" s="1"/>
  <c r="V205" i="32"/>
  <c r="BX206" i="32"/>
  <c r="S214" i="32"/>
  <c r="AS211" i="32"/>
  <c r="BQ211" i="32"/>
  <c r="AS213" i="32"/>
  <c r="BQ213" i="32"/>
  <c r="V227" i="32"/>
  <c r="AF221" i="32"/>
  <c r="BS231" i="32"/>
  <c r="AR231" i="32"/>
  <c r="AQ231" i="32"/>
  <c r="BR231" i="32" s="1"/>
  <c r="BP232" i="32"/>
  <c r="AR232" i="32"/>
  <c r="AH232" i="32"/>
  <c r="Q187" i="32"/>
  <c r="I187" i="32" s="1"/>
  <c r="Q191" i="32"/>
  <c r="BL199" i="32"/>
  <c r="W214" i="32"/>
  <c r="AY214" i="32"/>
  <c r="BT208" i="32"/>
  <c r="BS212" i="32"/>
  <c r="BP213" i="32"/>
  <c r="AG214" i="32"/>
  <c r="BW215" i="32"/>
  <c r="BW216" i="32" s="1"/>
  <c r="AF217" i="32"/>
  <c r="BM217" i="32"/>
  <c r="BX217" i="32" s="1"/>
  <c r="BP218" i="32"/>
  <c r="BY219" i="32"/>
  <c r="BY220" i="32" s="1"/>
  <c r="BM219" i="32"/>
  <c r="BX219" i="32" s="1"/>
  <c r="AG220" i="32"/>
  <c r="AS221" i="32"/>
  <c r="BZ227" i="32"/>
  <c r="P222" i="32"/>
  <c r="AR223" i="32"/>
  <c r="AH224" i="32"/>
  <c r="AU224" i="32" s="1"/>
  <c r="AR224" i="32"/>
  <c r="BP224" i="32"/>
  <c r="BK227" i="32"/>
  <c r="BM228" i="32"/>
  <c r="BX228" i="32" s="1"/>
  <c r="BY228" i="32"/>
  <c r="BY233" i="32"/>
  <c r="V234" i="32"/>
  <c r="BT235" i="32"/>
  <c r="BT238" i="32" s="1"/>
  <c r="AQ235" i="32"/>
  <c r="AH236" i="32"/>
  <c r="AU236" i="32" s="1"/>
  <c r="AY238" i="32"/>
  <c r="M245" i="32"/>
  <c r="AQ239" i="32"/>
  <c r="AR239" i="32"/>
  <c r="BS239" i="32"/>
  <c r="AO245" i="32"/>
  <c r="AQ240" i="32"/>
  <c r="BR240" i="32" s="1"/>
  <c r="BS240" i="32"/>
  <c r="BS244" i="32"/>
  <c r="AQ244" i="32"/>
  <c r="BR244" i="32" s="1"/>
  <c r="BS246" i="32"/>
  <c r="AQ246" i="32"/>
  <c r="AS254" i="32"/>
  <c r="BQ254" i="32"/>
  <c r="AH268" i="32"/>
  <c r="AU268" i="32" s="1"/>
  <c r="AR268" i="32"/>
  <c r="BP268" i="32"/>
  <c r="BS187" i="32"/>
  <c r="BT190" i="32"/>
  <c r="BT195" i="32" s="1"/>
  <c r="BS191" i="32"/>
  <c r="J195" i="32"/>
  <c r="V195" i="32"/>
  <c r="AO199" i="32"/>
  <c r="BT204" i="32"/>
  <c r="BT205" i="32" s="1"/>
  <c r="BK205" i="32"/>
  <c r="BP211" i="32"/>
  <c r="AR211" i="32"/>
  <c r="BY211" i="32"/>
  <c r="M214" i="32"/>
  <c r="M220" i="32"/>
  <c r="BP219" i="32"/>
  <c r="AR219" i="32"/>
  <c r="BK220" i="32"/>
  <c r="Q222" i="32"/>
  <c r="Q224" i="32"/>
  <c r="P224" i="32"/>
  <c r="BQ225" i="32"/>
  <c r="AS225" i="32"/>
  <c r="BT225" i="32"/>
  <c r="BT227" i="32" s="1"/>
  <c r="BL227" i="32"/>
  <c r="BP228" i="32"/>
  <c r="AF234" i="32"/>
  <c r="AR228" i="32"/>
  <c r="AH230" i="32"/>
  <c r="AR230" i="32"/>
  <c r="BY232" i="32"/>
  <c r="BT233" i="32"/>
  <c r="AS233" i="32"/>
  <c r="BK238" i="32"/>
  <c r="BM236" i="32"/>
  <c r="BY236" i="32"/>
  <c r="S238" i="32"/>
  <c r="BQ242" i="32"/>
  <c r="AS242" i="32"/>
  <c r="AR243" i="32"/>
  <c r="BP243" i="32"/>
  <c r="AH243" i="32"/>
  <c r="AU243" i="32" s="1"/>
  <c r="Q254" i="32"/>
  <c r="P254" i="32"/>
  <c r="AY262" i="32"/>
  <c r="BW256" i="32"/>
  <c r="BW262" i="32" s="1"/>
  <c r="BP259" i="32"/>
  <c r="AH259" i="32"/>
  <c r="AR259" i="32"/>
  <c r="AS265" i="32"/>
  <c r="AH265" i="32"/>
  <c r="AU265" i="32" s="1"/>
  <c r="AH266" i="32"/>
  <c r="BQ266" i="32"/>
  <c r="AS266" i="32"/>
  <c r="BM275" i="32"/>
  <c r="BX275" i="32" s="1"/>
  <c r="BY275" i="32"/>
  <c r="AR189" i="32"/>
  <c r="AQ190" i="32"/>
  <c r="BR190" i="32" s="1"/>
  <c r="BM192" i="32"/>
  <c r="BX192" i="32" s="1"/>
  <c r="AS194" i="32"/>
  <c r="W195" i="32"/>
  <c r="BM196" i="32"/>
  <c r="AS198" i="32"/>
  <c r="BM200" i="32"/>
  <c r="BS200" i="32"/>
  <c r="AS202" i="32"/>
  <c r="AR203" i="32"/>
  <c r="BL205" i="32"/>
  <c r="AS206" i="32"/>
  <c r="BK214" i="32"/>
  <c r="BW214" i="32"/>
  <c r="AR207" i="32"/>
  <c r="AQ217" i="32"/>
  <c r="BR217" i="32" s="1"/>
  <c r="AO220" i="32"/>
  <c r="W220" i="32"/>
  <c r="BX222" i="32"/>
  <c r="BP223" i="32"/>
  <c r="P228" i="32"/>
  <c r="Q228" i="32"/>
  <c r="AH228" i="32"/>
  <c r="AU228" i="32" s="1"/>
  <c r="AR233" i="32"/>
  <c r="BW238" i="32"/>
  <c r="AR237" i="32"/>
  <c r="BP237" i="32"/>
  <c r="AH237" i="32"/>
  <c r="AQ241" i="32"/>
  <c r="BR241" i="32" s="1"/>
  <c r="BS241" i="32"/>
  <c r="AF245" i="32"/>
  <c r="BW246" i="32"/>
  <c r="BW248" i="32" s="1"/>
  <c r="AY248" i="32"/>
  <c r="BM193" i="32"/>
  <c r="BX193" i="32" s="1"/>
  <c r="BM197" i="32"/>
  <c r="BX197" i="32" s="1"/>
  <c r="BM201" i="32"/>
  <c r="BX201" i="32" s="1"/>
  <c r="AS209" i="32"/>
  <c r="P213" i="32"/>
  <c r="S220" i="32"/>
  <c r="BQ218" i="32"/>
  <c r="AS218" i="32"/>
  <c r="AQ221" i="32"/>
  <c r="BS221" i="32"/>
  <c r="BP222" i="32"/>
  <c r="AR222" i="32"/>
  <c r="AS222" i="32"/>
  <c r="BS223" i="32"/>
  <c r="BM224" i="32"/>
  <c r="BX224" i="32" s="1"/>
  <c r="BY224" i="32"/>
  <c r="BY225" i="32"/>
  <c r="BM225" i="32"/>
  <c r="BX225" i="32" s="1"/>
  <c r="P229" i="32"/>
  <c r="I229" i="32" s="1"/>
  <c r="AG229" i="32"/>
  <c r="BT230" i="32"/>
  <c r="AQ230" i="32"/>
  <c r="AP234" i="32"/>
  <c r="AH231" i="32"/>
  <c r="AU231" i="32" s="1"/>
  <c r="BP231" i="32"/>
  <c r="Q232" i="32"/>
  <c r="I232" i="32" s="1"/>
  <c r="BS236" i="32"/>
  <c r="BS238" i="32" s="1"/>
  <c r="AQ236" i="32"/>
  <c r="BR236" i="32" s="1"/>
  <c r="AO238" i="32"/>
  <c r="BW239" i="32"/>
  <c r="BW245" i="32" s="1"/>
  <c r="AY245" i="32"/>
  <c r="S245" i="32"/>
  <c r="AY255" i="32"/>
  <c r="BW250" i="32"/>
  <c r="BW255" i="32" s="1"/>
  <c r="BP253" i="32"/>
  <c r="AH253" i="32"/>
  <c r="AU253" i="32" s="1"/>
  <c r="AR253" i="32"/>
  <c r="BY215" i="32"/>
  <c r="BY216" i="32" s="1"/>
  <c r="BM215" i="32"/>
  <c r="BS220" i="32"/>
  <c r="P218" i="32"/>
  <c r="AH226" i="32"/>
  <c r="AR226" i="32"/>
  <c r="BP226" i="32"/>
  <c r="AR235" i="32"/>
  <c r="BQ236" i="32"/>
  <c r="V238" i="32"/>
  <c r="AG239" i="32"/>
  <c r="W245" i="32"/>
  <c r="AH244" i="32"/>
  <c r="AR244" i="32"/>
  <c r="BP244" i="32"/>
  <c r="AG252" i="32"/>
  <c r="AH252" i="32" s="1"/>
  <c r="W255" i="32"/>
  <c r="BM254" i="32"/>
  <c r="BX254" i="32" s="1"/>
  <c r="BY254" i="32"/>
  <c r="BQ258" i="32"/>
  <c r="AS258" i="32"/>
  <c r="AF262" i="32"/>
  <c r="Q267" i="32"/>
  <c r="P267" i="32"/>
  <c r="BQ267" i="32"/>
  <c r="AS267" i="32"/>
  <c r="S276" i="32"/>
  <c r="P280" i="32"/>
  <c r="Q280" i="32"/>
  <c r="AO216" i="32"/>
  <c r="Q217" i="32"/>
  <c r="J220" i="32"/>
  <c r="Q221" i="32"/>
  <c r="AS228" i="32"/>
  <c r="AR229" i="32"/>
  <c r="BY229" i="32"/>
  <c r="BM229" i="32"/>
  <c r="BX229" i="32" s="1"/>
  <c r="Q230" i="32"/>
  <c r="P230" i="32"/>
  <c r="BX232" i="32"/>
  <c r="AQ233" i="32"/>
  <c r="BR233" i="32" s="1"/>
  <c r="BS233" i="32"/>
  <c r="P235" i="32"/>
  <c r="Q235" i="32"/>
  <c r="Q240" i="32"/>
  <c r="I240" i="32" s="1"/>
  <c r="Q242" i="32"/>
  <c r="AH242" i="32"/>
  <c r="BY244" i="32"/>
  <c r="BQ246" i="32"/>
  <c r="BY246" i="32"/>
  <c r="BK248" i="32"/>
  <c r="BS250" i="32"/>
  <c r="AS251" i="32"/>
  <c r="BP251" i="32"/>
  <c r="BP252" i="32"/>
  <c r="BM252" i="32"/>
  <c r="BX252" i="32" s="1"/>
  <c r="M262" i="32"/>
  <c r="AG262" i="32"/>
  <c r="P260" i="32"/>
  <c r="BQ261" i="32"/>
  <c r="AS261" i="32"/>
  <c r="AT261" i="32" s="1"/>
  <c r="BP261" i="32"/>
  <c r="AY269" i="32"/>
  <c r="BW263" i="32"/>
  <c r="BW269" i="32" s="1"/>
  <c r="BM267" i="32"/>
  <c r="BX267" i="32" s="1"/>
  <c r="Q275" i="32"/>
  <c r="P275" i="32"/>
  <c r="J283" i="32"/>
  <c r="Q277" i="32"/>
  <c r="P277" i="32"/>
  <c r="BQ279" i="32"/>
  <c r="AS279" i="32"/>
  <c r="J290" i="32"/>
  <c r="Q284" i="32"/>
  <c r="P284" i="32"/>
  <c r="W248" i="32"/>
  <c r="AO255" i="32"/>
  <c r="AQ249" i="32"/>
  <c r="Q252" i="32"/>
  <c r="P252" i="32"/>
  <c r="BM253" i="32"/>
  <c r="BX253" i="32" s="1"/>
  <c r="BZ253" i="32"/>
  <c r="BZ255" i="32" s="1"/>
  <c r="AO262" i="32"/>
  <c r="AH258" i="32"/>
  <c r="AU258" i="32" s="1"/>
  <c r="BP258" i="32"/>
  <c r="AR258" i="32"/>
  <c r="BK269" i="32"/>
  <c r="BM263" i="32"/>
  <c r="BX263" i="32" s="1"/>
  <c r="BY263" i="32"/>
  <c r="V276" i="32"/>
  <c r="AF270" i="32"/>
  <c r="AO292" i="32"/>
  <c r="AQ291" i="32"/>
  <c r="BS291" i="32"/>
  <c r="BS292" i="32" s="1"/>
  <c r="BP240" i="32"/>
  <c r="AR240" i="32"/>
  <c r="AH240" i="32"/>
  <c r="AR241" i="32"/>
  <c r="V245" i="32"/>
  <c r="AR247" i="32"/>
  <c r="BY247" i="32"/>
  <c r="BM247" i="32"/>
  <c r="BX247" i="32" s="1"/>
  <c r="J248" i="32"/>
  <c r="BS249" i="32"/>
  <c r="BQ253" i="32"/>
  <c r="AS253" i="32"/>
  <c r="AQ254" i="32"/>
  <c r="BR254" i="32" s="1"/>
  <c r="S262" i="32"/>
  <c r="BZ262" i="32"/>
  <c r="V262" i="32"/>
  <c r="BK262" i="32"/>
  <c r="J269" i="32"/>
  <c r="Q263" i="32"/>
  <c r="P263" i="32"/>
  <c r="AO269" i="32"/>
  <c r="AQ268" i="32"/>
  <c r="BR268" i="32" s="1"/>
  <c r="BT268" i="32"/>
  <c r="S269" i="32"/>
  <c r="W276" i="32"/>
  <c r="AG270" i="32"/>
  <c r="BK276" i="32"/>
  <c r="BY270" i="32"/>
  <c r="BM270" i="32"/>
  <c r="W227" i="32"/>
  <c r="AO234" i="32"/>
  <c r="BS228" i="32"/>
  <c r="BQ231" i="32"/>
  <c r="AS231" i="32"/>
  <c r="BP236" i="32"/>
  <c r="AR236" i="32"/>
  <c r="BY243" i="32"/>
  <c r="BM243" i="32"/>
  <c r="BX243" i="32" s="1"/>
  <c r="BT243" i="32"/>
  <c r="BT245" i="32" s="1"/>
  <c r="Q244" i="32"/>
  <c r="J245" i="32"/>
  <c r="P246" i="32"/>
  <c r="I246" i="32" s="1"/>
  <c r="P247" i="32"/>
  <c r="V255" i="32"/>
  <c r="AF249" i="32"/>
  <c r="BY251" i="32"/>
  <c r="BM251" i="32"/>
  <c r="BX251" i="32" s="1"/>
  <c r="BT251" i="32"/>
  <c r="AP255" i="32"/>
  <c r="BK255" i="32"/>
  <c r="AQ256" i="32"/>
  <c r="BM256" i="32"/>
  <c r="BX256" i="32" s="1"/>
  <c r="BM259" i="32"/>
  <c r="BX259" i="32" s="1"/>
  <c r="BQ260" i="32"/>
  <c r="AH260" i="32"/>
  <c r="AU260" i="32" s="1"/>
  <c r="BY261" i="32"/>
  <c r="BM261" i="32"/>
  <c r="BX261" i="32" s="1"/>
  <c r="BT267" i="32"/>
  <c r="AQ274" i="32"/>
  <c r="BR274" i="32" s="1"/>
  <c r="BS274" i="32"/>
  <c r="AR274" i="32"/>
  <c r="AO276" i="32"/>
  <c r="M283" i="32"/>
  <c r="BP278" i="32"/>
  <c r="AH278" i="32"/>
  <c r="AR278" i="32"/>
  <c r="AF283" i="32"/>
  <c r="BY278" i="32"/>
  <c r="BM278" i="32"/>
  <c r="BX278" i="32" s="1"/>
  <c r="BP288" i="32"/>
  <c r="AH288" i="32"/>
  <c r="AR288" i="32"/>
  <c r="AG235" i="32"/>
  <c r="AH235" i="32" s="1"/>
  <c r="AU235" i="32" s="1"/>
  <c r="W238" i="32"/>
  <c r="AH241" i="32"/>
  <c r="BP241" i="32"/>
  <c r="AQ242" i="32"/>
  <c r="BR242" i="32" s="1"/>
  <c r="BM242" i="32"/>
  <c r="M248" i="32"/>
  <c r="Q247" i="32"/>
  <c r="Q248" i="32" s="1"/>
  <c r="AH247" i="32"/>
  <c r="AU247" i="32" s="1"/>
  <c r="AG248" i="32"/>
  <c r="J255" i="32"/>
  <c r="BL255" i="32"/>
  <c r="W262" i="32"/>
  <c r="BQ257" i="32"/>
  <c r="AS257" i="32"/>
  <c r="Q258" i="32"/>
  <c r="P258" i="32"/>
  <c r="Q260" i="32"/>
  <c r="BY260" i="32"/>
  <c r="BM260" i="32"/>
  <c r="BX260" i="32" s="1"/>
  <c r="AS264" i="32"/>
  <c r="AH264" i="32"/>
  <c r="AU264" i="32" s="1"/>
  <c r="BQ264" i="32"/>
  <c r="BT270" i="32"/>
  <c r="AQ270" i="32"/>
  <c r="BM291" i="32"/>
  <c r="BK292" i="32"/>
  <c r="BY291" i="32"/>
  <c r="BY292" i="32" s="1"/>
  <c r="BL234" i="32"/>
  <c r="BZ228" i="32"/>
  <c r="BZ234" i="32" s="1"/>
  <c r="AQ237" i="32"/>
  <c r="BR237" i="32" s="1"/>
  <c r="BL248" i="32"/>
  <c r="BZ246" i="32"/>
  <c r="BZ248" i="32" s="1"/>
  <c r="Q256" i="32"/>
  <c r="I256" i="32" s="1"/>
  <c r="AH256" i="32"/>
  <c r="AR256" i="32"/>
  <c r="BL262" i="32"/>
  <c r="BM257" i="32"/>
  <c r="BX257" i="32" s="1"/>
  <c r="J276" i="32"/>
  <c r="P270" i="32"/>
  <c r="AR272" i="32"/>
  <c r="BP272" i="32"/>
  <c r="BP273" i="32"/>
  <c r="AR273" i="32"/>
  <c r="AH273" i="32"/>
  <c r="BT283" i="32"/>
  <c r="BQ281" i="32"/>
  <c r="AS281" i="32"/>
  <c r="AQ286" i="32"/>
  <c r="BR286" i="32" s="1"/>
  <c r="BT286" i="32"/>
  <c r="BP280" i="32"/>
  <c r="AH280" i="32"/>
  <c r="AU280" i="32" s="1"/>
  <c r="BS281" i="32"/>
  <c r="AQ281" i="32"/>
  <c r="BR281" i="32" s="1"/>
  <c r="W269" i="32"/>
  <c r="AG263" i="32"/>
  <c r="P265" i="32"/>
  <c r="I265" i="32" s="1"/>
  <c r="Q266" i="32"/>
  <c r="I266" i="32" s="1"/>
  <c r="AH271" i="32"/>
  <c r="AU271" i="32" s="1"/>
  <c r="AR271" i="32"/>
  <c r="BP271" i="32"/>
  <c r="AS271" i="32"/>
  <c r="Q273" i="32"/>
  <c r="P273" i="32"/>
  <c r="AS275" i="32"/>
  <c r="BQ275" i="32"/>
  <c r="W283" i="32"/>
  <c r="AG277" i="32"/>
  <c r="AH277" i="32" s="1"/>
  <c r="AU277" i="32" s="1"/>
  <c r="BP279" i="32"/>
  <c r="AH279" i="32"/>
  <c r="AR279" i="32"/>
  <c r="BY279" i="32"/>
  <c r="BM279" i="32"/>
  <c r="BX279" i="32" s="1"/>
  <c r="BS282" i="32"/>
  <c r="AR282" i="32"/>
  <c r="AQ282" i="32"/>
  <c r="BR282" i="32" s="1"/>
  <c r="W290" i="32"/>
  <c r="AG284" i="32"/>
  <c r="AH286" i="32"/>
  <c r="BP286" i="32"/>
  <c r="AR286" i="32"/>
  <c r="BP275" i="32"/>
  <c r="AH275" i="32"/>
  <c r="BL283" i="32"/>
  <c r="BZ277" i="32"/>
  <c r="Q279" i="32"/>
  <c r="P279" i="32"/>
  <c r="AH285" i="32"/>
  <c r="BP285" i="32"/>
  <c r="AR285" i="32"/>
  <c r="AS287" i="32"/>
  <c r="BQ287" i="32"/>
  <c r="BZ289" i="32"/>
  <c r="BZ290" i="32" s="1"/>
  <c r="BM289" i="32"/>
  <c r="BX289" i="32" s="1"/>
  <c r="AH254" i="32"/>
  <c r="AU254" i="32" s="1"/>
  <c r="BP254" i="32"/>
  <c r="AR254" i="32"/>
  <c r="AQ259" i="32"/>
  <c r="BR259" i="32" s="1"/>
  <c r="AP269" i="32"/>
  <c r="BT263" i="32"/>
  <c r="AH267" i="32"/>
  <c r="AU267" i="32" s="1"/>
  <c r="BP267" i="32"/>
  <c r="BQ268" i="32"/>
  <c r="AS268" i="32"/>
  <c r="Q271" i="32"/>
  <c r="BS272" i="32"/>
  <c r="AQ272" i="32"/>
  <c r="BR272" i="32" s="1"/>
  <c r="BK283" i="32"/>
  <c r="AS280" i="32"/>
  <c r="BQ280" i="32"/>
  <c r="AH281" i="32"/>
  <c r="AU281" i="32" s="1"/>
  <c r="AR281" i="32"/>
  <c r="BP281" i="32"/>
  <c r="V290" i="32"/>
  <c r="BT291" i="32"/>
  <c r="BT292" i="32" s="1"/>
  <c r="AP292" i="32"/>
  <c r="BP266" i="32"/>
  <c r="BL276" i="32"/>
  <c r="BW280" i="32"/>
  <c r="BW283" i="32" s="1"/>
  <c r="AO283" i="32"/>
  <c r="M290" i="32"/>
  <c r="AF290" i="32"/>
  <c r="BP284" i="32"/>
  <c r="AR284" i="32"/>
  <c r="BK290" i="32"/>
  <c r="BY284" i="32"/>
  <c r="BM284" i="32"/>
  <c r="Q285" i="32"/>
  <c r="P285" i="32"/>
  <c r="BT287" i="32"/>
  <c r="AS289" i="32"/>
  <c r="BQ282" i="32"/>
  <c r="AS282" i="32"/>
  <c r="V283" i="32"/>
  <c r="BO289" i="32"/>
  <c r="Q289" i="32"/>
  <c r="AR289" i="32"/>
  <c r="V292" i="32"/>
  <c r="AF291" i="32"/>
  <c r="AS249" i="32"/>
  <c r="AR250" i="32"/>
  <c r="AS259" i="32"/>
  <c r="AR260" i="32"/>
  <c r="BY266" i="32"/>
  <c r="BM266" i="32"/>
  <c r="BX266" i="32" s="1"/>
  <c r="BQ272" i="32"/>
  <c r="AS272" i="32"/>
  <c r="AQ278" i="32"/>
  <c r="BR278" i="32" s="1"/>
  <c r="BS278" i="32"/>
  <c r="P282" i="32"/>
  <c r="S290" i="32"/>
  <c r="BQ286" i="32"/>
  <c r="AS286" i="32"/>
  <c r="AV289" i="32"/>
  <c r="BQ289" i="32"/>
  <c r="BP277" i="32"/>
  <c r="AR277" i="32"/>
  <c r="AQ277" i="32"/>
  <c r="BY280" i="32"/>
  <c r="BM280" i="32"/>
  <c r="BX280" i="32" s="1"/>
  <c r="Q281" i="32"/>
  <c r="I281" i="32" s="1"/>
  <c r="AH282" i="32"/>
  <c r="AU282" i="32" s="1"/>
  <c r="BP287" i="32"/>
  <c r="AR287" i="32"/>
  <c r="AH287" i="32"/>
  <c r="AU287" i="32" s="1"/>
  <c r="P289" i="32"/>
  <c r="AP283" i="32"/>
  <c r="AY290" i="32"/>
  <c r="BW284" i="32"/>
  <c r="BW290" i="32" s="1"/>
  <c r="P286" i="32"/>
  <c r="Q286" i="32"/>
  <c r="AQ288" i="32"/>
  <c r="BR288" i="32" s="1"/>
  <c r="AB296" i="32"/>
  <c r="W19" i="31"/>
  <c r="AG16" i="31"/>
  <c r="AH16" i="31" s="1"/>
  <c r="W23" i="31"/>
  <c r="AG20" i="31"/>
  <c r="BS19" i="31"/>
  <c r="S19" i="31"/>
  <c r="S23" i="31"/>
  <c r="BW32" i="31"/>
  <c r="BQ27" i="31"/>
  <c r="AS27" i="31"/>
  <c r="BQ28" i="31"/>
  <c r="AS28" i="31"/>
  <c r="BQ29" i="31"/>
  <c r="AS29" i="31"/>
  <c r="AG85" i="31"/>
  <c r="BK85" i="31"/>
  <c r="BY30" i="31"/>
  <c r="BM30" i="31"/>
  <c r="BX30" i="31" s="1"/>
  <c r="AR37" i="31"/>
  <c r="BP37" i="31"/>
  <c r="AH37" i="31"/>
  <c r="AU37" i="31" s="1"/>
  <c r="BT81" i="31"/>
  <c r="BT48" i="31"/>
  <c r="W78" i="31"/>
  <c r="W15" i="31"/>
  <c r="AG12" i="31"/>
  <c r="W87" i="31"/>
  <c r="W25" i="31"/>
  <c r="AG24" i="31"/>
  <c r="AH28" i="31"/>
  <c r="BP28" i="31"/>
  <c r="AR28" i="31"/>
  <c r="J78" i="31"/>
  <c r="J15" i="31"/>
  <c r="Q12" i="31"/>
  <c r="P12" i="31"/>
  <c r="J19" i="31"/>
  <c r="Q16" i="31"/>
  <c r="P16" i="31"/>
  <c r="J23" i="31"/>
  <c r="Q20" i="31"/>
  <c r="P20" i="31"/>
  <c r="J87" i="31"/>
  <c r="Q24" i="31"/>
  <c r="P24" i="31"/>
  <c r="J25" i="31"/>
  <c r="AH27" i="31"/>
  <c r="AR31" i="31"/>
  <c r="BP35" i="31"/>
  <c r="AH35" i="31"/>
  <c r="AU35" i="31" s="1"/>
  <c r="AR35" i="31"/>
  <c r="BT13" i="31"/>
  <c r="AO84" i="31"/>
  <c r="AQ14" i="31"/>
  <c r="BR14" i="31" s="1"/>
  <c r="BT17" i="31"/>
  <c r="BT19" i="31" s="1"/>
  <c r="BT21" i="31"/>
  <c r="BT23" i="31" s="1"/>
  <c r="Q28" i="31"/>
  <c r="P28" i="31"/>
  <c r="AQ28" i="31"/>
  <c r="BR28" i="31" s="1"/>
  <c r="BL32" i="31"/>
  <c r="BU29" i="31"/>
  <c r="AY78" i="31"/>
  <c r="BW12" i="31"/>
  <c r="AY15" i="31"/>
  <c r="BY15" i="31"/>
  <c r="S84" i="31"/>
  <c r="BS14" i="31"/>
  <c r="BW16" i="31"/>
  <c r="BW19" i="31" s="1"/>
  <c r="AY19" i="31"/>
  <c r="BW20" i="31"/>
  <c r="BW23" i="31" s="1"/>
  <c r="AY23" i="31"/>
  <c r="AY87" i="31"/>
  <c r="AY25" i="31"/>
  <c r="BW24" i="31"/>
  <c r="BY26" i="31"/>
  <c r="BM26" i="31"/>
  <c r="BX26" i="31" s="1"/>
  <c r="BQ31" i="31"/>
  <c r="AS31" i="31"/>
  <c r="BP33" i="31"/>
  <c r="AF38" i="31"/>
  <c r="AH33" i="31"/>
  <c r="AR33" i="31"/>
  <c r="BQ36" i="31"/>
  <c r="AS36" i="31"/>
  <c r="BP12" i="31"/>
  <c r="AR12" i="31"/>
  <c r="V15" i="31"/>
  <c r="AF13" i="31"/>
  <c r="AF15" i="31" s="1"/>
  <c r="BP16" i="31"/>
  <c r="AR16" i="31"/>
  <c r="V19" i="31"/>
  <c r="AF17" i="31"/>
  <c r="AF19" i="31" s="1"/>
  <c r="BP20" i="31"/>
  <c r="AR20" i="31"/>
  <c r="V23" i="31"/>
  <c r="AF21" i="31"/>
  <c r="AF23" i="31" s="1"/>
  <c r="M32" i="31"/>
  <c r="AH31" i="31"/>
  <c r="AO38" i="31"/>
  <c r="BQ41" i="31"/>
  <c r="AS41" i="31"/>
  <c r="BY51" i="31"/>
  <c r="BY52" i="31" s="1"/>
  <c r="BM51" i="31"/>
  <c r="BX51" i="31" s="1"/>
  <c r="BK52" i="31"/>
  <c r="M78" i="31"/>
  <c r="AQ13" i="31"/>
  <c r="BR13" i="31" s="1"/>
  <c r="V84" i="31"/>
  <c r="AP84" i="31"/>
  <c r="BT14" i="31"/>
  <c r="N74" i="31"/>
  <c r="G17" i="47" s="1"/>
  <c r="T74" i="31"/>
  <c r="M17" i="47" s="1"/>
  <c r="Z74" i="31"/>
  <c r="S17" i="47" s="1"/>
  <c r="AM74" i="31"/>
  <c r="AF17" i="47" s="1"/>
  <c r="BE74" i="31"/>
  <c r="AX17" i="47" s="1"/>
  <c r="AQ17" i="31"/>
  <c r="BR17" i="31" s="1"/>
  <c r="I18" i="31"/>
  <c r="AQ21" i="31"/>
  <c r="BR21" i="31" s="1"/>
  <c r="AF24" i="31"/>
  <c r="V25" i="31"/>
  <c r="AO25" i="31"/>
  <c r="Q26" i="31"/>
  <c r="BL79" i="31"/>
  <c r="P27" i="31"/>
  <c r="BZ28" i="31"/>
  <c r="BZ32" i="31" s="1"/>
  <c r="BM29" i="31"/>
  <c r="BX29" i="31" s="1"/>
  <c r="Q30" i="31"/>
  <c r="I30" i="31" s="1"/>
  <c r="BL85" i="31"/>
  <c r="P31" i="31"/>
  <c r="W38" i="31"/>
  <c r="BK38" i="31"/>
  <c r="BS34" i="31"/>
  <c r="BY35" i="31"/>
  <c r="BM35" i="31"/>
  <c r="BX35" i="31" s="1"/>
  <c r="BT35" i="31"/>
  <c r="Q37" i="31"/>
  <c r="V38" i="31"/>
  <c r="BK86" i="31"/>
  <c r="BY39" i="31"/>
  <c r="BM39" i="31"/>
  <c r="BK40" i="31"/>
  <c r="J43" i="31"/>
  <c r="BP42" i="31"/>
  <c r="AR42" i="31"/>
  <c r="S48" i="31"/>
  <c r="AS46" i="31"/>
  <c r="BS53" i="31"/>
  <c r="AO57" i="31"/>
  <c r="AQ53" i="31"/>
  <c r="BR53" i="31" s="1"/>
  <c r="BY56" i="31"/>
  <c r="BM56" i="31"/>
  <c r="BX56" i="31" s="1"/>
  <c r="Q36" i="31"/>
  <c r="BK78" i="31"/>
  <c r="AY84" i="31"/>
  <c r="O74" i="31"/>
  <c r="H17" i="47" s="1"/>
  <c r="U74" i="31"/>
  <c r="N17" i="47" s="1"/>
  <c r="AA74" i="31"/>
  <c r="T17" i="47" s="1"/>
  <c r="AN74" i="31"/>
  <c r="AG17" i="47" s="1"/>
  <c r="BF74" i="31"/>
  <c r="AY17" i="47" s="1"/>
  <c r="BL19" i="31"/>
  <c r="BL23" i="31"/>
  <c r="AP25" i="31"/>
  <c r="S79" i="31"/>
  <c r="AO79" i="31"/>
  <c r="BS26" i="31"/>
  <c r="Q27" i="31"/>
  <c r="BX27" i="31"/>
  <c r="S85" i="31"/>
  <c r="AO85" i="31"/>
  <c r="BS30" i="31"/>
  <c r="Q31" i="31"/>
  <c r="X32" i="31"/>
  <c r="X74" i="31" s="1"/>
  <c r="Q17" i="47" s="1"/>
  <c r="BC32" i="31"/>
  <c r="BC74" i="31" s="1"/>
  <c r="AV17" i="47" s="1"/>
  <c r="M38" i="31"/>
  <c r="BT33" i="31"/>
  <c r="AS35" i="31"/>
  <c r="P36" i="31"/>
  <c r="BZ37" i="31"/>
  <c r="M43" i="31"/>
  <c r="AO43" i="31"/>
  <c r="AQ41" i="31"/>
  <c r="W43" i="31"/>
  <c r="AG42" i="31"/>
  <c r="V81" i="31"/>
  <c r="AF44" i="31"/>
  <c r="V48" i="31"/>
  <c r="J57" i="31"/>
  <c r="Q53" i="31"/>
  <c r="P53" i="31"/>
  <c r="W57" i="31"/>
  <c r="AH36" i="31"/>
  <c r="AU36" i="31" s="1"/>
  <c r="AP81" i="31"/>
  <c r="AP48" i="31"/>
  <c r="AQ44" i="31"/>
  <c r="BL78" i="31"/>
  <c r="AS13" i="31"/>
  <c r="AF84" i="31"/>
  <c r="AR14" i="31"/>
  <c r="BP14" i="31"/>
  <c r="AB74" i="31"/>
  <c r="U17" i="47" s="1"/>
  <c r="AO15" i="31"/>
  <c r="BA74" i="31"/>
  <c r="AT17" i="47" s="1"/>
  <c r="BG74" i="31"/>
  <c r="AZ17" i="47" s="1"/>
  <c r="AS17" i="31"/>
  <c r="AR18" i="31"/>
  <c r="BP18" i="31"/>
  <c r="AO19" i="31"/>
  <c r="AS21" i="31"/>
  <c r="AR22" i="31"/>
  <c r="BP22" i="31"/>
  <c r="AO23" i="31"/>
  <c r="V79" i="31"/>
  <c r="AP79" i="31"/>
  <c r="BT26" i="31"/>
  <c r="BS27" i="31"/>
  <c r="V85" i="31"/>
  <c r="AP85" i="31"/>
  <c r="BT30" i="31"/>
  <c r="BT85" i="31" s="1"/>
  <c r="BS31" i="31"/>
  <c r="AS34" i="31"/>
  <c r="BW34" i="31"/>
  <c r="AP86" i="31"/>
  <c r="AQ39" i="31"/>
  <c r="BR39" i="31" s="1"/>
  <c r="AP40" i="31"/>
  <c r="P42" i="31"/>
  <c r="AR47" i="31"/>
  <c r="BP47" i="31"/>
  <c r="AH47" i="31"/>
  <c r="BQ54" i="31"/>
  <c r="AS54" i="31"/>
  <c r="AH54" i="31"/>
  <c r="AH62" i="31"/>
  <c r="BP62" i="31"/>
  <c r="AR62" i="31"/>
  <c r="BS12" i="31"/>
  <c r="AS14" i="31"/>
  <c r="BK84" i="31"/>
  <c r="BQ14" i="31"/>
  <c r="AS18" i="31"/>
  <c r="AS22" i="31"/>
  <c r="BS24" i="31"/>
  <c r="S25" i="31"/>
  <c r="J79" i="31"/>
  <c r="W79" i="31"/>
  <c r="AY79" i="31"/>
  <c r="AR29" i="31"/>
  <c r="J85" i="31"/>
  <c r="AY32" i="31"/>
  <c r="BQ37" i="31"/>
  <c r="AS37" i="31"/>
  <c r="J38" i="31"/>
  <c r="S43" i="31"/>
  <c r="BL43" i="31"/>
  <c r="BK81" i="31"/>
  <c r="BY44" i="31"/>
  <c r="BM44" i="31"/>
  <c r="BX44" i="31" s="1"/>
  <c r="BK48" i="31"/>
  <c r="BW46" i="31"/>
  <c r="BW48" i="31" s="1"/>
  <c r="AY48" i="31"/>
  <c r="AQ50" i="31"/>
  <c r="BR50" i="31" s="1"/>
  <c r="BS50" i="31"/>
  <c r="W64" i="31"/>
  <c r="AG58" i="31"/>
  <c r="BQ63" i="31"/>
  <c r="AS63" i="31"/>
  <c r="AH63" i="31"/>
  <c r="V78" i="31"/>
  <c r="AP78" i="31"/>
  <c r="BT12" i="31"/>
  <c r="BZ12" i="31"/>
  <c r="BM13" i="31"/>
  <c r="BX13" i="31" s="1"/>
  <c r="AH14" i="31"/>
  <c r="AU14" i="31" s="1"/>
  <c r="BL84" i="31"/>
  <c r="L74" i="31"/>
  <c r="E17" i="47" s="1"/>
  <c r="BI74" i="31"/>
  <c r="BB17" i="47" s="1"/>
  <c r="BM17" i="31"/>
  <c r="BX17" i="31" s="1"/>
  <c r="BM21" i="31"/>
  <c r="BX21" i="31" s="1"/>
  <c r="BT24" i="31"/>
  <c r="BZ24" i="31"/>
  <c r="M79" i="31"/>
  <c r="AF26" i="31"/>
  <c r="M85" i="31"/>
  <c r="AF30" i="31"/>
  <c r="S38" i="31"/>
  <c r="AQ33" i="31"/>
  <c r="AH34" i="31"/>
  <c r="AU34" i="31" s="1"/>
  <c r="BQ34" i="31"/>
  <c r="AR36" i="31"/>
  <c r="V86" i="31"/>
  <c r="V40" i="31"/>
  <c r="AF39" i="31"/>
  <c r="BT39" i="31"/>
  <c r="Q42" i="31"/>
  <c r="Q43" i="31" s="1"/>
  <c r="BO45" i="31"/>
  <c r="AS47" i="31"/>
  <c r="BQ47" i="31"/>
  <c r="AO52" i="31"/>
  <c r="BS49" i="31"/>
  <c r="AR49" i="31"/>
  <c r="AQ49" i="31"/>
  <c r="Q54" i="31"/>
  <c r="P54" i="31"/>
  <c r="BT41" i="31"/>
  <c r="BT43" i="31" s="1"/>
  <c r="BM42" i="31"/>
  <c r="BX42" i="31" s="1"/>
  <c r="BP46" i="31"/>
  <c r="AR46" i="31"/>
  <c r="AQ46" i="31"/>
  <c r="BR46" i="31" s="1"/>
  <c r="BM47" i="31"/>
  <c r="BX47" i="31" s="1"/>
  <c r="J48" i="31"/>
  <c r="Q50" i="31"/>
  <c r="I50" i="31" s="1"/>
  <c r="BP51" i="31"/>
  <c r="AR51" i="31"/>
  <c r="AS51" i="31"/>
  <c r="S52" i="31"/>
  <c r="AF52" i="31"/>
  <c r="BT53" i="31"/>
  <c r="BT57" i="31" s="1"/>
  <c r="AP57" i="31"/>
  <c r="BK57" i="31"/>
  <c r="AS55" i="31"/>
  <c r="BM55" i="31"/>
  <c r="BX55" i="31" s="1"/>
  <c r="BW58" i="31"/>
  <c r="BW64" i="31" s="1"/>
  <c r="AY64" i="31"/>
  <c r="Q61" i="31"/>
  <c r="AH61" i="31"/>
  <c r="AR61" i="31"/>
  <c r="BS39" i="31"/>
  <c r="M40" i="31"/>
  <c r="S40" i="31"/>
  <c r="AY43" i="31"/>
  <c r="M81" i="31"/>
  <c r="AQ47" i="31"/>
  <c r="BR47" i="31" s="1"/>
  <c r="W48" i="31"/>
  <c r="V52" i="31"/>
  <c r="AY52" i="31"/>
  <c r="BP55" i="31"/>
  <c r="AR55" i="31"/>
  <c r="AH55" i="31"/>
  <c r="AS56" i="31"/>
  <c r="P58" i="31"/>
  <c r="J64" i="31"/>
  <c r="Q58" i="31"/>
  <c r="AQ58" i="31"/>
  <c r="BS58" i="31"/>
  <c r="BQ59" i="31"/>
  <c r="AS59" i="31"/>
  <c r="BY59" i="31"/>
  <c r="BM59" i="31"/>
  <c r="BX59" i="31" s="1"/>
  <c r="BP60" i="31"/>
  <c r="V67" i="31"/>
  <c r="AF65" i="31"/>
  <c r="BW81" i="31"/>
  <c r="AR45" i="31"/>
  <c r="BP45" i="31"/>
  <c r="AG52" i="31"/>
  <c r="BQ49" i="31"/>
  <c r="AS49" i="31"/>
  <c r="BP50" i="31"/>
  <c r="AR50" i="31"/>
  <c r="BS54" i="31"/>
  <c r="BY61" i="31"/>
  <c r="BM61" i="31"/>
  <c r="BX61" i="31" s="1"/>
  <c r="Q62" i="31"/>
  <c r="P62" i="31"/>
  <c r="W67" i="31"/>
  <c r="AG65" i="31"/>
  <c r="BS66" i="31"/>
  <c r="BS67" i="31" s="1"/>
  <c r="AQ66" i="31"/>
  <c r="BR66" i="31" s="1"/>
  <c r="AO67" i="31"/>
  <c r="AS33" i="31"/>
  <c r="AR34" i="31"/>
  <c r="BL40" i="31"/>
  <c r="P41" i="31"/>
  <c r="Q44" i="31"/>
  <c r="BL81" i="31"/>
  <c r="BL48" i="31"/>
  <c r="AS45" i="31"/>
  <c r="AH46" i="31"/>
  <c r="AU46" i="31" s="1"/>
  <c r="M48" i="31"/>
  <c r="J52" i="31"/>
  <c r="P49" i="31"/>
  <c r="BQ50" i="31"/>
  <c r="AS50" i="31"/>
  <c r="AH51" i="31"/>
  <c r="W52" i="31"/>
  <c r="AG57" i="31"/>
  <c r="BQ53" i="31"/>
  <c r="AS53" i="31"/>
  <c r="AH56" i="31"/>
  <c r="AU56" i="31" s="1"/>
  <c r="AQ62" i="31"/>
  <c r="BR62" i="31" s="1"/>
  <c r="S81" i="31"/>
  <c r="AO81" i="31"/>
  <c r="BS44" i="31"/>
  <c r="AH49" i="31"/>
  <c r="AU49" i="31" s="1"/>
  <c r="AH50" i="31"/>
  <c r="AQ51" i="31"/>
  <c r="BR51" i="31" s="1"/>
  <c r="AF53" i="31"/>
  <c r="AY57" i="31"/>
  <c r="BW53" i="31"/>
  <c r="BW57" i="31" s="1"/>
  <c r="AF58" i="31"/>
  <c r="V64" i="31"/>
  <c r="AH60" i="31"/>
  <c r="AU60" i="31" s="1"/>
  <c r="J73" i="31"/>
  <c r="Q68" i="31"/>
  <c r="P68" i="31"/>
  <c r="BL57" i="31"/>
  <c r="BZ53" i="31"/>
  <c r="BZ57" i="31" s="1"/>
  <c r="AP64" i="31"/>
  <c r="BK64" i="31"/>
  <c r="BP59" i="31"/>
  <c r="AR59" i="31"/>
  <c r="BY60" i="31"/>
  <c r="BM60" i="31"/>
  <c r="BX60" i="31" s="1"/>
  <c r="BQ62" i="31"/>
  <c r="AS62" i="31"/>
  <c r="AH66" i="31"/>
  <c r="AU66" i="31" s="1"/>
  <c r="AR66" i="31"/>
  <c r="M73" i="31"/>
  <c r="AS69" i="31"/>
  <c r="S73" i="31"/>
  <c r="BP54" i="31"/>
  <c r="AR54" i="31"/>
  <c r="AQ55" i="31"/>
  <c r="BR55" i="31" s="1"/>
  <c r="S64" i="31"/>
  <c r="BL64" i="31"/>
  <c r="BT64" i="31"/>
  <c r="P63" i="31"/>
  <c r="Q63" i="31"/>
  <c r="Q65" i="31"/>
  <c r="P65" i="31"/>
  <c r="J67" i="31"/>
  <c r="BY65" i="31"/>
  <c r="BY67" i="31" s="1"/>
  <c r="BM65" i="31"/>
  <c r="BK67" i="31"/>
  <c r="AH70" i="31"/>
  <c r="BP70" i="31"/>
  <c r="AH69" i="31"/>
  <c r="AR69" i="31"/>
  <c r="BP69" i="31"/>
  <c r="BQ71" i="31"/>
  <c r="AS71" i="31"/>
  <c r="AQ72" i="31"/>
  <c r="BR72" i="31" s="1"/>
  <c r="BS72" i="31"/>
  <c r="Q66" i="31"/>
  <c r="P66" i="31"/>
  <c r="AG73" i="31"/>
  <c r="BQ68" i="31"/>
  <c r="AS68" i="31"/>
  <c r="Q69" i="31"/>
  <c r="P69" i="31"/>
  <c r="AH71" i="31"/>
  <c r="W73" i="31"/>
  <c r="BW66" i="31"/>
  <c r="BW84" i="31" s="1"/>
  <c r="AY67" i="31"/>
  <c r="BK73" i="31"/>
  <c r="BY68" i="31"/>
  <c r="BM68" i="31"/>
  <c r="P71" i="31"/>
  <c r="Q71" i="31"/>
  <c r="AR68" i="31"/>
  <c r="BL73" i="31"/>
  <c r="BZ68" i="31"/>
  <c r="BZ73" i="31" s="1"/>
  <c r="BQ70" i="31"/>
  <c r="AS70" i="31"/>
  <c r="BS60" i="31"/>
  <c r="BW73" i="31"/>
  <c r="BS71" i="31"/>
  <c r="BP72" i="31"/>
  <c r="AR72" i="31"/>
  <c r="AS72" i="31"/>
  <c r="AF73" i="31"/>
  <c r="BY62" i="31"/>
  <c r="BQ66" i="31"/>
  <c r="AS66" i="31"/>
  <c r="AH68" i="31"/>
  <c r="AQ69" i="31"/>
  <c r="BR69" i="31" s="1"/>
  <c r="BY69" i="31"/>
  <c r="BM69" i="31"/>
  <c r="BX69" i="31" s="1"/>
  <c r="Q70" i="31"/>
  <c r="P70" i="31"/>
  <c r="AP67" i="31"/>
  <c r="S67" i="31"/>
  <c r="AY73" i="31"/>
  <c r="BP71" i="31"/>
  <c r="AR71" i="31"/>
  <c r="AO73" i="31"/>
  <c r="BS68" i="31"/>
  <c r="AA77" i="31"/>
  <c r="BA77" i="31"/>
  <c r="BG77" i="31"/>
  <c r="BT68" i="31"/>
  <c r="BT73" i="31" s="1"/>
  <c r="U77" i="31"/>
  <c r="AB77" i="31"/>
  <c r="AR25" i="30"/>
  <c r="AS52" i="30"/>
  <c r="BQ52" i="30"/>
  <c r="AP110" i="30"/>
  <c r="BT14" i="30"/>
  <c r="L100" i="30"/>
  <c r="E16" i="47" s="1"/>
  <c r="AM100" i="30"/>
  <c r="AF16" i="47" s="1"/>
  <c r="BF100" i="30"/>
  <c r="AY16" i="47" s="1"/>
  <c r="AY113" i="30"/>
  <c r="AY17" i="30"/>
  <c r="BW16" i="30"/>
  <c r="AY111" i="30"/>
  <c r="AY23" i="30"/>
  <c r="BW20" i="30"/>
  <c r="P22" i="30"/>
  <c r="Q22" i="30"/>
  <c r="BZ22" i="30"/>
  <c r="BP24" i="30"/>
  <c r="AH24" i="30"/>
  <c r="BZ24" i="30"/>
  <c r="BZ28" i="30" s="1"/>
  <c r="AS25" i="30"/>
  <c r="BQ25" i="30"/>
  <c r="W28" i="30"/>
  <c r="W112" i="30"/>
  <c r="W30" i="30"/>
  <c r="AG29" i="30"/>
  <c r="AY37" i="30"/>
  <c r="BW31" i="30"/>
  <c r="W107" i="30"/>
  <c r="AG32" i="30"/>
  <c r="AQ35" i="30"/>
  <c r="BR35" i="30" s="1"/>
  <c r="BS35" i="30"/>
  <c r="S44" i="30"/>
  <c r="AH47" i="30"/>
  <c r="AR47" i="30"/>
  <c r="BP47" i="30"/>
  <c r="BY47" i="30"/>
  <c r="BY48" i="30" s="1"/>
  <c r="BM47" i="30"/>
  <c r="BX47" i="30" s="1"/>
  <c r="AR49" i="30"/>
  <c r="BS52" i="30"/>
  <c r="AQ52" i="30"/>
  <c r="BR52" i="30" s="1"/>
  <c r="J61" i="30"/>
  <c r="AH56" i="30"/>
  <c r="BP56" i="30"/>
  <c r="AR56" i="30"/>
  <c r="AH63" i="30"/>
  <c r="AU63" i="30" s="1"/>
  <c r="BP63" i="30"/>
  <c r="AR63" i="30"/>
  <c r="V105" i="30"/>
  <c r="AF18" i="30"/>
  <c r="V23" i="30"/>
  <c r="BQ22" i="30"/>
  <c r="AS22" i="30"/>
  <c r="BP26" i="30"/>
  <c r="AH26" i="30"/>
  <c r="V28" i="30"/>
  <c r="V112" i="30"/>
  <c r="V30" i="30"/>
  <c r="AF29" i="30"/>
  <c r="X44" i="30"/>
  <c r="AF40" i="30"/>
  <c r="AF44" i="30" s="1"/>
  <c r="BT45" i="30"/>
  <c r="BT48" i="30" s="1"/>
  <c r="AP48" i="30"/>
  <c r="AS45" i="30"/>
  <c r="AF51" i="30"/>
  <c r="AF54" i="30" s="1"/>
  <c r="V54" i="30"/>
  <c r="M54" i="30"/>
  <c r="BM63" i="30"/>
  <c r="BX63" i="30" s="1"/>
  <c r="BY63" i="30"/>
  <c r="BK65" i="30"/>
  <c r="M15" i="30"/>
  <c r="V113" i="30"/>
  <c r="V17" i="30"/>
  <c r="AF16" i="30"/>
  <c r="AO105" i="30"/>
  <c r="AQ18" i="30"/>
  <c r="BR18" i="30" s="1"/>
  <c r="BS18" i="30"/>
  <c r="BP19" i="30"/>
  <c r="AH19" i="30"/>
  <c r="AU19" i="30" s="1"/>
  <c r="V111" i="30"/>
  <c r="AF20" i="30"/>
  <c r="M28" i="30"/>
  <c r="BQ24" i="30"/>
  <c r="AG28" i="30"/>
  <c r="BS27" i="30"/>
  <c r="AQ27" i="30"/>
  <c r="BR27" i="30" s="1"/>
  <c r="AP28" i="30"/>
  <c r="AR31" i="30"/>
  <c r="BY43" i="30"/>
  <c r="BM43" i="30"/>
  <c r="BX43" i="30" s="1"/>
  <c r="V48" i="30"/>
  <c r="AF45" i="30"/>
  <c r="Q47" i="30"/>
  <c r="P47" i="30"/>
  <c r="BL54" i="30"/>
  <c r="BZ53" i="30"/>
  <c r="M61" i="30"/>
  <c r="AF61" i="30"/>
  <c r="BP55" i="30"/>
  <c r="AH55" i="30"/>
  <c r="Q56" i="30"/>
  <c r="P56" i="30"/>
  <c r="J113" i="30"/>
  <c r="J17" i="30"/>
  <c r="Q16" i="30"/>
  <c r="P16" i="30"/>
  <c r="BY35" i="30"/>
  <c r="BM35" i="30"/>
  <c r="BX35" i="30" s="1"/>
  <c r="BP22" i="30"/>
  <c r="AH22" i="30"/>
  <c r="AU22" i="30" s="1"/>
  <c r="AP37" i="30"/>
  <c r="BT31" i="30"/>
  <c r="BT37" i="30" s="1"/>
  <c r="AQ31" i="30"/>
  <c r="BR31" i="30" s="1"/>
  <c r="BS33" i="30"/>
  <c r="AQ38" i="30"/>
  <c r="BS38" i="30"/>
  <c r="AO44" i="30"/>
  <c r="BQ41" i="30"/>
  <c r="AS41" i="30"/>
  <c r="BM58" i="30"/>
  <c r="BX58" i="30" s="1"/>
  <c r="BQ13" i="30"/>
  <c r="AS13" i="30"/>
  <c r="AY110" i="30"/>
  <c r="BW14" i="30"/>
  <c r="Z100" i="30"/>
  <c r="S16" i="47" s="1"/>
  <c r="W113" i="30"/>
  <c r="W17" i="30"/>
  <c r="AG16" i="30"/>
  <c r="AP105" i="30"/>
  <c r="AP23" i="30"/>
  <c r="BT18" i="30"/>
  <c r="AS18" i="30"/>
  <c r="AR21" i="30"/>
  <c r="BK28" i="30"/>
  <c r="BY24" i="30"/>
  <c r="BM24" i="30"/>
  <c r="AO28" i="30"/>
  <c r="BY26" i="30"/>
  <c r="BL104" i="30"/>
  <c r="BZ12" i="30"/>
  <c r="AP113" i="30"/>
  <c r="AP17" i="30"/>
  <c r="BT16" i="30"/>
  <c r="AP111" i="30"/>
  <c r="BT20" i="30"/>
  <c r="AQ20" i="30"/>
  <c r="BR20" i="30" s="1"/>
  <c r="BS21" i="30"/>
  <c r="AQ21" i="30"/>
  <c r="BR21" i="30" s="1"/>
  <c r="BZ46" i="30"/>
  <c r="BZ48" i="30" s="1"/>
  <c r="BL48" i="30"/>
  <c r="AP54" i="30"/>
  <c r="BT49" i="30"/>
  <c r="BY12" i="30"/>
  <c r="BM12" i="30"/>
  <c r="X104" i="30"/>
  <c r="X15" i="30"/>
  <c r="AY15" i="30"/>
  <c r="BW13" i="30"/>
  <c r="V110" i="30"/>
  <c r="AF14" i="30"/>
  <c r="R100" i="30"/>
  <c r="K16" i="47" s="1"/>
  <c r="S105" i="30"/>
  <c r="S23" i="30"/>
  <c r="BM19" i="30"/>
  <c r="BX19" i="30" s="1"/>
  <c r="AS21" i="30"/>
  <c r="BQ21" i="30"/>
  <c r="AR22" i="30"/>
  <c r="M23" i="30"/>
  <c r="AR26" i="30"/>
  <c r="AS31" i="30"/>
  <c r="AO37" i="30"/>
  <c r="BL44" i="30"/>
  <c r="BZ38" i="30"/>
  <c r="BZ44" i="30" s="1"/>
  <c r="BM38" i="30"/>
  <c r="AS39" i="30"/>
  <c r="AG44" i="30"/>
  <c r="AH39" i="30"/>
  <c r="AQ49" i="30"/>
  <c r="BS49" i="30"/>
  <c r="AO54" i="30"/>
  <c r="BL61" i="30"/>
  <c r="BZ55" i="30"/>
  <c r="BZ61" i="30" s="1"/>
  <c r="BQ58" i="30"/>
  <c r="AH58" i="30"/>
  <c r="AH59" i="30"/>
  <c r="AU59" i="30" s="1"/>
  <c r="BP59" i="30"/>
  <c r="BQ64" i="30"/>
  <c r="AS64" i="30"/>
  <c r="BQ63" i="30"/>
  <c r="AS63" i="30"/>
  <c r="S104" i="30"/>
  <c r="AO104" i="30"/>
  <c r="BS12" i="30"/>
  <c r="Q13" i="30"/>
  <c r="J110" i="30"/>
  <c r="W110" i="30"/>
  <c r="AG14" i="30"/>
  <c r="T100" i="30"/>
  <c r="M16" i="47" s="1"/>
  <c r="AA100" i="30"/>
  <c r="T16" i="47" s="1"/>
  <c r="AN100" i="30"/>
  <c r="AG16" i="47" s="1"/>
  <c r="M113" i="30"/>
  <c r="M17" i="30"/>
  <c r="BK113" i="30"/>
  <c r="BY16" i="30"/>
  <c r="BM16" i="30"/>
  <c r="BZ16" i="30"/>
  <c r="Q19" i="30"/>
  <c r="J111" i="30"/>
  <c r="W111" i="30"/>
  <c r="Q24" i="30"/>
  <c r="X105" i="30"/>
  <c r="X28" i="30"/>
  <c r="J112" i="30"/>
  <c r="P29" i="30"/>
  <c r="J30" i="30"/>
  <c r="BK37" i="30"/>
  <c r="BY31" i="30"/>
  <c r="BM31" i="30"/>
  <c r="J107" i="30"/>
  <c r="Q32" i="30"/>
  <c r="P32" i="30"/>
  <c r="AO107" i="30"/>
  <c r="AY107" i="30"/>
  <c r="BW32" i="30"/>
  <c r="BL37" i="30"/>
  <c r="BS34" i="30"/>
  <c r="BO35" i="30"/>
  <c r="BP38" i="30"/>
  <c r="AR38" i="30"/>
  <c r="BS39" i="30"/>
  <c r="BM41" i="30"/>
  <c r="BX41" i="30" s="1"/>
  <c r="AR46" i="30"/>
  <c r="AG48" i="30"/>
  <c r="BY50" i="30"/>
  <c r="BQ53" i="30"/>
  <c r="AS53" i="30"/>
  <c r="AR53" i="30"/>
  <c r="AG54" i="30"/>
  <c r="AS55" i="30"/>
  <c r="BY56" i="30"/>
  <c r="AH57" i="30"/>
  <c r="AU57" i="30" s="1"/>
  <c r="AR57" i="30"/>
  <c r="Q58" i="30"/>
  <c r="AR60" i="30"/>
  <c r="BM60" i="30"/>
  <c r="BX60" i="30" s="1"/>
  <c r="AG61" i="30"/>
  <c r="AY65" i="30"/>
  <c r="V71" i="30"/>
  <c r="AF66" i="30"/>
  <c r="AH69" i="30"/>
  <c r="AS69" i="30"/>
  <c r="BQ69" i="30"/>
  <c r="BQ70" i="30"/>
  <c r="AS70" i="30"/>
  <c r="BY70" i="30"/>
  <c r="BM70" i="30"/>
  <c r="BX70" i="30" s="1"/>
  <c r="AP71" i="30"/>
  <c r="BW78" i="30"/>
  <c r="BW81" i="30" s="1"/>
  <c r="BT87" i="30"/>
  <c r="BT98" i="30"/>
  <c r="AQ98" i="30"/>
  <c r="BR98" i="30" s="1"/>
  <c r="BP62" i="30"/>
  <c r="AR62" i="30"/>
  <c r="S71" i="30"/>
  <c r="V104" i="30"/>
  <c r="AP104" i="30"/>
  <c r="AP15" i="30"/>
  <c r="BT12" i="30"/>
  <c r="M110" i="30"/>
  <c r="BL110" i="30"/>
  <c r="BS14" i="30"/>
  <c r="BZ14" i="30"/>
  <c r="BZ110" i="30" s="1"/>
  <c r="N100" i="30"/>
  <c r="G16" i="47" s="1"/>
  <c r="U100" i="30"/>
  <c r="N16" i="47" s="1"/>
  <c r="AB100" i="30"/>
  <c r="U16" i="47" s="1"/>
  <c r="AO15" i="30"/>
  <c r="BI100" i="30"/>
  <c r="BB16" i="47" s="1"/>
  <c r="M105" i="30"/>
  <c r="BY18" i="30"/>
  <c r="M111" i="30"/>
  <c r="BK111" i="30"/>
  <c r="BY20" i="30"/>
  <c r="BM20" i="30"/>
  <c r="BP21" i="30"/>
  <c r="BK23" i="30"/>
  <c r="BQ27" i="30"/>
  <c r="AO112" i="30"/>
  <c r="AO30" i="30"/>
  <c r="AY112" i="30"/>
  <c r="BW29" i="30"/>
  <c r="BZ29" i="30"/>
  <c r="M107" i="30"/>
  <c r="AP107" i="30"/>
  <c r="BZ107" i="30"/>
  <c r="BP33" i="30"/>
  <c r="AR33" i="30"/>
  <c r="BY36" i="30"/>
  <c r="BM36" i="30"/>
  <c r="BX36" i="30" s="1"/>
  <c r="V37" i="30"/>
  <c r="BS42" i="30"/>
  <c r="AQ42" i="30"/>
  <c r="BR42" i="30" s="1"/>
  <c r="BQ43" i="30"/>
  <c r="BS46" i="30"/>
  <c r="BS48" i="30" s="1"/>
  <c r="AO48" i="30"/>
  <c r="AH49" i="30"/>
  <c r="BT61" i="30"/>
  <c r="AS59" i="30"/>
  <c r="AT59" i="30" s="1"/>
  <c r="BQ60" i="30"/>
  <c r="AS60" i="30"/>
  <c r="BW65" i="30"/>
  <c r="AF65" i="30"/>
  <c r="BZ71" i="30"/>
  <c r="BT74" i="30"/>
  <c r="BT75" i="30" s="1"/>
  <c r="AQ74" i="30"/>
  <c r="BR74" i="30" s="1"/>
  <c r="AS83" i="30"/>
  <c r="BQ83" i="30"/>
  <c r="Q97" i="30"/>
  <c r="P97" i="30"/>
  <c r="BQ97" i="30"/>
  <c r="AS97" i="30"/>
  <c r="BP70" i="30"/>
  <c r="AH70" i="30"/>
  <c r="AR70" i="30"/>
  <c r="J104" i="30"/>
  <c r="W104" i="30"/>
  <c r="W15" i="30"/>
  <c r="AQ12" i="30"/>
  <c r="AY104" i="30"/>
  <c r="P14" i="30"/>
  <c r="BM14" i="30"/>
  <c r="O100" i="30"/>
  <c r="H16" i="47" s="1"/>
  <c r="V15" i="30"/>
  <c r="AX100" i="30"/>
  <c r="AQ16" i="47" s="1"/>
  <c r="BD100" i="30"/>
  <c r="AW16" i="47" s="1"/>
  <c r="BJ100" i="30"/>
  <c r="BC16" i="47" s="1"/>
  <c r="AG105" i="30"/>
  <c r="BL105" i="30"/>
  <c r="BZ18" i="30"/>
  <c r="P20" i="30"/>
  <c r="AG20" i="30"/>
  <c r="BL111" i="30"/>
  <c r="BL23" i="30"/>
  <c r="AY28" i="30"/>
  <c r="BW24" i="30"/>
  <c r="BW28" i="30" s="1"/>
  <c r="P25" i="30"/>
  <c r="BS25" i="30"/>
  <c r="AQ26" i="30"/>
  <c r="BR26" i="30" s="1"/>
  <c r="Q29" i="30"/>
  <c r="AP112" i="30"/>
  <c r="AP30" i="30"/>
  <c r="BS29" i="30"/>
  <c r="S107" i="30"/>
  <c r="AQ32" i="30"/>
  <c r="BS32" i="30"/>
  <c r="BQ33" i="30"/>
  <c r="AS33" i="30"/>
  <c r="Q43" i="30"/>
  <c r="BP43" i="30"/>
  <c r="AH43" i="30"/>
  <c r="BW48" i="30"/>
  <c r="AH46" i="30"/>
  <c r="AU46" i="30" s="1"/>
  <c r="BQ47" i="30"/>
  <c r="BQ48" i="30" s="1"/>
  <c r="W54" i="30"/>
  <c r="BP49" i="30"/>
  <c r="AR50" i="30"/>
  <c r="Q51" i="30"/>
  <c r="P51" i="30"/>
  <c r="P53" i="30"/>
  <c r="Q53" i="30"/>
  <c r="AH53" i="30"/>
  <c r="P58" i="30"/>
  <c r="AQ59" i="30"/>
  <c r="BS59" i="30"/>
  <c r="AH60" i="30"/>
  <c r="AU60" i="30" s="1"/>
  <c r="J65" i="30"/>
  <c r="Q62" i="30"/>
  <c r="P62" i="30"/>
  <c r="AO65" i="30"/>
  <c r="BP67" i="30"/>
  <c r="AR67" i="30"/>
  <c r="AH67" i="30"/>
  <c r="AU67" i="30" s="1"/>
  <c r="BP68" i="30"/>
  <c r="AH68" i="30"/>
  <c r="AR68" i="30"/>
  <c r="Q69" i="30"/>
  <c r="P69" i="30"/>
  <c r="BZ77" i="30"/>
  <c r="BM77" i="30"/>
  <c r="BX77" i="30" s="1"/>
  <c r="AS78" i="30"/>
  <c r="BQ78" i="30"/>
  <c r="BT90" i="30"/>
  <c r="AS90" i="30"/>
  <c r="M104" i="30"/>
  <c r="AR12" i="30"/>
  <c r="BP12" i="30"/>
  <c r="AD100" i="30"/>
  <c r="W16" i="47" s="1"/>
  <c r="AJ100" i="30"/>
  <c r="BE100" i="30"/>
  <c r="AX16" i="47" s="1"/>
  <c r="AH21" i="30"/>
  <c r="AU21" i="30" s="1"/>
  <c r="BT112" i="30"/>
  <c r="BT30" i="30"/>
  <c r="S30" i="30"/>
  <c r="M37" i="30"/>
  <c r="BP34" i="30"/>
  <c r="AR34" i="30"/>
  <c r="J37" i="30"/>
  <c r="BP41" i="30"/>
  <c r="AH41" i="30"/>
  <c r="AU41" i="30" s="1"/>
  <c r="BK48" i="30"/>
  <c r="BM45" i="30"/>
  <c r="AS49" i="30"/>
  <c r="AS50" i="30"/>
  <c r="AR52" i="30"/>
  <c r="V61" i="30"/>
  <c r="BK61" i="30"/>
  <c r="BY55" i="30"/>
  <c r="BM55" i="30"/>
  <c r="AS56" i="30"/>
  <c r="BL65" i="30"/>
  <c r="BZ62" i="30"/>
  <c r="BZ65" i="30" s="1"/>
  <c r="AH64" i="30"/>
  <c r="AU64" i="30" s="1"/>
  <c r="BP64" i="30"/>
  <c r="AR64" i="30"/>
  <c r="BY64" i="30"/>
  <c r="BM64" i="30"/>
  <c r="BX64" i="30" s="1"/>
  <c r="BY68" i="30"/>
  <c r="BM68" i="30"/>
  <c r="BX68" i="30" s="1"/>
  <c r="BL75" i="30"/>
  <c r="BZ72" i="30"/>
  <c r="BZ75" i="30" s="1"/>
  <c r="AR73" i="30"/>
  <c r="BP73" i="30"/>
  <c r="AH73" i="30"/>
  <c r="AU73" i="30" s="1"/>
  <c r="BM76" i="30"/>
  <c r="BK81" i="30"/>
  <c r="BY76" i="30"/>
  <c r="BK110" i="30"/>
  <c r="K100" i="30"/>
  <c r="D16" i="47" s="1"/>
  <c r="AC100" i="30"/>
  <c r="V16" i="47" s="1"/>
  <c r="AI100" i="30"/>
  <c r="BB100" i="30"/>
  <c r="BH100" i="30"/>
  <c r="BA16" i="47" s="1"/>
  <c r="BS16" i="30"/>
  <c r="S17" i="30"/>
  <c r="J105" i="30"/>
  <c r="W105" i="30"/>
  <c r="S111" i="30"/>
  <c r="AO111" i="30"/>
  <c r="BS20" i="30"/>
  <c r="W23" i="30"/>
  <c r="BK107" i="30"/>
  <c r="BQ42" i="30"/>
  <c r="BP46" i="30"/>
  <c r="BY49" i="30"/>
  <c r="BY51" i="30"/>
  <c r="BM51" i="30"/>
  <c r="BX51" i="30" s="1"/>
  <c r="BP52" i="30"/>
  <c r="AY54" i="30"/>
  <c r="BQ57" i="30"/>
  <c r="AS57" i="30"/>
  <c r="Q70" i="30"/>
  <c r="P70" i="30"/>
  <c r="AP81" i="30"/>
  <c r="BT76" i="30"/>
  <c r="AS76" i="30"/>
  <c r="AQ77" i="30"/>
  <c r="BR77" i="30" s="1"/>
  <c r="BS77" i="30"/>
  <c r="AO81" i="30"/>
  <c r="AH78" i="30"/>
  <c r="AR78" i="30"/>
  <c r="BP78" i="30"/>
  <c r="V81" i="30"/>
  <c r="BM83" i="30"/>
  <c r="BX83" i="30" s="1"/>
  <c r="BY83" i="30"/>
  <c r="BL107" i="30"/>
  <c r="M44" i="30"/>
  <c r="AQ41" i="30"/>
  <c r="BR41" i="30" s="1"/>
  <c r="J48" i="30"/>
  <c r="BZ49" i="30"/>
  <c r="AP61" i="30"/>
  <c r="AY61" i="30"/>
  <c r="BW55" i="30"/>
  <c r="BW61" i="30" s="1"/>
  <c r="BS71" i="30"/>
  <c r="BT79" i="30"/>
  <c r="AS79" i="30"/>
  <c r="BM84" i="30"/>
  <c r="BX84" i="30" s="1"/>
  <c r="BY84" i="30"/>
  <c r="AS34" i="30"/>
  <c r="AR35" i="30"/>
  <c r="AR39" i="30"/>
  <c r="S48" i="30"/>
  <c r="AQ45" i="30"/>
  <c r="AH52" i="30"/>
  <c r="AU52" i="30" s="1"/>
  <c r="W61" i="30"/>
  <c r="BP58" i="30"/>
  <c r="AR58" i="30"/>
  <c r="BY62" i="30"/>
  <c r="BM62" i="30"/>
  <c r="P66" i="30"/>
  <c r="Q66" i="30"/>
  <c r="BK71" i="30"/>
  <c r="BY67" i="30"/>
  <c r="BM67" i="30"/>
  <c r="M75" i="30"/>
  <c r="AF75" i="30"/>
  <c r="AH72" i="30"/>
  <c r="AR72" i="30"/>
  <c r="BP72" i="30"/>
  <c r="AF81" i="30"/>
  <c r="AH76" i="30"/>
  <c r="BP76" i="30"/>
  <c r="M65" i="30"/>
  <c r="BQ66" i="30"/>
  <c r="AS66" i="30"/>
  <c r="AS68" i="30"/>
  <c r="AR69" i="30"/>
  <c r="BY73" i="30"/>
  <c r="BY74" i="30"/>
  <c r="BM74" i="30"/>
  <c r="BX74" i="30" s="1"/>
  <c r="M81" i="30"/>
  <c r="Q78" i="30"/>
  <c r="P78" i="30"/>
  <c r="BY78" i="30"/>
  <c r="BM78" i="30"/>
  <c r="BX78" i="30" s="1"/>
  <c r="AH79" i="30"/>
  <c r="AU79" i="30" s="1"/>
  <c r="AR79" i="30"/>
  <c r="W85" i="30"/>
  <c r="BL85" i="30"/>
  <c r="BZ82" i="30"/>
  <c r="BZ85" i="30" s="1"/>
  <c r="AR90" i="30"/>
  <c r="AH90" i="30"/>
  <c r="BP90" i="30"/>
  <c r="AS95" i="30"/>
  <c r="BQ95" i="30"/>
  <c r="M99" i="30"/>
  <c r="AS67" i="30"/>
  <c r="AQ72" i="30"/>
  <c r="AO75" i="30"/>
  <c r="AR77" i="30"/>
  <c r="P80" i="30"/>
  <c r="AR80" i="30"/>
  <c r="BP80" i="30"/>
  <c r="J81" i="30"/>
  <c r="M85" i="30"/>
  <c r="Q83" i="30"/>
  <c r="Q85" i="30" s="1"/>
  <c r="P83" i="30"/>
  <c r="S92" i="30"/>
  <c r="BP88" i="30"/>
  <c r="AH88" i="30"/>
  <c r="BY89" i="30"/>
  <c r="BM89" i="30"/>
  <c r="BX89" i="30" s="1"/>
  <c r="AG71" i="30"/>
  <c r="AP75" i="30"/>
  <c r="AG81" i="30"/>
  <c r="BQ77" i="30"/>
  <c r="AG85" i="30"/>
  <c r="BQ82" i="30"/>
  <c r="AR84" i="30"/>
  <c r="BP84" i="30"/>
  <c r="J85" i="30"/>
  <c r="AY92" i="30"/>
  <c r="BW86" i="30"/>
  <c r="BW92" i="30" s="1"/>
  <c r="BY87" i="30"/>
  <c r="BM87" i="30"/>
  <c r="BX87" i="30" s="1"/>
  <c r="BL92" i="30"/>
  <c r="BZ90" i="30"/>
  <c r="S99" i="30"/>
  <c r="P95" i="30"/>
  <c r="Q95" i="30"/>
  <c r="S65" i="30"/>
  <c r="BW66" i="30"/>
  <c r="BW71" i="30" s="1"/>
  <c r="AY71" i="30"/>
  <c r="BQ67" i="30"/>
  <c r="AO71" i="30"/>
  <c r="BM72" i="30"/>
  <c r="BS72" i="30"/>
  <c r="AG74" i="30"/>
  <c r="BP74" i="30"/>
  <c r="S81" i="30"/>
  <c r="AH77" i="30"/>
  <c r="AU77" i="30" s="1"/>
  <c r="Q80" i="30"/>
  <c r="AH82" i="30"/>
  <c r="AU82" i="30" s="1"/>
  <c r="BT85" i="30"/>
  <c r="BQ87" i="30"/>
  <c r="AS87" i="30"/>
  <c r="BM90" i="30"/>
  <c r="BX90" i="30" s="1"/>
  <c r="BZ91" i="30"/>
  <c r="BM91" i="30"/>
  <c r="BX91" i="30" s="1"/>
  <c r="M92" i="30"/>
  <c r="AF93" i="30"/>
  <c r="V99" i="30"/>
  <c r="AQ94" i="30"/>
  <c r="AR94" i="30"/>
  <c r="BY97" i="30"/>
  <c r="BM97" i="30"/>
  <c r="BX97" i="30" s="1"/>
  <c r="AQ68" i="30"/>
  <c r="BR68" i="30" s="1"/>
  <c r="J75" i="30"/>
  <c r="BZ76" i="30"/>
  <c r="BP77" i="30"/>
  <c r="AP85" i="30"/>
  <c r="BP82" i="30"/>
  <c r="AQ84" i="30"/>
  <c r="AP92" i="30"/>
  <c r="BZ86" i="30"/>
  <c r="AH87" i="30"/>
  <c r="AU87" i="30" s="1"/>
  <c r="BP87" i="30"/>
  <c r="AR87" i="30"/>
  <c r="AS91" i="30"/>
  <c r="W92" i="30"/>
  <c r="W99" i="30"/>
  <c r="AG93" i="30"/>
  <c r="V92" i="30"/>
  <c r="Q91" i="30"/>
  <c r="AR91" i="30"/>
  <c r="J99" i="30"/>
  <c r="Q93" i="30"/>
  <c r="I93" i="30" s="1"/>
  <c r="AY99" i="30"/>
  <c r="BW93" i="30"/>
  <c r="BW99" i="30" s="1"/>
  <c r="BS99" i="30"/>
  <c r="AQ76" i="30"/>
  <c r="BQ80" i="30"/>
  <c r="AS80" i="30"/>
  <c r="BY82" i="30"/>
  <c r="BM82" i="30"/>
  <c r="AG92" i="30"/>
  <c r="BQ86" i="30"/>
  <c r="AS86" i="30"/>
  <c r="BQ91" i="30"/>
  <c r="AO99" i="30"/>
  <c r="BK99" i="30"/>
  <c r="BM93" i="30"/>
  <c r="BX93" i="30" s="1"/>
  <c r="AH98" i="30"/>
  <c r="AU98" i="30" s="1"/>
  <c r="BP98" i="30"/>
  <c r="J92" i="30"/>
  <c r="P86" i="30"/>
  <c r="I86" i="30" s="1"/>
  <c r="AF92" i="30"/>
  <c r="AQ88" i="30"/>
  <c r="AP99" i="30"/>
  <c r="BT93" i="30"/>
  <c r="AH97" i="30"/>
  <c r="AU97" i="30" s="1"/>
  <c r="BP97" i="30"/>
  <c r="BQ98" i="30"/>
  <c r="AS98" i="30"/>
  <c r="BK92" i="30"/>
  <c r="AQ90" i="30"/>
  <c r="BR90" i="30" s="1"/>
  <c r="BP96" i="30"/>
  <c r="AB103" i="30"/>
  <c r="AS88" i="30"/>
  <c r="AR89" i="30"/>
  <c r="BY96" i="30"/>
  <c r="BM96" i="30"/>
  <c r="BX96" i="30" s="1"/>
  <c r="BA103" i="30"/>
  <c r="BQ18" i="29"/>
  <c r="BT25" i="29"/>
  <c r="BT28" i="29" s="1"/>
  <c r="P67" i="29"/>
  <c r="Q67" i="29"/>
  <c r="J70" i="29"/>
  <c r="J204" i="29"/>
  <c r="Q12" i="29"/>
  <c r="BS12" i="29"/>
  <c r="T191" i="29"/>
  <c r="M15" i="47" s="1"/>
  <c r="AM191" i="29"/>
  <c r="AF15" i="47" s="1"/>
  <c r="BF191" i="29"/>
  <c r="AY15" i="47" s="1"/>
  <c r="AY195" i="29"/>
  <c r="BP14" i="29"/>
  <c r="BW14" i="29"/>
  <c r="Q15" i="29"/>
  <c r="BP15" i="29"/>
  <c r="V201" i="29"/>
  <c r="BS18" i="29"/>
  <c r="BS20" i="29" s="1"/>
  <c r="Q19" i="29"/>
  <c r="BT21" i="29"/>
  <c r="BT24" i="29" s="1"/>
  <c r="S28" i="29"/>
  <c r="BW28" i="29"/>
  <c r="V31" i="29"/>
  <c r="BZ31" i="29"/>
  <c r="BW32" i="29"/>
  <c r="BW35" i="29" s="1"/>
  <c r="AY35" i="29"/>
  <c r="V35" i="29"/>
  <c r="W39" i="29"/>
  <c r="AH36" i="29"/>
  <c r="AU36" i="29" s="1"/>
  <c r="BZ39" i="29"/>
  <c r="J43" i="29"/>
  <c r="Q40" i="29"/>
  <c r="P40" i="29"/>
  <c r="BT41" i="29"/>
  <c r="BT43" i="29" s="1"/>
  <c r="BS42" i="29"/>
  <c r="V47" i="29"/>
  <c r="BY47" i="29"/>
  <c r="AH49" i="29"/>
  <c r="AU49" i="29" s="1"/>
  <c r="AH53" i="29"/>
  <c r="AU53" i="29" s="1"/>
  <c r="AR57" i="29"/>
  <c r="BP57" i="29"/>
  <c r="BY12" i="29"/>
  <c r="AO195" i="29"/>
  <c r="AO17" i="29"/>
  <c r="M20" i="29"/>
  <c r="BS24" i="29"/>
  <c r="AO24" i="29"/>
  <c r="AQ22" i="29"/>
  <c r="BR22" i="29" s="1"/>
  <c r="M204" i="29"/>
  <c r="BM12" i="29"/>
  <c r="BX12" i="29" s="1"/>
  <c r="AQ14" i="29"/>
  <c r="BR14" i="29" s="1"/>
  <c r="AP17" i="29"/>
  <c r="S20" i="29"/>
  <c r="V28" i="29"/>
  <c r="BZ28" i="29"/>
  <c r="BQ27" i="29"/>
  <c r="AS27" i="29"/>
  <c r="BP32" i="29"/>
  <c r="AR32" i="29"/>
  <c r="S35" i="29"/>
  <c r="W47" i="29"/>
  <c r="AQ45" i="29"/>
  <c r="M74" i="29"/>
  <c r="BP36" i="29"/>
  <c r="AR36" i="29"/>
  <c r="AA191" i="29"/>
  <c r="T15" i="47" s="1"/>
  <c r="BT13" i="29"/>
  <c r="V13" i="29"/>
  <c r="AO13" i="29"/>
  <c r="BB191" i="29"/>
  <c r="AU15" i="47" s="1"/>
  <c r="BH191" i="29"/>
  <c r="BA15" i="47" s="1"/>
  <c r="M195" i="29"/>
  <c r="M17" i="29"/>
  <c r="AR14" i="29"/>
  <c r="AY201" i="29"/>
  <c r="BZ24" i="29"/>
  <c r="BQ23" i="29"/>
  <c r="AS23" i="29"/>
  <c r="BY28" i="29"/>
  <c r="BT37" i="29"/>
  <c r="BT39" i="29" s="1"/>
  <c r="BW40" i="29"/>
  <c r="BW43" i="29" s="1"/>
  <c r="AY43" i="29"/>
  <c r="V43" i="29"/>
  <c r="AS49" i="29"/>
  <c r="BQ49" i="29"/>
  <c r="AS53" i="29"/>
  <c r="BQ53" i="29"/>
  <c r="AQ56" i="29"/>
  <c r="BS56" i="29"/>
  <c r="BS58" i="29" s="1"/>
  <c r="AO58" i="29"/>
  <c r="AH72" i="29"/>
  <c r="BP72" i="29"/>
  <c r="AR72" i="29"/>
  <c r="V83" i="29"/>
  <c r="S201" i="29"/>
  <c r="AY47" i="29"/>
  <c r="BW44" i="29"/>
  <c r="BW47" i="29" s="1"/>
  <c r="AS46" i="29"/>
  <c r="BQ46" i="29"/>
  <c r="J195" i="29"/>
  <c r="J17" i="29"/>
  <c r="BY14" i="29"/>
  <c r="AQ15" i="29"/>
  <c r="BR15" i="29" s="1"/>
  <c r="J201" i="29"/>
  <c r="Q16" i="29"/>
  <c r="I16" i="29" s="1"/>
  <c r="BT16" i="29"/>
  <c r="BW20" i="29"/>
  <c r="V24" i="29"/>
  <c r="S31" i="29"/>
  <c r="W35" i="29"/>
  <c r="AH32" i="29"/>
  <c r="AU32" i="29" s="1"/>
  <c r="J39" i="29"/>
  <c r="Q36" i="29"/>
  <c r="P36" i="29"/>
  <c r="S204" i="29"/>
  <c r="K191" i="29"/>
  <c r="D15" i="47" s="1"/>
  <c r="W13" i="29"/>
  <c r="AI191" i="29"/>
  <c r="AP13" i="29"/>
  <c r="P14" i="29"/>
  <c r="I14" i="29" s="1"/>
  <c r="BL195" i="29"/>
  <c r="BZ14" i="29"/>
  <c r="BS14" i="29"/>
  <c r="BQ15" i="29"/>
  <c r="AS15" i="29"/>
  <c r="AO201" i="29"/>
  <c r="BS16" i="29"/>
  <c r="BK201" i="29"/>
  <c r="BY16" i="29"/>
  <c r="BM16" i="29"/>
  <c r="W17" i="29"/>
  <c r="AS18" i="29"/>
  <c r="BM18" i="29"/>
  <c r="BY18" i="29"/>
  <c r="BY20" i="29" s="1"/>
  <c r="BQ19" i="29"/>
  <c r="AS19" i="29"/>
  <c r="AR19" i="29"/>
  <c r="BY24" i="29"/>
  <c r="BL28" i="29"/>
  <c r="BS31" i="29"/>
  <c r="AO31" i="29"/>
  <c r="AQ30" i="29"/>
  <c r="BR30" i="29" s="1"/>
  <c r="BY39" i="29"/>
  <c r="BP40" i="29"/>
  <c r="AR40" i="29"/>
  <c r="Q44" i="29"/>
  <c r="P44" i="29"/>
  <c r="J47" i="29"/>
  <c r="BT47" i="29"/>
  <c r="AR46" i="29"/>
  <c r="BP46" i="29"/>
  <c r="AH46" i="29"/>
  <c r="W51" i="29"/>
  <c r="AQ50" i="29"/>
  <c r="BR50" i="29" s="1"/>
  <c r="BS50" i="29"/>
  <c r="BS51" i="29" s="1"/>
  <c r="W55" i="29"/>
  <c r="AQ54" i="29"/>
  <c r="BR54" i="29" s="1"/>
  <c r="BS54" i="29"/>
  <c r="BS55" i="29" s="1"/>
  <c r="BK13" i="29"/>
  <c r="S195" i="29"/>
  <c r="S17" i="29"/>
  <c r="AX191" i="29"/>
  <c r="AQ15" i="47" s="1"/>
  <c r="BD191" i="29"/>
  <c r="AW15" i="47" s="1"/>
  <c r="BJ191" i="29"/>
  <c r="BC15" i="47" s="1"/>
  <c r="BW201" i="29"/>
  <c r="AH18" i="29"/>
  <c r="BP18" i="29"/>
  <c r="P19" i="29"/>
  <c r="J20" i="29"/>
  <c r="BL24" i="29"/>
  <c r="BS28" i="29"/>
  <c r="AO28" i="29"/>
  <c r="AQ26" i="29"/>
  <c r="BR26" i="29" s="1"/>
  <c r="BT29" i="29"/>
  <c r="BT31" i="29" s="1"/>
  <c r="J35" i="29"/>
  <c r="Q32" i="29"/>
  <c r="P32" i="29"/>
  <c r="BT33" i="29"/>
  <c r="BT35" i="29" s="1"/>
  <c r="BW36" i="29"/>
  <c r="BW39" i="29" s="1"/>
  <c r="AY39" i="29"/>
  <c r="V39" i="29"/>
  <c r="W43" i="29"/>
  <c r="AH40" i="29"/>
  <c r="AU40" i="29" s="1"/>
  <c r="BP45" i="29"/>
  <c r="AR45" i="29"/>
  <c r="BL51" i="29"/>
  <c r="BZ48" i="29"/>
  <c r="BZ51" i="29" s="1"/>
  <c r="BM48" i="29"/>
  <c r="BX48" i="29" s="1"/>
  <c r="BZ52" i="29"/>
  <c r="BZ55" i="29" s="1"/>
  <c r="BL55" i="29"/>
  <c r="BM52" i="29"/>
  <c r="BX52" i="29" s="1"/>
  <c r="V62" i="29"/>
  <c r="BM67" i="29"/>
  <c r="BX67" i="29" s="1"/>
  <c r="BL70" i="29"/>
  <c r="L191" i="29"/>
  <c r="E15" i="47" s="1"/>
  <c r="R191" i="29"/>
  <c r="K15" i="47" s="1"/>
  <c r="X191" i="29"/>
  <c r="Q15" i="47" s="1"/>
  <c r="AD191" i="29"/>
  <c r="W15" i="47" s="1"/>
  <c r="AJ191" i="29"/>
  <c r="AW191" i="29"/>
  <c r="BI191" i="29"/>
  <c r="BB15" i="47" s="1"/>
  <c r="V195" i="29"/>
  <c r="AP195" i="29"/>
  <c r="BT14" i="29"/>
  <c r="BM15" i="29"/>
  <c r="BX15" i="29" s="1"/>
  <c r="BL201" i="29"/>
  <c r="BM19" i="29"/>
  <c r="BX19" i="29" s="1"/>
  <c r="AQ21" i="29"/>
  <c r="BM23" i="29"/>
  <c r="BX23" i="29" s="1"/>
  <c r="AQ25" i="29"/>
  <c r="BM27" i="29"/>
  <c r="BX27" i="29" s="1"/>
  <c r="AQ29" i="29"/>
  <c r="BK31" i="29"/>
  <c r="AQ33" i="29"/>
  <c r="BR33" i="29" s="1"/>
  <c r="AQ37" i="29"/>
  <c r="BR37" i="29" s="1"/>
  <c r="AQ41" i="29"/>
  <c r="BR41" i="29" s="1"/>
  <c r="I42" i="29"/>
  <c r="BM46" i="29"/>
  <c r="BX46" i="29" s="1"/>
  <c r="AP47" i="29"/>
  <c r="P48" i="29"/>
  <c r="AO51" i="29"/>
  <c r="P52" i="29"/>
  <c r="I52" i="29" s="1"/>
  <c r="AO55" i="29"/>
  <c r="AP58" i="29"/>
  <c r="BL58" i="29"/>
  <c r="AH65" i="29"/>
  <c r="S66" i="29"/>
  <c r="V70" i="29"/>
  <c r="BT69" i="29"/>
  <c r="BT70" i="29" s="1"/>
  <c r="W70" i="29"/>
  <c r="Q72" i="29"/>
  <c r="P72" i="29"/>
  <c r="J74" i="29"/>
  <c r="BZ75" i="29"/>
  <c r="BZ78" i="29" s="1"/>
  <c r="AR92" i="29"/>
  <c r="BP92" i="29"/>
  <c r="BT19" i="29"/>
  <c r="BT20" i="29" s="1"/>
  <c r="BK24" i="29"/>
  <c r="BK28" i="29"/>
  <c r="BL35" i="29"/>
  <c r="BL39" i="29"/>
  <c r="BL43" i="29"/>
  <c r="AQ46" i="29"/>
  <c r="BR46" i="29" s="1"/>
  <c r="BK47" i="29"/>
  <c r="AR50" i="29"/>
  <c r="V51" i="29"/>
  <c r="AP51" i="29"/>
  <c r="AR54" i="29"/>
  <c r="V55" i="29"/>
  <c r="AP55" i="29"/>
  <c r="S58" i="29"/>
  <c r="AQ57" i="29"/>
  <c r="BR57" i="29" s="1"/>
  <c r="BK58" i="29"/>
  <c r="BM57" i="29"/>
  <c r="BX57" i="29" s="1"/>
  <c r="BM60" i="29"/>
  <c r="BY60" i="29"/>
  <c r="S62" i="29"/>
  <c r="AQ61" i="29"/>
  <c r="BR61" i="29" s="1"/>
  <c r="BS61" i="29"/>
  <c r="S70" i="29"/>
  <c r="BM72" i="29"/>
  <c r="BX72" i="29" s="1"/>
  <c r="BY72" i="29"/>
  <c r="BP73" i="29"/>
  <c r="AH73" i="29"/>
  <c r="BY73" i="29"/>
  <c r="BM73" i="29"/>
  <c r="BX73" i="29" s="1"/>
  <c r="AS21" i="29"/>
  <c r="BQ21" i="29"/>
  <c r="AR22" i="29"/>
  <c r="BP22" i="29"/>
  <c r="AS25" i="29"/>
  <c r="BQ25" i="29"/>
  <c r="AR26" i="29"/>
  <c r="BP26" i="29"/>
  <c r="AR30" i="29"/>
  <c r="BP30" i="29"/>
  <c r="AR34" i="29"/>
  <c r="BP34" i="29"/>
  <c r="AO35" i="29"/>
  <c r="AR38" i="29"/>
  <c r="BP38" i="29"/>
  <c r="AO39" i="29"/>
  <c r="AR42" i="29"/>
  <c r="BP42" i="29"/>
  <c r="AO43" i="29"/>
  <c r="BL47" i="29"/>
  <c r="BY49" i="29"/>
  <c r="BY51" i="29" s="1"/>
  <c r="BM49" i="29"/>
  <c r="BX49" i="29" s="1"/>
  <c r="BT49" i="29"/>
  <c r="BT51" i="29" s="1"/>
  <c r="AY51" i="29"/>
  <c r="BW55" i="29"/>
  <c r="BY53" i="29"/>
  <c r="BY55" i="29" s="1"/>
  <c r="BM53" i="29"/>
  <c r="BX53" i="29" s="1"/>
  <c r="BT53" i="29"/>
  <c r="BT55" i="29" s="1"/>
  <c r="AY55" i="29"/>
  <c r="BZ58" i="29"/>
  <c r="BQ59" i="29"/>
  <c r="AS59" i="29"/>
  <c r="AR63" i="29"/>
  <c r="BP64" i="29"/>
  <c r="AR64" i="29"/>
  <c r="BQ68" i="29"/>
  <c r="AS68" i="29"/>
  <c r="AY70" i="29"/>
  <c r="S74" i="29"/>
  <c r="AQ71" i="29"/>
  <c r="AO74" i="29"/>
  <c r="BS71" i="29"/>
  <c r="BS74" i="29" s="1"/>
  <c r="Q73" i="29"/>
  <c r="P73" i="29"/>
  <c r="BL74" i="29"/>
  <c r="BY76" i="29"/>
  <c r="BY78" i="29" s="1"/>
  <c r="BQ77" i="29"/>
  <c r="AS77" i="29"/>
  <c r="BP120" i="29"/>
  <c r="AR120" i="29"/>
  <c r="Q122" i="29"/>
  <c r="P122" i="29"/>
  <c r="AR23" i="29"/>
  <c r="J24" i="29"/>
  <c r="AS26" i="29"/>
  <c r="J28" i="29"/>
  <c r="AS30" i="29"/>
  <c r="BM32" i="29"/>
  <c r="BM36" i="29"/>
  <c r="BX36" i="29" s="1"/>
  <c r="BM40" i="29"/>
  <c r="BM44" i="29"/>
  <c r="BP49" i="29"/>
  <c r="AR49" i="29"/>
  <c r="BP53" i="29"/>
  <c r="AR53" i="29"/>
  <c r="BW66" i="29"/>
  <c r="BP63" i="29"/>
  <c r="AR65" i="29"/>
  <c r="V66" i="29"/>
  <c r="BQ67" i="29"/>
  <c r="AS67" i="29"/>
  <c r="BZ74" i="29"/>
  <c r="BT78" i="29"/>
  <c r="AH104" i="29"/>
  <c r="AU104" i="29" s="1"/>
  <c r="AR104" i="29"/>
  <c r="BP104" i="29"/>
  <c r="M201" i="29"/>
  <c r="BM21" i="29"/>
  <c r="BM25" i="29"/>
  <c r="BM29" i="29"/>
  <c r="BM33" i="29"/>
  <c r="BX33" i="29" s="1"/>
  <c r="BM37" i="29"/>
  <c r="BX37" i="29" s="1"/>
  <c r="BM41" i="29"/>
  <c r="BX41" i="29" s="1"/>
  <c r="BZ44" i="29"/>
  <c r="BZ47" i="29" s="1"/>
  <c r="AQ48" i="29"/>
  <c r="AQ52" i="29"/>
  <c r="J58" i="29"/>
  <c r="P56" i="29"/>
  <c r="I56" i="29" s="1"/>
  <c r="AQ59" i="29"/>
  <c r="AO62" i="29"/>
  <c r="BS59" i="29"/>
  <c r="AR61" i="29"/>
  <c r="BP61" i="29"/>
  <c r="W62" i="29"/>
  <c r="BK62" i="29"/>
  <c r="AH63" i="29"/>
  <c r="AU63" i="29" s="1"/>
  <c r="BQ64" i="29"/>
  <c r="AS64" i="29"/>
  <c r="AH67" i="29"/>
  <c r="BP67" i="29"/>
  <c r="BM71" i="29"/>
  <c r="BX71" i="29" s="1"/>
  <c r="AS72" i="29"/>
  <c r="BQ72" i="29"/>
  <c r="W74" i="29"/>
  <c r="AH77" i="29"/>
  <c r="BP99" i="29"/>
  <c r="AH99" i="29"/>
  <c r="AU99" i="29" s="1"/>
  <c r="AR99" i="29"/>
  <c r="BL101" i="29"/>
  <c r="BL62" i="29"/>
  <c r="BZ59" i="29"/>
  <c r="BZ62" i="29" s="1"/>
  <c r="Q63" i="29"/>
  <c r="AQ65" i="29"/>
  <c r="AQ67" i="29"/>
  <c r="P68" i="29"/>
  <c r="I68" i="29" s="1"/>
  <c r="AY74" i="29"/>
  <c r="M78" i="29"/>
  <c r="BW78" i="29"/>
  <c r="V78" i="29"/>
  <c r="BQ81" i="29"/>
  <c r="AS81" i="29"/>
  <c r="AR81" i="29"/>
  <c r="BP81" i="29"/>
  <c r="P82" i="29"/>
  <c r="BW91" i="29"/>
  <c r="BW95" i="29" s="1"/>
  <c r="AS96" i="29"/>
  <c r="AQ98" i="29"/>
  <c r="BR98" i="29" s="1"/>
  <c r="BS98" i="29"/>
  <c r="AO101" i="29"/>
  <c r="BS133" i="29"/>
  <c r="AQ133" i="29"/>
  <c r="BR133" i="29" s="1"/>
  <c r="AR136" i="29"/>
  <c r="BP136" i="29"/>
  <c r="W202" i="29"/>
  <c r="AS88" i="29"/>
  <c r="BQ88" i="29"/>
  <c r="AQ94" i="29"/>
  <c r="BW101" i="29"/>
  <c r="BP82" i="29"/>
  <c r="AR82" i="29"/>
  <c r="S196" i="29"/>
  <c r="S89" i="29"/>
  <c r="AR90" i="29"/>
  <c r="BP90" i="29"/>
  <c r="AH90" i="29"/>
  <c r="AH93" i="29"/>
  <c r="AU93" i="29" s="1"/>
  <c r="BP93" i="29"/>
  <c r="AP101" i="29"/>
  <c r="BT96" i="29"/>
  <c r="BT101" i="29" s="1"/>
  <c r="AQ96" i="29"/>
  <c r="BQ105" i="29"/>
  <c r="AS105" i="29"/>
  <c r="BQ116" i="29"/>
  <c r="AS116" i="29"/>
  <c r="BM132" i="29"/>
  <c r="BY132" i="29"/>
  <c r="BK55" i="29"/>
  <c r="BP56" i="29"/>
  <c r="AR56" i="29"/>
  <c r="V58" i="29"/>
  <c r="AY62" i="29"/>
  <c r="BQ63" i="29"/>
  <c r="AS63" i="29"/>
  <c r="Q64" i="29"/>
  <c r="M70" i="29"/>
  <c r="AQ68" i="29"/>
  <c r="BR68" i="29" s="1"/>
  <c r="BW74" i="29"/>
  <c r="S78" i="29"/>
  <c r="AO83" i="29"/>
  <c r="BL83" i="29"/>
  <c r="BZ79" i="29"/>
  <c r="BZ83" i="29" s="1"/>
  <c r="J202" i="29"/>
  <c r="Q87" i="29"/>
  <c r="P87" i="29"/>
  <c r="AH88" i="29"/>
  <c r="BK95" i="29"/>
  <c r="AH115" i="29"/>
  <c r="AR115" i="29"/>
  <c r="BP115" i="29"/>
  <c r="V119" i="29"/>
  <c r="S125" i="29"/>
  <c r="AQ123" i="29"/>
  <c r="BS123" i="29"/>
  <c r="BP132" i="29"/>
  <c r="AH132" i="29"/>
  <c r="AR132" i="29"/>
  <c r="BZ63" i="29"/>
  <c r="BZ66" i="29" s="1"/>
  <c r="BY69" i="29"/>
  <c r="BM69" i="29"/>
  <c r="BX69" i="29" s="1"/>
  <c r="BP75" i="29"/>
  <c r="AR75" i="29"/>
  <c r="AH76" i="29"/>
  <c r="AU76" i="29" s="1"/>
  <c r="S83" i="29"/>
  <c r="BS80" i="29"/>
  <c r="Q82" i="29"/>
  <c r="BY82" i="29"/>
  <c r="BY83" i="29" s="1"/>
  <c r="BM82" i="29"/>
  <c r="BX82" i="29" s="1"/>
  <c r="AS90" i="29"/>
  <c r="BQ90" i="29"/>
  <c r="V101" i="29"/>
  <c r="BQ99" i="29"/>
  <c r="AS99" i="29"/>
  <c r="BK125" i="29"/>
  <c r="BM120" i="29"/>
  <c r="BY120" i="29"/>
  <c r="AH130" i="29"/>
  <c r="AR130" i="29"/>
  <c r="BP130" i="29"/>
  <c r="AQ75" i="29"/>
  <c r="BM77" i="29"/>
  <c r="BX77" i="29" s="1"/>
  <c r="AQ79" i="29"/>
  <c r="BM81" i="29"/>
  <c r="BX81" i="29" s="1"/>
  <c r="I84" i="29"/>
  <c r="V196" i="29"/>
  <c r="AP196" i="29"/>
  <c r="AY196" i="29"/>
  <c r="BP84" i="29"/>
  <c r="BW84" i="29"/>
  <c r="P85" i="29"/>
  <c r="AQ86" i="29"/>
  <c r="M202" i="29"/>
  <c r="AR87" i="29"/>
  <c r="BK202" i="29"/>
  <c r="BY87" i="29"/>
  <c r="AY89" i="29"/>
  <c r="BM90" i="29"/>
  <c r="BQ91" i="29"/>
  <c r="Q92" i="29"/>
  <c r="BS93" i="29"/>
  <c r="BP94" i="29"/>
  <c r="BQ96" i="29"/>
  <c r="BP98" i="29"/>
  <c r="BS99" i="29"/>
  <c r="BP100" i="29"/>
  <c r="Q104" i="29"/>
  <c r="P104" i="29"/>
  <c r="W113" i="29"/>
  <c r="AY113" i="29"/>
  <c r="BW108" i="29"/>
  <c r="BW113" i="29" s="1"/>
  <c r="Q109" i="29"/>
  <c r="P109" i="29"/>
  <c r="BT117" i="29"/>
  <c r="AQ117" i="29"/>
  <c r="BR117" i="29" s="1"/>
  <c r="AR118" i="29"/>
  <c r="AO125" i="29"/>
  <c r="BZ125" i="29"/>
  <c r="BY124" i="29"/>
  <c r="BQ134" i="29"/>
  <c r="AS134" i="29"/>
  <c r="W137" i="29"/>
  <c r="AR142" i="29"/>
  <c r="AH142" i="29"/>
  <c r="AU142" i="29" s="1"/>
  <c r="BP142" i="29"/>
  <c r="AS149" i="29"/>
  <c r="BQ149" i="29"/>
  <c r="BK78" i="29"/>
  <c r="W196" i="29"/>
  <c r="BQ84" i="29"/>
  <c r="BT85" i="29"/>
  <c r="BP86" i="29"/>
  <c r="BL202" i="29"/>
  <c r="BZ87" i="29"/>
  <c r="BP88" i="29"/>
  <c r="BL89" i="29"/>
  <c r="AQ90" i="29"/>
  <c r="BQ94" i="29"/>
  <c r="AS94" i="29"/>
  <c r="AR94" i="29"/>
  <c r="M95" i="29"/>
  <c r="M101" i="29"/>
  <c r="BY96" i="29"/>
  <c r="BM96" i="29"/>
  <c r="AR98" i="29"/>
  <c r="BQ100" i="29"/>
  <c r="BY102" i="29"/>
  <c r="Q105" i="29"/>
  <c r="P105" i="29"/>
  <c r="AQ106" i="29"/>
  <c r="BR106" i="29" s="1"/>
  <c r="AH110" i="29"/>
  <c r="BP110" i="29"/>
  <c r="AR110" i="29"/>
  <c r="AS115" i="29"/>
  <c r="M125" i="29"/>
  <c r="BS121" i="29"/>
  <c r="AQ121" i="29"/>
  <c r="BR121" i="29" s="1"/>
  <c r="BT129" i="29"/>
  <c r="AQ129" i="29"/>
  <c r="BR129" i="29" s="1"/>
  <c r="M137" i="29"/>
  <c r="AH141" i="29"/>
  <c r="AR141" i="29"/>
  <c r="BP141" i="29"/>
  <c r="AS75" i="29"/>
  <c r="BQ75" i="29"/>
  <c r="AR76" i="29"/>
  <c r="BP76" i="29"/>
  <c r="AS79" i="29"/>
  <c r="AR80" i="29"/>
  <c r="BP80" i="29"/>
  <c r="BK83" i="29"/>
  <c r="M196" i="29"/>
  <c r="M89" i="29"/>
  <c r="AR84" i="29"/>
  <c r="BY84" i="29"/>
  <c r="BM84" i="29"/>
  <c r="AP95" i="29"/>
  <c r="AS91" i="29"/>
  <c r="BZ94" i="29"/>
  <c r="AO95" i="29"/>
  <c r="BY98" i="29"/>
  <c r="AR100" i="29"/>
  <c r="BY100" i="29"/>
  <c r="BM100" i="29"/>
  <c r="BX100" i="29" s="1"/>
  <c r="AO107" i="29"/>
  <c r="AQ102" i="29"/>
  <c r="J113" i="29"/>
  <c r="Q108" i="29"/>
  <c r="P108" i="29"/>
  <c r="AH117" i="29"/>
  <c r="AU117" i="29" s="1"/>
  <c r="AR117" i="29"/>
  <c r="AT117" i="29" s="1"/>
  <c r="BS118" i="29"/>
  <c r="AQ118" i="29"/>
  <c r="BR118" i="29" s="1"/>
  <c r="AO119" i="29"/>
  <c r="AR123" i="29"/>
  <c r="BQ124" i="29"/>
  <c r="AS124" i="29"/>
  <c r="AH127" i="29"/>
  <c r="AR127" i="29"/>
  <c r="BS130" i="29"/>
  <c r="AQ130" i="29"/>
  <c r="BR130" i="29" s="1"/>
  <c r="AO131" i="29"/>
  <c r="Q134" i="29"/>
  <c r="P134" i="29"/>
  <c r="AS84" i="29"/>
  <c r="BL196" i="29"/>
  <c r="S202" i="29"/>
  <c r="AO202" i="29"/>
  <c r="BY88" i="29"/>
  <c r="BM88" i="29"/>
  <c r="BX88" i="29" s="1"/>
  <c r="AO89" i="29"/>
  <c r="W95" i="29"/>
  <c r="BM91" i="29"/>
  <c r="BX91" i="29" s="1"/>
  <c r="V95" i="29"/>
  <c r="BQ97" i="29"/>
  <c r="W101" i="29"/>
  <c r="BS102" i="29"/>
  <c r="W107" i="29"/>
  <c r="M113" i="29"/>
  <c r="AP113" i="29"/>
  <c r="AH109" i="29"/>
  <c r="AU109" i="29" s="1"/>
  <c r="BP109" i="29"/>
  <c r="AR109" i="29"/>
  <c r="BS111" i="29"/>
  <c r="BP124" i="29"/>
  <c r="AH124" i="29"/>
  <c r="AH129" i="29"/>
  <c r="AU129" i="29" s="1"/>
  <c r="AR129" i="29"/>
  <c r="Q152" i="29"/>
  <c r="P152" i="29"/>
  <c r="BM75" i="29"/>
  <c r="BM79" i="29"/>
  <c r="BS79" i="29"/>
  <c r="AH84" i="29"/>
  <c r="AU84" i="29" s="1"/>
  <c r="BQ85" i="29"/>
  <c r="AY202" i="29"/>
  <c r="BW87" i="29"/>
  <c r="BW202" i="29" s="1"/>
  <c r="W89" i="29"/>
  <c r="BY90" i="29"/>
  <c r="BY92" i="29"/>
  <c r="BM92" i="29"/>
  <c r="BX92" i="29" s="1"/>
  <c r="Q94" i="29"/>
  <c r="S101" i="29"/>
  <c r="J101" i="29"/>
  <c r="V107" i="29"/>
  <c r="BT102" i="29"/>
  <c r="BT107" i="29" s="1"/>
  <c r="BQ104" i="29"/>
  <c r="AS104" i="29"/>
  <c r="AH105" i="29"/>
  <c r="BP105" i="29"/>
  <c r="AR105" i="29"/>
  <c r="AH106" i="29"/>
  <c r="AU106" i="29" s="1"/>
  <c r="BP106" i="29"/>
  <c r="AR106" i="29"/>
  <c r="BS106" i="29"/>
  <c r="BZ113" i="29"/>
  <c r="BQ109" i="29"/>
  <c r="AS109" i="29"/>
  <c r="BP117" i="29"/>
  <c r="W125" i="29"/>
  <c r="AS126" i="29"/>
  <c r="BQ126" i="29"/>
  <c r="BZ131" i="29"/>
  <c r="BP127" i="29"/>
  <c r="AS128" i="29"/>
  <c r="BQ132" i="29"/>
  <c r="AS132" i="29"/>
  <c r="BQ135" i="29"/>
  <c r="AS135" i="29"/>
  <c r="AR140" i="29"/>
  <c r="BP140" i="29"/>
  <c r="AO196" i="29"/>
  <c r="BS84" i="29"/>
  <c r="BC196" i="29"/>
  <c r="V202" i="29"/>
  <c r="AP202" i="29"/>
  <c r="BT87" i="29"/>
  <c r="I103" i="29"/>
  <c r="AQ110" i="29"/>
  <c r="BR110" i="29" s="1"/>
  <c r="BM112" i="29"/>
  <c r="BX112" i="29" s="1"/>
  <c r="S113" i="29"/>
  <c r="P114" i="29"/>
  <c r="BQ115" i="29"/>
  <c r="Q116" i="29"/>
  <c r="AH116" i="29"/>
  <c r="AU116" i="29" s="1"/>
  <c r="BM116" i="29"/>
  <c r="BX116" i="29" s="1"/>
  <c r="BQ117" i="29"/>
  <c r="P120" i="29"/>
  <c r="BS120" i="29"/>
  <c r="BM122" i="29"/>
  <c r="BX122" i="29" s="1"/>
  <c r="BT122" i="29"/>
  <c r="BT125" i="29" s="1"/>
  <c r="BP123" i="29"/>
  <c r="P124" i="29"/>
  <c r="BC125" i="29"/>
  <c r="P126" i="29"/>
  <c r="BQ127" i="29"/>
  <c r="Q128" i="29"/>
  <c r="BM128" i="29"/>
  <c r="BX128" i="29" s="1"/>
  <c r="BQ129" i="29"/>
  <c r="AP131" i="29"/>
  <c r="P132" i="29"/>
  <c r="BL137" i="29"/>
  <c r="BZ132" i="29"/>
  <c r="BZ137" i="29" s="1"/>
  <c r="AH134" i="29"/>
  <c r="AU134" i="29" s="1"/>
  <c r="P135" i="29"/>
  <c r="BM136" i="29"/>
  <c r="BX136" i="29" s="1"/>
  <c r="V203" i="29"/>
  <c r="BT203" i="29"/>
  <c r="BT139" i="29"/>
  <c r="AY147" i="29"/>
  <c r="Q141" i="29"/>
  <c r="P141" i="29"/>
  <c r="AS144" i="29"/>
  <c r="AH145" i="29"/>
  <c r="AU145" i="29" s="1"/>
  <c r="AR145" i="29"/>
  <c r="BP145" i="29"/>
  <c r="AR146" i="29"/>
  <c r="BP146" i="29"/>
  <c r="AH146" i="29"/>
  <c r="AR151" i="29"/>
  <c r="BP151" i="29"/>
  <c r="Q114" i="29"/>
  <c r="BW114" i="29"/>
  <c r="BW119" i="29" s="1"/>
  <c r="BY117" i="29"/>
  <c r="BM117" i="29"/>
  <c r="BX117" i="29" s="1"/>
  <c r="BP118" i="29"/>
  <c r="Q120" i="29"/>
  <c r="BQ123" i="29"/>
  <c r="Q124" i="29"/>
  <c r="J125" i="29"/>
  <c r="V125" i="29"/>
  <c r="Q126" i="29"/>
  <c r="BW126" i="29"/>
  <c r="BW131" i="29" s="1"/>
  <c r="BY127" i="29"/>
  <c r="BY129" i="29"/>
  <c r="BM129" i="29"/>
  <c r="BX129" i="29" s="1"/>
  <c r="Q132" i="29"/>
  <c r="Q135" i="29"/>
  <c r="AS145" i="29"/>
  <c r="BQ145" i="29"/>
  <c r="P146" i="29"/>
  <c r="Q146" i="29"/>
  <c r="AR148" i="29"/>
  <c r="BP148" i="29"/>
  <c r="AH148" i="29"/>
  <c r="AU148" i="29" s="1"/>
  <c r="AO163" i="29"/>
  <c r="BS159" i="29"/>
  <c r="BS163" i="29" s="1"/>
  <c r="AQ159" i="29"/>
  <c r="AV160" i="29"/>
  <c r="Q167" i="29"/>
  <c r="AS106" i="29"/>
  <c r="BS108" i="29"/>
  <c r="AS110" i="29"/>
  <c r="AR111" i="29"/>
  <c r="BP116" i="29"/>
  <c r="BQ118" i="29"/>
  <c r="BK119" i="29"/>
  <c r="BL125" i="29"/>
  <c r="BP128" i="29"/>
  <c r="BQ130" i="29"/>
  <c r="BK131" i="29"/>
  <c r="AO137" i="29"/>
  <c r="BC137" i="29"/>
  <c r="BK133" i="29"/>
  <c r="BK137" i="29" s="1"/>
  <c r="BP134" i="29"/>
  <c r="AQ136" i="29"/>
  <c r="BR136" i="29" s="1"/>
  <c r="BS136" i="29"/>
  <c r="AS141" i="29"/>
  <c r="AS142" i="29"/>
  <c r="BT144" i="29"/>
  <c r="AQ144" i="29"/>
  <c r="BR144" i="29" s="1"/>
  <c r="BS145" i="29"/>
  <c r="AQ145" i="29"/>
  <c r="BR145" i="29" s="1"/>
  <c r="BY155" i="29"/>
  <c r="BY158" i="29" s="1"/>
  <c r="BM155" i="29"/>
  <c r="BK158" i="29"/>
  <c r="BT108" i="29"/>
  <c r="BT113" i="29" s="1"/>
  <c r="AR112" i="29"/>
  <c r="BP114" i="29"/>
  <c r="AR114" i="29"/>
  <c r="AH118" i="29"/>
  <c r="BL119" i="29"/>
  <c r="BW120" i="29"/>
  <c r="BW125" i="29" s="1"/>
  <c r="BP126" i="29"/>
  <c r="AR126" i="29"/>
  <c r="BL131" i="29"/>
  <c r="BT137" i="29"/>
  <c r="BW132" i="29"/>
  <c r="BW137" i="29" s="1"/>
  <c r="AS133" i="29"/>
  <c r="AQ134" i="29"/>
  <c r="BR134" i="29" s="1"/>
  <c r="BP135" i="29"/>
  <c r="AR135" i="29"/>
  <c r="AQ135" i="29"/>
  <c r="BR135" i="29" s="1"/>
  <c r="AQ142" i="29"/>
  <c r="BQ148" i="29"/>
  <c r="BZ148" i="29"/>
  <c r="BZ154" i="29" s="1"/>
  <c r="BL154" i="29"/>
  <c r="AS152" i="29"/>
  <c r="BQ152" i="29"/>
  <c r="BT153" i="29"/>
  <c r="AQ153" i="29"/>
  <c r="BR153" i="29" s="1"/>
  <c r="AQ115" i="29"/>
  <c r="BP122" i="29"/>
  <c r="AR122" i="29"/>
  <c r="AQ127" i="29"/>
  <c r="J137" i="29"/>
  <c r="V137" i="29"/>
  <c r="M203" i="29"/>
  <c r="M139" i="29"/>
  <c r="BR138" i="29"/>
  <c r="AH144" i="29"/>
  <c r="AU144" i="29" s="1"/>
  <c r="AH149" i="29"/>
  <c r="AU149" i="29" s="1"/>
  <c r="BP149" i="29"/>
  <c r="BY149" i="29"/>
  <c r="BM149" i="29"/>
  <c r="BX149" i="29" s="1"/>
  <c r="AH152" i="29"/>
  <c r="AU152" i="29" s="1"/>
  <c r="BP152" i="29"/>
  <c r="AR152" i="29"/>
  <c r="Q138" i="29"/>
  <c r="J139" i="29"/>
  <c r="BM141" i="29"/>
  <c r="BX141" i="29" s="1"/>
  <c r="BQ142" i="29"/>
  <c r="AH143" i="29"/>
  <c r="AU143" i="29" s="1"/>
  <c r="BM143" i="29"/>
  <c r="BX143" i="29" s="1"/>
  <c r="BQ144" i="29"/>
  <c r="V147" i="29"/>
  <c r="BS149" i="29"/>
  <c r="BY152" i="29"/>
  <c r="S154" i="29"/>
  <c r="BT155" i="29"/>
  <c r="BT158" i="29" s="1"/>
  <c r="AP158" i="29"/>
  <c r="BS157" i="29"/>
  <c r="S158" i="29"/>
  <c r="AS162" i="29"/>
  <c r="W163" i="29"/>
  <c r="BT164" i="29"/>
  <c r="BT167" i="29" s="1"/>
  <c r="AP167" i="29"/>
  <c r="BP165" i="29"/>
  <c r="AR165" i="29"/>
  <c r="AH165" i="29"/>
  <c r="BW168" i="29"/>
  <c r="BW174" i="29" s="1"/>
  <c r="AY174" i="29"/>
  <c r="AP203" i="29"/>
  <c r="AP139" i="29"/>
  <c r="AY203" i="29"/>
  <c r="BW138" i="29"/>
  <c r="BL139" i="29"/>
  <c r="AP147" i="29"/>
  <c r="BW140" i="29"/>
  <c r="BW147" i="29" s="1"/>
  <c r="P142" i="29"/>
  <c r="BY144" i="29"/>
  <c r="BM144" i="29"/>
  <c r="BX144" i="29" s="1"/>
  <c r="J147" i="29"/>
  <c r="AR150" i="29"/>
  <c r="AQ152" i="29"/>
  <c r="BR152" i="29" s="1"/>
  <c r="BQ153" i="29"/>
  <c r="AS153" i="29"/>
  <c r="AR153" i="29"/>
  <c r="V158" i="29"/>
  <c r="Q156" i="29"/>
  <c r="Q158" i="29" s="1"/>
  <c r="BL163" i="29"/>
  <c r="BM159" i="29"/>
  <c r="AS160" i="29"/>
  <c r="BQ160" i="29"/>
  <c r="S198" i="29"/>
  <c r="AP198" i="29"/>
  <c r="BT169" i="29"/>
  <c r="BT198" i="29" s="1"/>
  <c r="AP174" i="29"/>
  <c r="BY145" i="29"/>
  <c r="AP154" i="29"/>
  <c r="BW148" i="29"/>
  <c r="BW154" i="29" s="1"/>
  <c r="AS150" i="29"/>
  <c r="BS152" i="29"/>
  <c r="M154" i="29"/>
  <c r="AS155" i="29"/>
  <c r="BQ155" i="29"/>
  <c r="I161" i="29"/>
  <c r="BY161" i="29"/>
  <c r="V167" i="29"/>
  <c r="BM165" i="29"/>
  <c r="BX165" i="29" s="1"/>
  <c r="W174" i="29"/>
  <c r="W203" i="29"/>
  <c r="W139" i="29"/>
  <c r="BY140" i="29"/>
  <c r="BM140" i="29"/>
  <c r="Q142" i="29"/>
  <c r="S147" i="29"/>
  <c r="J154" i="29"/>
  <c r="W154" i="29"/>
  <c r="AQ148" i="29"/>
  <c r="P153" i="29"/>
  <c r="Q153" i="29"/>
  <c r="AH153" i="29"/>
  <c r="AU153" i="29" s="1"/>
  <c r="V154" i="29"/>
  <c r="P155" i="29"/>
  <c r="J158" i="29"/>
  <c r="P156" i="29"/>
  <c r="AR157" i="29"/>
  <c r="W158" i="29"/>
  <c r="BZ159" i="29"/>
  <c r="BZ163" i="29" s="1"/>
  <c r="S163" i="29"/>
  <c r="M167" i="29"/>
  <c r="AO174" i="29"/>
  <c r="AQ168" i="29"/>
  <c r="BS168" i="29"/>
  <c r="J203" i="29"/>
  <c r="P138" i="29"/>
  <c r="BZ138" i="29"/>
  <c r="AH140" i="29"/>
  <c r="BT140" i="29"/>
  <c r="BQ146" i="29"/>
  <c r="AS146" i="29"/>
  <c r="BK154" i="29"/>
  <c r="BY148" i="29"/>
  <c r="BM148" i="29"/>
  <c r="AQ149" i="29"/>
  <c r="BR149" i="29" s="1"/>
  <c r="AY158" i="29"/>
  <c r="BZ156" i="29"/>
  <c r="BZ158" i="29" s="1"/>
  <c r="BP157" i="29"/>
  <c r="AH157" i="29"/>
  <c r="AU157" i="29" s="1"/>
  <c r="P159" i="29"/>
  <c r="I159" i="29" s="1"/>
  <c r="J163" i="29"/>
  <c r="Q160" i="29"/>
  <c r="P164" i="29"/>
  <c r="I164" i="29" s="1"/>
  <c r="J167" i="29"/>
  <c r="BL198" i="29"/>
  <c r="BZ169" i="29"/>
  <c r="BM169" i="29"/>
  <c r="BQ170" i="29"/>
  <c r="AS170" i="29"/>
  <c r="BP171" i="29"/>
  <c r="AR171" i="29"/>
  <c r="AH171" i="29"/>
  <c r="BY151" i="29"/>
  <c r="BM151" i="29"/>
  <c r="BX151" i="29" s="1"/>
  <c r="BM157" i="29"/>
  <c r="BX157" i="29" s="1"/>
  <c r="AY163" i="29"/>
  <c r="BW159" i="29"/>
  <c r="BW163" i="29" s="1"/>
  <c r="BM160" i="29"/>
  <c r="BX160" i="29" s="1"/>
  <c r="BP161" i="29"/>
  <c r="AR161" i="29"/>
  <c r="BY165" i="29"/>
  <c r="BY166" i="29"/>
  <c r="V198" i="29"/>
  <c r="BS170" i="29"/>
  <c r="BS198" i="29" s="1"/>
  <c r="BQ173" i="29"/>
  <c r="P178" i="29"/>
  <c r="Q178" i="29"/>
  <c r="J183" i="29"/>
  <c r="S174" i="29"/>
  <c r="BL174" i="29"/>
  <c r="M177" i="29"/>
  <c r="AR175" i="29"/>
  <c r="BQ159" i="29"/>
  <c r="AS159" i="29"/>
  <c r="BK163" i="29"/>
  <c r="BW164" i="29"/>
  <c r="BW167" i="29" s="1"/>
  <c r="AY167" i="29"/>
  <c r="BS165" i="29"/>
  <c r="V174" i="29"/>
  <c r="BM168" i="29"/>
  <c r="Q173" i="29"/>
  <c r="BK174" i="29"/>
  <c r="AQ175" i="29"/>
  <c r="AO177" i="29"/>
  <c r="P176" i="29"/>
  <c r="AH176" i="29"/>
  <c r="AR176" i="29"/>
  <c r="BW178" i="29"/>
  <c r="BW183" i="29" s="1"/>
  <c r="AY183" i="29"/>
  <c r="AY190" i="29"/>
  <c r="BW185" i="29"/>
  <c r="BW190" i="29" s="1"/>
  <c r="BL158" i="29"/>
  <c r="BP160" i="29"/>
  <c r="AR160" i="29"/>
  <c r="AQ161" i="29"/>
  <c r="BR161" i="29" s="1"/>
  <c r="BL167" i="29"/>
  <c r="J174" i="29"/>
  <c r="P168" i="29"/>
  <c r="AO198" i="29"/>
  <c r="AQ169" i="29"/>
  <c r="BY171" i="29"/>
  <c r="P173" i="29"/>
  <c r="BQ182" i="29"/>
  <c r="AS182" i="29"/>
  <c r="M174" i="29"/>
  <c r="J198" i="29"/>
  <c r="W198" i="29"/>
  <c r="AY198" i="29"/>
  <c r="BT171" i="29"/>
  <c r="AQ172" i="29"/>
  <c r="BR172" i="29" s="1"/>
  <c r="BQ172" i="29"/>
  <c r="BT173" i="29"/>
  <c r="S177" i="29"/>
  <c r="BY173" i="29"/>
  <c r="BM173" i="29"/>
  <c r="BX173" i="29" s="1"/>
  <c r="AP183" i="29"/>
  <c r="Q185" i="29"/>
  <c r="J190" i="29"/>
  <c r="BQ189" i="29"/>
  <c r="AS189" i="29"/>
  <c r="AG198" i="29"/>
  <c r="AS169" i="29"/>
  <c r="BK198" i="29"/>
  <c r="BQ169" i="29"/>
  <c r="BQ176" i="29"/>
  <c r="AS176" i="29"/>
  <c r="BQ179" i="29"/>
  <c r="AH181" i="29"/>
  <c r="AU181" i="29" s="1"/>
  <c r="BZ184" i="29"/>
  <c r="BZ190" i="29" s="1"/>
  <c r="BL190" i="29"/>
  <c r="BS185" i="29"/>
  <c r="AQ185" i="29"/>
  <c r="BR185" i="29" s="1"/>
  <c r="BP187" i="29"/>
  <c r="AR187" i="29"/>
  <c r="AH187" i="29"/>
  <c r="AU187" i="29" s="1"/>
  <c r="W183" i="29"/>
  <c r="AP190" i="29"/>
  <c r="BT184" i="29"/>
  <c r="AH173" i="29"/>
  <c r="BP173" i="29"/>
  <c r="AH178" i="29"/>
  <c r="AR178" i="29"/>
  <c r="AH179" i="29"/>
  <c r="AU179" i="29" s="1"/>
  <c r="BM181" i="29"/>
  <c r="Q182" i="29"/>
  <c r="AR186" i="29"/>
  <c r="BQ187" i="29"/>
  <c r="AS187" i="29"/>
  <c r="O194" i="29"/>
  <c r="AP177" i="29"/>
  <c r="BQ178" i="29"/>
  <c r="AS178" i="29"/>
  <c r="BY180" i="29"/>
  <c r="BY182" i="29"/>
  <c r="BM182" i="29"/>
  <c r="BX182" i="29" s="1"/>
  <c r="BY184" i="29"/>
  <c r="BM184" i="29"/>
  <c r="BC190" i="29"/>
  <c r="BK186" i="29"/>
  <c r="BM187" i="29"/>
  <c r="BX187" i="29" s="1"/>
  <c r="AW194" i="29"/>
  <c r="BM176" i="29"/>
  <c r="BP179" i="29"/>
  <c r="AR179" i="29"/>
  <c r="AQ179" i="29"/>
  <c r="BR179" i="29" s="1"/>
  <c r="BY179" i="29"/>
  <c r="AS186" i="29"/>
  <c r="P187" i="29"/>
  <c r="Q189" i="29"/>
  <c r="AH189" i="29"/>
  <c r="AU189" i="29" s="1"/>
  <c r="AR189" i="29"/>
  <c r="BP189" i="29"/>
  <c r="AQ180" i="29"/>
  <c r="BR180" i="29" s="1"/>
  <c r="P186" i="29"/>
  <c r="Q187" i="29"/>
  <c r="AA194" i="29"/>
  <c r="S190" i="29"/>
  <c r="AO190" i="29"/>
  <c r="BY188" i="29"/>
  <c r="BM188" i="29"/>
  <c r="BX188" i="29" s="1"/>
  <c r="BS184" i="29"/>
  <c r="BY189" i="29"/>
  <c r="AQ184" i="29"/>
  <c r="AQ188" i="29"/>
  <c r="BR188" i="29" s="1"/>
  <c r="BO152" i="32" l="1"/>
  <c r="AU152" i="32"/>
  <c r="BO26" i="32"/>
  <c r="AU26" i="32"/>
  <c r="BO25" i="32"/>
  <c r="AU25" i="32"/>
  <c r="AU142" i="32"/>
  <c r="BU142" i="32" s="1"/>
  <c r="BO102" i="32"/>
  <c r="AU102" i="32"/>
  <c r="AV156" i="32"/>
  <c r="AU156" i="32"/>
  <c r="BO286" i="32"/>
  <c r="AU286" i="32"/>
  <c r="BO288" i="32"/>
  <c r="AU288" i="32"/>
  <c r="BU288" i="32" s="1"/>
  <c r="BO244" i="32"/>
  <c r="AU244" i="32"/>
  <c r="BO226" i="32"/>
  <c r="AU226" i="32"/>
  <c r="BO266" i="32"/>
  <c r="AU266" i="32"/>
  <c r="BO219" i="32"/>
  <c r="AU219" i="32"/>
  <c r="BO198" i="32"/>
  <c r="AU198" i="32"/>
  <c r="BO208" i="32"/>
  <c r="AU208" i="32"/>
  <c r="BO119" i="32"/>
  <c r="AU119" i="32"/>
  <c r="BO70" i="32"/>
  <c r="AU70" i="32"/>
  <c r="BO279" i="32"/>
  <c r="AU279" i="32"/>
  <c r="BO117" i="32"/>
  <c r="AU117" i="32"/>
  <c r="BO160" i="32"/>
  <c r="AU160" i="32"/>
  <c r="BO174" i="32"/>
  <c r="AU174" i="32"/>
  <c r="BU174" i="32" s="1"/>
  <c r="BO106" i="32"/>
  <c r="AU106" i="32"/>
  <c r="BO81" i="32"/>
  <c r="AU81" i="32"/>
  <c r="BO88" i="32"/>
  <c r="AU88" i="32"/>
  <c r="BO60" i="32"/>
  <c r="AU60" i="32"/>
  <c r="BU60" i="32" s="1"/>
  <c r="BO21" i="32"/>
  <c r="AU21" i="32"/>
  <c r="BO112" i="32"/>
  <c r="AU112" i="32"/>
  <c r="BO202" i="32"/>
  <c r="AU202" i="32"/>
  <c r="BO105" i="32"/>
  <c r="AU105" i="32"/>
  <c r="BU105" i="32" s="1"/>
  <c r="BO175" i="32"/>
  <c r="AU175" i="32"/>
  <c r="BO138" i="32"/>
  <c r="AU138" i="32"/>
  <c r="BO41" i="32"/>
  <c r="AU41" i="32"/>
  <c r="BO133" i="32"/>
  <c r="AU133" i="32"/>
  <c r="BU133" i="32" s="1"/>
  <c r="AV204" i="32"/>
  <c r="AU204" i="32"/>
  <c r="AV272" i="32"/>
  <c r="AU272" i="32"/>
  <c r="BO38" i="32"/>
  <c r="AU38" i="32"/>
  <c r="BO42" i="32"/>
  <c r="AU42" i="32"/>
  <c r="BO29" i="32"/>
  <c r="AU29" i="32"/>
  <c r="BO187" i="32"/>
  <c r="AU187" i="32"/>
  <c r="BO194" i="32"/>
  <c r="AU194" i="32"/>
  <c r="BO155" i="32"/>
  <c r="AU155" i="32"/>
  <c r="BU155" i="32" s="1"/>
  <c r="BO140" i="32"/>
  <c r="AU140" i="32"/>
  <c r="BO97" i="32"/>
  <c r="AU97" i="32"/>
  <c r="BO143" i="32"/>
  <c r="AU143" i="32"/>
  <c r="BO89" i="32"/>
  <c r="AU89" i="32"/>
  <c r="BU89" i="32" s="1"/>
  <c r="BO118" i="32"/>
  <c r="AU118" i="32"/>
  <c r="BO168" i="32"/>
  <c r="AU168" i="32"/>
  <c r="BO94" i="32"/>
  <c r="AU94" i="32"/>
  <c r="BO80" i="32"/>
  <c r="AU80" i="32"/>
  <c r="BU80" i="32" s="1"/>
  <c r="BO56" i="32"/>
  <c r="AU56" i="32"/>
  <c r="AV233" i="32"/>
  <c r="AU233" i="32"/>
  <c r="AV213" i="32"/>
  <c r="BV213" i="32" s="1"/>
  <c r="AU213" i="32"/>
  <c r="BO192" i="32"/>
  <c r="AU192" i="32"/>
  <c r="BU192" i="32" s="1"/>
  <c r="AV274" i="32"/>
  <c r="AU274" i="32"/>
  <c r="AV189" i="32"/>
  <c r="AU189" i="32"/>
  <c r="AV203" i="32"/>
  <c r="BV203" i="32" s="1"/>
  <c r="AU203" i="32"/>
  <c r="BU203" i="32" s="1"/>
  <c r="BO222" i="32"/>
  <c r="AU222" i="32"/>
  <c r="BU222" i="32" s="1"/>
  <c r="AV181" i="32"/>
  <c r="BV181" i="32" s="1"/>
  <c r="AU181" i="32"/>
  <c r="BO49" i="32"/>
  <c r="AU49" i="32"/>
  <c r="AV19" i="32"/>
  <c r="BV19" i="32" s="1"/>
  <c r="AU19" i="32"/>
  <c r="BU19" i="32" s="1"/>
  <c r="BO259" i="32"/>
  <c r="AU259" i="32"/>
  <c r="BU259" i="32" s="1"/>
  <c r="BO252" i="32"/>
  <c r="AU252" i="32"/>
  <c r="BO200" i="32"/>
  <c r="AU200" i="32"/>
  <c r="BO166" i="32"/>
  <c r="AU166" i="32"/>
  <c r="BO127" i="32"/>
  <c r="AU127" i="32"/>
  <c r="BU127" i="32" s="1"/>
  <c r="BO135" i="32"/>
  <c r="AU135" i="32"/>
  <c r="BO78" i="32"/>
  <c r="AU78" i="32"/>
  <c r="BO87" i="32"/>
  <c r="AU87" i="32"/>
  <c r="BO76" i="32"/>
  <c r="AU76" i="32"/>
  <c r="BU76" i="32" s="1"/>
  <c r="BO46" i="32"/>
  <c r="AU46" i="32"/>
  <c r="BO129" i="32"/>
  <c r="AU129" i="32"/>
  <c r="BO250" i="32"/>
  <c r="AU250" i="32"/>
  <c r="AV103" i="32"/>
  <c r="AU103" i="32"/>
  <c r="BU103" i="32" s="1"/>
  <c r="AU61" i="32"/>
  <c r="BU61" i="32" s="1"/>
  <c r="BO64" i="32"/>
  <c r="AU64" i="32"/>
  <c r="AV136" i="32"/>
  <c r="AU136" i="32"/>
  <c r="BO273" i="32"/>
  <c r="AU273" i="32"/>
  <c r="BU273" i="32" s="1"/>
  <c r="BO232" i="32"/>
  <c r="AU232" i="32"/>
  <c r="BO28" i="32"/>
  <c r="AU28" i="32"/>
  <c r="AV63" i="32"/>
  <c r="AU63" i="32"/>
  <c r="BO275" i="32"/>
  <c r="AU275" i="32"/>
  <c r="BO256" i="32"/>
  <c r="AU256" i="32"/>
  <c r="BO241" i="32"/>
  <c r="AU241" i="32"/>
  <c r="BO240" i="32"/>
  <c r="AU240" i="32"/>
  <c r="BO278" i="32"/>
  <c r="AU278" i="32"/>
  <c r="BU278" i="32" s="1"/>
  <c r="BO242" i="32"/>
  <c r="AU242" i="32"/>
  <c r="BO167" i="32"/>
  <c r="AU167" i="32"/>
  <c r="BO162" i="32"/>
  <c r="AU162" i="32"/>
  <c r="BO82" i="32"/>
  <c r="AU82" i="32"/>
  <c r="BU82" i="32" s="1"/>
  <c r="BO93" i="32"/>
  <c r="AU93" i="32"/>
  <c r="BO74" i="32"/>
  <c r="AU74" i="32"/>
  <c r="BO128" i="32"/>
  <c r="AV163" i="32"/>
  <c r="AU163" i="32"/>
  <c r="AV79" i="32"/>
  <c r="BV79" i="32" s="1"/>
  <c r="AU79" i="32"/>
  <c r="BU147" i="32"/>
  <c r="AU147" i="32"/>
  <c r="AV218" i="32"/>
  <c r="AU218" i="32"/>
  <c r="BO34" i="32"/>
  <c r="AU34" i="32"/>
  <c r="BO285" i="32"/>
  <c r="AU285" i="32"/>
  <c r="BO237" i="32"/>
  <c r="AU237" i="32"/>
  <c r="BO230" i="32"/>
  <c r="AU230" i="32"/>
  <c r="BO159" i="32"/>
  <c r="AU159" i="32"/>
  <c r="BO110" i="32"/>
  <c r="BO113" i="32" s="1"/>
  <c r="AU110" i="32"/>
  <c r="BO123" i="32"/>
  <c r="AU123" i="32"/>
  <c r="BO148" i="32"/>
  <c r="AU148" i="32"/>
  <c r="BO69" i="32"/>
  <c r="AU69" i="32"/>
  <c r="BO55" i="32"/>
  <c r="AU55" i="32"/>
  <c r="BO48" i="32"/>
  <c r="AU48" i="32"/>
  <c r="BO24" i="32"/>
  <c r="AU24" i="32"/>
  <c r="BO20" i="32"/>
  <c r="AU20" i="32"/>
  <c r="BU23" i="32"/>
  <c r="AU23" i="32"/>
  <c r="BO57" i="32"/>
  <c r="AU57" i="32"/>
  <c r="AV111" i="32"/>
  <c r="AU111" i="32"/>
  <c r="BU111" i="32" s="1"/>
  <c r="AV41" i="32"/>
  <c r="BV41" i="32" s="1"/>
  <c r="AY295" i="32"/>
  <c r="BO51" i="31"/>
  <c r="AU51" i="31"/>
  <c r="BO54" i="31"/>
  <c r="AU54" i="31"/>
  <c r="BO29" i="31"/>
  <c r="BO27" i="31"/>
  <c r="AU27" i="31"/>
  <c r="BO69" i="31"/>
  <c r="AU69" i="31"/>
  <c r="BO61" i="31"/>
  <c r="AU61" i="31"/>
  <c r="BO47" i="31"/>
  <c r="AU47" i="31"/>
  <c r="AV29" i="31"/>
  <c r="BV29" i="31" s="1"/>
  <c r="BO72" i="31"/>
  <c r="AU72" i="31"/>
  <c r="BU72" i="31" s="1"/>
  <c r="AV22" i="31"/>
  <c r="BV22" i="31" s="1"/>
  <c r="AU22" i="31"/>
  <c r="BO68" i="31"/>
  <c r="AU68" i="31"/>
  <c r="BO71" i="31"/>
  <c r="AU71" i="31"/>
  <c r="BU71" i="31" s="1"/>
  <c r="BO70" i="31"/>
  <c r="AU70" i="31"/>
  <c r="BO50" i="31"/>
  <c r="AU50" i="31"/>
  <c r="BO63" i="31"/>
  <c r="AU63" i="31"/>
  <c r="BO31" i="31"/>
  <c r="AU31" i="31"/>
  <c r="BO28" i="31"/>
  <c r="AU28" i="31"/>
  <c r="BO55" i="31"/>
  <c r="AU55" i="31"/>
  <c r="BO33" i="31"/>
  <c r="AU33" i="31"/>
  <c r="BO16" i="31"/>
  <c r="AU16" i="31"/>
  <c r="BO62" i="31"/>
  <c r="AU62" i="31"/>
  <c r="BO18" i="31"/>
  <c r="AU18" i="31"/>
  <c r="BO59" i="31"/>
  <c r="AU59" i="31"/>
  <c r="AT61" i="31"/>
  <c r="BO72" i="30"/>
  <c r="AU72" i="30"/>
  <c r="BO49" i="30"/>
  <c r="AU49" i="30"/>
  <c r="BO39" i="30"/>
  <c r="AU39" i="30"/>
  <c r="BO58" i="30"/>
  <c r="AU58" i="30"/>
  <c r="BO91" i="30"/>
  <c r="AU91" i="30"/>
  <c r="AV84" i="30"/>
  <c r="BV84" i="30" s="1"/>
  <c r="AU84" i="30"/>
  <c r="BU84" i="30" s="1"/>
  <c r="BO68" i="30"/>
  <c r="AU68" i="30"/>
  <c r="BO43" i="30"/>
  <c r="AU43" i="30"/>
  <c r="BU43" i="30" s="1"/>
  <c r="BO26" i="30"/>
  <c r="AU26" i="30"/>
  <c r="BO53" i="30"/>
  <c r="AU53" i="30"/>
  <c r="BO47" i="30"/>
  <c r="AU47" i="30"/>
  <c r="AV50" i="30"/>
  <c r="AU50" i="30"/>
  <c r="BU50" i="30" s="1"/>
  <c r="AV34" i="30"/>
  <c r="BV34" i="30" s="1"/>
  <c r="AU34" i="30"/>
  <c r="BO76" i="30"/>
  <c r="AU76" i="30"/>
  <c r="AV95" i="30"/>
  <c r="AU95" i="30"/>
  <c r="BU95" i="30" s="1"/>
  <c r="AV80" i="30"/>
  <c r="AU80" i="30"/>
  <c r="BU80" i="30" s="1"/>
  <c r="BO90" i="30"/>
  <c r="AU90" i="30"/>
  <c r="BO70" i="30"/>
  <c r="AU70" i="30"/>
  <c r="BU70" i="30" s="1"/>
  <c r="BO69" i="30"/>
  <c r="AU69" i="30"/>
  <c r="BO88" i="30"/>
  <c r="AU88" i="30"/>
  <c r="BO78" i="30"/>
  <c r="AU78" i="30"/>
  <c r="BO55" i="30"/>
  <c r="AU55" i="30"/>
  <c r="AV35" i="30"/>
  <c r="BV35" i="30" s="1"/>
  <c r="AU35" i="30"/>
  <c r="AV94" i="30"/>
  <c r="BV94" i="30" s="1"/>
  <c r="AU94" i="30"/>
  <c r="BU94" i="30" s="1"/>
  <c r="AV33" i="30"/>
  <c r="BV33" i="30" s="1"/>
  <c r="AU33" i="30"/>
  <c r="BU33" i="30" s="1"/>
  <c r="BO56" i="30"/>
  <c r="AU56" i="30"/>
  <c r="BO24" i="30"/>
  <c r="AU24" i="30"/>
  <c r="AV89" i="30"/>
  <c r="BV89" i="30" s="1"/>
  <c r="AU89" i="30"/>
  <c r="BU89" i="30" s="1"/>
  <c r="AT41" i="30"/>
  <c r="BO12" i="30"/>
  <c r="AU12" i="30"/>
  <c r="AH186" i="29"/>
  <c r="BO173" i="29"/>
  <c r="AU173" i="29"/>
  <c r="BO171" i="29"/>
  <c r="AU171" i="29"/>
  <c r="BO140" i="29"/>
  <c r="AU140" i="29"/>
  <c r="BO118" i="29"/>
  <c r="AU118" i="29"/>
  <c r="AS184" i="29"/>
  <c r="BT131" i="29"/>
  <c r="BO130" i="29"/>
  <c r="AU130" i="29"/>
  <c r="BO88" i="29"/>
  <c r="AU88" i="29"/>
  <c r="BO19" i="29"/>
  <c r="BO20" i="29" s="1"/>
  <c r="AU19" i="29"/>
  <c r="BO27" i="29"/>
  <c r="AU27" i="29"/>
  <c r="BO72" i="29"/>
  <c r="AU72" i="29"/>
  <c r="BO23" i="29"/>
  <c r="AU23" i="29"/>
  <c r="BU188" i="29"/>
  <c r="AU188" i="29"/>
  <c r="AG83" i="29"/>
  <c r="BO124" i="29"/>
  <c r="AU124" i="29"/>
  <c r="AH82" i="29"/>
  <c r="BO73" i="29"/>
  <c r="AU73" i="29"/>
  <c r="AV26" i="29"/>
  <c r="BV26" i="29" s="1"/>
  <c r="AU26" i="29"/>
  <c r="AV50" i="29"/>
  <c r="AU50" i="29"/>
  <c r="BU64" i="29"/>
  <c r="AU64" i="29"/>
  <c r="BO65" i="29"/>
  <c r="AU65" i="29"/>
  <c r="AV81" i="29"/>
  <c r="BV81" i="29" s="1"/>
  <c r="AU81" i="29"/>
  <c r="AR185" i="29"/>
  <c r="BO165" i="29"/>
  <c r="AU165" i="29"/>
  <c r="BO105" i="29"/>
  <c r="AU105" i="29"/>
  <c r="BO46" i="29"/>
  <c r="AU46" i="29"/>
  <c r="AV54" i="29"/>
  <c r="AU54" i="29"/>
  <c r="BO94" i="29"/>
  <c r="AU94" i="29"/>
  <c r="BO135" i="29"/>
  <c r="AU135" i="29"/>
  <c r="BU135" i="29" s="1"/>
  <c r="BO97" i="29"/>
  <c r="AU97" i="29"/>
  <c r="BU97" i="29" s="1"/>
  <c r="AV86" i="29"/>
  <c r="BV86" i="29" s="1"/>
  <c r="AU86" i="29"/>
  <c r="BO178" i="29"/>
  <c r="AU178" i="29"/>
  <c r="BO176" i="29"/>
  <c r="AU176" i="29"/>
  <c r="BO141" i="29"/>
  <c r="AU141" i="29"/>
  <c r="BO67" i="29"/>
  <c r="AU67" i="29"/>
  <c r="BO91" i="29"/>
  <c r="AU91" i="29"/>
  <c r="AV75" i="29"/>
  <c r="BV75" i="29" s="1"/>
  <c r="AU75" i="29"/>
  <c r="BO160" i="29"/>
  <c r="AU160" i="29"/>
  <c r="BU160" i="29" s="1"/>
  <c r="BO146" i="29"/>
  <c r="AU146" i="29"/>
  <c r="BO132" i="29"/>
  <c r="AU132" i="29"/>
  <c r="BO115" i="29"/>
  <c r="AU115" i="29"/>
  <c r="BO90" i="29"/>
  <c r="AU90" i="29"/>
  <c r="AS34" i="29"/>
  <c r="BO18" i="29"/>
  <c r="AU18" i="29"/>
  <c r="AV126" i="29"/>
  <c r="AU126" i="29"/>
  <c r="BO127" i="29"/>
  <c r="AU127" i="29"/>
  <c r="BO110" i="29"/>
  <c r="AU110" i="29"/>
  <c r="AS92" i="29"/>
  <c r="BO77" i="29"/>
  <c r="AU77" i="29"/>
  <c r="AH92" i="29"/>
  <c r="BU15" i="29"/>
  <c r="AU15" i="29"/>
  <c r="BP54" i="29"/>
  <c r="BP55" i="29" s="1"/>
  <c r="AS41" i="29"/>
  <c r="I172" i="29"/>
  <c r="AH151" i="29"/>
  <c r="AU151" i="29" s="1"/>
  <c r="AH122" i="29"/>
  <c r="AU122" i="29" s="1"/>
  <c r="BQ157" i="29"/>
  <c r="AF89" i="29"/>
  <c r="AH42" i="29"/>
  <c r="AS151" i="29"/>
  <c r="AS154" i="29" s="1"/>
  <c r="AS165" i="29"/>
  <c r="AH30" i="29"/>
  <c r="AG158" i="29"/>
  <c r="AT171" i="29"/>
  <c r="AG163" i="29"/>
  <c r="AH112" i="29"/>
  <c r="BQ141" i="29"/>
  <c r="AF131" i="29"/>
  <c r="AH22" i="29"/>
  <c r="AS82" i="29"/>
  <c r="AH59" i="29"/>
  <c r="AS22" i="29"/>
  <c r="AS24" i="29" s="1"/>
  <c r="AR59" i="29"/>
  <c r="AT98" i="30"/>
  <c r="AT35" i="30"/>
  <c r="AG86" i="31"/>
  <c r="BU272" i="32"/>
  <c r="BO272" i="32"/>
  <c r="AV104" i="32"/>
  <c r="AT241" i="32"/>
  <c r="AT105" i="32"/>
  <c r="BO257" i="32"/>
  <c r="AT225" i="32"/>
  <c r="I37" i="32"/>
  <c r="AT251" i="32"/>
  <c r="AS180" i="29"/>
  <c r="BQ69" i="29"/>
  <c r="BQ70" i="29" s="1"/>
  <c r="BQ180" i="29"/>
  <c r="BQ188" i="29"/>
  <c r="AV64" i="29"/>
  <c r="AH38" i="29"/>
  <c r="AF154" i="29"/>
  <c r="AH57" i="29"/>
  <c r="AU57" i="29" s="1"/>
  <c r="AS69" i="29"/>
  <c r="AF62" i="29"/>
  <c r="AS188" i="29"/>
  <c r="AT188" i="29" s="1"/>
  <c r="AG113" i="29"/>
  <c r="BP176" i="29"/>
  <c r="BP177" i="29" s="1"/>
  <c r="BP185" i="29"/>
  <c r="BQ44" i="32"/>
  <c r="BQ45" i="32" s="1"/>
  <c r="AS44" i="32"/>
  <c r="AS45" i="32" s="1"/>
  <c r="AT116" i="32"/>
  <c r="BU49" i="32"/>
  <c r="AT267" i="32"/>
  <c r="AV133" i="32"/>
  <c r="BV133" i="32" s="1"/>
  <c r="BQ113" i="32"/>
  <c r="I237" i="32"/>
  <c r="AT63" i="32"/>
  <c r="AZ63" i="32" s="1"/>
  <c r="AV34" i="32"/>
  <c r="BV34" i="32" s="1"/>
  <c r="BO156" i="32"/>
  <c r="BO111" i="32"/>
  <c r="BU156" i="32"/>
  <c r="BK77" i="32"/>
  <c r="BU223" i="32"/>
  <c r="I168" i="32"/>
  <c r="BP52" i="31"/>
  <c r="BO96" i="30"/>
  <c r="AV96" i="30"/>
  <c r="BV96" i="30" s="1"/>
  <c r="I52" i="30"/>
  <c r="AG39" i="29"/>
  <c r="BQ37" i="29"/>
  <c r="AR170" i="29"/>
  <c r="AT170" i="29" s="1"/>
  <c r="AH170" i="29"/>
  <c r="BQ110" i="29"/>
  <c r="AG74" i="29"/>
  <c r="AF202" i="29"/>
  <c r="BQ22" i="29"/>
  <c r="BQ24" i="29" s="1"/>
  <c r="AH136" i="29"/>
  <c r="BQ71" i="29"/>
  <c r="BQ74" i="29" s="1"/>
  <c r="BZ198" i="29"/>
  <c r="AH162" i="29"/>
  <c r="AS98" i="29"/>
  <c r="AT98" i="29" s="1"/>
  <c r="AS136" i="29"/>
  <c r="AT136" i="29" s="1"/>
  <c r="AH98" i="29"/>
  <c r="AG154" i="29"/>
  <c r="AH185" i="29"/>
  <c r="AU185" i="29" s="1"/>
  <c r="BP65" i="29"/>
  <c r="BP66" i="29" s="1"/>
  <c r="AH180" i="29"/>
  <c r="AG43" i="29"/>
  <c r="AH182" i="29"/>
  <c r="AU182" i="29" s="1"/>
  <c r="BQ30" i="29"/>
  <c r="BQ31" i="29" s="1"/>
  <c r="AF147" i="29"/>
  <c r="BQ42" i="29"/>
  <c r="AR144" i="29"/>
  <c r="AT144" i="29" s="1"/>
  <c r="AH128" i="29"/>
  <c r="AS122" i="29"/>
  <c r="AT122" i="29" s="1"/>
  <c r="AS161" i="29"/>
  <c r="BQ166" i="29"/>
  <c r="BQ167" i="29" s="1"/>
  <c r="AG95" i="29"/>
  <c r="AF174" i="29"/>
  <c r="BP182" i="29"/>
  <c r="AF28" i="29"/>
  <c r="BP150" i="29"/>
  <c r="BP154" i="29" s="1"/>
  <c r="BQ45" i="29"/>
  <c r="BP180" i="29"/>
  <c r="BQ128" i="29"/>
  <c r="BQ131" i="29" s="1"/>
  <c r="BP27" i="29"/>
  <c r="BQ112" i="29"/>
  <c r="BQ60" i="29"/>
  <c r="BQ62" i="29" s="1"/>
  <c r="BQ121" i="29"/>
  <c r="AT157" i="29"/>
  <c r="AH150" i="29"/>
  <c r="AS185" i="29"/>
  <c r="AS166" i="29"/>
  <c r="AT166" i="29" s="1"/>
  <c r="AH161" i="29"/>
  <c r="BQ161" i="29"/>
  <c r="BQ163" i="29" s="1"/>
  <c r="BQ57" i="29"/>
  <c r="BQ102" i="29"/>
  <c r="BQ150" i="29"/>
  <c r="BQ154" i="29" s="1"/>
  <c r="BQ156" i="29"/>
  <c r="BQ158" i="29" s="1"/>
  <c r="BQ185" i="29"/>
  <c r="BP144" i="29"/>
  <c r="BQ34" i="29"/>
  <c r="BP162" i="29"/>
  <c r="BQ111" i="29"/>
  <c r="BS147" i="29"/>
  <c r="AR27" i="29"/>
  <c r="AT27" i="29" s="1"/>
  <c r="AR162" i="29"/>
  <c r="AR180" i="29"/>
  <c r="BP143" i="29"/>
  <c r="BP147" i="29" s="1"/>
  <c r="BQ38" i="29"/>
  <c r="BQ26" i="29"/>
  <c r="BQ28" i="29" s="1"/>
  <c r="AS45" i="29"/>
  <c r="AT45" i="29" s="1"/>
  <c r="AH111" i="29"/>
  <c r="AU111" i="29" s="1"/>
  <c r="AF183" i="29"/>
  <c r="AG35" i="29"/>
  <c r="AG101" i="29"/>
  <c r="AS156" i="29"/>
  <c r="AS158" i="29" s="1"/>
  <c r="AS102" i="29"/>
  <c r="AS107" i="29" s="1"/>
  <c r="AS57" i="29"/>
  <c r="AT57" i="29" s="1"/>
  <c r="AH45" i="29"/>
  <c r="AG190" i="29"/>
  <c r="AG125" i="29"/>
  <c r="BP178" i="29"/>
  <c r="AG167" i="29"/>
  <c r="AG137" i="29"/>
  <c r="BQ33" i="29"/>
  <c r="BY198" i="29"/>
  <c r="BY139" i="29"/>
  <c r="AT100" i="29"/>
  <c r="BU100" i="29"/>
  <c r="BP121" i="32"/>
  <c r="BP124" i="32" s="1"/>
  <c r="BS171" i="32"/>
  <c r="AR121" i="32"/>
  <c r="AR124" i="32" s="1"/>
  <c r="BQ101" i="32"/>
  <c r="BQ302" i="32" s="1"/>
  <c r="AS101" i="32"/>
  <c r="AS302" i="32" s="1"/>
  <c r="BU129" i="32"/>
  <c r="I215" i="32"/>
  <c r="I216" i="32" s="1"/>
  <c r="BO181" i="32"/>
  <c r="AV142" i="32"/>
  <c r="I223" i="32"/>
  <c r="BV204" i="32"/>
  <c r="AV147" i="32"/>
  <c r="BV147" i="32" s="1"/>
  <c r="BR145" i="32"/>
  <c r="BR146" i="32" s="1"/>
  <c r="BZ40" i="31"/>
  <c r="AQ25" i="31"/>
  <c r="AT58" i="30"/>
  <c r="BY112" i="30"/>
  <c r="AQ65" i="30"/>
  <c r="BO34" i="30"/>
  <c r="BO33" i="30"/>
  <c r="AV36" i="30"/>
  <c r="BV36" i="30" s="1"/>
  <c r="M102" i="30"/>
  <c r="BR62" i="30"/>
  <c r="BR65" i="30" s="1"/>
  <c r="BM40" i="30"/>
  <c r="BX40" i="30" s="1"/>
  <c r="AT94" i="30"/>
  <c r="AT26" i="30"/>
  <c r="AT89" i="30"/>
  <c r="I79" i="30"/>
  <c r="AV23" i="32"/>
  <c r="BV23" i="32" s="1"/>
  <c r="AT226" i="32"/>
  <c r="AS248" i="32"/>
  <c r="BZ84" i="31"/>
  <c r="BS28" i="30"/>
  <c r="BS61" i="30"/>
  <c r="AG37" i="30"/>
  <c r="BO95" i="30"/>
  <c r="BQ62" i="30"/>
  <c r="BQ65" i="30" s="1"/>
  <c r="AQ85" i="30"/>
  <c r="AG65" i="30"/>
  <c r="AH62" i="30"/>
  <c r="AU62" i="30" s="1"/>
  <c r="AT43" i="30"/>
  <c r="AV223" i="32"/>
  <c r="BV223" i="32" s="1"/>
  <c r="BM124" i="32"/>
  <c r="I274" i="32"/>
  <c r="I209" i="32"/>
  <c r="P27" i="32"/>
  <c r="J102" i="30"/>
  <c r="BC103" i="30"/>
  <c r="BK102" i="30" s="1"/>
  <c r="BM62" i="29"/>
  <c r="BP71" i="29"/>
  <c r="BP74" i="29" s="1"/>
  <c r="AH71" i="29"/>
  <c r="AR71" i="29"/>
  <c r="AR74" i="29" s="1"/>
  <c r="P20" i="29"/>
  <c r="AT180" i="29"/>
  <c r="AT123" i="29"/>
  <c r="BU86" i="29"/>
  <c r="BT119" i="29"/>
  <c r="AT15" i="29"/>
  <c r="AV80" i="29"/>
  <c r="BV80" i="29" s="1"/>
  <c r="AT135" i="29"/>
  <c r="BO86" i="29"/>
  <c r="AT130" i="29"/>
  <c r="AS215" i="32"/>
  <c r="AS216" i="32" s="1"/>
  <c r="AT193" i="32"/>
  <c r="BU181" i="32"/>
  <c r="BO147" i="32"/>
  <c r="BM73" i="32"/>
  <c r="BX73" i="32" s="1"/>
  <c r="AT148" i="32"/>
  <c r="AT260" i="32"/>
  <c r="BO203" i="32"/>
  <c r="BS290" i="32"/>
  <c r="I102" i="32"/>
  <c r="AR86" i="32"/>
  <c r="AT86" i="32" s="1"/>
  <c r="AG216" i="32"/>
  <c r="BV189" i="32"/>
  <c r="BU22" i="31"/>
  <c r="BO22" i="31"/>
  <c r="BR24" i="31"/>
  <c r="P48" i="30"/>
  <c r="AQ113" i="30"/>
  <c r="BV54" i="29"/>
  <c r="BO100" i="29"/>
  <c r="P28" i="29"/>
  <c r="Q55" i="29"/>
  <c r="BX138" i="29"/>
  <c r="BX203" i="29" s="1"/>
  <c r="BO126" i="29"/>
  <c r="BM139" i="29"/>
  <c r="BS167" i="29"/>
  <c r="AT275" i="32"/>
  <c r="AT271" i="32"/>
  <c r="AV211" i="32"/>
  <c r="BV211" i="32" s="1"/>
  <c r="AH179" i="32"/>
  <c r="BQ85" i="32"/>
  <c r="BQ90" i="32" s="1"/>
  <c r="BU64" i="32"/>
  <c r="BO204" i="32"/>
  <c r="AG182" i="32"/>
  <c r="AV64" i="32"/>
  <c r="BV64" i="32" s="1"/>
  <c r="AT212" i="32"/>
  <c r="BU204" i="32"/>
  <c r="BQ179" i="32"/>
  <c r="BQ182" i="32" s="1"/>
  <c r="AR73" i="32"/>
  <c r="BU251" i="32"/>
  <c r="BP73" i="32"/>
  <c r="BV233" i="32"/>
  <c r="I208" i="32"/>
  <c r="I160" i="32"/>
  <c r="AT247" i="32"/>
  <c r="AG255" i="32"/>
  <c r="BX302" i="32"/>
  <c r="AT76" i="32"/>
  <c r="AV49" i="32"/>
  <c r="BV49" i="32" s="1"/>
  <c r="BO218" i="32"/>
  <c r="AT204" i="32"/>
  <c r="AT170" i="32"/>
  <c r="BY120" i="32"/>
  <c r="AT98" i="32"/>
  <c r="BV218" i="32"/>
  <c r="BM182" i="32"/>
  <c r="I204" i="32"/>
  <c r="Q276" i="32"/>
  <c r="BT71" i="32"/>
  <c r="I111" i="32"/>
  <c r="I159" i="32"/>
  <c r="P113" i="32"/>
  <c r="BU63" i="32"/>
  <c r="AQ43" i="31"/>
  <c r="I26" i="31"/>
  <c r="AG32" i="31"/>
  <c r="AT70" i="31"/>
  <c r="BY25" i="31"/>
  <c r="S76" i="31"/>
  <c r="BK105" i="30"/>
  <c r="AT55" i="30"/>
  <c r="BK44" i="30"/>
  <c r="BY44" i="30"/>
  <c r="BP83" i="30"/>
  <c r="BP85" i="30" s="1"/>
  <c r="BS107" i="30"/>
  <c r="I16" i="30"/>
  <c r="I17" i="30" s="1"/>
  <c r="AT73" i="30"/>
  <c r="AS28" i="30"/>
  <c r="BT54" i="30"/>
  <c r="AT24" i="30"/>
  <c r="BR29" i="30"/>
  <c r="BR112" i="30" s="1"/>
  <c r="BM30" i="30"/>
  <c r="BU34" i="30"/>
  <c r="AR83" i="30"/>
  <c r="AR85" i="30" s="1"/>
  <c r="BM112" i="30"/>
  <c r="AT82" i="30"/>
  <c r="AT27" i="30"/>
  <c r="BX30" i="30"/>
  <c r="AH83" i="30"/>
  <c r="AT76" i="30"/>
  <c r="AQ30" i="30"/>
  <c r="AT76" i="29"/>
  <c r="Q198" i="29"/>
  <c r="AT61" i="29"/>
  <c r="AT77" i="29"/>
  <c r="AT54" i="29"/>
  <c r="AT91" i="29"/>
  <c r="AT80" i="29"/>
  <c r="AT182" i="29"/>
  <c r="AV91" i="29"/>
  <c r="BV91" i="29" s="1"/>
  <c r="BU54" i="29"/>
  <c r="I26" i="29"/>
  <c r="AV19" i="29"/>
  <c r="BV19" i="29" s="1"/>
  <c r="AT128" i="29"/>
  <c r="AT129" i="29"/>
  <c r="BU26" i="29"/>
  <c r="I133" i="29"/>
  <c r="BM103" i="29"/>
  <c r="BX103" i="29" s="1"/>
  <c r="BX107" i="29" s="1"/>
  <c r="AS29" i="29"/>
  <c r="AS31" i="29" s="1"/>
  <c r="AQ13" i="29"/>
  <c r="BO123" i="29"/>
  <c r="AT149" i="29"/>
  <c r="BK107" i="29"/>
  <c r="AV123" i="29"/>
  <c r="BV123" i="29" s="1"/>
  <c r="P78" i="29"/>
  <c r="BO172" i="29"/>
  <c r="AT161" i="29"/>
  <c r="I73" i="29"/>
  <c r="X194" i="29"/>
  <c r="J193" i="29"/>
  <c r="BP68" i="29"/>
  <c r="BU126" i="29"/>
  <c r="BY68" i="29"/>
  <c r="BY195" i="29" s="1"/>
  <c r="AQ158" i="29"/>
  <c r="BO80" i="29"/>
  <c r="BO64" i="29"/>
  <c r="BM68" i="29"/>
  <c r="BX68" i="29" s="1"/>
  <c r="BX70" i="29" s="1"/>
  <c r="I59" i="29"/>
  <c r="AS164" i="29"/>
  <c r="BU91" i="29"/>
  <c r="Q78" i="29"/>
  <c r="I63" i="29"/>
  <c r="AH68" i="29"/>
  <c r="P13" i="29"/>
  <c r="BU19" i="29"/>
  <c r="BM97" i="29"/>
  <c r="BX97" i="29" s="1"/>
  <c r="Q48" i="30"/>
  <c r="BW40" i="31"/>
  <c r="AT250" i="32"/>
  <c r="AV257" i="32"/>
  <c r="BV257" i="32" s="1"/>
  <c r="BS164" i="32"/>
  <c r="AT208" i="32"/>
  <c r="I39" i="31"/>
  <c r="I86" i="31" s="1"/>
  <c r="Q177" i="29"/>
  <c r="I117" i="29"/>
  <c r="I112" i="29"/>
  <c r="I150" i="29"/>
  <c r="I171" i="29"/>
  <c r="I184" i="32"/>
  <c r="M193" i="29"/>
  <c r="BT154" i="29"/>
  <c r="BK101" i="29"/>
  <c r="I76" i="29"/>
  <c r="I78" i="29" s="1"/>
  <c r="AT50" i="29"/>
  <c r="BO84" i="30"/>
  <c r="P40" i="31"/>
  <c r="AT265" i="32"/>
  <c r="AT136" i="32"/>
  <c r="AT155" i="32"/>
  <c r="BV136" i="32"/>
  <c r="BV111" i="32"/>
  <c r="BS43" i="32"/>
  <c r="BO19" i="32"/>
  <c r="AT127" i="29"/>
  <c r="AR97" i="29"/>
  <c r="AT97" i="29" s="1"/>
  <c r="AY75" i="31"/>
  <c r="AT29" i="31"/>
  <c r="BX179" i="32"/>
  <c r="BX182" i="32" s="1"/>
  <c r="AT92" i="32"/>
  <c r="BO103" i="32"/>
  <c r="Q214" i="32"/>
  <c r="I81" i="29"/>
  <c r="I96" i="30"/>
  <c r="AT116" i="29"/>
  <c r="AT179" i="29"/>
  <c r="BW198" i="29"/>
  <c r="I176" i="29"/>
  <c r="AT118" i="29"/>
  <c r="BP97" i="29"/>
  <c r="AQ74" i="29"/>
  <c r="AT278" i="32"/>
  <c r="BS120" i="32"/>
  <c r="BO136" i="32"/>
  <c r="AH86" i="32"/>
  <c r="BO142" i="32"/>
  <c r="I73" i="30"/>
  <c r="I80" i="29"/>
  <c r="I30" i="29"/>
  <c r="I31" i="29" s="1"/>
  <c r="BC100" i="30"/>
  <c r="BK101" i="30" s="1"/>
  <c r="AT47" i="30"/>
  <c r="AS291" i="32"/>
  <c r="AS292" i="32" s="1"/>
  <c r="AT240" i="32"/>
  <c r="AV250" i="32"/>
  <c r="BV250" i="32" s="1"/>
  <c r="BU136" i="32"/>
  <c r="AQ39" i="32"/>
  <c r="BZ171" i="32"/>
  <c r="BV50" i="30"/>
  <c r="I136" i="29"/>
  <c r="I48" i="32"/>
  <c r="I181" i="29"/>
  <c r="M76" i="31"/>
  <c r="I73" i="32"/>
  <c r="I110" i="32"/>
  <c r="I287" i="32"/>
  <c r="AT173" i="29"/>
  <c r="AS85" i="30"/>
  <c r="AT56" i="31"/>
  <c r="I273" i="32"/>
  <c r="I280" i="32"/>
  <c r="BY238" i="32"/>
  <c r="I173" i="32"/>
  <c r="I192" i="32"/>
  <c r="AR54" i="32"/>
  <c r="AT54" i="32" s="1"/>
  <c r="AS40" i="32"/>
  <c r="AT40" i="32" s="1"/>
  <c r="BY130" i="32"/>
  <c r="BZ220" i="32"/>
  <c r="I81" i="32"/>
  <c r="I61" i="29"/>
  <c r="I100" i="29"/>
  <c r="I46" i="29"/>
  <c r="AT30" i="32"/>
  <c r="AT82" i="29"/>
  <c r="Q54" i="30"/>
  <c r="AR13" i="30"/>
  <c r="AT13" i="30" s="1"/>
  <c r="BT276" i="32"/>
  <c r="BO189" i="32"/>
  <c r="AT210" i="32"/>
  <c r="BT150" i="32"/>
  <c r="BP54" i="32"/>
  <c r="BU57" i="32"/>
  <c r="AY193" i="29"/>
  <c r="I175" i="29"/>
  <c r="AV135" i="29"/>
  <c r="BV135" i="29" s="1"/>
  <c r="AS78" i="29"/>
  <c r="BP13" i="30"/>
  <c r="AQ73" i="31"/>
  <c r="AT36" i="31"/>
  <c r="I28" i="31"/>
  <c r="I24" i="31"/>
  <c r="I87" i="31" s="1"/>
  <c r="AT243" i="32"/>
  <c r="BV163" i="32"/>
  <c r="AT191" i="32"/>
  <c r="BT171" i="32"/>
  <c r="I151" i="32"/>
  <c r="BS144" i="32"/>
  <c r="I122" i="32"/>
  <c r="BQ27" i="32"/>
  <c r="AV57" i="32"/>
  <c r="BV57" i="32" s="1"/>
  <c r="P48" i="31"/>
  <c r="I236" i="32"/>
  <c r="BV160" i="29"/>
  <c r="BY163" i="29"/>
  <c r="AG196" i="29"/>
  <c r="P62" i="29"/>
  <c r="AS62" i="29"/>
  <c r="I53" i="29"/>
  <c r="I55" i="29" s="1"/>
  <c r="AV15" i="29"/>
  <c r="BV80" i="30"/>
  <c r="BO80" i="30"/>
  <c r="AT64" i="30"/>
  <c r="BU12" i="30"/>
  <c r="AT266" i="32"/>
  <c r="AT242" i="32"/>
  <c r="BS248" i="32"/>
  <c r="BY144" i="32"/>
  <c r="AG137" i="32"/>
  <c r="BU189" i="32"/>
  <c r="BM66" i="29"/>
  <c r="BY19" i="31"/>
  <c r="I251" i="32"/>
  <c r="I198" i="32"/>
  <c r="BU123" i="29"/>
  <c r="I32" i="29"/>
  <c r="AT18" i="29"/>
  <c r="BO15" i="29"/>
  <c r="BR16" i="30"/>
  <c r="BR113" i="30" s="1"/>
  <c r="I22" i="31"/>
  <c r="AV251" i="32"/>
  <c r="BV251" i="32" s="1"/>
  <c r="BS65" i="32"/>
  <c r="BO251" i="32"/>
  <c r="BV50" i="29"/>
  <c r="I207" i="32"/>
  <c r="I114" i="32"/>
  <c r="BM146" i="32"/>
  <c r="BX145" i="32"/>
  <c r="BX146" i="32" s="1"/>
  <c r="I36" i="32"/>
  <c r="Q39" i="32"/>
  <c r="Q216" i="32"/>
  <c r="AT203" i="32"/>
  <c r="AZ203" i="32" s="1"/>
  <c r="BN203" i="32" s="1"/>
  <c r="AQ130" i="32"/>
  <c r="AT135" i="32"/>
  <c r="BP246" i="32"/>
  <c r="BP248" i="32" s="1"/>
  <c r="AH246" i="32"/>
  <c r="AU246" i="32" s="1"/>
  <c r="I98" i="32"/>
  <c r="AV185" i="32"/>
  <c r="BV185" i="32" s="1"/>
  <c r="I55" i="31"/>
  <c r="BZ81" i="31"/>
  <c r="BZ48" i="31"/>
  <c r="AV45" i="31"/>
  <c r="BV45" i="31" s="1"/>
  <c r="BU45" i="31"/>
  <c r="BO191" i="32"/>
  <c r="AV191" i="32"/>
  <c r="BV191" i="32" s="1"/>
  <c r="BU191" i="32"/>
  <c r="AT104" i="32"/>
  <c r="AG71" i="32"/>
  <c r="AH66" i="32"/>
  <c r="BP114" i="32"/>
  <c r="AR114" i="32"/>
  <c r="AT114" i="32" s="1"/>
  <c r="I241" i="32"/>
  <c r="P245" i="32"/>
  <c r="AV83" i="32"/>
  <c r="BV83" i="32" s="1"/>
  <c r="BU83" i="32"/>
  <c r="BO83" i="32"/>
  <c r="BV272" i="32"/>
  <c r="I272" i="32"/>
  <c r="I173" i="29"/>
  <c r="BX167" i="29"/>
  <c r="AT112" i="29"/>
  <c r="BQ83" i="29"/>
  <c r="AT69" i="30"/>
  <c r="BZ38" i="31"/>
  <c r="BZ85" i="31"/>
  <c r="BS158" i="29"/>
  <c r="BU80" i="29"/>
  <c r="AT23" i="29"/>
  <c r="Q24" i="29"/>
  <c r="AV12" i="30"/>
  <c r="BV12" i="30" s="1"/>
  <c r="AT187" i="32"/>
  <c r="BU211" i="32"/>
  <c r="BU79" i="32"/>
  <c r="BO79" i="32"/>
  <c r="BU59" i="31"/>
  <c r="BW40" i="30"/>
  <c r="BW44" i="30" s="1"/>
  <c r="AY105" i="30"/>
  <c r="AY103" i="30" s="1"/>
  <c r="AH18" i="32"/>
  <c r="AF22" i="32"/>
  <c r="AR18" i="32"/>
  <c r="AT18" i="32" s="1"/>
  <c r="BP18" i="32"/>
  <c r="BP22" i="32" s="1"/>
  <c r="BW204" i="29"/>
  <c r="BW13" i="29"/>
  <c r="M192" i="29"/>
  <c r="AT97" i="30"/>
  <c r="AH114" i="32"/>
  <c r="BQ31" i="30"/>
  <c r="AH31" i="30"/>
  <c r="AU31" i="30" s="1"/>
  <c r="AR263" i="32"/>
  <c r="AR269" i="32" s="1"/>
  <c r="BP263" i="32"/>
  <c r="BP269" i="32" s="1"/>
  <c r="AV59" i="31"/>
  <c r="BV59" i="31" s="1"/>
  <c r="BQ114" i="29"/>
  <c r="BQ119" i="29" s="1"/>
  <c r="AH114" i="29"/>
  <c r="BC194" i="29"/>
  <c r="BK193" i="29" s="1"/>
  <c r="BS83" i="29"/>
  <c r="BO75" i="29"/>
  <c r="AQ61" i="30"/>
  <c r="AF37" i="30"/>
  <c r="AS48" i="30"/>
  <c r="I63" i="31"/>
  <c r="AT273" i="32"/>
  <c r="AT134" i="32"/>
  <c r="AT95" i="32"/>
  <c r="AV51" i="32"/>
  <c r="BV51" i="32" s="1"/>
  <c r="AH209" i="32"/>
  <c r="AU209" i="32" s="1"/>
  <c r="BP209" i="32"/>
  <c r="AR209" i="32"/>
  <c r="AT209" i="32" s="1"/>
  <c r="BK104" i="30"/>
  <c r="BK15" i="30"/>
  <c r="Q43" i="32"/>
  <c r="I40" i="32"/>
  <c r="I43" i="32" s="1"/>
  <c r="Q51" i="29"/>
  <c r="I49" i="29"/>
  <c r="Q58" i="32"/>
  <c r="AV141" i="32"/>
  <c r="BV141" i="32" s="1"/>
  <c r="BU141" i="32"/>
  <c r="BO141" i="32"/>
  <c r="Q45" i="32"/>
  <c r="I44" i="32"/>
  <c r="I45" i="32" s="1"/>
  <c r="BR215" i="32"/>
  <c r="BR216" i="32" s="1"/>
  <c r="AQ216" i="32"/>
  <c r="AS83" i="29"/>
  <c r="AF39" i="32"/>
  <c r="BP36" i="32"/>
  <c r="BP39" i="32" s="1"/>
  <c r="AV153" i="32"/>
  <c r="BV153" i="32" s="1"/>
  <c r="BO153" i="32"/>
  <c r="BU153" i="32"/>
  <c r="AQ119" i="29"/>
  <c r="BU75" i="29"/>
  <c r="BU207" i="32"/>
  <c r="BO207" i="32"/>
  <c r="AV207" i="32"/>
  <c r="BV207" i="32" s="1"/>
  <c r="I103" i="32"/>
  <c r="I53" i="32"/>
  <c r="P58" i="32"/>
  <c r="I36" i="31"/>
  <c r="AT280" i="32"/>
  <c r="AT237" i="32"/>
  <c r="AT207" i="32"/>
  <c r="BT137" i="32"/>
  <c r="AT60" i="32"/>
  <c r="Q188" i="32"/>
  <c r="AT96" i="30"/>
  <c r="I13" i="30"/>
  <c r="AT143" i="29"/>
  <c r="BL102" i="30"/>
  <c r="AT60" i="31"/>
  <c r="I162" i="32"/>
  <c r="BM17" i="29"/>
  <c r="AT84" i="30"/>
  <c r="AQ48" i="30"/>
  <c r="BZ54" i="30"/>
  <c r="AT46" i="30"/>
  <c r="BS54" i="30"/>
  <c r="BS38" i="31"/>
  <c r="BZ283" i="32"/>
  <c r="BY276" i="32"/>
  <c r="BP113" i="32"/>
  <c r="BU163" i="32"/>
  <c r="I38" i="30"/>
  <c r="I60" i="32"/>
  <c r="P83" i="29"/>
  <c r="AS74" i="29"/>
  <c r="AT53" i="29"/>
  <c r="BY74" i="29"/>
  <c r="BX51" i="29"/>
  <c r="BQ85" i="30"/>
  <c r="P28" i="30"/>
  <c r="I47" i="30"/>
  <c r="I48" i="30" s="1"/>
  <c r="BM52" i="31"/>
  <c r="AT274" i="32"/>
  <c r="AT213" i="32"/>
  <c r="I125" i="32"/>
  <c r="AT152" i="32"/>
  <c r="BM302" i="32"/>
  <c r="BO54" i="29"/>
  <c r="I115" i="29"/>
  <c r="I110" i="29"/>
  <c r="I98" i="29"/>
  <c r="I90" i="29"/>
  <c r="BY113" i="29"/>
  <c r="I127" i="32"/>
  <c r="I243" i="32"/>
  <c r="AT88" i="29"/>
  <c r="AQ66" i="29"/>
  <c r="AT68" i="29"/>
  <c r="BY71" i="30"/>
  <c r="BL76" i="31"/>
  <c r="I54" i="31"/>
  <c r="AT289" i="32"/>
  <c r="AZ289" i="32" s="1"/>
  <c r="AT236" i="32"/>
  <c r="AQ269" i="32"/>
  <c r="AT112" i="32"/>
  <c r="AT93" i="32"/>
  <c r="I149" i="32"/>
  <c r="I63" i="32"/>
  <c r="I126" i="32"/>
  <c r="AV67" i="32"/>
  <c r="BV67" i="32" s="1"/>
  <c r="BV103" i="32"/>
  <c r="I233" i="32"/>
  <c r="S193" i="29"/>
  <c r="BS66" i="29"/>
  <c r="P101" i="29"/>
  <c r="I93" i="29"/>
  <c r="AT85" i="29"/>
  <c r="I50" i="30"/>
  <c r="AT103" i="29"/>
  <c r="AT86" i="29"/>
  <c r="S102" i="30"/>
  <c r="BY57" i="31"/>
  <c r="BV156" i="32"/>
  <c r="AT288" i="32"/>
  <c r="BP262" i="32"/>
  <c r="AT232" i="32"/>
  <c r="AT70" i="32"/>
  <c r="AV61" i="32"/>
  <c r="BV61" i="32" s="1"/>
  <c r="I21" i="32"/>
  <c r="AT21" i="32"/>
  <c r="BS262" i="32"/>
  <c r="AG35" i="32"/>
  <c r="I135" i="32"/>
  <c r="AT69" i="32"/>
  <c r="AT42" i="32"/>
  <c r="BP35" i="32"/>
  <c r="BL295" i="32"/>
  <c r="I259" i="32"/>
  <c r="I67" i="32"/>
  <c r="BU176" i="32"/>
  <c r="I56" i="32"/>
  <c r="BU274" i="32"/>
  <c r="I260" i="32"/>
  <c r="AS220" i="32"/>
  <c r="AT176" i="32"/>
  <c r="AR108" i="32"/>
  <c r="AR109" i="32" s="1"/>
  <c r="BP144" i="32"/>
  <c r="AT117" i="32"/>
  <c r="I91" i="32"/>
  <c r="I153" i="32"/>
  <c r="I72" i="32"/>
  <c r="P22" i="32"/>
  <c r="I257" i="32"/>
  <c r="I47" i="32"/>
  <c r="I148" i="32"/>
  <c r="BO274" i="32"/>
  <c r="BQ248" i="32"/>
  <c r="I226" i="32"/>
  <c r="BO176" i="32"/>
  <c r="I156" i="32"/>
  <c r="BV274" i="32"/>
  <c r="AT285" i="32"/>
  <c r="BV142" i="32"/>
  <c r="BS90" i="32"/>
  <c r="S294" i="32"/>
  <c r="I174" i="32"/>
  <c r="Q120" i="32"/>
  <c r="BO61" i="32"/>
  <c r="I231" i="32"/>
  <c r="BZ214" i="32"/>
  <c r="I267" i="32"/>
  <c r="AT181" i="32"/>
  <c r="AH150" i="32"/>
  <c r="AT119" i="32"/>
  <c r="BZ52" i="32"/>
  <c r="AT41" i="32"/>
  <c r="AZ41" i="32" s="1"/>
  <c r="BN41" i="32" s="1"/>
  <c r="BU75" i="32"/>
  <c r="I74" i="32"/>
  <c r="BO32" i="32"/>
  <c r="BU32" i="32"/>
  <c r="AV32" i="32"/>
  <c r="BV32" i="32" s="1"/>
  <c r="BU104" i="32"/>
  <c r="I121" i="32"/>
  <c r="BY262" i="32"/>
  <c r="BT255" i="32"/>
  <c r="I247" i="32"/>
  <c r="I248" i="32" s="1"/>
  <c r="AV261" i="32"/>
  <c r="AZ261" i="32" s="1"/>
  <c r="AQ234" i="32"/>
  <c r="AT211" i="32"/>
  <c r="AT224" i="32"/>
  <c r="AT192" i="32"/>
  <c r="BC296" i="32"/>
  <c r="BK295" i="32" s="1"/>
  <c r="I104" i="32"/>
  <c r="BP150" i="32"/>
  <c r="AT62" i="32"/>
  <c r="BZ300" i="32"/>
  <c r="P150" i="32"/>
  <c r="AT140" i="32"/>
  <c r="AS85" i="32"/>
  <c r="AS90" i="32" s="1"/>
  <c r="AG109" i="32"/>
  <c r="I80" i="32"/>
  <c r="BY58" i="32"/>
  <c r="AT51" i="32"/>
  <c r="AT20" i="32"/>
  <c r="BQ22" i="32"/>
  <c r="BY39" i="32"/>
  <c r="I206" i="32"/>
  <c r="BO67" i="32"/>
  <c r="I291" i="32"/>
  <c r="I292" i="32" s="1"/>
  <c r="BZ137" i="32"/>
  <c r="M295" i="32"/>
  <c r="I132" i="32"/>
  <c r="AF248" i="32"/>
  <c r="BO233" i="32"/>
  <c r="BT234" i="32"/>
  <c r="AQ220" i="32"/>
  <c r="BU257" i="32"/>
  <c r="AR246" i="32"/>
  <c r="AR248" i="32" s="1"/>
  <c r="BT214" i="32"/>
  <c r="AV192" i="32"/>
  <c r="BV192" i="32" s="1"/>
  <c r="AT175" i="32"/>
  <c r="AT202" i="32"/>
  <c r="BY171" i="32"/>
  <c r="AQ205" i="32"/>
  <c r="AH108" i="32"/>
  <c r="BT144" i="32"/>
  <c r="AT100" i="32"/>
  <c r="BW52" i="32"/>
  <c r="BO23" i="32"/>
  <c r="BO27" i="32" s="1"/>
  <c r="BY302" i="32"/>
  <c r="AQ27" i="32"/>
  <c r="AT258" i="32"/>
  <c r="AT279" i="32"/>
  <c r="I284" i="32"/>
  <c r="BO223" i="32"/>
  <c r="BS195" i="32"/>
  <c r="I193" i="32"/>
  <c r="I181" i="32"/>
  <c r="BS137" i="32"/>
  <c r="BW300" i="32"/>
  <c r="I140" i="32"/>
  <c r="I144" i="32" s="1"/>
  <c r="Q150" i="32"/>
  <c r="BO185" i="32"/>
  <c r="I50" i="32"/>
  <c r="AQ43" i="32"/>
  <c r="BS22" i="32"/>
  <c r="AS27" i="32"/>
  <c r="BR44" i="32"/>
  <c r="BR45" i="32" s="1"/>
  <c r="I253" i="32"/>
  <c r="BU261" i="32"/>
  <c r="BO104" i="32"/>
  <c r="I278" i="32"/>
  <c r="BR24" i="32"/>
  <c r="BR27" i="32" s="1"/>
  <c r="AQ71" i="32"/>
  <c r="AV222" i="32"/>
  <c r="BV222" i="32" s="1"/>
  <c r="BS283" i="32"/>
  <c r="BY137" i="32"/>
  <c r="BP205" i="32"/>
  <c r="I78" i="32"/>
  <c r="BQ291" i="32"/>
  <c r="BQ292" i="32" s="1"/>
  <c r="AT254" i="32"/>
  <c r="BX248" i="32"/>
  <c r="Q255" i="32"/>
  <c r="I275" i="32"/>
  <c r="I254" i="32"/>
  <c r="BS157" i="32"/>
  <c r="I196" i="32"/>
  <c r="BZ305" i="32"/>
  <c r="BU250" i="32"/>
  <c r="AH195" i="32"/>
  <c r="BX122" i="32"/>
  <c r="BX124" i="32" s="1"/>
  <c r="AT141" i="32"/>
  <c r="AQ84" i="32"/>
  <c r="AT143" i="32"/>
  <c r="I76" i="32"/>
  <c r="AS65" i="32"/>
  <c r="BU51" i="32"/>
  <c r="AQ52" i="32"/>
  <c r="BO163" i="32"/>
  <c r="BQ137" i="32"/>
  <c r="I69" i="31"/>
  <c r="I66" i="31"/>
  <c r="AT69" i="31"/>
  <c r="I62" i="31"/>
  <c r="AY76" i="31"/>
  <c r="BX19" i="31"/>
  <c r="BK32" i="31"/>
  <c r="BK74" i="31" s="1"/>
  <c r="BY75" i="31" s="1"/>
  <c r="AQ67" i="31"/>
  <c r="P81" i="31"/>
  <c r="AT72" i="31"/>
  <c r="AT34" i="31"/>
  <c r="BX52" i="31"/>
  <c r="BR65" i="31"/>
  <c r="BR67" i="31" s="1"/>
  <c r="BQ81" i="31"/>
  <c r="BQ38" i="31"/>
  <c r="BX23" i="31"/>
  <c r="AG48" i="31"/>
  <c r="AS44" i="31"/>
  <c r="AS81" i="31" s="1"/>
  <c r="BM25" i="31"/>
  <c r="BP38" i="31"/>
  <c r="I21" i="31"/>
  <c r="AT27" i="31"/>
  <c r="AV72" i="31"/>
  <c r="BV72" i="31" s="1"/>
  <c r="BP73" i="31"/>
  <c r="BQ48" i="31"/>
  <c r="AG81" i="31"/>
  <c r="I42" i="31"/>
  <c r="BW79" i="31"/>
  <c r="BX24" i="31"/>
  <c r="BX87" i="31" s="1"/>
  <c r="AQ32" i="31"/>
  <c r="J76" i="31"/>
  <c r="BR73" i="31"/>
  <c r="AT63" i="31"/>
  <c r="AQ99" i="30"/>
  <c r="BO50" i="30"/>
  <c r="BO36" i="30"/>
  <c r="I56" i="30"/>
  <c r="AH25" i="30"/>
  <c r="BO94" i="30"/>
  <c r="P15" i="30"/>
  <c r="Q105" i="30"/>
  <c r="AS65" i="30"/>
  <c r="BP25" i="30"/>
  <c r="BP28" i="30" s="1"/>
  <c r="I95" i="30"/>
  <c r="BU36" i="30"/>
  <c r="P75" i="30"/>
  <c r="AT77" i="30"/>
  <c r="BY65" i="30"/>
  <c r="Q44" i="30"/>
  <c r="P23" i="30"/>
  <c r="AT19" i="30"/>
  <c r="AT88" i="30"/>
  <c r="BY61" i="30"/>
  <c r="P104" i="30"/>
  <c r="AY102" i="30"/>
  <c r="I74" i="30"/>
  <c r="AT91" i="30"/>
  <c r="AT79" i="30"/>
  <c r="BQ61" i="30"/>
  <c r="AT95" i="30"/>
  <c r="AT39" i="30"/>
  <c r="I19" i="30"/>
  <c r="Q92" i="30"/>
  <c r="I49" i="30"/>
  <c r="I18" i="30"/>
  <c r="BY99" i="30"/>
  <c r="BY75" i="30"/>
  <c r="I72" i="30"/>
  <c r="AV91" i="30"/>
  <c r="BV91" i="30" s="1"/>
  <c r="BU91" i="30"/>
  <c r="BO188" i="29"/>
  <c r="AV188" i="29"/>
  <c r="BV188" i="29" s="1"/>
  <c r="BY119" i="29"/>
  <c r="BZ95" i="29"/>
  <c r="BU172" i="29"/>
  <c r="AT185" i="29"/>
  <c r="I27" i="29"/>
  <c r="BP20" i="29"/>
  <c r="BU61" i="29"/>
  <c r="AQ131" i="29"/>
  <c r="AH156" i="29"/>
  <c r="I126" i="29"/>
  <c r="BS107" i="29"/>
  <c r="BT196" i="29"/>
  <c r="BU81" i="29"/>
  <c r="BO26" i="29"/>
  <c r="BZ13" i="29"/>
  <c r="AQ20" i="29"/>
  <c r="I156" i="29"/>
  <c r="BP156" i="29"/>
  <c r="BS113" i="29"/>
  <c r="I146" i="29"/>
  <c r="Q89" i="29"/>
  <c r="BP58" i="29"/>
  <c r="BU23" i="29"/>
  <c r="BL193" i="29"/>
  <c r="I57" i="29"/>
  <c r="I58" i="29" s="1"/>
  <c r="BM198" i="29"/>
  <c r="P147" i="29"/>
  <c r="BS119" i="29"/>
  <c r="I122" i="29"/>
  <c r="BS95" i="29"/>
  <c r="I96" i="29"/>
  <c r="AT115" i="29"/>
  <c r="AT160" i="29"/>
  <c r="AV172" i="29"/>
  <c r="BV172" i="29" s="1"/>
  <c r="BY167" i="29"/>
  <c r="AS66" i="29"/>
  <c r="BP51" i="29"/>
  <c r="BX39" i="29"/>
  <c r="AV61" i="29"/>
  <c r="BV61" i="29" s="1"/>
  <c r="AV23" i="29"/>
  <c r="BV23" i="29" s="1"/>
  <c r="AQ204" i="29"/>
  <c r="I36" i="29"/>
  <c r="I39" i="29" s="1"/>
  <c r="BK147" i="29"/>
  <c r="BU166" i="29"/>
  <c r="AQ177" i="29"/>
  <c r="AQ147" i="29"/>
  <c r="BP131" i="29"/>
  <c r="P154" i="29"/>
  <c r="AT124" i="29"/>
  <c r="BO61" i="29"/>
  <c r="AT65" i="29"/>
  <c r="AQ167" i="29"/>
  <c r="BM119" i="29"/>
  <c r="BY142" i="29"/>
  <c r="BY147" i="29" s="1"/>
  <c r="BM131" i="29"/>
  <c r="BS131" i="29"/>
  <c r="AQ89" i="29"/>
  <c r="AV100" i="29"/>
  <c r="BV100" i="29" s="1"/>
  <c r="BX74" i="29"/>
  <c r="AT72" i="29"/>
  <c r="AT121" i="29"/>
  <c r="BS154" i="29"/>
  <c r="AT109" i="29"/>
  <c r="Q107" i="29"/>
  <c r="AQ113" i="29"/>
  <c r="BP85" i="29"/>
  <c r="BP89" i="29" s="1"/>
  <c r="BM58" i="29"/>
  <c r="Q174" i="29"/>
  <c r="AT186" i="29"/>
  <c r="AS163" i="29"/>
  <c r="BY131" i="29"/>
  <c r="I134" i="29"/>
  <c r="AT99" i="29"/>
  <c r="AT30" i="29"/>
  <c r="BR20" i="29"/>
  <c r="BS43" i="29"/>
  <c r="BR28" i="30"/>
  <c r="BR65" i="32"/>
  <c r="BR144" i="32"/>
  <c r="BY202" i="29"/>
  <c r="AR41" i="31"/>
  <c r="BP41" i="31"/>
  <c r="BP43" i="31" s="1"/>
  <c r="AV86" i="30"/>
  <c r="BV86" i="30" s="1"/>
  <c r="BO86" i="30"/>
  <c r="AV34" i="29"/>
  <c r="BV34" i="29" s="1"/>
  <c r="BU34" i="29"/>
  <c r="AS198" i="29"/>
  <c r="BR127" i="29"/>
  <c r="BR131" i="29" s="1"/>
  <c r="P196" i="29"/>
  <c r="AQ125" i="29"/>
  <c r="S191" i="29"/>
  <c r="L15" i="47" s="1"/>
  <c r="BL74" i="31"/>
  <c r="BE17" i="47" s="1"/>
  <c r="BY183" i="29"/>
  <c r="AS190" i="29"/>
  <c r="BT174" i="29"/>
  <c r="I178" i="29"/>
  <c r="BZ174" i="29"/>
  <c r="AV166" i="29"/>
  <c r="BV166" i="29" s="1"/>
  <c r="AH121" i="29"/>
  <c r="BX131" i="29"/>
  <c r="BX114" i="29"/>
  <c r="BX119" i="29" s="1"/>
  <c r="BX113" i="29"/>
  <c r="BQ107" i="29"/>
  <c r="I82" i="29"/>
  <c r="BP103" i="29"/>
  <c r="BS101" i="29"/>
  <c r="BU94" i="29"/>
  <c r="AT42" i="29"/>
  <c r="BL191" i="29"/>
  <c r="Q20" i="29"/>
  <c r="BS75" i="30"/>
  <c r="AQ75" i="30"/>
  <c r="AQ54" i="30"/>
  <c r="BZ111" i="30"/>
  <c r="AH32" i="30"/>
  <c r="Q23" i="30"/>
  <c r="BK76" i="31"/>
  <c r="BY73" i="31"/>
  <c r="BY64" i="31"/>
  <c r="S77" i="31"/>
  <c r="BX57" i="31"/>
  <c r="AT51" i="31"/>
  <c r="AP77" i="31"/>
  <c r="BW38" i="31"/>
  <c r="J75" i="31"/>
  <c r="AP74" i="31"/>
  <c r="AI17" i="47" s="1"/>
  <c r="BM38" i="31"/>
  <c r="BL77" i="31"/>
  <c r="BT38" i="31"/>
  <c r="AO77" i="31"/>
  <c r="BY84" i="31"/>
  <c r="M74" i="31"/>
  <c r="F17" i="47" s="1"/>
  <c r="BQ85" i="31"/>
  <c r="AQ19" i="31"/>
  <c r="AT28" i="31"/>
  <c r="BU289" i="32"/>
  <c r="BT290" i="32"/>
  <c r="BY290" i="32"/>
  <c r="I261" i="32"/>
  <c r="BY255" i="32"/>
  <c r="AH263" i="32"/>
  <c r="AT233" i="32"/>
  <c r="BQ227" i="32"/>
  <c r="AT223" i="32"/>
  <c r="P195" i="32"/>
  <c r="BS188" i="32"/>
  <c r="BQ214" i="32"/>
  <c r="AQ214" i="32"/>
  <c r="I197" i="32"/>
  <c r="BY195" i="32"/>
  <c r="BU233" i="32"/>
  <c r="AQ164" i="32"/>
  <c r="BZ164" i="32"/>
  <c r="AP296" i="32"/>
  <c r="BM130" i="32"/>
  <c r="BO213" i="32"/>
  <c r="BP158" i="32"/>
  <c r="BP164" i="32" s="1"/>
  <c r="P305" i="32"/>
  <c r="BY150" i="32"/>
  <c r="S296" i="32"/>
  <c r="BY113" i="32"/>
  <c r="I105" i="32"/>
  <c r="BY77" i="32"/>
  <c r="BS77" i="32"/>
  <c r="AS84" i="32"/>
  <c r="AV75" i="32"/>
  <c r="BV75" i="32" s="1"/>
  <c r="BM52" i="32"/>
  <c r="BR12" i="32"/>
  <c r="AH40" i="32"/>
  <c r="AT26" i="32"/>
  <c r="BL294" i="32"/>
  <c r="AU18" i="47"/>
  <c r="J295" i="32"/>
  <c r="I170" i="32"/>
  <c r="AH36" i="32"/>
  <c r="BY28" i="31"/>
  <c r="BY79" i="31" s="1"/>
  <c r="BM28" i="31"/>
  <c r="BX28" i="31" s="1"/>
  <c r="BX32" i="31" s="1"/>
  <c r="AV18" i="31"/>
  <c r="BV18" i="31" s="1"/>
  <c r="BU18" i="31"/>
  <c r="BR156" i="29"/>
  <c r="BR158" i="29" s="1"/>
  <c r="BQ38" i="30"/>
  <c r="BQ44" i="30" s="1"/>
  <c r="AH38" i="30"/>
  <c r="AU38" i="30" s="1"/>
  <c r="AV27" i="30"/>
  <c r="BV27" i="30" s="1"/>
  <c r="BU27" i="30"/>
  <c r="BO27" i="30"/>
  <c r="BX234" i="32"/>
  <c r="AT156" i="32"/>
  <c r="AZ156" i="32" s="1"/>
  <c r="P297" i="32"/>
  <c r="BQ175" i="29"/>
  <c r="BQ177" i="29" s="1"/>
  <c r="BS174" i="29"/>
  <c r="AT134" i="29"/>
  <c r="AQ101" i="29"/>
  <c r="BY62" i="29"/>
  <c r="BM71" i="30"/>
  <c r="X100" i="30"/>
  <c r="Q16" i="47" s="1"/>
  <c r="AF78" i="31"/>
  <c r="AF43" i="31"/>
  <c r="I187" i="29"/>
  <c r="BQ190" i="29"/>
  <c r="BY174" i="29"/>
  <c r="BR166" i="29"/>
  <c r="BR167" i="29" s="1"/>
  <c r="AT165" i="29"/>
  <c r="BP119" i="29"/>
  <c r="BC191" i="29"/>
  <c r="BP121" i="29"/>
  <c r="BP125" i="29" s="1"/>
  <c r="AV112" i="29"/>
  <c r="BV112" i="29" s="1"/>
  <c r="AH108" i="29"/>
  <c r="AQ202" i="29"/>
  <c r="AV94" i="29"/>
  <c r="BV94" i="29" s="1"/>
  <c r="BU50" i="29"/>
  <c r="AH85" i="29"/>
  <c r="I19" i="29"/>
  <c r="I20" i="29" s="1"/>
  <c r="V192" i="29"/>
  <c r="AB15" i="47"/>
  <c r="P99" i="30"/>
  <c r="BZ92" i="30"/>
  <c r="W101" i="30"/>
  <c r="AC16" i="47"/>
  <c r="BT92" i="30"/>
  <c r="J103" i="30"/>
  <c r="BP65" i="30"/>
  <c r="BQ54" i="30"/>
  <c r="BW107" i="30"/>
  <c r="BM37" i="30"/>
  <c r="AS57" i="31"/>
  <c r="AT46" i="31"/>
  <c r="Q84" i="31"/>
  <c r="BX38" i="31"/>
  <c r="V77" i="31"/>
  <c r="S74" i="31"/>
  <c r="L17" i="47" s="1"/>
  <c r="AT281" i="32"/>
  <c r="AT272" i="32"/>
  <c r="AZ272" i="32" s="1"/>
  <c r="AS262" i="32"/>
  <c r="BY245" i="32"/>
  <c r="BP238" i="32"/>
  <c r="BP245" i="32"/>
  <c r="AF269" i="32"/>
  <c r="BX214" i="32"/>
  <c r="AQ306" i="32"/>
  <c r="BP178" i="32"/>
  <c r="AG300" i="32"/>
  <c r="V296" i="32"/>
  <c r="AF164" i="32"/>
  <c r="AT142" i="32"/>
  <c r="BY65" i="32"/>
  <c r="AT126" i="32"/>
  <c r="AT82" i="32"/>
  <c r="BU67" i="32"/>
  <c r="AT67" i="32"/>
  <c r="BQ84" i="32"/>
  <c r="AQ77" i="32"/>
  <c r="AG298" i="32"/>
  <c r="BU41" i="32"/>
  <c r="BS27" i="32"/>
  <c r="I12" i="32"/>
  <c r="I13" i="32" s="1"/>
  <c r="BP31" i="32"/>
  <c r="BR37" i="32"/>
  <c r="BR39" i="32" s="1"/>
  <c r="I24" i="32"/>
  <c r="BZ124" i="32"/>
  <c r="BR68" i="32"/>
  <c r="BR71" i="32" s="1"/>
  <c r="W294" i="32"/>
  <c r="AC18" i="47"/>
  <c r="BO63" i="32"/>
  <c r="AS36" i="32"/>
  <c r="AS39" i="32" s="1"/>
  <c r="BQ36" i="32"/>
  <c r="BQ39" i="32" s="1"/>
  <c r="AQ299" i="32"/>
  <c r="AT169" i="32"/>
  <c r="BY13" i="30"/>
  <c r="BY104" i="30" s="1"/>
  <c r="BM13" i="30"/>
  <c r="BX13" i="30" s="1"/>
  <c r="BR29" i="31"/>
  <c r="BR84" i="31" s="1"/>
  <c r="BK195" i="29"/>
  <c r="I169" i="29"/>
  <c r="Q31" i="29"/>
  <c r="Q62" i="29"/>
  <c r="P24" i="29"/>
  <c r="I21" i="29"/>
  <c r="I24" i="29" s="1"/>
  <c r="BR113" i="29"/>
  <c r="BX66" i="29"/>
  <c r="AY192" i="29"/>
  <c r="AP15" i="47"/>
  <c r="BO89" i="30"/>
  <c r="AQ107" i="30"/>
  <c r="AS85" i="31"/>
  <c r="BM183" i="29"/>
  <c r="BQ198" i="29"/>
  <c r="AH175" i="29"/>
  <c r="AT150" i="29"/>
  <c r="BS137" i="29"/>
  <c r="Q196" i="29"/>
  <c r="AT145" i="29"/>
  <c r="BQ78" i="29"/>
  <c r="P107" i="29"/>
  <c r="AQ196" i="29"/>
  <c r="AT142" i="29"/>
  <c r="BR90" i="29"/>
  <c r="BZ196" i="29"/>
  <c r="P95" i="29"/>
  <c r="AT64" i="29"/>
  <c r="AT22" i="29"/>
  <c r="BO34" i="29"/>
  <c r="S194" i="29"/>
  <c r="AQ39" i="29"/>
  <c r="M191" i="29"/>
  <c r="F15" i="47" s="1"/>
  <c r="I67" i="29"/>
  <c r="I70" i="29" s="1"/>
  <c r="BU86" i="30"/>
  <c r="BQ81" i="30"/>
  <c r="AT78" i="30"/>
  <c r="BL101" i="30"/>
  <c r="AU16" i="47"/>
  <c r="P54" i="30"/>
  <c r="I97" i="30"/>
  <c r="BY107" i="30"/>
  <c r="BY37" i="30"/>
  <c r="BW104" i="30"/>
  <c r="J100" i="30"/>
  <c r="C16" i="47" s="1"/>
  <c r="AR61" i="30"/>
  <c r="BX38" i="30"/>
  <c r="BQ57" i="31"/>
  <c r="AT45" i="31"/>
  <c r="AQ79" i="31"/>
  <c r="BZ79" i="31"/>
  <c r="Q38" i="31"/>
  <c r="AT31" i="31"/>
  <c r="I12" i="31"/>
  <c r="I15" i="31" s="1"/>
  <c r="W77" i="31"/>
  <c r="BS276" i="32"/>
  <c r="BT269" i="32"/>
  <c r="BQ262" i="32"/>
  <c r="AT257" i="32"/>
  <c r="BU218" i="32"/>
  <c r="I228" i="32"/>
  <c r="I224" i="32"/>
  <c r="AT219" i="32"/>
  <c r="BY214" i="32"/>
  <c r="BM214" i="32"/>
  <c r="BY182" i="32"/>
  <c r="AS188" i="32"/>
  <c r="I179" i="32"/>
  <c r="AV176" i="32"/>
  <c r="BV176" i="32" s="1"/>
  <c r="AY144" i="32"/>
  <c r="P137" i="32"/>
  <c r="BR157" i="32"/>
  <c r="Q300" i="32"/>
  <c r="BV104" i="32"/>
  <c r="BR299" i="32"/>
  <c r="AS58" i="32"/>
  <c r="Q298" i="32"/>
  <c r="BQ40" i="32"/>
  <c r="BQ43" i="32" s="1"/>
  <c r="AP293" i="32"/>
  <c r="AT24" i="32"/>
  <c r="AG297" i="32"/>
  <c r="AH132" i="32"/>
  <c r="AU132" i="32" s="1"/>
  <c r="BO75" i="32"/>
  <c r="BT164" i="32"/>
  <c r="W75" i="31"/>
  <c r="AC17" i="47"/>
  <c r="AS32" i="32"/>
  <c r="AS35" i="32" s="1"/>
  <c r="BQ32" i="32"/>
  <c r="BQ35" i="32" s="1"/>
  <c r="V75" i="31"/>
  <c r="AB17" i="47"/>
  <c r="AS26" i="31"/>
  <c r="AS32" i="31" s="1"/>
  <c r="BQ26" i="31"/>
  <c r="BQ79" i="31" s="1"/>
  <c r="BT71" i="30"/>
  <c r="P44" i="30"/>
  <c r="I33" i="29"/>
  <c r="Q101" i="29"/>
  <c r="AT181" i="29"/>
  <c r="AT73" i="29"/>
  <c r="AV42" i="30"/>
  <c r="BV42" i="30" s="1"/>
  <c r="BU42" i="30"/>
  <c r="BO42" i="30"/>
  <c r="AT172" i="29"/>
  <c r="AV111" i="29"/>
  <c r="BV111" i="29" s="1"/>
  <c r="BU111" i="29"/>
  <c r="BU96" i="30"/>
  <c r="AV30" i="29"/>
  <c r="BV30" i="29" s="1"/>
  <c r="Q95" i="29"/>
  <c r="BS214" i="32"/>
  <c r="AV42" i="29"/>
  <c r="BV42" i="29" s="1"/>
  <c r="BP108" i="29"/>
  <c r="BP113" i="29" s="1"/>
  <c r="AR108" i="29"/>
  <c r="AR113" i="29" s="1"/>
  <c r="BT190" i="29"/>
  <c r="BL100" i="30"/>
  <c r="BE16" i="47" s="1"/>
  <c r="BM283" i="32"/>
  <c r="BM255" i="32"/>
  <c r="BS255" i="32"/>
  <c r="BQ220" i="32"/>
  <c r="AT230" i="32"/>
  <c r="BO190" i="32"/>
  <c r="BM137" i="32"/>
  <c r="AQ157" i="32"/>
  <c r="AQ150" i="32"/>
  <c r="BL296" i="32"/>
  <c r="BM120" i="32"/>
  <c r="BS58" i="32"/>
  <c r="BT84" i="32"/>
  <c r="BS84" i="32"/>
  <c r="AQ65" i="32"/>
  <c r="BQ65" i="32"/>
  <c r="AT83" i="32"/>
  <c r="J294" i="32"/>
  <c r="AO293" i="32"/>
  <c r="AH18" i="47" s="1"/>
  <c r="BQ66" i="32"/>
  <c r="AS66" i="32"/>
  <c r="AS71" i="32" s="1"/>
  <c r="V294" i="32"/>
  <c r="AB18" i="47"/>
  <c r="I176" i="32"/>
  <c r="AV102" i="32"/>
  <c r="BV102" i="32" s="1"/>
  <c r="BU102" i="32"/>
  <c r="Q75" i="30"/>
  <c r="AT42" i="30"/>
  <c r="BS202" i="29"/>
  <c r="V101" i="30"/>
  <c r="AB16" i="47"/>
  <c r="P177" i="29"/>
  <c r="AS44" i="30"/>
  <c r="BP32" i="30"/>
  <c r="BP37" i="30" s="1"/>
  <c r="P84" i="31"/>
  <c r="J74" i="31"/>
  <c r="C17" i="47" s="1"/>
  <c r="AS175" i="29"/>
  <c r="AS177" i="29" s="1"/>
  <c r="Q190" i="29"/>
  <c r="BO166" i="29"/>
  <c r="AS137" i="29"/>
  <c r="BY107" i="29"/>
  <c r="BY101" i="29"/>
  <c r="W194" i="29"/>
  <c r="AS119" i="29"/>
  <c r="BP78" i="29"/>
  <c r="AH103" i="29"/>
  <c r="AU103" i="29" s="1"/>
  <c r="I92" i="29"/>
  <c r="BM47" i="29"/>
  <c r="BM35" i="29"/>
  <c r="AS28" i="29"/>
  <c r="W192" i="29"/>
  <c r="AC15" i="47"/>
  <c r="AQ201" i="29"/>
  <c r="J191" i="29"/>
  <c r="C15" i="47" s="1"/>
  <c r="AQ47" i="29"/>
  <c r="AY191" i="29"/>
  <c r="AR15" i="47" s="1"/>
  <c r="BT99" i="30"/>
  <c r="BY85" i="30"/>
  <c r="BR94" i="30"/>
  <c r="BR99" i="30" s="1"/>
  <c r="BP92" i="30"/>
  <c r="BY92" i="30"/>
  <c r="BS81" i="30"/>
  <c r="BY110" i="30"/>
  <c r="S100" i="30"/>
  <c r="L16" i="47" s="1"/>
  <c r="BT111" i="30"/>
  <c r="AR28" i="30"/>
  <c r="BQ73" i="31"/>
  <c r="BW67" i="31"/>
  <c r="BL75" i="31"/>
  <c r="BK77" i="31"/>
  <c r="AH41" i="31"/>
  <c r="BX255" i="32"/>
  <c r="BS234" i="32"/>
  <c r="AT244" i="32"/>
  <c r="BR230" i="32"/>
  <c r="BR234" i="32" s="1"/>
  <c r="BY227" i="32"/>
  <c r="AT222" i="32"/>
  <c r="BS205" i="32"/>
  <c r="BM238" i="32"/>
  <c r="BR220" i="32"/>
  <c r="AF305" i="32"/>
  <c r="AT167" i="32"/>
  <c r="BX195" i="32"/>
  <c r="BM195" i="32"/>
  <c r="BP195" i="32"/>
  <c r="BQ150" i="32"/>
  <c r="AQ144" i="32"/>
  <c r="I166" i="32"/>
  <c r="AS132" i="32"/>
  <c r="AT132" i="32" s="1"/>
  <c r="AT103" i="32"/>
  <c r="BS130" i="32"/>
  <c r="BM299" i="32"/>
  <c r="AT190" i="32"/>
  <c r="P120" i="32"/>
  <c r="AO296" i="32"/>
  <c r="BM144" i="32"/>
  <c r="BC293" i="32"/>
  <c r="AW293" i="32"/>
  <c r="BV63" i="32"/>
  <c r="AT57" i="32"/>
  <c r="AT49" i="32"/>
  <c r="BU34" i="32"/>
  <c r="M294" i="32"/>
  <c r="AT37" i="32"/>
  <c r="BT27" i="32"/>
  <c r="S295" i="32"/>
  <c r="BO261" i="32"/>
  <c r="Q86" i="31"/>
  <c r="Q40" i="31"/>
  <c r="AS39" i="31"/>
  <c r="BQ39" i="31"/>
  <c r="AT36" i="30"/>
  <c r="AV128" i="32"/>
  <c r="BV128" i="32" s="1"/>
  <c r="BU128" i="32"/>
  <c r="AT93" i="29"/>
  <c r="BO50" i="29"/>
  <c r="AQ203" i="29"/>
  <c r="AQ139" i="29"/>
  <c r="BO111" i="29"/>
  <c r="BS203" i="29"/>
  <c r="BS139" i="29"/>
  <c r="AV277" i="32"/>
  <c r="AH283" i="32"/>
  <c r="BU277" i="32"/>
  <c r="BO277" i="32"/>
  <c r="AH130" i="32"/>
  <c r="AV125" i="32"/>
  <c r="BO125" i="32"/>
  <c r="AV235" i="32"/>
  <c r="BV235" i="32" s="1"/>
  <c r="AH238" i="32"/>
  <c r="BU235" i="32"/>
  <c r="BO235" i="32"/>
  <c r="BX137" i="32"/>
  <c r="AV196" i="32"/>
  <c r="BV196" i="32" s="1"/>
  <c r="BU196" i="32"/>
  <c r="BO196" i="32"/>
  <c r="AT287" i="32"/>
  <c r="I289" i="32"/>
  <c r="I285" i="32"/>
  <c r="BP290" i="32"/>
  <c r="I271" i="32"/>
  <c r="AV267" i="32"/>
  <c r="BV267" i="32" s="1"/>
  <c r="BU254" i="32"/>
  <c r="AV254" i="32"/>
  <c r="BV254" i="32" s="1"/>
  <c r="BR290" i="32"/>
  <c r="AR262" i="32"/>
  <c r="AT256" i="32"/>
  <c r="AQ276" i="32"/>
  <c r="BR270" i="32"/>
  <c r="BR276" i="32" s="1"/>
  <c r="BU247" i="32"/>
  <c r="AV247" i="32"/>
  <c r="BO247" i="32"/>
  <c r="BY283" i="32"/>
  <c r="AV260" i="32"/>
  <c r="BV260" i="32" s="1"/>
  <c r="BU260" i="32"/>
  <c r="AQ262" i="32"/>
  <c r="BR291" i="32"/>
  <c r="BR292" i="32" s="1"/>
  <c r="AQ292" i="32"/>
  <c r="BY269" i="32"/>
  <c r="AV258" i="32"/>
  <c r="BU258" i="32"/>
  <c r="Q290" i="32"/>
  <c r="Q227" i="32"/>
  <c r="BO267" i="32"/>
  <c r="BQ252" i="32"/>
  <c r="BQ255" i="32" s="1"/>
  <c r="AS252" i="32"/>
  <c r="AT252" i="32" s="1"/>
  <c r="BM216" i="32"/>
  <c r="BX215" i="32"/>
  <c r="BX216" i="32" s="1"/>
  <c r="BS227" i="32"/>
  <c r="P234" i="32"/>
  <c r="AV259" i="32"/>
  <c r="BV259" i="32" s="1"/>
  <c r="Q245" i="32"/>
  <c r="AV230" i="32"/>
  <c r="BV230" i="32" s="1"/>
  <c r="BU230" i="32"/>
  <c r="BO258" i="32"/>
  <c r="BO236" i="32"/>
  <c r="AV236" i="32"/>
  <c r="BV236" i="32" s="1"/>
  <c r="BU236" i="32"/>
  <c r="AS227" i="32"/>
  <c r="BM220" i="32"/>
  <c r="BU232" i="32"/>
  <c r="AV232" i="32"/>
  <c r="BV232" i="32" s="1"/>
  <c r="AS195" i="32"/>
  <c r="BU186" i="32"/>
  <c r="AV186" i="32"/>
  <c r="BV186" i="32" s="1"/>
  <c r="I163" i="32"/>
  <c r="BU225" i="32"/>
  <c r="AV225" i="32"/>
  <c r="BV225" i="32" s="1"/>
  <c r="BO225" i="32"/>
  <c r="BM174" i="32"/>
  <c r="BX174" i="32" s="1"/>
  <c r="BX178" i="32" s="1"/>
  <c r="BY174" i="32"/>
  <c r="BY300" i="32" s="1"/>
  <c r="AT198" i="32"/>
  <c r="BR213" i="32"/>
  <c r="AT186" i="32"/>
  <c r="BQ173" i="32"/>
  <c r="BQ178" i="32" s="1"/>
  <c r="AS173" i="32"/>
  <c r="AG178" i="32"/>
  <c r="BM171" i="32"/>
  <c r="AR157" i="32"/>
  <c r="AT151" i="32"/>
  <c r="AQ305" i="32"/>
  <c r="AQ109" i="32"/>
  <c r="AT166" i="32"/>
  <c r="BQ165" i="32"/>
  <c r="BQ171" i="32" s="1"/>
  <c r="AS165" i="32"/>
  <c r="AS171" i="32" s="1"/>
  <c r="AG171" i="32"/>
  <c r="AT153" i="32"/>
  <c r="BR182" i="32"/>
  <c r="BP171" i="32"/>
  <c r="AT162" i="32"/>
  <c r="AR164" i="32"/>
  <c r="BY157" i="32"/>
  <c r="Q144" i="32"/>
  <c r="BT107" i="32"/>
  <c r="AR146" i="32"/>
  <c r="AT138" i="32"/>
  <c r="AR144" i="32"/>
  <c r="BX144" i="32"/>
  <c r="P107" i="32"/>
  <c r="AQ124" i="32"/>
  <c r="AS109" i="32"/>
  <c r="BU100" i="32"/>
  <c r="AV100" i="32"/>
  <c r="BV100" i="32" s="1"/>
  <c r="BO100" i="32"/>
  <c r="AY90" i="32"/>
  <c r="BW86" i="32"/>
  <c r="BW90" i="32" s="1"/>
  <c r="AH299" i="32"/>
  <c r="AV99" i="32"/>
  <c r="BV99" i="32" s="1"/>
  <c r="BU99" i="32"/>
  <c r="BO99" i="32"/>
  <c r="BY92" i="32"/>
  <c r="BY96" i="32" s="1"/>
  <c r="BM92" i="32"/>
  <c r="AT154" i="32"/>
  <c r="AT149" i="32"/>
  <c r="AH85" i="32"/>
  <c r="AU85" i="32" s="1"/>
  <c r="AF90" i="32"/>
  <c r="BP85" i="32"/>
  <c r="BP90" i="32" s="1"/>
  <c r="AR85" i="32"/>
  <c r="AT161" i="32"/>
  <c r="AV98" i="32"/>
  <c r="BV98" i="32" s="1"/>
  <c r="BU98" i="32"/>
  <c r="AV95" i="32"/>
  <c r="BV95" i="32" s="1"/>
  <c r="BO95" i="32"/>
  <c r="BU95" i="32"/>
  <c r="AQ90" i="32"/>
  <c r="BR78" i="32"/>
  <c r="BR84" i="32" s="1"/>
  <c r="AT64" i="32"/>
  <c r="AT177" i="32"/>
  <c r="AV122" i="32"/>
  <c r="BV122" i="32" s="1"/>
  <c r="BU122" i="32"/>
  <c r="BO122" i="32"/>
  <c r="AT94" i="32"/>
  <c r="BS304" i="32"/>
  <c r="AT61" i="32"/>
  <c r="I106" i="32"/>
  <c r="AF65" i="32"/>
  <c r="AH59" i="32"/>
  <c r="AU59" i="32" s="1"/>
  <c r="BP59" i="32"/>
  <c r="BP65" i="32" s="1"/>
  <c r="AR59" i="32"/>
  <c r="BR41" i="32"/>
  <c r="BR43" i="32" s="1"/>
  <c r="AT87" i="32"/>
  <c r="Q77" i="32"/>
  <c r="AR304" i="32"/>
  <c r="P43" i="32"/>
  <c r="AT79" i="32"/>
  <c r="AT56" i="32"/>
  <c r="P65" i="32"/>
  <c r="Q52" i="32"/>
  <c r="BT297" i="32"/>
  <c r="BT17" i="32"/>
  <c r="I34" i="32"/>
  <c r="I35" i="32" s="1"/>
  <c r="BU30" i="32"/>
  <c r="AV30" i="32"/>
  <c r="BV30" i="32" s="1"/>
  <c r="BO30" i="32"/>
  <c r="BO31" i="32" s="1"/>
  <c r="Q27" i="32"/>
  <c r="BY297" i="32"/>
  <c r="BY17" i="32"/>
  <c r="W293" i="32"/>
  <c r="AV46" i="32"/>
  <c r="BV46" i="32" s="1"/>
  <c r="P17" i="32"/>
  <c r="BR17" i="32"/>
  <c r="V293" i="32"/>
  <c r="AV37" i="32"/>
  <c r="BV37" i="32" s="1"/>
  <c r="BU37" i="32"/>
  <c r="BP27" i="32"/>
  <c r="AT19" i="32"/>
  <c r="AQ303" i="32"/>
  <c r="BO37" i="32"/>
  <c r="BM35" i="32"/>
  <c r="BX32" i="32"/>
  <c r="BX35" i="32" s="1"/>
  <c r="BT306" i="32"/>
  <c r="BT13" i="32"/>
  <c r="BS303" i="32"/>
  <c r="BY306" i="32"/>
  <c r="BY13" i="32"/>
  <c r="AV24" i="32"/>
  <c r="BV24" i="32" s="1"/>
  <c r="BU24" i="32"/>
  <c r="BX283" i="32"/>
  <c r="BP291" i="32"/>
  <c r="BP292" i="32" s="1"/>
  <c r="AR291" i="32"/>
  <c r="AH291" i="32"/>
  <c r="AU291" i="32" s="1"/>
  <c r="AF292" i="32"/>
  <c r="AV285" i="32"/>
  <c r="BV285" i="32" s="1"/>
  <c r="BU285" i="32"/>
  <c r="AT286" i="32"/>
  <c r="AQ290" i="32"/>
  <c r="AV256" i="32"/>
  <c r="BV256" i="32" s="1"/>
  <c r="AH262" i="32"/>
  <c r="AV288" i="32"/>
  <c r="BV288" i="32" s="1"/>
  <c r="BM276" i="32"/>
  <c r="BX270" i="32"/>
  <c r="BX276" i="32" s="1"/>
  <c r="P269" i="32"/>
  <c r="I263" i="32"/>
  <c r="BM269" i="32"/>
  <c r="AQ255" i="32"/>
  <c r="BR249" i="32"/>
  <c r="BR255" i="32" s="1"/>
  <c r="P283" i="32"/>
  <c r="BQ239" i="32"/>
  <c r="BQ245" i="32" s="1"/>
  <c r="AS239" i="32"/>
  <c r="AS245" i="32" s="1"/>
  <c r="AH239" i="32"/>
  <c r="AU239" i="32" s="1"/>
  <c r="AG245" i="32"/>
  <c r="AV226" i="32"/>
  <c r="BV226" i="32" s="1"/>
  <c r="BU226" i="32"/>
  <c r="AQ227" i="32"/>
  <c r="BR221" i="32"/>
  <c r="BR227" i="32" s="1"/>
  <c r="P220" i="32"/>
  <c r="BM205" i="32"/>
  <c r="BX200" i="32"/>
  <c r="BX205" i="32" s="1"/>
  <c r="BS245" i="32"/>
  <c r="AQ238" i="32"/>
  <c r="BR235" i="32"/>
  <c r="BR238" i="32" s="1"/>
  <c r="BY234" i="32"/>
  <c r="AV224" i="32"/>
  <c r="BV224" i="32" s="1"/>
  <c r="BO224" i="32"/>
  <c r="I221" i="32"/>
  <c r="AH217" i="32"/>
  <c r="AU217" i="32" s="1"/>
  <c r="AR217" i="32"/>
  <c r="BP217" i="32"/>
  <c r="BP220" i="32" s="1"/>
  <c r="AF220" i="32"/>
  <c r="AF227" i="32"/>
  <c r="AH221" i="32"/>
  <c r="AU221" i="32" s="1"/>
  <c r="BP221" i="32"/>
  <c r="BP227" i="32" s="1"/>
  <c r="AR221" i="32"/>
  <c r="I191" i="32"/>
  <c r="BO260" i="32"/>
  <c r="BU219" i="32"/>
  <c r="AV219" i="32"/>
  <c r="BV219" i="32" s="1"/>
  <c r="BQ195" i="32"/>
  <c r="BQ188" i="32"/>
  <c r="AT179" i="32"/>
  <c r="BY164" i="32"/>
  <c r="BR205" i="32"/>
  <c r="AQ199" i="32"/>
  <c r="AV212" i="32"/>
  <c r="BV212" i="32" s="1"/>
  <c r="BO186" i="32"/>
  <c r="BO212" i="32"/>
  <c r="BU201" i="32"/>
  <c r="BO201" i="32"/>
  <c r="AV201" i="32"/>
  <c r="BV201" i="32" s="1"/>
  <c r="AT183" i="32"/>
  <c r="P178" i="32"/>
  <c r="AV169" i="32"/>
  <c r="BV169" i="32" s="1"/>
  <c r="BO169" i="32"/>
  <c r="BX171" i="32"/>
  <c r="BK300" i="32"/>
  <c r="BP109" i="32"/>
  <c r="P171" i="32"/>
  <c r="P164" i="32"/>
  <c r="BP157" i="32"/>
  <c r="I117" i="32"/>
  <c r="AV166" i="32"/>
  <c r="BV166" i="32" s="1"/>
  <c r="BU166" i="32"/>
  <c r="BU159" i="32"/>
  <c r="AV159" i="32"/>
  <c r="BV159" i="32" s="1"/>
  <c r="AT110" i="32"/>
  <c r="AR113" i="32"/>
  <c r="AQ182" i="32"/>
  <c r="BS305" i="32"/>
  <c r="BS109" i="32"/>
  <c r="AF214" i="32"/>
  <c r="AH206" i="32"/>
  <c r="AU206" i="32" s="1"/>
  <c r="BP206" i="32"/>
  <c r="AR206" i="32"/>
  <c r="BR171" i="32"/>
  <c r="BQ145" i="32"/>
  <c r="BQ146" i="32" s="1"/>
  <c r="AS145" i="32"/>
  <c r="AS146" i="32" s="1"/>
  <c r="AH145" i="32"/>
  <c r="AU145" i="32" s="1"/>
  <c r="AG146" i="32"/>
  <c r="AV140" i="32"/>
  <c r="BV140" i="32" s="1"/>
  <c r="AG124" i="32"/>
  <c r="BQ121" i="32"/>
  <c r="BQ124" i="32" s="1"/>
  <c r="AS121" i="32"/>
  <c r="AS124" i="32" s="1"/>
  <c r="AV116" i="32"/>
  <c r="BV116" i="32" s="1"/>
  <c r="BU116" i="32"/>
  <c r="BZ120" i="32"/>
  <c r="Q305" i="32"/>
  <c r="Q109" i="32"/>
  <c r="BS107" i="32"/>
  <c r="AS113" i="32"/>
  <c r="AT160" i="32"/>
  <c r="P144" i="32"/>
  <c r="P299" i="32"/>
  <c r="BP53" i="32"/>
  <c r="AR53" i="32"/>
  <c r="AF58" i="32"/>
  <c r="AH53" i="32"/>
  <c r="AU53" i="32" s="1"/>
  <c r="AT127" i="32"/>
  <c r="AV126" i="32"/>
  <c r="BV126" i="32" s="1"/>
  <c r="BU126" i="32"/>
  <c r="I69" i="32"/>
  <c r="BR159" i="32"/>
  <c r="BR300" i="32" s="1"/>
  <c r="I136" i="32"/>
  <c r="BO116" i="32"/>
  <c r="BS113" i="32"/>
  <c r="AG299" i="32"/>
  <c r="BQ99" i="32"/>
  <c r="BQ299" i="32" s="1"/>
  <c r="AS99" i="32"/>
  <c r="AS299" i="32" s="1"/>
  <c r="AT89" i="32"/>
  <c r="BT188" i="32"/>
  <c r="AH121" i="32"/>
  <c r="AU121" i="32" s="1"/>
  <c r="AG305" i="32"/>
  <c r="Q84" i="32"/>
  <c r="AV177" i="32"/>
  <c r="BV177" i="32" s="1"/>
  <c r="BO177" i="32"/>
  <c r="BU177" i="32"/>
  <c r="AT168" i="32"/>
  <c r="BM305" i="32"/>
  <c r="BM109" i="32"/>
  <c r="AT106" i="32"/>
  <c r="BO98" i="32"/>
  <c r="BM304" i="32"/>
  <c r="AT68" i="32"/>
  <c r="AR71" i="32"/>
  <c r="AG304" i="32"/>
  <c r="AH50" i="32"/>
  <c r="AU50" i="32" s="1"/>
  <c r="BQ50" i="32"/>
  <c r="BQ304" i="32" s="1"/>
  <c r="AS50" i="32"/>
  <c r="AS304" i="32" s="1"/>
  <c r="AT73" i="32"/>
  <c r="AV60" i="32"/>
  <c r="BV60" i="32" s="1"/>
  <c r="I51" i="32"/>
  <c r="BX47" i="32"/>
  <c r="BX52" i="32" s="1"/>
  <c r="AR35" i="32"/>
  <c r="BS297" i="32"/>
  <c r="BS17" i="32"/>
  <c r="AT46" i="32"/>
  <c r="BU38" i="32"/>
  <c r="AV38" i="32"/>
  <c r="BV38" i="32" s="1"/>
  <c r="J293" i="32"/>
  <c r="C18" i="47" s="1"/>
  <c r="AQ35" i="32"/>
  <c r="AQ31" i="32"/>
  <c r="AT23" i="32"/>
  <c r="AR27" i="32"/>
  <c r="P298" i="32"/>
  <c r="AR43" i="32"/>
  <c r="AT34" i="32"/>
  <c r="AZ34" i="32" s="1"/>
  <c r="BY35" i="32"/>
  <c r="I20" i="32"/>
  <c r="AT48" i="32"/>
  <c r="BM303" i="32"/>
  <c r="BX16" i="32"/>
  <c r="AQ297" i="32"/>
  <c r="AQ17" i="32"/>
  <c r="BS306" i="32"/>
  <c r="BS13" i="32"/>
  <c r="Q31" i="32"/>
  <c r="BR277" i="32"/>
  <c r="BR283" i="32" s="1"/>
  <c r="AQ283" i="32"/>
  <c r="BX284" i="32"/>
  <c r="BX290" i="32" s="1"/>
  <c r="BM290" i="32"/>
  <c r="AT282" i="32"/>
  <c r="AV279" i="32"/>
  <c r="BV279" i="32" s="1"/>
  <c r="BU279" i="32"/>
  <c r="AG269" i="32"/>
  <c r="BQ263" i="32"/>
  <c r="BQ269" i="32" s="1"/>
  <c r="AS263" i="32"/>
  <c r="AS269" i="32" s="1"/>
  <c r="Q262" i="32"/>
  <c r="AV241" i="32"/>
  <c r="BV241" i="32" s="1"/>
  <c r="BU241" i="32"/>
  <c r="P248" i="32"/>
  <c r="Q269" i="32"/>
  <c r="BU240" i="32"/>
  <c r="AV240" i="32"/>
  <c r="BV240" i="32" s="1"/>
  <c r="AF276" i="32"/>
  <c r="AH270" i="32"/>
  <c r="AU270" i="32" s="1"/>
  <c r="BP270" i="32"/>
  <c r="BP276" i="32" s="1"/>
  <c r="AR270" i="32"/>
  <c r="Q283" i="32"/>
  <c r="BV277" i="32"/>
  <c r="Q220" i="32"/>
  <c r="I217" i="32"/>
  <c r="BU267" i="32"/>
  <c r="AR238" i="32"/>
  <c r="AT253" i="32"/>
  <c r="AS214" i="32"/>
  <c r="AR195" i="32"/>
  <c r="AT189" i="32"/>
  <c r="BU266" i="32"/>
  <c r="AV266" i="32"/>
  <c r="I213" i="32"/>
  <c r="AT268" i="32"/>
  <c r="AR245" i="32"/>
  <c r="BM234" i="32"/>
  <c r="BU193" i="32"/>
  <c r="AV193" i="32"/>
  <c r="BV193" i="32" s="1"/>
  <c r="BO193" i="32"/>
  <c r="BM178" i="32"/>
  <c r="BX236" i="32"/>
  <c r="BX238" i="32" s="1"/>
  <c r="I201" i="32"/>
  <c r="BU183" i="32"/>
  <c r="AV183" i="32"/>
  <c r="BO183" i="32"/>
  <c r="BM164" i="32"/>
  <c r="BX158" i="32"/>
  <c r="BX164" i="32" s="1"/>
  <c r="BR206" i="32"/>
  <c r="P205" i="32"/>
  <c r="AV198" i="32"/>
  <c r="BV198" i="32" s="1"/>
  <c r="BU198" i="32"/>
  <c r="AT264" i="32"/>
  <c r="AH205" i="32"/>
  <c r="AV200" i="32"/>
  <c r="BV200" i="32" s="1"/>
  <c r="BU200" i="32"/>
  <c r="AT194" i="32"/>
  <c r="Q195" i="32"/>
  <c r="AH180" i="32"/>
  <c r="AU180" i="32" s="1"/>
  <c r="AR180" i="32"/>
  <c r="AT180" i="32" s="1"/>
  <c r="BP180" i="32"/>
  <c r="BP182" i="32" s="1"/>
  <c r="AV173" i="32"/>
  <c r="BV173" i="32" s="1"/>
  <c r="BO173" i="32"/>
  <c r="BU173" i="32"/>
  <c r="AT108" i="32"/>
  <c r="AT129" i="32"/>
  <c r="AZ129" i="32" s="1"/>
  <c r="BN129" i="32" s="1"/>
  <c r="AF300" i="32"/>
  <c r="BP115" i="32"/>
  <c r="AR115" i="32"/>
  <c r="AF120" i="32"/>
  <c r="AH115" i="32"/>
  <c r="AU115" i="32" s="1"/>
  <c r="AG205" i="32"/>
  <c r="BQ200" i="32"/>
  <c r="BQ205" i="32" s="1"/>
  <c r="AS200" i="32"/>
  <c r="BU170" i="32"/>
  <c r="BO170" i="32"/>
  <c r="AV170" i="32"/>
  <c r="BV170" i="32" s="1"/>
  <c r="AV167" i="32"/>
  <c r="BV167" i="32" s="1"/>
  <c r="BU167" i="32"/>
  <c r="Q157" i="32"/>
  <c r="Q124" i="32"/>
  <c r="AQ171" i="32"/>
  <c r="AV155" i="32"/>
  <c r="BV155" i="32" s="1"/>
  <c r="P157" i="32"/>
  <c r="BM150" i="32"/>
  <c r="BX147" i="32"/>
  <c r="BX150" i="32" s="1"/>
  <c r="P124" i="32"/>
  <c r="BT120" i="32"/>
  <c r="AV151" i="32"/>
  <c r="BU151" i="32"/>
  <c r="AH157" i="32"/>
  <c r="BR131" i="32"/>
  <c r="BR137" i="32" s="1"/>
  <c r="AQ137" i="32"/>
  <c r="AR130" i="32"/>
  <c r="I116" i="32"/>
  <c r="Q299" i="32"/>
  <c r="AQ96" i="32"/>
  <c r="BX72" i="32"/>
  <c r="BX65" i="32"/>
  <c r="BP130" i="32"/>
  <c r="BR124" i="32"/>
  <c r="AV148" i="32"/>
  <c r="BV148" i="32" s="1"/>
  <c r="AV135" i="32"/>
  <c r="BV135" i="32" s="1"/>
  <c r="AQ188" i="32"/>
  <c r="BR183" i="32"/>
  <c r="BR188" i="32" s="1"/>
  <c r="AS157" i="32"/>
  <c r="AT118" i="32"/>
  <c r="BZ107" i="32"/>
  <c r="AV91" i="32"/>
  <c r="BV91" i="32" s="1"/>
  <c r="AH96" i="32"/>
  <c r="BO91" i="32"/>
  <c r="BU91" i="32"/>
  <c r="I82" i="32"/>
  <c r="AV62" i="32"/>
  <c r="BV62" i="32" s="1"/>
  <c r="BU62" i="32"/>
  <c r="AV168" i="32"/>
  <c r="BV168" i="32" s="1"/>
  <c r="BU168" i="32"/>
  <c r="BR127" i="32"/>
  <c r="BR130" i="32" s="1"/>
  <c r="BY305" i="32"/>
  <c r="BY109" i="32"/>
  <c r="BM107" i="32"/>
  <c r="BX97" i="32"/>
  <c r="BX107" i="32" s="1"/>
  <c r="BU94" i="32"/>
  <c r="AV94" i="32"/>
  <c r="BV94" i="32" s="1"/>
  <c r="AH84" i="32"/>
  <c r="AV78" i="32"/>
  <c r="AV82" i="32"/>
  <c r="BV82" i="32" s="1"/>
  <c r="BX304" i="32"/>
  <c r="AY298" i="32"/>
  <c r="AY296" i="32" s="1"/>
  <c r="AR96" i="32"/>
  <c r="BR77" i="32"/>
  <c r="BP71" i="32"/>
  <c r="P304" i="32"/>
  <c r="BM43" i="32"/>
  <c r="BX40" i="32"/>
  <c r="BX43" i="32" s="1"/>
  <c r="AV87" i="32"/>
  <c r="BV87" i="32" s="1"/>
  <c r="BU87" i="32"/>
  <c r="AT80" i="32"/>
  <c r="AV56" i="32"/>
  <c r="BV56" i="32" s="1"/>
  <c r="BU56" i="32"/>
  <c r="AV54" i="32"/>
  <c r="BV54" i="32" s="1"/>
  <c r="BU54" i="32"/>
  <c r="BO54" i="32"/>
  <c r="BZ304" i="32"/>
  <c r="BR31" i="32"/>
  <c r="AR39" i="32"/>
  <c r="BM297" i="32"/>
  <c r="BM17" i="32"/>
  <c r="AR31" i="32"/>
  <c r="AT28" i="32"/>
  <c r="AF303" i="32"/>
  <c r="AH16" i="32"/>
  <c r="AU16" i="32" s="1"/>
  <c r="BP16" i="32"/>
  <c r="AR16" i="32"/>
  <c r="AR17" i="32" s="1"/>
  <c r="AV14" i="32"/>
  <c r="AF306" i="32"/>
  <c r="AH12" i="32"/>
  <c r="AU12" i="32" s="1"/>
  <c r="BP12" i="32"/>
  <c r="AR12" i="32"/>
  <c r="AF13" i="32"/>
  <c r="AS22" i="32"/>
  <c r="BP43" i="32"/>
  <c r="BM39" i="32"/>
  <c r="BX36" i="32"/>
  <c r="BX39" i="32" s="1"/>
  <c r="AF17" i="32"/>
  <c r="AT14" i="32"/>
  <c r="BY31" i="32"/>
  <c r="W296" i="32"/>
  <c r="BM306" i="32"/>
  <c r="BX12" i="32"/>
  <c r="BM13" i="32"/>
  <c r="AV26" i="32"/>
  <c r="BV26" i="32" s="1"/>
  <c r="BU26" i="32"/>
  <c r="AS31" i="32"/>
  <c r="AV20" i="32"/>
  <c r="BV20" i="32" s="1"/>
  <c r="AV282" i="32"/>
  <c r="BV282" i="32" s="1"/>
  <c r="AR283" i="32"/>
  <c r="BO282" i="32"/>
  <c r="AV286" i="32"/>
  <c r="BV286" i="32" s="1"/>
  <c r="BU286" i="32"/>
  <c r="BR269" i="32"/>
  <c r="AV278" i="32"/>
  <c r="BV278" i="32" s="1"/>
  <c r="AF255" i="32"/>
  <c r="AR249" i="32"/>
  <c r="BP249" i="32"/>
  <c r="BP255" i="32" s="1"/>
  <c r="AH249" i="32"/>
  <c r="AU249" i="32" s="1"/>
  <c r="AV252" i="32"/>
  <c r="BV252" i="32" s="1"/>
  <c r="BU252" i="32"/>
  <c r="P255" i="32"/>
  <c r="AV242" i="32"/>
  <c r="BV242" i="32" s="1"/>
  <c r="BU242" i="32"/>
  <c r="BU253" i="32"/>
  <c r="AV253" i="32"/>
  <c r="BV253" i="32" s="1"/>
  <c r="BQ229" i="32"/>
  <c r="BQ234" i="32" s="1"/>
  <c r="AH229" i="32"/>
  <c r="AS229" i="32"/>
  <c r="AT229" i="32" s="1"/>
  <c r="BM199" i="32"/>
  <c r="BX196" i="32"/>
  <c r="BX199" i="32" s="1"/>
  <c r="AV265" i="32"/>
  <c r="BV265" i="32" s="1"/>
  <c r="AR234" i="32"/>
  <c r="AT228" i="32"/>
  <c r="AV268" i="32"/>
  <c r="BV268" i="32" s="1"/>
  <c r="BO268" i="32"/>
  <c r="BU268" i="32"/>
  <c r="AQ245" i="32"/>
  <c r="BR239" i="32"/>
  <c r="BR245" i="32" s="1"/>
  <c r="AH178" i="32"/>
  <c r="AV172" i="32"/>
  <c r="P188" i="32"/>
  <c r="BR178" i="32"/>
  <c r="Q205" i="32"/>
  <c r="AH184" i="32"/>
  <c r="AR184" i="32"/>
  <c r="AT184" i="32" s="1"/>
  <c r="BP184" i="32"/>
  <c r="BP188" i="32" s="1"/>
  <c r="AF188" i="32"/>
  <c r="AS150" i="32"/>
  <c r="AQ300" i="32"/>
  <c r="BT305" i="32"/>
  <c r="BT109" i="32"/>
  <c r="BM188" i="32"/>
  <c r="BX183" i="32"/>
  <c r="BX188" i="32" s="1"/>
  <c r="BR148" i="32"/>
  <c r="BR150" i="32" s="1"/>
  <c r="BX299" i="32"/>
  <c r="AH197" i="32"/>
  <c r="AU197" i="32" s="1"/>
  <c r="BP197" i="32"/>
  <c r="BP199" i="32" s="1"/>
  <c r="AR197" i="32"/>
  <c r="AT197" i="32" s="1"/>
  <c r="AT163" i="32"/>
  <c r="AV134" i="32"/>
  <c r="BV134" i="32" s="1"/>
  <c r="BU134" i="32"/>
  <c r="AG130" i="32"/>
  <c r="BQ125" i="32"/>
  <c r="BQ130" i="32" s="1"/>
  <c r="AS125" i="32"/>
  <c r="AS130" i="32" s="1"/>
  <c r="BS300" i="32"/>
  <c r="BS178" i="32"/>
  <c r="AV160" i="32"/>
  <c r="BV160" i="32" s="1"/>
  <c r="BU160" i="32"/>
  <c r="AT123" i="32"/>
  <c r="BR114" i="32"/>
  <c r="BR120" i="32" s="1"/>
  <c r="AQ120" i="32"/>
  <c r="AV105" i="32"/>
  <c r="BV105" i="32" s="1"/>
  <c r="I99" i="32"/>
  <c r="BR90" i="32"/>
  <c r="AV127" i="32"/>
  <c r="BV127" i="32" s="1"/>
  <c r="BX125" i="32"/>
  <c r="BX130" i="32" s="1"/>
  <c r="BX113" i="32"/>
  <c r="BR91" i="32"/>
  <c r="BR96" i="32" s="1"/>
  <c r="Q164" i="32"/>
  <c r="BO151" i="32"/>
  <c r="AV143" i="32"/>
  <c r="BV143" i="32" s="1"/>
  <c r="BU143" i="32"/>
  <c r="AH131" i="32"/>
  <c r="AU131" i="32" s="1"/>
  <c r="BP131" i="32"/>
  <c r="BP137" i="32" s="1"/>
  <c r="AR131" i="32"/>
  <c r="AF137" i="32"/>
  <c r="AS120" i="32"/>
  <c r="BQ109" i="32"/>
  <c r="AQ302" i="32"/>
  <c r="BR101" i="32"/>
  <c r="BR302" i="32" s="1"/>
  <c r="BS96" i="32"/>
  <c r="AV89" i="32"/>
  <c r="BV89" i="32" s="1"/>
  <c r="BS71" i="32"/>
  <c r="BQ157" i="32"/>
  <c r="BM113" i="32"/>
  <c r="I100" i="32"/>
  <c r="I92" i="32"/>
  <c r="BY86" i="32"/>
  <c r="BY90" i="32" s="1"/>
  <c r="BM86" i="32"/>
  <c r="BX86" i="32" s="1"/>
  <c r="BX90" i="32" s="1"/>
  <c r="BK90" i="32"/>
  <c r="Q71" i="32"/>
  <c r="BO126" i="32"/>
  <c r="BU106" i="32"/>
  <c r="AV106" i="32"/>
  <c r="BV106" i="32" s="1"/>
  <c r="BY107" i="32"/>
  <c r="BM65" i="32"/>
  <c r="AF298" i="32"/>
  <c r="BP47" i="32"/>
  <c r="BP52" i="32" s="1"/>
  <c r="AR47" i="32"/>
  <c r="AH47" i="32"/>
  <c r="AU47" i="32" s="1"/>
  <c r="AT81" i="32"/>
  <c r="BM71" i="32"/>
  <c r="BM58" i="32"/>
  <c r="BR304" i="32"/>
  <c r="AQ298" i="32"/>
  <c r="BR47" i="32"/>
  <c r="BR52" i="32" s="1"/>
  <c r="AV68" i="32"/>
  <c r="BV68" i="32" s="1"/>
  <c r="BU68" i="32"/>
  <c r="BO68" i="32"/>
  <c r="BX44" i="32"/>
  <c r="BX45" i="32" s="1"/>
  <c r="BM45" i="32"/>
  <c r="AV76" i="32"/>
  <c r="BV76" i="32" s="1"/>
  <c r="BO73" i="32"/>
  <c r="AV73" i="32"/>
  <c r="BV73" i="32" s="1"/>
  <c r="BU73" i="32"/>
  <c r="BS298" i="32"/>
  <c r="AT75" i="32"/>
  <c r="Q65" i="32"/>
  <c r="AT55" i="32"/>
  <c r="AQ304" i="32"/>
  <c r="BS52" i="32"/>
  <c r="BM84" i="32"/>
  <c r="BT304" i="32"/>
  <c r="BK298" i="32"/>
  <c r="AH31" i="32"/>
  <c r="AV28" i="32"/>
  <c r="BU28" i="32"/>
  <c r="Q303" i="32"/>
  <c r="BW303" i="32"/>
  <c r="BW306" i="32"/>
  <c r="BW13" i="32"/>
  <c r="AF52" i="32"/>
  <c r="BQ15" i="32"/>
  <c r="AS15" i="32"/>
  <c r="Q297" i="32"/>
  <c r="Q35" i="32"/>
  <c r="BW297" i="32"/>
  <c r="BL293" i="32"/>
  <c r="BZ303" i="32"/>
  <c r="AF297" i="32"/>
  <c r="AV48" i="32"/>
  <c r="BV48" i="32" s="1"/>
  <c r="BU48" i="32"/>
  <c r="BX28" i="32"/>
  <c r="BX31" i="32" s="1"/>
  <c r="BM31" i="32"/>
  <c r="BR18" i="32"/>
  <c r="BR22" i="32" s="1"/>
  <c r="AQ22" i="32"/>
  <c r="J296" i="32"/>
  <c r="BQ31" i="32"/>
  <c r="BP283" i="32"/>
  <c r="BU282" i="32"/>
  <c r="I282" i="32"/>
  <c r="BV289" i="32"/>
  <c r="BU281" i="32"/>
  <c r="BO281" i="32"/>
  <c r="AV281" i="32"/>
  <c r="BV281" i="32" s="1"/>
  <c r="AV275" i="32"/>
  <c r="BV275" i="32" s="1"/>
  <c r="P276" i="32"/>
  <c r="I270" i="32"/>
  <c r="BM292" i="32"/>
  <c r="BX291" i="32"/>
  <c r="BX292" i="32" s="1"/>
  <c r="AV264" i="32"/>
  <c r="BV264" i="32" s="1"/>
  <c r="BU264" i="32"/>
  <c r="BX269" i="32"/>
  <c r="I258" i="32"/>
  <c r="BO253" i="32"/>
  <c r="AG276" i="32"/>
  <c r="AS270" i="32"/>
  <c r="AS276" i="32" s="1"/>
  <c r="BQ270" i="32"/>
  <c r="BQ276" i="32" s="1"/>
  <c r="BX262" i="32"/>
  <c r="Q238" i="32"/>
  <c r="I230" i="32"/>
  <c r="AG234" i="32"/>
  <c r="BU244" i="32"/>
  <c r="AV244" i="32"/>
  <c r="BV244" i="32" s="1"/>
  <c r="I218" i="32"/>
  <c r="BM248" i="32"/>
  <c r="AV231" i="32"/>
  <c r="BV231" i="32" s="1"/>
  <c r="BU231" i="32"/>
  <c r="BO231" i="32"/>
  <c r="BX220" i="32"/>
  <c r="AV237" i="32"/>
  <c r="BV237" i="32" s="1"/>
  <c r="BU237" i="32"/>
  <c r="AV228" i="32"/>
  <c r="BV228" i="32" s="1"/>
  <c r="BO228" i="32"/>
  <c r="BO254" i="32"/>
  <c r="BX227" i="32"/>
  <c r="AQ248" i="32"/>
  <c r="BR246" i="32"/>
  <c r="BR248" i="32" s="1"/>
  <c r="P227" i="32"/>
  <c r="AT231" i="32"/>
  <c r="P214" i="32"/>
  <c r="AR205" i="32"/>
  <c r="AG199" i="32"/>
  <c r="BQ196" i="32"/>
  <c r="BQ199" i="32" s="1"/>
  <c r="AS196" i="32"/>
  <c r="AS199" i="32" s="1"/>
  <c r="BP215" i="32"/>
  <c r="BP216" i="32" s="1"/>
  <c r="AR215" i="32"/>
  <c r="AF216" i="32"/>
  <c r="AH215" i="32"/>
  <c r="AU215" i="32" s="1"/>
  <c r="AT218" i="32"/>
  <c r="AZ218" i="32" s="1"/>
  <c r="I200" i="32"/>
  <c r="P199" i="32"/>
  <c r="AV194" i="32"/>
  <c r="BV194" i="32" s="1"/>
  <c r="BU194" i="32"/>
  <c r="I183" i="32"/>
  <c r="P182" i="32"/>
  <c r="P300" i="32"/>
  <c r="AR178" i="32"/>
  <c r="AT172" i="32"/>
  <c r="AH171" i="32"/>
  <c r="AV165" i="32"/>
  <c r="BU165" i="32"/>
  <c r="BO165" i="32"/>
  <c r="Q302" i="32"/>
  <c r="I101" i="32"/>
  <c r="I167" i="32"/>
  <c r="AV138" i="32"/>
  <c r="BY188" i="32"/>
  <c r="P146" i="32"/>
  <c r="AV208" i="32"/>
  <c r="BV208" i="32" s="1"/>
  <c r="BU208" i="32"/>
  <c r="AS182" i="32"/>
  <c r="Q137" i="32"/>
  <c r="BU125" i="32"/>
  <c r="P130" i="32"/>
  <c r="BX115" i="32"/>
  <c r="AV112" i="32"/>
  <c r="BV112" i="32" s="1"/>
  <c r="BU112" i="32"/>
  <c r="BX109" i="32"/>
  <c r="AF199" i="32"/>
  <c r="AQ178" i="32"/>
  <c r="AV119" i="32"/>
  <c r="BV119" i="32" s="1"/>
  <c r="AH113" i="32"/>
  <c r="AV110" i="32"/>
  <c r="AF302" i="32"/>
  <c r="AH101" i="32"/>
  <c r="BP101" i="32"/>
  <c r="BP302" i="32" s="1"/>
  <c r="AR101" i="32"/>
  <c r="AV92" i="32"/>
  <c r="BV92" i="32" s="1"/>
  <c r="BQ139" i="32"/>
  <c r="BQ144" i="32" s="1"/>
  <c r="AS139" i="32"/>
  <c r="AT139" i="32" s="1"/>
  <c r="AH139" i="32"/>
  <c r="BO134" i="32"/>
  <c r="AV149" i="32"/>
  <c r="BV149" i="32" s="1"/>
  <c r="BO149" i="32"/>
  <c r="BU149" i="32"/>
  <c r="BQ120" i="32"/>
  <c r="I108" i="32"/>
  <c r="P96" i="32"/>
  <c r="AV118" i="32"/>
  <c r="BV118" i="32" s="1"/>
  <c r="BU118" i="32"/>
  <c r="BR110" i="32"/>
  <c r="BR113" i="32" s="1"/>
  <c r="AQ113" i="32"/>
  <c r="BO92" i="32"/>
  <c r="I86" i="32"/>
  <c r="I79" i="32"/>
  <c r="AT174" i="32"/>
  <c r="AT122" i="32"/>
  <c r="Q107" i="32"/>
  <c r="I93" i="32"/>
  <c r="AR84" i="32"/>
  <c r="AT78" i="32"/>
  <c r="BU69" i="32"/>
  <c r="AV69" i="32"/>
  <c r="BV69" i="32" s="1"/>
  <c r="Q304" i="32"/>
  <c r="BZ298" i="32"/>
  <c r="BU88" i="32"/>
  <c r="AV88" i="32"/>
  <c r="BV88" i="32" s="1"/>
  <c r="AV74" i="32"/>
  <c r="BV74" i="32" s="1"/>
  <c r="BU74" i="32"/>
  <c r="BX66" i="32"/>
  <c r="BX71" i="32" s="1"/>
  <c r="AV80" i="32"/>
  <c r="BV80" i="32" s="1"/>
  <c r="BW107" i="32"/>
  <c r="BQ72" i="32"/>
  <c r="BQ77" i="32" s="1"/>
  <c r="AS72" i="32"/>
  <c r="AS77" i="32" s="1"/>
  <c r="AG77" i="32"/>
  <c r="P31" i="32"/>
  <c r="AG303" i="32"/>
  <c r="BQ16" i="32"/>
  <c r="AS16" i="32"/>
  <c r="AG306" i="32"/>
  <c r="BQ12" i="32"/>
  <c r="AS12" i="32"/>
  <c r="AG13" i="32"/>
  <c r="AV33" i="32"/>
  <c r="BV33" i="32" s="1"/>
  <c r="BU33" i="32"/>
  <c r="AG17" i="32"/>
  <c r="P39" i="32"/>
  <c r="BO33" i="32"/>
  <c r="BT303" i="32"/>
  <c r="M296" i="32"/>
  <c r="P52" i="32"/>
  <c r="I23" i="32"/>
  <c r="I15" i="32"/>
  <c r="S293" i="32"/>
  <c r="L18" i="47" s="1"/>
  <c r="AV21" i="32"/>
  <c r="BV21" i="32" s="1"/>
  <c r="BU21" i="32"/>
  <c r="AV29" i="32"/>
  <c r="BV29" i="32" s="1"/>
  <c r="BU29" i="32"/>
  <c r="AV25" i="32"/>
  <c r="BU25" i="32"/>
  <c r="I286" i="32"/>
  <c r="BO287" i="32"/>
  <c r="AV287" i="32"/>
  <c r="BV287" i="32" s="1"/>
  <c r="BU287" i="32"/>
  <c r="AR290" i="32"/>
  <c r="I279" i="32"/>
  <c r="AG290" i="32"/>
  <c r="AH284" i="32"/>
  <c r="AU284" i="32" s="1"/>
  <c r="AS284" i="32"/>
  <c r="AS290" i="32" s="1"/>
  <c r="BQ284" i="32"/>
  <c r="BQ290" i="32" s="1"/>
  <c r="BQ277" i="32"/>
  <c r="BQ283" i="32" s="1"/>
  <c r="AS277" i="32"/>
  <c r="AS283" i="32" s="1"/>
  <c r="AG283" i="32"/>
  <c r="AV271" i="32"/>
  <c r="BV271" i="32" s="1"/>
  <c r="BU271" i="32"/>
  <c r="BO271" i="32"/>
  <c r="BO265" i="32"/>
  <c r="BU280" i="32"/>
  <c r="AV280" i="32"/>
  <c r="BV280" i="32" s="1"/>
  <c r="AV273" i="32"/>
  <c r="BV273" i="32" s="1"/>
  <c r="BV258" i="32"/>
  <c r="BX242" i="32"/>
  <c r="BX245" i="32" s="1"/>
  <c r="BM245" i="32"/>
  <c r="AG238" i="32"/>
  <c r="BQ235" i="32"/>
  <c r="BQ238" i="32" s="1"/>
  <c r="AS235" i="32"/>
  <c r="AS238" i="32" s="1"/>
  <c r="BM262" i="32"/>
  <c r="BO264" i="32"/>
  <c r="P262" i="32"/>
  <c r="I252" i="32"/>
  <c r="P290" i="32"/>
  <c r="I277" i="32"/>
  <c r="BR256" i="32"/>
  <c r="BR262" i="32" s="1"/>
  <c r="BY248" i="32"/>
  <c r="I242" i="32"/>
  <c r="P238" i="32"/>
  <c r="I235" i="32"/>
  <c r="BO280" i="32"/>
  <c r="I222" i="32"/>
  <c r="I244" i="32"/>
  <c r="Q234" i="32"/>
  <c r="AT259" i="32"/>
  <c r="BU243" i="32"/>
  <c r="AV243" i="32"/>
  <c r="BV243" i="32" s="1"/>
  <c r="BO243" i="32"/>
  <c r="BP234" i="32"/>
  <c r="BM227" i="32"/>
  <c r="AV202" i="32"/>
  <c r="BV202" i="32" s="1"/>
  <c r="BU202" i="32"/>
  <c r="BR199" i="32"/>
  <c r="AV187" i="32"/>
  <c r="BV187" i="32" s="1"/>
  <c r="BU187" i="32"/>
  <c r="Q182" i="32"/>
  <c r="BO172" i="32"/>
  <c r="BO210" i="32"/>
  <c r="AV210" i="32"/>
  <c r="BV210" i="32" s="1"/>
  <c r="BU210" i="32"/>
  <c r="AT201" i="32"/>
  <c r="Q199" i="32"/>
  <c r="AQ195" i="32"/>
  <c r="BR189" i="32"/>
  <c r="BR195" i="32" s="1"/>
  <c r="AV175" i="32"/>
  <c r="BV175" i="32" s="1"/>
  <c r="BU175" i="32"/>
  <c r="AT133" i="32"/>
  <c r="AT159" i="32"/>
  <c r="AG164" i="32"/>
  <c r="BQ158" i="32"/>
  <c r="BQ164" i="32" s="1"/>
  <c r="AS158" i="32"/>
  <c r="AS164" i="32" s="1"/>
  <c r="AH158" i="32"/>
  <c r="AU158" i="32" s="1"/>
  <c r="AT128" i="32"/>
  <c r="I119" i="32"/>
  <c r="AT102" i="32"/>
  <c r="AR171" i="32"/>
  <c r="BU162" i="32"/>
  <c r="AV162" i="32"/>
  <c r="BV162" i="32" s="1"/>
  <c r="BM157" i="32"/>
  <c r="BX151" i="32"/>
  <c r="BX157" i="32" s="1"/>
  <c r="AR150" i="32"/>
  <c r="AT147" i="32"/>
  <c r="I145" i="32"/>
  <c r="Q130" i="32"/>
  <c r="BV125" i="32"/>
  <c r="BT300" i="32"/>
  <c r="AV190" i="32"/>
  <c r="BV190" i="32" s="1"/>
  <c r="BU190" i="32"/>
  <c r="I175" i="32"/>
  <c r="Q113" i="32"/>
  <c r="BR108" i="32"/>
  <c r="Q178" i="32"/>
  <c r="AV117" i="32"/>
  <c r="BV117" i="32" s="1"/>
  <c r="BU117" i="32"/>
  <c r="AV97" i="32"/>
  <c r="BU123" i="32"/>
  <c r="AV123" i="32"/>
  <c r="BV123" i="32" s="1"/>
  <c r="I118" i="32"/>
  <c r="AS97" i="32"/>
  <c r="AG107" i="32"/>
  <c r="BQ97" i="32"/>
  <c r="Q90" i="32"/>
  <c r="I85" i="32"/>
  <c r="AT111" i="32"/>
  <c r="AZ111" i="32" s="1"/>
  <c r="BN111" i="32" s="1"/>
  <c r="BW305" i="32"/>
  <c r="I97" i="32"/>
  <c r="P90" i="32"/>
  <c r="AV154" i="32"/>
  <c r="BV154" i="32" s="1"/>
  <c r="BU154" i="32"/>
  <c r="BO154" i="32"/>
  <c r="AQ107" i="32"/>
  <c r="I95" i="32"/>
  <c r="Q96" i="32"/>
  <c r="AV161" i="32"/>
  <c r="BV161" i="32" s="1"/>
  <c r="BU161" i="32"/>
  <c r="BO161" i="32"/>
  <c r="BU152" i="32"/>
  <c r="AV152" i="32"/>
  <c r="BV152" i="32" s="1"/>
  <c r="AR299" i="32"/>
  <c r="BP96" i="32"/>
  <c r="BX84" i="32"/>
  <c r="AF77" i="32"/>
  <c r="AH72" i="32"/>
  <c r="AU72" i="32" s="1"/>
  <c r="BP72" i="32"/>
  <c r="AR72" i="32"/>
  <c r="AV174" i="32"/>
  <c r="BV174" i="32" s="1"/>
  <c r="Q171" i="32"/>
  <c r="BQ91" i="32"/>
  <c r="BQ96" i="32" s="1"/>
  <c r="AS91" i="32"/>
  <c r="AG96" i="32"/>
  <c r="I87" i="32"/>
  <c r="BP84" i="32"/>
  <c r="BY304" i="32"/>
  <c r="BU81" i="32"/>
  <c r="AV81" i="32"/>
  <c r="BV81" i="32" s="1"/>
  <c r="BO62" i="32"/>
  <c r="AV93" i="32"/>
  <c r="BV93" i="32" s="1"/>
  <c r="BU93" i="32"/>
  <c r="P84" i="32"/>
  <c r="AV70" i="32"/>
  <c r="BV70" i="32" s="1"/>
  <c r="BX53" i="32"/>
  <c r="BX58" i="32" s="1"/>
  <c r="BT298" i="32"/>
  <c r="AT74" i="32"/>
  <c r="P77" i="32"/>
  <c r="AQ58" i="32"/>
  <c r="BR53" i="32"/>
  <c r="BR58" i="32" s="1"/>
  <c r="BP304" i="32"/>
  <c r="BT52" i="32"/>
  <c r="P71" i="32"/>
  <c r="BU55" i="32"/>
  <c r="AV55" i="32"/>
  <c r="BV55" i="32" s="1"/>
  <c r="I68" i="32"/>
  <c r="I64" i="32"/>
  <c r="AF45" i="32"/>
  <c r="AH44" i="32"/>
  <c r="AU44" i="32" s="1"/>
  <c r="BP44" i="32"/>
  <c r="BP45" i="32" s="1"/>
  <c r="AR44" i="32"/>
  <c r="I38" i="32"/>
  <c r="BY52" i="32"/>
  <c r="BM27" i="32"/>
  <c r="BX23" i="32"/>
  <c r="BX27" i="32" s="1"/>
  <c r="BZ297" i="32"/>
  <c r="BZ17" i="32"/>
  <c r="Q306" i="32"/>
  <c r="Q13" i="32"/>
  <c r="P35" i="32"/>
  <c r="BR35" i="32"/>
  <c r="BM22" i="32"/>
  <c r="BX18" i="32"/>
  <c r="BX22" i="32" s="1"/>
  <c r="P303" i="32"/>
  <c r="P306" i="32"/>
  <c r="P13" i="32"/>
  <c r="AT38" i="32"/>
  <c r="BX14" i="32"/>
  <c r="I16" i="32"/>
  <c r="BZ306" i="32"/>
  <c r="BZ13" i="32"/>
  <c r="AV42" i="32"/>
  <c r="BV42" i="32" s="1"/>
  <c r="AT33" i="32"/>
  <c r="I26" i="32"/>
  <c r="BY303" i="32"/>
  <c r="BO14" i="32"/>
  <c r="M293" i="32"/>
  <c r="F18" i="47" s="1"/>
  <c r="I29" i="32"/>
  <c r="AH15" i="32"/>
  <c r="AU15" i="32" s="1"/>
  <c r="AH35" i="32"/>
  <c r="AT29" i="32"/>
  <c r="AT25" i="32"/>
  <c r="AH27" i="32"/>
  <c r="BO73" i="31"/>
  <c r="BR85" i="31"/>
  <c r="AV60" i="31"/>
  <c r="BV60" i="31" s="1"/>
  <c r="Q81" i="31"/>
  <c r="Q48" i="31"/>
  <c r="P64" i="31"/>
  <c r="I58" i="31"/>
  <c r="BR86" i="31"/>
  <c r="BR40" i="31"/>
  <c r="BT86" i="31"/>
  <c r="BT40" i="31"/>
  <c r="AG23" i="31"/>
  <c r="BQ20" i="31"/>
  <c r="BQ23" i="31" s="1"/>
  <c r="AS20" i="31"/>
  <c r="AS23" i="31" s="1"/>
  <c r="AT71" i="31"/>
  <c r="BX65" i="31"/>
  <c r="BX67" i="31" s="1"/>
  <c r="BM67" i="31"/>
  <c r="AF57" i="31"/>
  <c r="AH53" i="31"/>
  <c r="AU53" i="31" s="1"/>
  <c r="AR53" i="31"/>
  <c r="BP53" i="31"/>
  <c r="BP57" i="31" s="1"/>
  <c r="AH52" i="31"/>
  <c r="BU49" i="31"/>
  <c r="AV49" i="31"/>
  <c r="BM64" i="31"/>
  <c r="BO46" i="31"/>
  <c r="AV46" i="31"/>
  <c r="BV46" i="31" s="1"/>
  <c r="BU46" i="31"/>
  <c r="P43" i="31"/>
  <c r="I41" i="31"/>
  <c r="BQ52" i="31"/>
  <c r="AT49" i="31"/>
  <c r="AR52" i="31"/>
  <c r="AF86" i="31"/>
  <c r="BP39" i="31"/>
  <c r="AR39" i="31"/>
  <c r="AH39" i="31"/>
  <c r="AU39" i="31" s="1"/>
  <c r="AF40" i="31"/>
  <c r="BT87" i="31"/>
  <c r="BT25" i="31"/>
  <c r="BQ58" i="31"/>
  <c r="BQ64" i="31" s="1"/>
  <c r="AS58" i="31"/>
  <c r="AS64" i="31" s="1"/>
  <c r="AG64" i="31"/>
  <c r="BX43" i="31"/>
  <c r="BS87" i="31"/>
  <c r="BS25" i="31"/>
  <c r="BY78" i="31"/>
  <c r="AT62" i="31"/>
  <c r="I44" i="31"/>
  <c r="AQ86" i="31"/>
  <c r="AQ40" i="31"/>
  <c r="BT79" i="31"/>
  <c r="BT32" i="31"/>
  <c r="AT22" i="31"/>
  <c r="P57" i="31"/>
  <c r="AF81" i="31"/>
  <c r="AF48" i="31"/>
  <c r="AH44" i="31"/>
  <c r="AU44" i="31" s="1"/>
  <c r="BP44" i="31"/>
  <c r="AR44" i="31"/>
  <c r="AQ57" i="31"/>
  <c r="M75" i="31"/>
  <c r="M77" i="31"/>
  <c r="BS84" i="31"/>
  <c r="AY77" i="31"/>
  <c r="BR23" i="31"/>
  <c r="AV27" i="31"/>
  <c r="BV27" i="31" s="1"/>
  <c r="BU27" i="31"/>
  <c r="Q23" i="31"/>
  <c r="BM23" i="31"/>
  <c r="BM15" i="31"/>
  <c r="Q67" i="31"/>
  <c r="AV66" i="31"/>
  <c r="BV66" i="31" s="1"/>
  <c r="BU66" i="31"/>
  <c r="BX64" i="31"/>
  <c r="AH65" i="31"/>
  <c r="AU65" i="31" s="1"/>
  <c r="AF67" i="31"/>
  <c r="BP65" i="31"/>
  <c r="BP67" i="31" s="1"/>
  <c r="AR65" i="31"/>
  <c r="BU35" i="31"/>
  <c r="AV35" i="31"/>
  <c r="BV35" i="31" s="1"/>
  <c r="BM73" i="31"/>
  <c r="BX68" i="31"/>
  <c r="BX73" i="31" s="1"/>
  <c r="AS73" i="31"/>
  <c r="Q73" i="31"/>
  <c r="AV56" i="31"/>
  <c r="BV56" i="31" s="1"/>
  <c r="BU56" i="31"/>
  <c r="BS64" i="31"/>
  <c r="AV55" i="31"/>
  <c r="BV55" i="31" s="1"/>
  <c r="BU55" i="31"/>
  <c r="AV61" i="31"/>
  <c r="BU61" i="31"/>
  <c r="BO56" i="31"/>
  <c r="BS52" i="31"/>
  <c r="AV34" i="31"/>
  <c r="BV34" i="31" s="1"/>
  <c r="BU34" i="31"/>
  <c r="BO34" i="31"/>
  <c r="AF85" i="31"/>
  <c r="BP30" i="31"/>
  <c r="BP85" i="31" s="1"/>
  <c r="AR30" i="31"/>
  <c r="AH30" i="31"/>
  <c r="AU30" i="31" s="1"/>
  <c r="BO49" i="31"/>
  <c r="BO52" i="31" s="1"/>
  <c r="BS78" i="31"/>
  <c r="BS15" i="31"/>
  <c r="BK75" i="31"/>
  <c r="AV36" i="31"/>
  <c r="BV36" i="31" s="1"/>
  <c r="BU36" i="31"/>
  <c r="Q57" i="31"/>
  <c r="Q52" i="31"/>
  <c r="I27" i="31"/>
  <c r="BT84" i="31"/>
  <c r="BY38" i="31"/>
  <c r="BW87" i="31"/>
  <c r="BW25" i="31"/>
  <c r="BX84" i="31"/>
  <c r="BR87" i="31"/>
  <c r="BR25" i="31"/>
  <c r="AQ23" i="31"/>
  <c r="BM84" i="31"/>
  <c r="BR15" i="31"/>
  <c r="P19" i="31"/>
  <c r="J77" i="31"/>
  <c r="BU28" i="31"/>
  <c r="AV28" i="31"/>
  <c r="BM85" i="31"/>
  <c r="P73" i="31"/>
  <c r="AS52" i="31"/>
  <c r="BR49" i="31"/>
  <c r="BR52" i="31" s="1"/>
  <c r="AQ52" i="31"/>
  <c r="BZ87" i="31"/>
  <c r="BZ25" i="31"/>
  <c r="AV14" i="31"/>
  <c r="AR84" i="31"/>
  <c r="AT14" i="31"/>
  <c r="S75" i="31"/>
  <c r="AV31" i="31"/>
  <c r="BV31" i="31" s="1"/>
  <c r="V74" i="31"/>
  <c r="BW78" i="31"/>
  <c r="BW15" i="31"/>
  <c r="P23" i="31"/>
  <c r="AH73" i="31"/>
  <c r="AV68" i="31"/>
  <c r="BV68" i="31" s="1"/>
  <c r="AV70" i="31"/>
  <c r="BV70" i="31" s="1"/>
  <c r="I68" i="31"/>
  <c r="AF64" i="31"/>
  <c r="BP58" i="31"/>
  <c r="BP64" i="31" s="1"/>
  <c r="AR58" i="31"/>
  <c r="AH58" i="31"/>
  <c r="AU58" i="31" s="1"/>
  <c r="BS81" i="31"/>
  <c r="BS48" i="31"/>
  <c r="P52" i="31"/>
  <c r="I49" i="31"/>
  <c r="BX81" i="31"/>
  <c r="BX48" i="31"/>
  <c r="BQ65" i="31"/>
  <c r="BQ67" i="31" s="1"/>
  <c r="AG67" i="31"/>
  <c r="AS65" i="31"/>
  <c r="AS67" i="31" s="1"/>
  <c r="AQ64" i="31"/>
  <c r="BR58" i="31"/>
  <c r="BR64" i="31" s="1"/>
  <c r="AT55" i="31"/>
  <c r="BZ78" i="31"/>
  <c r="BZ15" i="31"/>
  <c r="AV63" i="31"/>
  <c r="BV63" i="31" s="1"/>
  <c r="BM57" i="31"/>
  <c r="BM81" i="31"/>
  <c r="BM48" i="31"/>
  <c r="BM43" i="31"/>
  <c r="BM78" i="31"/>
  <c r="BU62" i="31"/>
  <c r="AV62" i="31"/>
  <c r="BV62" i="31" s="1"/>
  <c r="AV47" i="31"/>
  <c r="BV47" i="31" s="1"/>
  <c r="BU47" i="31"/>
  <c r="AO74" i="31"/>
  <c r="BX15" i="31"/>
  <c r="BQ42" i="31"/>
  <c r="BQ84" i="31" s="1"/>
  <c r="AS42" i="31"/>
  <c r="AS84" i="31" s="1"/>
  <c r="AH42" i="31"/>
  <c r="BR41" i="31"/>
  <c r="BR43" i="31" s="1"/>
  <c r="BS57" i="31"/>
  <c r="AG43" i="31"/>
  <c r="BO35" i="31"/>
  <c r="I31" i="31"/>
  <c r="AR38" i="31"/>
  <c r="AT33" i="31"/>
  <c r="AQ84" i="31"/>
  <c r="AQ15" i="31"/>
  <c r="I20" i="31"/>
  <c r="Q19" i="31"/>
  <c r="BO36" i="31"/>
  <c r="BU37" i="31"/>
  <c r="AV37" i="31"/>
  <c r="BV37" i="31" s="1"/>
  <c r="BO37" i="31"/>
  <c r="BY85" i="31"/>
  <c r="AG19" i="31"/>
  <c r="BQ16" i="31"/>
  <c r="BQ19" i="31" s="1"/>
  <c r="AS16" i="31"/>
  <c r="AS19" i="31" s="1"/>
  <c r="I70" i="31"/>
  <c r="AR73" i="31"/>
  <c r="AT68" i="31"/>
  <c r="AV71" i="31"/>
  <c r="BV71" i="31" s="1"/>
  <c r="BU69" i="31"/>
  <c r="AV69" i="31"/>
  <c r="BO60" i="31"/>
  <c r="AV51" i="31"/>
  <c r="BV51" i="31" s="1"/>
  <c r="BU51" i="31"/>
  <c r="AT50" i="31"/>
  <c r="Q64" i="31"/>
  <c r="BS86" i="31"/>
  <c r="BS40" i="31"/>
  <c r="AF79" i="31"/>
  <c r="BP26" i="31"/>
  <c r="AR26" i="31"/>
  <c r="AF32" i="31"/>
  <c r="AH26" i="31"/>
  <c r="AU26" i="31" s="1"/>
  <c r="BT78" i="31"/>
  <c r="BT15" i="31"/>
  <c r="BY81" i="31"/>
  <c r="BY48" i="31"/>
  <c r="AQ85" i="31"/>
  <c r="BO14" i="31"/>
  <c r="BM86" i="31"/>
  <c r="BM40" i="31"/>
  <c r="BX39" i="31"/>
  <c r="I37" i="31"/>
  <c r="AF87" i="31"/>
  <c r="AF25" i="31"/>
  <c r="AH24" i="31"/>
  <c r="AU24" i="31" s="1"/>
  <c r="BP24" i="31"/>
  <c r="AR24" i="31"/>
  <c r="AH20" i="31"/>
  <c r="AU20" i="31" s="1"/>
  <c r="AV16" i="31"/>
  <c r="AV33" i="31"/>
  <c r="AH38" i="31"/>
  <c r="BW85" i="31"/>
  <c r="P85" i="31"/>
  <c r="AQ78" i="31"/>
  <c r="P87" i="31"/>
  <c r="P25" i="31"/>
  <c r="P78" i="31"/>
  <c r="P15" i="31"/>
  <c r="AG78" i="31"/>
  <c r="AG15" i="31"/>
  <c r="BQ12" i="31"/>
  <c r="AS12" i="31"/>
  <c r="AT12" i="31" s="1"/>
  <c r="P79" i="31"/>
  <c r="BS73" i="31"/>
  <c r="BO66" i="31"/>
  <c r="P67" i="31"/>
  <c r="AT54" i="31"/>
  <c r="AT66" i="31"/>
  <c r="AT59" i="31"/>
  <c r="I65" i="31"/>
  <c r="AV50" i="31"/>
  <c r="BV50" i="31" s="1"/>
  <c r="BU50" i="31"/>
  <c r="AS38" i="31"/>
  <c r="I71" i="31"/>
  <c r="I61" i="31"/>
  <c r="BR57" i="31"/>
  <c r="BR33" i="31"/>
  <c r="BR38" i="31" s="1"/>
  <c r="AQ38" i="31"/>
  <c r="AG84" i="31"/>
  <c r="AV54" i="31"/>
  <c r="BV54" i="31" s="1"/>
  <c r="BU54" i="31"/>
  <c r="AT47" i="31"/>
  <c r="AT18" i="31"/>
  <c r="BP84" i="31"/>
  <c r="AQ81" i="31"/>
  <c r="BR44" i="31"/>
  <c r="AQ48" i="31"/>
  <c r="I53" i="31"/>
  <c r="BS85" i="31"/>
  <c r="BS79" i="31"/>
  <c r="BS32" i="31"/>
  <c r="BY86" i="31"/>
  <c r="BY40" i="31"/>
  <c r="Q85" i="31"/>
  <c r="Q79" i="31"/>
  <c r="Q32" i="31"/>
  <c r="P32" i="31"/>
  <c r="AH21" i="31"/>
  <c r="AU21" i="31" s="1"/>
  <c r="BP21" i="31"/>
  <c r="BP23" i="31" s="1"/>
  <c r="AR21" i="31"/>
  <c r="AT21" i="31" s="1"/>
  <c r="AH17" i="31"/>
  <c r="BP17" i="31"/>
  <c r="BP19" i="31" s="1"/>
  <c r="AR17" i="31"/>
  <c r="AT17" i="31" s="1"/>
  <c r="AH13" i="31"/>
  <c r="AU13" i="31" s="1"/>
  <c r="BP13" i="31"/>
  <c r="AR13" i="31"/>
  <c r="AT13" i="31" s="1"/>
  <c r="AH12" i="31"/>
  <c r="AU12" i="31" s="1"/>
  <c r="BX85" i="31"/>
  <c r="AY74" i="31"/>
  <c r="BV28" i="31"/>
  <c r="BR19" i="31"/>
  <c r="AT35" i="31"/>
  <c r="Q87" i="31"/>
  <c r="Q25" i="31"/>
  <c r="I16" i="31"/>
  <c r="Q78" i="31"/>
  <c r="Q15" i="31"/>
  <c r="P38" i="31"/>
  <c r="AG87" i="31"/>
  <c r="BQ24" i="31"/>
  <c r="AS24" i="31"/>
  <c r="AG25" i="31"/>
  <c r="W74" i="31"/>
  <c r="AT37" i="31"/>
  <c r="BM19" i="31"/>
  <c r="BX99" i="30"/>
  <c r="BX92" i="30"/>
  <c r="AV97" i="30"/>
  <c r="BU97" i="30"/>
  <c r="AS74" i="30"/>
  <c r="BQ74" i="30"/>
  <c r="BQ75" i="30" s="1"/>
  <c r="AH74" i="30"/>
  <c r="BR23" i="30"/>
  <c r="BU59" i="30"/>
  <c r="AV59" i="30"/>
  <c r="BV59" i="30" s="1"/>
  <c r="BL103" i="30"/>
  <c r="BR88" i="30"/>
  <c r="BR92" i="30" s="1"/>
  <c r="AQ92" i="30"/>
  <c r="AT70" i="30"/>
  <c r="BR59" i="30"/>
  <c r="BR111" i="30" s="1"/>
  <c r="BY111" i="30"/>
  <c r="AH45" i="30"/>
  <c r="AU45" i="30" s="1"/>
  <c r="AF48" i="30"/>
  <c r="BP45" i="30"/>
  <c r="BP48" i="30" s="1"/>
  <c r="AR45" i="30"/>
  <c r="AH51" i="30"/>
  <c r="AR51" i="30"/>
  <c r="AT51" i="30" s="1"/>
  <c r="BP51" i="30"/>
  <c r="BP54" i="30" s="1"/>
  <c r="BT110" i="30"/>
  <c r="BQ92" i="30"/>
  <c r="BP93" i="30"/>
  <c r="BP99" i="30" s="1"/>
  <c r="AR93" i="30"/>
  <c r="AH93" i="30"/>
  <c r="AU93" i="30" s="1"/>
  <c r="AF99" i="30"/>
  <c r="AV77" i="30"/>
  <c r="BV77" i="30" s="1"/>
  <c r="BU77" i="30"/>
  <c r="BO77" i="30"/>
  <c r="BM75" i="30"/>
  <c r="AT80" i="30"/>
  <c r="P85" i="30"/>
  <c r="I70" i="30"/>
  <c r="BX31" i="30"/>
  <c r="BX37" i="30" s="1"/>
  <c r="AV73" i="30"/>
  <c r="BV73" i="30" s="1"/>
  <c r="BU73" i="30"/>
  <c r="BO73" i="30"/>
  <c r="AT52" i="30"/>
  <c r="P65" i="30"/>
  <c r="I62" i="30"/>
  <c r="I51" i="30"/>
  <c r="V100" i="30"/>
  <c r="AV70" i="30"/>
  <c r="BV70" i="30" s="1"/>
  <c r="BO97" i="30"/>
  <c r="BT104" i="30"/>
  <c r="BT15" i="30"/>
  <c r="I58" i="30"/>
  <c r="P61" i="30"/>
  <c r="AT38" i="30"/>
  <c r="Q28" i="30"/>
  <c r="AO103" i="30"/>
  <c r="AV58" i="30"/>
  <c r="BV58" i="30" s="1"/>
  <c r="AT22" i="30"/>
  <c r="AF110" i="30"/>
  <c r="AH14" i="30"/>
  <c r="AR14" i="30"/>
  <c r="BP14" i="30"/>
  <c r="BR71" i="30"/>
  <c r="BT113" i="30"/>
  <c r="BT17" i="30"/>
  <c r="BY28" i="30"/>
  <c r="AS105" i="30"/>
  <c r="BS44" i="30"/>
  <c r="BS37" i="30"/>
  <c r="AV55" i="30"/>
  <c r="AH61" i="30"/>
  <c r="BQ28" i="30"/>
  <c r="BS105" i="30"/>
  <c r="BS23" i="30"/>
  <c r="AT63" i="30"/>
  <c r="AG107" i="30"/>
  <c r="BQ32" i="30"/>
  <c r="AS32" i="30"/>
  <c r="AS107" i="30" s="1"/>
  <c r="I22" i="30"/>
  <c r="AV98" i="30"/>
  <c r="BV98" i="30" s="1"/>
  <c r="BU98" i="30"/>
  <c r="BO98" i="30"/>
  <c r="BU79" i="30"/>
  <c r="BO79" i="30"/>
  <c r="AV79" i="30"/>
  <c r="BV79" i="30" s="1"/>
  <c r="BM111" i="30"/>
  <c r="BX20" i="30"/>
  <c r="BX111" i="30" s="1"/>
  <c r="AV19" i="30"/>
  <c r="BV19" i="30" s="1"/>
  <c r="AG112" i="30"/>
  <c r="BQ29" i="30"/>
  <c r="AS29" i="30"/>
  <c r="AG30" i="30"/>
  <c r="AG75" i="30"/>
  <c r="BY113" i="30"/>
  <c r="BY17" i="30"/>
  <c r="BS104" i="30"/>
  <c r="BS15" i="30"/>
  <c r="P92" i="30"/>
  <c r="BZ81" i="30"/>
  <c r="Q81" i="30"/>
  <c r="P81" i="30"/>
  <c r="I78" i="30"/>
  <c r="AS71" i="30"/>
  <c r="BR72" i="30"/>
  <c r="BR75" i="30" s="1"/>
  <c r="Q71" i="30"/>
  <c r="BR84" i="30"/>
  <c r="BR110" i="30" s="1"/>
  <c r="AS81" i="30"/>
  <c r="BY81" i="30"/>
  <c r="BM23" i="30"/>
  <c r="AT12" i="30"/>
  <c r="BU67" i="30"/>
  <c r="AV67" i="30"/>
  <c r="BV67" i="30" s="1"/>
  <c r="BO67" i="30"/>
  <c r="Q65" i="30"/>
  <c r="AV46" i="30"/>
  <c r="BV46" i="30" s="1"/>
  <c r="BU46" i="30"/>
  <c r="BO46" i="30"/>
  <c r="I43" i="30"/>
  <c r="AQ104" i="30"/>
  <c r="AQ15" i="30"/>
  <c r="BR12" i="30"/>
  <c r="BR45" i="30"/>
  <c r="BR48" i="30" s="1"/>
  <c r="BR32" i="30"/>
  <c r="M101" i="30"/>
  <c r="AP100" i="30"/>
  <c r="AT57" i="30"/>
  <c r="BX54" i="30"/>
  <c r="P107" i="30"/>
  <c r="I32" i="30"/>
  <c r="BQ105" i="30"/>
  <c r="AG110" i="30"/>
  <c r="BQ14" i="30"/>
  <c r="AS14" i="30"/>
  <c r="AS15" i="30" s="1"/>
  <c r="S103" i="30"/>
  <c r="AV39" i="30"/>
  <c r="BU39" i="30"/>
  <c r="BX12" i="30"/>
  <c r="AQ71" i="30"/>
  <c r="BT105" i="30"/>
  <c r="BT23" i="30"/>
  <c r="AF15" i="30"/>
  <c r="AQ44" i="30"/>
  <c r="BR38" i="30"/>
  <c r="BR44" i="30" s="1"/>
  <c r="BP61" i="30"/>
  <c r="AQ105" i="30"/>
  <c r="AQ23" i="30"/>
  <c r="AQ110" i="30"/>
  <c r="AV26" i="30"/>
  <c r="BV26" i="30" s="1"/>
  <c r="BU26" i="30"/>
  <c r="AF105" i="30"/>
  <c r="AF23" i="30"/>
  <c r="AH18" i="30"/>
  <c r="AU18" i="30" s="1"/>
  <c r="AR18" i="30"/>
  <c r="BP18" i="30"/>
  <c r="BW111" i="30"/>
  <c r="BW23" i="30"/>
  <c r="AT25" i="30"/>
  <c r="AG99" i="30"/>
  <c r="AS93" i="30"/>
  <c r="AS99" i="30" s="1"/>
  <c r="BQ93" i="30"/>
  <c r="BQ99" i="30" s="1"/>
  <c r="AG104" i="30"/>
  <c r="AO100" i="30"/>
  <c r="AH16" i="47" s="1"/>
  <c r="Q15" i="30"/>
  <c r="AR37" i="30"/>
  <c r="AT31" i="30"/>
  <c r="M100" i="30"/>
  <c r="F16" i="47" s="1"/>
  <c r="AS92" i="30"/>
  <c r="BM92" i="30"/>
  <c r="AV72" i="30"/>
  <c r="BX45" i="30"/>
  <c r="BX48" i="30" s="1"/>
  <c r="BM48" i="30"/>
  <c r="BW112" i="30"/>
  <c r="BW30" i="30"/>
  <c r="P112" i="30"/>
  <c r="P30" i="30"/>
  <c r="I29" i="30"/>
  <c r="X103" i="30"/>
  <c r="BX24" i="30"/>
  <c r="BX28" i="30" s="1"/>
  <c r="BM28" i="30"/>
  <c r="BM99" i="30"/>
  <c r="I91" i="30"/>
  <c r="BV95" i="30"/>
  <c r="AV88" i="30"/>
  <c r="BV88" i="30" s="1"/>
  <c r="BU88" i="30"/>
  <c r="I80" i="30"/>
  <c r="AV90" i="30"/>
  <c r="BV90" i="30" s="1"/>
  <c r="BU90" i="30"/>
  <c r="I83" i="30"/>
  <c r="BX72" i="30"/>
  <c r="BX75" i="30" s="1"/>
  <c r="BQ71" i="30"/>
  <c r="P71" i="30"/>
  <c r="BU78" i="30"/>
  <c r="AV78" i="30"/>
  <c r="BV78" i="30" s="1"/>
  <c r="BT81" i="30"/>
  <c r="BY54" i="30"/>
  <c r="BS111" i="30"/>
  <c r="BU64" i="30"/>
  <c r="BO64" i="30"/>
  <c r="AV64" i="30"/>
  <c r="BV64" i="30" s="1"/>
  <c r="BX55" i="30"/>
  <c r="BX61" i="30" s="1"/>
  <c r="BM61" i="30"/>
  <c r="AS54" i="30"/>
  <c r="AV41" i="30"/>
  <c r="BV41" i="30" s="1"/>
  <c r="BU41" i="30"/>
  <c r="AT34" i="30"/>
  <c r="AZ34" i="30" s="1"/>
  <c r="BN34" i="30" s="1"/>
  <c r="AV21" i="30"/>
  <c r="BV21" i="30" s="1"/>
  <c r="BU21" i="30"/>
  <c r="AF104" i="30"/>
  <c r="I69" i="30"/>
  <c r="AT67" i="30"/>
  <c r="AV53" i="30"/>
  <c r="BV53" i="30" s="1"/>
  <c r="BU53" i="30"/>
  <c r="AT50" i="30"/>
  <c r="BO41" i="30"/>
  <c r="BS112" i="30"/>
  <c r="BS30" i="30"/>
  <c r="I25" i="30"/>
  <c r="AG111" i="30"/>
  <c r="AS20" i="30"/>
  <c r="AS111" i="30" s="1"/>
  <c r="BQ20" i="30"/>
  <c r="AG23" i="30"/>
  <c r="P105" i="30"/>
  <c r="BM110" i="30"/>
  <c r="BX14" i="30"/>
  <c r="BX110" i="30" s="1"/>
  <c r="W100" i="30"/>
  <c r="BX67" i="30"/>
  <c r="BX107" i="30" s="1"/>
  <c r="Q61" i="30"/>
  <c r="BO19" i="30"/>
  <c r="AP103" i="30"/>
  <c r="AV62" i="30"/>
  <c r="BV62" i="30" s="1"/>
  <c r="AV69" i="30"/>
  <c r="BV69" i="30" s="1"/>
  <c r="BU69" i="30"/>
  <c r="AT60" i="30"/>
  <c r="BU57" i="30"/>
  <c r="BO57" i="30"/>
  <c r="AV57" i="30"/>
  <c r="BV57" i="30" s="1"/>
  <c r="BM54" i="30"/>
  <c r="Q107" i="30"/>
  <c r="Q37" i="30"/>
  <c r="BO21" i="30"/>
  <c r="BZ113" i="30"/>
  <c r="BZ17" i="30"/>
  <c r="AG15" i="30"/>
  <c r="P37" i="30"/>
  <c r="AF111" i="30"/>
  <c r="AH20" i="30"/>
  <c r="AU20" i="30" s="1"/>
  <c r="AR20" i="30"/>
  <c r="BP20" i="30"/>
  <c r="BP111" i="30" s="1"/>
  <c r="BW15" i="30"/>
  <c r="AV63" i="30"/>
  <c r="BV63" i="30" s="1"/>
  <c r="BO63" i="30"/>
  <c r="BU63" i="30"/>
  <c r="BW37" i="30"/>
  <c r="I24" i="30"/>
  <c r="BX82" i="30"/>
  <c r="BX85" i="30" s="1"/>
  <c r="BM85" i="30"/>
  <c r="AV76" i="30"/>
  <c r="AH81" i="30"/>
  <c r="AR75" i="30"/>
  <c r="AT72" i="30"/>
  <c r="BO52" i="30"/>
  <c r="AV52" i="30"/>
  <c r="BV52" i="30" s="1"/>
  <c r="BU52" i="30"/>
  <c r="BS113" i="30"/>
  <c r="BS17" i="30"/>
  <c r="AR81" i="30"/>
  <c r="AV68" i="30"/>
  <c r="BV68" i="30" s="1"/>
  <c r="BU68" i="30"/>
  <c r="BZ105" i="30"/>
  <c r="BZ23" i="30"/>
  <c r="AS61" i="30"/>
  <c r="BM113" i="30"/>
  <c r="BX16" i="30"/>
  <c r="BM17" i="30"/>
  <c r="I113" i="30"/>
  <c r="AG113" i="30"/>
  <c r="AS16" i="30"/>
  <c r="AG17" i="30"/>
  <c r="BQ16" i="30"/>
  <c r="Q113" i="30"/>
  <c r="Q17" i="30"/>
  <c r="AV87" i="30"/>
  <c r="BU87" i="30"/>
  <c r="Q110" i="30"/>
  <c r="I53" i="30"/>
  <c r="Q112" i="30"/>
  <c r="Q30" i="30"/>
  <c r="S101" i="30"/>
  <c r="Q104" i="30"/>
  <c r="AV22" i="30"/>
  <c r="BV22" i="30" s="1"/>
  <c r="BU22" i="30"/>
  <c r="AV13" i="30"/>
  <c r="BV13" i="30" s="1"/>
  <c r="BU13" i="30"/>
  <c r="BO13" i="30"/>
  <c r="AV56" i="30"/>
  <c r="BV56" i="30" s="1"/>
  <c r="BU56" i="30"/>
  <c r="AV24" i="30"/>
  <c r="BV24" i="30" s="1"/>
  <c r="BO22" i="30"/>
  <c r="BW113" i="30"/>
  <c r="BW17" i="30"/>
  <c r="BO87" i="30"/>
  <c r="AQ81" i="30"/>
  <c r="BR76" i="30"/>
  <c r="BR81" i="30" s="1"/>
  <c r="Q99" i="30"/>
  <c r="AT87" i="30"/>
  <c r="AR92" i="30"/>
  <c r="AH92" i="30"/>
  <c r="AV82" i="30"/>
  <c r="BO82" i="30"/>
  <c r="AT86" i="30"/>
  <c r="AT90" i="30"/>
  <c r="BP81" i="30"/>
  <c r="BP75" i="30"/>
  <c r="BM65" i="30"/>
  <c r="BX62" i="30"/>
  <c r="BX65" i="30" s="1"/>
  <c r="J101" i="30"/>
  <c r="BM81" i="30"/>
  <c r="BX76" i="30"/>
  <c r="BX81" i="30" s="1"/>
  <c r="I66" i="30"/>
  <c r="BR49" i="30"/>
  <c r="BR54" i="30" s="1"/>
  <c r="Q111" i="30"/>
  <c r="M103" i="30"/>
  <c r="AT68" i="30"/>
  <c r="AV60" i="30"/>
  <c r="BV60" i="30" s="1"/>
  <c r="BU60" i="30"/>
  <c r="BO60" i="30"/>
  <c r="AV43" i="30"/>
  <c r="BV43" i="30" s="1"/>
  <c r="P111" i="30"/>
  <c r="I20" i="30"/>
  <c r="P110" i="30"/>
  <c r="I14" i="30"/>
  <c r="W103" i="30"/>
  <c r="AV49" i="30"/>
  <c r="AT33" i="30"/>
  <c r="AZ33" i="30" s="1"/>
  <c r="BN33" i="30" s="1"/>
  <c r="BZ112" i="30"/>
  <c r="BZ30" i="30"/>
  <c r="BY105" i="30"/>
  <c r="BY23" i="30"/>
  <c r="AY101" i="30"/>
  <c r="BS110" i="30"/>
  <c r="V103" i="30"/>
  <c r="AR65" i="30"/>
  <c r="AT62" i="30"/>
  <c r="BP66" i="30"/>
  <c r="BP71" i="30" s="1"/>
  <c r="AF71" i="30"/>
  <c r="AR66" i="30"/>
  <c r="AR107" i="30" s="1"/>
  <c r="AH66" i="30"/>
  <c r="AU66" i="30" s="1"/>
  <c r="BO59" i="30"/>
  <c r="AT53" i="30"/>
  <c r="BM107" i="30"/>
  <c r="AY100" i="30"/>
  <c r="AQ111" i="30"/>
  <c r="BZ104" i="30"/>
  <c r="BZ15" i="30"/>
  <c r="AT21" i="30"/>
  <c r="BW110" i="30"/>
  <c r="AQ37" i="30"/>
  <c r="P113" i="30"/>
  <c r="P17" i="30"/>
  <c r="AF107" i="30"/>
  <c r="AF113" i="30"/>
  <c r="AH16" i="30"/>
  <c r="AU16" i="30" s="1"/>
  <c r="AR16" i="30"/>
  <c r="AF17" i="30"/>
  <c r="BP16" i="30"/>
  <c r="BP40" i="30"/>
  <c r="BP44" i="30" s="1"/>
  <c r="AH40" i="30"/>
  <c r="AU40" i="30" s="1"/>
  <c r="AR40" i="30"/>
  <c r="AT40" i="30" s="1"/>
  <c r="AF112" i="30"/>
  <c r="BP29" i="30"/>
  <c r="AR29" i="30"/>
  <c r="AF30" i="30"/>
  <c r="AH29" i="30"/>
  <c r="AU29" i="30" s="1"/>
  <c r="AT56" i="30"/>
  <c r="AT49" i="30"/>
  <c r="BU47" i="30"/>
  <c r="AV47" i="30"/>
  <c r="BV47" i="30" s="1"/>
  <c r="AQ28" i="30"/>
  <c r="I167" i="29"/>
  <c r="AV40" i="29"/>
  <c r="BV40" i="29" s="1"/>
  <c r="BU40" i="29"/>
  <c r="BO40" i="29"/>
  <c r="BX204" i="29"/>
  <c r="BX13" i="29"/>
  <c r="BX184" i="29"/>
  <c r="BP168" i="29"/>
  <c r="AR168" i="29"/>
  <c r="AH168" i="29"/>
  <c r="AU168" i="29" s="1"/>
  <c r="P137" i="29"/>
  <c r="AH56" i="29"/>
  <c r="AU56" i="29" s="1"/>
  <c r="BQ56" i="29"/>
  <c r="AS56" i="29"/>
  <c r="AS58" i="29" s="1"/>
  <c r="P51" i="29"/>
  <c r="J192" i="29"/>
  <c r="AH21" i="29"/>
  <c r="AU21" i="29" s="1"/>
  <c r="BP21" i="29"/>
  <c r="BP24" i="29" s="1"/>
  <c r="AR21" i="29"/>
  <c r="BR204" i="29"/>
  <c r="BR13" i="29"/>
  <c r="BU57" i="29"/>
  <c r="AV57" i="29"/>
  <c r="BV57" i="29" s="1"/>
  <c r="AF198" i="29"/>
  <c r="BP169" i="29"/>
  <c r="BP198" i="29" s="1"/>
  <c r="AR169" i="29"/>
  <c r="AH169" i="29"/>
  <c r="AU169" i="29" s="1"/>
  <c r="BM158" i="29"/>
  <c r="BX155" i="29"/>
  <c r="BX158" i="29" s="1"/>
  <c r="AH154" i="29"/>
  <c r="BO148" i="29"/>
  <c r="AV148" i="29"/>
  <c r="BU145" i="29"/>
  <c r="AV145" i="29"/>
  <c r="BV145" i="29" s="1"/>
  <c r="P125" i="29"/>
  <c r="BY95" i="29"/>
  <c r="I152" i="29"/>
  <c r="P202" i="29"/>
  <c r="BQ66" i="29"/>
  <c r="I135" i="29"/>
  <c r="AV77" i="29"/>
  <c r="BV77" i="29" s="1"/>
  <c r="BU77" i="29"/>
  <c r="AQ51" i="29"/>
  <c r="BR48" i="29"/>
  <c r="BR51" i="29" s="1"/>
  <c r="AR125" i="29"/>
  <c r="AH78" i="29"/>
  <c r="BX44" i="29"/>
  <c r="BX47" i="29" s="1"/>
  <c r="P55" i="29"/>
  <c r="BQ48" i="29"/>
  <c r="BQ51" i="29" s="1"/>
  <c r="AS48" i="29"/>
  <c r="AH48" i="29"/>
  <c r="AU48" i="29" s="1"/>
  <c r="P47" i="29"/>
  <c r="BY201" i="29"/>
  <c r="P195" i="29"/>
  <c r="P17" i="29"/>
  <c r="BP79" i="29"/>
  <c r="BP83" i="29" s="1"/>
  <c r="AR79" i="29"/>
  <c r="AH79" i="29"/>
  <c r="AU79" i="29" s="1"/>
  <c r="AQ58" i="29"/>
  <c r="BR56" i="29"/>
  <c r="BR58" i="29" s="1"/>
  <c r="BL192" i="29"/>
  <c r="AV32" i="29"/>
  <c r="BV32" i="29" s="1"/>
  <c r="BU32" i="29"/>
  <c r="BU53" i="29"/>
  <c r="AV53" i="29"/>
  <c r="BV53" i="29" s="1"/>
  <c r="BO53" i="29"/>
  <c r="Q17" i="29"/>
  <c r="AF204" i="29"/>
  <c r="AH12" i="29"/>
  <c r="AU12" i="29" s="1"/>
  <c r="BP12" i="29"/>
  <c r="AR12" i="29"/>
  <c r="BS190" i="29"/>
  <c r="AS183" i="29"/>
  <c r="BO179" i="29"/>
  <c r="AV179" i="29"/>
  <c r="BV179" i="29" s="1"/>
  <c r="BU179" i="29"/>
  <c r="AV173" i="29"/>
  <c r="BV173" i="29" s="1"/>
  <c r="AV187" i="29"/>
  <c r="BV187" i="29" s="1"/>
  <c r="BU187" i="29"/>
  <c r="BO187" i="29"/>
  <c r="I185" i="29"/>
  <c r="AQ183" i="29"/>
  <c r="AT176" i="29"/>
  <c r="BR175" i="29"/>
  <c r="BR177" i="29" s="1"/>
  <c r="P163" i="29"/>
  <c r="BX148" i="29"/>
  <c r="BX154" i="29" s="1"/>
  <c r="BM154" i="29"/>
  <c r="BT147" i="29"/>
  <c r="AQ174" i="29"/>
  <c r="BR168" i="29"/>
  <c r="I153" i="29"/>
  <c r="BQ168" i="29"/>
  <c r="BQ174" i="29" s="1"/>
  <c r="AS168" i="29"/>
  <c r="AS174" i="29" s="1"/>
  <c r="AV143" i="29"/>
  <c r="BV143" i="29" s="1"/>
  <c r="BO143" i="29"/>
  <c r="BU143" i="29"/>
  <c r="AT152" i="29"/>
  <c r="BO149" i="29"/>
  <c r="AV149" i="29"/>
  <c r="BV149" i="29" s="1"/>
  <c r="BU149" i="29"/>
  <c r="BU144" i="29"/>
  <c r="BO144" i="29"/>
  <c r="AV144" i="29"/>
  <c r="BV144" i="29" s="1"/>
  <c r="BR203" i="29"/>
  <c r="BR139" i="29"/>
  <c r="I132" i="29"/>
  <c r="I120" i="29"/>
  <c r="BR142" i="29"/>
  <c r="BR147" i="29" s="1"/>
  <c r="I116" i="29"/>
  <c r="AT111" i="29"/>
  <c r="AV146" i="29"/>
  <c r="BV146" i="29" s="1"/>
  <c r="BU146" i="29"/>
  <c r="AF203" i="29"/>
  <c r="AR138" i="29"/>
  <c r="BP138" i="29"/>
  <c r="AH138" i="29"/>
  <c r="AU138" i="29" s="1"/>
  <c r="BS196" i="29"/>
  <c r="BS89" i="29"/>
  <c r="BQ137" i="29"/>
  <c r="AS131" i="29"/>
  <c r="AT105" i="29"/>
  <c r="BM83" i="29"/>
  <c r="BX79" i="29"/>
  <c r="BX83" i="29" s="1"/>
  <c r="AV124" i="29"/>
  <c r="BV124" i="29" s="1"/>
  <c r="AV127" i="29"/>
  <c r="BV127" i="29" s="1"/>
  <c r="BU127" i="29"/>
  <c r="BY89" i="29"/>
  <c r="I94" i="29"/>
  <c r="BQ101" i="29"/>
  <c r="BX90" i="29"/>
  <c r="BX95" i="29" s="1"/>
  <c r="BM95" i="29"/>
  <c r="BW196" i="29"/>
  <c r="BW89" i="29"/>
  <c r="AQ78" i="29"/>
  <c r="BR75" i="29"/>
  <c r="BR78" i="29" s="1"/>
  <c r="BU130" i="29"/>
  <c r="AV130" i="29"/>
  <c r="BV130" i="29" s="1"/>
  <c r="AT132" i="29"/>
  <c r="Q202" i="29"/>
  <c r="AR58" i="29"/>
  <c r="AV82" i="29"/>
  <c r="BV82" i="29" s="1"/>
  <c r="AG202" i="29"/>
  <c r="AH87" i="29"/>
  <c r="AU87" i="29" s="1"/>
  <c r="AS87" i="29"/>
  <c r="AS202" i="29" s="1"/>
  <c r="BQ87" i="29"/>
  <c r="AT81" i="29"/>
  <c r="AH66" i="29"/>
  <c r="AV63" i="29"/>
  <c r="BV63" i="29" s="1"/>
  <c r="BO63" i="29"/>
  <c r="BX60" i="29"/>
  <c r="BX62" i="29" s="1"/>
  <c r="BM24" i="29"/>
  <c r="BX21" i="29"/>
  <c r="BX24" i="29" s="1"/>
  <c r="AH120" i="29"/>
  <c r="AU120" i="29" s="1"/>
  <c r="AT63" i="29"/>
  <c r="AR66" i="29"/>
  <c r="AT26" i="29"/>
  <c r="Q74" i="29"/>
  <c r="AV92" i="29"/>
  <c r="BV92" i="29" s="1"/>
  <c r="AQ31" i="29"/>
  <c r="BR29" i="29"/>
  <c r="BR31" i="29" s="1"/>
  <c r="BM51" i="29"/>
  <c r="AH37" i="29"/>
  <c r="AU37" i="29" s="1"/>
  <c r="BP37" i="29"/>
  <c r="BP39" i="29" s="1"/>
  <c r="AR37" i="29"/>
  <c r="AT37" i="29" s="1"/>
  <c r="P201" i="29"/>
  <c r="AV46" i="29"/>
  <c r="BV46" i="29" s="1"/>
  <c r="BU46" i="29"/>
  <c r="Q47" i="29"/>
  <c r="I15" i="29"/>
  <c r="BQ32" i="29"/>
  <c r="AS32" i="29"/>
  <c r="AS35" i="29" s="1"/>
  <c r="J194" i="29"/>
  <c r="AV72" i="29"/>
  <c r="BV72" i="29" s="1"/>
  <c r="BU72" i="29"/>
  <c r="AO191" i="29"/>
  <c r="AH15" i="47" s="1"/>
  <c r="AV36" i="29"/>
  <c r="BV36" i="29" s="1"/>
  <c r="AR55" i="29"/>
  <c r="BQ44" i="29"/>
  <c r="BQ47" i="29" s="1"/>
  <c r="AS44" i="29"/>
  <c r="AQ195" i="29"/>
  <c r="AQ17" i="29"/>
  <c r="BR65" i="29"/>
  <c r="BR66" i="29" s="1"/>
  <c r="BY204" i="29"/>
  <c r="BY13" i="29"/>
  <c r="BU49" i="29"/>
  <c r="AV49" i="29"/>
  <c r="BV49" i="29" s="1"/>
  <c r="BO49" i="29"/>
  <c r="P43" i="29"/>
  <c r="BQ36" i="29"/>
  <c r="AS36" i="29"/>
  <c r="AS39" i="29" s="1"/>
  <c r="BX32" i="29"/>
  <c r="BX35" i="29" s="1"/>
  <c r="BW195" i="29"/>
  <c r="BW17" i="29"/>
  <c r="Q204" i="29"/>
  <c r="I12" i="29"/>
  <c r="Q13" i="29"/>
  <c r="BQ20" i="29"/>
  <c r="BO36" i="29"/>
  <c r="AQ190" i="29"/>
  <c r="BR184" i="29"/>
  <c r="BR190" i="29" s="1"/>
  <c r="AV180" i="29"/>
  <c r="BV180" i="29" s="1"/>
  <c r="BX29" i="29"/>
  <c r="BX31" i="29" s="1"/>
  <c r="BM31" i="29"/>
  <c r="AG195" i="29"/>
  <c r="AH14" i="29"/>
  <c r="AU14" i="29" s="1"/>
  <c r="AS14" i="29"/>
  <c r="AT14" i="29" s="1"/>
  <c r="BQ14" i="29"/>
  <c r="BR183" i="29"/>
  <c r="AV181" i="29"/>
  <c r="BV181" i="29" s="1"/>
  <c r="BO181" i="29"/>
  <c r="BM147" i="29"/>
  <c r="BX140" i="29"/>
  <c r="BX147" i="29" s="1"/>
  <c r="AQ137" i="29"/>
  <c r="BM89" i="29"/>
  <c r="BU110" i="29"/>
  <c r="AV110" i="29"/>
  <c r="BV110" i="29" s="1"/>
  <c r="I85" i="29"/>
  <c r="AV99" i="29"/>
  <c r="BV99" i="29" s="1"/>
  <c r="BO99" i="29"/>
  <c r="BU99" i="29"/>
  <c r="P58" i="29"/>
  <c r="BM28" i="29"/>
  <c r="BX25" i="29"/>
  <c r="BX28" i="29" s="1"/>
  <c r="AT34" i="29"/>
  <c r="I72" i="29"/>
  <c r="I74" i="29" s="1"/>
  <c r="AT189" i="29"/>
  <c r="BY186" i="29"/>
  <c r="BY190" i="29" s="1"/>
  <c r="BM186" i="29"/>
  <c r="BX186" i="29" s="1"/>
  <c r="BK190" i="29"/>
  <c r="BQ183" i="29"/>
  <c r="AR183" i="29"/>
  <c r="AT178" i="29"/>
  <c r="BX181" i="29"/>
  <c r="BX183" i="29" s="1"/>
  <c r="AT187" i="29"/>
  <c r="BP184" i="29"/>
  <c r="AH184" i="29"/>
  <c r="AU184" i="29" s="1"/>
  <c r="AR184" i="29"/>
  <c r="AV176" i="29"/>
  <c r="BV176" i="29" s="1"/>
  <c r="BU176" i="29"/>
  <c r="AV170" i="29"/>
  <c r="BV170" i="29" s="1"/>
  <c r="I160" i="29"/>
  <c r="I163" i="29" s="1"/>
  <c r="BU157" i="29"/>
  <c r="AV157" i="29"/>
  <c r="BV157" i="29" s="1"/>
  <c r="BY154" i="29"/>
  <c r="AS140" i="29"/>
  <c r="AS147" i="29" s="1"/>
  <c r="BQ140" i="29"/>
  <c r="BQ147" i="29" s="1"/>
  <c r="P158" i="29"/>
  <c r="I155" i="29"/>
  <c r="AV150" i="29"/>
  <c r="BV150" i="29" s="1"/>
  <c r="AG203" i="29"/>
  <c r="BQ138" i="29"/>
  <c r="AS138" i="29"/>
  <c r="BX169" i="29"/>
  <c r="BX198" i="29" s="1"/>
  <c r="BM163" i="29"/>
  <c r="BX159" i="29"/>
  <c r="BX163" i="29" s="1"/>
  <c r="AV165" i="29"/>
  <c r="BV165" i="29" s="1"/>
  <c r="BU165" i="29"/>
  <c r="Q203" i="29"/>
  <c r="Q139" i="29"/>
  <c r="Q137" i="29"/>
  <c r="BR115" i="29"/>
  <c r="BR119" i="29" s="1"/>
  <c r="I141" i="29"/>
  <c r="AT106" i="29"/>
  <c r="BP102" i="29"/>
  <c r="BP107" i="29" s="1"/>
  <c r="AR102" i="29"/>
  <c r="AH102" i="29"/>
  <c r="AU102" i="29" s="1"/>
  <c r="P89" i="29"/>
  <c r="BM78" i="29"/>
  <c r="BX75" i="29"/>
  <c r="BX78" i="29" s="1"/>
  <c r="BO157" i="29"/>
  <c r="BR123" i="29"/>
  <c r="BR125" i="29" s="1"/>
  <c r="P113" i="29"/>
  <c r="AQ107" i="29"/>
  <c r="BR102" i="29"/>
  <c r="BR107" i="29" s="1"/>
  <c r="BK196" i="29"/>
  <c r="BZ202" i="29"/>
  <c r="BQ108" i="29"/>
  <c r="AS108" i="29"/>
  <c r="BY125" i="29"/>
  <c r="AV76" i="29"/>
  <c r="BU76" i="29"/>
  <c r="AV132" i="29"/>
  <c r="BV132" i="29" s="1"/>
  <c r="BU132" i="29"/>
  <c r="AV97" i="29"/>
  <c r="BV97" i="29" s="1"/>
  <c r="BX132" i="29"/>
  <c r="BP95" i="29"/>
  <c r="AV136" i="29"/>
  <c r="BV136" i="29" s="1"/>
  <c r="AV67" i="29"/>
  <c r="BV67" i="29" s="1"/>
  <c r="BU67" i="29"/>
  <c r="BS62" i="29"/>
  <c r="AS70" i="29"/>
  <c r="AT67" i="29"/>
  <c r="AT49" i="29"/>
  <c r="BM43" i="29"/>
  <c r="AT38" i="29"/>
  <c r="BR45" i="29"/>
  <c r="BR47" i="29" s="1"/>
  <c r="BT195" i="29"/>
  <c r="BT17" i="29"/>
  <c r="BP60" i="29"/>
  <c r="BP62" i="29" s="1"/>
  <c r="AR60" i="29"/>
  <c r="AT60" i="29" s="1"/>
  <c r="AH60" i="29"/>
  <c r="AU60" i="29" s="1"/>
  <c r="BQ52" i="29"/>
  <c r="BQ55" i="29" s="1"/>
  <c r="AS52" i="29"/>
  <c r="AH52" i="29"/>
  <c r="AU52" i="29" s="1"/>
  <c r="I44" i="29"/>
  <c r="AV27" i="29"/>
  <c r="BV27" i="29" s="1"/>
  <c r="BU27" i="29"/>
  <c r="BM20" i="29"/>
  <c r="BS201" i="29"/>
  <c r="BS195" i="29"/>
  <c r="BS17" i="29"/>
  <c r="AP191" i="29"/>
  <c r="BY17" i="29"/>
  <c r="BX40" i="29"/>
  <c r="BX43" i="29" s="1"/>
  <c r="AF195" i="29"/>
  <c r="V191" i="29"/>
  <c r="Q43" i="29"/>
  <c r="S192" i="29"/>
  <c r="AH155" i="29"/>
  <c r="AU155" i="29" s="1"/>
  <c r="BP155" i="29"/>
  <c r="AR155" i="29"/>
  <c r="BP164" i="29"/>
  <c r="BP167" i="29" s="1"/>
  <c r="AR164" i="29"/>
  <c r="AH164" i="29"/>
  <c r="AU164" i="29" s="1"/>
  <c r="Q119" i="29"/>
  <c r="BQ120" i="29"/>
  <c r="BQ125" i="29" s="1"/>
  <c r="AS120" i="29"/>
  <c r="AS125" i="29" s="1"/>
  <c r="AV116" i="29"/>
  <c r="BV116" i="29" s="1"/>
  <c r="BU116" i="29"/>
  <c r="AV140" i="29"/>
  <c r="AH147" i="29"/>
  <c r="BM113" i="29"/>
  <c r="I105" i="29"/>
  <c r="AS95" i="29"/>
  <c r="BT89" i="29"/>
  <c r="Q66" i="29"/>
  <c r="BU104" i="29"/>
  <c r="AV104" i="29"/>
  <c r="BV104" i="29" s="1"/>
  <c r="BO104" i="29"/>
  <c r="AV68" i="29"/>
  <c r="BV68" i="29" s="1"/>
  <c r="BR25" i="29"/>
  <c r="BR28" i="29" s="1"/>
  <c r="AQ28" i="29"/>
  <c r="BM201" i="29"/>
  <c r="Q201" i="29"/>
  <c r="AH25" i="29"/>
  <c r="AU25" i="29" s="1"/>
  <c r="BP25" i="29"/>
  <c r="AR25" i="29"/>
  <c r="BU118" i="29"/>
  <c r="AV118" i="29"/>
  <c r="BV118" i="29" s="1"/>
  <c r="AV134" i="29"/>
  <c r="BV134" i="29" s="1"/>
  <c r="BU134" i="29"/>
  <c r="AV178" i="29"/>
  <c r="BV178" i="29" s="1"/>
  <c r="BU178" i="29"/>
  <c r="AV185" i="29"/>
  <c r="BV185" i="29" s="1"/>
  <c r="BU185" i="29"/>
  <c r="AQ198" i="29"/>
  <c r="BR169" i="29"/>
  <c r="BR198" i="29" s="1"/>
  <c r="P174" i="29"/>
  <c r="I168" i="29"/>
  <c r="I182" i="29"/>
  <c r="P167" i="29"/>
  <c r="AH159" i="29"/>
  <c r="AU159" i="29" s="1"/>
  <c r="AR159" i="29"/>
  <c r="BP159" i="29"/>
  <c r="BZ203" i="29"/>
  <c r="BZ139" i="29"/>
  <c r="AV162" i="29"/>
  <c r="BV162" i="29" s="1"/>
  <c r="BO145" i="29"/>
  <c r="AV152" i="29"/>
  <c r="BV152" i="29" s="1"/>
  <c r="BU152" i="29"/>
  <c r="Q147" i="29"/>
  <c r="I128" i="29"/>
  <c r="Q163" i="29"/>
  <c r="AQ163" i="29"/>
  <c r="BR159" i="29"/>
  <c r="BR163" i="29" s="1"/>
  <c r="AR154" i="29"/>
  <c r="AT148" i="29"/>
  <c r="BV126" i="29"/>
  <c r="Q131" i="29"/>
  <c r="BU151" i="29"/>
  <c r="BO151" i="29"/>
  <c r="AV151" i="29"/>
  <c r="BV151" i="29" s="1"/>
  <c r="AT146" i="29"/>
  <c r="P131" i="29"/>
  <c r="P119" i="29"/>
  <c r="BT202" i="29"/>
  <c r="BO116" i="29"/>
  <c r="AV105" i="29"/>
  <c r="BV105" i="29" s="1"/>
  <c r="BU105" i="29"/>
  <c r="BM167" i="29"/>
  <c r="BU129" i="29"/>
  <c r="BO129" i="29"/>
  <c r="AV129" i="29"/>
  <c r="BV129" i="29" s="1"/>
  <c r="BO134" i="29"/>
  <c r="AV122" i="29"/>
  <c r="BV122" i="29" s="1"/>
  <c r="BU117" i="29"/>
  <c r="BO117" i="29"/>
  <c r="AV117" i="29"/>
  <c r="BV117" i="29" s="1"/>
  <c r="Q113" i="29"/>
  <c r="BM202" i="29"/>
  <c r="AR89" i="29"/>
  <c r="AT84" i="29"/>
  <c r="AT141" i="29"/>
  <c r="I114" i="29"/>
  <c r="BX120" i="29"/>
  <c r="BX125" i="29" s="1"/>
  <c r="BM125" i="29"/>
  <c r="AR78" i="29"/>
  <c r="AT75" i="29"/>
  <c r="I87" i="29"/>
  <c r="BR94" i="29"/>
  <c r="AR95" i="29"/>
  <c r="AT90" i="29"/>
  <c r="BR86" i="29"/>
  <c r="BR89" i="29" s="1"/>
  <c r="AQ70" i="29"/>
  <c r="BR67" i="29"/>
  <c r="BR70" i="29" s="1"/>
  <c r="BO57" i="29"/>
  <c r="AV73" i="29"/>
  <c r="BV73" i="29" s="1"/>
  <c r="BU73" i="29"/>
  <c r="AT92" i="29"/>
  <c r="AH44" i="29"/>
  <c r="AU44" i="29" s="1"/>
  <c r="BP44" i="29"/>
  <c r="BP47" i="29" s="1"/>
  <c r="AR44" i="29"/>
  <c r="BR21" i="29"/>
  <c r="BR24" i="29" s="1"/>
  <c r="AQ24" i="29"/>
  <c r="AP194" i="29"/>
  <c r="P35" i="29"/>
  <c r="AT46" i="29"/>
  <c r="AS20" i="29"/>
  <c r="BZ195" i="29"/>
  <c r="BZ17" i="29"/>
  <c r="P39" i="29"/>
  <c r="BU36" i="29"/>
  <c r="BT201" i="29"/>
  <c r="BR17" i="29"/>
  <c r="BX16" i="29"/>
  <c r="BR71" i="29"/>
  <c r="BR74" i="29" s="1"/>
  <c r="BR43" i="29"/>
  <c r="BM204" i="29"/>
  <c r="BM13" i="29"/>
  <c r="AO194" i="29"/>
  <c r="AH33" i="29"/>
  <c r="BP33" i="29"/>
  <c r="BP35" i="29" s="1"/>
  <c r="AR33" i="29"/>
  <c r="AT33" i="29" s="1"/>
  <c r="AH29" i="29"/>
  <c r="AU29" i="29" s="1"/>
  <c r="BP29" i="29"/>
  <c r="BP31" i="29" s="1"/>
  <c r="AR29" i="29"/>
  <c r="AF201" i="29"/>
  <c r="BP16" i="29"/>
  <c r="BP17" i="29" s="1"/>
  <c r="AR16" i="29"/>
  <c r="AH16" i="29"/>
  <c r="AU16" i="29" s="1"/>
  <c r="AY194" i="29"/>
  <c r="Q70" i="29"/>
  <c r="BR35" i="29"/>
  <c r="P183" i="29"/>
  <c r="AV171" i="29"/>
  <c r="BV171" i="29" s="1"/>
  <c r="BU171" i="29"/>
  <c r="AV153" i="29"/>
  <c r="BV153" i="29" s="1"/>
  <c r="BU153" i="29"/>
  <c r="BU109" i="29"/>
  <c r="BO109" i="29"/>
  <c r="AV109" i="29"/>
  <c r="BV109" i="29" s="1"/>
  <c r="BX96" i="29"/>
  <c r="AV142" i="29"/>
  <c r="BV142" i="29" s="1"/>
  <c r="BU142" i="29"/>
  <c r="BO93" i="29"/>
  <c r="AV93" i="29"/>
  <c r="BV93" i="29" s="1"/>
  <c r="AV65" i="29"/>
  <c r="BV65" i="29" s="1"/>
  <c r="BU65" i="29"/>
  <c r="BQ40" i="29"/>
  <c r="AS40" i="29"/>
  <c r="AS43" i="29" s="1"/>
  <c r="BS204" i="29"/>
  <c r="BS13" i="29"/>
  <c r="BR137" i="29"/>
  <c r="AH96" i="29"/>
  <c r="AU96" i="29" s="1"/>
  <c r="AR96" i="29"/>
  <c r="BP96" i="29"/>
  <c r="AV115" i="29"/>
  <c r="BV115" i="29" s="1"/>
  <c r="BU115" i="29"/>
  <c r="AH95" i="29"/>
  <c r="AV90" i="29"/>
  <c r="BU189" i="29"/>
  <c r="BO189" i="29"/>
  <c r="AV189" i="29"/>
  <c r="BV189" i="29" s="1"/>
  <c r="I186" i="29"/>
  <c r="P190" i="29"/>
  <c r="I189" i="29"/>
  <c r="BM177" i="29"/>
  <c r="BX176" i="29"/>
  <c r="BX177" i="29" s="1"/>
  <c r="AV186" i="29"/>
  <c r="BV186" i="29" s="1"/>
  <c r="P198" i="29"/>
  <c r="BO185" i="29"/>
  <c r="BM174" i="29"/>
  <c r="BX168" i="29"/>
  <c r="AR177" i="29"/>
  <c r="Q183" i="29"/>
  <c r="P203" i="29"/>
  <c r="P139" i="29"/>
  <c r="BO153" i="29"/>
  <c r="AQ154" i="29"/>
  <c r="AT153" i="29"/>
  <c r="BO142" i="29"/>
  <c r="BW203" i="29"/>
  <c r="BW139" i="29"/>
  <c r="BR148" i="29"/>
  <c r="BR154" i="29" s="1"/>
  <c r="I124" i="29"/>
  <c r="Q154" i="29"/>
  <c r="I138" i="29"/>
  <c r="AH133" i="29"/>
  <c r="AR133" i="29"/>
  <c r="AT133" i="29" s="1"/>
  <c r="BP133" i="29"/>
  <c r="BP137" i="29" s="1"/>
  <c r="AR131" i="29"/>
  <c r="AT126" i="29"/>
  <c r="AR119" i="29"/>
  <c r="AT114" i="29"/>
  <c r="I142" i="29"/>
  <c r="BM133" i="29"/>
  <c r="BX133" i="29" s="1"/>
  <c r="BY133" i="29"/>
  <c r="Q125" i="29"/>
  <c r="BS125" i="29"/>
  <c r="AV106" i="29"/>
  <c r="BV106" i="29" s="1"/>
  <c r="BU106" i="29"/>
  <c r="AV84" i="29"/>
  <c r="BO84" i="29"/>
  <c r="BO152" i="29"/>
  <c r="I108" i="29"/>
  <c r="AF196" i="29"/>
  <c r="AV141" i="29"/>
  <c r="BV141" i="29" s="1"/>
  <c r="BU141" i="29"/>
  <c r="AT110" i="29"/>
  <c r="BR96" i="29"/>
  <c r="BR101" i="29" s="1"/>
  <c r="AT94" i="29"/>
  <c r="AQ95" i="29"/>
  <c r="I109" i="29"/>
  <c r="I104" i="29"/>
  <c r="AQ83" i="29"/>
  <c r="BR79" i="29"/>
  <c r="BR83" i="29" s="1"/>
  <c r="BQ95" i="29"/>
  <c r="Q83" i="29"/>
  <c r="BU88" i="29"/>
  <c r="AV88" i="29"/>
  <c r="BV88" i="29" s="1"/>
  <c r="BO76" i="29"/>
  <c r="BV64" i="29"/>
  <c r="I64" i="29"/>
  <c r="BX84" i="29"/>
  <c r="BO106" i="29"/>
  <c r="BZ89" i="29"/>
  <c r="BM74" i="29"/>
  <c r="AQ62" i="29"/>
  <c r="BR59" i="29"/>
  <c r="BR62" i="29" s="1"/>
  <c r="AQ55" i="29"/>
  <c r="BR52" i="29"/>
  <c r="BR55" i="29" s="1"/>
  <c r="AT104" i="29"/>
  <c r="BM39" i="29"/>
  <c r="BO122" i="29"/>
  <c r="BX58" i="29"/>
  <c r="BX55" i="29"/>
  <c r="P74" i="29"/>
  <c r="AR69" i="29"/>
  <c r="AH69" i="29"/>
  <c r="AU69" i="29" s="1"/>
  <c r="BP69" i="29"/>
  <c r="BP70" i="29" s="1"/>
  <c r="AT59" i="29"/>
  <c r="I48" i="29"/>
  <c r="V194" i="29"/>
  <c r="BM55" i="29"/>
  <c r="Q35" i="29"/>
  <c r="AV18" i="29"/>
  <c r="AH20" i="29"/>
  <c r="Q195" i="29"/>
  <c r="BR39" i="29"/>
  <c r="AT19" i="29"/>
  <c r="BL194" i="29"/>
  <c r="W191" i="29"/>
  <c r="Q39" i="29"/>
  <c r="AG201" i="29"/>
  <c r="BQ16" i="29"/>
  <c r="AS16" i="29"/>
  <c r="AH41" i="29"/>
  <c r="BP41" i="29"/>
  <c r="BP43" i="29" s="1"/>
  <c r="AR41" i="29"/>
  <c r="AT41" i="29" s="1"/>
  <c r="M194" i="29"/>
  <c r="AR51" i="29"/>
  <c r="AQ43" i="29"/>
  <c r="BX18" i="29"/>
  <c r="BX20" i="29" s="1"/>
  <c r="AG204" i="29"/>
  <c r="BQ12" i="29"/>
  <c r="AS12" i="29"/>
  <c r="I40" i="29"/>
  <c r="P70" i="29"/>
  <c r="AQ35" i="29"/>
  <c r="AR20" i="29"/>
  <c r="BO32" i="29"/>
  <c r="AH188" i="32" l="1"/>
  <c r="AU184" i="32"/>
  <c r="AZ104" i="32"/>
  <c r="BO263" i="32"/>
  <c r="AU263" i="32"/>
  <c r="AH107" i="32"/>
  <c r="AU101" i="32"/>
  <c r="AH234" i="32"/>
  <c r="AU229" i="32"/>
  <c r="BO114" i="32"/>
  <c r="AU114" i="32"/>
  <c r="AH22" i="32"/>
  <c r="AU18" i="32"/>
  <c r="BU18" i="32" s="1"/>
  <c r="BO86" i="32"/>
  <c r="AU86" i="32"/>
  <c r="BU86" i="32" s="1"/>
  <c r="AH144" i="32"/>
  <c r="AU139" i="32"/>
  <c r="BO40" i="32"/>
  <c r="BO43" i="32" s="1"/>
  <c r="AU40" i="32"/>
  <c r="AS303" i="32"/>
  <c r="AZ223" i="32"/>
  <c r="BN223" i="32" s="1"/>
  <c r="BO179" i="32"/>
  <c r="AU179" i="32"/>
  <c r="AH39" i="32"/>
  <c r="AU36" i="32"/>
  <c r="BO108" i="32"/>
  <c r="BO109" i="32" s="1"/>
  <c r="AU108" i="32"/>
  <c r="BO66" i="32"/>
  <c r="BO71" i="32" s="1"/>
  <c r="AU66" i="32"/>
  <c r="AU71" i="32" s="1"/>
  <c r="AH84" i="31"/>
  <c r="AU42" i="31"/>
  <c r="AH19" i="31"/>
  <c r="AU17" i="31"/>
  <c r="BO41" i="31"/>
  <c r="AU41" i="31"/>
  <c r="AZ29" i="31"/>
  <c r="BN29" i="31" s="1"/>
  <c r="BO32" i="30"/>
  <c r="AU32" i="30"/>
  <c r="AH75" i="30"/>
  <c r="AU74" i="30"/>
  <c r="AH54" i="30"/>
  <c r="AU51" i="30"/>
  <c r="AH15" i="30"/>
  <c r="AU14" i="30"/>
  <c r="AU15" i="30" s="1"/>
  <c r="AV25" i="30"/>
  <c r="BV25" i="30" s="1"/>
  <c r="AU25" i="30"/>
  <c r="BU25" i="30" s="1"/>
  <c r="BO83" i="30"/>
  <c r="AU83" i="30"/>
  <c r="BU83" i="30" s="1"/>
  <c r="AZ36" i="30"/>
  <c r="BN36" i="30" s="1"/>
  <c r="AZ35" i="30"/>
  <c r="BN35" i="30" s="1"/>
  <c r="AZ64" i="29"/>
  <c r="BN64" i="29" s="1"/>
  <c r="BO71" i="29"/>
  <c r="BO74" i="29" s="1"/>
  <c r="AU71" i="29"/>
  <c r="BO136" i="29"/>
  <c r="AU136" i="29"/>
  <c r="BU136" i="29" s="1"/>
  <c r="AV38" i="29"/>
  <c r="BV38" i="29" s="1"/>
  <c r="AU38" i="29"/>
  <c r="BO42" i="29"/>
  <c r="AU42" i="29"/>
  <c r="BU42" i="29" s="1"/>
  <c r="BO85" i="29"/>
  <c r="AU85" i="29"/>
  <c r="BO45" i="29"/>
  <c r="AU45" i="29"/>
  <c r="BO112" i="29"/>
  <c r="AU112" i="29"/>
  <c r="BU112" i="29" s="1"/>
  <c r="AH137" i="29"/>
  <c r="AU133" i="29"/>
  <c r="BU121" i="29"/>
  <c r="AU121" i="29"/>
  <c r="BU98" i="29"/>
  <c r="AU98" i="29"/>
  <c r="BO92" i="29"/>
  <c r="BO95" i="29" s="1"/>
  <c r="AU92" i="29"/>
  <c r="BU92" i="29" s="1"/>
  <c r="BO82" i="29"/>
  <c r="AU82" i="29"/>
  <c r="AZ82" i="29" s="1"/>
  <c r="BN82" i="29" s="1"/>
  <c r="AH119" i="29"/>
  <c r="AU114" i="29"/>
  <c r="BO68" i="29"/>
  <c r="AU68" i="29"/>
  <c r="BU68" i="29" s="1"/>
  <c r="BU161" i="29"/>
  <c r="AU161" i="29"/>
  <c r="BO128" i="29"/>
  <c r="BO131" i="29" s="1"/>
  <c r="AU128" i="29"/>
  <c r="AH177" i="29"/>
  <c r="AU175" i="29"/>
  <c r="BO59" i="29"/>
  <c r="AU59" i="29"/>
  <c r="AH43" i="29"/>
  <c r="AU41" i="29"/>
  <c r="BU108" i="29"/>
  <c r="BU113" i="29" s="1"/>
  <c r="AU108" i="29"/>
  <c r="AZ160" i="29"/>
  <c r="BO156" i="29"/>
  <c r="AU156" i="29"/>
  <c r="BO162" i="29"/>
  <c r="AU162" i="29"/>
  <c r="BU162" i="29" s="1"/>
  <c r="BO170" i="29"/>
  <c r="AU170" i="29"/>
  <c r="BU170" i="29" s="1"/>
  <c r="BO30" i="29"/>
  <c r="AU30" i="29"/>
  <c r="BU30" i="29" s="1"/>
  <c r="AH35" i="29"/>
  <c r="AU33" i="29"/>
  <c r="BP183" i="29"/>
  <c r="BO150" i="29"/>
  <c r="AU150" i="29"/>
  <c r="BU150" i="29" s="1"/>
  <c r="BO180" i="29"/>
  <c r="AU180" i="29"/>
  <c r="BU180" i="29" s="1"/>
  <c r="BO22" i="29"/>
  <c r="AU22" i="29"/>
  <c r="BU22" i="29" s="1"/>
  <c r="BO186" i="29"/>
  <c r="AU186" i="29"/>
  <c r="BU186" i="29" s="1"/>
  <c r="AT151" i="29"/>
  <c r="BU128" i="29"/>
  <c r="AV71" i="29"/>
  <c r="AV128" i="29"/>
  <c r="BV128" i="29" s="1"/>
  <c r="AH74" i="29"/>
  <c r="BP202" i="29"/>
  <c r="AH183" i="29"/>
  <c r="AH131" i="29"/>
  <c r="BQ39" i="29"/>
  <c r="AS201" i="29"/>
  <c r="BO182" i="29"/>
  <c r="AS101" i="29"/>
  <c r="AZ54" i="29"/>
  <c r="BN54" i="29" s="1"/>
  <c r="AH62" i="29"/>
  <c r="AV59" i="29"/>
  <c r="AV182" i="29"/>
  <c r="AV183" i="29" s="1"/>
  <c r="BU182" i="29"/>
  <c r="AV22" i="29"/>
  <c r="BV22" i="29" s="1"/>
  <c r="AZ96" i="30"/>
  <c r="BK103" i="30"/>
  <c r="BK293" i="32"/>
  <c r="BD18" i="47" s="1"/>
  <c r="I113" i="32"/>
  <c r="AZ103" i="32"/>
  <c r="BN103" i="32" s="1"/>
  <c r="AS43" i="32"/>
  <c r="AZ133" i="32"/>
  <c r="BN133" i="32" s="1"/>
  <c r="AZ142" i="32"/>
  <c r="BN142" i="32" s="1"/>
  <c r="AR202" i="29"/>
  <c r="AR147" i="29"/>
  <c r="AT162" i="29"/>
  <c r="AT71" i="29"/>
  <c r="BQ201" i="29"/>
  <c r="BQ43" i="29"/>
  <c r="BU38" i="29"/>
  <c r="AS47" i="29"/>
  <c r="BO38" i="29"/>
  <c r="BU45" i="29"/>
  <c r="AV45" i="29"/>
  <c r="BV45" i="29" s="1"/>
  <c r="AH39" i="29"/>
  <c r="BQ58" i="29"/>
  <c r="BP190" i="29"/>
  <c r="AZ19" i="32"/>
  <c r="BN19" i="32" s="1"/>
  <c r="AZ49" i="32"/>
  <c r="BN49" i="32" s="1"/>
  <c r="AZ75" i="32"/>
  <c r="BN75" i="32" s="1"/>
  <c r="AV86" i="32"/>
  <c r="BV86" i="32" s="1"/>
  <c r="BO205" i="32"/>
  <c r="BR17" i="30"/>
  <c r="AR54" i="30"/>
  <c r="BU35" i="30"/>
  <c r="BM44" i="30"/>
  <c r="BM105" i="30"/>
  <c r="BX44" i="30"/>
  <c r="AZ94" i="30"/>
  <c r="BN94" i="30" s="1"/>
  <c r="BO98" i="29"/>
  <c r="AS167" i="29"/>
  <c r="BP28" i="29"/>
  <c r="BO161" i="29"/>
  <c r="AV161" i="29"/>
  <c r="BV161" i="29" s="1"/>
  <c r="AV98" i="29"/>
  <c r="BV98" i="29" s="1"/>
  <c r="BQ35" i="29"/>
  <c r="BQ113" i="29"/>
  <c r="BQ202" i="29"/>
  <c r="AT156" i="29"/>
  <c r="BP163" i="29"/>
  <c r="AZ61" i="29"/>
  <c r="BN61" i="29" s="1"/>
  <c r="BP101" i="29"/>
  <c r="AZ80" i="29"/>
  <c r="BN80" i="29" s="1"/>
  <c r="AZ57" i="32"/>
  <c r="BN57" i="32" s="1"/>
  <c r="AZ213" i="32"/>
  <c r="BN213" i="32" s="1"/>
  <c r="BU179" i="32"/>
  <c r="AV179" i="32"/>
  <c r="BV179" i="32" s="1"/>
  <c r="AZ61" i="32"/>
  <c r="BN61" i="32" s="1"/>
  <c r="BP77" i="32"/>
  <c r="BO150" i="32"/>
  <c r="AH269" i="32"/>
  <c r="AZ181" i="32"/>
  <c r="BN181" i="32" s="1"/>
  <c r="AZ211" i="32"/>
  <c r="BN211" i="32" s="1"/>
  <c r="I40" i="31"/>
  <c r="AV83" i="30"/>
  <c r="BV83" i="30" s="1"/>
  <c r="BR107" i="30"/>
  <c r="I75" i="30"/>
  <c r="BR30" i="30"/>
  <c r="AV16" i="47"/>
  <c r="AZ95" i="30"/>
  <c r="BN95" i="30" s="1"/>
  <c r="AH37" i="30"/>
  <c r="BO62" i="30"/>
  <c r="BO65" i="30" s="1"/>
  <c r="AH65" i="30"/>
  <c r="AZ50" i="30"/>
  <c r="BN50" i="30" s="1"/>
  <c r="BR85" i="30"/>
  <c r="BP58" i="32"/>
  <c r="BO84" i="32"/>
  <c r="AZ22" i="31"/>
  <c r="BN22" i="31" s="1"/>
  <c r="BM32" i="31"/>
  <c r="BM74" i="31" s="1"/>
  <c r="BF17" i="47" s="1"/>
  <c r="BM79" i="31"/>
  <c r="BM77" i="31" s="1"/>
  <c r="AV31" i="30"/>
  <c r="BW105" i="30"/>
  <c r="BW103" i="30" s="1"/>
  <c r="BO31" i="30"/>
  <c r="BN96" i="30"/>
  <c r="BP15" i="30"/>
  <c r="AZ83" i="32"/>
  <c r="BN83" i="32" s="1"/>
  <c r="I199" i="32"/>
  <c r="I130" i="32"/>
  <c r="I25" i="31"/>
  <c r="AZ84" i="30"/>
  <c r="BN84" i="30" s="1"/>
  <c r="BK100" i="30"/>
  <c r="BD16" i="47" s="1"/>
  <c r="BX101" i="29"/>
  <c r="BM107" i="29"/>
  <c r="AZ86" i="29"/>
  <c r="BN86" i="29" s="1"/>
  <c r="BM101" i="29"/>
  <c r="AZ26" i="29"/>
  <c r="BN26" i="29" s="1"/>
  <c r="AV108" i="29"/>
  <c r="BV108" i="29" s="1"/>
  <c r="BV113" i="29" s="1"/>
  <c r="BM195" i="29"/>
  <c r="AZ15" i="29"/>
  <c r="BN15" i="29" s="1"/>
  <c r="BM70" i="29"/>
  <c r="AT165" i="32"/>
  <c r="AV27" i="32"/>
  <c r="AZ204" i="32"/>
  <c r="BN204" i="32" s="1"/>
  <c r="BM77" i="32"/>
  <c r="BX77" i="32"/>
  <c r="BP214" i="32"/>
  <c r="BO246" i="32"/>
  <c r="BO248" i="32" s="1"/>
  <c r="I182" i="32"/>
  <c r="BX25" i="31"/>
  <c r="AH107" i="30"/>
  <c r="BU32" i="30"/>
  <c r="AV32" i="30"/>
  <c r="BV32" i="30" s="1"/>
  <c r="AT83" i="30"/>
  <c r="AT85" i="30" s="1"/>
  <c r="I35" i="29"/>
  <c r="I83" i="29"/>
  <c r="BX139" i="29"/>
  <c r="AZ112" i="32"/>
  <c r="BN112" i="32" s="1"/>
  <c r="AZ64" i="32"/>
  <c r="BN64" i="32" s="1"/>
  <c r="AU248" i="32"/>
  <c r="AT246" i="32"/>
  <c r="AT248" i="32" s="1"/>
  <c r="BU35" i="32"/>
  <c r="BN156" i="32"/>
  <c r="BN272" i="32"/>
  <c r="AV246" i="32"/>
  <c r="BU108" i="32"/>
  <c r="I124" i="32"/>
  <c r="I58" i="32"/>
  <c r="BN63" i="32"/>
  <c r="BO35" i="32"/>
  <c r="AV108" i="32"/>
  <c r="BV108" i="32" s="1"/>
  <c r="BN104" i="32"/>
  <c r="AH248" i="32"/>
  <c r="AH109" i="32"/>
  <c r="AH43" i="32"/>
  <c r="AY293" i="32"/>
  <c r="BW294" i="32" s="1"/>
  <c r="AZ136" i="32"/>
  <c r="BN136" i="32" s="1"/>
  <c r="BQ32" i="31"/>
  <c r="AH85" i="30"/>
  <c r="BO85" i="30"/>
  <c r="AT28" i="30"/>
  <c r="AH28" i="30"/>
  <c r="AR15" i="30"/>
  <c r="I99" i="30"/>
  <c r="BY70" i="29"/>
  <c r="AZ123" i="29"/>
  <c r="BN123" i="29" s="1"/>
  <c r="BK194" i="29"/>
  <c r="BM193" i="29" s="1"/>
  <c r="I62" i="29"/>
  <c r="AV121" i="29"/>
  <c r="BV121" i="29" s="1"/>
  <c r="I28" i="29"/>
  <c r="BV15" i="29"/>
  <c r="AH113" i="29"/>
  <c r="AT20" i="29"/>
  <c r="I101" i="29"/>
  <c r="I177" i="29"/>
  <c r="BU85" i="29"/>
  <c r="I154" i="29"/>
  <c r="AV85" i="29"/>
  <c r="BV85" i="29" s="1"/>
  <c r="AH89" i="29"/>
  <c r="BO108" i="29"/>
  <c r="AT175" i="29"/>
  <c r="AT177" i="29" s="1"/>
  <c r="AZ91" i="29"/>
  <c r="BN91" i="29" s="1"/>
  <c r="BU78" i="29"/>
  <c r="AZ19" i="29"/>
  <c r="BN19" i="29" s="1"/>
  <c r="BO121" i="29"/>
  <c r="BO66" i="29"/>
  <c r="AZ188" i="29"/>
  <c r="BN188" i="29" s="1"/>
  <c r="AV156" i="29"/>
  <c r="BV156" i="29" s="1"/>
  <c r="AT32" i="29"/>
  <c r="AT35" i="29" s="1"/>
  <c r="AR22" i="32"/>
  <c r="I39" i="32"/>
  <c r="BU114" i="32"/>
  <c r="BU40" i="32"/>
  <c r="AZ135" i="29"/>
  <c r="BN135" i="29" s="1"/>
  <c r="AZ257" i="32"/>
  <c r="BN257" i="32" s="1"/>
  <c r="BM15" i="30"/>
  <c r="AT99" i="32"/>
  <c r="AZ99" i="32" s="1"/>
  <c r="AV114" i="32"/>
  <c r="BV114" i="32" s="1"/>
  <c r="AV40" i="32"/>
  <c r="AV43" i="32" s="1"/>
  <c r="BM76" i="31"/>
  <c r="AZ141" i="32"/>
  <c r="BN141" i="32" s="1"/>
  <c r="AZ51" i="32"/>
  <c r="BN51" i="32" s="1"/>
  <c r="AS137" i="32"/>
  <c r="AV263" i="32"/>
  <c r="BV263" i="32" s="1"/>
  <c r="I61" i="30"/>
  <c r="AZ80" i="30"/>
  <c r="BN80" i="30" s="1"/>
  <c r="AH120" i="32"/>
  <c r="AR120" i="32"/>
  <c r="AZ179" i="29"/>
  <c r="BN179" i="29" s="1"/>
  <c r="I84" i="31"/>
  <c r="AS107" i="32"/>
  <c r="AZ191" i="32"/>
  <c r="BN191" i="32" s="1"/>
  <c r="BO262" i="32"/>
  <c r="AZ172" i="29"/>
  <c r="BN172" i="29" s="1"/>
  <c r="I157" i="32"/>
  <c r="AZ274" i="32"/>
  <c r="BN274" i="32" s="1"/>
  <c r="AZ100" i="32"/>
  <c r="BN100" i="32" s="1"/>
  <c r="AZ72" i="29"/>
  <c r="AS37" i="30"/>
  <c r="AZ76" i="30"/>
  <c r="BN76" i="30" s="1"/>
  <c r="AT32" i="30"/>
  <c r="BT75" i="31"/>
  <c r="I255" i="32"/>
  <c r="AZ254" i="32"/>
  <c r="BN254" i="32" s="1"/>
  <c r="AZ260" i="32"/>
  <c r="BN260" i="32" s="1"/>
  <c r="AZ135" i="32"/>
  <c r="BN135" i="32" s="1"/>
  <c r="I22" i="32"/>
  <c r="AZ185" i="32"/>
  <c r="BN185" i="32" s="1"/>
  <c r="AT42" i="31"/>
  <c r="AT84" i="31" s="1"/>
  <c r="I195" i="32"/>
  <c r="BU238" i="32"/>
  <c r="AZ251" i="32"/>
  <c r="BN251" i="32" s="1"/>
  <c r="AZ176" i="32"/>
  <c r="BN176" i="32" s="1"/>
  <c r="BU41" i="31"/>
  <c r="BX300" i="32"/>
  <c r="AZ258" i="32"/>
  <c r="BN258" i="32" s="1"/>
  <c r="BV261" i="32"/>
  <c r="BV262" i="32" s="1"/>
  <c r="AZ144" i="29"/>
  <c r="BN144" i="29" s="1"/>
  <c r="AZ34" i="31"/>
  <c r="BN34" i="31" s="1"/>
  <c r="AZ59" i="31"/>
  <c r="BN59" i="31" s="1"/>
  <c r="AV41" i="31"/>
  <c r="BV41" i="31" s="1"/>
  <c r="BV35" i="32"/>
  <c r="BM300" i="32"/>
  <c r="AZ79" i="32"/>
  <c r="BN79" i="32" s="1"/>
  <c r="I89" i="29"/>
  <c r="I15" i="30"/>
  <c r="BZ75" i="31"/>
  <c r="BX78" i="31"/>
  <c r="BY196" i="29"/>
  <c r="BY194" i="29" s="1"/>
  <c r="BO147" i="29"/>
  <c r="AS89" i="29"/>
  <c r="BM104" i="30"/>
  <c r="AS43" i="31"/>
  <c r="BR32" i="31"/>
  <c r="BY32" i="31"/>
  <c r="BY74" i="31" s="1"/>
  <c r="AZ38" i="32"/>
  <c r="BN38" i="32" s="1"/>
  <c r="AV66" i="32"/>
  <c r="BV66" i="32" s="1"/>
  <c r="BV71" i="32" s="1"/>
  <c r="AZ207" i="32"/>
  <c r="BN207" i="32" s="1"/>
  <c r="BQ303" i="32"/>
  <c r="AZ126" i="32"/>
  <c r="BN126" i="32" s="1"/>
  <c r="I150" i="32"/>
  <c r="BO175" i="29"/>
  <c r="BO177" i="29" s="1"/>
  <c r="AZ34" i="29"/>
  <c r="BN34" i="29" s="1"/>
  <c r="BO25" i="30"/>
  <c r="BO28" i="30" s="1"/>
  <c r="I44" i="30"/>
  <c r="AH71" i="32"/>
  <c r="AZ23" i="29"/>
  <c r="BN23" i="29" s="1"/>
  <c r="BU213" i="32"/>
  <c r="BU185" i="32"/>
  <c r="BU209" i="32"/>
  <c r="BO209" i="32"/>
  <c r="AV209" i="32"/>
  <c r="BV209" i="32" s="1"/>
  <c r="BO114" i="29"/>
  <c r="BO119" i="29" s="1"/>
  <c r="AV114" i="29"/>
  <c r="BV114" i="29" s="1"/>
  <c r="BV119" i="29" s="1"/>
  <c r="BU114" i="29"/>
  <c r="BU119" i="29" s="1"/>
  <c r="AV18" i="32"/>
  <c r="BV18" i="32" s="1"/>
  <c r="BV22" i="32" s="1"/>
  <c r="BO18" i="32"/>
  <c r="BO22" i="32" s="1"/>
  <c r="BQ89" i="29"/>
  <c r="AZ173" i="29"/>
  <c r="BN173" i="29" s="1"/>
  <c r="AR199" i="32"/>
  <c r="I164" i="32"/>
  <c r="AT40" i="29"/>
  <c r="AT43" i="29" s="1"/>
  <c r="BO78" i="29"/>
  <c r="BP158" i="29"/>
  <c r="BU175" i="29"/>
  <c r="BU177" i="29" s="1"/>
  <c r="BZ101" i="30"/>
  <c r="AZ201" i="32"/>
  <c r="BN201" i="32" s="1"/>
  <c r="AZ163" i="32"/>
  <c r="BN163" i="32" s="1"/>
  <c r="AT36" i="32"/>
  <c r="AT39" i="32" s="1"/>
  <c r="AT66" i="32"/>
  <c r="AZ140" i="32"/>
  <c r="BN140" i="32" s="1"/>
  <c r="AZ153" i="32"/>
  <c r="BN153" i="32" s="1"/>
  <c r="AZ67" i="32"/>
  <c r="BN67" i="32" s="1"/>
  <c r="I137" i="32"/>
  <c r="BR214" i="32"/>
  <c r="AZ45" i="31"/>
  <c r="BN45" i="31" s="1"/>
  <c r="I77" i="32"/>
  <c r="AZ81" i="29"/>
  <c r="BN81" i="29" s="1"/>
  <c r="BU173" i="29"/>
  <c r="AV175" i="29"/>
  <c r="AV177" i="29" s="1"/>
  <c r="AZ97" i="30"/>
  <c r="BN97" i="30" s="1"/>
  <c r="AS298" i="32"/>
  <c r="AZ128" i="32"/>
  <c r="BN128" i="32" s="1"/>
  <c r="AU269" i="32"/>
  <c r="I52" i="32"/>
  <c r="BO195" i="32"/>
  <c r="AZ92" i="32"/>
  <c r="BN92" i="32" s="1"/>
  <c r="BK296" i="32"/>
  <c r="BM295" i="32" s="1"/>
  <c r="AZ24" i="32"/>
  <c r="BN24" i="32" s="1"/>
  <c r="I71" i="32"/>
  <c r="AZ119" i="32"/>
  <c r="BN119" i="32" s="1"/>
  <c r="AZ222" i="32"/>
  <c r="BN222" i="32" s="1"/>
  <c r="AS300" i="32"/>
  <c r="AZ267" i="32"/>
  <c r="BN267" i="32" s="1"/>
  <c r="BN261" i="32"/>
  <c r="BR306" i="32"/>
  <c r="AZ219" i="32"/>
  <c r="BN219" i="32" s="1"/>
  <c r="AT196" i="32"/>
  <c r="AT199" i="32" s="1"/>
  <c r="BQ305" i="32"/>
  <c r="BV195" i="32"/>
  <c r="BS294" i="32"/>
  <c r="AU27" i="32"/>
  <c r="AZ122" i="32"/>
  <c r="BN122" i="32" s="1"/>
  <c r="AZ98" i="32"/>
  <c r="BN98" i="32" s="1"/>
  <c r="I84" i="32"/>
  <c r="AZ26" i="32"/>
  <c r="BN26" i="32" s="1"/>
  <c r="BR303" i="32"/>
  <c r="AZ167" i="32"/>
  <c r="BN167" i="32" s="1"/>
  <c r="AZ224" i="32"/>
  <c r="BN224" i="32" s="1"/>
  <c r="BQ300" i="32"/>
  <c r="I120" i="32"/>
  <c r="BQ52" i="32"/>
  <c r="AT263" i="32"/>
  <c r="AS52" i="32"/>
  <c r="BO171" i="32"/>
  <c r="AZ192" i="32"/>
  <c r="BN192" i="32" s="1"/>
  <c r="AZ37" i="32"/>
  <c r="BN37" i="32" s="1"/>
  <c r="AZ95" i="32"/>
  <c r="BN95" i="32" s="1"/>
  <c r="BU140" i="32"/>
  <c r="AZ250" i="32"/>
  <c r="BN250" i="32" s="1"/>
  <c r="BQ298" i="32"/>
  <c r="AQ295" i="32"/>
  <c r="AZ233" i="32"/>
  <c r="BN233" i="32" s="1"/>
  <c r="AZ29" i="32"/>
  <c r="BN29" i="32" s="1"/>
  <c r="AZ42" i="32"/>
  <c r="BN42" i="32" s="1"/>
  <c r="AZ74" i="32"/>
  <c r="BN74" i="32" s="1"/>
  <c r="BQ107" i="32"/>
  <c r="AZ259" i="32"/>
  <c r="BN259" i="32" s="1"/>
  <c r="BO269" i="32"/>
  <c r="BR13" i="32"/>
  <c r="AZ116" i="32"/>
  <c r="BN116" i="32" s="1"/>
  <c r="AZ275" i="32"/>
  <c r="BN275" i="32" s="1"/>
  <c r="BR164" i="32"/>
  <c r="AZ265" i="32"/>
  <c r="BN265" i="32" s="1"/>
  <c r="AT239" i="32"/>
  <c r="AZ266" i="32"/>
  <c r="BN266" i="32" s="1"/>
  <c r="AV262" i="32"/>
  <c r="AZ247" i="32"/>
  <c r="BN247" i="32" s="1"/>
  <c r="AZ82" i="32"/>
  <c r="BN82" i="32" s="1"/>
  <c r="AZ236" i="32"/>
  <c r="BN236" i="32" s="1"/>
  <c r="AT32" i="32"/>
  <c r="AZ32" i="32" s="1"/>
  <c r="BM298" i="32"/>
  <c r="BT77" i="31"/>
  <c r="AZ61" i="31"/>
  <c r="BN61" i="31" s="1"/>
  <c r="BT74" i="31"/>
  <c r="BM17" i="47" s="1"/>
  <c r="AS48" i="31"/>
  <c r="AZ31" i="31"/>
  <c r="BN31" i="31" s="1"/>
  <c r="AQ76" i="31"/>
  <c r="AZ18" i="31"/>
  <c r="BN18" i="31" s="1"/>
  <c r="AZ72" i="31"/>
  <c r="BN72" i="31" s="1"/>
  <c r="BP78" i="31"/>
  <c r="AZ24" i="30"/>
  <c r="BN24" i="30" s="1"/>
  <c r="AH104" i="30"/>
  <c r="BV28" i="30"/>
  <c r="AZ69" i="30"/>
  <c r="BN69" i="30" s="1"/>
  <c r="I81" i="30"/>
  <c r="AZ91" i="30"/>
  <c r="BN91" i="30" s="1"/>
  <c r="BY15" i="30"/>
  <c r="BY100" i="30" s="1"/>
  <c r="AZ82" i="30"/>
  <c r="BN82" i="30" s="1"/>
  <c r="AZ39" i="30"/>
  <c r="BN39" i="30" s="1"/>
  <c r="AS23" i="30"/>
  <c r="I105" i="30"/>
  <c r="AZ98" i="30"/>
  <c r="BN98" i="30" s="1"/>
  <c r="AS110" i="30"/>
  <c r="BO92" i="30"/>
  <c r="AZ97" i="29"/>
  <c r="BN97" i="29" s="1"/>
  <c r="BK191" i="29"/>
  <c r="BD15" i="47" s="1"/>
  <c r="AZ18" i="29"/>
  <c r="BN18" i="29" s="1"/>
  <c r="I95" i="29"/>
  <c r="AZ145" i="29"/>
  <c r="BN145" i="29" s="1"/>
  <c r="BN160" i="29"/>
  <c r="AZ100" i="29"/>
  <c r="BN100" i="29" s="1"/>
  <c r="AZ22" i="29"/>
  <c r="BN22" i="29" s="1"/>
  <c r="I183" i="29"/>
  <c r="AS196" i="29"/>
  <c r="AH196" i="29"/>
  <c r="BZ194" i="29"/>
  <c r="AZ142" i="29"/>
  <c r="BN142" i="29" s="1"/>
  <c r="I198" i="29"/>
  <c r="AZ109" i="29"/>
  <c r="BN109" i="29" s="1"/>
  <c r="AZ94" i="29"/>
  <c r="BN94" i="29" s="1"/>
  <c r="I201" i="29"/>
  <c r="AZ46" i="29"/>
  <c r="BN46" i="29" s="1"/>
  <c r="BX174" i="29"/>
  <c r="AZ124" i="29"/>
  <c r="BN124" i="29" s="1"/>
  <c r="BO183" i="29"/>
  <c r="BP174" i="29"/>
  <c r="AI101" i="30"/>
  <c r="O16" i="47"/>
  <c r="BZ294" i="32"/>
  <c r="BE18" i="47"/>
  <c r="AZ110" i="29"/>
  <c r="BN110" i="29" s="1"/>
  <c r="BR202" i="29"/>
  <c r="AU131" i="29"/>
  <c r="AZ146" i="29"/>
  <c r="BN146" i="29" s="1"/>
  <c r="BX137" i="29"/>
  <c r="AZ149" i="29"/>
  <c r="BN149" i="29" s="1"/>
  <c r="AT61" i="30"/>
  <c r="P100" i="30"/>
  <c r="I16" i="47" s="1"/>
  <c r="BW101" i="30"/>
  <c r="AR16" i="47"/>
  <c r="Q103" i="30"/>
  <c r="AZ47" i="30"/>
  <c r="BN47" i="30" s="1"/>
  <c r="AZ27" i="31"/>
  <c r="BN27" i="31" s="1"/>
  <c r="AZ70" i="31"/>
  <c r="BN70" i="31" s="1"/>
  <c r="BW74" i="31"/>
  <c r="BP17" i="47" s="1"/>
  <c r="I298" i="32"/>
  <c r="AZ230" i="32"/>
  <c r="BN230" i="32" s="1"/>
  <c r="BQ17" i="32"/>
  <c r="AZ281" i="32"/>
  <c r="BN281" i="32" s="1"/>
  <c r="AR297" i="32"/>
  <c r="AS234" i="32"/>
  <c r="BY298" i="32"/>
  <c r="BY296" i="32" s="1"/>
  <c r="AQ293" i="32"/>
  <c r="AJ18" i="47" s="1"/>
  <c r="AU299" i="32"/>
  <c r="AS255" i="32"/>
  <c r="BQ71" i="32"/>
  <c r="AZ42" i="30"/>
  <c r="BN42" i="30" s="1"/>
  <c r="AV132" i="32"/>
  <c r="BV132" i="32" s="1"/>
  <c r="BU132" i="32"/>
  <c r="BO132" i="32"/>
  <c r="BK192" i="29"/>
  <c r="AV15" i="47"/>
  <c r="AJ75" i="31"/>
  <c r="P17" i="47"/>
  <c r="BZ191" i="29"/>
  <c r="BS15" i="47" s="1"/>
  <c r="BS194" i="29"/>
  <c r="AZ21" i="30"/>
  <c r="BN21" i="30" s="1"/>
  <c r="BT100" i="30"/>
  <c r="BM16" i="47" s="1"/>
  <c r="AF77" i="31"/>
  <c r="BR78" i="31"/>
  <c r="AV195" i="32"/>
  <c r="AZ285" i="32"/>
  <c r="BN285" i="32" s="1"/>
  <c r="AS297" i="32"/>
  <c r="AZ240" i="32"/>
  <c r="BN240" i="32" s="1"/>
  <c r="AG296" i="32"/>
  <c r="BQ86" i="31"/>
  <c r="BQ40" i="31"/>
  <c r="BM75" i="31"/>
  <c r="BD17" i="47"/>
  <c r="AJ192" i="29"/>
  <c r="P15" i="47"/>
  <c r="AR196" i="29"/>
  <c r="BW192" i="29"/>
  <c r="BV65" i="30"/>
  <c r="AQ193" i="29"/>
  <c r="AZ92" i="29"/>
  <c r="BN92" i="29" s="1"/>
  <c r="BO103" i="29"/>
  <c r="AZ165" i="29"/>
  <c r="BN165" i="29" s="1"/>
  <c r="AU183" i="29"/>
  <c r="AZ134" i="29"/>
  <c r="BN134" i="29" s="1"/>
  <c r="AR195" i="29"/>
  <c r="BT191" i="29"/>
  <c r="BM15" i="47" s="1"/>
  <c r="BW191" i="29"/>
  <c r="BP15" i="47" s="1"/>
  <c r="AZ50" i="29"/>
  <c r="BN50" i="29" s="1"/>
  <c r="BR174" i="29"/>
  <c r="BZ100" i="30"/>
  <c r="BS16" i="47" s="1"/>
  <c r="AU65" i="30"/>
  <c r="AJ101" i="30"/>
  <c r="P16" i="47"/>
  <c r="BT101" i="30"/>
  <c r="AI16" i="47"/>
  <c r="AQ103" i="30"/>
  <c r="BR37" i="30"/>
  <c r="BU92" i="30"/>
  <c r="AZ63" i="30"/>
  <c r="BN63" i="30" s="1"/>
  <c r="BT103" i="30"/>
  <c r="AR104" i="30"/>
  <c r="AZ37" i="31"/>
  <c r="BN37" i="31" s="1"/>
  <c r="AZ35" i="31"/>
  <c r="BN35" i="31" s="1"/>
  <c r="AF74" i="31"/>
  <c r="Y17" i="47" s="1"/>
  <c r="BV61" i="31"/>
  <c r="BR79" i="31"/>
  <c r="AZ63" i="31"/>
  <c r="BN63" i="31" s="1"/>
  <c r="AI75" i="31"/>
  <c r="O17" i="47"/>
  <c r="AZ36" i="31"/>
  <c r="BN36" i="31" s="1"/>
  <c r="AZ28" i="31"/>
  <c r="BN28" i="31" s="1"/>
  <c r="AZ30" i="32"/>
  <c r="BN30" i="32" s="1"/>
  <c r="AZ60" i="32"/>
  <c r="BN60" i="32" s="1"/>
  <c r="BU119" i="32"/>
  <c r="AZ159" i="32"/>
  <c r="BN159" i="32" s="1"/>
  <c r="BO178" i="32"/>
  <c r="AZ273" i="32"/>
  <c r="BN273" i="32" s="1"/>
  <c r="BU265" i="32"/>
  <c r="I96" i="32"/>
  <c r="AH305" i="32"/>
  <c r="AZ232" i="32"/>
  <c r="BN232" i="32" s="1"/>
  <c r="AZ226" i="32"/>
  <c r="BN226" i="32" s="1"/>
  <c r="BV247" i="32"/>
  <c r="AJ294" i="32"/>
  <c r="P18" i="47"/>
  <c r="AS86" i="31"/>
  <c r="AS40" i="31"/>
  <c r="AS79" i="31"/>
  <c r="AV38" i="30"/>
  <c r="BV38" i="30" s="1"/>
  <c r="BO38" i="30"/>
  <c r="BU38" i="30"/>
  <c r="AZ42" i="29"/>
  <c r="BN42" i="29" s="1"/>
  <c r="AZ166" i="29"/>
  <c r="BN166" i="29" s="1"/>
  <c r="BT294" i="32"/>
  <c r="AI18" i="47"/>
  <c r="BO36" i="32"/>
  <c r="BO39" i="32" s="1"/>
  <c r="AV36" i="32"/>
  <c r="AT41" i="31"/>
  <c r="AR43" i="31"/>
  <c r="P191" i="29"/>
  <c r="I15" i="47" s="1"/>
  <c r="AR43" i="29"/>
  <c r="AV103" i="29"/>
  <c r="BV103" i="29" s="1"/>
  <c r="AZ122" i="29"/>
  <c r="BN122" i="29" s="1"/>
  <c r="BU131" i="29"/>
  <c r="AT87" i="29"/>
  <c r="AT89" i="29" s="1"/>
  <c r="AQ191" i="29"/>
  <c r="AJ15" i="47" s="1"/>
  <c r="AT56" i="29"/>
  <c r="AT58" i="29" s="1"/>
  <c r="AZ111" i="29"/>
  <c r="BN111" i="29" s="1"/>
  <c r="BR61" i="30"/>
  <c r="AZ53" i="30"/>
  <c r="BN53" i="30" s="1"/>
  <c r="AZ68" i="30"/>
  <c r="BN68" i="30" s="1"/>
  <c r="BW100" i="30"/>
  <c r="BP16" i="47" s="1"/>
  <c r="BS100" i="30"/>
  <c r="BO81" i="30"/>
  <c r="AZ58" i="30"/>
  <c r="BN58" i="30" s="1"/>
  <c r="AR44" i="30"/>
  <c r="BQ104" i="30"/>
  <c r="BX79" i="31"/>
  <c r="BU31" i="31"/>
  <c r="AQ75" i="31"/>
  <c r="AH17" i="47"/>
  <c r="BZ74" i="31"/>
  <c r="BS17" i="47" s="1"/>
  <c r="BW298" i="32"/>
  <c r="BW296" i="32" s="1"/>
  <c r="BU27" i="32"/>
  <c r="BU42" i="32"/>
  <c r="AZ70" i="32"/>
  <c r="BN70" i="32" s="1"/>
  <c r="AZ102" i="32"/>
  <c r="BN102" i="32" s="1"/>
  <c r="BU224" i="32"/>
  <c r="I65" i="32"/>
  <c r="AQ294" i="32"/>
  <c r="BK294" i="32"/>
  <c r="AV18" i="47"/>
  <c r="AI294" i="32"/>
  <c r="O18" i="47"/>
  <c r="AY294" i="32"/>
  <c r="AP18" i="47"/>
  <c r="AR35" i="29"/>
  <c r="AI192" i="29"/>
  <c r="O15" i="47"/>
  <c r="BT192" i="29"/>
  <c r="AI15" i="47"/>
  <c r="AQ194" i="29"/>
  <c r="AT140" i="29"/>
  <c r="AT147" i="29" s="1"/>
  <c r="AZ112" i="29"/>
  <c r="BN112" i="29" s="1"/>
  <c r="I66" i="29"/>
  <c r="AZ90" i="30"/>
  <c r="BN90" i="30" s="1"/>
  <c r="AZ87" i="30"/>
  <c r="BN87" i="30" s="1"/>
  <c r="P103" i="30"/>
  <c r="BS103" i="30"/>
  <c r="BP110" i="30"/>
  <c r="AZ89" i="30"/>
  <c r="BN89" i="30" s="1"/>
  <c r="BR105" i="30"/>
  <c r="BW75" i="31"/>
  <c r="AR17" i="47"/>
  <c r="AZ66" i="31"/>
  <c r="BN66" i="31" s="1"/>
  <c r="AZ69" i="31"/>
  <c r="BN69" i="31" s="1"/>
  <c r="BP15" i="31"/>
  <c r="BZ77" i="31"/>
  <c r="BO38" i="31"/>
  <c r="AH297" i="32"/>
  <c r="BZ293" i="32"/>
  <c r="BS18" i="47" s="1"/>
  <c r="BZ296" i="32"/>
  <c r="BN218" i="32"/>
  <c r="BW293" i="32"/>
  <c r="BP18" i="47" s="1"/>
  <c r="BY178" i="32"/>
  <c r="BY293" i="32" s="1"/>
  <c r="P296" i="32"/>
  <c r="AZ27" i="30"/>
  <c r="BN27" i="30" s="1"/>
  <c r="BZ192" i="29"/>
  <c r="BE15" i="47"/>
  <c r="BU195" i="32"/>
  <c r="AV72" i="32"/>
  <c r="AH77" i="32"/>
  <c r="BO72" i="32"/>
  <c r="BO77" i="32" s="1"/>
  <c r="BV96" i="32"/>
  <c r="BR305" i="32"/>
  <c r="BR109" i="32"/>
  <c r="I146" i="32"/>
  <c r="AR302" i="32"/>
  <c r="AT101" i="32"/>
  <c r="BV138" i="32"/>
  <c r="I205" i="32"/>
  <c r="Q296" i="32"/>
  <c r="AH298" i="32"/>
  <c r="AV47" i="32"/>
  <c r="BO47" i="32"/>
  <c r="BU92" i="32"/>
  <c r="BU96" i="32" s="1"/>
  <c r="BU70" i="32"/>
  <c r="AZ244" i="32"/>
  <c r="BN244" i="32" s="1"/>
  <c r="AH255" i="32"/>
  <c r="AV249" i="32"/>
  <c r="BO249" i="32"/>
  <c r="BO255" i="32" s="1"/>
  <c r="BX306" i="32"/>
  <c r="BX13" i="32"/>
  <c r="AH17" i="32"/>
  <c r="AH303" i="32"/>
  <c r="AV16" i="32"/>
  <c r="BO16" i="32"/>
  <c r="AZ69" i="32"/>
  <c r="BN69" i="32" s="1"/>
  <c r="AZ148" i="32"/>
  <c r="BN148" i="32" s="1"/>
  <c r="BU148" i="32"/>
  <c r="BU150" i="32" s="1"/>
  <c r="AU150" i="32"/>
  <c r="AS205" i="32"/>
  <c r="AT200" i="32"/>
  <c r="BP300" i="32"/>
  <c r="BP120" i="32"/>
  <c r="AT109" i="32"/>
  <c r="AV35" i="32"/>
  <c r="BX303" i="32"/>
  <c r="BP297" i="32"/>
  <c r="AZ168" i="32"/>
  <c r="BN168" i="32" s="1"/>
  <c r="BP107" i="32"/>
  <c r="AZ160" i="32"/>
  <c r="BN160" i="32" s="1"/>
  <c r="AZ134" i="32"/>
  <c r="BN134" i="32" s="1"/>
  <c r="AR182" i="32"/>
  <c r="AZ243" i="32"/>
  <c r="BN243" i="32" s="1"/>
  <c r="BV266" i="32"/>
  <c r="AU35" i="32"/>
  <c r="AZ87" i="32"/>
  <c r="BN87" i="32" s="1"/>
  <c r="AZ177" i="32"/>
  <c r="BN177" i="32" s="1"/>
  <c r="AZ154" i="32"/>
  <c r="BN154" i="32" s="1"/>
  <c r="AV299" i="32"/>
  <c r="AS305" i="32"/>
  <c r="AT145" i="32"/>
  <c r="AZ193" i="32"/>
  <c r="BN193" i="32" s="1"/>
  <c r="BU228" i="32"/>
  <c r="AT262" i="32"/>
  <c r="AZ256" i="32"/>
  <c r="AZ187" i="32"/>
  <c r="BN187" i="32" s="1"/>
  <c r="AU238" i="32"/>
  <c r="AZ280" i="32"/>
  <c r="BN280" i="32" s="1"/>
  <c r="AR45" i="32"/>
  <c r="AT44" i="32"/>
  <c r="AV44" i="32"/>
  <c r="AH45" i="32"/>
  <c r="BO44" i="32"/>
  <c r="BO45" i="32" s="1"/>
  <c r="AZ147" i="32"/>
  <c r="AT150" i="32"/>
  <c r="AZ165" i="32"/>
  <c r="AT171" i="32"/>
  <c r="AZ152" i="32"/>
  <c r="BN152" i="32" s="1"/>
  <c r="BX305" i="32"/>
  <c r="BU130" i="32"/>
  <c r="AZ172" i="32"/>
  <c r="I178" i="32"/>
  <c r="AR216" i="32"/>
  <c r="AT215" i="32"/>
  <c r="BV238" i="32"/>
  <c r="AZ271" i="32"/>
  <c r="BN271" i="32" s="1"/>
  <c r="AZ55" i="32"/>
  <c r="BN55" i="32" s="1"/>
  <c r="AR298" i="32"/>
  <c r="AT47" i="32"/>
  <c r="AZ76" i="32"/>
  <c r="BN76" i="32" s="1"/>
  <c r="AH137" i="32"/>
  <c r="AV131" i="32"/>
  <c r="BO131" i="32"/>
  <c r="AT277" i="32"/>
  <c r="AF293" i="32"/>
  <c r="Y18" i="47" s="1"/>
  <c r="BU14" i="32"/>
  <c r="AU84" i="32"/>
  <c r="BU78" i="32"/>
  <c r="BU84" i="32" s="1"/>
  <c r="AV96" i="32"/>
  <c r="BU157" i="32"/>
  <c r="AZ194" i="32"/>
  <c r="BN194" i="32" s="1"/>
  <c r="AT245" i="32"/>
  <c r="AZ253" i="32"/>
  <c r="BN253" i="32" s="1"/>
  <c r="I220" i="32"/>
  <c r="AR276" i="32"/>
  <c r="AT270" i="32"/>
  <c r="AV121" i="32"/>
  <c r="AH124" i="32"/>
  <c r="BO121" i="32"/>
  <c r="BO124" i="32" s="1"/>
  <c r="AZ127" i="32"/>
  <c r="BN127" i="32" s="1"/>
  <c r="AZ62" i="32"/>
  <c r="BN62" i="32" s="1"/>
  <c r="AR214" i="32"/>
  <c r="AT206" i="32"/>
  <c r="AZ170" i="32"/>
  <c r="BN170" i="32" s="1"/>
  <c r="AR227" i="32"/>
  <c r="AT221" i="32"/>
  <c r="AZ279" i="32"/>
  <c r="BN279" i="32" s="1"/>
  <c r="BV25" i="32"/>
  <c r="BV27" i="32" s="1"/>
  <c r="BR297" i="32"/>
  <c r="BT296" i="32"/>
  <c r="AZ94" i="32"/>
  <c r="BN94" i="32" s="1"/>
  <c r="AZ155" i="32"/>
  <c r="BN155" i="32" s="1"/>
  <c r="AZ162" i="32"/>
  <c r="BN162" i="32" s="1"/>
  <c r="AZ151" i="32"/>
  <c r="AT157" i="32"/>
  <c r="AZ198" i="32"/>
  <c r="BN198" i="32" s="1"/>
  <c r="AZ237" i="32"/>
  <c r="BN237" i="32" s="1"/>
  <c r="AZ252" i="32"/>
  <c r="BN252" i="32" s="1"/>
  <c r="BN289" i="32"/>
  <c r="AZ242" i="32"/>
  <c r="BN242" i="32" s="1"/>
  <c r="AZ105" i="32"/>
  <c r="BN105" i="32" s="1"/>
  <c r="AV284" i="32"/>
  <c r="AH290" i="32"/>
  <c r="BO284" i="32"/>
  <c r="BO290" i="32" s="1"/>
  <c r="AZ21" i="32"/>
  <c r="BN21" i="32" s="1"/>
  <c r="AZ25" i="32"/>
  <c r="BN25" i="32" s="1"/>
  <c r="AZ33" i="32"/>
  <c r="BN33" i="32" s="1"/>
  <c r="BM294" i="32"/>
  <c r="BY294" i="32"/>
  <c r="Q293" i="32"/>
  <c r="J18" i="47" s="1"/>
  <c r="BR107" i="32"/>
  <c r="BV150" i="32"/>
  <c r="I171" i="32"/>
  <c r="AZ175" i="32"/>
  <c r="BN175" i="32" s="1"/>
  <c r="AZ78" i="32"/>
  <c r="AT84" i="32"/>
  <c r="AZ174" i="32"/>
  <c r="BN174" i="32" s="1"/>
  <c r="AV139" i="32"/>
  <c r="BV139" i="32" s="1"/>
  <c r="BO139" i="32"/>
  <c r="BO144" i="32" s="1"/>
  <c r="BU139" i="32"/>
  <c r="BM90" i="32"/>
  <c r="AH302" i="32"/>
  <c r="AV101" i="32"/>
  <c r="AV107" i="32" s="1"/>
  <c r="BO101" i="32"/>
  <c r="BO302" i="32" s="1"/>
  <c r="AZ93" i="32"/>
  <c r="BN93" i="32" s="1"/>
  <c r="BU20" i="32"/>
  <c r="AU31" i="32"/>
  <c r="BP298" i="32"/>
  <c r="BU197" i="32"/>
  <c r="BU199" i="32" s="1"/>
  <c r="AV197" i="32"/>
  <c r="BV197" i="32" s="1"/>
  <c r="BV199" i="32" s="1"/>
  <c r="BO197" i="32"/>
  <c r="AT249" i="32"/>
  <c r="AR255" i="32"/>
  <c r="AR306" i="32"/>
  <c r="AT12" i="32"/>
  <c r="AR13" i="32"/>
  <c r="BV14" i="32"/>
  <c r="AZ20" i="32"/>
  <c r="BN20" i="32" s="1"/>
  <c r="AV84" i="32"/>
  <c r="AT125" i="32"/>
  <c r="AU157" i="32"/>
  <c r="BU135" i="32"/>
  <c r="AR305" i="32"/>
  <c r="AU205" i="32"/>
  <c r="BV183" i="32"/>
  <c r="AT235" i="32"/>
  <c r="BS293" i="32"/>
  <c r="AT27" i="32"/>
  <c r="AZ23" i="32"/>
  <c r="AZ46" i="32"/>
  <c r="AZ73" i="32"/>
  <c r="BN73" i="32" s="1"/>
  <c r="AH58" i="32"/>
  <c r="AV53" i="32"/>
  <c r="BO53" i="32"/>
  <c r="BO58" i="32" s="1"/>
  <c r="AT113" i="32"/>
  <c r="AZ110" i="32"/>
  <c r="AR220" i="32"/>
  <c r="AT217" i="32"/>
  <c r="AU262" i="32"/>
  <c r="BU256" i="32"/>
  <c r="BU262" i="32" s="1"/>
  <c r="AZ286" i="32"/>
  <c r="BN286" i="32" s="1"/>
  <c r="AH292" i="32"/>
  <c r="AV291" i="32"/>
  <c r="BO291" i="32"/>
  <c r="BO292" i="32" s="1"/>
  <c r="BT293" i="32"/>
  <c r="BM18" i="47" s="1"/>
  <c r="AT50" i="32"/>
  <c r="BX120" i="32"/>
  <c r="AH90" i="32"/>
  <c r="AV85" i="32"/>
  <c r="BO85" i="32"/>
  <c r="BO90" i="32" s="1"/>
  <c r="BX92" i="32"/>
  <c r="BX96" i="32" s="1"/>
  <c r="BM96" i="32"/>
  <c r="AZ208" i="32"/>
  <c r="BN208" i="32" s="1"/>
  <c r="AZ166" i="32"/>
  <c r="BN166" i="32" s="1"/>
  <c r="AS178" i="32"/>
  <c r="AT173" i="32"/>
  <c r="AZ173" i="32" s="1"/>
  <c r="BN173" i="32" s="1"/>
  <c r="BU275" i="32"/>
  <c r="I214" i="32"/>
  <c r="AZ225" i="32"/>
  <c r="BN225" i="32" s="1"/>
  <c r="AV238" i="32"/>
  <c r="BO283" i="32"/>
  <c r="I303" i="32"/>
  <c r="BV97" i="32"/>
  <c r="AV158" i="32"/>
  <c r="AH164" i="32"/>
  <c r="BO158" i="32"/>
  <c r="BO164" i="32" s="1"/>
  <c r="I27" i="32"/>
  <c r="BQ297" i="32"/>
  <c r="AG293" i="32"/>
  <c r="I302" i="32"/>
  <c r="I276" i="32"/>
  <c r="I17" i="32"/>
  <c r="AV31" i="32"/>
  <c r="BV28" i="32"/>
  <c r="BV31" i="32" s="1"/>
  <c r="AV184" i="32"/>
  <c r="BV184" i="32" s="1"/>
  <c r="BU184" i="32"/>
  <c r="BO184" i="32"/>
  <c r="BO188" i="32" s="1"/>
  <c r="AZ202" i="32"/>
  <c r="BN202" i="32" s="1"/>
  <c r="AV178" i="32"/>
  <c r="BV172" i="32"/>
  <c r="BV178" i="32" s="1"/>
  <c r="AT234" i="32"/>
  <c r="AZ228" i="32"/>
  <c r="I290" i="32"/>
  <c r="AZ14" i="32"/>
  <c r="BP306" i="32"/>
  <c r="BP13" i="32"/>
  <c r="AZ80" i="32"/>
  <c r="BN80" i="32" s="1"/>
  <c r="AZ118" i="32"/>
  <c r="BN118" i="32" s="1"/>
  <c r="AV157" i="32"/>
  <c r="AH300" i="32"/>
  <c r="AV115" i="32"/>
  <c r="BO115" i="32"/>
  <c r="AV180" i="32"/>
  <c r="BV180" i="32" s="1"/>
  <c r="BV182" i="32" s="1"/>
  <c r="BU180" i="32"/>
  <c r="BU182" i="32" s="1"/>
  <c r="BO180" i="32"/>
  <c r="BO182" i="32" s="1"/>
  <c r="AV205" i="32"/>
  <c r="BU205" i="32"/>
  <c r="AZ268" i="32"/>
  <c r="BN268" i="32" s="1"/>
  <c r="AZ189" i="32"/>
  <c r="AT195" i="32"/>
  <c r="AV270" i="32"/>
  <c r="AH276" i="32"/>
  <c r="BO270" i="32"/>
  <c r="BO276" i="32" s="1"/>
  <c r="AZ282" i="32"/>
  <c r="BN282" i="32" s="1"/>
  <c r="AR52" i="32"/>
  <c r="AZ68" i="32"/>
  <c r="BN68" i="32" s="1"/>
  <c r="AZ106" i="32"/>
  <c r="BN106" i="32" s="1"/>
  <c r="BU299" i="32"/>
  <c r="AH214" i="32"/>
  <c r="AV206" i="32"/>
  <c r="BO206" i="32"/>
  <c r="AV221" i="32"/>
  <c r="AH227" i="32"/>
  <c r="BO221" i="32"/>
  <c r="BO227" i="32" s="1"/>
  <c r="AH220" i="32"/>
  <c r="AV217" i="32"/>
  <c r="BO217" i="32"/>
  <c r="BO220" i="32" s="1"/>
  <c r="AZ241" i="32"/>
  <c r="BN241" i="32" s="1"/>
  <c r="AT291" i="32"/>
  <c r="AR292" i="32"/>
  <c r="AS17" i="32"/>
  <c r="BU46" i="32"/>
  <c r="BN34" i="32"/>
  <c r="AR65" i="32"/>
  <c r="AT59" i="32"/>
  <c r="AT97" i="32"/>
  <c r="AS144" i="32"/>
  <c r="BU97" i="32"/>
  <c r="AU109" i="32"/>
  <c r="AT144" i="32"/>
  <c r="AZ138" i="32"/>
  <c r="AZ287" i="32"/>
  <c r="BN287" i="32" s="1"/>
  <c r="I306" i="32"/>
  <c r="AZ117" i="32"/>
  <c r="BN117" i="32" s="1"/>
  <c r="BO130" i="32"/>
  <c r="AU283" i="32"/>
  <c r="BU15" i="32"/>
  <c r="AV15" i="32"/>
  <c r="BV15" i="32" s="1"/>
  <c r="BO15" i="32"/>
  <c r="AT22" i="32"/>
  <c r="P293" i="32"/>
  <c r="I18" i="47" s="1"/>
  <c r="BX297" i="32"/>
  <c r="BX17" i="32"/>
  <c r="AS96" i="32"/>
  <c r="AT91" i="32"/>
  <c r="AR77" i="32"/>
  <c r="AT72" i="32"/>
  <c r="I107" i="32"/>
  <c r="I90" i="32"/>
  <c r="BV130" i="32"/>
  <c r="I238" i="32"/>
  <c r="I283" i="32"/>
  <c r="AT284" i="32"/>
  <c r="AS306" i="32"/>
  <c r="AS13" i="32"/>
  <c r="BU31" i="32"/>
  <c r="AU195" i="32"/>
  <c r="AU113" i="32"/>
  <c r="BU110" i="32"/>
  <c r="BU113" i="32" s="1"/>
  <c r="BU138" i="32"/>
  <c r="AU171" i="32"/>
  <c r="AZ231" i="32"/>
  <c r="BN231" i="32" s="1"/>
  <c r="AF296" i="32"/>
  <c r="BR298" i="32"/>
  <c r="AZ81" i="32"/>
  <c r="BN81" i="32" s="1"/>
  <c r="AZ54" i="32"/>
  <c r="BN54" i="32" s="1"/>
  <c r="BO157" i="32"/>
  <c r="I299" i="32"/>
  <c r="AZ123" i="32"/>
  <c r="BN123" i="32" s="1"/>
  <c r="I262" i="32"/>
  <c r="AT15" i="32"/>
  <c r="AH306" i="32"/>
  <c r="AH13" i="32"/>
  <c r="AV12" i="32"/>
  <c r="BO12" i="32"/>
  <c r="AR303" i="32"/>
  <c r="AT16" i="32"/>
  <c r="AZ28" i="32"/>
  <c r="AT31" i="32"/>
  <c r="AU96" i="32"/>
  <c r="BV299" i="32"/>
  <c r="BU246" i="32"/>
  <c r="BU248" i="32" s="1"/>
  <c r="AZ48" i="32"/>
  <c r="BN48" i="32" s="1"/>
  <c r="AT43" i="32"/>
  <c r="BV78" i="32"/>
  <c r="BV84" i="32" s="1"/>
  <c r="AZ89" i="32"/>
  <c r="BN89" i="32" s="1"/>
  <c r="AR58" i="32"/>
  <c r="AT53" i="32"/>
  <c r="AV145" i="32"/>
  <c r="AH146" i="32"/>
  <c r="BO145" i="32"/>
  <c r="AH182" i="32"/>
  <c r="BP305" i="32"/>
  <c r="AT188" i="32"/>
  <c r="AZ183" i="32"/>
  <c r="BN183" i="32" s="1"/>
  <c r="BU212" i="32"/>
  <c r="AZ212" i="32"/>
  <c r="BN212" i="32" s="1"/>
  <c r="I227" i="32"/>
  <c r="AH245" i="32"/>
  <c r="BO239" i="32"/>
  <c r="BO245" i="32" s="1"/>
  <c r="AV239" i="32"/>
  <c r="BU283" i="32"/>
  <c r="AZ161" i="32"/>
  <c r="BN161" i="32" s="1"/>
  <c r="AR107" i="32"/>
  <c r="BO299" i="32"/>
  <c r="AV150" i="32"/>
  <c r="BO199" i="32"/>
  <c r="AU130" i="32"/>
  <c r="BQ306" i="32"/>
  <c r="BQ13" i="32"/>
  <c r="I305" i="32"/>
  <c r="I109" i="32"/>
  <c r="AV113" i="32"/>
  <c r="BV110" i="32"/>
  <c r="BV113" i="32" s="1"/>
  <c r="AV171" i="32"/>
  <c r="BV165" i="32"/>
  <c r="BV171" i="32" s="1"/>
  <c r="I188" i="32"/>
  <c r="AH216" i="32"/>
  <c r="AV215" i="32"/>
  <c r="BO215" i="32"/>
  <c r="BO216" i="32" s="1"/>
  <c r="I297" i="32"/>
  <c r="AZ88" i="32"/>
  <c r="BN88" i="32" s="1"/>
  <c r="AR137" i="32"/>
  <c r="AT131" i="32"/>
  <c r="BV205" i="32"/>
  <c r="AU178" i="32"/>
  <c r="BU172" i="32"/>
  <c r="BU178" i="32" s="1"/>
  <c r="BU229" i="32"/>
  <c r="AV229" i="32"/>
  <c r="BV229" i="32" s="1"/>
  <c r="BV234" i="32" s="1"/>
  <c r="BO229" i="32"/>
  <c r="BO234" i="32" s="1"/>
  <c r="BP303" i="32"/>
  <c r="BO96" i="32"/>
  <c r="AZ143" i="32"/>
  <c r="BN143" i="32" s="1"/>
  <c r="BV151" i="32"/>
  <c r="BV157" i="32" s="1"/>
  <c r="AR300" i="32"/>
  <c r="AT115" i="32"/>
  <c r="AT120" i="32" s="1"/>
  <c r="AZ264" i="32"/>
  <c r="BN264" i="32" s="1"/>
  <c r="I245" i="32"/>
  <c r="BV283" i="32"/>
  <c r="AZ278" i="32"/>
  <c r="BN278" i="32" s="1"/>
  <c r="AV248" i="32"/>
  <c r="BV246" i="32"/>
  <c r="AQ296" i="32"/>
  <c r="BP17" i="32"/>
  <c r="BS296" i="32"/>
  <c r="AH304" i="32"/>
  <c r="AV50" i="32"/>
  <c r="BO50" i="32"/>
  <c r="BO304" i="32" s="1"/>
  <c r="BV109" i="32"/>
  <c r="AZ190" i="32"/>
  <c r="BN190" i="32" s="1"/>
  <c r="AZ169" i="32"/>
  <c r="BN169" i="32" s="1"/>
  <c r="BU169" i="32"/>
  <c r="BU171" i="32" s="1"/>
  <c r="AR188" i="32"/>
  <c r="AT182" i="32"/>
  <c r="I269" i="32"/>
  <c r="AH52" i="32"/>
  <c r="AZ56" i="32"/>
  <c r="BN56" i="32" s="1"/>
  <c r="AH65" i="32"/>
  <c r="AV59" i="32"/>
  <c r="BO59" i="32"/>
  <c r="BO65" i="32" s="1"/>
  <c r="AR90" i="32"/>
  <c r="AT85" i="32"/>
  <c r="AZ149" i="32"/>
  <c r="BN149" i="32" s="1"/>
  <c r="AT121" i="32"/>
  <c r="I300" i="32"/>
  <c r="AT158" i="32"/>
  <c r="AZ186" i="32"/>
  <c r="BN186" i="32" s="1"/>
  <c r="AZ288" i="32"/>
  <c r="BN288" i="32" s="1"/>
  <c r="AH199" i="32"/>
  <c r="I234" i="32"/>
  <c r="I304" i="32"/>
  <c r="I31" i="32"/>
  <c r="AZ210" i="32"/>
  <c r="BN210" i="32" s="1"/>
  <c r="BO238" i="32"/>
  <c r="AV130" i="32"/>
  <c r="AV283" i="32"/>
  <c r="AT15" i="31"/>
  <c r="AH78" i="31"/>
  <c r="AV12" i="31"/>
  <c r="AH15" i="31"/>
  <c r="BO12" i="31"/>
  <c r="BU17" i="31"/>
  <c r="AV17" i="31"/>
  <c r="BV17" i="31" s="1"/>
  <c r="BO17" i="31"/>
  <c r="BO19" i="31" s="1"/>
  <c r="AU38" i="31"/>
  <c r="BU33" i="31"/>
  <c r="BU38" i="31" s="1"/>
  <c r="AV20" i="31"/>
  <c r="AH23" i="31"/>
  <c r="BO20" i="31"/>
  <c r="I38" i="31"/>
  <c r="AZ50" i="31"/>
  <c r="BN50" i="31" s="1"/>
  <c r="BU70" i="31"/>
  <c r="BQ43" i="31"/>
  <c r="BV14" i="31"/>
  <c r="BS74" i="31"/>
  <c r="AT16" i="31"/>
  <c r="AT52" i="31"/>
  <c r="AZ49" i="31"/>
  <c r="BN49" i="31" s="1"/>
  <c r="Q74" i="31"/>
  <c r="J17" i="47" s="1"/>
  <c r="P74" i="31"/>
  <c r="I17" i="47" s="1"/>
  <c r="AQ77" i="31"/>
  <c r="AV38" i="31"/>
  <c r="BV33" i="31"/>
  <c r="BV38" i="31" s="1"/>
  <c r="AR87" i="31"/>
  <c r="AR25" i="31"/>
  <c r="AT24" i="31"/>
  <c r="AH79" i="31"/>
  <c r="AV26" i="31"/>
  <c r="AH32" i="31"/>
  <c r="BO26" i="31"/>
  <c r="I23" i="31"/>
  <c r="I73" i="31"/>
  <c r="AU73" i="31"/>
  <c r="AR78" i="31"/>
  <c r="BS77" i="31"/>
  <c r="I85" i="31"/>
  <c r="AR23" i="31"/>
  <c r="AR81" i="31"/>
  <c r="AT44" i="31"/>
  <c r="AR48" i="31"/>
  <c r="I81" i="31"/>
  <c r="I48" i="31"/>
  <c r="AH86" i="31"/>
  <c r="AH40" i="31"/>
  <c r="AV39" i="31"/>
  <c r="BO39" i="31"/>
  <c r="AT53" i="31"/>
  <c r="AR57" i="31"/>
  <c r="AZ51" i="31"/>
  <c r="BN51" i="31" s="1"/>
  <c r="AS87" i="31"/>
  <c r="AS25" i="31"/>
  <c r="Q77" i="31"/>
  <c r="I57" i="31"/>
  <c r="AZ47" i="31"/>
  <c r="BN47" i="31" s="1"/>
  <c r="AZ54" i="31"/>
  <c r="BN54" i="31" s="1"/>
  <c r="AS78" i="31"/>
  <c r="AS15" i="31"/>
  <c r="P77" i="31"/>
  <c r="BP87" i="31"/>
  <c r="BP25" i="31"/>
  <c r="BX86" i="31"/>
  <c r="BX40" i="31"/>
  <c r="BX74" i="31" s="1"/>
  <c r="BQ17" i="47" s="1"/>
  <c r="AQ74" i="31"/>
  <c r="AJ17" i="47" s="1"/>
  <c r="AZ55" i="31"/>
  <c r="BN55" i="31" s="1"/>
  <c r="BU63" i="31"/>
  <c r="AV73" i="31"/>
  <c r="BW77" i="31"/>
  <c r="AT65" i="31"/>
  <c r="AR67" i="31"/>
  <c r="AT20" i="31"/>
  <c r="BP81" i="31"/>
  <c r="BP48" i="31"/>
  <c r="AZ62" i="31"/>
  <c r="BN62" i="31" s="1"/>
  <c r="AR86" i="31"/>
  <c r="AR40" i="31"/>
  <c r="AT39" i="31"/>
  <c r="AZ46" i="31"/>
  <c r="BN46" i="31" s="1"/>
  <c r="I43" i="31"/>
  <c r="AV53" i="31"/>
  <c r="AH57" i="31"/>
  <c r="BO53" i="31"/>
  <c r="BO57" i="31" s="1"/>
  <c r="BV69" i="31"/>
  <c r="BV73" i="31" s="1"/>
  <c r="I64" i="31"/>
  <c r="BU60" i="31"/>
  <c r="AZ60" i="31"/>
  <c r="BN60" i="31" s="1"/>
  <c r="I32" i="31"/>
  <c r="BQ87" i="31"/>
  <c r="BQ25" i="31"/>
  <c r="I19" i="31"/>
  <c r="BU13" i="31"/>
  <c r="AV13" i="31"/>
  <c r="BV13" i="31" s="1"/>
  <c r="BO13" i="31"/>
  <c r="BU21" i="31"/>
  <c r="AV21" i="31"/>
  <c r="BV21" i="31" s="1"/>
  <c r="BO21" i="31"/>
  <c r="BQ78" i="31"/>
  <c r="BQ15" i="31"/>
  <c r="AH87" i="31"/>
  <c r="AV24" i="31"/>
  <c r="AH25" i="31"/>
  <c r="BO24" i="31"/>
  <c r="AR79" i="31"/>
  <c r="AR32" i="31"/>
  <c r="AT26" i="31"/>
  <c r="AT73" i="31"/>
  <c r="AZ68" i="31"/>
  <c r="BN68" i="31" s="1"/>
  <c r="AV42" i="31"/>
  <c r="BV42" i="31" s="1"/>
  <c r="BU42" i="31"/>
  <c r="BO42" i="31"/>
  <c r="BO43" i="31" s="1"/>
  <c r="AH64" i="31"/>
  <c r="BO58" i="31"/>
  <c r="BO64" i="31" s="1"/>
  <c r="AV58" i="31"/>
  <c r="AZ14" i="31"/>
  <c r="BU68" i="31"/>
  <c r="AH43" i="31"/>
  <c r="AH81" i="31"/>
  <c r="AV44" i="31"/>
  <c r="AH48" i="31"/>
  <c r="BO44" i="31"/>
  <c r="BY77" i="31"/>
  <c r="BP86" i="31"/>
  <c r="BP40" i="31"/>
  <c r="AV52" i="31"/>
  <c r="BV49" i="31"/>
  <c r="BV52" i="31" s="1"/>
  <c r="AZ71" i="31"/>
  <c r="BN71" i="31" s="1"/>
  <c r="I79" i="31"/>
  <c r="BR81" i="31"/>
  <c r="BR48" i="31"/>
  <c r="AG74" i="31"/>
  <c r="BP79" i="31"/>
  <c r="BP32" i="31"/>
  <c r="BU52" i="31"/>
  <c r="AR64" i="31"/>
  <c r="AT58" i="31"/>
  <c r="BU16" i="31"/>
  <c r="AH85" i="31"/>
  <c r="AV30" i="31"/>
  <c r="BO30" i="31"/>
  <c r="BO85" i="31" s="1"/>
  <c r="AU52" i="31"/>
  <c r="I78" i="31"/>
  <c r="I67" i="31"/>
  <c r="AG77" i="31"/>
  <c r="BV16" i="31"/>
  <c r="AT38" i="31"/>
  <c r="AZ33" i="31"/>
  <c r="I52" i="31"/>
  <c r="BU14" i="31"/>
  <c r="AR15" i="31"/>
  <c r="AR85" i="31"/>
  <c r="AT30" i="31"/>
  <c r="AV65" i="31"/>
  <c r="AH67" i="31"/>
  <c r="BO65" i="31"/>
  <c r="BO67" i="31" s="1"/>
  <c r="AR19" i="31"/>
  <c r="BS75" i="31"/>
  <c r="AZ56" i="31"/>
  <c r="BN56" i="31" s="1"/>
  <c r="AR112" i="30"/>
  <c r="AT29" i="30"/>
  <c r="AR30" i="30"/>
  <c r="BP113" i="30"/>
  <c r="BP17" i="30"/>
  <c r="BV49" i="30"/>
  <c r="BX113" i="30"/>
  <c r="BX17" i="30"/>
  <c r="AZ22" i="30"/>
  <c r="BN22" i="30" s="1"/>
  <c r="BP112" i="30"/>
  <c r="BP30" i="30"/>
  <c r="AV85" i="30"/>
  <c r="BV82" i="30"/>
  <c r="BY103" i="30"/>
  <c r="BO61" i="30"/>
  <c r="AQ101" i="30"/>
  <c r="BP105" i="30"/>
  <c r="BP23" i="30"/>
  <c r="AF100" i="30"/>
  <c r="Y16" i="47" s="1"/>
  <c r="BX104" i="30"/>
  <c r="BX15" i="30"/>
  <c r="I107" i="30"/>
  <c r="BS101" i="30"/>
  <c r="AU61" i="30"/>
  <c r="BU55" i="30"/>
  <c r="AT44" i="30"/>
  <c r="AS104" i="30"/>
  <c r="BZ103" i="30"/>
  <c r="BU49" i="30"/>
  <c r="AZ60" i="30"/>
  <c r="BN60" i="30" s="1"/>
  <c r="BQ111" i="30"/>
  <c r="BQ23" i="30"/>
  <c r="BV72" i="30"/>
  <c r="AH113" i="30"/>
  <c r="AV16" i="30"/>
  <c r="AH17" i="30"/>
  <c r="BO16" i="30"/>
  <c r="AR71" i="30"/>
  <c r="AT66" i="30"/>
  <c r="BV97" i="30"/>
  <c r="AT92" i="30"/>
  <c r="AZ86" i="30"/>
  <c r="BQ113" i="30"/>
  <c r="BQ17" i="30"/>
  <c r="AV81" i="30"/>
  <c r="BV76" i="30"/>
  <c r="BV81" i="30" s="1"/>
  <c r="AH111" i="30"/>
  <c r="BO20" i="30"/>
  <c r="BO111" i="30" s="1"/>
  <c r="AV20" i="30"/>
  <c r="AF103" i="30"/>
  <c r="AZ73" i="30"/>
  <c r="BN73" i="30" s="1"/>
  <c r="AZ31" i="30"/>
  <c r="AH105" i="30"/>
  <c r="AV18" i="30"/>
  <c r="AH23" i="30"/>
  <c r="BO18" i="30"/>
  <c r="BX23" i="30"/>
  <c r="BQ110" i="30"/>
  <c r="BQ15" i="30"/>
  <c r="AZ78" i="30"/>
  <c r="BN78" i="30" s="1"/>
  <c r="BU19" i="30"/>
  <c r="AZ19" i="30"/>
  <c r="BN19" i="30" s="1"/>
  <c r="AR110" i="30"/>
  <c r="AT14" i="30"/>
  <c r="AT15" i="30" s="1"/>
  <c r="AQ102" i="30"/>
  <c r="BU62" i="30"/>
  <c r="BU65" i="30" s="1"/>
  <c r="AZ52" i="30"/>
  <c r="BN52" i="30" s="1"/>
  <c r="AR99" i="30"/>
  <c r="AT93" i="30"/>
  <c r="BV31" i="30"/>
  <c r="AV45" i="30"/>
  <c r="AH48" i="30"/>
  <c r="BO45" i="30"/>
  <c r="AZ77" i="30"/>
  <c r="BN77" i="30" s="1"/>
  <c r="AZ59" i="30"/>
  <c r="BN59" i="30" s="1"/>
  <c r="AZ55" i="30"/>
  <c r="BU24" i="30"/>
  <c r="Q100" i="30"/>
  <c r="J16" i="47" s="1"/>
  <c r="AR48" i="30"/>
  <c r="AT45" i="30"/>
  <c r="AZ88" i="30"/>
  <c r="BN88" i="30" s="1"/>
  <c r="AT54" i="30"/>
  <c r="AZ49" i="30"/>
  <c r="AZ67" i="30"/>
  <c r="BN67" i="30" s="1"/>
  <c r="BQ112" i="30"/>
  <c r="BQ30" i="30"/>
  <c r="AZ70" i="30"/>
  <c r="BN70" i="30" s="1"/>
  <c r="AR113" i="30"/>
  <c r="AR17" i="30"/>
  <c r="AT16" i="30"/>
  <c r="I104" i="30"/>
  <c r="AV66" i="30"/>
  <c r="AH71" i="30"/>
  <c r="AU107" i="30"/>
  <c r="BO66" i="30"/>
  <c r="BO71" i="30" s="1"/>
  <c r="BU82" i="30"/>
  <c r="AZ46" i="30"/>
  <c r="BN46" i="30" s="1"/>
  <c r="AZ26" i="30"/>
  <c r="BN26" i="30" s="1"/>
  <c r="I112" i="30"/>
  <c r="I30" i="30"/>
  <c r="BU58" i="30"/>
  <c r="AV93" i="30"/>
  <c r="AH99" i="30"/>
  <c r="BO93" i="30"/>
  <c r="BO99" i="30" s="1"/>
  <c r="AS75" i="30"/>
  <c r="AT74" i="30"/>
  <c r="AZ41" i="30"/>
  <c r="BN41" i="30" s="1"/>
  <c r="AH112" i="30"/>
  <c r="AH30" i="30"/>
  <c r="AV29" i="30"/>
  <c r="BO29" i="30"/>
  <c r="AV40" i="30"/>
  <c r="BV40" i="30" s="1"/>
  <c r="BO40" i="30"/>
  <c r="AH44" i="30"/>
  <c r="AV28" i="30"/>
  <c r="AV92" i="30"/>
  <c r="BV87" i="30"/>
  <c r="BV92" i="30" s="1"/>
  <c r="I54" i="30"/>
  <c r="BU72" i="30"/>
  <c r="AG103" i="30"/>
  <c r="BX105" i="30"/>
  <c r="AZ43" i="30"/>
  <c r="BN43" i="30" s="1"/>
  <c r="BQ107" i="30"/>
  <c r="BQ37" i="30"/>
  <c r="BP107" i="30"/>
  <c r="I37" i="30"/>
  <c r="AH110" i="30"/>
  <c r="AV14" i="30"/>
  <c r="BO14" i="30"/>
  <c r="I65" i="30"/>
  <c r="AZ64" i="30"/>
  <c r="BN64" i="30" s="1"/>
  <c r="I85" i="30"/>
  <c r="AZ13" i="30"/>
  <c r="BN13" i="30" s="1"/>
  <c r="BX71" i="30"/>
  <c r="BU74" i="30"/>
  <c r="AV74" i="30"/>
  <c r="BV74" i="30" s="1"/>
  <c r="BO74" i="30"/>
  <c r="BO75" i="30" s="1"/>
  <c r="AZ62" i="30"/>
  <c r="AT65" i="30"/>
  <c r="I28" i="30"/>
  <c r="BV39" i="30"/>
  <c r="AQ100" i="30"/>
  <c r="AJ16" i="47" s="1"/>
  <c r="AS112" i="30"/>
  <c r="AS30" i="30"/>
  <c r="AV61" i="30"/>
  <c r="BV55" i="30"/>
  <c r="BV61" i="30" s="1"/>
  <c r="AU81" i="30"/>
  <c r="BU76" i="30"/>
  <c r="BU81" i="30" s="1"/>
  <c r="AV65" i="30"/>
  <c r="AZ12" i="30"/>
  <c r="BU51" i="30"/>
  <c r="BO51" i="30"/>
  <c r="BO54" i="30" s="1"/>
  <c r="AV51" i="30"/>
  <c r="BV51" i="30" s="1"/>
  <c r="AZ56" i="30"/>
  <c r="BN56" i="30" s="1"/>
  <c r="I111" i="30"/>
  <c r="AR111" i="30"/>
  <c r="AT20" i="30"/>
  <c r="AR105" i="30"/>
  <c r="AT18" i="30"/>
  <c r="AR23" i="30"/>
  <c r="BP104" i="30"/>
  <c r="I23" i="30"/>
  <c r="I110" i="30"/>
  <c r="I71" i="30"/>
  <c r="AZ79" i="30"/>
  <c r="BN79" i="30" s="1"/>
  <c r="AS113" i="30"/>
  <c r="AS17" i="30"/>
  <c r="AZ72" i="30"/>
  <c r="AU92" i="30"/>
  <c r="AG100" i="30"/>
  <c r="AT81" i="30"/>
  <c r="AZ57" i="30"/>
  <c r="BN57" i="30" s="1"/>
  <c r="BR104" i="30"/>
  <c r="BR15" i="30"/>
  <c r="BM102" i="30"/>
  <c r="BU31" i="30"/>
  <c r="I92" i="30"/>
  <c r="BO96" i="29"/>
  <c r="AV96" i="29"/>
  <c r="AH101" i="29"/>
  <c r="BP204" i="29"/>
  <c r="BP13" i="29"/>
  <c r="BP195" i="29"/>
  <c r="AH204" i="29"/>
  <c r="AH13" i="29"/>
  <c r="AV12" i="29"/>
  <c r="BO12" i="29"/>
  <c r="AR83" i="29"/>
  <c r="AT79" i="29"/>
  <c r="AS51" i="29"/>
  <c r="AT48" i="29"/>
  <c r="BO154" i="29"/>
  <c r="AH198" i="29"/>
  <c r="AV169" i="29"/>
  <c r="BO169" i="29"/>
  <c r="BO198" i="29" s="1"/>
  <c r="AH58" i="29"/>
  <c r="AV56" i="29"/>
  <c r="BO56" i="29"/>
  <c r="BO58" i="29" s="1"/>
  <c r="AG191" i="29"/>
  <c r="AR39" i="29"/>
  <c r="Q194" i="29"/>
  <c r="I51" i="29"/>
  <c r="AT69" i="29"/>
  <c r="AT70" i="29" s="1"/>
  <c r="AR70" i="29"/>
  <c r="BX196" i="29"/>
  <c r="BX89" i="29"/>
  <c r="I107" i="29"/>
  <c r="I203" i="29"/>
  <c r="I139" i="29"/>
  <c r="AV95" i="29"/>
  <c r="BV90" i="29"/>
  <c r="BV95" i="29" s="1"/>
  <c r="BQ196" i="29"/>
  <c r="AZ99" i="29"/>
  <c r="BN99" i="29" s="1"/>
  <c r="AZ118" i="29"/>
  <c r="BN118" i="29" s="1"/>
  <c r="BP201" i="29"/>
  <c r="AZ27" i="29"/>
  <c r="BN27" i="29" s="1"/>
  <c r="AZ90" i="29"/>
  <c r="AT95" i="29"/>
  <c r="AZ115" i="29"/>
  <c r="BN115" i="29" s="1"/>
  <c r="BM137" i="29"/>
  <c r="BP196" i="29"/>
  <c r="AZ129" i="29"/>
  <c r="BN129" i="29" s="1"/>
  <c r="AR107" i="29"/>
  <c r="AT102" i="29"/>
  <c r="AZ185" i="29"/>
  <c r="BN185" i="29" s="1"/>
  <c r="AZ189" i="29"/>
  <c r="BN189" i="29" s="1"/>
  <c r="AH195" i="29"/>
  <c r="AH17" i="29"/>
  <c r="AV14" i="29"/>
  <c r="BO14" i="29"/>
  <c r="I204" i="29"/>
  <c r="I13" i="29"/>
  <c r="AU78" i="29"/>
  <c r="AT137" i="29"/>
  <c r="AZ132" i="29"/>
  <c r="BN132" i="29" s="1"/>
  <c r="AH203" i="29"/>
  <c r="AH139" i="29"/>
  <c r="AV138" i="29"/>
  <c r="BO138" i="29"/>
  <c r="I137" i="29"/>
  <c r="P194" i="29"/>
  <c r="BU148" i="29"/>
  <c r="BU154" i="29" s="1"/>
  <c r="AR198" i="29"/>
  <c r="AT169" i="29"/>
  <c r="BU59" i="29"/>
  <c r="AH174" i="29"/>
  <c r="AV168" i="29"/>
  <c r="BO168" i="29"/>
  <c r="AH201" i="29"/>
  <c r="AV16" i="29"/>
  <c r="BO16" i="29"/>
  <c r="AH83" i="29"/>
  <c r="AV79" i="29"/>
  <c r="BO79" i="29"/>
  <c r="BO83" i="29" s="1"/>
  <c r="BU133" i="29"/>
  <c r="BU137" i="29" s="1"/>
  <c r="AV133" i="29"/>
  <c r="BV133" i="29" s="1"/>
  <c r="BV137" i="29" s="1"/>
  <c r="BO133" i="29"/>
  <c r="BO137" i="29" s="1"/>
  <c r="AU95" i="29"/>
  <c r="BU90" i="29"/>
  <c r="I17" i="29"/>
  <c r="AZ65" i="29"/>
  <c r="BN65" i="29" s="1"/>
  <c r="AR201" i="29"/>
  <c r="AT16" i="29"/>
  <c r="AT17" i="29" s="1"/>
  <c r="AH31" i="29"/>
  <c r="AV29" i="29"/>
  <c r="BO29" i="29"/>
  <c r="BO31" i="29" s="1"/>
  <c r="AZ157" i="29"/>
  <c r="BN157" i="29" s="1"/>
  <c r="AR167" i="29"/>
  <c r="AT164" i="29"/>
  <c r="AV155" i="29"/>
  <c r="AH158" i="29"/>
  <c r="BO155" i="29"/>
  <c r="BO158" i="29" s="1"/>
  <c r="AS55" i="29"/>
  <c r="AT52" i="29"/>
  <c r="I125" i="29"/>
  <c r="BR201" i="29"/>
  <c r="BX201" i="29"/>
  <c r="BX17" i="29"/>
  <c r="AZ53" i="29"/>
  <c r="BN53" i="29" s="1"/>
  <c r="AT78" i="29"/>
  <c r="AZ75" i="29"/>
  <c r="AH28" i="29"/>
  <c r="AV25" i="29"/>
  <c r="BO25" i="29"/>
  <c r="BO28" i="29" s="1"/>
  <c r="AV147" i="29"/>
  <c r="BV140" i="29"/>
  <c r="BV147" i="29" s="1"/>
  <c r="BT194" i="29"/>
  <c r="BU122" i="29"/>
  <c r="AZ76" i="29"/>
  <c r="BN76" i="29" s="1"/>
  <c r="AZ117" i="29"/>
  <c r="BN117" i="29" s="1"/>
  <c r="BN72" i="29"/>
  <c r="BM196" i="29"/>
  <c r="AG194" i="29"/>
  <c r="BU37" i="29"/>
  <c r="AV37" i="29"/>
  <c r="BV37" i="29" s="1"/>
  <c r="BV39" i="29" s="1"/>
  <c r="BO37" i="29"/>
  <c r="BO39" i="29" s="1"/>
  <c r="AV120" i="29"/>
  <c r="AH125" i="29"/>
  <c r="BO120" i="29"/>
  <c r="AU66" i="29"/>
  <c r="BU63" i="29"/>
  <c r="BU66" i="29" s="1"/>
  <c r="BY137" i="29"/>
  <c r="AR137" i="29"/>
  <c r="BP203" i="29"/>
  <c r="BP139" i="29"/>
  <c r="I190" i="29"/>
  <c r="AT120" i="29"/>
  <c r="BR95" i="29"/>
  <c r="AT21" i="29"/>
  <c r="AR24" i="29"/>
  <c r="BV59" i="29"/>
  <c r="AZ151" i="29"/>
  <c r="BN151" i="29" s="1"/>
  <c r="AR174" i="29"/>
  <c r="AT168" i="29"/>
  <c r="BX190" i="29"/>
  <c r="AZ77" i="29"/>
  <c r="BN77" i="29" s="1"/>
  <c r="AU113" i="29"/>
  <c r="AS204" i="29"/>
  <c r="AS13" i="29"/>
  <c r="AV44" i="29"/>
  <c r="BO44" i="29"/>
  <c r="BO47" i="29" s="1"/>
  <c r="AH47" i="29"/>
  <c r="AT154" i="29"/>
  <c r="AZ148" i="29"/>
  <c r="AH163" i="29"/>
  <c r="AV159" i="29"/>
  <c r="BO159" i="29"/>
  <c r="BO163" i="29" s="1"/>
  <c r="I174" i="29"/>
  <c r="AV52" i="29"/>
  <c r="BO52" i="29"/>
  <c r="BO55" i="29" s="1"/>
  <c r="AH55" i="29"/>
  <c r="AZ68" i="29"/>
  <c r="BN68" i="29" s="1"/>
  <c r="AH107" i="29"/>
  <c r="AV102" i="29"/>
  <c r="BO102" i="29"/>
  <c r="AZ178" i="29"/>
  <c r="AT183" i="29"/>
  <c r="AZ71" i="29"/>
  <c r="AT74" i="29"/>
  <c r="AV48" i="29"/>
  <c r="BO48" i="29"/>
  <c r="BO51" i="29" s="1"/>
  <c r="AH51" i="29"/>
  <c r="AV154" i="29"/>
  <c r="BV148" i="29"/>
  <c r="BV154" i="29" s="1"/>
  <c r="AH24" i="29"/>
  <c r="AV21" i="29"/>
  <c r="BO21" i="29"/>
  <c r="BO24" i="29" s="1"/>
  <c r="BU69" i="29"/>
  <c r="BU70" i="29" s="1"/>
  <c r="BO69" i="29"/>
  <c r="BO70" i="29" s="1"/>
  <c r="AV69" i="29"/>
  <c r="BV69" i="29" s="1"/>
  <c r="BV70" i="29" s="1"/>
  <c r="BU103" i="29"/>
  <c r="AR17" i="29"/>
  <c r="AT66" i="29"/>
  <c r="AZ63" i="29"/>
  <c r="AT36" i="29"/>
  <c r="BV84" i="29"/>
  <c r="AZ126" i="29"/>
  <c r="AT131" i="29"/>
  <c r="AU20" i="29"/>
  <c r="BU18" i="29"/>
  <c r="BU20" i="29" s="1"/>
  <c r="AR62" i="29"/>
  <c r="I113" i="29"/>
  <c r="AZ93" i="29"/>
  <c r="BN93" i="29" s="1"/>
  <c r="BU93" i="29"/>
  <c r="AR47" i="29"/>
  <c r="AT44" i="29"/>
  <c r="I119" i="29"/>
  <c r="BU124" i="29"/>
  <c r="I158" i="29"/>
  <c r="AZ187" i="29"/>
  <c r="BN187" i="29" s="1"/>
  <c r="BR196" i="29"/>
  <c r="I147" i="29"/>
  <c r="AF191" i="29"/>
  <c r="Y15" i="47" s="1"/>
  <c r="AZ130" i="29"/>
  <c r="BN130" i="29" s="1"/>
  <c r="BM190" i="29"/>
  <c r="BX195" i="29"/>
  <c r="BX202" i="29"/>
  <c r="AV113" i="29"/>
  <c r="AZ84" i="29"/>
  <c r="AT25" i="29"/>
  <c r="AR28" i="29"/>
  <c r="AH167" i="29"/>
  <c r="AV164" i="29"/>
  <c r="BO164" i="29"/>
  <c r="BO167" i="29" s="1"/>
  <c r="AZ67" i="29"/>
  <c r="BQ204" i="29"/>
  <c r="BQ13" i="29"/>
  <c r="BU41" i="29"/>
  <c r="BU43" i="29" s="1"/>
  <c r="AV41" i="29"/>
  <c r="BV41" i="29" s="1"/>
  <c r="BV43" i="29" s="1"/>
  <c r="BO41" i="29"/>
  <c r="AT119" i="29"/>
  <c r="AS195" i="29"/>
  <c r="AS17" i="29"/>
  <c r="I131" i="29"/>
  <c r="Q191" i="29"/>
  <c r="AZ105" i="29"/>
  <c r="BN105" i="29" s="1"/>
  <c r="AZ88" i="29"/>
  <c r="BN88" i="29" s="1"/>
  <c r="AT62" i="29"/>
  <c r="AZ59" i="29"/>
  <c r="I195" i="29"/>
  <c r="BU82" i="29"/>
  <c r="I43" i="29"/>
  <c r="I196" i="29"/>
  <c r="BS191" i="29"/>
  <c r="BU33" i="29"/>
  <c r="BU35" i="29" s="1"/>
  <c r="AV33" i="29"/>
  <c r="BV33" i="29" s="1"/>
  <c r="BV35" i="29" s="1"/>
  <c r="BO33" i="29"/>
  <c r="BO35" i="29" s="1"/>
  <c r="AZ171" i="29"/>
  <c r="BN171" i="29" s="1"/>
  <c r="AU74" i="29"/>
  <c r="BU71" i="29"/>
  <c r="BU74" i="29" s="1"/>
  <c r="BV66" i="29"/>
  <c r="AU147" i="29"/>
  <c r="BU140" i="29"/>
  <c r="BU147" i="29" s="1"/>
  <c r="BV76" i="29"/>
  <c r="BV78" i="29" s="1"/>
  <c r="AV78" i="29"/>
  <c r="AZ106" i="29"/>
  <c r="BN106" i="29" s="1"/>
  <c r="AS203" i="29"/>
  <c r="AS139" i="29"/>
  <c r="AR190" i="29"/>
  <c r="AT184" i="29"/>
  <c r="AZ57" i="29"/>
  <c r="BN57" i="29" s="1"/>
  <c r="AV20" i="29"/>
  <c r="BV18" i="29"/>
  <c r="BV20" i="29" s="1"/>
  <c r="AZ104" i="29"/>
  <c r="BN104" i="29" s="1"/>
  <c r="AZ136" i="29"/>
  <c r="BN136" i="29" s="1"/>
  <c r="AV131" i="29"/>
  <c r="BU84" i="29"/>
  <c r="AZ153" i="29"/>
  <c r="BN153" i="29" s="1"/>
  <c r="AR101" i="29"/>
  <c r="AT96" i="29"/>
  <c r="AZ127" i="29"/>
  <c r="BN127" i="29" s="1"/>
  <c r="AZ180" i="29"/>
  <c r="BN180" i="29" s="1"/>
  <c r="AT29" i="29"/>
  <c r="AR31" i="29"/>
  <c r="BR195" i="29"/>
  <c r="AZ73" i="29"/>
  <c r="BN73" i="29" s="1"/>
  <c r="I202" i="29"/>
  <c r="AZ141" i="29"/>
  <c r="BN141" i="29" s="1"/>
  <c r="AZ143" i="29"/>
  <c r="BN143" i="29" s="1"/>
  <c r="BV131" i="29"/>
  <c r="AZ150" i="29"/>
  <c r="BN150" i="29" s="1"/>
  <c r="AR163" i="29"/>
  <c r="AT159" i="29"/>
  <c r="AV74" i="29"/>
  <c r="BV71" i="29"/>
  <c r="BV74" i="29" s="1"/>
  <c r="AR158" i="29"/>
  <c r="AT155" i="29"/>
  <c r="AF194" i="29"/>
  <c r="I47" i="29"/>
  <c r="BU60" i="29"/>
  <c r="BO60" i="29"/>
  <c r="BO62" i="29" s="1"/>
  <c r="AV60" i="29"/>
  <c r="BV60" i="29" s="1"/>
  <c r="AZ49" i="29"/>
  <c r="BN49" i="29" s="1"/>
  <c r="AH70" i="29"/>
  <c r="AS113" i="29"/>
  <c r="AT108" i="29"/>
  <c r="AZ116" i="29"/>
  <c r="BN116" i="29" s="1"/>
  <c r="BQ203" i="29"/>
  <c r="BQ139" i="29"/>
  <c r="AH190" i="29"/>
  <c r="AV184" i="29"/>
  <c r="BO184" i="29"/>
  <c r="BO190" i="29" s="1"/>
  <c r="AZ181" i="29"/>
  <c r="BN181" i="29" s="1"/>
  <c r="BU181" i="29"/>
  <c r="BU183" i="29" s="1"/>
  <c r="BQ195" i="29"/>
  <c r="BQ17" i="29"/>
  <c r="BW194" i="29"/>
  <c r="AQ192" i="29"/>
  <c r="BS192" i="29"/>
  <c r="AV66" i="29"/>
  <c r="AH202" i="29"/>
  <c r="AV87" i="29"/>
  <c r="BO87" i="29"/>
  <c r="BO202" i="29" s="1"/>
  <c r="AR203" i="29"/>
  <c r="AT138" i="29"/>
  <c r="AR139" i="29"/>
  <c r="AZ152" i="29"/>
  <c r="BN152" i="29" s="1"/>
  <c r="AZ176" i="29"/>
  <c r="BN176" i="29" s="1"/>
  <c r="AR204" i="29"/>
  <c r="AT12" i="29"/>
  <c r="AR13" i="29"/>
  <c r="AZ128" i="29"/>
  <c r="BN128" i="29" s="1"/>
  <c r="AV109" i="32" l="1"/>
  <c r="AZ179" i="32"/>
  <c r="BO37" i="30"/>
  <c r="BO43" i="29"/>
  <c r="BU39" i="29"/>
  <c r="AZ186" i="29"/>
  <c r="BN186" i="29" s="1"/>
  <c r="AZ30" i="29"/>
  <c r="BN30" i="29" s="1"/>
  <c r="BO113" i="29"/>
  <c r="BM194" i="29"/>
  <c r="AZ38" i="29"/>
  <c r="BN38" i="29" s="1"/>
  <c r="AZ162" i="29"/>
  <c r="BN162" i="29" s="1"/>
  <c r="AZ170" i="29"/>
  <c r="BN170" i="29" s="1"/>
  <c r="AU154" i="29"/>
  <c r="AZ45" i="29"/>
  <c r="BN45" i="29" s="1"/>
  <c r="AZ182" i="29"/>
  <c r="BN182" i="29" s="1"/>
  <c r="BV182" i="29"/>
  <c r="BV183" i="29" s="1"/>
  <c r="AZ98" i="29"/>
  <c r="BN98" i="29" s="1"/>
  <c r="BM101" i="30"/>
  <c r="BV85" i="30"/>
  <c r="BM100" i="30"/>
  <c r="BF16" i="47" s="1"/>
  <c r="BM103" i="30"/>
  <c r="BU263" i="32"/>
  <c r="BU269" i="32" s="1"/>
  <c r="AZ86" i="32"/>
  <c r="BN86" i="32" s="1"/>
  <c r="AT299" i="32"/>
  <c r="BR103" i="30"/>
  <c r="BO101" i="29"/>
  <c r="AV119" i="29"/>
  <c r="AZ161" i="29"/>
  <c r="BN161" i="29" s="1"/>
  <c r="AZ114" i="32"/>
  <c r="BN114" i="32" s="1"/>
  <c r="BM296" i="32"/>
  <c r="AZ32" i="29"/>
  <c r="BN32" i="29" s="1"/>
  <c r="BX298" i="32"/>
  <c r="BX296" i="32" s="1"/>
  <c r="AR18" i="47"/>
  <c r="AV37" i="30"/>
  <c r="BY101" i="30"/>
  <c r="BU37" i="30"/>
  <c r="AU37" i="30"/>
  <c r="AZ246" i="32"/>
  <c r="AZ248" i="32" s="1"/>
  <c r="AU85" i="30"/>
  <c r="BR102" i="30"/>
  <c r="I102" i="30"/>
  <c r="BO137" i="32"/>
  <c r="AZ140" i="29"/>
  <c r="AZ147" i="29" s="1"/>
  <c r="BY191" i="29"/>
  <c r="BX192" i="29" s="1"/>
  <c r="AV89" i="29"/>
  <c r="AZ121" i="29"/>
  <c r="BN121" i="29" s="1"/>
  <c r="AZ108" i="32"/>
  <c r="BN108" i="32" s="1"/>
  <c r="BN109" i="32" s="1"/>
  <c r="AH295" i="32"/>
  <c r="BX77" i="31"/>
  <c r="AZ32" i="30"/>
  <c r="BN32" i="30" s="1"/>
  <c r="AZ83" i="30"/>
  <c r="BN83" i="30" s="1"/>
  <c r="BN85" i="30" s="1"/>
  <c r="AZ85" i="29"/>
  <c r="BN85" i="29" s="1"/>
  <c r="I294" i="32"/>
  <c r="AZ299" i="32"/>
  <c r="BX76" i="31"/>
  <c r="AS74" i="31"/>
  <c r="AL17" i="47" s="1"/>
  <c r="AU28" i="30"/>
  <c r="AT202" i="29"/>
  <c r="AU177" i="29"/>
  <c r="AZ156" i="29"/>
  <c r="BN156" i="29" s="1"/>
  <c r="BX191" i="29"/>
  <c r="BQ15" i="47" s="1"/>
  <c r="BX193" i="29"/>
  <c r="BO125" i="29"/>
  <c r="AZ20" i="29"/>
  <c r="AU43" i="32"/>
  <c r="AZ263" i="32"/>
  <c r="BN263" i="32" s="1"/>
  <c r="BN269" i="32" s="1"/>
  <c r="AZ40" i="32"/>
  <c r="BN40" i="32" s="1"/>
  <c r="BN43" i="32" s="1"/>
  <c r="AV22" i="32"/>
  <c r="AZ114" i="29"/>
  <c r="BN114" i="29" s="1"/>
  <c r="BN119" i="29" s="1"/>
  <c r="BR193" i="29"/>
  <c r="BY192" i="29"/>
  <c r="BR76" i="31"/>
  <c r="AZ18" i="32"/>
  <c r="AZ22" i="32" s="1"/>
  <c r="BV40" i="32"/>
  <c r="BV43" i="32" s="1"/>
  <c r="BR191" i="29"/>
  <c r="BK15" i="47" s="1"/>
  <c r="BM192" i="29"/>
  <c r="BO44" i="30"/>
  <c r="AZ25" i="30"/>
  <c r="AZ28" i="30" s="1"/>
  <c r="BV248" i="32"/>
  <c r="AU120" i="32"/>
  <c r="BX295" i="32"/>
  <c r="AS100" i="30"/>
  <c r="AL16" i="47" s="1"/>
  <c r="BU28" i="30"/>
  <c r="AV269" i="32"/>
  <c r="AV120" i="32"/>
  <c r="BV269" i="32"/>
  <c r="BU156" i="29"/>
  <c r="BU66" i="32"/>
  <c r="BU71" i="32" s="1"/>
  <c r="BU43" i="32"/>
  <c r="BN20" i="29"/>
  <c r="AT37" i="30"/>
  <c r="BR74" i="31"/>
  <c r="BK17" i="47" s="1"/>
  <c r="BM293" i="32"/>
  <c r="BF18" i="47" s="1"/>
  <c r="AT269" i="32"/>
  <c r="I295" i="32"/>
  <c r="AZ175" i="29"/>
  <c r="AZ177" i="29" s="1"/>
  <c r="BV175" i="29"/>
  <c r="BV177" i="29" s="1"/>
  <c r="AZ36" i="32"/>
  <c r="AZ39" i="32" s="1"/>
  <c r="BU188" i="32"/>
  <c r="AZ66" i="32"/>
  <c r="AZ71" i="32" s="1"/>
  <c r="AZ14" i="29"/>
  <c r="BN14" i="29" s="1"/>
  <c r="AU119" i="29"/>
  <c r="BU144" i="32"/>
  <c r="AV71" i="32"/>
  <c r="AZ40" i="29"/>
  <c r="BN40" i="29" s="1"/>
  <c r="AU196" i="29"/>
  <c r="BR77" i="31"/>
  <c r="AV182" i="32"/>
  <c r="BU22" i="32"/>
  <c r="AV39" i="29"/>
  <c r="AH103" i="30"/>
  <c r="AU22" i="32"/>
  <c r="BO107" i="29"/>
  <c r="AU84" i="31"/>
  <c r="BO214" i="32"/>
  <c r="AT71" i="32"/>
  <c r="AT35" i="32"/>
  <c r="AZ209" i="32"/>
  <c r="BN209" i="32" s="1"/>
  <c r="AZ196" i="32"/>
  <c r="BN196" i="32" s="1"/>
  <c r="BO17" i="32"/>
  <c r="AV52" i="32"/>
  <c r="BR295" i="32"/>
  <c r="BN99" i="32"/>
  <c r="BN299" i="32" s="1"/>
  <c r="AH296" i="32"/>
  <c r="AZ132" i="32"/>
  <c r="BN132" i="32" s="1"/>
  <c r="AU144" i="32"/>
  <c r="AU188" i="32"/>
  <c r="AZ12" i="31"/>
  <c r="BN12" i="31" s="1"/>
  <c r="AH76" i="31"/>
  <c r="BU19" i="31"/>
  <c r="AU19" i="31"/>
  <c r="BU73" i="31"/>
  <c r="BO84" i="31"/>
  <c r="BP75" i="31"/>
  <c r="BN73" i="31"/>
  <c r="AV84" i="31"/>
  <c r="AR100" i="30"/>
  <c r="BU75" i="30"/>
  <c r="BR100" i="30"/>
  <c r="BK16" i="47" s="1"/>
  <c r="AZ38" i="30"/>
  <c r="BN38" i="30" s="1"/>
  <c r="AZ51" i="30"/>
  <c r="BN51" i="30" s="1"/>
  <c r="BP100" i="30"/>
  <c r="BI16" i="47" s="1"/>
  <c r="AZ56" i="29"/>
  <c r="AZ58" i="29" s="1"/>
  <c r="AZ103" i="29"/>
  <c r="BN103" i="29" s="1"/>
  <c r="BX194" i="29"/>
  <c r="I193" i="29"/>
  <c r="AT195" i="29"/>
  <c r="BO196" i="29"/>
  <c r="AV196" i="29"/>
  <c r="BX294" i="32"/>
  <c r="BR18" i="47"/>
  <c r="BQ75" i="31"/>
  <c r="Z17" i="47"/>
  <c r="AU43" i="29"/>
  <c r="I192" i="29"/>
  <c r="J15" i="47"/>
  <c r="AU70" i="29"/>
  <c r="AR103" i="30"/>
  <c r="BQ100" i="30"/>
  <c r="BJ16" i="47" s="1"/>
  <c r="AZ17" i="31"/>
  <c r="BN17" i="31" s="1"/>
  <c r="BQ77" i="31"/>
  <c r="BR75" i="31"/>
  <c r="BL17" i="47"/>
  <c r="AZ239" i="32"/>
  <c r="AZ245" i="32" s="1"/>
  <c r="AU305" i="32"/>
  <c r="AV234" i="32"/>
  <c r="BR294" i="32"/>
  <c r="BL18" i="47"/>
  <c r="AV17" i="32"/>
  <c r="AT43" i="31"/>
  <c r="AZ41" i="31"/>
  <c r="BN41" i="31" s="1"/>
  <c r="BX75" i="31"/>
  <c r="BR17" i="47"/>
  <c r="I100" i="30"/>
  <c r="B16" i="47" s="1"/>
  <c r="AZ74" i="30"/>
  <c r="BN74" i="30" s="1"/>
  <c r="BP77" i="31"/>
  <c r="I74" i="31"/>
  <c r="B17" i="47" s="1"/>
  <c r="I76" i="31"/>
  <c r="BQ293" i="32"/>
  <c r="BJ18" i="47" s="1"/>
  <c r="AV199" i="32"/>
  <c r="BR101" i="30"/>
  <c r="BL16" i="47"/>
  <c r="BU36" i="32"/>
  <c r="BU39" i="32" s="1"/>
  <c r="AU39" i="32"/>
  <c r="BQ294" i="32"/>
  <c r="Z18" i="47"/>
  <c r="BR192" i="29"/>
  <c r="BL15" i="47"/>
  <c r="BP103" i="30"/>
  <c r="I77" i="31"/>
  <c r="I293" i="32"/>
  <c r="B18" i="47" s="1"/>
  <c r="BV36" i="32"/>
  <c r="BV39" i="32" s="1"/>
  <c r="AV39" i="32"/>
  <c r="BX101" i="30"/>
  <c r="BR16" i="47"/>
  <c r="AZ41" i="29"/>
  <c r="BN41" i="29" s="1"/>
  <c r="BO201" i="29"/>
  <c r="BM191" i="29"/>
  <c r="BF15" i="47" s="1"/>
  <c r="BQ101" i="30"/>
  <c r="Z16" i="47"/>
  <c r="BQ103" i="30"/>
  <c r="BV54" i="30"/>
  <c r="AR74" i="31"/>
  <c r="BV43" i="31"/>
  <c r="AZ27" i="32"/>
  <c r="BR293" i="32"/>
  <c r="BK18" i="47" s="1"/>
  <c r="AR296" i="32"/>
  <c r="AS296" i="32"/>
  <c r="BO303" i="32"/>
  <c r="AR194" i="29"/>
  <c r="AT196" i="29"/>
  <c r="BV62" i="29"/>
  <c r="BQ192" i="29"/>
  <c r="Z15" i="47"/>
  <c r="AZ65" i="30"/>
  <c r="AH100" i="30"/>
  <c r="AA16" i="47" s="1"/>
  <c r="AV54" i="30"/>
  <c r="BV19" i="31"/>
  <c r="BQ74" i="31"/>
  <c r="BJ17" i="47" s="1"/>
  <c r="AV43" i="31"/>
  <c r="BP74" i="31"/>
  <c r="BN23" i="32"/>
  <c r="BN27" i="32" s="1"/>
  <c r="AV65" i="32"/>
  <c r="BV59" i="32"/>
  <c r="BV65" i="32" s="1"/>
  <c r="AU304" i="32"/>
  <c r="BU50" i="32"/>
  <c r="BU304" i="32" s="1"/>
  <c r="AT137" i="32"/>
  <c r="AZ131" i="32"/>
  <c r="AV146" i="32"/>
  <c r="BV145" i="32"/>
  <c r="AZ43" i="32"/>
  <c r="AV306" i="32"/>
  <c r="AV13" i="32"/>
  <c r="BV12" i="32"/>
  <c r="AZ72" i="32"/>
  <c r="AT77" i="32"/>
  <c r="AZ291" i="32"/>
  <c r="AT292" i="32"/>
  <c r="AU214" i="32"/>
  <c r="BU206" i="32"/>
  <c r="BU214" i="32" s="1"/>
  <c r="BP293" i="32"/>
  <c r="BN228" i="32"/>
  <c r="AZ139" i="32"/>
  <c r="BN139" i="32" s="1"/>
  <c r="AU292" i="32"/>
  <c r="BU291" i="32"/>
  <c r="BU292" i="32" s="1"/>
  <c r="AU182" i="32"/>
  <c r="AT306" i="32"/>
  <c r="AZ12" i="32"/>
  <c r="AT13" i="32"/>
  <c r="AZ221" i="32"/>
  <c r="AT227" i="32"/>
  <c r="AT276" i="32"/>
  <c r="AZ270" i="32"/>
  <c r="AT298" i="32"/>
  <c r="AZ47" i="32"/>
  <c r="AU45" i="32"/>
  <c r="BU44" i="32"/>
  <c r="BU45" i="32" s="1"/>
  <c r="BP296" i="32"/>
  <c r="AU255" i="32"/>
  <c r="BU249" i="32"/>
  <c r="BU255" i="32" s="1"/>
  <c r="BO298" i="32"/>
  <c r="BO52" i="32"/>
  <c r="AT300" i="32"/>
  <c r="AZ115" i="32"/>
  <c r="AZ53" i="32"/>
  <c r="AT58" i="32"/>
  <c r="AZ31" i="32"/>
  <c r="BN28" i="32"/>
  <c r="BN31" i="32" s="1"/>
  <c r="AH293" i="32"/>
  <c r="AA18" i="47" s="1"/>
  <c r="AT290" i="32"/>
  <c r="AZ284" i="32"/>
  <c r="AZ195" i="32"/>
  <c r="BN189" i="32"/>
  <c r="BN195" i="32" s="1"/>
  <c r="BO297" i="32"/>
  <c r="AT220" i="32"/>
  <c r="AZ217" i="32"/>
  <c r="AZ180" i="32"/>
  <c r="BN180" i="32" s="1"/>
  <c r="AV137" i="32"/>
  <c r="BV131" i="32"/>
  <c r="BV137" i="32" s="1"/>
  <c r="AZ215" i="32"/>
  <c r="AT216" i="32"/>
  <c r="AZ150" i="32"/>
  <c r="BN147" i="32"/>
  <c r="BN150" i="32" s="1"/>
  <c r="AV45" i="32"/>
  <c r="BV44" i="32"/>
  <c r="BV45" i="32" s="1"/>
  <c r="AZ145" i="32"/>
  <c r="AT146" i="32"/>
  <c r="AU298" i="32"/>
  <c r="BU47" i="32"/>
  <c r="AU65" i="32"/>
  <c r="BU59" i="32"/>
  <c r="BU65" i="32" s="1"/>
  <c r="AV216" i="32"/>
  <c r="BV215" i="32"/>
  <c r="BV216" i="32" s="1"/>
  <c r="AV305" i="32"/>
  <c r="AT303" i="32"/>
  <c r="AZ16" i="32"/>
  <c r="AT96" i="32"/>
  <c r="AZ91" i="32"/>
  <c r="BN138" i="32"/>
  <c r="AU52" i="32"/>
  <c r="AU227" i="32"/>
  <c r="BU221" i="32"/>
  <c r="BU227" i="32" s="1"/>
  <c r="BN14" i="32"/>
  <c r="AT304" i="32"/>
  <c r="AZ50" i="32"/>
  <c r="AV292" i="32"/>
  <c r="BV291" i="32"/>
  <c r="BV292" i="32" s="1"/>
  <c r="AU58" i="32"/>
  <c r="BU53" i="32"/>
  <c r="BU58" i="32" s="1"/>
  <c r="AU302" i="32"/>
  <c r="BU101" i="32"/>
  <c r="BU302" i="32" s="1"/>
  <c r="AV290" i="32"/>
  <c r="BV284" i="32"/>
  <c r="BV290" i="32" s="1"/>
  <c r="AU17" i="32"/>
  <c r="AU137" i="32"/>
  <c r="BU131" i="32"/>
  <c r="BU137" i="32" s="1"/>
  <c r="AU107" i="32"/>
  <c r="AU199" i="32"/>
  <c r="AT205" i="32"/>
  <c r="AZ200" i="32"/>
  <c r="BX293" i="32"/>
  <c r="BQ18" i="47" s="1"/>
  <c r="AV298" i="32"/>
  <c r="BV47" i="32"/>
  <c r="BV144" i="32"/>
  <c r="AU77" i="32"/>
  <c r="BU72" i="32"/>
  <c r="BU77" i="32" s="1"/>
  <c r="AT90" i="32"/>
  <c r="AZ85" i="32"/>
  <c r="BN179" i="32"/>
  <c r="BU239" i="32"/>
  <c r="BU245" i="32" s="1"/>
  <c r="AU245" i="32"/>
  <c r="BO146" i="32"/>
  <c r="BO305" i="32"/>
  <c r="AZ15" i="32"/>
  <c r="BN15" i="32" s="1"/>
  <c r="AZ97" i="32"/>
  <c r="AT107" i="32"/>
  <c r="AU220" i="32"/>
  <c r="BU217" i="32"/>
  <c r="BU220" i="32" s="1"/>
  <c r="AV227" i="32"/>
  <c r="BV221" i="32"/>
  <c r="BV227" i="32" s="1"/>
  <c r="BO300" i="32"/>
  <c r="BO120" i="32"/>
  <c r="AT17" i="32"/>
  <c r="BQ296" i="32"/>
  <c r="AV58" i="32"/>
  <c r="BV53" i="32"/>
  <c r="BV58" i="32" s="1"/>
  <c r="BN46" i="32"/>
  <c r="AT238" i="32"/>
  <c r="AZ235" i="32"/>
  <c r="AZ249" i="32"/>
  <c r="AT255" i="32"/>
  <c r="AV302" i="32"/>
  <c r="BV101" i="32"/>
  <c r="BV302" i="32" s="1"/>
  <c r="AU290" i="32"/>
  <c r="BU284" i="32"/>
  <c r="BU290" i="32" s="1"/>
  <c r="AZ157" i="32"/>
  <c r="BN151" i="32"/>
  <c r="BN157" i="32" s="1"/>
  <c r="BR296" i="32"/>
  <c r="AT214" i="32"/>
  <c r="AZ206" i="32"/>
  <c r="AU124" i="32"/>
  <c r="BU121" i="32"/>
  <c r="BU124" i="32" s="1"/>
  <c r="AU297" i="32"/>
  <c r="AT45" i="32"/>
  <c r="AZ44" i="32"/>
  <c r="AZ262" i="32"/>
  <c r="BN256" i="32"/>
  <c r="BN262" i="32" s="1"/>
  <c r="AZ197" i="32"/>
  <c r="BN197" i="32" s="1"/>
  <c r="AV144" i="32"/>
  <c r="AV77" i="32"/>
  <c r="BV72" i="32"/>
  <c r="BV77" i="32" s="1"/>
  <c r="BO107" i="32"/>
  <c r="I296" i="32"/>
  <c r="AU216" i="32"/>
  <c r="BU215" i="32"/>
  <c r="BU216" i="32" s="1"/>
  <c r="AV245" i="32"/>
  <c r="BV239" i="32"/>
  <c r="BV245" i="32" s="1"/>
  <c r="AU146" i="32"/>
  <c r="BU145" i="32"/>
  <c r="BU146" i="32" s="1"/>
  <c r="BO306" i="32"/>
  <c r="BO13" i="32"/>
  <c r="BU109" i="32"/>
  <c r="AZ59" i="32"/>
  <c r="AT65" i="32"/>
  <c r="AV220" i="32"/>
  <c r="BV217" i="32"/>
  <c r="BV220" i="32" s="1"/>
  <c r="AV276" i="32"/>
  <c r="BV270" i="32"/>
  <c r="BV276" i="32" s="1"/>
  <c r="AU300" i="32"/>
  <c r="BU115" i="32"/>
  <c r="BU300" i="32" s="1"/>
  <c r="AT297" i="32"/>
  <c r="AU164" i="32"/>
  <c r="BU158" i="32"/>
  <c r="BU164" i="32" s="1"/>
  <c r="AV90" i="32"/>
  <c r="BV85" i="32"/>
  <c r="BV90" i="32" s="1"/>
  <c r="AZ113" i="32"/>
  <c r="BN110" i="32"/>
  <c r="BN113" i="32" s="1"/>
  <c r="AT52" i="32"/>
  <c r="BV188" i="32"/>
  <c r="AV297" i="32"/>
  <c r="AZ184" i="32"/>
  <c r="BN184" i="32" s="1"/>
  <c r="BN188" i="32" s="1"/>
  <c r="AV124" i="32"/>
  <c r="BV121" i="32"/>
  <c r="BV124" i="32" s="1"/>
  <c r="AH294" i="32"/>
  <c r="BP294" i="32"/>
  <c r="AZ178" i="32"/>
  <c r="BN172" i="32"/>
  <c r="BN178" i="32" s="1"/>
  <c r="AU303" i="32"/>
  <c r="BU16" i="32"/>
  <c r="AT302" i="32"/>
  <c r="AZ101" i="32"/>
  <c r="AZ229" i="32"/>
  <c r="BN229" i="32" s="1"/>
  <c r="AT124" i="32"/>
  <c r="AZ121" i="32"/>
  <c r="AT164" i="32"/>
  <c r="AZ158" i="32"/>
  <c r="AV304" i="32"/>
  <c r="BV50" i="32"/>
  <c r="BV304" i="32" s="1"/>
  <c r="AU306" i="32"/>
  <c r="AU13" i="32"/>
  <c r="BU12" i="32"/>
  <c r="AS293" i="32"/>
  <c r="AL18" i="47" s="1"/>
  <c r="AV214" i="32"/>
  <c r="BV206" i="32"/>
  <c r="BV214" i="32" s="1"/>
  <c r="AU276" i="32"/>
  <c r="BU270" i="32"/>
  <c r="BU276" i="32" s="1"/>
  <c r="AV300" i="32"/>
  <c r="BV115" i="32"/>
  <c r="BV300" i="32" s="1"/>
  <c r="AV164" i="32"/>
  <c r="BV158" i="32"/>
  <c r="BV164" i="32" s="1"/>
  <c r="AU90" i="32"/>
  <c r="BU85" i="32"/>
  <c r="BU90" i="32" s="1"/>
  <c r="AV188" i="32"/>
  <c r="AT130" i="32"/>
  <c r="AZ125" i="32"/>
  <c r="AR293" i="32"/>
  <c r="AK18" i="47" s="1"/>
  <c r="AZ84" i="32"/>
  <c r="BN78" i="32"/>
  <c r="BN84" i="32" s="1"/>
  <c r="AZ269" i="32"/>
  <c r="AZ277" i="32"/>
  <c r="AT283" i="32"/>
  <c r="AT178" i="32"/>
  <c r="AZ171" i="32"/>
  <c r="BN165" i="32"/>
  <c r="BN171" i="32" s="1"/>
  <c r="BU234" i="32"/>
  <c r="AZ35" i="32"/>
  <c r="BN32" i="32"/>
  <c r="BN35" i="32" s="1"/>
  <c r="AT305" i="32"/>
  <c r="AV303" i="32"/>
  <c r="BV16" i="32"/>
  <c r="AV255" i="32"/>
  <c r="BV249" i="32"/>
  <c r="BV255" i="32" s="1"/>
  <c r="AU234" i="32"/>
  <c r="AV67" i="31"/>
  <c r="BV65" i="31"/>
  <c r="BV67" i="31" s="1"/>
  <c r="AU57" i="31"/>
  <c r="BU53" i="31"/>
  <c r="BU57" i="31" s="1"/>
  <c r="AU67" i="31"/>
  <c r="BU65" i="31"/>
  <c r="BU67" i="31" s="1"/>
  <c r="BN52" i="31"/>
  <c r="AU85" i="31"/>
  <c r="BU30" i="31"/>
  <c r="BU85" i="31" s="1"/>
  <c r="BU43" i="31"/>
  <c r="AV81" i="31"/>
  <c r="AV48" i="31"/>
  <c r="BV44" i="31"/>
  <c r="BN14" i="31"/>
  <c r="AT57" i="31"/>
  <c r="AZ53" i="31"/>
  <c r="AU43" i="31"/>
  <c r="BV84" i="31"/>
  <c r="AU23" i="31"/>
  <c r="BU20" i="31"/>
  <c r="BU23" i="31" s="1"/>
  <c r="AV78" i="31"/>
  <c r="AV15" i="31"/>
  <c r="BV12" i="31"/>
  <c r="AT85" i="31"/>
  <c r="AZ30" i="31"/>
  <c r="AV85" i="31"/>
  <c r="BV30" i="31"/>
  <c r="BV85" i="31" s="1"/>
  <c r="AU81" i="31"/>
  <c r="AU48" i="31"/>
  <c r="BU44" i="31"/>
  <c r="AZ65" i="31"/>
  <c r="AT67" i="31"/>
  <c r="BO86" i="31"/>
  <c r="BO40" i="31"/>
  <c r="AT87" i="31"/>
  <c r="AZ24" i="31"/>
  <c r="AT25" i="31"/>
  <c r="I75" i="31"/>
  <c r="AT19" i="31"/>
  <c r="AZ16" i="31"/>
  <c r="AV23" i="31"/>
  <c r="BV20" i="31"/>
  <c r="BV23" i="31" s="1"/>
  <c r="AH77" i="31"/>
  <c r="AH75" i="31"/>
  <c r="AZ38" i="31"/>
  <c r="BN33" i="31"/>
  <c r="BN38" i="31" s="1"/>
  <c r="AV64" i="31"/>
  <c r="BV58" i="31"/>
  <c r="BV64" i="31" s="1"/>
  <c r="BO87" i="31"/>
  <c r="BO25" i="31"/>
  <c r="AS77" i="31"/>
  <c r="AV86" i="31"/>
  <c r="AV40" i="31"/>
  <c r="BV39" i="31"/>
  <c r="BO79" i="31"/>
  <c r="BO32" i="31"/>
  <c r="AZ21" i="31"/>
  <c r="BN21" i="31" s="1"/>
  <c r="AV19" i="31"/>
  <c r="AZ73" i="31"/>
  <c r="AT86" i="31"/>
  <c r="AZ39" i="31"/>
  <c r="AT40" i="31"/>
  <c r="AU86" i="31"/>
  <c r="AU40" i="31"/>
  <c r="BU39" i="31"/>
  <c r="AU79" i="31"/>
  <c r="AU32" i="31"/>
  <c r="BU26" i="31"/>
  <c r="AZ13" i="31"/>
  <c r="BN13" i="31" s="1"/>
  <c r="BO78" i="31"/>
  <c r="BO15" i="31"/>
  <c r="BU84" i="31"/>
  <c r="AT64" i="31"/>
  <c r="AZ58" i="31"/>
  <c r="BO81" i="31"/>
  <c r="BO48" i="31"/>
  <c r="AU87" i="31"/>
  <c r="AU25" i="31"/>
  <c r="BU24" i="31"/>
  <c r="AV57" i="31"/>
  <c r="BV53" i="31"/>
  <c r="BV57" i="31" s="1"/>
  <c r="AT81" i="31"/>
  <c r="AT48" i="31"/>
  <c r="AZ44" i="31"/>
  <c r="AR77" i="31"/>
  <c r="BO23" i="31"/>
  <c r="AH74" i="31"/>
  <c r="AA17" i="47" s="1"/>
  <c r="AZ42" i="31"/>
  <c r="AZ84" i="31" s="1"/>
  <c r="AU64" i="31"/>
  <c r="BU58" i="31"/>
  <c r="BU64" i="31" s="1"/>
  <c r="AT79" i="31"/>
  <c r="AT32" i="31"/>
  <c r="AZ26" i="31"/>
  <c r="AV87" i="31"/>
  <c r="AV25" i="31"/>
  <c r="BV24" i="31"/>
  <c r="AT23" i="31"/>
  <c r="AZ20" i="31"/>
  <c r="AV79" i="31"/>
  <c r="AV32" i="31"/>
  <c r="BV26" i="31"/>
  <c r="AZ52" i="31"/>
  <c r="AU78" i="31"/>
  <c r="AU15" i="31"/>
  <c r="BU12" i="31"/>
  <c r="AT78" i="31"/>
  <c r="AU71" i="30"/>
  <c r="BU66" i="30"/>
  <c r="AS103" i="30"/>
  <c r="AT112" i="30"/>
  <c r="AZ29" i="30"/>
  <c r="AT30" i="30"/>
  <c r="BO110" i="30"/>
  <c r="BO15" i="30"/>
  <c r="BN49" i="30"/>
  <c r="AV71" i="30"/>
  <c r="BV66" i="30"/>
  <c r="BV71" i="30" s="1"/>
  <c r="AU48" i="30"/>
  <c r="BU45" i="30"/>
  <c r="BU48" i="30" s="1"/>
  <c r="AT75" i="30"/>
  <c r="AT105" i="30"/>
  <c r="AT23" i="30"/>
  <c r="AZ18" i="30"/>
  <c r="AV44" i="30"/>
  <c r="AV110" i="30"/>
  <c r="BV14" i="30"/>
  <c r="AV15" i="30"/>
  <c r="AU75" i="30"/>
  <c r="AU112" i="30"/>
  <c r="AU30" i="30"/>
  <c r="BU29" i="30"/>
  <c r="BU85" i="30"/>
  <c r="I103" i="30"/>
  <c r="BV45" i="30"/>
  <c r="BV48" i="30" s="1"/>
  <c r="AV48" i="30"/>
  <c r="AV104" i="30"/>
  <c r="BO105" i="30"/>
  <c r="BO23" i="30"/>
  <c r="BN31" i="30"/>
  <c r="BO113" i="30"/>
  <c r="BO17" i="30"/>
  <c r="BU54" i="30"/>
  <c r="BU61" i="30"/>
  <c r="BX103" i="30"/>
  <c r="BX102" i="30"/>
  <c r="AV107" i="30"/>
  <c r="BO107" i="30"/>
  <c r="BU40" i="30"/>
  <c r="BU44" i="30" s="1"/>
  <c r="AU44" i="30"/>
  <c r="BO48" i="30"/>
  <c r="BO104" i="30"/>
  <c r="AZ93" i="30"/>
  <c r="AT99" i="30"/>
  <c r="AH102" i="30"/>
  <c r="AT71" i="30"/>
  <c r="AZ66" i="30"/>
  <c r="AT107" i="30"/>
  <c r="BN72" i="30"/>
  <c r="AU110" i="30"/>
  <c r="BU14" i="30"/>
  <c r="BO112" i="30"/>
  <c r="BO30" i="30"/>
  <c r="BN12" i="30"/>
  <c r="BN62" i="30"/>
  <c r="BN65" i="30" s="1"/>
  <c r="AU104" i="30"/>
  <c r="AV112" i="30"/>
  <c r="AV30" i="30"/>
  <c r="BV29" i="30"/>
  <c r="AT113" i="30"/>
  <c r="AT17" i="30"/>
  <c r="AZ16" i="30"/>
  <c r="AT48" i="30"/>
  <c r="AZ45" i="30"/>
  <c r="BV37" i="30"/>
  <c r="AU111" i="30"/>
  <c r="BU20" i="30"/>
  <c r="BU111" i="30" s="1"/>
  <c r="AZ92" i="30"/>
  <c r="BN86" i="30"/>
  <c r="BN92" i="30" s="1"/>
  <c r="AV75" i="30"/>
  <c r="AU54" i="30"/>
  <c r="AH101" i="30"/>
  <c r="BP101" i="30"/>
  <c r="BN81" i="30"/>
  <c r="AU105" i="30"/>
  <c r="AU23" i="30"/>
  <c r="BU18" i="30"/>
  <c r="AU113" i="30"/>
  <c r="AU17" i="30"/>
  <c r="BU16" i="30"/>
  <c r="AV99" i="30"/>
  <c r="BV93" i="30"/>
  <c r="BV99" i="30" s="1"/>
  <c r="AT104" i="30"/>
  <c r="BV44" i="30"/>
  <c r="AZ61" i="30"/>
  <c r="BN55" i="30"/>
  <c r="BN61" i="30" s="1"/>
  <c r="AV111" i="30"/>
  <c r="BV20" i="30"/>
  <c r="BV111" i="30" s="1"/>
  <c r="AZ40" i="30"/>
  <c r="BN40" i="30" s="1"/>
  <c r="BX100" i="30"/>
  <c r="BQ16" i="47" s="1"/>
  <c r="I101" i="30"/>
  <c r="AT111" i="30"/>
  <c r="AZ20" i="30"/>
  <c r="AU99" i="30"/>
  <c r="BU93" i="30"/>
  <c r="BU99" i="30" s="1"/>
  <c r="AT110" i="30"/>
  <c r="AZ14" i="30"/>
  <c r="AV105" i="30"/>
  <c r="AV23" i="30"/>
  <c r="BV18" i="30"/>
  <c r="AV113" i="30"/>
  <c r="AV17" i="30"/>
  <c r="BV16" i="30"/>
  <c r="BV75" i="30"/>
  <c r="AZ81" i="30"/>
  <c r="AU198" i="29"/>
  <c r="BU169" i="29"/>
  <c r="BU198" i="29" s="1"/>
  <c r="AT83" i="29"/>
  <c r="AZ79" i="29"/>
  <c r="AU101" i="29"/>
  <c r="BU96" i="29"/>
  <c r="BU101" i="29" s="1"/>
  <c r="AV24" i="29"/>
  <c r="BV21" i="29"/>
  <c r="BV24" i="29" s="1"/>
  <c r="AU107" i="29"/>
  <c r="BU102" i="29"/>
  <c r="BU107" i="29" s="1"/>
  <c r="BO174" i="29"/>
  <c r="AT198" i="29"/>
  <c r="AZ169" i="29"/>
  <c r="AH191" i="29"/>
  <c r="AA15" i="47" s="1"/>
  <c r="AU202" i="29"/>
  <c r="BU87" i="29"/>
  <c r="BU202" i="29" s="1"/>
  <c r="AT113" i="29"/>
  <c r="AZ108" i="29"/>
  <c r="BN59" i="29"/>
  <c r="AU174" i="29"/>
  <c r="BU168" i="29"/>
  <c r="AZ95" i="29"/>
  <c r="BN90" i="29"/>
  <c r="BN95" i="29" s="1"/>
  <c r="AU35" i="29"/>
  <c r="AV202" i="29"/>
  <c r="BV87" i="29"/>
  <c r="BV202" i="29" s="1"/>
  <c r="AU190" i="29"/>
  <c r="BU184" i="29"/>
  <c r="BU190" i="29" s="1"/>
  <c r="BR194" i="29"/>
  <c r="AS194" i="29"/>
  <c r="BN67" i="29"/>
  <c r="AZ37" i="29"/>
  <c r="BN37" i="29" s="1"/>
  <c r="AU24" i="29"/>
  <c r="BU21" i="29"/>
  <c r="BU24" i="29" s="1"/>
  <c r="AV51" i="29"/>
  <c r="BV48" i="29"/>
  <c r="BV51" i="29" s="1"/>
  <c r="AZ74" i="29"/>
  <c r="BN71" i="29"/>
  <c r="BN74" i="29" s="1"/>
  <c r="AV55" i="29"/>
  <c r="BV52" i="29"/>
  <c r="BV55" i="29" s="1"/>
  <c r="AU163" i="29"/>
  <c r="BU159" i="29"/>
  <c r="BU163" i="29" s="1"/>
  <c r="AV47" i="29"/>
  <c r="BV44" i="29"/>
  <c r="BV47" i="29" s="1"/>
  <c r="AV62" i="29"/>
  <c r="AV158" i="29"/>
  <c r="BV155" i="29"/>
  <c r="BV158" i="29" s="1"/>
  <c r="AV31" i="29"/>
  <c r="BV29" i="29"/>
  <c r="BV31" i="29" s="1"/>
  <c r="AV201" i="29"/>
  <c r="BV16" i="29"/>
  <c r="BV201" i="29" s="1"/>
  <c r="AV174" i="29"/>
  <c r="BV168" i="29"/>
  <c r="BO203" i="29"/>
  <c r="BO139" i="29"/>
  <c r="BO195" i="29"/>
  <c r="BO17" i="29"/>
  <c r="AV58" i="29"/>
  <c r="BV56" i="29"/>
  <c r="BV58" i="29" s="1"/>
  <c r="AV198" i="29"/>
  <c r="BV169" i="29"/>
  <c r="BV198" i="29" s="1"/>
  <c r="BP194" i="29"/>
  <c r="BP191" i="29"/>
  <c r="BI15" i="47" s="1"/>
  <c r="I194" i="29"/>
  <c r="BN84" i="29"/>
  <c r="AZ66" i="29"/>
  <c r="BN63" i="29"/>
  <c r="BN66" i="29" s="1"/>
  <c r="AU51" i="29"/>
  <c r="BU48" i="29"/>
  <c r="BU51" i="29" s="1"/>
  <c r="AV163" i="29"/>
  <c r="BV159" i="29"/>
  <c r="BV163" i="29" s="1"/>
  <c r="AU167" i="29"/>
  <c r="BU164" i="29"/>
  <c r="BU167" i="29" s="1"/>
  <c r="AV107" i="29"/>
  <c r="BV102" i="29"/>
  <c r="BV107" i="29" s="1"/>
  <c r="AU47" i="29"/>
  <c r="BU44" i="29"/>
  <c r="BU47" i="29" s="1"/>
  <c r="BQ194" i="29"/>
  <c r="BQ191" i="29"/>
  <c r="BJ15" i="47" s="1"/>
  <c r="AZ60" i="29"/>
  <c r="BN60" i="29" s="1"/>
  <c r="AH192" i="29"/>
  <c r="BP192" i="29"/>
  <c r="AT47" i="29"/>
  <c r="AZ44" i="29"/>
  <c r="AT39" i="29"/>
  <c r="AZ36" i="29"/>
  <c r="AV35" i="29"/>
  <c r="AU137" i="29"/>
  <c r="AZ154" i="29"/>
  <c r="BN148" i="29"/>
  <c r="BN154" i="29" s="1"/>
  <c r="AV28" i="29"/>
  <c r="BV25" i="29"/>
  <c r="BV28" i="29" s="1"/>
  <c r="AV137" i="29"/>
  <c r="AU158" i="29"/>
  <c r="BU155" i="29"/>
  <c r="BU95" i="29"/>
  <c r="AV83" i="29"/>
  <c r="BV79" i="29"/>
  <c r="BV83" i="29" s="1"/>
  <c r="AU201" i="29"/>
  <c r="BU16" i="29"/>
  <c r="BU201" i="29" s="1"/>
  <c r="AU203" i="29"/>
  <c r="AU139" i="29"/>
  <c r="BU138" i="29"/>
  <c r="AU195" i="29"/>
  <c r="AU17" i="29"/>
  <c r="BU14" i="29"/>
  <c r="BO204" i="29"/>
  <c r="BO13" i="29"/>
  <c r="AZ133" i="29"/>
  <c r="BN133" i="29" s="1"/>
  <c r="BN137" i="29" s="1"/>
  <c r="AZ78" i="29"/>
  <c r="BN75" i="29"/>
  <c r="BN78" i="29" s="1"/>
  <c r="AZ102" i="29"/>
  <c r="AT107" i="29"/>
  <c r="BO89" i="29"/>
  <c r="AT101" i="29"/>
  <c r="AZ96" i="29"/>
  <c r="AR191" i="29"/>
  <c r="AT204" i="29"/>
  <c r="AZ12" i="29"/>
  <c r="AT13" i="29"/>
  <c r="AT203" i="29"/>
  <c r="AT139" i="29"/>
  <c r="AZ138" i="29"/>
  <c r="AH193" i="29"/>
  <c r="AT31" i="29"/>
  <c r="AZ29" i="29"/>
  <c r="AT190" i="29"/>
  <c r="AZ184" i="29"/>
  <c r="AT28" i="29"/>
  <c r="AZ25" i="29"/>
  <c r="AV43" i="29"/>
  <c r="BN178" i="29"/>
  <c r="BN183" i="29" s="1"/>
  <c r="AS191" i="29"/>
  <c r="AL15" i="47" s="1"/>
  <c r="AT174" i="29"/>
  <c r="AZ168" i="29"/>
  <c r="AT24" i="29"/>
  <c r="AZ21" i="29"/>
  <c r="AU39" i="29"/>
  <c r="AT55" i="29"/>
  <c r="AZ52" i="29"/>
  <c r="AT167" i="29"/>
  <c r="AZ164" i="29"/>
  <c r="AU31" i="29"/>
  <c r="BU29" i="29"/>
  <c r="BU31" i="29" s="1"/>
  <c r="AU83" i="29"/>
  <c r="BU79" i="29"/>
  <c r="BU83" i="29" s="1"/>
  <c r="AU62" i="29"/>
  <c r="AV203" i="29"/>
  <c r="AV139" i="29"/>
  <c r="BV138" i="29"/>
  <c r="AV195" i="29"/>
  <c r="AV17" i="29"/>
  <c r="BV14" i="29"/>
  <c r="AZ33" i="29"/>
  <c r="BN33" i="29" s="1"/>
  <c r="AU58" i="29"/>
  <c r="BU56" i="29"/>
  <c r="BU58" i="29" s="1"/>
  <c r="AU204" i="29"/>
  <c r="AU13" i="29"/>
  <c r="BU12" i="29"/>
  <c r="AU55" i="29"/>
  <c r="BU52" i="29"/>
  <c r="BU55" i="29" s="1"/>
  <c r="AT125" i="29"/>
  <c r="AZ120" i="29"/>
  <c r="AV125" i="29"/>
  <c r="BV120" i="29"/>
  <c r="BV125" i="29" s="1"/>
  <c r="AH194" i="29"/>
  <c r="AV190" i="29"/>
  <c r="BV184" i="29"/>
  <c r="BV190" i="29" s="1"/>
  <c r="AT158" i="29"/>
  <c r="AZ155" i="29"/>
  <c r="AT163" i="29"/>
  <c r="AZ159" i="29"/>
  <c r="AU89" i="29"/>
  <c r="AV70" i="29"/>
  <c r="AV167" i="29"/>
  <c r="BV164" i="29"/>
  <c r="BV167" i="29" s="1"/>
  <c r="AZ131" i="29"/>
  <c r="BN126" i="29"/>
  <c r="BN131" i="29" s="1"/>
  <c r="AU125" i="29"/>
  <c r="BU120" i="29"/>
  <c r="BU125" i="29" s="1"/>
  <c r="AZ87" i="29"/>
  <c r="AU28" i="29"/>
  <c r="BU25" i="29"/>
  <c r="BU28" i="29" s="1"/>
  <c r="AT201" i="29"/>
  <c r="AZ16" i="29"/>
  <c r="BU62" i="29"/>
  <c r="I191" i="29"/>
  <c r="B15" i="47" s="1"/>
  <c r="AZ69" i="29"/>
  <c r="BN69" i="29" s="1"/>
  <c r="AT51" i="29"/>
  <c r="AZ48" i="29"/>
  <c r="AV204" i="29"/>
  <c r="AV13" i="29"/>
  <c r="BV12" i="29"/>
  <c r="AV101" i="29"/>
  <c r="BV96" i="29"/>
  <c r="BV101" i="29" s="1"/>
  <c r="AZ109" i="32" l="1"/>
  <c r="AZ183" i="29"/>
  <c r="BN140" i="29"/>
  <c r="BN147" i="29" s="1"/>
  <c r="BN175" i="29"/>
  <c r="BN177" i="29" s="1"/>
  <c r="BR15" i="47"/>
  <c r="BU158" i="29"/>
  <c r="BN246" i="32"/>
  <c r="BN248" i="32" s="1"/>
  <c r="BV303" i="32"/>
  <c r="BN18" i="32"/>
  <c r="BN22" i="32" s="1"/>
  <c r="AZ107" i="30"/>
  <c r="AZ37" i="30"/>
  <c r="AZ54" i="30"/>
  <c r="BN37" i="30"/>
  <c r="BN25" i="30"/>
  <c r="BN28" i="30" s="1"/>
  <c r="AZ85" i="30"/>
  <c r="BN66" i="32"/>
  <c r="BN71" i="32" s="1"/>
  <c r="AT101" i="30"/>
  <c r="AZ119" i="29"/>
  <c r="BN43" i="29"/>
  <c r="AZ17" i="29"/>
  <c r="BU303" i="32"/>
  <c r="AZ144" i="32"/>
  <c r="AK16" i="47"/>
  <c r="BN56" i="29"/>
  <c r="BN58" i="29" s="1"/>
  <c r="AZ43" i="29"/>
  <c r="BN36" i="32"/>
  <c r="BN39" i="32" s="1"/>
  <c r="BN239" i="32"/>
  <c r="BN245" i="32" s="1"/>
  <c r="BN54" i="30"/>
  <c r="BU89" i="29"/>
  <c r="BN144" i="32"/>
  <c r="AT295" i="32"/>
  <c r="AZ188" i="32"/>
  <c r="BU52" i="32"/>
  <c r="AZ15" i="31"/>
  <c r="AZ78" i="31"/>
  <c r="AT76" i="31"/>
  <c r="BO76" i="31"/>
  <c r="BN44" i="30"/>
  <c r="BO102" i="30"/>
  <c r="AU100" i="30"/>
  <c r="AN16" i="47" s="1"/>
  <c r="BV104" i="30"/>
  <c r="BU104" i="30"/>
  <c r="BV107" i="30"/>
  <c r="BO101" i="30"/>
  <c r="BU196" i="29"/>
  <c r="BO193" i="29"/>
  <c r="AT193" i="29"/>
  <c r="AZ196" i="29"/>
  <c r="AT102" i="30"/>
  <c r="AT296" i="32"/>
  <c r="AZ104" i="30"/>
  <c r="AU77" i="31"/>
  <c r="AT74" i="31"/>
  <c r="AM17" i="47" s="1"/>
  <c r="BU174" i="29"/>
  <c r="BN35" i="29"/>
  <c r="BN75" i="30"/>
  <c r="AT100" i="30"/>
  <c r="AM16" i="47" s="1"/>
  <c r="AV103" i="30"/>
  <c r="AZ44" i="30"/>
  <c r="BO293" i="32"/>
  <c r="BH18" i="47" s="1"/>
  <c r="BO294" i="32"/>
  <c r="BI18" i="47"/>
  <c r="AT192" i="29"/>
  <c r="AK15" i="47"/>
  <c r="AZ35" i="29"/>
  <c r="BO194" i="29"/>
  <c r="AT194" i="29"/>
  <c r="AZ75" i="30"/>
  <c r="BO75" i="31"/>
  <c r="BI17" i="47"/>
  <c r="AT75" i="31"/>
  <c r="AK17" i="47"/>
  <c r="AZ283" i="32"/>
  <c r="BN277" i="32"/>
  <c r="BN283" i="32" s="1"/>
  <c r="AZ290" i="32"/>
  <c r="BN284" i="32"/>
  <c r="BN290" i="32" s="1"/>
  <c r="AZ107" i="32"/>
  <c r="BN97" i="32"/>
  <c r="BV120" i="32"/>
  <c r="BV17" i="32"/>
  <c r="AZ304" i="32"/>
  <c r="BN50" i="32"/>
  <c r="BN304" i="32" s="1"/>
  <c r="AZ146" i="32"/>
  <c r="BN145" i="32"/>
  <c r="AZ216" i="32"/>
  <c r="BN215" i="32"/>
  <c r="BN216" i="32" s="1"/>
  <c r="AZ300" i="32"/>
  <c r="BN115" i="32"/>
  <c r="BN300" i="32" s="1"/>
  <c r="AT293" i="32"/>
  <c r="AM18" i="47" s="1"/>
  <c r="BV107" i="32"/>
  <c r="AV293" i="32"/>
  <c r="AZ137" i="32"/>
  <c r="BN131" i="32"/>
  <c r="BN137" i="32" s="1"/>
  <c r="AZ298" i="32"/>
  <c r="BN47" i="32"/>
  <c r="AZ305" i="32"/>
  <c r="AU296" i="32"/>
  <c r="AZ205" i="32"/>
  <c r="BN200" i="32"/>
  <c r="BN205" i="32" s="1"/>
  <c r="BV297" i="32"/>
  <c r="BU120" i="32"/>
  <c r="AZ276" i="32"/>
  <c r="BN270" i="32"/>
  <c r="BN276" i="32" s="1"/>
  <c r="AZ306" i="32"/>
  <c r="AZ13" i="32"/>
  <c r="BN12" i="32"/>
  <c r="AZ124" i="32"/>
  <c r="BN121" i="32"/>
  <c r="BN124" i="32" s="1"/>
  <c r="AZ45" i="32"/>
  <c r="BN44" i="32"/>
  <c r="BN45" i="32" s="1"/>
  <c r="AZ52" i="32"/>
  <c r="AU293" i="32"/>
  <c r="AZ302" i="32"/>
  <c r="BN101" i="32"/>
  <c r="BN302" i="32" s="1"/>
  <c r="AZ65" i="32"/>
  <c r="BN59" i="32"/>
  <c r="BN65" i="32" s="1"/>
  <c r="AZ255" i="32"/>
  <c r="BN249" i="32"/>
  <c r="BN255" i="32" s="1"/>
  <c r="BN182" i="32"/>
  <c r="AZ303" i="32"/>
  <c r="BN16" i="32"/>
  <c r="BN17" i="32" s="1"/>
  <c r="AZ220" i="32"/>
  <c r="BN217" i="32"/>
  <c r="BN220" i="32" s="1"/>
  <c r="BU107" i="32"/>
  <c r="BN199" i="32"/>
  <c r="BO295" i="32"/>
  <c r="BN234" i="32"/>
  <c r="AZ292" i="32"/>
  <c r="BN291" i="32"/>
  <c r="BN292" i="32" s="1"/>
  <c r="BN52" i="32"/>
  <c r="BU306" i="32"/>
  <c r="BU13" i="32"/>
  <c r="AT294" i="32"/>
  <c r="AZ164" i="32"/>
  <c r="BN158" i="32"/>
  <c r="BN164" i="32" s="1"/>
  <c r="AV296" i="32"/>
  <c r="AZ238" i="32"/>
  <c r="BN235" i="32"/>
  <c r="BN238" i="32" s="1"/>
  <c r="AZ182" i="32"/>
  <c r="AZ17" i="32"/>
  <c r="BU298" i="32"/>
  <c r="BU17" i="32"/>
  <c r="AZ199" i="32"/>
  <c r="AZ234" i="32"/>
  <c r="AZ96" i="32"/>
  <c r="BN91" i="32"/>
  <c r="BN96" i="32" s="1"/>
  <c r="AZ58" i="32"/>
  <c r="BN53" i="32"/>
  <c r="BN58" i="32" s="1"/>
  <c r="BV306" i="32"/>
  <c r="BV13" i="32"/>
  <c r="AZ130" i="32"/>
  <c r="BN125" i="32"/>
  <c r="BN130" i="32" s="1"/>
  <c r="BU305" i="32"/>
  <c r="AZ214" i="32"/>
  <c r="BN206" i="32"/>
  <c r="BN214" i="32" s="1"/>
  <c r="AZ90" i="32"/>
  <c r="BN85" i="32"/>
  <c r="BN90" i="32" s="1"/>
  <c r="BV298" i="32"/>
  <c r="BV52" i="32"/>
  <c r="AZ297" i="32"/>
  <c r="BU297" i="32"/>
  <c r="BO296" i="32"/>
  <c r="AZ120" i="32"/>
  <c r="AZ227" i="32"/>
  <c r="BN221" i="32"/>
  <c r="BN227" i="32" s="1"/>
  <c r="AZ77" i="32"/>
  <c r="BN72" i="32"/>
  <c r="BN77" i="32" s="1"/>
  <c r="BV146" i="32"/>
  <c r="BV305" i="32"/>
  <c r="BV79" i="31"/>
  <c r="BV32" i="31"/>
  <c r="BO77" i="31"/>
  <c r="AZ19" i="31"/>
  <c r="BN16" i="31"/>
  <c r="BN19" i="31" s="1"/>
  <c r="AT77" i="31"/>
  <c r="BN42" i="31"/>
  <c r="BN43" i="31" s="1"/>
  <c r="AZ43" i="31"/>
  <c r="AZ81" i="31"/>
  <c r="AZ48" i="31"/>
  <c r="BN44" i="31"/>
  <c r="BV78" i="31"/>
  <c r="BV15" i="31"/>
  <c r="BU78" i="31"/>
  <c r="BU15" i="31"/>
  <c r="BN15" i="31"/>
  <c r="BU79" i="31"/>
  <c r="BU32" i="31"/>
  <c r="AV74" i="31"/>
  <c r="AZ57" i="31"/>
  <c r="BN53" i="31"/>
  <c r="BN57" i="31" s="1"/>
  <c r="AZ79" i="31"/>
  <c r="AZ32" i="31"/>
  <c r="BN26" i="31"/>
  <c r="AU74" i="31"/>
  <c r="AZ23" i="31"/>
  <c r="BN20" i="31"/>
  <c r="BN23" i="31" s="1"/>
  <c r="AZ86" i="31"/>
  <c r="AZ40" i="31"/>
  <c r="BN39" i="31"/>
  <c r="AV77" i="31"/>
  <c r="BV86" i="31"/>
  <c r="BV40" i="31"/>
  <c r="AZ67" i="31"/>
  <c r="BN65" i="31"/>
  <c r="BN67" i="31" s="1"/>
  <c r="BV87" i="31"/>
  <c r="BV25" i="31"/>
  <c r="AZ64" i="31"/>
  <c r="BN58" i="31"/>
  <c r="BN64" i="31" s="1"/>
  <c r="BO74" i="31"/>
  <c r="BH17" i="47" s="1"/>
  <c r="BU86" i="31"/>
  <c r="BU40" i="31"/>
  <c r="AZ87" i="31"/>
  <c r="AZ25" i="31"/>
  <c r="BN24" i="31"/>
  <c r="AZ85" i="31"/>
  <c r="BN30" i="31"/>
  <c r="BN85" i="31" s="1"/>
  <c r="BU87" i="31"/>
  <c r="BU25" i="31"/>
  <c r="BU81" i="31"/>
  <c r="BU48" i="31"/>
  <c r="BV81" i="31"/>
  <c r="BV48" i="31"/>
  <c r="AZ112" i="30"/>
  <c r="AZ30" i="30"/>
  <c r="BN29" i="30"/>
  <c r="BU113" i="30"/>
  <c r="BU17" i="30"/>
  <c r="AZ99" i="30"/>
  <c r="BN93" i="30"/>
  <c r="BN99" i="30" s="1"/>
  <c r="AZ105" i="30"/>
  <c r="AZ23" i="30"/>
  <c r="BN18" i="30"/>
  <c r="AZ113" i="30"/>
  <c r="AZ17" i="30"/>
  <c r="BN16" i="30"/>
  <c r="AU103" i="30"/>
  <c r="BO103" i="30"/>
  <c r="BV113" i="30"/>
  <c r="BV17" i="30"/>
  <c r="AZ110" i="30"/>
  <c r="BN14" i="30"/>
  <c r="BN110" i="30" s="1"/>
  <c r="BV105" i="30"/>
  <c r="BV23" i="30"/>
  <c r="AT103" i="30"/>
  <c r="AZ71" i="30"/>
  <c r="BN66" i="30"/>
  <c r="AV100" i="30"/>
  <c r="BO100" i="30"/>
  <c r="BH16" i="47" s="1"/>
  <c r="AZ111" i="30"/>
  <c r="BN20" i="30"/>
  <c r="BN111" i="30" s="1"/>
  <c r="BU105" i="30"/>
  <c r="BU23" i="30"/>
  <c r="BU110" i="30"/>
  <c r="BU15" i="30"/>
  <c r="BV110" i="30"/>
  <c r="BV15" i="30"/>
  <c r="BU71" i="30"/>
  <c r="BU107" i="30"/>
  <c r="AZ48" i="30"/>
  <c r="BN45" i="30"/>
  <c r="BN48" i="30" s="1"/>
  <c r="AZ15" i="30"/>
  <c r="BV112" i="30"/>
  <c r="BV30" i="30"/>
  <c r="BU112" i="30"/>
  <c r="BU30" i="30"/>
  <c r="AZ51" i="29"/>
  <c r="BN48" i="29"/>
  <c r="BN51" i="29" s="1"/>
  <c r="BV203" i="29"/>
  <c r="BV139" i="29"/>
  <c r="AZ28" i="29"/>
  <c r="BN25" i="29"/>
  <c r="BN28" i="29" s="1"/>
  <c r="BU203" i="29"/>
  <c r="BU139" i="29"/>
  <c r="AZ163" i="29"/>
  <c r="BN159" i="29"/>
  <c r="BN163" i="29" s="1"/>
  <c r="AZ24" i="29"/>
  <c r="BN21" i="29"/>
  <c r="BN24" i="29" s="1"/>
  <c r="AZ31" i="29"/>
  <c r="BN29" i="29"/>
  <c r="BN31" i="29" s="1"/>
  <c r="AT191" i="29"/>
  <c r="AM15" i="47" s="1"/>
  <c r="BO191" i="29"/>
  <c r="BH15" i="47" s="1"/>
  <c r="AZ47" i="29"/>
  <c r="BN44" i="29"/>
  <c r="BN47" i="29" s="1"/>
  <c r="AZ137" i="29"/>
  <c r="AZ70" i="29"/>
  <c r="BN62" i="29"/>
  <c r="BV204" i="29"/>
  <c r="BV13" i="29"/>
  <c r="AZ202" i="29"/>
  <c r="BN87" i="29"/>
  <c r="BN202" i="29" s="1"/>
  <c r="AZ167" i="29"/>
  <c r="BN164" i="29"/>
  <c r="BN167" i="29" s="1"/>
  <c r="AZ204" i="29"/>
  <c r="AZ13" i="29"/>
  <c r="BN12" i="29"/>
  <c r="AZ89" i="29"/>
  <c r="AZ62" i="29"/>
  <c r="AZ83" i="29"/>
  <c r="BN79" i="29"/>
  <c r="BN83" i="29" s="1"/>
  <c r="AV191" i="29"/>
  <c r="AZ158" i="29"/>
  <c r="BN155" i="29"/>
  <c r="BN158" i="29" s="1"/>
  <c r="BU204" i="29"/>
  <c r="BU13" i="29"/>
  <c r="BV195" i="29"/>
  <c r="BV17" i="29"/>
  <c r="AZ174" i="29"/>
  <c r="BN168" i="29"/>
  <c r="AZ190" i="29"/>
  <c r="BN184" i="29"/>
  <c r="BN190" i="29" s="1"/>
  <c r="AZ107" i="29"/>
  <c r="BN102" i="29"/>
  <c r="BN107" i="29" s="1"/>
  <c r="BU195" i="29"/>
  <c r="BU17" i="29"/>
  <c r="AZ113" i="29"/>
  <c r="BN108" i="29"/>
  <c r="BN113" i="29" s="1"/>
  <c r="AZ198" i="29"/>
  <c r="BN169" i="29"/>
  <c r="BN198" i="29" s="1"/>
  <c r="AZ201" i="29"/>
  <c r="BN16" i="29"/>
  <c r="BN201" i="29" s="1"/>
  <c r="AZ125" i="29"/>
  <c r="BN120" i="29"/>
  <c r="BN125" i="29" s="1"/>
  <c r="AU191" i="29"/>
  <c r="AZ55" i="29"/>
  <c r="BN52" i="29"/>
  <c r="BN55" i="29" s="1"/>
  <c r="AZ195" i="29"/>
  <c r="AZ203" i="29"/>
  <c r="AZ139" i="29"/>
  <c r="BN138" i="29"/>
  <c r="BV174" i="29"/>
  <c r="BV89" i="29"/>
  <c r="AV194" i="29"/>
  <c r="AZ101" i="29"/>
  <c r="BN96" i="29"/>
  <c r="BN101" i="29" s="1"/>
  <c r="AU194" i="29"/>
  <c r="AZ39" i="29"/>
  <c r="BN36" i="29"/>
  <c r="BN39" i="29" s="1"/>
  <c r="BO192" i="29"/>
  <c r="BV196" i="29"/>
  <c r="BN70" i="29"/>
  <c r="AZ75" i="31" l="1"/>
  <c r="AZ76" i="31"/>
  <c r="BU101" i="30"/>
  <c r="BN120" i="32"/>
  <c r="BN84" i="31"/>
  <c r="AZ102" i="30"/>
  <c r="BN15" i="30"/>
  <c r="AZ193" i="29"/>
  <c r="BN196" i="29"/>
  <c r="BU192" i="29"/>
  <c r="AN15" i="47"/>
  <c r="BN174" i="29"/>
  <c r="BN104" i="30"/>
  <c r="BU103" i="30"/>
  <c r="BU75" i="31"/>
  <c r="AN17" i="47"/>
  <c r="BV75" i="31"/>
  <c r="AO17" i="47"/>
  <c r="BU194" i="29"/>
  <c r="BV77" i="31"/>
  <c r="BU294" i="32"/>
  <c r="AN18" i="47"/>
  <c r="BV192" i="29"/>
  <c r="AO15" i="47"/>
  <c r="AZ77" i="31"/>
  <c r="AZ192" i="29"/>
  <c r="BV103" i="30"/>
  <c r="AZ103" i="30"/>
  <c r="AZ74" i="31"/>
  <c r="AS17" i="47" s="1"/>
  <c r="BU296" i="32"/>
  <c r="BU293" i="32"/>
  <c r="BN18" i="47" s="1"/>
  <c r="BV294" i="32"/>
  <c r="AO18" i="47"/>
  <c r="BV101" i="30"/>
  <c r="AO16" i="47"/>
  <c r="AZ294" i="32"/>
  <c r="BN146" i="32"/>
  <c r="BN305" i="32"/>
  <c r="BN107" i="32"/>
  <c r="BV293" i="32"/>
  <c r="BN303" i="32"/>
  <c r="BN306" i="32"/>
  <c r="BN13" i="32"/>
  <c r="BN298" i="32"/>
  <c r="AZ293" i="32"/>
  <c r="AS18" i="47" s="1"/>
  <c r="BV296" i="32"/>
  <c r="AZ296" i="32"/>
  <c r="BN297" i="32"/>
  <c r="AZ295" i="32"/>
  <c r="BN78" i="31"/>
  <c r="BN81" i="31"/>
  <c r="BN48" i="31"/>
  <c r="BN86" i="31"/>
  <c r="BN40" i="31"/>
  <c r="BU74" i="31"/>
  <c r="BU77" i="31"/>
  <c r="BN76" i="31" s="1"/>
  <c r="BN87" i="31"/>
  <c r="BN25" i="31"/>
  <c r="BN79" i="31"/>
  <c r="BN32" i="31"/>
  <c r="BV74" i="31"/>
  <c r="BO17" i="47" s="1"/>
  <c r="BN71" i="30"/>
  <c r="BN107" i="30"/>
  <c r="BN113" i="30"/>
  <c r="BN17" i="30"/>
  <c r="BV100" i="30"/>
  <c r="BO16" i="47" s="1"/>
  <c r="AZ101" i="30"/>
  <c r="AZ100" i="30"/>
  <c r="AS16" i="47" s="1"/>
  <c r="BN112" i="30"/>
  <c r="BN30" i="30"/>
  <c r="BU100" i="30"/>
  <c r="BN105" i="30"/>
  <c r="BN23" i="30"/>
  <c r="BN204" i="29"/>
  <c r="BN13" i="29"/>
  <c r="BN203" i="29"/>
  <c r="BN139" i="29"/>
  <c r="BV194" i="29"/>
  <c r="AZ191" i="29"/>
  <c r="AS15" i="47" s="1"/>
  <c r="BU191" i="29"/>
  <c r="BN17" i="29"/>
  <c r="BV191" i="29"/>
  <c r="BO15" i="47" s="1"/>
  <c r="BN89" i="29"/>
  <c r="AZ194" i="29"/>
  <c r="BN195" i="29"/>
  <c r="BN193" i="29" l="1"/>
  <c r="BN102" i="30"/>
  <c r="BN295" i="32"/>
  <c r="BN74" i="31"/>
  <c r="BG17" i="47" s="1"/>
  <c r="BN103" i="30"/>
  <c r="BN101" i="30"/>
  <c r="BN16" i="47"/>
  <c r="BN100" i="30"/>
  <c r="BG16" i="47" s="1"/>
  <c r="BN75" i="31"/>
  <c r="BN17" i="47"/>
  <c r="BN293" i="32"/>
  <c r="BG18" i="47" s="1"/>
  <c r="BN296" i="32"/>
  <c r="BN294" i="32"/>
  <c r="BO18" i="47"/>
  <c r="BN192" i="29"/>
  <c r="BN15" i="47"/>
  <c r="BN77" i="31"/>
  <c r="BN191" i="29"/>
  <c r="BG15" i="47" s="1"/>
  <c r="BN194" i="29"/>
  <c r="M455" i="43" l="1"/>
  <c r="M448" i="43"/>
  <c r="M441" i="43"/>
  <c r="M434" i="43"/>
  <c r="M427" i="43"/>
  <c r="M420" i="43"/>
  <c r="M413" i="43"/>
  <c r="M406" i="43"/>
  <c r="M398" i="43"/>
  <c r="M388" i="43"/>
  <c r="M382" i="43"/>
  <c r="M369" i="43"/>
  <c r="M362" i="43"/>
  <c r="M356" i="43"/>
  <c r="M350" i="43"/>
  <c r="M344" i="43"/>
  <c r="M321" i="43"/>
  <c r="M311" i="43"/>
  <c r="M304" i="43"/>
  <c r="M295" i="43"/>
  <c r="M282" i="43"/>
  <c r="M271" i="43"/>
  <c r="M255" i="43"/>
  <c r="M248" i="43"/>
  <c r="M242" i="43"/>
  <c r="M236" i="43"/>
  <c r="M230" i="43"/>
  <c r="M224" i="43"/>
  <c r="M218" i="43"/>
  <c r="M211" i="43"/>
  <c r="M205" i="43"/>
  <c r="M199" i="43"/>
  <c r="M192" i="43"/>
  <c r="M186" i="43"/>
  <c r="M179" i="43"/>
  <c r="M172" i="43"/>
  <c r="M167" i="43"/>
  <c r="M161" i="43"/>
  <c r="M156" i="43"/>
  <c r="M150" i="43"/>
  <c r="M144" i="43"/>
  <c r="M137" i="43"/>
  <c r="M131" i="43"/>
  <c r="S455" i="43"/>
  <c r="S448" i="43"/>
  <c r="S441" i="43"/>
  <c r="S434" i="43"/>
  <c r="S427" i="43"/>
  <c r="S420" i="43"/>
  <c r="S413" i="43"/>
  <c r="S406" i="43"/>
  <c r="S402" i="43"/>
  <c r="S398" i="43"/>
  <c r="S388" i="43"/>
  <c r="S385" i="43"/>
  <c r="S382" i="43"/>
  <c r="S369" i="43"/>
  <c r="S362" i="43"/>
  <c r="S356" i="43"/>
  <c r="S350" i="43"/>
  <c r="S344" i="43"/>
  <c r="S340" i="43"/>
  <c r="S338" i="43"/>
  <c r="S321" i="43"/>
  <c r="S311" i="43"/>
  <c r="S304" i="43"/>
  <c r="S295" i="43"/>
  <c r="S290" i="43"/>
  <c r="S285" i="43"/>
  <c r="S282" i="43"/>
  <c r="S271" i="43"/>
  <c r="S255" i="43"/>
  <c r="S248" i="43"/>
  <c r="S242" i="43"/>
  <c r="S236" i="43"/>
  <c r="S230" i="43"/>
  <c r="S224" i="43"/>
  <c r="S218" i="43"/>
  <c r="S211" i="43"/>
  <c r="S205" i="43"/>
  <c r="S199" i="43"/>
  <c r="S192" i="43"/>
  <c r="S186" i="43"/>
  <c r="S179" i="43"/>
  <c r="S172" i="43"/>
  <c r="S167" i="43"/>
  <c r="S161" i="43"/>
  <c r="S156" i="43"/>
  <c r="S150" i="43"/>
  <c r="S144" i="43"/>
  <c r="S137" i="43"/>
  <c r="S131" i="43"/>
  <c r="S462" i="43" l="1"/>
  <c r="S458" i="43"/>
  <c r="S453" i="43"/>
  <c r="S446" i="43"/>
  <c r="S439" i="43"/>
  <c r="S432" i="43"/>
  <c r="S425" i="43"/>
  <c r="S418" i="43"/>
  <c r="S411" i="43"/>
  <c r="S404" i="43"/>
  <c r="S396" i="43"/>
  <c r="S392" i="43"/>
  <c r="S380" i="43"/>
  <c r="S375" i="43"/>
  <c r="S373" i="43"/>
  <c r="S367" i="43"/>
  <c r="S354" i="43"/>
  <c r="S348" i="43"/>
  <c r="S342" i="43"/>
  <c r="S335" i="43"/>
  <c r="S331" i="43"/>
  <c r="S327" i="43"/>
  <c r="S319" i="43"/>
  <c r="S315" i="43"/>
  <c r="S309" i="43"/>
  <c r="S302" i="43"/>
  <c r="S292" i="43"/>
  <c r="S287" i="43"/>
  <c r="S280" i="43"/>
  <c r="S275" i="43"/>
  <c r="S269" i="43"/>
  <c r="S265" i="43"/>
  <c r="S261" i="43"/>
  <c r="S253" i="43"/>
  <c r="S246" i="43"/>
  <c r="S240" i="43"/>
  <c r="S234" i="43"/>
  <c r="S228" i="43"/>
  <c r="S222" i="43"/>
  <c r="S216" i="43"/>
  <c r="S209" i="43"/>
  <c r="S203" i="43"/>
  <c r="S197" i="43"/>
  <c r="S190" i="43"/>
  <c r="S184" i="43"/>
  <c r="S177" i="43"/>
  <c r="S165" i="43"/>
  <c r="S154" i="43"/>
  <c r="S148" i="43"/>
  <c r="S142" i="43"/>
  <c r="S135" i="43"/>
  <c r="S129" i="43"/>
  <c r="S124" i="43"/>
  <c r="S119" i="43"/>
  <c r="S115" i="43"/>
  <c r="S112" i="43"/>
  <c r="S108" i="43"/>
  <c r="S104" i="43"/>
  <c r="S101" i="43"/>
  <c r="S97" i="43"/>
  <c r="S93" i="43"/>
  <c r="S89" i="43"/>
  <c r="S85" i="43"/>
  <c r="S81" i="43"/>
  <c r="S78" i="43"/>
  <c r="S74" i="43"/>
  <c r="S69" i="43"/>
  <c r="S66" i="43"/>
  <c r="S62" i="43"/>
  <c r="S58" i="43"/>
  <c r="S54" i="43"/>
  <c r="S51" i="43"/>
  <c r="S48" i="43"/>
  <c r="S45" i="43"/>
  <c r="S41" i="43"/>
  <c r="S38" i="43"/>
  <c r="S34" i="43"/>
  <c r="S30" i="43"/>
  <c r="S26" i="43"/>
  <c r="S21" i="43"/>
  <c r="M462" i="43"/>
  <c r="M458" i="43"/>
  <c r="M453" i="43"/>
  <c r="M446" i="43"/>
  <c r="M439" i="43"/>
  <c r="M432" i="43"/>
  <c r="M425" i="43"/>
  <c r="M418" i="43"/>
  <c r="M411" i="43"/>
  <c r="M404" i="43"/>
  <c r="M396" i="43"/>
  <c r="M392" i="43"/>
  <c r="M380" i="43"/>
  <c r="M375" i="43"/>
  <c r="M373" i="43"/>
  <c r="M367" i="43"/>
  <c r="M354" i="43"/>
  <c r="M348" i="43"/>
  <c r="M342" i="43"/>
  <c r="M335" i="43"/>
  <c r="M331" i="43"/>
  <c r="M327" i="43"/>
  <c r="M319" i="43"/>
  <c r="M315" i="43"/>
  <c r="M309" i="43"/>
  <c r="M302" i="43"/>
  <c r="M292" i="43"/>
  <c r="M287" i="43"/>
  <c r="M280" i="43"/>
  <c r="M275" i="43"/>
  <c r="M269" i="43"/>
  <c r="M265" i="43"/>
  <c r="M261" i="43"/>
  <c r="M253" i="43"/>
  <c r="M246" i="43"/>
  <c r="M240" i="43"/>
  <c r="M234" i="43"/>
  <c r="M228" i="43"/>
  <c r="M222" i="43"/>
  <c r="M216" i="43"/>
  <c r="M209" i="43"/>
  <c r="M203" i="43"/>
  <c r="M197" i="43"/>
  <c r="M190" i="43"/>
  <c r="M184" i="43"/>
  <c r="M177" i="43"/>
  <c r="M165" i="43"/>
  <c r="M154" i="43"/>
  <c r="M148" i="43"/>
  <c r="M142" i="43"/>
  <c r="M135" i="43"/>
  <c r="M129" i="43"/>
  <c r="M124" i="43"/>
  <c r="M119" i="43"/>
  <c r="M115" i="43"/>
  <c r="M112" i="43"/>
  <c r="M108" i="43"/>
  <c r="M104" i="43"/>
  <c r="M101" i="43"/>
  <c r="M97" i="43"/>
  <c r="M93" i="43"/>
  <c r="M89" i="43"/>
  <c r="M85" i="43"/>
  <c r="M81" i="43"/>
  <c r="M78" i="43"/>
  <c r="M74" i="43"/>
  <c r="M69" i="43"/>
  <c r="M66" i="43"/>
  <c r="M62" i="43"/>
  <c r="M58" i="43"/>
  <c r="M54" i="43"/>
  <c r="M51" i="43"/>
  <c r="M48" i="43"/>
  <c r="M45" i="43"/>
  <c r="M41" i="43"/>
  <c r="M38" i="43"/>
  <c r="M34" i="43"/>
  <c r="M30" i="43"/>
  <c r="M26" i="43"/>
  <c r="M21" i="43"/>
  <c r="S17" i="43"/>
  <c r="M17" i="43"/>
  <c r="M127" i="44"/>
  <c r="M119" i="44"/>
  <c r="M115" i="44"/>
  <c r="M109" i="44"/>
  <c r="M106" i="44"/>
  <c r="M97" i="44"/>
  <c r="M94" i="44"/>
  <c r="M83" i="44"/>
  <c r="M76" i="44"/>
  <c r="M69" i="44"/>
  <c r="M62" i="44"/>
  <c r="M55" i="44"/>
  <c r="M48" i="44"/>
  <c r="M41" i="44"/>
  <c r="M34" i="44"/>
  <c r="M25" i="44"/>
  <c r="M18" i="44"/>
  <c r="S127" i="44"/>
  <c r="S119" i="44"/>
  <c r="S115" i="44"/>
  <c r="S109" i="44"/>
  <c r="S106" i="44"/>
  <c r="S97" i="44"/>
  <c r="S94" i="44"/>
  <c r="S83" i="44"/>
  <c r="S76" i="44"/>
  <c r="S69" i="44"/>
  <c r="S62" i="44"/>
  <c r="S55" i="44"/>
  <c r="S48" i="44"/>
  <c r="S41" i="44"/>
  <c r="S34" i="44"/>
  <c r="S25" i="44"/>
  <c r="S18" i="44"/>
  <c r="M125" i="44"/>
  <c r="M117" i="44"/>
  <c r="M101" i="44"/>
  <c r="M91" i="44"/>
  <c r="M87" i="44"/>
  <c r="M81" i="44"/>
  <c r="M74" i="44"/>
  <c r="M67" i="44"/>
  <c r="M60" i="44"/>
  <c r="M53" i="44"/>
  <c r="M46" i="44"/>
  <c r="M39" i="44"/>
  <c r="M32" i="44"/>
  <c r="M23" i="44"/>
  <c r="M12" i="44"/>
  <c r="S125" i="44" l="1"/>
  <c r="S117" i="44"/>
  <c r="S101" i="44"/>
  <c r="S91" i="44"/>
  <c r="S87" i="44"/>
  <c r="S81" i="44"/>
  <c r="S74" i="44"/>
  <c r="S67" i="44"/>
  <c r="S60" i="44"/>
  <c r="S53" i="44"/>
  <c r="S46" i="44"/>
  <c r="S39" i="44"/>
  <c r="S32" i="44"/>
  <c r="S23" i="44"/>
  <c r="S12" i="44"/>
  <c r="AW208" i="43" l="1"/>
  <c r="BC116" i="44"/>
  <c r="X116" i="44"/>
  <c r="BC66" i="44"/>
  <c r="BC70" i="44" s="1"/>
  <c r="X66" i="44"/>
  <c r="AW22" i="44"/>
  <c r="AW28" i="44" s="1"/>
  <c r="BB128" i="44"/>
  <c r="BA128" i="44"/>
  <c r="BB121" i="44"/>
  <c r="BA121" i="44"/>
  <c r="BB112" i="44"/>
  <c r="BA112" i="44"/>
  <c r="BB110" i="44"/>
  <c r="BA110" i="44"/>
  <c r="BB104" i="44"/>
  <c r="BA104" i="44"/>
  <c r="BB102" i="44"/>
  <c r="BA102" i="44"/>
  <c r="BB98" i="44"/>
  <c r="BA98" i="44"/>
  <c r="BB92" i="44"/>
  <c r="BA92" i="44"/>
  <c r="BB88" i="44"/>
  <c r="BA88" i="44"/>
  <c r="BB84" i="44"/>
  <c r="BA84" i="44"/>
  <c r="BB77" i="44"/>
  <c r="BA77" i="44"/>
  <c r="BB70" i="44"/>
  <c r="BA70" i="44"/>
  <c r="BB63" i="44"/>
  <c r="BA63" i="44"/>
  <c r="BB56" i="44"/>
  <c r="BA56" i="44"/>
  <c r="BB49" i="44"/>
  <c r="BA49" i="44"/>
  <c r="BB42" i="44"/>
  <c r="BA42" i="44"/>
  <c r="BB35" i="44"/>
  <c r="BA35" i="44"/>
  <c r="BB28" i="44"/>
  <c r="BA28" i="44"/>
  <c r="BB19" i="44"/>
  <c r="BA19" i="44"/>
  <c r="BB13" i="44"/>
  <c r="BA13" i="44"/>
  <c r="BB463" i="43"/>
  <c r="BA463" i="43"/>
  <c r="BB459" i="43"/>
  <c r="BA459" i="43"/>
  <c r="BB456" i="43"/>
  <c r="BA456" i="43"/>
  <c r="BB449" i="43"/>
  <c r="BA449" i="43"/>
  <c r="BB442" i="43"/>
  <c r="BA442" i="43"/>
  <c r="BB435" i="43"/>
  <c r="BA435" i="43"/>
  <c r="BB428" i="43"/>
  <c r="BA428" i="43"/>
  <c r="BB421" i="43"/>
  <c r="BA421" i="43"/>
  <c r="BB414" i="43"/>
  <c r="BA414" i="43"/>
  <c r="BB407" i="43"/>
  <c r="BA407" i="43"/>
  <c r="BB400" i="43"/>
  <c r="BA400" i="43"/>
  <c r="BB393" i="43"/>
  <c r="BA393" i="43"/>
  <c r="BB389" i="43"/>
  <c r="BA389" i="43"/>
  <c r="BB383" i="43"/>
  <c r="BA383" i="43"/>
  <c r="BB376" i="43"/>
  <c r="BA376" i="43"/>
  <c r="BB374" i="43"/>
  <c r="BA374" i="43"/>
  <c r="BB370" i="43"/>
  <c r="BA370" i="43"/>
  <c r="BB363" i="43"/>
  <c r="BA363" i="43"/>
  <c r="BB358" i="43"/>
  <c r="BA358" i="43"/>
  <c r="BB351" i="43"/>
  <c r="BA351" i="43"/>
  <c r="BB345" i="43"/>
  <c r="BA345" i="43"/>
  <c r="BB336" i="43"/>
  <c r="BA336" i="43"/>
  <c r="BB332" i="43"/>
  <c r="BA332" i="43"/>
  <c r="BB328" i="43"/>
  <c r="BA328" i="43"/>
  <c r="BB324" i="43"/>
  <c r="BA324" i="43"/>
  <c r="BB322" i="43"/>
  <c r="BA322" i="43"/>
  <c r="BB316" i="43"/>
  <c r="BA316" i="43"/>
  <c r="BB312" i="43"/>
  <c r="BA312" i="43"/>
  <c r="BB305" i="43"/>
  <c r="BA305" i="43"/>
  <c r="BB298" i="43"/>
  <c r="BA298" i="43"/>
  <c r="BB296" i="43"/>
  <c r="BA296" i="43"/>
  <c r="BB288" i="43"/>
  <c r="BA288" i="43"/>
  <c r="BB283" i="43"/>
  <c r="BA283" i="43"/>
  <c r="BB276" i="43"/>
  <c r="BA276" i="43"/>
  <c r="BB272" i="43"/>
  <c r="BA272" i="43"/>
  <c r="BB266" i="43"/>
  <c r="BA266" i="43"/>
  <c r="BB262" i="43"/>
  <c r="BA262" i="43"/>
  <c r="BB258" i="43"/>
  <c r="BA258" i="43"/>
  <c r="BB256" i="43"/>
  <c r="BA256" i="43"/>
  <c r="BB249" i="43"/>
  <c r="BA249" i="43"/>
  <c r="BB243" i="43"/>
  <c r="BA243" i="43"/>
  <c r="BB237" i="43"/>
  <c r="BA237" i="43"/>
  <c r="BB231" i="43"/>
  <c r="BA231" i="43"/>
  <c r="BB225" i="43"/>
  <c r="BA225" i="43"/>
  <c r="BB219" i="43"/>
  <c r="BA219" i="43"/>
  <c r="BB213" i="43"/>
  <c r="BA213" i="43"/>
  <c r="BB206" i="43"/>
  <c r="BA206" i="43"/>
  <c r="BB200" i="43"/>
  <c r="BA200" i="43"/>
  <c r="BB194" i="43"/>
  <c r="BA194" i="43"/>
  <c r="BB187" i="43"/>
  <c r="BA187" i="43"/>
  <c r="BB180" i="43"/>
  <c r="BA180" i="43"/>
  <c r="BB174" i="43"/>
  <c r="BA174" i="43"/>
  <c r="BB168" i="43"/>
  <c r="BA168" i="43"/>
  <c r="BB162" i="43"/>
  <c r="BA162" i="43"/>
  <c r="BB157" i="43"/>
  <c r="BA157" i="43"/>
  <c r="BB151" i="43"/>
  <c r="BA151" i="43"/>
  <c r="BB145" i="43"/>
  <c r="BA145" i="43"/>
  <c r="BB139" i="43"/>
  <c r="BA139" i="43"/>
  <c r="BB132" i="43"/>
  <c r="BA132" i="43"/>
  <c r="BB125" i="43"/>
  <c r="BA125" i="43"/>
  <c r="BB120" i="43"/>
  <c r="BA120" i="43"/>
  <c r="BB116" i="43"/>
  <c r="BA116" i="43"/>
  <c r="BB113" i="43"/>
  <c r="BA113" i="43"/>
  <c r="BB109" i="43"/>
  <c r="BA109" i="43"/>
  <c r="BB105" i="43"/>
  <c r="BA105" i="43"/>
  <c r="BB102" i="43"/>
  <c r="BA102" i="43"/>
  <c r="BB98" i="43"/>
  <c r="BA98" i="43"/>
  <c r="BB94" i="43"/>
  <c r="BA94" i="43"/>
  <c r="BB90" i="43"/>
  <c r="BA90" i="43"/>
  <c r="BB86" i="43"/>
  <c r="BA86" i="43"/>
  <c r="BB82" i="43"/>
  <c r="BA82" i="43"/>
  <c r="BB79" i="43"/>
  <c r="BA79" i="43"/>
  <c r="BB75" i="43"/>
  <c r="BA75" i="43"/>
  <c r="BB70" i="43"/>
  <c r="BA70" i="43"/>
  <c r="BB67" i="43"/>
  <c r="BA67" i="43"/>
  <c r="BB63" i="43"/>
  <c r="BA63" i="43"/>
  <c r="BB59" i="43"/>
  <c r="BA59" i="43"/>
  <c r="BB55" i="43"/>
  <c r="BA55" i="43"/>
  <c r="BB52" i="43"/>
  <c r="BA52" i="43"/>
  <c r="BB49" i="43"/>
  <c r="BA49" i="43"/>
  <c r="BB46" i="43"/>
  <c r="BA46" i="43"/>
  <c r="BB42" i="43"/>
  <c r="BA42" i="43"/>
  <c r="BB39" i="43"/>
  <c r="BA39" i="43"/>
  <c r="BB35" i="43"/>
  <c r="BA35" i="43"/>
  <c r="BB31" i="43"/>
  <c r="BA31" i="43"/>
  <c r="BB27" i="43"/>
  <c r="BA27" i="43"/>
  <c r="BB22" i="43"/>
  <c r="BA22" i="43"/>
  <c r="BB18" i="43"/>
  <c r="BA18" i="43"/>
  <c r="BB13" i="43"/>
  <c r="BA13" i="43"/>
  <c r="AN128" i="44"/>
  <c r="AM128" i="44"/>
  <c r="AL128" i="44"/>
  <c r="AJ128" i="44"/>
  <c r="AI128" i="44"/>
  <c r="AN121" i="44"/>
  <c r="AM121" i="44"/>
  <c r="AL121" i="44"/>
  <c r="AJ121" i="44"/>
  <c r="AI121" i="44"/>
  <c r="AN112" i="44"/>
  <c r="AM112" i="44"/>
  <c r="AL112" i="44"/>
  <c r="AJ112" i="44"/>
  <c r="AI112" i="44"/>
  <c r="AN110" i="44"/>
  <c r="AM110" i="44"/>
  <c r="AL110" i="44"/>
  <c r="AJ110" i="44"/>
  <c r="AI110" i="44"/>
  <c r="AN104" i="44"/>
  <c r="AM104" i="44"/>
  <c r="AL104" i="44"/>
  <c r="AJ104" i="44"/>
  <c r="AI104" i="44"/>
  <c r="AN102" i="44"/>
  <c r="AM102" i="44"/>
  <c r="AL102" i="44"/>
  <c r="AJ102" i="44"/>
  <c r="AI102" i="44"/>
  <c r="AN98" i="44"/>
  <c r="AM98" i="44"/>
  <c r="AL98" i="44"/>
  <c r="AJ98" i="44"/>
  <c r="AI98" i="44"/>
  <c r="AN92" i="44"/>
  <c r="AM92" i="44"/>
  <c r="AL92" i="44"/>
  <c r="AJ92" i="44"/>
  <c r="AI92" i="44"/>
  <c r="AN88" i="44"/>
  <c r="AM88" i="44"/>
  <c r="AL88" i="44"/>
  <c r="AJ88" i="44"/>
  <c r="AI88" i="44"/>
  <c r="AN84" i="44"/>
  <c r="AM84" i="44"/>
  <c r="AL84" i="44"/>
  <c r="AJ84" i="44"/>
  <c r="AI84" i="44"/>
  <c r="AN77" i="44"/>
  <c r="AM77" i="44"/>
  <c r="AL77" i="44"/>
  <c r="AJ77" i="44"/>
  <c r="AI77" i="44"/>
  <c r="AN70" i="44"/>
  <c r="AM70" i="44"/>
  <c r="AL70" i="44"/>
  <c r="AJ70" i="44"/>
  <c r="AI70" i="44"/>
  <c r="AN63" i="44"/>
  <c r="AM63" i="44"/>
  <c r="AL63" i="44"/>
  <c r="AJ63" i="44"/>
  <c r="AI63" i="44"/>
  <c r="AN56" i="44"/>
  <c r="AM56" i="44"/>
  <c r="AL56" i="44"/>
  <c r="AJ56" i="44"/>
  <c r="AI56" i="44"/>
  <c r="AN49" i="44"/>
  <c r="AM49" i="44"/>
  <c r="AL49" i="44"/>
  <c r="AJ49" i="44"/>
  <c r="AI49" i="44"/>
  <c r="AN42" i="44"/>
  <c r="AM42" i="44"/>
  <c r="AL42" i="44"/>
  <c r="AJ42" i="44"/>
  <c r="AI42" i="44"/>
  <c r="AN35" i="44"/>
  <c r="AM35" i="44"/>
  <c r="AL35" i="44"/>
  <c r="AJ35" i="44"/>
  <c r="AI35" i="44"/>
  <c r="AN28" i="44"/>
  <c r="AM28" i="44"/>
  <c r="AL28" i="44"/>
  <c r="AJ28" i="44"/>
  <c r="AI28" i="44"/>
  <c r="AN19" i="44"/>
  <c r="AM19" i="44"/>
  <c r="AL19" i="44"/>
  <c r="AJ19" i="44"/>
  <c r="AI19" i="44"/>
  <c r="AN13" i="44"/>
  <c r="AM13" i="44"/>
  <c r="AL13" i="44"/>
  <c r="AJ13" i="44"/>
  <c r="AI13" i="44"/>
  <c r="M460" i="43"/>
  <c r="M457" i="43"/>
  <c r="M451" i="43"/>
  <c r="M450" i="43"/>
  <c r="M444" i="43"/>
  <c r="M443" i="43"/>
  <c r="M437" i="43"/>
  <c r="M436" i="43"/>
  <c r="M430" i="43"/>
  <c r="M429" i="43"/>
  <c r="M423" i="43"/>
  <c r="M422" i="43"/>
  <c r="M416" i="43"/>
  <c r="M415" i="43"/>
  <c r="M409" i="43"/>
  <c r="M408" i="43"/>
  <c r="M401" i="43"/>
  <c r="M394" i="43"/>
  <c r="M390" i="43"/>
  <c r="M384" i="43"/>
  <c r="M378" i="43"/>
  <c r="M377" i="43"/>
  <c r="M371" i="43"/>
  <c r="M365" i="43"/>
  <c r="M364" i="43"/>
  <c r="M359" i="43"/>
  <c r="M352" i="43"/>
  <c r="M346" i="43"/>
  <c r="M339" i="43"/>
  <c r="M337" i="43"/>
  <c r="M333" i="43"/>
  <c r="M329" i="43"/>
  <c r="M325" i="43"/>
  <c r="M317" i="43"/>
  <c r="M313" i="43"/>
  <c r="M307" i="43"/>
  <c r="M306" i="43"/>
  <c r="M300" i="43"/>
  <c r="M299" i="43"/>
  <c r="M289" i="43"/>
  <c r="M284" i="43"/>
  <c r="M278" i="43"/>
  <c r="M277" i="43"/>
  <c r="M273" i="43"/>
  <c r="M267" i="43"/>
  <c r="M263" i="43"/>
  <c r="M259" i="43"/>
  <c r="M250" i="43"/>
  <c r="M244" i="43"/>
  <c r="M238" i="43"/>
  <c r="M232" i="43"/>
  <c r="M226" i="43"/>
  <c r="M220" i="43"/>
  <c r="M214" i="43"/>
  <c r="M207" i="43"/>
  <c r="M201" i="43"/>
  <c r="M195" i="43"/>
  <c r="M188" i="43"/>
  <c r="M182" i="43"/>
  <c r="M181" i="43"/>
  <c r="M175" i="43"/>
  <c r="M169" i="43"/>
  <c r="M163" i="43"/>
  <c r="M158" i="43"/>
  <c r="M152" i="43"/>
  <c r="M146" i="43"/>
  <c r="M140" i="43"/>
  <c r="M133" i="43"/>
  <c r="M127" i="43"/>
  <c r="M126" i="43"/>
  <c r="M121" i="43"/>
  <c r="M117" i="43"/>
  <c r="M114" i="43"/>
  <c r="M110" i="43"/>
  <c r="M106" i="43"/>
  <c r="M103" i="43"/>
  <c r="M99" i="43"/>
  <c r="M95" i="43"/>
  <c r="M91" i="43"/>
  <c r="M87" i="43"/>
  <c r="M83" i="43"/>
  <c r="M80" i="43"/>
  <c r="M76" i="43"/>
  <c r="M71" i="43"/>
  <c r="M68" i="43"/>
  <c r="M64" i="43"/>
  <c r="M60" i="43"/>
  <c r="M56" i="43"/>
  <c r="M53" i="43"/>
  <c r="M50" i="43"/>
  <c r="M47" i="43"/>
  <c r="M43" i="43"/>
  <c r="M40" i="43"/>
  <c r="M36" i="43"/>
  <c r="M32" i="43"/>
  <c r="M28" i="43"/>
  <c r="M23" i="43"/>
  <c r="M14" i="43"/>
  <c r="M19" i="43"/>
  <c r="M126" i="44"/>
  <c r="M124" i="44"/>
  <c r="M123" i="44"/>
  <c r="M122" i="44"/>
  <c r="M120" i="44"/>
  <c r="M118" i="44"/>
  <c r="M116" i="44"/>
  <c r="M114" i="44"/>
  <c r="M113" i="44"/>
  <c r="M111" i="44"/>
  <c r="M108" i="44"/>
  <c r="M107" i="44"/>
  <c r="M105" i="44"/>
  <c r="M103" i="44"/>
  <c r="M100" i="44"/>
  <c r="M99" i="44"/>
  <c r="M96" i="44"/>
  <c r="M95" i="44"/>
  <c r="M93" i="44"/>
  <c r="M90" i="44"/>
  <c r="M89" i="44"/>
  <c r="M86" i="44"/>
  <c r="M85" i="44"/>
  <c r="M82" i="44"/>
  <c r="M80" i="44"/>
  <c r="M79" i="44"/>
  <c r="M78" i="44"/>
  <c r="M75" i="44"/>
  <c r="M73" i="44"/>
  <c r="M72" i="44"/>
  <c r="M71" i="44"/>
  <c r="M68" i="44"/>
  <c r="M66" i="44"/>
  <c r="M65" i="44"/>
  <c r="M64" i="44"/>
  <c r="M61" i="44"/>
  <c r="M59" i="44"/>
  <c r="M58" i="44"/>
  <c r="M57" i="44"/>
  <c r="M54" i="44"/>
  <c r="M52" i="44"/>
  <c r="M51" i="44"/>
  <c r="M50" i="44"/>
  <c r="M47" i="44"/>
  <c r="M45" i="44"/>
  <c r="M44" i="44"/>
  <c r="M43" i="44"/>
  <c r="M40" i="44"/>
  <c r="M38" i="44"/>
  <c r="M37" i="44"/>
  <c r="M36" i="44"/>
  <c r="M33" i="44"/>
  <c r="M31" i="44"/>
  <c r="M30" i="44"/>
  <c r="M29" i="44"/>
  <c r="M27" i="44"/>
  <c r="M26" i="44"/>
  <c r="M24" i="44"/>
  <c r="M22" i="44"/>
  <c r="M21" i="44"/>
  <c r="M20" i="44"/>
  <c r="M17" i="44"/>
  <c r="M14" i="44"/>
  <c r="BJ463" i="43"/>
  <c r="BI463" i="43"/>
  <c r="BH463" i="43"/>
  <c r="BG463" i="43"/>
  <c r="BF463" i="43"/>
  <c r="BE463" i="43"/>
  <c r="BC463" i="43"/>
  <c r="AX463" i="43"/>
  <c r="AW463" i="43"/>
  <c r="BJ459" i="43"/>
  <c r="BI459" i="43"/>
  <c r="BH459" i="43"/>
  <c r="BG459" i="43"/>
  <c r="BF459" i="43"/>
  <c r="BE459" i="43"/>
  <c r="BC459" i="43"/>
  <c r="AX459" i="43"/>
  <c r="AW459" i="43"/>
  <c r="BJ456" i="43"/>
  <c r="BI456" i="43"/>
  <c r="BH456" i="43"/>
  <c r="BG456" i="43"/>
  <c r="BF456" i="43"/>
  <c r="BE456" i="43"/>
  <c r="BC456" i="43"/>
  <c r="AX456" i="43"/>
  <c r="AW456" i="43"/>
  <c r="BJ449" i="43"/>
  <c r="BI449" i="43"/>
  <c r="BH449" i="43"/>
  <c r="BG449" i="43"/>
  <c r="BF449" i="43"/>
  <c r="BE449" i="43"/>
  <c r="BC449" i="43"/>
  <c r="AX449" i="43"/>
  <c r="AW449" i="43"/>
  <c r="BJ442" i="43"/>
  <c r="BI442" i="43"/>
  <c r="BH442" i="43"/>
  <c r="BG442" i="43"/>
  <c r="BF442" i="43"/>
  <c r="BE442" i="43"/>
  <c r="BC442" i="43"/>
  <c r="AX442" i="43"/>
  <c r="AW442" i="43"/>
  <c r="BJ435" i="43"/>
  <c r="BI435" i="43"/>
  <c r="BH435" i="43"/>
  <c r="BG435" i="43"/>
  <c r="BF435" i="43"/>
  <c r="BE435" i="43"/>
  <c r="BC435" i="43"/>
  <c r="AX435" i="43"/>
  <c r="AW435" i="43"/>
  <c r="BJ428" i="43"/>
  <c r="BI428" i="43"/>
  <c r="BH428" i="43"/>
  <c r="BG428" i="43"/>
  <c r="BF428" i="43"/>
  <c r="BE428" i="43"/>
  <c r="BC428" i="43"/>
  <c r="AX428" i="43"/>
  <c r="AW428" i="43"/>
  <c r="BJ421" i="43"/>
  <c r="BI421" i="43"/>
  <c r="BH421" i="43"/>
  <c r="BG421" i="43"/>
  <c r="BF421" i="43"/>
  <c r="BE421" i="43"/>
  <c r="BC421" i="43"/>
  <c r="AX421" i="43"/>
  <c r="AW421" i="43"/>
  <c r="BJ414" i="43"/>
  <c r="BI414" i="43"/>
  <c r="BH414" i="43"/>
  <c r="BG414" i="43"/>
  <c r="BF414" i="43"/>
  <c r="BE414" i="43"/>
  <c r="BC414" i="43"/>
  <c r="AX414" i="43"/>
  <c r="AW414" i="43"/>
  <c r="BJ407" i="43"/>
  <c r="BI407" i="43"/>
  <c r="BH407" i="43"/>
  <c r="BG407" i="43"/>
  <c r="BF407" i="43"/>
  <c r="BE407" i="43"/>
  <c r="BC407" i="43"/>
  <c r="AX407" i="43"/>
  <c r="AW407" i="43"/>
  <c r="BJ400" i="43"/>
  <c r="BI400" i="43"/>
  <c r="BH400" i="43"/>
  <c r="BG400" i="43"/>
  <c r="BF400" i="43"/>
  <c r="BE400" i="43"/>
  <c r="BC400" i="43"/>
  <c r="AX400" i="43"/>
  <c r="AW400" i="43"/>
  <c r="BJ393" i="43"/>
  <c r="BI393" i="43"/>
  <c r="BH393" i="43"/>
  <c r="BG393" i="43"/>
  <c r="BF393" i="43"/>
  <c r="BE393" i="43"/>
  <c r="BC393" i="43"/>
  <c r="AX393" i="43"/>
  <c r="AW393" i="43"/>
  <c r="BJ389" i="43"/>
  <c r="BI389" i="43"/>
  <c r="BH389" i="43"/>
  <c r="BG389" i="43"/>
  <c r="BF389" i="43"/>
  <c r="BE389" i="43"/>
  <c r="BC389" i="43"/>
  <c r="AX389" i="43"/>
  <c r="AW389" i="43"/>
  <c r="BJ383" i="43"/>
  <c r="BI383" i="43"/>
  <c r="BH383" i="43"/>
  <c r="BG383" i="43"/>
  <c r="BF383" i="43"/>
  <c r="BE383" i="43"/>
  <c r="BC383" i="43"/>
  <c r="AX383" i="43"/>
  <c r="AW383" i="43"/>
  <c r="BJ376" i="43"/>
  <c r="BI376" i="43"/>
  <c r="BH376" i="43"/>
  <c r="BG376" i="43"/>
  <c r="BF376" i="43"/>
  <c r="BE376" i="43"/>
  <c r="BC376" i="43"/>
  <c r="AX376" i="43"/>
  <c r="AW376" i="43"/>
  <c r="BJ374" i="43"/>
  <c r="BI374" i="43"/>
  <c r="BH374" i="43"/>
  <c r="BG374" i="43"/>
  <c r="BF374" i="43"/>
  <c r="BE374" i="43"/>
  <c r="BC374" i="43"/>
  <c r="AX374" i="43"/>
  <c r="AW374" i="43"/>
  <c r="BJ370" i="43"/>
  <c r="BI370" i="43"/>
  <c r="BH370" i="43"/>
  <c r="BG370" i="43"/>
  <c r="BF370" i="43"/>
  <c r="BE370" i="43"/>
  <c r="BC370" i="43"/>
  <c r="AX370" i="43"/>
  <c r="AW370" i="43"/>
  <c r="BJ363" i="43"/>
  <c r="BI363" i="43"/>
  <c r="BH363" i="43"/>
  <c r="BG363" i="43"/>
  <c r="BF363" i="43"/>
  <c r="BE363" i="43"/>
  <c r="BC363" i="43"/>
  <c r="AX363" i="43"/>
  <c r="AW363" i="43"/>
  <c r="BJ358" i="43"/>
  <c r="BI358" i="43"/>
  <c r="BH358" i="43"/>
  <c r="BG358" i="43"/>
  <c r="BF358" i="43"/>
  <c r="BE358" i="43"/>
  <c r="BC358" i="43"/>
  <c r="AX358" i="43"/>
  <c r="AW358" i="43"/>
  <c r="BJ351" i="43"/>
  <c r="BI351" i="43"/>
  <c r="BH351" i="43"/>
  <c r="BG351" i="43"/>
  <c r="BF351" i="43"/>
  <c r="BE351" i="43"/>
  <c r="BC351" i="43"/>
  <c r="AX351" i="43"/>
  <c r="AW351" i="43"/>
  <c r="BJ345" i="43"/>
  <c r="BI345" i="43"/>
  <c r="BH345" i="43"/>
  <c r="BG345" i="43"/>
  <c r="BF345" i="43"/>
  <c r="BE345" i="43"/>
  <c r="BC345" i="43"/>
  <c r="AX345" i="43"/>
  <c r="AW345" i="43"/>
  <c r="BJ336" i="43"/>
  <c r="BI336" i="43"/>
  <c r="BH336" i="43"/>
  <c r="BG336" i="43"/>
  <c r="BF336" i="43"/>
  <c r="BE336" i="43"/>
  <c r="BC336" i="43"/>
  <c r="AX336" i="43"/>
  <c r="AW336" i="43"/>
  <c r="BJ332" i="43"/>
  <c r="BI332" i="43"/>
  <c r="BH332" i="43"/>
  <c r="BG332" i="43"/>
  <c r="BF332" i="43"/>
  <c r="BE332" i="43"/>
  <c r="BC332" i="43"/>
  <c r="AX332" i="43"/>
  <c r="AW332" i="43"/>
  <c r="BJ328" i="43"/>
  <c r="BI328" i="43"/>
  <c r="BH328" i="43"/>
  <c r="BG328" i="43"/>
  <c r="BF328" i="43"/>
  <c r="BE328" i="43"/>
  <c r="BC328" i="43"/>
  <c r="AX328" i="43"/>
  <c r="AW328" i="43"/>
  <c r="BJ324" i="43"/>
  <c r="BI324" i="43"/>
  <c r="BH324" i="43"/>
  <c r="BG324" i="43"/>
  <c r="BF324" i="43"/>
  <c r="BE324" i="43"/>
  <c r="BC324" i="43"/>
  <c r="AX324" i="43"/>
  <c r="AW324" i="43"/>
  <c r="BJ322" i="43"/>
  <c r="BI322" i="43"/>
  <c r="BH322" i="43"/>
  <c r="BG322" i="43"/>
  <c r="BF322" i="43"/>
  <c r="BE322" i="43"/>
  <c r="BC322" i="43"/>
  <c r="AX322" i="43"/>
  <c r="AW322" i="43"/>
  <c r="BJ316" i="43"/>
  <c r="BI316" i="43"/>
  <c r="BH316" i="43"/>
  <c r="BG316" i="43"/>
  <c r="BF316" i="43"/>
  <c r="BE316" i="43"/>
  <c r="BC316" i="43"/>
  <c r="AX316" i="43"/>
  <c r="AW316" i="43"/>
  <c r="BJ312" i="43"/>
  <c r="BI312" i="43"/>
  <c r="BH312" i="43"/>
  <c r="BG312" i="43"/>
  <c r="BF312" i="43"/>
  <c r="BE312" i="43"/>
  <c r="BC312" i="43"/>
  <c r="AX312" i="43"/>
  <c r="AW312" i="43"/>
  <c r="BJ305" i="43"/>
  <c r="BI305" i="43"/>
  <c r="BH305" i="43"/>
  <c r="BG305" i="43"/>
  <c r="BF305" i="43"/>
  <c r="BE305" i="43"/>
  <c r="BC305" i="43"/>
  <c r="AX305" i="43"/>
  <c r="AW305" i="43"/>
  <c r="BJ298" i="43"/>
  <c r="BI298" i="43"/>
  <c r="BH298" i="43"/>
  <c r="BG298" i="43"/>
  <c r="BF298" i="43"/>
  <c r="BE298" i="43"/>
  <c r="BC298" i="43"/>
  <c r="AX298" i="43"/>
  <c r="AW298" i="43"/>
  <c r="BJ296" i="43"/>
  <c r="BI296" i="43"/>
  <c r="BH296" i="43"/>
  <c r="BG296" i="43"/>
  <c r="BF296" i="43"/>
  <c r="BE296" i="43"/>
  <c r="BC296" i="43"/>
  <c r="AX296" i="43"/>
  <c r="AW296" i="43"/>
  <c r="BJ288" i="43"/>
  <c r="BI288" i="43"/>
  <c r="BH288" i="43"/>
  <c r="BG288" i="43"/>
  <c r="BF288" i="43"/>
  <c r="BE288" i="43"/>
  <c r="BC288" i="43"/>
  <c r="AX288" i="43"/>
  <c r="AW288" i="43"/>
  <c r="BJ283" i="43"/>
  <c r="BI283" i="43"/>
  <c r="BH283" i="43"/>
  <c r="BG283" i="43"/>
  <c r="BF283" i="43"/>
  <c r="BE283" i="43"/>
  <c r="BC283" i="43"/>
  <c r="AX283" i="43"/>
  <c r="AW283" i="43"/>
  <c r="BJ276" i="43"/>
  <c r="BI276" i="43"/>
  <c r="BH276" i="43"/>
  <c r="BG276" i="43"/>
  <c r="BF276" i="43"/>
  <c r="BE276" i="43"/>
  <c r="BC276" i="43"/>
  <c r="AX276" i="43"/>
  <c r="AW276" i="43"/>
  <c r="BJ272" i="43"/>
  <c r="BI272" i="43"/>
  <c r="BH272" i="43"/>
  <c r="BG272" i="43"/>
  <c r="BF272" i="43"/>
  <c r="BE272" i="43"/>
  <c r="BC272" i="43"/>
  <c r="AX272" i="43"/>
  <c r="AW272" i="43"/>
  <c r="BJ266" i="43"/>
  <c r="BI266" i="43"/>
  <c r="BH266" i="43"/>
  <c r="BG266" i="43"/>
  <c r="BF266" i="43"/>
  <c r="BE266" i="43"/>
  <c r="BC266" i="43"/>
  <c r="AX266" i="43"/>
  <c r="AW266" i="43"/>
  <c r="BJ262" i="43"/>
  <c r="BI262" i="43"/>
  <c r="BH262" i="43"/>
  <c r="BG262" i="43"/>
  <c r="BF262" i="43"/>
  <c r="BE262" i="43"/>
  <c r="BC262" i="43"/>
  <c r="AX262" i="43"/>
  <c r="AW262" i="43"/>
  <c r="BJ258" i="43"/>
  <c r="BI258" i="43"/>
  <c r="BH258" i="43"/>
  <c r="BG258" i="43"/>
  <c r="BF258" i="43"/>
  <c r="BE258" i="43"/>
  <c r="BC258" i="43"/>
  <c r="AX258" i="43"/>
  <c r="AW258" i="43"/>
  <c r="BJ256" i="43"/>
  <c r="BI256" i="43"/>
  <c r="BH256" i="43"/>
  <c r="BG256" i="43"/>
  <c r="BF256" i="43"/>
  <c r="BE256" i="43"/>
  <c r="BC256" i="43"/>
  <c r="AX256" i="43"/>
  <c r="AW256" i="43"/>
  <c r="BJ249" i="43"/>
  <c r="BI249" i="43"/>
  <c r="BH249" i="43"/>
  <c r="BG249" i="43"/>
  <c r="BF249" i="43"/>
  <c r="BE249" i="43"/>
  <c r="BC249" i="43"/>
  <c r="AX249" i="43"/>
  <c r="AW249" i="43"/>
  <c r="BJ243" i="43"/>
  <c r="BI243" i="43"/>
  <c r="BH243" i="43"/>
  <c r="BG243" i="43"/>
  <c r="BF243" i="43"/>
  <c r="BE243" i="43"/>
  <c r="BC243" i="43"/>
  <c r="AX243" i="43"/>
  <c r="AW243" i="43"/>
  <c r="BJ237" i="43"/>
  <c r="BI237" i="43"/>
  <c r="BH237" i="43"/>
  <c r="BG237" i="43"/>
  <c r="BF237" i="43"/>
  <c r="BE237" i="43"/>
  <c r="BC237" i="43"/>
  <c r="AX237" i="43"/>
  <c r="AW237" i="43"/>
  <c r="BJ231" i="43"/>
  <c r="BI231" i="43"/>
  <c r="BH231" i="43"/>
  <c r="BG231" i="43"/>
  <c r="BF231" i="43"/>
  <c r="BE231" i="43"/>
  <c r="BC231" i="43"/>
  <c r="AX231" i="43"/>
  <c r="AW231" i="43"/>
  <c r="BJ225" i="43"/>
  <c r="BI225" i="43"/>
  <c r="BH225" i="43"/>
  <c r="BG225" i="43"/>
  <c r="BF225" i="43"/>
  <c r="BE225" i="43"/>
  <c r="BC225" i="43"/>
  <c r="AX225" i="43"/>
  <c r="AW225" i="43"/>
  <c r="BJ219" i="43"/>
  <c r="BI219" i="43"/>
  <c r="BH219" i="43"/>
  <c r="BG219" i="43"/>
  <c r="BF219" i="43"/>
  <c r="BE219" i="43"/>
  <c r="BC219" i="43"/>
  <c r="AX219" i="43"/>
  <c r="AW219" i="43"/>
  <c r="BJ213" i="43"/>
  <c r="BI213" i="43"/>
  <c r="BH213" i="43"/>
  <c r="BG213" i="43"/>
  <c r="BF213" i="43"/>
  <c r="BE213" i="43"/>
  <c r="BC213" i="43"/>
  <c r="AX213" i="43"/>
  <c r="AW213" i="43"/>
  <c r="BJ206" i="43"/>
  <c r="BI206" i="43"/>
  <c r="BH206" i="43"/>
  <c r="BG206" i="43"/>
  <c r="BF206" i="43"/>
  <c r="BE206" i="43"/>
  <c r="BC206" i="43"/>
  <c r="AX206" i="43"/>
  <c r="AW206" i="43"/>
  <c r="BJ200" i="43"/>
  <c r="BI200" i="43"/>
  <c r="BH200" i="43"/>
  <c r="BG200" i="43"/>
  <c r="BF200" i="43"/>
  <c r="BE200" i="43"/>
  <c r="BC200" i="43"/>
  <c r="AX200" i="43"/>
  <c r="AW200" i="43"/>
  <c r="BJ194" i="43"/>
  <c r="BI194" i="43"/>
  <c r="BH194" i="43"/>
  <c r="BG194" i="43"/>
  <c r="BF194" i="43"/>
  <c r="BE194" i="43"/>
  <c r="BC194" i="43"/>
  <c r="AX194" i="43"/>
  <c r="AW194" i="43"/>
  <c r="BJ187" i="43"/>
  <c r="BI187" i="43"/>
  <c r="BH187" i="43"/>
  <c r="BG187" i="43"/>
  <c r="BF187" i="43"/>
  <c r="BE187" i="43"/>
  <c r="BC187" i="43"/>
  <c r="AX187" i="43"/>
  <c r="AW187" i="43"/>
  <c r="BJ180" i="43"/>
  <c r="BI180" i="43"/>
  <c r="BH180" i="43"/>
  <c r="BG180" i="43"/>
  <c r="BF180" i="43"/>
  <c r="BE180" i="43"/>
  <c r="BC180" i="43"/>
  <c r="AX180" i="43"/>
  <c r="AW180" i="43"/>
  <c r="BJ174" i="43"/>
  <c r="BI174" i="43"/>
  <c r="BH174" i="43"/>
  <c r="BG174" i="43"/>
  <c r="BF174" i="43"/>
  <c r="BE174" i="43"/>
  <c r="BC174" i="43"/>
  <c r="AX174" i="43"/>
  <c r="AW174" i="43"/>
  <c r="BJ168" i="43"/>
  <c r="BI168" i="43"/>
  <c r="BH168" i="43"/>
  <c r="BG168" i="43"/>
  <c r="BF168" i="43"/>
  <c r="BE168" i="43"/>
  <c r="BC168" i="43"/>
  <c r="AX168" i="43"/>
  <c r="AW168" i="43"/>
  <c r="BJ162" i="43"/>
  <c r="BI162" i="43"/>
  <c r="BH162" i="43"/>
  <c r="BG162" i="43"/>
  <c r="BF162" i="43"/>
  <c r="BE162" i="43"/>
  <c r="BC162" i="43"/>
  <c r="AX162" i="43"/>
  <c r="AW162" i="43"/>
  <c r="BJ157" i="43"/>
  <c r="BI157" i="43"/>
  <c r="BH157" i="43"/>
  <c r="BG157" i="43"/>
  <c r="BF157" i="43"/>
  <c r="BE157" i="43"/>
  <c r="BC157" i="43"/>
  <c r="AX157" i="43"/>
  <c r="AW157" i="43"/>
  <c r="BJ151" i="43"/>
  <c r="BI151" i="43"/>
  <c r="BH151" i="43"/>
  <c r="BG151" i="43"/>
  <c r="BF151" i="43"/>
  <c r="BE151" i="43"/>
  <c r="BC151" i="43"/>
  <c r="AX151" i="43"/>
  <c r="AW151" i="43"/>
  <c r="BJ145" i="43"/>
  <c r="BI145" i="43"/>
  <c r="BH145" i="43"/>
  <c r="BG145" i="43"/>
  <c r="BF145" i="43"/>
  <c r="BE145" i="43"/>
  <c r="BC145" i="43"/>
  <c r="AX145" i="43"/>
  <c r="AW145" i="43"/>
  <c r="BJ139" i="43"/>
  <c r="BI139" i="43"/>
  <c r="BH139" i="43"/>
  <c r="BG139" i="43"/>
  <c r="BF139" i="43"/>
  <c r="BE139" i="43"/>
  <c r="BC139" i="43"/>
  <c r="AX139" i="43"/>
  <c r="AW139" i="43"/>
  <c r="BJ132" i="43"/>
  <c r="BI132" i="43"/>
  <c r="BH132" i="43"/>
  <c r="BG132" i="43"/>
  <c r="BF132" i="43"/>
  <c r="BE132" i="43"/>
  <c r="BC132" i="43"/>
  <c r="AX132" i="43"/>
  <c r="AW132" i="43"/>
  <c r="BJ125" i="43"/>
  <c r="BI125" i="43"/>
  <c r="BH125" i="43"/>
  <c r="BG125" i="43"/>
  <c r="BF125" i="43"/>
  <c r="BE125" i="43"/>
  <c r="BC125" i="43"/>
  <c r="AX125" i="43"/>
  <c r="AW125" i="43"/>
  <c r="BJ120" i="43"/>
  <c r="BI120" i="43"/>
  <c r="BH120" i="43"/>
  <c r="BG120" i="43"/>
  <c r="BF120" i="43"/>
  <c r="BE120" i="43"/>
  <c r="BC120" i="43"/>
  <c r="AX120" i="43"/>
  <c r="AW120" i="43"/>
  <c r="BJ116" i="43"/>
  <c r="BI116" i="43"/>
  <c r="BH116" i="43"/>
  <c r="BG116" i="43"/>
  <c r="BF116" i="43"/>
  <c r="BE116" i="43"/>
  <c r="BC116" i="43"/>
  <c r="AX116" i="43"/>
  <c r="AW116" i="43"/>
  <c r="BJ113" i="43"/>
  <c r="BI113" i="43"/>
  <c r="BH113" i="43"/>
  <c r="BG113" i="43"/>
  <c r="BF113" i="43"/>
  <c r="BE113" i="43"/>
  <c r="BC113" i="43"/>
  <c r="AX113" i="43"/>
  <c r="AW113" i="43"/>
  <c r="BJ109" i="43"/>
  <c r="BI109" i="43"/>
  <c r="BH109" i="43"/>
  <c r="BG109" i="43"/>
  <c r="BF109" i="43"/>
  <c r="BE109" i="43"/>
  <c r="BC109" i="43"/>
  <c r="AX109" i="43"/>
  <c r="AW109" i="43"/>
  <c r="BJ105" i="43"/>
  <c r="BI105" i="43"/>
  <c r="BH105" i="43"/>
  <c r="BG105" i="43"/>
  <c r="BF105" i="43"/>
  <c r="BE105" i="43"/>
  <c r="BC105" i="43"/>
  <c r="AX105" i="43"/>
  <c r="AW105" i="43"/>
  <c r="BJ102" i="43"/>
  <c r="BI102" i="43"/>
  <c r="BH102" i="43"/>
  <c r="BG102" i="43"/>
  <c r="BF102" i="43"/>
  <c r="BE102" i="43"/>
  <c r="BC102" i="43"/>
  <c r="AX102" i="43"/>
  <c r="AW102" i="43"/>
  <c r="BJ98" i="43"/>
  <c r="BI98" i="43"/>
  <c r="BH98" i="43"/>
  <c r="BG98" i="43"/>
  <c r="BF98" i="43"/>
  <c r="BE98" i="43"/>
  <c r="BC98" i="43"/>
  <c r="AX98" i="43"/>
  <c r="AW98" i="43"/>
  <c r="BJ94" i="43"/>
  <c r="BI94" i="43"/>
  <c r="BH94" i="43"/>
  <c r="BG94" i="43"/>
  <c r="BF94" i="43"/>
  <c r="BE94" i="43"/>
  <c r="BC94" i="43"/>
  <c r="AX94" i="43"/>
  <c r="AW94" i="43"/>
  <c r="BJ90" i="43"/>
  <c r="BI90" i="43"/>
  <c r="BH90" i="43"/>
  <c r="BG90" i="43"/>
  <c r="BF90" i="43"/>
  <c r="BE90" i="43"/>
  <c r="BC90" i="43"/>
  <c r="AX90" i="43"/>
  <c r="AW90" i="43"/>
  <c r="BJ86" i="43"/>
  <c r="BI86" i="43"/>
  <c r="BH86" i="43"/>
  <c r="BG86" i="43"/>
  <c r="BF86" i="43"/>
  <c r="BE86" i="43"/>
  <c r="BC86" i="43"/>
  <c r="AX86" i="43"/>
  <c r="AW86" i="43"/>
  <c r="BJ82" i="43"/>
  <c r="BI82" i="43"/>
  <c r="BH82" i="43"/>
  <c r="BG82" i="43"/>
  <c r="BF82" i="43"/>
  <c r="BE82" i="43"/>
  <c r="BC82" i="43"/>
  <c r="AX82" i="43"/>
  <c r="AW82" i="43"/>
  <c r="BJ79" i="43"/>
  <c r="BI79" i="43"/>
  <c r="BH79" i="43"/>
  <c r="BG79" i="43"/>
  <c r="BF79" i="43"/>
  <c r="BE79" i="43"/>
  <c r="BC79" i="43"/>
  <c r="AX79" i="43"/>
  <c r="AW79" i="43"/>
  <c r="BJ75" i="43"/>
  <c r="BI75" i="43"/>
  <c r="BH75" i="43"/>
  <c r="BG75" i="43"/>
  <c r="BF75" i="43"/>
  <c r="BE75" i="43"/>
  <c r="BC75" i="43"/>
  <c r="AX75" i="43"/>
  <c r="AW75" i="43"/>
  <c r="BJ70" i="43"/>
  <c r="BI70" i="43"/>
  <c r="BH70" i="43"/>
  <c r="BG70" i="43"/>
  <c r="BF70" i="43"/>
  <c r="BE70" i="43"/>
  <c r="BC70" i="43"/>
  <c r="AX70" i="43"/>
  <c r="AW70" i="43"/>
  <c r="BJ67" i="43"/>
  <c r="BI67" i="43"/>
  <c r="BH67" i="43"/>
  <c r="BG67" i="43"/>
  <c r="BF67" i="43"/>
  <c r="BE67" i="43"/>
  <c r="BC67" i="43"/>
  <c r="AX67" i="43"/>
  <c r="AW67" i="43"/>
  <c r="BJ63" i="43"/>
  <c r="BI63" i="43"/>
  <c r="BH63" i="43"/>
  <c r="BG63" i="43"/>
  <c r="BF63" i="43"/>
  <c r="BE63" i="43"/>
  <c r="BC63" i="43"/>
  <c r="AX63" i="43"/>
  <c r="AW63" i="43"/>
  <c r="BJ59" i="43"/>
  <c r="BI59" i="43"/>
  <c r="BH59" i="43"/>
  <c r="BG59" i="43"/>
  <c r="BF59" i="43"/>
  <c r="BE59" i="43"/>
  <c r="BC59" i="43"/>
  <c r="AX59" i="43"/>
  <c r="AW59" i="43"/>
  <c r="BJ55" i="43"/>
  <c r="BI55" i="43"/>
  <c r="BH55" i="43"/>
  <c r="BG55" i="43"/>
  <c r="BF55" i="43"/>
  <c r="BE55" i="43"/>
  <c r="BC55" i="43"/>
  <c r="AX55" i="43"/>
  <c r="AW55" i="43"/>
  <c r="BJ52" i="43"/>
  <c r="BI52" i="43"/>
  <c r="BH52" i="43"/>
  <c r="BG52" i="43"/>
  <c r="BF52" i="43"/>
  <c r="BE52" i="43"/>
  <c r="BC52" i="43"/>
  <c r="AX52" i="43"/>
  <c r="AW52" i="43"/>
  <c r="BJ49" i="43"/>
  <c r="BI49" i="43"/>
  <c r="BH49" i="43"/>
  <c r="BG49" i="43"/>
  <c r="BF49" i="43"/>
  <c r="BE49" i="43"/>
  <c r="BC49" i="43"/>
  <c r="AX49" i="43"/>
  <c r="AW49" i="43"/>
  <c r="BJ46" i="43"/>
  <c r="BI46" i="43"/>
  <c r="BH46" i="43"/>
  <c r="BG46" i="43"/>
  <c r="BF46" i="43"/>
  <c r="BE46" i="43"/>
  <c r="BC46" i="43"/>
  <c r="AX46" i="43"/>
  <c r="AW46" i="43"/>
  <c r="BJ42" i="43"/>
  <c r="BI42" i="43"/>
  <c r="BH42" i="43"/>
  <c r="BG42" i="43"/>
  <c r="BF42" i="43"/>
  <c r="BE42" i="43"/>
  <c r="BC42" i="43"/>
  <c r="AX42" i="43"/>
  <c r="AW42" i="43"/>
  <c r="BJ39" i="43"/>
  <c r="BI39" i="43"/>
  <c r="BH39" i="43"/>
  <c r="BG39" i="43"/>
  <c r="BF39" i="43"/>
  <c r="BE39" i="43"/>
  <c r="BC39" i="43"/>
  <c r="AX39" i="43"/>
  <c r="AW39" i="43"/>
  <c r="BJ35" i="43"/>
  <c r="BI35" i="43"/>
  <c r="BH35" i="43"/>
  <c r="BG35" i="43"/>
  <c r="BF35" i="43"/>
  <c r="BE35" i="43"/>
  <c r="BC35" i="43"/>
  <c r="AX35" i="43"/>
  <c r="AW35" i="43"/>
  <c r="BJ31" i="43"/>
  <c r="BI31" i="43"/>
  <c r="BH31" i="43"/>
  <c r="BG31" i="43"/>
  <c r="BF31" i="43"/>
  <c r="BE31" i="43"/>
  <c r="BC31" i="43"/>
  <c r="AX31" i="43"/>
  <c r="AW31" i="43"/>
  <c r="BJ27" i="43"/>
  <c r="BI27" i="43"/>
  <c r="BH27" i="43"/>
  <c r="BG27" i="43"/>
  <c r="BF27" i="43"/>
  <c r="BE27" i="43"/>
  <c r="BC27" i="43"/>
  <c r="AX27" i="43"/>
  <c r="AW27" i="43"/>
  <c r="BJ22" i="43"/>
  <c r="BI22" i="43"/>
  <c r="BH22" i="43"/>
  <c r="BG22" i="43"/>
  <c r="BF22" i="43"/>
  <c r="BE22" i="43"/>
  <c r="BC22" i="43"/>
  <c r="AX22" i="43"/>
  <c r="AW22" i="43"/>
  <c r="BJ18" i="43"/>
  <c r="BI18" i="43"/>
  <c r="BH18" i="43"/>
  <c r="BG18" i="43"/>
  <c r="BF18" i="43"/>
  <c r="BE18" i="43"/>
  <c r="BC18" i="43"/>
  <c r="AX18" i="43"/>
  <c r="AW18" i="43"/>
  <c r="BJ13" i="43"/>
  <c r="BI13" i="43"/>
  <c r="BH13" i="43"/>
  <c r="BG13" i="43"/>
  <c r="BF13" i="43"/>
  <c r="BE13" i="43"/>
  <c r="BC13" i="43"/>
  <c r="AX13" i="43"/>
  <c r="AW13" i="43"/>
  <c r="AY14" i="43"/>
  <c r="AY15" i="43"/>
  <c r="AY16" i="43"/>
  <c r="AY17" i="43"/>
  <c r="AY19" i="43"/>
  <c r="AY20" i="43"/>
  <c r="AY21" i="43"/>
  <c r="AY23" i="43"/>
  <c r="AY24" i="43"/>
  <c r="AY25" i="43"/>
  <c r="AY26" i="43"/>
  <c r="AY28" i="43"/>
  <c r="AY29" i="43"/>
  <c r="AY30" i="43"/>
  <c r="AY32" i="43"/>
  <c r="AY33" i="43"/>
  <c r="AY34" i="43"/>
  <c r="AY36" i="43"/>
  <c r="AY37" i="43"/>
  <c r="AY38" i="43"/>
  <c r="AY40" i="43"/>
  <c r="AY41" i="43"/>
  <c r="AY43" i="43"/>
  <c r="AY44" i="43"/>
  <c r="AY45" i="43"/>
  <c r="AY47" i="43"/>
  <c r="AY48" i="43"/>
  <c r="AY50" i="43"/>
  <c r="AY51" i="43"/>
  <c r="AY53" i="43"/>
  <c r="AY54" i="43"/>
  <c r="AY56" i="43"/>
  <c r="AY57" i="43"/>
  <c r="AY58" i="43"/>
  <c r="AY60" i="43"/>
  <c r="AY61" i="43"/>
  <c r="AY62" i="43"/>
  <c r="AY64" i="43"/>
  <c r="AY65" i="43"/>
  <c r="AY66" i="43"/>
  <c r="AY68" i="43"/>
  <c r="AY69" i="43"/>
  <c r="AY71" i="43"/>
  <c r="AY72" i="43"/>
  <c r="AY73" i="43"/>
  <c r="AY74" i="43"/>
  <c r="AY76" i="43"/>
  <c r="AY77" i="43"/>
  <c r="AY78" i="43"/>
  <c r="AY80" i="43"/>
  <c r="AY81" i="43"/>
  <c r="AY83" i="43"/>
  <c r="AY84" i="43"/>
  <c r="AY85" i="43"/>
  <c r="AY87" i="43"/>
  <c r="AY88" i="43"/>
  <c r="AY89" i="43"/>
  <c r="AY91" i="43"/>
  <c r="AY92" i="43"/>
  <c r="AY93" i="43"/>
  <c r="AY95" i="43"/>
  <c r="AY96" i="43"/>
  <c r="AY97" i="43"/>
  <c r="AY99" i="43"/>
  <c r="AY100" i="43"/>
  <c r="AY101" i="43"/>
  <c r="AY103" i="43"/>
  <c r="AY104" i="43"/>
  <c r="AY106" i="43"/>
  <c r="AY107" i="43"/>
  <c r="AY108" i="43"/>
  <c r="AY110" i="43"/>
  <c r="AY111" i="43"/>
  <c r="AY112" i="43"/>
  <c r="AY114" i="43"/>
  <c r="AY115" i="43"/>
  <c r="AY117" i="43"/>
  <c r="AY118" i="43"/>
  <c r="AY119" i="43"/>
  <c r="AY121" i="43"/>
  <c r="AY122" i="43"/>
  <c r="AY123" i="43"/>
  <c r="AY124" i="43"/>
  <c r="AY126" i="43"/>
  <c r="AY127" i="43"/>
  <c r="AY128" i="43"/>
  <c r="AY129" i="43"/>
  <c r="AY130" i="43"/>
  <c r="AY131" i="43"/>
  <c r="AY133" i="43"/>
  <c r="AY134" i="43"/>
  <c r="AY135" i="43"/>
  <c r="AY136" i="43"/>
  <c r="AY137" i="43"/>
  <c r="AY138" i="43"/>
  <c r="AY140" i="43"/>
  <c r="AY141" i="43"/>
  <c r="AY142" i="43"/>
  <c r="AY143" i="43"/>
  <c r="AY144" i="43"/>
  <c r="AY146" i="43"/>
  <c r="AY147" i="43"/>
  <c r="AY148" i="43"/>
  <c r="AY149" i="43"/>
  <c r="AY150" i="43"/>
  <c r="AY152" i="43"/>
  <c r="AY153" i="43"/>
  <c r="AY154" i="43"/>
  <c r="AY155" i="43"/>
  <c r="AY156" i="43"/>
  <c r="AY158" i="43"/>
  <c r="AY159" i="43"/>
  <c r="AY160" i="43"/>
  <c r="AY161" i="43"/>
  <c r="AY163" i="43"/>
  <c r="AY164" i="43"/>
  <c r="AY165" i="43"/>
  <c r="AY166" i="43"/>
  <c r="AY167" i="43"/>
  <c r="AY169" i="43"/>
  <c r="AY170" i="43"/>
  <c r="AY171" i="43"/>
  <c r="AY172" i="43"/>
  <c r="AY173" i="43"/>
  <c r="AY175" i="43"/>
  <c r="AY176" i="43"/>
  <c r="AY177" i="43"/>
  <c r="AY178" i="43"/>
  <c r="AY179" i="43"/>
  <c r="AY181" i="43"/>
  <c r="AY182" i="43"/>
  <c r="AY183" i="43"/>
  <c r="AY184" i="43"/>
  <c r="AY185" i="43"/>
  <c r="AY186" i="43"/>
  <c r="AY188" i="43"/>
  <c r="AY189" i="43"/>
  <c r="AY190" i="43"/>
  <c r="AY191" i="43"/>
  <c r="AY192" i="43"/>
  <c r="AY193" i="43"/>
  <c r="AY195" i="43"/>
  <c r="AY196" i="43"/>
  <c r="AY197" i="43"/>
  <c r="AY198" i="43"/>
  <c r="AY199" i="43"/>
  <c r="AY201" i="43"/>
  <c r="AY202" i="43"/>
  <c r="AY203" i="43"/>
  <c r="AY204" i="43"/>
  <c r="AY205" i="43"/>
  <c r="AY207" i="43"/>
  <c r="AY208" i="43"/>
  <c r="AY209" i="43"/>
  <c r="AY210" i="43"/>
  <c r="AY211" i="43"/>
  <c r="AY212" i="43"/>
  <c r="AY214" i="43"/>
  <c r="AY215" i="43"/>
  <c r="AY216" i="43"/>
  <c r="AY217" i="43"/>
  <c r="AY218" i="43"/>
  <c r="AY220" i="43"/>
  <c r="AY221" i="43"/>
  <c r="AY222" i="43"/>
  <c r="AY223" i="43"/>
  <c r="AY224" i="43"/>
  <c r="AY226" i="43"/>
  <c r="AY227" i="43"/>
  <c r="AY228" i="43"/>
  <c r="AY229" i="43"/>
  <c r="AY230" i="43"/>
  <c r="AY232" i="43"/>
  <c r="AY233" i="43"/>
  <c r="AY234" i="43"/>
  <c r="AY235" i="43"/>
  <c r="AY236" i="43"/>
  <c r="AY238" i="43"/>
  <c r="AY239" i="43"/>
  <c r="AY240" i="43"/>
  <c r="AY241" i="43"/>
  <c r="AY242" i="43"/>
  <c r="AY244" i="43"/>
  <c r="AY245" i="43"/>
  <c r="AY246" i="43"/>
  <c r="AY247" i="43"/>
  <c r="AY248" i="43"/>
  <c r="AY250" i="43"/>
  <c r="AY251" i="43"/>
  <c r="AY252" i="43"/>
  <c r="AY253" i="43"/>
  <c r="AY254" i="43"/>
  <c r="AY255" i="43"/>
  <c r="AY257" i="43"/>
  <c r="AY258" i="43" s="1"/>
  <c r="AY259" i="43"/>
  <c r="AY260" i="43"/>
  <c r="AY261" i="43"/>
  <c r="AY263" i="43"/>
  <c r="AY264" i="43"/>
  <c r="AY265" i="43"/>
  <c r="AY267" i="43"/>
  <c r="AY268" i="43"/>
  <c r="AY269" i="43"/>
  <c r="AY270" i="43"/>
  <c r="AY271" i="43"/>
  <c r="AY273" i="43"/>
  <c r="AY274" i="43"/>
  <c r="AY275" i="43"/>
  <c r="AY277" i="43"/>
  <c r="AY278" i="43"/>
  <c r="AY279" i="43"/>
  <c r="AY280" i="43"/>
  <c r="AY281" i="43"/>
  <c r="AY282" i="43"/>
  <c r="AY284" i="43"/>
  <c r="AY285" i="43"/>
  <c r="AY286" i="43"/>
  <c r="AY287" i="43"/>
  <c r="AY289" i="43"/>
  <c r="AY290" i="43"/>
  <c r="AY291" i="43"/>
  <c r="AY292" i="43"/>
  <c r="AY293" i="43"/>
  <c r="AY294" i="43"/>
  <c r="AY295" i="43"/>
  <c r="AY297" i="43"/>
  <c r="AY298" i="43" s="1"/>
  <c r="AY299" i="43"/>
  <c r="AY300" i="43"/>
  <c r="AY301" i="43"/>
  <c r="AY302" i="43"/>
  <c r="AY303" i="43"/>
  <c r="AY304" i="43"/>
  <c r="AY306" i="43"/>
  <c r="AY307" i="43"/>
  <c r="AY308" i="43"/>
  <c r="AY309" i="43"/>
  <c r="AY310" i="43"/>
  <c r="AY311" i="43"/>
  <c r="AY313" i="43"/>
  <c r="AY314" i="43"/>
  <c r="AY315" i="43"/>
  <c r="AY317" i="43"/>
  <c r="AY318" i="43"/>
  <c r="AY319" i="43"/>
  <c r="AY320" i="43"/>
  <c r="AY321" i="43"/>
  <c r="AY323" i="43"/>
  <c r="AY324" i="43" s="1"/>
  <c r="AY325" i="43"/>
  <c r="AY326" i="43"/>
  <c r="AY327" i="43"/>
  <c r="AY329" i="43"/>
  <c r="AY330" i="43"/>
  <c r="AY331" i="43"/>
  <c r="AY333" i="43"/>
  <c r="AY334" i="43"/>
  <c r="AY335" i="43"/>
  <c r="AY337" i="43"/>
  <c r="AY338" i="43"/>
  <c r="AY339" i="43"/>
  <c r="AY340" i="43"/>
  <c r="AY341" i="43"/>
  <c r="AY342" i="43"/>
  <c r="AY343" i="43"/>
  <c r="AY344" i="43"/>
  <c r="AY346" i="43"/>
  <c r="AY347" i="43"/>
  <c r="AY348" i="43"/>
  <c r="AY349" i="43"/>
  <c r="AY350" i="43"/>
  <c r="AY352" i="43"/>
  <c r="AY353" i="43"/>
  <c r="AY354" i="43"/>
  <c r="AY355" i="43"/>
  <c r="AY356" i="43"/>
  <c r="AY357" i="43"/>
  <c r="AY359" i="43"/>
  <c r="AY360" i="43"/>
  <c r="AY361" i="43"/>
  <c r="AY362" i="43"/>
  <c r="AY364" i="43"/>
  <c r="AY365" i="43"/>
  <c r="AY366" i="43"/>
  <c r="AY367" i="43"/>
  <c r="AY368" i="43"/>
  <c r="AY369" i="43"/>
  <c r="AY371" i="43"/>
  <c r="AY372" i="43"/>
  <c r="AY373" i="43"/>
  <c r="AY375" i="43"/>
  <c r="AY376" i="43" s="1"/>
  <c r="AY377" i="43"/>
  <c r="AY378" i="43"/>
  <c r="AY379" i="43"/>
  <c r="AY380" i="43"/>
  <c r="AY381" i="43"/>
  <c r="AY382" i="43"/>
  <c r="AY384" i="43"/>
  <c r="AY385" i="43"/>
  <c r="AY386" i="43"/>
  <c r="AY387" i="43"/>
  <c r="AY388" i="43"/>
  <c r="AY390" i="43"/>
  <c r="AY391" i="43"/>
  <c r="AY392" i="43"/>
  <c r="AY394" i="43"/>
  <c r="AY395" i="43"/>
  <c r="AY396" i="43"/>
  <c r="AY397" i="43"/>
  <c r="AY398" i="43"/>
  <c r="AY399" i="43"/>
  <c r="AY401" i="43"/>
  <c r="AY402" i="43"/>
  <c r="AY403" i="43"/>
  <c r="AY404" i="43"/>
  <c r="AY405" i="43"/>
  <c r="AY406" i="43"/>
  <c r="AY408" i="43"/>
  <c r="AY409" i="43"/>
  <c r="AY410" i="43"/>
  <c r="AY411" i="43"/>
  <c r="AY412" i="43"/>
  <c r="AY413" i="43"/>
  <c r="AY415" i="43"/>
  <c r="AY416" i="43"/>
  <c r="AY417" i="43"/>
  <c r="AY418" i="43"/>
  <c r="AY419" i="43"/>
  <c r="AY420" i="43"/>
  <c r="AY422" i="43"/>
  <c r="AY423" i="43"/>
  <c r="AY424" i="43"/>
  <c r="AY425" i="43"/>
  <c r="AY426" i="43"/>
  <c r="AY427" i="43"/>
  <c r="AY429" i="43"/>
  <c r="AY430" i="43"/>
  <c r="AY431" i="43"/>
  <c r="AY432" i="43"/>
  <c r="AY433" i="43"/>
  <c r="AY434" i="43"/>
  <c r="AY436" i="43"/>
  <c r="AY437" i="43"/>
  <c r="AY438" i="43"/>
  <c r="AY439" i="43"/>
  <c r="AY440" i="43"/>
  <c r="AY441" i="43"/>
  <c r="AY443" i="43"/>
  <c r="AY444" i="43"/>
  <c r="AY445" i="43"/>
  <c r="AY446" i="43"/>
  <c r="AY447" i="43"/>
  <c r="AY448" i="43"/>
  <c r="AY450" i="43"/>
  <c r="AY451" i="43"/>
  <c r="AY452" i="43"/>
  <c r="AY453" i="43"/>
  <c r="AY454" i="43"/>
  <c r="AY455" i="43"/>
  <c r="AY457" i="43"/>
  <c r="AY458" i="43"/>
  <c r="AY460" i="43"/>
  <c r="AY461" i="43"/>
  <c r="AY462" i="43"/>
  <c r="AQ16" i="43"/>
  <c r="AQ20" i="43"/>
  <c r="AQ25" i="43"/>
  <c r="AQ29" i="43"/>
  <c r="AQ33" i="43"/>
  <c r="AQ37" i="43"/>
  <c r="AQ44" i="43"/>
  <c r="AQ57" i="43"/>
  <c r="AQ65" i="43"/>
  <c r="AQ73" i="43"/>
  <c r="AQ92" i="43"/>
  <c r="AQ96" i="43"/>
  <c r="AQ100" i="43"/>
  <c r="AQ107" i="43"/>
  <c r="AQ118" i="43"/>
  <c r="AQ123" i="43"/>
  <c r="AQ128" i="43"/>
  <c r="AQ134" i="43"/>
  <c r="AQ141" i="43"/>
  <c r="AQ147" i="43"/>
  <c r="AQ153" i="43"/>
  <c r="AQ159" i="43"/>
  <c r="AQ164" i="43"/>
  <c r="AQ170" i="43"/>
  <c r="AQ176" i="43"/>
  <c r="AQ183" i="43"/>
  <c r="AQ189" i="43"/>
  <c r="AQ196" i="43"/>
  <c r="AQ202" i="43"/>
  <c r="AQ208" i="43"/>
  <c r="AQ215" i="43"/>
  <c r="AQ221" i="43"/>
  <c r="AQ227" i="43"/>
  <c r="AQ233" i="43"/>
  <c r="AQ239" i="43"/>
  <c r="AQ245" i="43"/>
  <c r="AQ260" i="43"/>
  <c r="AQ264" i="43"/>
  <c r="AQ268" i="43"/>
  <c r="AQ274" i="43"/>
  <c r="AQ279" i="43"/>
  <c r="AQ291" i="43"/>
  <c r="AQ301" i="43"/>
  <c r="AQ314" i="43"/>
  <c r="AQ318" i="43"/>
  <c r="AQ326" i="43"/>
  <c r="AQ330" i="43"/>
  <c r="AQ334" i="43"/>
  <c r="AQ341" i="43"/>
  <c r="AQ347" i="43"/>
  <c r="AQ353" i="43"/>
  <c r="AQ360" i="43"/>
  <c r="AQ366" i="43"/>
  <c r="AQ372" i="43"/>
  <c r="AQ379" i="43"/>
  <c r="AQ386" i="43"/>
  <c r="AQ391" i="43"/>
  <c r="AQ395" i="43"/>
  <c r="AQ410" i="43"/>
  <c r="AQ417" i="43"/>
  <c r="AQ424" i="43"/>
  <c r="AQ431" i="43"/>
  <c r="AQ438" i="43"/>
  <c r="AQ445" i="43"/>
  <c r="AQ452" i="43"/>
  <c r="AQ461" i="43"/>
  <c r="BH128" i="44"/>
  <c r="BG128" i="44"/>
  <c r="BF128" i="44"/>
  <c r="BE128" i="44"/>
  <c r="BC128" i="44"/>
  <c r="AX128" i="44"/>
  <c r="AW128" i="44"/>
  <c r="BH121" i="44"/>
  <c r="BG121" i="44"/>
  <c r="BF121" i="44"/>
  <c r="BE121" i="44"/>
  <c r="BC121" i="44"/>
  <c r="AX121" i="44"/>
  <c r="AW121" i="44"/>
  <c r="BH112" i="44"/>
  <c r="BG112" i="44"/>
  <c r="BF112" i="44"/>
  <c r="BE112" i="44"/>
  <c r="BC112" i="44"/>
  <c r="AX112" i="44"/>
  <c r="AW112" i="44"/>
  <c r="BH110" i="44"/>
  <c r="BG110" i="44"/>
  <c r="BF110" i="44"/>
  <c r="BE110" i="44"/>
  <c r="BC110" i="44"/>
  <c r="AX110" i="44"/>
  <c r="AW110" i="44"/>
  <c r="BH104" i="44"/>
  <c r="BG104" i="44"/>
  <c r="BF104" i="44"/>
  <c r="BE104" i="44"/>
  <c r="BC104" i="44"/>
  <c r="AX104" i="44"/>
  <c r="AW104" i="44"/>
  <c r="BH102" i="44"/>
  <c r="BG102" i="44"/>
  <c r="BF102" i="44"/>
  <c r="BE102" i="44"/>
  <c r="BC102" i="44"/>
  <c r="AX102" i="44"/>
  <c r="AW102" i="44"/>
  <c r="BH98" i="44"/>
  <c r="BG98" i="44"/>
  <c r="BF98" i="44"/>
  <c r="BE98" i="44"/>
  <c r="BC98" i="44"/>
  <c r="AX98" i="44"/>
  <c r="AW98" i="44"/>
  <c r="BH92" i="44"/>
  <c r="BG92" i="44"/>
  <c r="BF92" i="44"/>
  <c r="BE92" i="44"/>
  <c r="BC92" i="44"/>
  <c r="AX92" i="44"/>
  <c r="AW92" i="44"/>
  <c r="BH88" i="44"/>
  <c r="BG88" i="44"/>
  <c r="BF88" i="44"/>
  <c r="BE88" i="44"/>
  <c r="BC88" i="44"/>
  <c r="AX88" i="44"/>
  <c r="AW88" i="44"/>
  <c r="BH84" i="44"/>
  <c r="BG84" i="44"/>
  <c r="BF84" i="44"/>
  <c r="BE84" i="44"/>
  <c r="BC84" i="44"/>
  <c r="AX84" i="44"/>
  <c r="AW84" i="44"/>
  <c r="BH77" i="44"/>
  <c r="BG77" i="44"/>
  <c r="BF77" i="44"/>
  <c r="BE77" i="44"/>
  <c r="BC77" i="44"/>
  <c r="AX77" i="44"/>
  <c r="AW77" i="44"/>
  <c r="BH70" i="44"/>
  <c r="BG70" i="44"/>
  <c r="BF70" i="44"/>
  <c r="BE70" i="44"/>
  <c r="AX70" i="44"/>
  <c r="AW70" i="44"/>
  <c r="BH63" i="44"/>
  <c r="BG63" i="44"/>
  <c r="BF63" i="44"/>
  <c r="BE63" i="44"/>
  <c r="BC63" i="44"/>
  <c r="AX63" i="44"/>
  <c r="AW63" i="44"/>
  <c r="BH56" i="44"/>
  <c r="BG56" i="44"/>
  <c r="BF56" i="44"/>
  <c r="BE56" i="44"/>
  <c r="BC56" i="44"/>
  <c r="AX56" i="44"/>
  <c r="AW56" i="44"/>
  <c r="BH49" i="44"/>
  <c r="BG49" i="44"/>
  <c r="BF49" i="44"/>
  <c r="BE49" i="44"/>
  <c r="BC49" i="44"/>
  <c r="AX49" i="44"/>
  <c r="AW49" i="44"/>
  <c r="BH42" i="44"/>
  <c r="BG42" i="44"/>
  <c r="BF42" i="44"/>
  <c r="BE42" i="44"/>
  <c r="BC42" i="44"/>
  <c r="AX42" i="44"/>
  <c r="AW42" i="44"/>
  <c r="BH35" i="44"/>
  <c r="BG35" i="44"/>
  <c r="BF35" i="44"/>
  <c r="BE35" i="44"/>
  <c r="BC35" i="44"/>
  <c r="AX35" i="44"/>
  <c r="AW35" i="44"/>
  <c r="BH28" i="44"/>
  <c r="BG28" i="44"/>
  <c r="BF28" i="44"/>
  <c r="BE28" i="44"/>
  <c r="BC28" i="44"/>
  <c r="AX28" i="44"/>
  <c r="BH19" i="44"/>
  <c r="BG19" i="44"/>
  <c r="BF19" i="44"/>
  <c r="BE19" i="44"/>
  <c r="BC19" i="44"/>
  <c r="AX19" i="44"/>
  <c r="AW19" i="44"/>
  <c r="BH13" i="44"/>
  <c r="BG13" i="44"/>
  <c r="BF13" i="44"/>
  <c r="BE13" i="44"/>
  <c r="BC13" i="44"/>
  <c r="AX13" i="44"/>
  <c r="AW13" i="44"/>
  <c r="AY14" i="44"/>
  <c r="AY15" i="44"/>
  <c r="AY16" i="44"/>
  <c r="AY17" i="44"/>
  <c r="AY18" i="44"/>
  <c r="AY20" i="44"/>
  <c r="AY21" i="44"/>
  <c r="AY23" i="44"/>
  <c r="AY24" i="44"/>
  <c r="AY25" i="44"/>
  <c r="AY26" i="44"/>
  <c r="AY27" i="44"/>
  <c r="AY29" i="44"/>
  <c r="AY30" i="44"/>
  <c r="AY31" i="44"/>
  <c r="AY32" i="44"/>
  <c r="AY33" i="44"/>
  <c r="AY34" i="44"/>
  <c r="AY36" i="44"/>
  <c r="AY37" i="44"/>
  <c r="AY38" i="44"/>
  <c r="AY39" i="44"/>
  <c r="AY40" i="44"/>
  <c r="AY41" i="44"/>
  <c r="AY43" i="44"/>
  <c r="AY44" i="44"/>
  <c r="AY45" i="44"/>
  <c r="AY46" i="44"/>
  <c r="AY47" i="44"/>
  <c r="AY48" i="44"/>
  <c r="AY50" i="44"/>
  <c r="AY51" i="44"/>
  <c r="AY52" i="44"/>
  <c r="AY53" i="44"/>
  <c r="AY54" i="44"/>
  <c r="AY55" i="44"/>
  <c r="AY57" i="44"/>
  <c r="AY58" i="44"/>
  <c r="AY59" i="44"/>
  <c r="AY60" i="44"/>
  <c r="AY61" i="44"/>
  <c r="AY62" i="44"/>
  <c r="AY64" i="44"/>
  <c r="AY65" i="44"/>
  <c r="AY66" i="44"/>
  <c r="AY67" i="44"/>
  <c r="AY68" i="44"/>
  <c r="AY69" i="44"/>
  <c r="AY71" i="44"/>
  <c r="AY72" i="44"/>
  <c r="AY73" i="44"/>
  <c r="AY74" i="44"/>
  <c r="AY75" i="44"/>
  <c r="AY76" i="44"/>
  <c r="AY78" i="44"/>
  <c r="AY79" i="44"/>
  <c r="AY80" i="44"/>
  <c r="AY81" i="44"/>
  <c r="AY82" i="44"/>
  <c r="AY83" i="44"/>
  <c r="AY85" i="44"/>
  <c r="AY86" i="44"/>
  <c r="AY87" i="44"/>
  <c r="AY89" i="44"/>
  <c r="AY90" i="44"/>
  <c r="AY91" i="44"/>
  <c r="AY93" i="44"/>
  <c r="AY94" i="44"/>
  <c r="AY95" i="44"/>
  <c r="AY96" i="44"/>
  <c r="AY97" i="44"/>
  <c r="AY99" i="44"/>
  <c r="AY100" i="44"/>
  <c r="AY101" i="44"/>
  <c r="AY103" i="44"/>
  <c r="AY104" i="44" s="1"/>
  <c r="AY105" i="44"/>
  <c r="AY106" i="44"/>
  <c r="AY107" i="44"/>
  <c r="AY108" i="44"/>
  <c r="AY109" i="44"/>
  <c r="AY111" i="44"/>
  <c r="AY112" i="44" s="1"/>
  <c r="AY113" i="44"/>
  <c r="AY114" i="44"/>
  <c r="AY115" i="44"/>
  <c r="AY116" i="44"/>
  <c r="AY117" i="44"/>
  <c r="AY118" i="44"/>
  <c r="AY119" i="44"/>
  <c r="AY120" i="44"/>
  <c r="AY122" i="44"/>
  <c r="AY123" i="44"/>
  <c r="AY124" i="44"/>
  <c r="AY125" i="44"/>
  <c r="AY126" i="44"/>
  <c r="AY127" i="44"/>
  <c r="AQ22" i="44"/>
  <c r="AQ31" i="44"/>
  <c r="AQ38" i="44"/>
  <c r="AQ45" i="44"/>
  <c r="AQ52" i="44"/>
  <c r="AQ59" i="44"/>
  <c r="AQ66" i="44"/>
  <c r="AQ73" i="44"/>
  <c r="AQ80" i="44"/>
  <c r="AQ90" i="44"/>
  <c r="AQ95" i="44"/>
  <c r="AQ100" i="44"/>
  <c r="AQ107" i="44"/>
  <c r="AQ116" i="44"/>
  <c r="AQ124" i="44"/>
  <c r="BA509" i="44" l="1"/>
  <c r="BC509" i="44"/>
  <c r="AN509" i="44"/>
  <c r="BD509" i="44"/>
  <c r="BE509" i="44"/>
  <c r="AI509" i="44"/>
  <c r="BB509" i="44"/>
  <c r="BF509" i="44"/>
  <c r="AJ509" i="44"/>
  <c r="AW509" i="44"/>
  <c r="BG509" i="44"/>
  <c r="AL509" i="44"/>
  <c r="AX509" i="44"/>
  <c r="BH509" i="44"/>
  <c r="AM509" i="44"/>
  <c r="AY22" i="44"/>
  <c r="AY28" i="44" s="1"/>
  <c r="AY55" i="43"/>
  <c r="AY459" i="43"/>
  <c r="AY332" i="43"/>
  <c r="AY70" i="43"/>
  <c r="AY442" i="43"/>
  <c r="AY374" i="43"/>
  <c r="AY109" i="43"/>
  <c r="AY102" i="43"/>
  <c r="AY94" i="43"/>
  <c r="AY86" i="43"/>
  <c r="AY52" i="43"/>
  <c r="AY113" i="43"/>
  <c r="AY105" i="43"/>
  <c r="AY63" i="43"/>
  <c r="AY39" i="43"/>
  <c r="AY42" i="43"/>
  <c r="AY49" i="43"/>
  <c r="AY98" i="43"/>
  <c r="AY262" i="43"/>
  <c r="AY35" i="43"/>
  <c r="AY389" i="43"/>
  <c r="AY336" i="43"/>
  <c r="AY328" i="43"/>
  <c r="AY322" i="43"/>
  <c r="AY276" i="43"/>
  <c r="AY256" i="43"/>
  <c r="AY219" i="43"/>
  <c r="AY125" i="43"/>
  <c r="AY82" i="43"/>
  <c r="AY67" i="43"/>
  <c r="AY59" i="43"/>
  <c r="AY27" i="43"/>
  <c r="AY393" i="43"/>
  <c r="AY351" i="43"/>
  <c r="AY225" i="43"/>
  <c r="AY168" i="43"/>
  <c r="AY90" i="43"/>
  <c r="AY75" i="43"/>
  <c r="AY31" i="43"/>
  <c r="AY18" i="43"/>
  <c r="AY145" i="43"/>
  <c r="AY180" i="43"/>
  <c r="AY79" i="43"/>
  <c r="AY46" i="43"/>
  <c r="AY22" i="43"/>
  <c r="AY128" i="44"/>
  <c r="AY102" i="44"/>
  <c r="AY19" i="44"/>
  <c r="AY121" i="44"/>
  <c r="AY110" i="44"/>
  <c r="AY92" i="44"/>
  <c r="AY98" i="44"/>
  <c r="AY88" i="44"/>
  <c r="AY84" i="44"/>
  <c r="AY77" i="44"/>
  <c r="AY70" i="44"/>
  <c r="AY63" i="44"/>
  <c r="AY56" i="44"/>
  <c r="AY49" i="44"/>
  <c r="AY42" i="44"/>
  <c r="AY35" i="44"/>
  <c r="AY463" i="43"/>
  <c r="AY363" i="43"/>
  <c r="AY358" i="43"/>
  <c r="AY266" i="43"/>
  <c r="AY231" i="43"/>
  <c r="AY174" i="43"/>
  <c r="AY139" i="43"/>
  <c r="AY132" i="43"/>
  <c r="AY345" i="43"/>
  <c r="AY316" i="43"/>
  <c r="AY312" i="43"/>
  <c r="AY305" i="43"/>
  <c r="AY288" i="43"/>
  <c r="AY283" i="43"/>
  <c r="AY237" i="43"/>
  <c r="AY151" i="43"/>
  <c r="AY120" i="43"/>
  <c r="AY456" i="43"/>
  <c r="AY449" i="43"/>
  <c r="AY435" i="43"/>
  <c r="AY428" i="43"/>
  <c r="AY421" i="43"/>
  <c r="AY414" i="43"/>
  <c r="AY407" i="43"/>
  <c r="AY400" i="43"/>
  <c r="AY370" i="43"/>
  <c r="AY243" i="43"/>
  <c r="AY200" i="43"/>
  <c r="AY194" i="43"/>
  <c r="AY187" i="43"/>
  <c r="AY157" i="43"/>
  <c r="AY296" i="43"/>
  <c r="AY272" i="43"/>
  <c r="AY249" i="43"/>
  <c r="AY206" i="43"/>
  <c r="AY162" i="43"/>
  <c r="AY116" i="43"/>
  <c r="AY383" i="43"/>
  <c r="AY213" i="43"/>
  <c r="S451" i="43"/>
  <c r="S444" i="43"/>
  <c r="S437" i="43"/>
  <c r="S430" i="43"/>
  <c r="S423" i="43"/>
  <c r="S416" i="43"/>
  <c r="S409" i="43"/>
  <c r="S401" i="43"/>
  <c r="S394" i="43"/>
  <c r="S384" i="43"/>
  <c r="S378" i="43"/>
  <c r="S365" i="43"/>
  <c r="S359" i="43"/>
  <c r="S352" i="43"/>
  <c r="S346" i="43"/>
  <c r="S339" i="43"/>
  <c r="S317" i="43"/>
  <c r="S307" i="43"/>
  <c r="S300" i="43"/>
  <c r="S289" i="43"/>
  <c r="S278" i="43"/>
  <c r="S267" i="43"/>
  <c r="S250" i="43"/>
  <c r="S244" i="43"/>
  <c r="S238" i="43"/>
  <c r="S232" i="43"/>
  <c r="S226" i="43"/>
  <c r="S220" i="43"/>
  <c r="S214" i="43"/>
  <c r="S207" i="43"/>
  <c r="S201" i="43"/>
  <c r="S195" i="43"/>
  <c r="S188" i="43"/>
  <c r="S182" i="43"/>
  <c r="S175" i="43"/>
  <c r="S169" i="43"/>
  <c r="S163" i="43"/>
  <c r="S158" i="43"/>
  <c r="S152" i="43"/>
  <c r="S146" i="43"/>
  <c r="S140" i="43"/>
  <c r="S133" i="43"/>
  <c r="S127" i="43"/>
  <c r="J451" i="43"/>
  <c r="Q451" i="43" s="1"/>
  <c r="J444" i="43"/>
  <c r="Q444" i="43" s="1"/>
  <c r="J437" i="43"/>
  <c r="Q437" i="43" s="1"/>
  <c r="J430" i="43"/>
  <c r="J423" i="43"/>
  <c r="J416" i="43"/>
  <c r="J409" i="43"/>
  <c r="J401" i="43"/>
  <c r="J394" i="43"/>
  <c r="J384" i="43"/>
  <c r="J378" i="43"/>
  <c r="J365" i="43"/>
  <c r="P365" i="43" s="1"/>
  <c r="J359" i="43"/>
  <c r="P359" i="43" s="1"/>
  <c r="J352" i="43"/>
  <c r="J346" i="43"/>
  <c r="J339" i="43"/>
  <c r="J317" i="43"/>
  <c r="J307" i="43"/>
  <c r="J300" i="43"/>
  <c r="J289" i="43"/>
  <c r="J244" i="43"/>
  <c r="J238" i="43"/>
  <c r="J232" i="43"/>
  <c r="J226" i="43"/>
  <c r="J220" i="43"/>
  <c r="P220" i="43" s="1"/>
  <c r="J214" i="43"/>
  <c r="J207" i="43"/>
  <c r="J201" i="43"/>
  <c r="J195" i="43"/>
  <c r="J188" i="43"/>
  <c r="J182" i="43"/>
  <c r="J175" i="43"/>
  <c r="J169" i="43"/>
  <c r="J163" i="43"/>
  <c r="J158" i="43"/>
  <c r="J152" i="43"/>
  <c r="S14" i="43"/>
  <c r="S15" i="43"/>
  <c r="S16" i="43"/>
  <c r="S19" i="43"/>
  <c r="S20" i="43"/>
  <c r="S23" i="43"/>
  <c r="S24" i="43"/>
  <c r="S25" i="43"/>
  <c r="S28" i="43"/>
  <c r="S29" i="43"/>
  <c r="S32" i="43"/>
  <c r="S33" i="43"/>
  <c r="S36" i="43"/>
  <c r="S37" i="43"/>
  <c r="S40" i="43"/>
  <c r="S43" i="43"/>
  <c r="S44" i="43"/>
  <c r="S47" i="43"/>
  <c r="S50" i="43"/>
  <c r="S53" i="43"/>
  <c r="S56" i="43"/>
  <c r="S57" i="43"/>
  <c r="S60" i="43"/>
  <c r="S61" i="43"/>
  <c r="S64" i="43"/>
  <c r="S65" i="43"/>
  <c r="S68" i="43"/>
  <c r="S71" i="43"/>
  <c r="S72" i="43"/>
  <c r="S73" i="43"/>
  <c r="S76" i="43"/>
  <c r="S77" i="43"/>
  <c r="S80" i="43"/>
  <c r="S83" i="43"/>
  <c r="S84" i="43"/>
  <c r="S87" i="43"/>
  <c r="S88" i="43"/>
  <c r="S91" i="43"/>
  <c r="S92" i="43"/>
  <c r="S95" i="43"/>
  <c r="S96" i="43"/>
  <c r="S99" i="43"/>
  <c r="S100" i="43"/>
  <c r="S103" i="43"/>
  <c r="S106" i="43"/>
  <c r="S107" i="43"/>
  <c r="S110" i="43"/>
  <c r="S111" i="43"/>
  <c r="S114" i="43"/>
  <c r="S117" i="43"/>
  <c r="S118" i="43"/>
  <c r="S121" i="43"/>
  <c r="S122" i="43"/>
  <c r="S123" i="43"/>
  <c r="S126" i="43"/>
  <c r="S128" i="43"/>
  <c r="S130" i="43"/>
  <c r="S134" i="43"/>
  <c r="S136" i="43"/>
  <c r="S138" i="43"/>
  <c r="S141" i="43"/>
  <c r="S143" i="43"/>
  <c r="S147" i="43"/>
  <c r="S149" i="43"/>
  <c r="S153" i="43"/>
  <c r="S155" i="43"/>
  <c r="S159" i="43"/>
  <c r="S160" i="43"/>
  <c r="S164" i="43"/>
  <c r="S166" i="43"/>
  <c r="S170" i="43"/>
  <c r="S171" i="43"/>
  <c r="S173" i="43"/>
  <c r="S176" i="43"/>
  <c r="S178" i="43"/>
  <c r="S181" i="43"/>
  <c r="S183" i="43"/>
  <c r="S185" i="43"/>
  <c r="S189" i="43"/>
  <c r="S191" i="43"/>
  <c r="S193" i="43"/>
  <c r="S196" i="43"/>
  <c r="S198" i="43"/>
  <c r="S202" i="43"/>
  <c r="S204" i="43"/>
  <c r="S208" i="43"/>
  <c r="S210" i="43"/>
  <c r="S212" i="43"/>
  <c r="S215" i="43"/>
  <c r="S217" i="43"/>
  <c r="S221" i="43"/>
  <c r="S223" i="43"/>
  <c r="S227" i="43"/>
  <c r="S229" i="43"/>
  <c r="S233" i="43"/>
  <c r="S235" i="43"/>
  <c r="S239" i="43"/>
  <c r="S241" i="43"/>
  <c r="S245" i="43"/>
  <c r="S247" i="43"/>
  <c r="S251" i="43"/>
  <c r="S252" i="43"/>
  <c r="S254" i="43"/>
  <c r="S257" i="43"/>
  <c r="S259" i="43"/>
  <c r="S260" i="43"/>
  <c r="S263" i="43"/>
  <c r="S264" i="43"/>
  <c r="S268" i="43"/>
  <c r="S270" i="43"/>
  <c r="S273" i="43"/>
  <c r="S274" i="43"/>
  <c r="S277" i="43"/>
  <c r="S279" i="43"/>
  <c r="S281" i="43"/>
  <c r="S284" i="43"/>
  <c r="S286" i="43"/>
  <c r="S291" i="43"/>
  <c r="S293" i="43"/>
  <c r="S294" i="43"/>
  <c r="S297" i="43"/>
  <c r="S299" i="43"/>
  <c r="S301" i="43"/>
  <c r="S303" i="43"/>
  <c r="S306" i="43"/>
  <c r="S308" i="43"/>
  <c r="S310" i="43"/>
  <c r="S313" i="43"/>
  <c r="S314" i="43"/>
  <c r="S318" i="43"/>
  <c r="S320" i="43"/>
  <c r="S323" i="43"/>
  <c r="S325" i="43"/>
  <c r="S326" i="43"/>
  <c r="S329" i="43"/>
  <c r="S330" i="43"/>
  <c r="S333" i="43"/>
  <c r="S334" i="43"/>
  <c r="S337" i="43"/>
  <c r="S341" i="43"/>
  <c r="S343" i="43"/>
  <c r="S347" i="43"/>
  <c r="S349" i="43"/>
  <c r="S353" i="43"/>
  <c r="S355" i="43"/>
  <c r="S357" i="43"/>
  <c r="S360" i="43"/>
  <c r="S361" i="43"/>
  <c r="S364" i="43"/>
  <c r="S366" i="43"/>
  <c r="S368" i="43"/>
  <c r="S371" i="43"/>
  <c r="S372" i="43"/>
  <c r="S377" i="43"/>
  <c r="S379" i="43"/>
  <c r="S381" i="43"/>
  <c r="S386" i="43"/>
  <c r="S387" i="43"/>
  <c r="S390" i="43"/>
  <c r="S391" i="43"/>
  <c r="S395" i="43"/>
  <c r="S397" i="43"/>
  <c r="S399" i="43"/>
  <c r="S403" i="43"/>
  <c r="S405" i="43"/>
  <c r="S408" i="43"/>
  <c r="S410" i="43"/>
  <c r="S412" i="43"/>
  <c r="S415" i="43"/>
  <c r="S417" i="43"/>
  <c r="S419" i="43"/>
  <c r="S422" i="43"/>
  <c r="S424" i="43"/>
  <c r="S426" i="43"/>
  <c r="S429" i="43"/>
  <c r="S431" i="43"/>
  <c r="S433" i="43"/>
  <c r="S436" i="43"/>
  <c r="S438" i="43"/>
  <c r="S440" i="43"/>
  <c r="S443" i="43"/>
  <c r="S445" i="43"/>
  <c r="S447" i="43"/>
  <c r="S450" i="43"/>
  <c r="S452" i="43"/>
  <c r="S454" i="43"/>
  <c r="S457" i="43"/>
  <c r="S460" i="43"/>
  <c r="S461" i="43"/>
  <c r="U463" i="43"/>
  <c r="T463" i="43"/>
  <c r="R463" i="43"/>
  <c r="O463" i="43"/>
  <c r="N463" i="43"/>
  <c r="L463" i="43"/>
  <c r="K463" i="43"/>
  <c r="U459" i="43"/>
  <c r="T459" i="43"/>
  <c r="R459" i="43"/>
  <c r="O459" i="43"/>
  <c r="N459" i="43"/>
  <c r="L459" i="43"/>
  <c r="K459" i="43"/>
  <c r="U456" i="43"/>
  <c r="T456" i="43"/>
  <c r="R456" i="43"/>
  <c r="O456" i="43"/>
  <c r="N456" i="43"/>
  <c r="L456" i="43"/>
  <c r="K456" i="43"/>
  <c r="U449" i="43"/>
  <c r="T449" i="43"/>
  <c r="R449" i="43"/>
  <c r="O449" i="43"/>
  <c r="N449" i="43"/>
  <c r="L449" i="43"/>
  <c r="K449" i="43"/>
  <c r="U442" i="43"/>
  <c r="T442" i="43"/>
  <c r="R442" i="43"/>
  <c r="O442" i="43"/>
  <c r="N442" i="43"/>
  <c r="L442" i="43"/>
  <c r="K442" i="43"/>
  <c r="U435" i="43"/>
  <c r="T435" i="43"/>
  <c r="R435" i="43"/>
  <c r="O435" i="43"/>
  <c r="N435" i="43"/>
  <c r="L435" i="43"/>
  <c r="K435" i="43"/>
  <c r="U428" i="43"/>
  <c r="T428" i="43"/>
  <c r="R428" i="43"/>
  <c r="O428" i="43"/>
  <c r="N428" i="43"/>
  <c r="L428" i="43"/>
  <c r="K428" i="43"/>
  <c r="U421" i="43"/>
  <c r="T421" i="43"/>
  <c r="R421" i="43"/>
  <c r="O421" i="43"/>
  <c r="N421" i="43"/>
  <c r="L421" i="43"/>
  <c r="K421" i="43"/>
  <c r="U414" i="43"/>
  <c r="T414" i="43"/>
  <c r="R414" i="43"/>
  <c r="O414" i="43"/>
  <c r="N414" i="43"/>
  <c r="L414" i="43"/>
  <c r="K414" i="43"/>
  <c r="U407" i="43"/>
  <c r="T407" i="43"/>
  <c r="R407" i="43"/>
  <c r="O407" i="43"/>
  <c r="N407" i="43"/>
  <c r="L407" i="43"/>
  <c r="K407" i="43"/>
  <c r="U400" i="43"/>
  <c r="T400" i="43"/>
  <c r="R400" i="43"/>
  <c r="O400" i="43"/>
  <c r="N400" i="43"/>
  <c r="L400" i="43"/>
  <c r="K400" i="43"/>
  <c r="U393" i="43"/>
  <c r="T393" i="43"/>
  <c r="R393" i="43"/>
  <c r="O393" i="43"/>
  <c r="N393" i="43"/>
  <c r="L393" i="43"/>
  <c r="K393" i="43"/>
  <c r="U389" i="43"/>
  <c r="T389" i="43"/>
  <c r="R389" i="43"/>
  <c r="O389" i="43"/>
  <c r="N389" i="43"/>
  <c r="L389" i="43"/>
  <c r="K389" i="43"/>
  <c r="U383" i="43"/>
  <c r="T383" i="43"/>
  <c r="R383" i="43"/>
  <c r="O383" i="43"/>
  <c r="N383" i="43"/>
  <c r="L383" i="43"/>
  <c r="K383" i="43"/>
  <c r="U376" i="43"/>
  <c r="T376" i="43"/>
  <c r="R376" i="43"/>
  <c r="O376" i="43"/>
  <c r="N376" i="43"/>
  <c r="L376" i="43"/>
  <c r="K376" i="43"/>
  <c r="U374" i="43"/>
  <c r="T374" i="43"/>
  <c r="R374" i="43"/>
  <c r="O374" i="43"/>
  <c r="N374" i="43"/>
  <c r="L374" i="43"/>
  <c r="K374" i="43"/>
  <c r="U370" i="43"/>
  <c r="T370" i="43"/>
  <c r="R370" i="43"/>
  <c r="O370" i="43"/>
  <c r="N370" i="43"/>
  <c r="L370" i="43"/>
  <c r="K370" i="43"/>
  <c r="U363" i="43"/>
  <c r="T363" i="43"/>
  <c r="R363" i="43"/>
  <c r="O363" i="43"/>
  <c r="N363" i="43"/>
  <c r="L363" i="43"/>
  <c r="K363" i="43"/>
  <c r="U358" i="43"/>
  <c r="T358" i="43"/>
  <c r="R358" i="43"/>
  <c r="O358" i="43"/>
  <c r="N358" i="43"/>
  <c r="L358" i="43"/>
  <c r="K358" i="43"/>
  <c r="U351" i="43"/>
  <c r="T351" i="43"/>
  <c r="R351" i="43"/>
  <c r="O351" i="43"/>
  <c r="N351" i="43"/>
  <c r="L351" i="43"/>
  <c r="K351" i="43"/>
  <c r="U345" i="43"/>
  <c r="T345" i="43"/>
  <c r="R345" i="43"/>
  <c r="O345" i="43"/>
  <c r="N345" i="43"/>
  <c r="L345" i="43"/>
  <c r="K345" i="43"/>
  <c r="U336" i="43"/>
  <c r="T336" i="43"/>
  <c r="R336" i="43"/>
  <c r="O336" i="43"/>
  <c r="N336" i="43"/>
  <c r="L336" i="43"/>
  <c r="K336" i="43"/>
  <c r="U332" i="43"/>
  <c r="T332" i="43"/>
  <c r="R332" i="43"/>
  <c r="O332" i="43"/>
  <c r="N332" i="43"/>
  <c r="L332" i="43"/>
  <c r="K332" i="43"/>
  <c r="U328" i="43"/>
  <c r="T328" i="43"/>
  <c r="R328" i="43"/>
  <c r="O328" i="43"/>
  <c r="N328" i="43"/>
  <c r="L328" i="43"/>
  <c r="K328" i="43"/>
  <c r="U324" i="43"/>
  <c r="T324" i="43"/>
  <c r="R324" i="43"/>
  <c r="O324" i="43"/>
  <c r="N324" i="43"/>
  <c r="L324" i="43"/>
  <c r="K324" i="43"/>
  <c r="U322" i="43"/>
  <c r="T322" i="43"/>
  <c r="R322" i="43"/>
  <c r="O322" i="43"/>
  <c r="N322" i="43"/>
  <c r="L322" i="43"/>
  <c r="K322" i="43"/>
  <c r="U316" i="43"/>
  <c r="T316" i="43"/>
  <c r="R316" i="43"/>
  <c r="O316" i="43"/>
  <c r="N316" i="43"/>
  <c r="L316" i="43"/>
  <c r="K316" i="43"/>
  <c r="U312" i="43"/>
  <c r="T312" i="43"/>
  <c r="R312" i="43"/>
  <c r="O312" i="43"/>
  <c r="N312" i="43"/>
  <c r="L312" i="43"/>
  <c r="K312" i="43"/>
  <c r="U305" i="43"/>
  <c r="T305" i="43"/>
  <c r="R305" i="43"/>
  <c r="O305" i="43"/>
  <c r="N305" i="43"/>
  <c r="L305" i="43"/>
  <c r="K305" i="43"/>
  <c r="U298" i="43"/>
  <c r="T298" i="43"/>
  <c r="R298" i="43"/>
  <c r="O298" i="43"/>
  <c r="N298" i="43"/>
  <c r="L298" i="43"/>
  <c r="K298" i="43"/>
  <c r="U296" i="43"/>
  <c r="T296" i="43"/>
  <c r="R296" i="43"/>
  <c r="O296" i="43"/>
  <c r="N296" i="43"/>
  <c r="L296" i="43"/>
  <c r="K296" i="43"/>
  <c r="U288" i="43"/>
  <c r="T288" i="43"/>
  <c r="R288" i="43"/>
  <c r="O288" i="43"/>
  <c r="N288" i="43"/>
  <c r="L288" i="43"/>
  <c r="K288" i="43"/>
  <c r="U283" i="43"/>
  <c r="T283" i="43"/>
  <c r="R283" i="43"/>
  <c r="O283" i="43"/>
  <c r="N283" i="43"/>
  <c r="L283" i="43"/>
  <c r="K283" i="43"/>
  <c r="U276" i="43"/>
  <c r="T276" i="43"/>
  <c r="R276" i="43"/>
  <c r="O276" i="43"/>
  <c r="N276" i="43"/>
  <c r="L276" i="43"/>
  <c r="K276" i="43"/>
  <c r="U272" i="43"/>
  <c r="T272" i="43"/>
  <c r="R272" i="43"/>
  <c r="O272" i="43"/>
  <c r="N272" i="43"/>
  <c r="L272" i="43"/>
  <c r="K272" i="43"/>
  <c r="U266" i="43"/>
  <c r="T266" i="43"/>
  <c r="R266" i="43"/>
  <c r="O266" i="43"/>
  <c r="N266" i="43"/>
  <c r="L266" i="43"/>
  <c r="K266" i="43"/>
  <c r="U262" i="43"/>
  <c r="T262" i="43"/>
  <c r="R262" i="43"/>
  <c r="O262" i="43"/>
  <c r="N262" i="43"/>
  <c r="L262" i="43"/>
  <c r="K262" i="43"/>
  <c r="U258" i="43"/>
  <c r="T258" i="43"/>
  <c r="R258" i="43"/>
  <c r="O258" i="43"/>
  <c r="N258" i="43"/>
  <c r="L258" i="43"/>
  <c r="K258" i="43"/>
  <c r="U256" i="43"/>
  <c r="T256" i="43"/>
  <c r="R256" i="43"/>
  <c r="O256" i="43"/>
  <c r="N256" i="43"/>
  <c r="L256" i="43"/>
  <c r="K256" i="43"/>
  <c r="U249" i="43"/>
  <c r="T249" i="43"/>
  <c r="R249" i="43"/>
  <c r="O249" i="43"/>
  <c r="N249" i="43"/>
  <c r="L249" i="43"/>
  <c r="K249" i="43"/>
  <c r="U243" i="43"/>
  <c r="T243" i="43"/>
  <c r="R243" i="43"/>
  <c r="O243" i="43"/>
  <c r="N243" i="43"/>
  <c r="L243" i="43"/>
  <c r="K243" i="43"/>
  <c r="U237" i="43"/>
  <c r="T237" i="43"/>
  <c r="R237" i="43"/>
  <c r="O237" i="43"/>
  <c r="N237" i="43"/>
  <c r="L237" i="43"/>
  <c r="K237" i="43"/>
  <c r="U231" i="43"/>
  <c r="T231" i="43"/>
  <c r="R231" i="43"/>
  <c r="O231" i="43"/>
  <c r="N231" i="43"/>
  <c r="L231" i="43"/>
  <c r="K231" i="43"/>
  <c r="U225" i="43"/>
  <c r="T225" i="43"/>
  <c r="R225" i="43"/>
  <c r="O225" i="43"/>
  <c r="N225" i="43"/>
  <c r="L225" i="43"/>
  <c r="K225" i="43"/>
  <c r="U219" i="43"/>
  <c r="T219" i="43"/>
  <c r="R219" i="43"/>
  <c r="O219" i="43"/>
  <c r="N219" i="43"/>
  <c r="L219" i="43"/>
  <c r="K219" i="43"/>
  <c r="U213" i="43"/>
  <c r="T213" i="43"/>
  <c r="R213" i="43"/>
  <c r="O213" i="43"/>
  <c r="N213" i="43"/>
  <c r="L213" i="43"/>
  <c r="K213" i="43"/>
  <c r="U206" i="43"/>
  <c r="T206" i="43"/>
  <c r="R206" i="43"/>
  <c r="O206" i="43"/>
  <c r="N206" i="43"/>
  <c r="L206" i="43"/>
  <c r="K206" i="43"/>
  <c r="U200" i="43"/>
  <c r="T200" i="43"/>
  <c r="R200" i="43"/>
  <c r="O200" i="43"/>
  <c r="N200" i="43"/>
  <c r="L200" i="43"/>
  <c r="K200" i="43"/>
  <c r="U194" i="43"/>
  <c r="T194" i="43"/>
  <c r="R194" i="43"/>
  <c r="O194" i="43"/>
  <c r="N194" i="43"/>
  <c r="L194" i="43"/>
  <c r="K194" i="43"/>
  <c r="U187" i="43"/>
  <c r="T187" i="43"/>
  <c r="R187" i="43"/>
  <c r="O187" i="43"/>
  <c r="N187" i="43"/>
  <c r="L187" i="43"/>
  <c r="K187" i="43"/>
  <c r="U180" i="43"/>
  <c r="T180" i="43"/>
  <c r="R180" i="43"/>
  <c r="O180" i="43"/>
  <c r="N180" i="43"/>
  <c r="L180" i="43"/>
  <c r="K180" i="43"/>
  <c r="U174" i="43"/>
  <c r="T174" i="43"/>
  <c r="R174" i="43"/>
  <c r="O174" i="43"/>
  <c r="N174" i="43"/>
  <c r="L174" i="43"/>
  <c r="K174" i="43"/>
  <c r="U168" i="43"/>
  <c r="T168" i="43"/>
  <c r="R168" i="43"/>
  <c r="O168" i="43"/>
  <c r="N168" i="43"/>
  <c r="L168" i="43"/>
  <c r="K168" i="43"/>
  <c r="U162" i="43"/>
  <c r="T162" i="43"/>
  <c r="R162" i="43"/>
  <c r="O162" i="43"/>
  <c r="N162" i="43"/>
  <c r="L162" i="43"/>
  <c r="K162" i="43"/>
  <c r="U157" i="43"/>
  <c r="T157" i="43"/>
  <c r="R157" i="43"/>
  <c r="O157" i="43"/>
  <c r="N157" i="43"/>
  <c r="L157" i="43"/>
  <c r="K157" i="43"/>
  <c r="U151" i="43"/>
  <c r="T151" i="43"/>
  <c r="R151" i="43"/>
  <c r="O151" i="43"/>
  <c r="N151" i="43"/>
  <c r="L151" i="43"/>
  <c r="K151" i="43"/>
  <c r="U145" i="43"/>
  <c r="T145" i="43"/>
  <c r="R145" i="43"/>
  <c r="O145" i="43"/>
  <c r="N145" i="43"/>
  <c r="L145" i="43"/>
  <c r="K145" i="43"/>
  <c r="U139" i="43"/>
  <c r="T139" i="43"/>
  <c r="R139" i="43"/>
  <c r="O139" i="43"/>
  <c r="N139" i="43"/>
  <c r="L139" i="43"/>
  <c r="K139" i="43"/>
  <c r="U132" i="43"/>
  <c r="T132" i="43"/>
  <c r="R132" i="43"/>
  <c r="O132" i="43"/>
  <c r="N132" i="43"/>
  <c r="L132" i="43"/>
  <c r="K132" i="43"/>
  <c r="U125" i="43"/>
  <c r="T125" i="43"/>
  <c r="R125" i="43"/>
  <c r="O125" i="43"/>
  <c r="N125" i="43"/>
  <c r="L125" i="43"/>
  <c r="K125" i="43"/>
  <c r="U120" i="43"/>
  <c r="T120" i="43"/>
  <c r="R120" i="43"/>
  <c r="O120" i="43"/>
  <c r="N120" i="43"/>
  <c r="L120" i="43"/>
  <c r="K120" i="43"/>
  <c r="U116" i="43"/>
  <c r="T116" i="43"/>
  <c r="R116" i="43"/>
  <c r="O116" i="43"/>
  <c r="N116" i="43"/>
  <c r="L116" i="43"/>
  <c r="K116" i="43"/>
  <c r="U113" i="43"/>
  <c r="T113" i="43"/>
  <c r="R113" i="43"/>
  <c r="O113" i="43"/>
  <c r="N113" i="43"/>
  <c r="L113" i="43"/>
  <c r="K113" i="43"/>
  <c r="U109" i="43"/>
  <c r="T109" i="43"/>
  <c r="R109" i="43"/>
  <c r="O109" i="43"/>
  <c r="N109" i="43"/>
  <c r="L109" i="43"/>
  <c r="K109" i="43"/>
  <c r="U105" i="43"/>
  <c r="T105" i="43"/>
  <c r="R105" i="43"/>
  <c r="O105" i="43"/>
  <c r="N105" i="43"/>
  <c r="L105" i="43"/>
  <c r="K105" i="43"/>
  <c r="U102" i="43"/>
  <c r="T102" i="43"/>
  <c r="R102" i="43"/>
  <c r="O102" i="43"/>
  <c r="N102" i="43"/>
  <c r="L102" i="43"/>
  <c r="K102" i="43"/>
  <c r="U98" i="43"/>
  <c r="T98" i="43"/>
  <c r="R98" i="43"/>
  <c r="O98" i="43"/>
  <c r="N98" i="43"/>
  <c r="L98" i="43"/>
  <c r="K98" i="43"/>
  <c r="U94" i="43"/>
  <c r="T94" i="43"/>
  <c r="R94" i="43"/>
  <c r="O94" i="43"/>
  <c r="N94" i="43"/>
  <c r="L94" i="43"/>
  <c r="K94" i="43"/>
  <c r="U90" i="43"/>
  <c r="T90" i="43"/>
  <c r="R90" i="43"/>
  <c r="O90" i="43"/>
  <c r="N90" i="43"/>
  <c r="L90" i="43"/>
  <c r="K90" i="43"/>
  <c r="U86" i="43"/>
  <c r="T86" i="43"/>
  <c r="R86" i="43"/>
  <c r="O86" i="43"/>
  <c r="N86" i="43"/>
  <c r="L86" i="43"/>
  <c r="K86" i="43"/>
  <c r="U82" i="43"/>
  <c r="T82" i="43"/>
  <c r="R82" i="43"/>
  <c r="O82" i="43"/>
  <c r="N82" i="43"/>
  <c r="L82" i="43"/>
  <c r="K82" i="43"/>
  <c r="U79" i="43"/>
  <c r="T79" i="43"/>
  <c r="R79" i="43"/>
  <c r="O79" i="43"/>
  <c r="N79" i="43"/>
  <c r="L79" i="43"/>
  <c r="K79" i="43"/>
  <c r="U75" i="43"/>
  <c r="T75" i="43"/>
  <c r="R75" i="43"/>
  <c r="O75" i="43"/>
  <c r="N75" i="43"/>
  <c r="L75" i="43"/>
  <c r="K75" i="43"/>
  <c r="U70" i="43"/>
  <c r="T70" i="43"/>
  <c r="R70" i="43"/>
  <c r="O70" i="43"/>
  <c r="N70" i="43"/>
  <c r="L70" i="43"/>
  <c r="K70" i="43"/>
  <c r="U67" i="43"/>
  <c r="T67" i="43"/>
  <c r="R67" i="43"/>
  <c r="O67" i="43"/>
  <c r="N67" i="43"/>
  <c r="L67" i="43"/>
  <c r="K67" i="43"/>
  <c r="U63" i="43"/>
  <c r="T63" i="43"/>
  <c r="R63" i="43"/>
  <c r="O63" i="43"/>
  <c r="N63" i="43"/>
  <c r="L63" i="43"/>
  <c r="K63" i="43"/>
  <c r="U59" i="43"/>
  <c r="T59" i="43"/>
  <c r="R59" i="43"/>
  <c r="O59" i="43"/>
  <c r="N59" i="43"/>
  <c r="L59" i="43"/>
  <c r="K59" i="43"/>
  <c r="U55" i="43"/>
  <c r="T55" i="43"/>
  <c r="R55" i="43"/>
  <c r="O55" i="43"/>
  <c r="N55" i="43"/>
  <c r="L55" i="43"/>
  <c r="K55" i="43"/>
  <c r="U52" i="43"/>
  <c r="T52" i="43"/>
  <c r="R52" i="43"/>
  <c r="O52" i="43"/>
  <c r="N52" i="43"/>
  <c r="L52" i="43"/>
  <c r="K52" i="43"/>
  <c r="U49" i="43"/>
  <c r="T49" i="43"/>
  <c r="R49" i="43"/>
  <c r="O49" i="43"/>
  <c r="N49" i="43"/>
  <c r="L49" i="43"/>
  <c r="K49" i="43"/>
  <c r="U46" i="43"/>
  <c r="T46" i="43"/>
  <c r="R46" i="43"/>
  <c r="O46" i="43"/>
  <c r="N46" i="43"/>
  <c r="L46" i="43"/>
  <c r="K46" i="43"/>
  <c r="U42" i="43"/>
  <c r="T42" i="43"/>
  <c r="R42" i="43"/>
  <c r="O42" i="43"/>
  <c r="N42" i="43"/>
  <c r="L42" i="43"/>
  <c r="K42" i="43"/>
  <c r="U39" i="43"/>
  <c r="T39" i="43"/>
  <c r="R39" i="43"/>
  <c r="O39" i="43"/>
  <c r="N39" i="43"/>
  <c r="L39" i="43"/>
  <c r="K39" i="43"/>
  <c r="U35" i="43"/>
  <c r="T35" i="43"/>
  <c r="R35" i="43"/>
  <c r="O35" i="43"/>
  <c r="N35" i="43"/>
  <c r="L35" i="43"/>
  <c r="K35" i="43"/>
  <c r="U31" i="43"/>
  <c r="T31" i="43"/>
  <c r="R31" i="43"/>
  <c r="O31" i="43"/>
  <c r="N31" i="43"/>
  <c r="L31" i="43"/>
  <c r="K31" i="43"/>
  <c r="U27" i="43"/>
  <c r="T27" i="43"/>
  <c r="R27" i="43"/>
  <c r="O27" i="43"/>
  <c r="N27" i="43"/>
  <c r="L27" i="43"/>
  <c r="K27" i="43"/>
  <c r="U22" i="43"/>
  <c r="T22" i="43"/>
  <c r="R22" i="43"/>
  <c r="O22" i="43"/>
  <c r="N22" i="43"/>
  <c r="L22" i="43"/>
  <c r="K22" i="43"/>
  <c r="U18" i="43"/>
  <c r="T18" i="43"/>
  <c r="R18" i="43"/>
  <c r="O18" i="43"/>
  <c r="N18" i="43"/>
  <c r="L18" i="43"/>
  <c r="K18" i="43"/>
  <c r="U13" i="43"/>
  <c r="T13" i="43"/>
  <c r="R13" i="43"/>
  <c r="O13" i="43"/>
  <c r="N13" i="43"/>
  <c r="L13" i="43"/>
  <c r="K13" i="43"/>
  <c r="M15" i="43"/>
  <c r="M16" i="43"/>
  <c r="M20" i="43"/>
  <c r="M24" i="43"/>
  <c r="M25" i="43"/>
  <c r="M29" i="43"/>
  <c r="M33" i="43"/>
  <c r="M37" i="43"/>
  <c r="M44" i="43"/>
  <c r="M57" i="43"/>
  <c r="M61" i="43"/>
  <c r="M65" i="43"/>
  <c r="M72" i="43"/>
  <c r="M73" i="43"/>
  <c r="M77" i="43"/>
  <c r="M84" i="43"/>
  <c r="M88" i="43"/>
  <c r="M92" i="43"/>
  <c r="M96" i="43"/>
  <c r="M100" i="43"/>
  <c r="M107" i="43"/>
  <c r="M111" i="43"/>
  <c r="M118" i="43"/>
  <c r="M122" i="43"/>
  <c r="M123" i="43"/>
  <c r="M128" i="43"/>
  <c r="M130" i="43"/>
  <c r="M134" i="43"/>
  <c r="M136" i="43"/>
  <c r="M138" i="43"/>
  <c r="M141" i="43"/>
  <c r="M143" i="43"/>
  <c r="M147" i="43"/>
  <c r="M149" i="43"/>
  <c r="M153" i="43"/>
  <c r="M155" i="43"/>
  <c r="M159" i="43"/>
  <c r="M160" i="43"/>
  <c r="M164" i="43"/>
  <c r="M166" i="43"/>
  <c r="M170" i="43"/>
  <c r="M171" i="43"/>
  <c r="M173" i="43"/>
  <c r="M176" i="43"/>
  <c r="M178" i="43"/>
  <c r="M183" i="43"/>
  <c r="M185" i="43"/>
  <c r="M189" i="43"/>
  <c r="M191" i="43"/>
  <c r="M193" i="43"/>
  <c r="M196" i="43"/>
  <c r="M198" i="43"/>
  <c r="M202" i="43"/>
  <c r="M204" i="43"/>
  <c r="M208" i="43"/>
  <c r="M210" i="43"/>
  <c r="M212" i="43"/>
  <c r="M215" i="43"/>
  <c r="M217" i="43"/>
  <c r="M221" i="43"/>
  <c r="M223" i="43"/>
  <c r="M227" i="43"/>
  <c r="M229" i="43"/>
  <c r="M233" i="43"/>
  <c r="M235" i="43"/>
  <c r="M239" i="43"/>
  <c r="M241" i="43"/>
  <c r="M245" i="43"/>
  <c r="M247" i="43"/>
  <c r="M251" i="43"/>
  <c r="M252" i="43"/>
  <c r="M254" i="43"/>
  <c r="M257" i="43"/>
  <c r="M260" i="43"/>
  <c r="M264" i="43"/>
  <c r="M268" i="43"/>
  <c r="M270" i="43"/>
  <c r="M274" i="43"/>
  <c r="M279" i="43"/>
  <c r="M281" i="43"/>
  <c r="M285" i="43"/>
  <c r="M286" i="43"/>
  <c r="M290" i="43"/>
  <c r="M291" i="43"/>
  <c r="M293" i="43"/>
  <c r="M294" i="43"/>
  <c r="M297" i="43"/>
  <c r="M301" i="43"/>
  <c r="M303" i="43"/>
  <c r="M308" i="43"/>
  <c r="M310" i="43"/>
  <c r="M314" i="43"/>
  <c r="M318" i="43"/>
  <c r="M320" i="43"/>
  <c r="M323" i="43"/>
  <c r="M326" i="43"/>
  <c r="M330" i="43"/>
  <c r="M334" i="43"/>
  <c r="M338" i="43"/>
  <c r="M340" i="43"/>
  <c r="M341" i="43"/>
  <c r="M343" i="43"/>
  <c r="M347" i="43"/>
  <c r="M349" i="43"/>
  <c r="M353" i="43"/>
  <c r="M355" i="43"/>
  <c r="M357" i="43"/>
  <c r="M360" i="43"/>
  <c r="M361" i="43"/>
  <c r="M366" i="43"/>
  <c r="M368" i="43"/>
  <c r="M372" i="43"/>
  <c r="M376" i="43"/>
  <c r="M379" i="43"/>
  <c r="M381" i="43"/>
  <c r="M385" i="43"/>
  <c r="M386" i="43"/>
  <c r="M387" i="43"/>
  <c r="M391" i="43"/>
  <c r="M395" i="43"/>
  <c r="M397" i="43"/>
  <c r="M399" i="43"/>
  <c r="M402" i="43"/>
  <c r="M403" i="43"/>
  <c r="M405" i="43"/>
  <c r="M410" i="43"/>
  <c r="M412" i="43"/>
  <c r="M417" i="43"/>
  <c r="M419" i="43"/>
  <c r="M424" i="43"/>
  <c r="M426" i="43"/>
  <c r="M431" i="43"/>
  <c r="M433" i="43"/>
  <c r="M438" i="43"/>
  <c r="M440" i="43"/>
  <c r="M445" i="43"/>
  <c r="M447" i="43"/>
  <c r="M452" i="43"/>
  <c r="M454" i="43"/>
  <c r="M461" i="43"/>
  <c r="J14" i="43"/>
  <c r="J15" i="43"/>
  <c r="J16" i="43"/>
  <c r="J17" i="43"/>
  <c r="J19" i="43"/>
  <c r="J20" i="43"/>
  <c r="J21" i="43"/>
  <c r="J23" i="43"/>
  <c r="J24" i="43"/>
  <c r="J25" i="43"/>
  <c r="J26" i="43"/>
  <c r="J28" i="43"/>
  <c r="J29" i="43"/>
  <c r="J30" i="43"/>
  <c r="J32" i="43"/>
  <c r="J33" i="43"/>
  <c r="J34" i="43"/>
  <c r="J36" i="43"/>
  <c r="J37" i="43"/>
  <c r="J38" i="43"/>
  <c r="J40" i="43"/>
  <c r="J41" i="43"/>
  <c r="J43" i="43"/>
  <c r="J44" i="43"/>
  <c r="J45" i="43"/>
  <c r="J47" i="43"/>
  <c r="J48" i="43"/>
  <c r="J50" i="43"/>
  <c r="J51" i="43"/>
  <c r="J53" i="43"/>
  <c r="J54" i="43"/>
  <c r="J56" i="43"/>
  <c r="J57" i="43"/>
  <c r="J58" i="43"/>
  <c r="J60" i="43"/>
  <c r="J61" i="43"/>
  <c r="J62" i="43"/>
  <c r="J64" i="43"/>
  <c r="J65" i="43"/>
  <c r="J66" i="43"/>
  <c r="J68" i="43"/>
  <c r="J69" i="43"/>
  <c r="J71" i="43"/>
  <c r="J72" i="43"/>
  <c r="J73" i="43"/>
  <c r="J74" i="43"/>
  <c r="J76" i="43"/>
  <c r="J77" i="43"/>
  <c r="J78" i="43"/>
  <c r="J80" i="43"/>
  <c r="J81" i="43"/>
  <c r="J83" i="43"/>
  <c r="J84" i="43"/>
  <c r="J85" i="43"/>
  <c r="J87" i="43"/>
  <c r="J88" i="43"/>
  <c r="J89" i="43"/>
  <c r="J91" i="43"/>
  <c r="J92" i="43"/>
  <c r="J93" i="43"/>
  <c r="J95" i="43"/>
  <c r="J96" i="43"/>
  <c r="J97" i="43"/>
  <c r="J99" i="43"/>
  <c r="J100" i="43"/>
  <c r="J101" i="43"/>
  <c r="J103" i="43"/>
  <c r="J104" i="43"/>
  <c r="J106" i="43"/>
  <c r="J107" i="43"/>
  <c r="J108" i="43"/>
  <c r="J110" i="43"/>
  <c r="J111" i="43"/>
  <c r="J112" i="43"/>
  <c r="J114" i="43"/>
  <c r="J115" i="43"/>
  <c r="J117" i="43"/>
  <c r="J118" i="43"/>
  <c r="J119" i="43"/>
  <c r="J121" i="43"/>
  <c r="J122" i="43"/>
  <c r="J123" i="43"/>
  <c r="J124" i="43"/>
  <c r="J126" i="43"/>
  <c r="J127" i="43"/>
  <c r="J128" i="43"/>
  <c r="J129" i="43"/>
  <c r="J130" i="43"/>
  <c r="J131" i="43"/>
  <c r="J133" i="43"/>
  <c r="J134" i="43"/>
  <c r="J135" i="43"/>
  <c r="J136" i="43"/>
  <c r="J137" i="43"/>
  <c r="J138" i="43"/>
  <c r="J140" i="43"/>
  <c r="J141" i="43"/>
  <c r="J142" i="43"/>
  <c r="J143" i="43"/>
  <c r="J144" i="43"/>
  <c r="J146" i="43"/>
  <c r="J147" i="43"/>
  <c r="J148" i="43"/>
  <c r="J149" i="43"/>
  <c r="J150" i="43"/>
  <c r="J153" i="43"/>
  <c r="J154" i="43"/>
  <c r="J155" i="43"/>
  <c r="J156" i="43"/>
  <c r="J159" i="43"/>
  <c r="J160" i="43"/>
  <c r="J161" i="43"/>
  <c r="J164" i="43"/>
  <c r="J165" i="43"/>
  <c r="J166" i="43"/>
  <c r="J167" i="43"/>
  <c r="J170" i="43"/>
  <c r="J171" i="43"/>
  <c r="J172" i="43"/>
  <c r="J173" i="43"/>
  <c r="J176" i="43"/>
  <c r="J177" i="43"/>
  <c r="J178" i="43"/>
  <c r="J179" i="43"/>
  <c r="J181" i="43"/>
  <c r="J183" i="43"/>
  <c r="J184" i="43"/>
  <c r="J185" i="43"/>
  <c r="J186" i="43"/>
  <c r="J189" i="43"/>
  <c r="J190" i="43"/>
  <c r="J191" i="43"/>
  <c r="J192" i="43"/>
  <c r="J193" i="43"/>
  <c r="J196" i="43"/>
  <c r="J197" i="43"/>
  <c r="J198" i="43"/>
  <c r="J199" i="43"/>
  <c r="J202" i="43"/>
  <c r="J203" i="43"/>
  <c r="J204" i="43"/>
  <c r="J205" i="43"/>
  <c r="J208" i="43"/>
  <c r="J209" i="43"/>
  <c r="J210" i="43"/>
  <c r="J211" i="43"/>
  <c r="J212" i="43"/>
  <c r="J215" i="43"/>
  <c r="J216" i="43"/>
  <c r="J217" i="43"/>
  <c r="J218" i="43"/>
  <c r="J221" i="43"/>
  <c r="J222" i="43"/>
  <c r="J223" i="43"/>
  <c r="J224" i="43"/>
  <c r="J227" i="43"/>
  <c r="J228" i="43"/>
  <c r="J229" i="43"/>
  <c r="J230" i="43"/>
  <c r="J233" i="43"/>
  <c r="J234" i="43"/>
  <c r="J235" i="43"/>
  <c r="J236" i="43"/>
  <c r="J239" i="43"/>
  <c r="J240" i="43"/>
  <c r="J241" i="43"/>
  <c r="J242" i="43"/>
  <c r="J245" i="43"/>
  <c r="J246" i="43"/>
  <c r="J247" i="43"/>
  <c r="J248" i="43"/>
  <c r="J250" i="43"/>
  <c r="J251" i="43"/>
  <c r="J252" i="43"/>
  <c r="J253" i="43"/>
  <c r="J254" i="43"/>
  <c r="J255" i="43"/>
  <c r="J257" i="43"/>
  <c r="J259" i="43"/>
  <c r="J260" i="43"/>
  <c r="J261" i="43"/>
  <c r="J263" i="43"/>
  <c r="J264" i="43"/>
  <c r="J265" i="43"/>
  <c r="J267" i="43"/>
  <c r="J268" i="43"/>
  <c r="J269" i="43"/>
  <c r="J270" i="43"/>
  <c r="J271" i="43"/>
  <c r="J273" i="43"/>
  <c r="J274" i="43"/>
  <c r="J275" i="43"/>
  <c r="J277" i="43"/>
  <c r="J278" i="43"/>
  <c r="J279" i="43"/>
  <c r="J280" i="43"/>
  <c r="J281" i="43"/>
  <c r="J282" i="43"/>
  <c r="J284" i="43"/>
  <c r="J285" i="43"/>
  <c r="J286" i="43"/>
  <c r="J287" i="43"/>
  <c r="J290" i="43"/>
  <c r="J291" i="43"/>
  <c r="J292" i="43"/>
  <c r="J293" i="43"/>
  <c r="J294" i="43"/>
  <c r="J295" i="43"/>
  <c r="J297" i="43"/>
  <c r="J299" i="43"/>
  <c r="J301" i="43"/>
  <c r="J302" i="43"/>
  <c r="J303" i="43"/>
  <c r="J304" i="43"/>
  <c r="J306" i="43"/>
  <c r="J308" i="43"/>
  <c r="J309" i="43"/>
  <c r="J310" i="43"/>
  <c r="J311" i="43"/>
  <c r="J313" i="43"/>
  <c r="J314" i="43"/>
  <c r="J315" i="43"/>
  <c r="J318" i="43"/>
  <c r="J319" i="43"/>
  <c r="J320" i="43"/>
  <c r="J321" i="43"/>
  <c r="J323" i="43"/>
  <c r="J325" i="43"/>
  <c r="J326" i="43"/>
  <c r="J327" i="43"/>
  <c r="J329" i="43"/>
  <c r="J330" i="43"/>
  <c r="J331" i="43"/>
  <c r="J333" i="43"/>
  <c r="J334" i="43"/>
  <c r="J335" i="43"/>
  <c r="J337" i="43"/>
  <c r="J338" i="43"/>
  <c r="J340" i="43"/>
  <c r="J341" i="43"/>
  <c r="J342" i="43"/>
  <c r="J343" i="43"/>
  <c r="J344" i="43"/>
  <c r="J347" i="43"/>
  <c r="J348" i="43"/>
  <c r="J349" i="43"/>
  <c r="J350" i="43"/>
  <c r="J353" i="43"/>
  <c r="J354" i="43"/>
  <c r="J355" i="43"/>
  <c r="J356" i="43"/>
  <c r="J357" i="43"/>
  <c r="J360" i="43"/>
  <c r="J361" i="43"/>
  <c r="J362" i="43"/>
  <c r="J364" i="43"/>
  <c r="J366" i="43"/>
  <c r="J367" i="43"/>
  <c r="J368" i="43"/>
  <c r="J369" i="43"/>
  <c r="J371" i="43"/>
  <c r="J372" i="43"/>
  <c r="J373" i="43"/>
  <c r="J375" i="43"/>
  <c r="J377" i="43"/>
  <c r="J379" i="43"/>
  <c r="J380" i="43"/>
  <c r="J381" i="43"/>
  <c r="J382" i="43"/>
  <c r="J385" i="43"/>
  <c r="J386" i="43"/>
  <c r="J387" i="43"/>
  <c r="J388" i="43"/>
  <c r="J390" i="43"/>
  <c r="P390" i="43" s="1"/>
  <c r="J391" i="43"/>
  <c r="J392" i="43"/>
  <c r="J395" i="43"/>
  <c r="J396" i="43"/>
  <c r="J397" i="43"/>
  <c r="J398" i="43"/>
  <c r="J399" i="43"/>
  <c r="J402" i="43"/>
  <c r="J403" i="43"/>
  <c r="J404" i="43"/>
  <c r="J405" i="43"/>
  <c r="J406" i="43"/>
  <c r="J408" i="43"/>
  <c r="J410" i="43"/>
  <c r="J411" i="43"/>
  <c r="J412" i="43"/>
  <c r="J413" i="43"/>
  <c r="J415" i="43"/>
  <c r="J417" i="43"/>
  <c r="J418" i="43"/>
  <c r="J419" i="43"/>
  <c r="J420" i="43"/>
  <c r="J422" i="43"/>
  <c r="J424" i="43"/>
  <c r="J425" i="43"/>
  <c r="J426" i="43"/>
  <c r="J427" i="43"/>
  <c r="J429" i="43"/>
  <c r="J431" i="43"/>
  <c r="P431" i="43" s="1"/>
  <c r="J432" i="43"/>
  <c r="J433" i="43"/>
  <c r="J434" i="43"/>
  <c r="J436" i="43"/>
  <c r="J438" i="43"/>
  <c r="Q438" i="43" s="1"/>
  <c r="J439" i="43"/>
  <c r="J440" i="43"/>
  <c r="J441" i="43"/>
  <c r="J443" i="43"/>
  <c r="J445" i="43"/>
  <c r="J446" i="43"/>
  <c r="J447" i="43"/>
  <c r="J448" i="43"/>
  <c r="J450" i="43"/>
  <c r="J452" i="43"/>
  <c r="J453" i="43"/>
  <c r="J454" i="43"/>
  <c r="J455" i="43"/>
  <c r="J457" i="43"/>
  <c r="J458" i="43"/>
  <c r="J460" i="43"/>
  <c r="J461" i="43"/>
  <c r="J462" i="43"/>
  <c r="U88" i="44"/>
  <c r="U128" i="44"/>
  <c r="T128" i="44"/>
  <c r="R128" i="44"/>
  <c r="O128" i="44"/>
  <c r="N128" i="44"/>
  <c r="L128" i="44"/>
  <c r="K128" i="44"/>
  <c r="U121" i="44"/>
  <c r="T121" i="44"/>
  <c r="R121" i="44"/>
  <c r="O121" i="44"/>
  <c r="N121" i="44"/>
  <c r="L121" i="44"/>
  <c r="K121" i="44"/>
  <c r="U112" i="44"/>
  <c r="T112" i="44"/>
  <c r="R112" i="44"/>
  <c r="O112" i="44"/>
  <c r="N112" i="44"/>
  <c r="L112" i="44"/>
  <c r="K112" i="44"/>
  <c r="U110" i="44"/>
  <c r="T110" i="44"/>
  <c r="R110" i="44"/>
  <c r="O110" i="44"/>
  <c r="N110" i="44"/>
  <c r="L110" i="44"/>
  <c r="K110" i="44"/>
  <c r="U104" i="44"/>
  <c r="T104" i="44"/>
  <c r="R104" i="44"/>
  <c r="O104" i="44"/>
  <c r="N104" i="44"/>
  <c r="L104" i="44"/>
  <c r="K104" i="44"/>
  <c r="U102" i="44"/>
  <c r="T102" i="44"/>
  <c r="R102" i="44"/>
  <c r="O102" i="44"/>
  <c r="N102" i="44"/>
  <c r="L102" i="44"/>
  <c r="K102" i="44"/>
  <c r="U98" i="44"/>
  <c r="T98" i="44"/>
  <c r="R98" i="44"/>
  <c r="O98" i="44"/>
  <c r="N98" i="44"/>
  <c r="L98" i="44"/>
  <c r="K98" i="44"/>
  <c r="U92" i="44"/>
  <c r="T92" i="44"/>
  <c r="R92" i="44"/>
  <c r="O92" i="44"/>
  <c r="N92" i="44"/>
  <c r="L92" i="44"/>
  <c r="K92" i="44"/>
  <c r="T88" i="44"/>
  <c r="R88" i="44"/>
  <c r="O88" i="44"/>
  <c r="N88" i="44"/>
  <c r="L88" i="44"/>
  <c r="K88" i="44"/>
  <c r="U84" i="44"/>
  <c r="T84" i="44"/>
  <c r="R84" i="44"/>
  <c r="O84" i="44"/>
  <c r="N84" i="44"/>
  <c r="L84" i="44"/>
  <c r="K84" i="44"/>
  <c r="U77" i="44"/>
  <c r="T77" i="44"/>
  <c r="R77" i="44"/>
  <c r="O77" i="44"/>
  <c r="N77" i="44"/>
  <c r="L77" i="44"/>
  <c r="K77" i="44"/>
  <c r="U70" i="44"/>
  <c r="T70" i="44"/>
  <c r="R70" i="44"/>
  <c r="O70" i="44"/>
  <c r="N70" i="44"/>
  <c r="L70" i="44"/>
  <c r="K70" i="44"/>
  <c r="U63" i="44"/>
  <c r="T63" i="44"/>
  <c r="R63" i="44"/>
  <c r="O63" i="44"/>
  <c r="N63" i="44"/>
  <c r="L63" i="44"/>
  <c r="K63" i="44"/>
  <c r="U56" i="44"/>
  <c r="T56" i="44"/>
  <c r="R56" i="44"/>
  <c r="O56" i="44"/>
  <c r="N56" i="44"/>
  <c r="L56" i="44"/>
  <c r="K56" i="44"/>
  <c r="U49" i="44"/>
  <c r="T49" i="44"/>
  <c r="R49" i="44"/>
  <c r="O49" i="44"/>
  <c r="N49" i="44"/>
  <c r="L49" i="44"/>
  <c r="K49" i="44"/>
  <c r="U42" i="44"/>
  <c r="T42" i="44"/>
  <c r="R42" i="44"/>
  <c r="O42" i="44"/>
  <c r="N42" i="44"/>
  <c r="L42" i="44"/>
  <c r="K42" i="44"/>
  <c r="U35" i="44"/>
  <c r="T35" i="44"/>
  <c r="R35" i="44"/>
  <c r="O35" i="44"/>
  <c r="N35" i="44"/>
  <c r="L35" i="44"/>
  <c r="K35" i="44"/>
  <c r="U28" i="44"/>
  <c r="T28" i="44"/>
  <c r="R28" i="44"/>
  <c r="O28" i="44"/>
  <c r="N28" i="44"/>
  <c r="L28" i="44"/>
  <c r="K28" i="44"/>
  <c r="U19" i="44"/>
  <c r="T19" i="44"/>
  <c r="R19" i="44"/>
  <c r="O19" i="44"/>
  <c r="N19" i="44"/>
  <c r="L19" i="44"/>
  <c r="K19" i="44"/>
  <c r="U13" i="44"/>
  <c r="T13" i="44"/>
  <c r="R13" i="44"/>
  <c r="O13" i="44"/>
  <c r="N13" i="44"/>
  <c r="L13" i="44"/>
  <c r="K13" i="44"/>
  <c r="S14" i="44"/>
  <c r="S15" i="44"/>
  <c r="S16" i="44"/>
  <c r="S17" i="44"/>
  <c r="S20" i="44"/>
  <c r="S21" i="44"/>
  <c r="S22" i="44"/>
  <c r="S24" i="44"/>
  <c r="S26" i="44"/>
  <c r="S27" i="44"/>
  <c r="S29" i="44"/>
  <c r="S30" i="44"/>
  <c r="S31" i="44"/>
  <c r="S33" i="44"/>
  <c r="S36" i="44"/>
  <c r="S37" i="44"/>
  <c r="S38" i="44"/>
  <c r="S40" i="44"/>
  <c r="S43" i="44"/>
  <c r="S44" i="44"/>
  <c r="S45" i="44"/>
  <c r="S47" i="44"/>
  <c r="S50" i="44"/>
  <c r="S51" i="44"/>
  <c r="S52" i="44"/>
  <c r="S54" i="44"/>
  <c r="S57" i="44"/>
  <c r="S58" i="44"/>
  <c r="S59" i="44"/>
  <c r="S61" i="44"/>
  <c r="S64" i="44"/>
  <c r="S65" i="44"/>
  <c r="S66" i="44"/>
  <c r="S68" i="44"/>
  <c r="S71" i="44"/>
  <c r="S72" i="44"/>
  <c r="S73" i="44"/>
  <c r="S75" i="44"/>
  <c r="S78" i="44"/>
  <c r="S79" i="44"/>
  <c r="S80" i="44"/>
  <c r="S82" i="44"/>
  <c r="S86" i="44"/>
  <c r="S89" i="44"/>
  <c r="S90" i="44"/>
  <c r="S93" i="44"/>
  <c r="S95" i="44"/>
  <c r="S96" i="44"/>
  <c r="S99" i="44"/>
  <c r="S100" i="44"/>
  <c r="S103" i="44"/>
  <c r="S104" i="44" s="1"/>
  <c r="S105" i="44"/>
  <c r="S107" i="44"/>
  <c r="S108" i="44"/>
  <c r="S111" i="44"/>
  <c r="S113" i="44"/>
  <c r="S114" i="44"/>
  <c r="S116" i="44"/>
  <c r="S118" i="44"/>
  <c r="S120" i="44"/>
  <c r="S122" i="44"/>
  <c r="S123" i="44"/>
  <c r="S124" i="44"/>
  <c r="S126" i="44"/>
  <c r="J14" i="44"/>
  <c r="J15" i="44"/>
  <c r="J16" i="44"/>
  <c r="J17" i="44"/>
  <c r="J18" i="44"/>
  <c r="J20" i="44"/>
  <c r="J21" i="44"/>
  <c r="J22" i="44"/>
  <c r="J23" i="44"/>
  <c r="J24" i="44"/>
  <c r="J25" i="44"/>
  <c r="J26" i="44"/>
  <c r="J27" i="44"/>
  <c r="J29" i="44"/>
  <c r="J30" i="44"/>
  <c r="J31" i="44"/>
  <c r="J32" i="44"/>
  <c r="J33" i="44"/>
  <c r="J34" i="44"/>
  <c r="J36" i="44"/>
  <c r="J37" i="44"/>
  <c r="J38" i="44"/>
  <c r="J39" i="44"/>
  <c r="J40" i="44"/>
  <c r="J41" i="44"/>
  <c r="J43" i="44"/>
  <c r="J44" i="44"/>
  <c r="J45" i="44"/>
  <c r="J46" i="44"/>
  <c r="J47" i="44"/>
  <c r="J48" i="44"/>
  <c r="J50" i="44"/>
  <c r="J51" i="44"/>
  <c r="J52" i="44"/>
  <c r="J53" i="44"/>
  <c r="J54" i="44"/>
  <c r="J55" i="44"/>
  <c r="J57" i="44"/>
  <c r="J58" i="44"/>
  <c r="P58" i="44" s="1"/>
  <c r="J59" i="44"/>
  <c r="P59" i="44" s="1"/>
  <c r="J60" i="44"/>
  <c r="J61" i="44"/>
  <c r="J62" i="44"/>
  <c r="J64" i="44"/>
  <c r="P64" i="44" s="1"/>
  <c r="J65" i="44"/>
  <c r="P65" i="44" s="1"/>
  <c r="J66" i="44"/>
  <c r="J67" i="44"/>
  <c r="J68" i="44"/>
  <c r="J69" i="44"/>
  <c r="J71" i="44"/>
  <c r="J72" i="44"/>
  <c r="J73" i="44"/>
  <c r="J74" i="44"/>
  <c r="J75" i="44"/>
  <c r="J76" i="44"/>
  <c r="J78" i="44"/>
  <c r="J79" i="44"/>
  <c r="J80" i="44"/>
  <c r="P80" i="44" s="1"/>
  <c r="J81" i="44"/>
  <c r="J82" i="44"/>
  <c r="Q82" i="44" s="1"/>
  <c r="J83" i="44"/>
  <c r="J85" i="44"/>
  <c r="P85" i="44" s="1"/>
  <c r="J86" i="44"/>
  <c r="J87" i="44"/>
  <c r="J89" i="44"/>
  <c r="Q89" i="44" s="1"/>
  <c r="J90" i="44"/>
  <c r="J91" i="44"/>
  <c r="J93" i="44"/>
  <c r="P93" i="44" s="1"/>
  <c r="J94" i="44"/>
  <c r="Q94" i="44" s="1"/>
  <c r="J95" i="44"/>
  <c r="P95" i="44" s="1"/>
  <c r="J96" i="44"/>
  <c r="J97" i="44"/>
  <c r="J99" i="44"/>
  <c r="J100" i="44"/>
  <c r="Q100" i="44" s="1"/>
  <c r="J101" i="44"/>
  <c r="J103" i="44"/>
  <c r="J105" i="44"/>
  <c r="P105" i="44" s="1"/>
  <c r="J106" i="44"/>
  <c r="Q106" i="44" s="1"/>
  <c r="J107" i="44"/>
  <c r="P107" i="44" s="1"/>
  <c r="J108" i="44"/>
  <c r="P108" i="44" s="1"/>
  <c r="J109" i="44"/>
  <c r="J111" i="44"/>
  <c r="J113" i="44"/>
  <c r="Q113" i="44" s="1"/>
  <c r="J114" i="44"/>
  <c r="J115" i="44"/>
  <c r="J116" i="44"/>
  <c r="P116" i="44" s="1"/>
  <c r="J117" i="44"/>
  <c r="J118" i="44"/>
  <c r="Q118" i="44" s="1"/>
  <c r="J119" i="44"/>
  <c r="J120" i="44"/>
  <c r="J122" i="44"/>
  <c r="Q122" i="44" s="1"/>
  <c r="J123" i="44"/>
  <c r="P123" i="44" s="1"/>
  <c r="J124" i="44"/>
  <c r="Q124" i="44" s="1"/>
  <c r="J125" i="44"/>
  <c r="J126" i="44"/>
  <c r="J127" i="44"/>
  <c r="M15" i="44"/>
  <c r="M16" i="44"/>
  <c r="M104" i="44"/>
  <c r="AY509" i="44" l="1"/>
  <c r="Q448" i="43"/>
  <c r="P448" i="43"/>
  <c r="P398" i="43"/>
  <c r="Q398" i="43"/>
  <c r="P144" i="43"/>
  <c r="Q144" i="43"/>
  <c r="P455" i="43"/>
  <c r="Q455" i="43"/>
  <c r="P413" i="43"/>
  <c r="Q413" i="43"/>
  <c r="Q388" i="43"/>
  <c r="P388" i="43"/>
  <c r="P362" i="43"/>
  <c r="Q362" i="43"/>
  <c r="Q344" i="43"/>
  <c r="P344" i="43"/>
  <c r="Q311" i="43"/>
  <c r="P311" i="43"/>
  <c r="Q271" i="43"/>
  <c r="P271" i="43"/>
  <c r="P255" i="43"/>
  <c r="Q255" i="43"/>
  <c r="Q248" i="43"/>
  <c r="P248" i="43"/>
  <c r="P230" i="43"/>
  <c r="Q230" i="43"/>
  <c r="Q186" i="43"/>
  <c r="P186" i="43"/>
  <c r="Q150" i="43"/>
  <c r="P150" i="43"/>
  <c r="P441" i="43"/>
  <c r="Q441" i="43"/>
  <c r="Q356" i="43"/>
  <c r="P356" i="43"/>
  <c r="P242" i="43"/>
  <c r="Q242" i="43"/>
  <c r="P304" i="43"/>
  <c r="Q304" i="43"/>
  <c r="Q161" i="43"/>
  <c r="P161" i="43"/>
  <c r="Q420" i="43"/>
  <c r="P420" i="43"/>
  <c r="Q369" i="43"/>
  <c r="P369" i="43"/>
  <c r="Q211" i="43"/>
  <c r="P211" i="43"/>
  <c r="P167" i="43"/>
  <c r="Q167" i="43"/>
  <c r="P382" i="43"/>
  <c r="Q382" i="43"/>
  <c r="Q224" i="43"/>
  <c r="P224" i="43"/>
  <c r="Q172" i="43"/>
  <c r="P172" i="43"/>
  <c r="P427" i="43"/>
  <c r="Q427" i="43"/>
  <c r="P350" i="43"/>
  <c r="Q350" i="43"/>
  <c r="Q236" i="43"/>
  <c r="P236" i="43"/>
  <c r="P218" i="43"/>
  <c r="Q218" i="43"/>
  <c r="P192" i="43"/>
  <c r="Q192" i="43"/>
  <c r="P156" i="43"/>
  <c r="Q156" i="43"/>
  <c r="Q406" i="43"/>
  <c r="P406" i="43"/>
  <c r="P321" i="43"/>
  <c r="Q321" i="43"/>
  <c r="Q295" i="43"/>
  <c r="P295" i="43"/>
  <c r="P205" i="43"/>
  <c r="Q205" i="43"/>
  <c r="P179" i="43"/>
  <c r="Q179" i="43"/>
  <c r="Q137" i="43"/>
  <c r="P137" i="43"/>
  <c r="Q434" i="43"/>
  <c r="P434" i="43"/>
  <c r="P282" i="43"/>
  <c r="Q282" i="43"/>
  <c r="Q199" i="43"/>
  <c r="P199" i="43"/>
  <c r="Q131" i="43"/>
  <c r="P131" i="43"/>
  <c r="Q462" i="43"/>
  <c r="P462" i="43"/>
  <c r="P335" i="43"/>
  <c r="Q335" i="43"/>
  <c r="P302" i="43"/>
  <c r="Q302" i="43"/>
  <c r="Q135" i="43"/>
  <c r="P135" i="43"/>
  <c r="Q112" i="43"/>
  <c r="P112" i="43"/>
  <c r="Q38" i="43"/>
  <c r="P38" i="43"/>
  <c r="Q261" i="43"/>
  <c r="P261" i="43"/>
  <c r="Q62" i="43"/>
  <c r="P62" i="43"/>
  <c r="Q418" i="43"/>
  <c r="P418" i="43"/>
  <c r="Q392" i="43"/>
  <c r="P392" i="43"/>
  <c r="Q375" i="43"/>
  <c r="P375" i="43"/>
  <c r="Q367" i="43"/>
  <c r="P367" i="43"/>
  <c r="Q315" i="43"/>
  <c r="P315" i="43"/>
  <c r="Q275" i="43"/>
  <c r="P275" i="43"/>
  <c r="P209" i="43"/>
  <c r="Q209" i="43"/>
  <c r="Q165" i="43"/>
  <c r="P165" i="43"/>
  <c r="P101" i="43"/>
  <c r="Q101" i="43"/>
  <c r="Q93" i="43"/>
  <c r="P93" i="43"/>
  <c r="Q85" i="43"/>
  <c r="P85" i="43"/>
  <c r="Q69" i="43"/>
  <c r="P69" i="43"/>
  <c r="Q446" i="43"/>
  <c r="P446" i="43"/>
  <c r="Q404" i="43"/>
  <c r="P404" i="43"/>
  <c r="P319" i="43"/>
  <c r="Q319" i="43"/>
  <c r="Q148" i="43"/>
  <c r="P148" i="43"/>
  <c r="Q78" i="43"/>
  <c r="P78" i="43"/>
  <c r="Q45" i="43"/>
  <c r="P45" i="43"/>
  <c r="P458" i="43"/>
  <c r="Q458" i="43"/>
  <c r="Q425" i="43"/>
  <c r="P425" i="43"/>
  <c r="Q373" i="43"/>
  <c r="P373" i="43"/>
  <c r="Q348" i="43"/>
  <c r="P348" i="43"/>
  <c r="Q331" i="43"/>
  <c r="P331" i="43"/>
  <c r="Q234" i="43"/>
  <c r="P234" i="43"/>
  <c r="Q216" i="43"/>
  <c r="P216" i="43"/>
  <c r="Q190" i="43"/>
  <c r="P190" i="43"/>
  <c r="Q154" i="43"/>
  <c r="P154" i="43"/>
  <c r="Q124" i="43"/>
  <c r="P124" i="43"/>
  <c r="Q108" i="43"/>
  <c r="P108" i="43"/>
  <c r="Q51" i="43"/>
  <c r="P51" i="43"/>
  <c r="P34" i="43"/>
  <c r="Q34" i="43"/>
  <c r="Q26" i="43"/>
  <c r="P26" i="43"/>
  <c r="P396" i="43"/>
  <c r="Q396" i="43"/>
  <c r="Q203" i="43"/>
  <c r="P203" i="43"/>
  <c r="Q177" i="43"/>
  <c r="P177" i="43"/>
  <c r="P142" i="43"/>
  <c r="Q142" i="43"/>
  <c r="Q104" i="43"/>
  <c r="P104" i="43"/>
  <c r="Q453" i="43"/>
  <c r="P453" i="43"/>
  <c r="Q411" i="43"/>
  <c r="P411" i="43"/>
  <c r="Q342" i="43"/>
  <c r="P342" i="43"/>
  <c r="Q292" i="43"/>
  <c r="P292" i="43"/>
  <c r="Q269" i="43"/>
  <c r="P269" i="43"/>
  <c r="Q253" i="43"/>
  <c r="P253" i="43"/>
  <c r="Q228" i="43"/>
  <c r="P228" i="43"/>
  <c r="Q184" i="43"/>
  <c r="P184" i="43"/>
  <c r="Q119" i="43"/>
  <c r="P119" i="43"/>
  <c r="Q54" i="43"/>
  <c r="P54" i="43"/>
  <c r="Q21" i="43"/>
  <c r="P21" i="43"/>
  <c r="Q432" i="43"/>
  <c r="P432" i="43"/>
  <c r="Q287" i="43"/>
  <c r="P287" i="43"/>
  <c r="Q280" i="43"/>
  <c r="P280" i="43"/>
  <c r="P265" i="43"/>
  <c r="Q265" i="43"/>
  <c r="Q197" i="43"/>
  <c r="P197" i="43"/>
  <c r="Q115" i="43"/>
  <c r="P115" i="43"/>
  <c r="Q74" i="43"/>
  <c r="P74" i="43"/>
  <c r="P66" i="43"/>
  <c r="Q66" i="43"/>
  <c r="Q58" i="43"/>
  <c r="P58" i="43"/>
  <c r="Q41" i="43"/>
  <c r="P41" i="43"/>
  <c r="Q327" i="43"/>
  <c r="P327" i="43"/>
  <c r="Q30" i="43"/>
  <c r="P30" i="43"/>
  <c r="Q309" i="43"/>
  <c r="P309" i="43"/>
  <c r="Q246" i="43"/>
  <c r="P246" i="43"/>
  <c r="Q439" i="43"/>
  <c r="P439" i="43"/>
  <c r="Q380" i="43"/>
  <c r="P380" i="43"/>
  <c r="Q354" i="43"/>
  <c r="P354" i="43"/>
  <c r="Q240" i="43"/>
  <c r="P240" i="43"/>
  <c r="Q222" i="43"/>
  <c r="P222" i="43"/>
  <c r="Q129" i="43"/>
  <c r="P129" i="43"/>
  <c r="Q97" i="43"/>
  <c r="P97" i="43"/>
  <c r="P89" i="43"/>
  <c r="Q89" i="43"/>
  <c r="Q81" i="43"/>
  <c r="P81" i="43"/>
  <c r="Q48" i="43"/>
  <c r="P48" i="43"/>
  <c r="Q17" i="43"/>
  <c r="P17" i="43"/>
  <c r="Q69" i="44"/>
  <c r="P69" i="44"/>
  <c r="Q41" i="44"/>
  <c r="P41" i="44"/>
  <c r="Q119" i="44"/>
  <c r="P119" i="44"/>
  <c r="Q25" i="44"/>
  <c r="P25" i="44"/>
  <c r="Q18" i="44"/>
  <c r="P18" i="44"/>
  <c r="Q83" i="44"/>
  <c r="P83" i="44"/>
  <c r="Q62" i="44"/>
  <c r="P62" i="44"/>
  <c r="P48" i="44"/>
  <c r="Q48" i="44"/>
  <c r="Q34" i="44"/>
  <c r="P34" i="44"/>
  <c r="P127" i="44"/>
  <c r="Q127" i="44"/>
  <c r="Q109" i="44"/>
  <c r="P109" i="44"/>
  <c r="Q76" i="44"/>
  <c r="P76" i="44"/>
  <c r="Q55" i="44"/>
  <c r="P55" i="44"/>
  <c r="Q97" i="44"/>
  <c r="P97" i="44"/>
  <c r="Q91" i="44"/>
  <c r="P91" i="44"/>
  <c r="P81" i="44"/>
  <c r="Q81" i="44"/>
  <c r="Q74" i="44"/>
  <c r="P74" i="44"/>
  <c r="Q67" i="44"/>
  <c r="P67" i="44"/>
  <c r="P60" i="44"/>
  <c r="Q60" i="44"/>
  <c r="Q53" i="44"/>
  <c r="P53" i="44"/>
  <c r="Q46" i="44"/>
  <c r="P46" i="44"/>
  <c r="P39" i="44"/>
  <c r="Q39" i="44"/>
  <c r="Q32" i="44"/>
  <c r="P32" i="44"/>
  <c r="Q125" i="44"/>
  <c r="P125" i="44"/>
  <c r="Q87" i="44"/>
  <c r="P87" i="44"/>
  <c r="Q117" i="44"/>
  <c r="P117" i="44"/>
  <c r="Q101" i="44"/>
  <c r="P101" i="44"/>
  <c r="Q23" i="44"/>
  <c r="P23" i="44"/>
  <c r="M112" i="44"/>
  <c r="Q115" i="44"/>
  <c r="Q52" i="44"/>
  <c r="P38" i="44"/>
  <c r="P24" i="44"/>
  <c r="S112" i="44"/>
  <c r="P99" i="44"/>
  <c r="P86" i="44"/>
  <c r="Q73" i="44"/>
  <c r="P66" i="44"/>
  <c r="P45" i="44"/>
  <c r="Q31" i="44"/>
  <c r="Q17" i="44"/>
  <c r="J112" i="44"/>
  <c r="Q103" i="44"/>
  <c r="Q27" i="44"/>
  <c r="Q21" i="44"/>
  <c r="P14" i="44"/>
  <c r="P120" i="44"/>
  <c r="P114" i="44"/>
  <c r="P90" i="44"/>
  <c r="Q79" i="44"/>
  <c r="P72" i="44"/>
  <c r="P51" i="44"/>
  <c r="P44" i="44"/>
  <c r="Q37" i="44"/>
  <c r="P30" i="44"/>
  <c r="Q16" i="44"/>
  <c r="P75" i="44"/>
  <c r="P61" i="44"/>
  <c r="P54" i="44"/>
  <c r="P40" i="44"/>
  <c r="P33" i="44"/>
  <c r="P26" i="44"/>
  <c r="P78" i="44"/>
  <c r="Q57" i="44"/>
  <c r="P36" i="44"/>
  <c r="Q22" i="44"/>
  <c r="Q15" i="44"/>
  <c r="P436" i="43"/>
  <c r="Q386" i="43"/>
  <c r="P301" i="43"/>
  <c r="P460" i="43"/>
  <c r="P402" i="43"/>
  <c r="Q299" i="43"/>
  <c r="Q408" i="43"/>
  <c r="Q419" i="43"/>
  <c r="Q377" i="43"/>
  <c r="P277" i="43"/>
  <c r="P452" i="43"/>
  <c r="P443" i="43"/>
  <c r="P410" i="43"/>
  <c r="P385" i="43"/>
  <c r="Q308" i="43"/>
  <c r="Q323" i="43"/>
  <c r="P198" i="43"/>
  <c r="Q146" i="43"/>
  <c r="Q447" i="43"/>
  <c r="P405" i="43"/>
  <c r="P397" i="43"/>
  <c r="Q371" i="43"/>
  <c r="P337" i="43"/>
  <c r="Q329" i="43"/>
  <c r="Q320" i="43"/>
  <c r="P286" i="43"/>
  <c r="P264" i="43"/>
  <c r="P204" i="43"/>
  <c r="P114" i="43"/>
  <c r="P24" i="43"/>
  <c r="P403" i="43"/>
  <c r="P210" i="43"/>
  <c r="P454" i="43"/>
  <c r="Q429" i="43"/>
  <c r="P412" i="43"/>
  <c r="P387" i="43"/>
  <c r="P379" i="43"/>
  <c r="P361" i="43"/>
  <c r="Q353" i="43"/>
  <c r="P343" i="43"/>
  <c r="P310" i="43"/>
  <c r="Q293" i="43"/>
  <c r="P96" i="43"/>
  <c r="P72" i="43"/>
  <c r="Q23" i="43"/>
  <c r="M116" i="43"/>
  <c r="M52" i="43"/>
  <c r="P445" i="43"/>
  <c r="Q368" i="43"/>
  <c r="P334" i="43"/>
  <c r="Q284" i="43"/>
  <c r="Q71" i="43"/>
  <c r="Q426" i="43"/>
  <c r="P349" i="43"/>
  <c r="Q341" i="43"/>
  <c r="P325" i="43"/>
  <c r="P268" i="43"/>
  <c r="P252" i="43"/>
  <c r="Q140" i="43"/>
  <c r="Q133" i="43"/>
  <c r="P126" i="43"/>
  <c r="P36" i="43"/>
  <c r="S376" i="43"/>
  <c r="P461" i="43"/>
  <c r="P395" i="43"/>
  <c r="Q326" i="43"/>
  <c r="Q450" i="43"/>
  <c r="Q281" i="43"/>
  <c r="Q138" i="43"/>
  <c r="Q84" i="43"/>
  <c r="P60" i="43"/>
  <c r="M298" i="43"/>
  <c r="S324" i="43"/>
  <c r="S298" i="43"/>
  <c r="Q163" i="43"/>
  <c r="P384" i="43"/>
  <c r="M82" i="43"/>
  <c r="M42" i="43"/>
  <c r="M105" i="43"/>
  <c r="S258" i="43"/>
  <c r="P158" i="43"/>
  <c r="Q317" i="43"/>
  <c r="P352" i="43"/>
  <c r="P244" i="43"/>
  <c r="Q346" i="43"/>
  <c r="Q188" i="43"/>
  <c r="Q307" i="43"/>
  <c r="P422" i="43"/>
  <c r="Q422" i="43"/>
  <c r="Q278" i="43"/>
  <c r="P278" i="43"/>
  <c r="Q300" i="43"/>
  <c r="P300" i="43"/>
  <c r="Q401" i="43"/>
  <c r="P401" i="43"/>
  <c r="Q226" i="43"/>
  <c r="P226" i="43"/>
  <c r="Q416" i="43"/>
  <c r="P416" i="43"/>
  <c r="P378" i="43"/>
  <c r="Q378" i="43"/>
  <c r="Q238" i="43"/>
  <c r="P238" i="43"/>
  <c r="Q339" i="43"/>
  <c r="P339" i="43"/>
  <c r="P207" i="43"/>
  <c r="Q207" i="43"/>
  <c r="P438" i="43"/>
  <c r="I438" i="43" s="1"/>
  <c r="P433" i="43"/>
  <c r="P417" i="43"/>
  <c r="P399" i="43"/>
  <c r="P391" i="43"/>
  <c r="P340" i="43"/>
  <c r="Q314" i="43"/>
  <c r="Q290" i="43"/>
  <c r="P274" i="43"/>
  <c r="P423" i="43"/>
  <c r="P457" i="43"/>
  <c r="Q440" i="43"/>
  <c r="P424" i="43"/>
  <c r="P415" i="43"/>
  <c r="P381" i="43"/>
  <c r="P364" i="43"/>
  <c r="P355" i="43"/>
  <c r="Q347" i="43"/>
  <c r="P347" i="43"/>
  <c r="Q338" i="43"/>
  <c r="P313" i="43"/>
  <c r="P430" i="43"/>
  <c r="P426" i="43"/>
  <c r="Q452" i="43"/>
  <c r="P284" i="43"/>
  <c r="P447" i="43"/>
  <c r="Q384" i="43"/>
  <c r="P338" i="43"/>
  <c r="Q310" i="43"/>
  <c r="P419" i="43"/>
  <c r="Q337" i="43"/>
  <c r="Q264" i="43"/>
  <c r="Q210" i="43"/>
  <c r="Q461" i="43"/>
  <c r="P444" i="43"/>
  <c r="Q431" i="43"/>
  <c r="Q379" i="43"/>
  <c r="P329" i="43"/>
  <c r="Q301" i="43"/>
  <c r="Q443" i="43"/>
  <c r="P429" i="43"/>
  <c r="Q415" i="43"/>
  <c r="Q397" i="43"/>
  <c r="P320" i="43"/>
  <c r="P293" i="43"/>
  <c r="P366" i="43"/>
  <c r="Q366" i="43"/>
  <c r="P297" i="43"/>
  <c r="Q297" i="43"/>
  <c r="P251" i="43"/>
  <c r="Q251" i="43"/>
  <c r="Q158" i="43"/>
  <c r="Q232" i="43"/>
  <c r="P232" i="43"/>
  <c r="P450" i="43"/>
  <c r="P330" i="43"/>
  <c r="Q330" i="43"/>
  <c r="P273" i="43"/>
  <c r="Q273" i="43"/>
  <c r="P257" i="43"/>
  <c r="Q257" i="43"/>
  <c r="Q250" i="43"/>
  <c r="P250" i="43"/>
  <c r="Q223" i="43"/>
  <c r="P223" i="43"/>
  <c r="P171" i="43"/>
  <c r="Q171" i="43"/>
  <c r="Q130" i="43"/>
  <c r="P130" i="43"/>
  <c r="Q91" i="43"/>
  <c r="P91" i="43"/>
  <c r="P163" i="43"/>
  <c r="Q274" i="43"/>
  <c r="P138" i="43"/>
  <c r="P84" i="43"/>
  <c r="P303" i="43"/>
  <c r="Q303" i="43"/>
  <c r="P294" i="43"/>
  <c r="Q294" i="43"/>
  <c r="P279" i="43"/>
  <c r="Q279" i="43"/>
  <c r="P212" i="43"/>
  <c r="Q212" i="43"/>
  <c r="Q196" i="43"/>
  <c r="P196" i="43"/>
  <c r="Q178" i="43"/>
  <c r="P178" i="43"/>
  <c r="P170" i="43"/>
  <c r="Q170" i="43"/>
  <c r="Q160" i="43"/>
  <c r="P160" i="43"/>
  <c r="P143" i="43"/>
  <c r="Q143" i="43"/>
  <c r="Q136" i="43"/>
  <c r="P136" i="43"/>
  <c r="P122" i="43"/>
  <c r="Q122" i="43"/>
  <c r="Q106" i="43"/>
  <c r="P106" i="43"/>
  <c r="Q73" i="43"/>
  <c r="P73" i="43"/>
  <c r="P65" i="43"/>
  <c r="Q65" i="43"/>
  <c r="P57" i="43"/>
  <c r="Q57" i="43"/>
  <c r="Q40" i="43"/>
  <c r="P40" i="43"/>
  <c r="P32" i="43"/>
  <c r="Q32" i="43"/>
  <c r="Q16" i="43"/>
  <c r="P16" i="43"/>
  <c r="Q169" i="43"/>
  <c r="P169" i="43"/>
  <c r="Q244" i="43"/>
  <c r="P346" i="43"/>
  <c r="P394" i="43"/>
  <c r="P440" i="43"/>
  <c r="P437" i="43"/>
  <c r="Q417" i="43"/>
  <c r="Q410" i="43"/>
  <c r="Q403" i="43"/>
  <c r="Q399" i="43"/>
  <c r="Q387" i="43"/>
  <c r="P371" i="43"/>
  <c r="P353" i="43"/>
  <c r="P326" i="43"/>
  <c r="P317" i="43"/>
  <c r="P308" i="43"/>
  <c r="P299" i="43"/>
  <c r="P290" i="43"/>
  <c r="P281" i="43"/>
  <c r="Q204" i="43"/>
  <c r="Q114" i="43"/>
  <c r="Q96" i="43"/>
  <c r="Q60" i="43"/>
  <c r="Q24" i="43"/>
  <c r="Q259" i="43"/>
  <c r="P259" i="43"/>
  <c r="Q100" i="43"/>
  <c r="P100" i="43"/>
  <c r="P68" i="43"/>
  <c r="Q68" i="43"/>
  <c r="P233" i="43"/>
  <c r="Q233" i="43"/>
  <c r="P153" i="43"/>
  <c r="Q153" i="43"/>
  <c r="P50" i="43"/>
  <c r="Q50" i="43"/>
  <c r="Q25" i="43"/>
  <c r="P25" i="43"/>
  <c r="Q364" i="43"/>
  <c r="P285" i="43"/>
  <c r="Q285" i="43"/>
  <c r="P270" i="43"/>
  <c r="Q270" i="43"/>
  <c r="P263" i="43"/>
  <c r="Q263" i="43"/>
  <c r="P254" i="43"/>
  <c r="Q254" i="43"/>
  <c r="Q247" i="43"/>
  <c r="P247" i="43"/>
  <c r="P239" i="43"/>
  <c r="Q239" i="43"/>
  <c r="Q229" i="43"/>
  <c r="P229" i="43"/>
  <c r="P221" i="43"/>
  <c r="Q221" i="43"/>
  <c r="Q193" i="43"/>
  <c r="P193" i="43"/>
  <c r="P185" i="43"/>
  <c r="Q185" i="43"/>
  <c r="P159" i="43"/>
  <c r="Q159" i="43"/>
  <c r="P149" i="43"/>
  <c r="Q149" i="43"/>
  <c r="P128" i="43"/>
  <c r="Q128" i="43"/>
  <c r="Q121" i="43"/>
  <c r="P121" i="43"/>
  <c r="Q88" i="43"/>
  <c r="P88" i="43"/>
  <c r="P80" i="43"/>
  <c r="Q80" i="43"/>
  <c r="Q64" i="43"/>
  <c r="P64" i="43"/>
  <c r="P56" i="43"/>
  <c r="Q56" i="43"/>
  <c r="P47" i="43"/>
  <c r="Q47" i="43"/>
  <c r="P23" i="43"/>
  <c r="P15" i="43"/>
  <c r="Q15" i="43"/>
  <c r="Q175" i="43"/>
  <c r="P175" i="43"/>
  <c r="Q214" i="43"/>
  <c r="P214" i="43"/>
  <c r="P289" i="43"/>
  <c r="Q460" i="43"/>
  <c r="Q457" i="43"/>
  <c r="Q454" i="43"/>
  <c r="Q445" i="43"/>
  <c r="Q436" i="43"/>
  <c r="Q433" i="43"/>
  <c r="Q430" i="43"/>
  <c r="Q424" i="43"/>
  <c r="Q402" i="43"/>
  <c r="Q395" i="43"/>
  <c r="Q391" i="43"/>
  <c r="Q361" i="43"/>
  <c r="Q352" i="43"/>
  <c r="Q343" i="43"/>
  <c r="Q334" i="43"/>
  <c r="Q325" i="43"/>
  <c r="Q289" i="43"/>
  <c r="Q208" i="43"/>
  <c r="P208" i="43"/>
  <c r="P164" i="43"/>
  <c r="Q164" i="43"/>
  <c r="P92" i="43"/>
  <c r="Q92" i="43"/>
  <c r="Q19" i="43"/>
  <c r="P19" i="43"/>
  <c r="P195" i="43"/>
  <c r="Q195" i="43"/>
  <c r="P408" i="43"/>
  <c r="P372" i="43"/>
  <c r="Q372" i="43"/>
  <c r="Q241" i="43"/>
  <c r="P241" i="43"/>
  <c r="P215" i="43"/>
  <c r="Q215" i="43"/>
  <c r="P189" i="43"/>
  <c r="Q189" i="43"/>
  <c r="P123" i="43"/>
  <c r="Q123" i="43"/>
  <c r="P107" i="43"/>
  <c r="Q107" i="43"/>
  <c r="P201" i="43"/>
  <c r="Q201" i="43"/>
  <c r="Q355" i="43"/>
  <c r="P360" i="43"/>
  <c r="Q360" i="43"/>
  <c r="P318" i="43"/>
  <c r="Q318" i="43"/>
  <c r="Q202" i="43"/>
  <c r="P202" i="43"/>
  <c r="P176" i="43"/>
  <c r="Q176" i="43"/>
  <c r="Q166" i="43"/>
  <c r="P166" i="43"/>
  <c r="P141" i="43"/>
  <c r="Q141" i="43"/>
  <c r="P134" i="43"/>
  <c r="Q134" i="43"/>
  <c r="Q127" i="43"/>
  <c r="P127" i="43"/>
  <c r="P111" i="43"/>
  <c r="Q111" i="43"/>
  <c r="Q103" i="43"/>
  <c r="P103" i="43"/>
  <c r="P95" i="43"/>
  <c r="Q95" i="43"/>
  <c r="P87" i="43"/>
  <c r="Q87" i="43"/>
  <c r="P71" i="43"/>
  <c r="Q37" i="43"/>
  <c r="P37" i="43"/>
  <c r="P29" i="43"/>
  <c r="Q29" i="43"/>
  <c r="P14" i="43"/>
  <c r="Q14" i="43"/>
  <c r="P182" i="43"/>
  <c r="Q182" i="43"/>
  <c r="Q220" i="43"/>
  <c r="Q359" i="43"/>
  <c r="I359" i="43" s="1"/>
  <c r="P409" i="43"/>
  <c r="P451" i="43"/>
  <c r="Q423" i="43"/>
  <c r="Q409" i="43"/>
  <c r="Q405" i="43"/>
  <c r="Q390" i="43"/>
  <c r="P386" i="43"/>
  <c r="Q381" i="43"/>
  <c r="P377" i="43"/>
  <c r="P368" i="43"/>
  <c r="P341" i="43"/>
  <c r="P323" i="43"/>
  <c r="P314" i="43"/>
  <c r="Q252" i="43"/>
  <c r="Q198" i="43"/>
  <c r="Q126" i="43"/>
  <c r="Q72" i="43"/>
  <c r="Q36" i="43"/>
  <c r="P306" i="43"/>
  <c r="Q306" i="43"/>
  <c r="P267" i="43"/>
  <c r="Q267" i="43"/>
  <c r="Q181" i="43"/>
  <c r="P181" i="43"/>
  <c r="P146" i="43"/>
  <c r="P117" i="43"/>
  <c r="Q117" i="43"/>
  <c r="Q76" i="43"/>
  <c r="P76" i="43"/>
  <c r="Q43" i="43"/>
  <c r="P43" i="43"/>
  <c r="P99" i="43"/>
  <c r="Q99" i="43"/>
  <c r="P83" i="43"/>
  <c r="Q83" i="43"/>
  <c r="P33" i="43"/>
  <c r="Q33" i="43"/>
  <c r="P357" i="43"/>
  <c r="Q357" i="43"/>
  <c r="P333" i="43"/>
  <c r="Q333" i="43"/>
  <c r="P291" i="43"/>
  <c r="Q291" i="43"/>
  <c r="P260" i="43"/>
  <c r="Q260" i="43"/>
  <c r="P245" i="43"/>
  <c r="Q245" i="43"/>
  <c r="Q235" i="43"/>
  <c r="P235" i="43"/>
  <c r="P227" i="43"/>
  <c r="Q227" i="43"/>
  <c r="Q217" i="43"/>
  <c r="P217" i="43"/>
  <c r="P191" i="43"/>
  <c r="Q191" i="43"/>
  <c r="P183" i="43"/>
  <c r="Q183" i="43"/>
  <c r="P173" i="43"/>
  <c r="Q173" i="43"/>
  <c r="P155" i="43"/>
  <c r="Q155" i="43"/>
  <c r="P147" i="43"/>
  <c r="Q147" i="43"/>
  <c r="P140" i="43"/>
  <c r="P133" i="43"/>
  <c r="Q118" i="43"/>
  <c r="P118" i="43"/>
  <c r="P110" i="43"/>
  <c r="Q110" i="43"/>
  <c r="P77" i="43"/>
  <c r="Q77" i="43"/>
  <c r="Q61" i="43"/>
  <c r="P61" i="43"/>
  <c r="P53" i="43"/>
  <c r="Q53" i="43"/>
  <c r="P44" i="43"/>
  <c r="Q44" i="43"/>
  <c r="Q28" i="43"/>
  <c r="P28" i="43"/>
  <c r="P20" i="43"/>
  <c r="Q20" i="43"/>
  <c r="P152" i="43"/>
  <c r="Q152" i="43"/>
  <c r="P188" i="43"/>
  <c r="P307" i="43"/>
  <c r="Q365" i="43"/>
  <c r="Q412" i="43"/>
  <c r="Q394" i="43"/>
  <c r="Q385" i="43"/>
  <c r="Q349" i="43"/>
  <c r="Q340" i="43"/>
  <c r="Q313" i="43"/>
  <c r="Q286" i="43"/>
  <c r="Q277" i="43"/>
  <c r="Q268" i="43"/>
  <c r="S102" i="43"/>
  <c r="S52" i="43"/>
  <c r="S94" i="43"/>
  <c r="S459" i="43"/>
  <c r="S79" i="43"/>
  <c r="S55" i="43"/>
  <c r="S70" i="43"/>
  <c r="S374" i="43"/>
  <c r="S35" i="43"/>
  <c r="S42" i="43"/>
  <c r="S162" i="43"/>
  <c r="S116" i="43"/>
  <c r="S86" i="43"/>
  <c r="S336" i="43"/>
  <c r="S328" i="43"/>
  <c r="S276" i="43"/>
  <c r="S219" i="43"/>
  <c r="S125" i="43"/>
  <c r="S82" i="43"/>
  <c r="S67" i="43"/>
  <c r="S59" i="43"/>
  <c r="S27" i="43"/>
  <c r="S49" i="43"/>
  <c r="S435" i="43"/>
  <c r="S393" i="43"/>
  <c r="S363" i="43"/>
  <c r="S351" i="43"/>
  <c r="S266" i="43"/>
  <c r="S237" i="43"/>
  <c r="S225" i="43"/>
  <c r="S200" i="43"/>
  <c r="S174" i="43"/>
  <c r="S168" i="43"/>
  <c r="S139" i="43"/>
  <c r="S113" i="43"/>
  <c r="S105" i="43"/>
  <c r="S98" i="43"/>
  <c r="S90" i="43"/>
  <c r="S75" i="43"/>
  <c r="S31" i="43"/>
  <c r="S18" i="43"/>
  <c r="S109" i="43"/>
  <c r="S463" i="43"/>
  <c r="S358" i="43"/>
  <c r="S231" i="43"/>
  <c r="S145" i="43"/>
  <c r="S132" i="43"/>
  <c r="S39" i="43"/>
  <c r="S345" i="43"/>
  <c r="S332" i="43"/>
  <c r="S316" i="43"/>
  <c r="S312" i="43"/>
  <c r="S305" i="43"/>
  <c r="S288" i="43"/>
  <c r="S283" i="43"/>
  <c r="S180" i="43"/>
  <c r="S151" i="43"/>
  <c r="S120" i="43"/>
  <c r="S63" i="43"/>
  <c r="S46" i="43"/>
  <c r="S22" i="43"/>
  <c r="S456" i="43"/>
  <c r="S449" i="43"/>
  <c r="S442" i="43"/>
  <c r="S428" i="43"/>
  <c r="S421" i="43"/>
  <c r="S414" i="43"/>
  <c r="S407" i="43"/>
  <c r="S400" i="43"/>
  <c r="S370" i="43"/>
  <c r="S243" i="43"/>
  <c r="S194" i="43"/>
  <c r="S187" i="43"/>
  <c r="S157" i="43"/>
  <c r="S296" i="43"/>
  <c r="S272" i="43"/>
  <c r="S262" i="43"/>
  <c r="S249" i="43"/>
  <c r="S206" i="43"/>
  <c r="S389" i="43"/>
  <c r="S383" i="43"/>
  <c r="S322" i="43"/>
  <c r="S256" i="43"/>
  <c r="S213" i="43"/>
  <c r="M98" i="43"/>
  <c r="M276" i="43"/>
  <c r="M67" i="43"/>
  <c r="M328" i="43"/>
  <c r="M125" i="43"/>
  <c r="M168" i="43"/>
  <c r="M18" i="43"/>
  <c r="M75" i="43"/>
  <c r="M39" i="43"/>
  <c r="J376" i="43"/>
  <c r="J324" i="43"/>
  <c r="J168" i="43"/>
  <c r="J105" i="43"/>
  <c r="J98" i="43"/>
  <c r="J90" i="43"/>
  <c r="J75" i="43"/>
  <c r="J266" i="43"/>
  <c r="J132" i="43"/>
  <c r="J39" i="43"/>
  <c r="J459" i="43"/>
  <c r="J298" i="43"/>
  <c r="J52" i="43"/>
  <c r="J67" i="43"/>
  <c r="J59" i="43"/>
  <c r="J258" i="43"/>
  <c r="J82" i="43"/>
  <c r="M22" i="43"/>
  <c r="J18" i="43"/>
  <c r="N464" i="43"/>
  <c r="G13" i="47" s="1"/>
  <c r="J31" i="43"/>
  <c r="M389" i="43"/>
  <c r="M256" i="43"/>
  <c r="M219" i="43"/>
  <c r="M213" i="43"/>
  <c r="M59" i="43"/>
  <c r="J463" i="43"/>
  <c r="J363" i="43"/>
  <c r="J358" i="43"/>
  <c r="J231" i="43"/>
  <c r="J194" i="43"/>
  <c r="J180" i="43"/>
  <c r="J174" i="43"/>
  <c r="J145" i="43"/>
  <c r="J139" i="43"/>
  <c r="J120" i="43"/>
  <c r="J113" i="43"/>
  <c r="J55" i="43"/>
  <c r="J46" i="43"/>
  <c r="J22" i="43"/>
  <c r="M383" i="43"/>
  <c r="M336" i="43"/>
  <c r="M322" i="43"/>
  <c r="J157" i="43"/>
  <c r="J206" i="43"/>
  <c r="J219" i="43"/>
  <c r="M258" i="43"/>
  <c r="M49" i="43"/>
  <c r="M27" i="43"/>
  <c r="J345" i="43"/>
  <c r="J332" i="43"/>
  <c r="J151" i="43"/>
  <c r="J70" i="43"/>
  <c r="J63" i="43"/>
  <c r="M225" i="43"/>
  <c r="J456" i="43"/>
  <c r="J449" i="43"/>
  <c r="J442" i="43"/>
  <c r="J435" i="43"/>
  <c r="J428" i="43"/>
  <c r="J421" i="43"/>
  <c r="J414" i="43"/>
  <c r="J407" i="43"/>
  <c r="J400" i="43"/>
  <c r="J374" i="43"/>
  <c r="J370" i="43"/>
  <c r="J200" i="43"/>
  <c r="J187" i="43"/>
  <c r="J102" i="43"/>
  <c r="J94" i="43"/>
  <c r="J86" i="43"/>
  <c r="M463" i="43"/>
  <c r="M363" i="43"/>
  <c r="M358" i="43"/>
  <c r="M266" i="43"/>
  <c r="M231" i="43"/>
  <c r="M174" i="43"/>
  <c r="M145" i="43"/>
  <c r="M139" i="43"/>
  <c r="M132" i="43"/>
  <c r="M113" i="43"/>
  <c r="M55" i="43"/>
  <c r="M31" i="43"/>
  <c r="J296" i="43"/>
  <c r="J272" i="43"/>
  <c r="J262" i="43"/>
  <c r="J249" i="43"/>
  <c r="J162" i="43"/>
  <c r="J116" i="43"/>
  <c r="J109" i="43"/>
  <c r="J42" i="43"/>
  <c r="J35" i="43"/>
  <c r="M345" i="43"/>
  <c r="M332" i="43"/>
  <c r="M316" i="43"/>
  <c r="M312" i="43"/>
  <c r="M305" i="43"/>
  <c r="M288" i="43"/>
  <c r="M283" i="43"/>
  <c r="M243" i="43"/>
  <c r="M237" i="43"/>
  <c r="M194" i="43"/>
  <c r="M180" i="43"/>
  <c r="M157" i="43"/>
  <c r="M151" i="43"/>
  <c r="M120" i="43"/>
  <c r="M79" i="43"/>
  <c r="M70" i="43"/>
  <c r="M63" i="43"/>
  <c r="M46" i="43"/>
  <c r="J389" i="43"/>
  <c r="J213" i="43"/>
  <c r="J49" i="43"/>
  <c r="J27" i="43"/>
  <c r="M200" i="43"/>
  <c r="M187" i="43"/>
  <c r="M102" i="43"/>
  <c r="M94" i="43"/>
  <c r="J243" i="43"/>
  <c r="J393" i="43"/>
  <c r="J351" i="43"/>
  <c r="J225" i="43"/>
  <c r="M296" i="43"/>
  <c r="M272" i="43"/>
  <c r="M262" i="43"/>
  <c r="M249" i="43"/>
  <c r="M206" i="43"/>
  <c r="M162" i="43"/>
  <c r="M109" i="43"/>
  <c r="M35" i="43"/>
  <c r="J316" i="43"/>
  <c r="J312" i="43"/>
  <c r="J305" i="43"/>
  <c r="J288" i="43"/>
  <c r="J283" i="43"/>
  <c r="J237" i="43"/>
  <c r="J79" i="43"/>
  <c r="M393" i="43"/>
  <c r="M351" i="43"/>
  <c r="M324" i="43"/>
  <c r="M90" i="43"/>
  <c r="J383" i="43"/>
  <c r="J336" i="43"/>
  <c r="J328" i="43"/>
  <c r="J322" i="43"/>
  <c r="J276" i="43"/>
  <c r="J125" i="43"/>
  <c r="M459" i="43"/>
  <c r="M456" i="43"/>
  <c r="M442" i="43"/>
  <c r="M435" i="43"/>
  <c r="M428" i="43"/>
  <c r="M421" i="43"/>
  <c r="M414" i="43"/>
  <c r="M400" i="43"/>
  <c r="M370" i="43"/>
  <c r="M86" i="43"/>
  <c r="O464" i="43"/>
  <c r="H13" i="47" s="1"/>
  <c r="J256" i="43"/>
  <c r="M374" i="43"/>
  <c r="M407" i="43"/>
  <c r="M449" i="43"/>
  <c r="Q72" i="44"/>
  <c r="P37" i="44"/>
  <c r="P79" i="44"/>
  <c r="Q123" i="44"/>
  <c r="P100" i="44"/>
  <c r="Q90" i="44"/>
  <c r="M92" i="44"/>
  <c r="Q51" i="44"/>
  <c r="P115" i="44"/>
  <c r="S85" i="44"/>
  <c r="P124" i="44"/>
  <c r="Q114" i="44"/>
  <c r="Q99" i="44"/>
  <c r="Q75" i="44"/>
  <c r="Q33" i="44"/>
  <c r="P16" i="44"/>
  <c r="Q86" i="44"/>
  <c r="P73" i="44"/>
  <c r="Q45" i="44"/>
  <c r="P31" i="44"/>
  <c r="M19" i="44"/>
  <c r="Q120" i="44"/>
  <c r="Q108" i="44"/>
  <c r="P94" i="44"/>
  <c r="P82" i="44"/>
  <c r="Q30" i="44"/>
  <c r="M84" i="44"/>
  <c r="M102" i="44"/>
  <c r="M70" i="44"/>
  <c r="M56" i="44"/>
  <c r="M42" i="44"/>
  <c r="P118" i="44"/>
  <c r="P106" i="44"/>
  <c r="Q93" i="44"/>
  <c r="Q54" i="44"/>
  <c r="M110" i="44"/>
  <c r="S98" i="44"/>
  <c r="P103" i="44"/>
  <c r="Q66" i="44"/>
  <c r="P52" i="44"/>
  <c r="Q24" i="44"/>
  <c r="S128" i="44"/>
  <c r="S84" i="44"/>
  <c r="S42" i="44"/>
  <c r="Q126" i="44"/>
  <c r="Q36" i="44"/>
  <c r="M88" i="44"/>
  <c r="M77" i="44"/>
  <c r="M63" i="44"/>
  <c r="M49" i="44"/>
  <c r="M35" i="44"/>
  <c r="P126" i="44"/>
  <c r="P111" i="44"/>
  <c r="P96" i="44"/>
  <c r="P57" i="44"/>
  <c r="P27" i="44"/>
  <c r="P21" i="44"/>
  <c r="P15" i="44"/>
  <c r="J128" i="44"/>
  <c r="Q96" i="44"/>
  <c r="M121" i="44"/>
  <c r="S121" i="44"/>
  <c r="S92" i="44"/>
  <c r="S77" i="44"/>
  <c r="S70" i="44"/>
  <c r="S63" i="44"/>
  <c r="S56" i="44"/>
  <c r="S49" i="44"/>
  <c r="S35" i="44"/>
  <c r="Q116" i="44"/>
  <c r="Q107" i="44"/>
  <c r="Q95" i="44"/>
  <c r="Q80" i="44"/>
  <c r="Q71" i="44"/>
  <c r="Q68" i="44"/>
  <c r="Q65" i="44"/>
  <c r="Q59" i="44"/>
  <c r="Q50" i="44"/>
  <c r="Q47" i="44"/>
  <c r="Q44" i="44"/>
  <c r="Q38" i="44"/>
  <c r="Q29" i="44"/>
  <c r="Q26" i="44"/>
  <c r="Q20" i="44"/>
  <c r="Q14" i="44"/>
  <c r="P43" i="44"/>
  <c r="S110" i="44"/>
  <c r="Q111" i="44"/>
  <c r="M128" i="44"/>
  <c r="S19" i="44"/>
  <c r="P122" i="44"/>
  <c r="P113" i="44"/>
  <c r="P89" i="44"/>
  <c r="P71" i="44"/>
  <c r="P68" i="44"/>
  <c r="P50" i="44"/>
  <c r="P47" i="44"/>
  <c r="P29" i="44"/>
  <c r="P20" i="44"/>
  <c r="P17" i="44"/>
  <c r="P22" i="44"/>
  <c r="M98" i="44"/>
  <c r="M28" i="44"/>
  <c r="S102" i="44"/>
  <c r="Q105" i="44"/>
  <c r="Q78" i="44"/>
  <c r="S28" i="44"/>
  <c r="Q85" i="44"/>
  <c r="Q64" i="44"/>
  <c r="Q61" i="44"/>
  <c r="Q58" i="44"/>
  <c r="Q43" i="44"/>
  <c r="Q40" i="44"/>
  <c r="J19" i="44"/>
  <c r="J63" i="44"/>
  <c r="J98" i="44"/>
  <c r="J28" i="44"/>
  <c r="J70" i="44"/>
  <c r="J102" i="44"/>
  <c r="J35" i="44"/>
  <c r="J77" i="44"/>
  <c r="J104" i="44"/>
  <c r="J42" i="44"/>
  <c r="J84" i="44"/>
  <c r="J110" i="44"/>
  <c r="J49" i="44"/>
  <c r="J88" i="44"/>
  <c r="J56" i="44"/>
  <c r="J92" i="44"/>
  <c r="J121" i="44"/>
  <c r="I114" i="44" l="1"/>
  <c r="I127" i="44"/>
  <c r="I319" i="43"/>
  <c r="I292" i="43"/>
  <c r="I46" i="44"/>
  <c r="I207" i="43"/>
  <c r="I439" i="43"/>
  <c r="I120" i="44"/>
  <c r="I75" i="44"/>
  <c r="I72" i="44"/>
  <c r="I40" i="44"/>
  <c r="I22" i="44"/>
  <c r="I97" i="44"/>
  <c r="I64" i="44"/>
  <c r="I17" i="44"/>
  <c r="I23" i="44"/>
  <c r="I44" i="44"/>
  <c r="I65" i="44"/>
  <c r="I119" i="44"/>
  <c r="I91" i="44"/>
  <c r="I39" i="44"/>
  <c r="I118" i="44"/>
  <c r="I30" i="44"/>
  <c r="I32" i="44"/>
  <c r="I74" i="44"/>
  <c r="I101" i="44"/>
  <c r="I36" i="44"/>
  <c r="I24" i="44"/>
  <c r="I81" i="44"/>
  <c r="I33" i="44"/>
  <c r="I123" i="44"/>
  <c r="I80" i="44"/>
  <c r="I48" i="44"/>
  <c r="I69" i="44"/>
  <c r="I79" i="44"/>
  <c r="I41" i="44"/>
  <c r="I62" i="44"/>
  <c r="I83" i="44"/>
  <c r="P63" i="44"/>
  <c r="I25" i="44"/>
  <c r="I108" i="44"/>
  <c r="I34" i="44"/>
  <c r="I51" i="44"/>
  <c r="P42" i="44"/>
  <c r="Q104" i="44"/>
  <c r="I58" i="44"/>
  <c r="Q112" i="44"/>
  <c r="P104" i="44"/>
  <c r="I54" i="44"/>
  <c r="I55" i="44"/>
  <c r="S88" i="44"/>
  <c r="Q92" i="44"/>
  <c r="I61" i="44"/>
  <c r="I95" i="44"/>
  <c r="I21" i="44"/>
  <c r="P112" i="44"/>
  <c r="I117" i="44"/>
  <c r="P102" i="44"/>
  <c r="I238" i="43"/>
  <c r="I277" i="43"/>
  <c r="I340" i="43"/>
  <c r="I365" i="43"/>
  <c r="I108" i="43"/>
  <c r="I252" i="43"/>
  <c r="I350" i="43"/>
  <c r="I234" i="43"/>
  <c r="I451" i="43"/>
  <c r="I309" i="43"/>
  <c r="Q288" i="43"/>
  <c r="I349" i="43"/>
  <c r="I307" i="43"/>
  <c r="Q376" i="43"/>
  <c r="I126" i="43"/>
  <c r="I269" i="43"/>
  <c r="P298" i="43"/>
  <c r="I329" i="43"/>
  <c r="I66" i="43"/>
  <c r="I419" i="43"/>
  <c r="I228" i="43"/>
  <c r="I246" i="43"/>
  <c r="I72" i="43"/>
  <c r="I236" i="43"/>
  <c r="I367" i="43"/>
  <c r="I110" i="43"/>
  <c r="I147" i="43"/>
  <c r="I260" i="43"/>
  <c r="P376" i="43"/>
  <c r="I146" i="43"/>
  <c r="I144" i="43"/>
  <c r="I287" i="43"/>
  <c r="I420" i="43"/>
  <c r="I15" i="43"/>
  <c r="I150" i="43"/>
  <c r="I290" i="43"/>
  <c r="I344" i="43"/>
  <c r="I84" i="43"/>
  <c r="I268" i="43"/>
  <c r="I341" i="43"/>
  <c r="P389" i="43"/>
  <c r="I385" i="43"/>
  <c r="I235" i="43"/>
  <c r="I36" i="43"/>
  <c r="I198" i="43"/>
  <c r="I314" i="43"/>
  <c r="I408" i="43"/>
  <c r="I92" i="43"/>
  <c r="I325" i="43"/>
  <c r="I445" i="43"/>
  <c r="I24" i="43"/>
  <c r="I186" i="43"/>
  <c r="I299" i="43"/>
  <c r="I353" i="43"/>
  <c r="I403" i="43"/>
  <c r="I458" i="43"/>
  <c r="I158" i="43"/>
  <c r="I443" i="43"/>
  <c r="I418" i="43"/>
  <c r="I264" i="43"/>
  <c r="I446" i="43"/>
  <c r="I404" i="43"/>
  <c r="I311" i="43"/>
  <c r="I396" i="43"/>
  <c r="I453" i="43"/>
  <c r="I226" i="43"/>
  <c r="I412" i="43"/>
  <c r="I54" i="43"/>
  <c r="I216" i="43"/>
  <c r="I334" i="43"/>
  <c r="I395" i="43"/>
  <c r="I427" i="43"/>
  <c r="P67" i="43"/>
  <c r="I60" i="43"/>
  <c r="I204" i="43"/>
  <c r="I308" i="43"/>
  <c r="I362" i="43"/>
  <c r="I410" i="43"/>
  <c r="I343" i="43"/>
  <c r="I402" i="43"/>
  <c r="I454" i="43"/>
  <c r="P116" i="43"/>
  <c r="I78" i="43"/>
  <c r="I222" i="43"/>
  <c r="I317" i="43"/>
  <c r="I371" i="43"/>
  <c r="I346" i="43"/>
  <c r="I57" i="43"/>
  <c r="I170" i="43"/>
  <c r="Q258" i="43"/>
  <c r="I293" i="43"/>
  <c r="I455" i="43"/>
  <c r="I431" i="43"/>
  <c r="I302" i="43"/>
  <c r="I434" i="43"/>
  <c r="I388" i="43"/>
  <c r="I192" i="43"/>
  <c r="I347" i="43"/>
  <c r="I339" i="43"/>
  <c r="I123" i="43"/>
  <c r="I271" i="43"/>
  <c r="Q459" i="43"/>
  <c r="Q49" i="43"/>
  <c r="I96" i="43"/>
  <c r="I240" i="43"/>
  <c r="I326" i="43"/>
  <c r="I387" i="43"/>
  <c r="I244" i="43"/>
  <c r="I163" i="43"/>
  <c r="P258" i="43"/>
  <c r="I320" i="43"/>
  <c r="I48" i="43"/>
  <c r="I337" i="43"/>
  <c r="I275" i="43"/>
  <c r="I447" i="43"/>
  <c r="I411" i="43"/>
  <c r="I355" i="43"/>
  <c r="I422" i="43"/>
  <c r="I368" i="43"/>
  <c r="I405" i="43"/>
  <c r="I220" i="43"/>
  <c r="I189" i="43"/>
  <c r="I372" i="43"/>
  <c r="I361" i="43"/>
  <c r="I413" i="43"/>
  <c r="I436" i="43"/>
  <c r="Q463" i="43"/>
  <c r="Q52" i="43"/>
  <c r="I281" i="43"/>
  <c r="I335" i="43"/>
  <c r="I437" i="43"/>
  <c r="I450" i="43"/>
  <c r="Q298" i="43"/>
  <c r="I397" i="43"/>
  <c r="I301" i="43"/>
  <c r="I461" i="43"/>
  <c r="I380" i="43"/>
  <c r="I310" i="43"/>
  <c r="I156" i="43"/>
  <c r="Q324" i="43"/>
  <c r="Q42" i="43"/>
  <c r="I138" i="43"/>
  <c r="I379" i="43"/>
  <c r="I210" i="43"/>
  <c r="I432" i="43"/>
  <c r="I384" i="43"/>
  <c r="I284" i="43"/>
  <c r="I30" i="43"/>
  <c r="I426" i="43"/>
  <c r="Q312" i="43"/>
  <c r="I14" i="43"/>
  <c r="I128" i="43"/>
  <c r="I149" i="43"/>
  <c r="I177" i="43"/>
  <c r="I203" i="43"/>
  <c r="I285" i="43"/>
  <c r="I100" i="43"/>
  <c r="I121" i="43"/>
  <c r="I193" i="43"/>
  <c r="I217" i="43"/>
  <c r="I103" i="43"/>
  <c r="I214" i="43"/>
  <c r="I169" i="43"/>
  <c r="I40" i="43"/>
  <c r="I73" i="43"/>
  <c r="I97" i="43"/>
  <c r="I160" i="43"/>
  <c r="I196" i="43"/>
  <c r="I416" i="43"/>
  <c r="I300" i="43"/>
  <c r="I69" i="43"/>
  <c r="Q98" i="43"/>
  <c r="I185" i="43"/>
  <c r="I224" i="43"/>
  <c r="Q55" i="43"/>
  <c r="I17" i="43"/>
  <c r="I83" i="43"/>
  <c r="I119" i="43"/>
  <c r="I141" i="43"/>
  <c r="I218" i="43"/>
  <c r="I289" i="43"/>
  <c r="P52" i="43"/>
  <c r="I137" i="43"/>
  <c r="I122" i="43"/>
  <c r="I230" i="43"/>
  <c r="I279" i="43"/>
  <c r="I130" i="43"/>
  <c r="I441" i="43"/>
  <c r="I154" i="43"/>
  <c r="I364" i="43"/>
  <c r="I382" i="43"/>
  <c r="I93" i="43"/>
  <c r="I164" i="43"/>
  <c r="I159" i="43"/>
  <c r="I239" i="43"/>
  <c r="I182" i="43"/>
  <c r="I62" i="43"/>
  <c r="I391" i="43"/>
  <c r="I44" i="43"/>
  <c r="I333" i="43"/>
  <c r="I423" i="43"/>
  <c r="P82" i="43"/>
  <c r="I131" i="43"/>
  <c r="Q305" i="43"/>
  <c r="I28" i="43"/>
  <c r="I85" i="43"/>
  <c r="Q113" i="43"/>
  <c r="Q363" i="43"/>
  <c r="I124" i="43"/>
  <c r="I74" i="43"/>
  <c r="I153" i="43"/>
  <c r="I394" i="43"/>
  <c r="I41" i="43"/>
  <c r="I171" i="43"/>
  <c r="I273" i="43"/>
  <c r="I232" i="43"/>
  <c r="I172" i="43"/>
  <c r="P459" i="43"/>
  <c r="I183" i="43"/>
  <c r="I280" i="43"/>
  <c r="I135" i="43"/>
  <c r="I327" i="43"/>
  <c r="I202" i="43"/>
  <c r="Q322" i="43"/>
  <c r="I175" i="43"/>
  <c r="I25" i="43"/>
  <c r="I265" i="43"/>
  <c r="I259" i="43"/>
  <c r="I16" i="43"/>
  <c r="I106" i="43"/>
  <c r="I136" i="43"/>
  <c r="I274" i="43"/>
  <c r="I406" i="43"/>
  <c r="I417" i="43"/>
  <c r="I304" i="43"/>
  <c r="I20" i="43"/>
  <c r="I77" i="43"/>
  <c r="I101" i="43"/>
  <c r="I155" i="43"/>
  <c r="I209" i="43"/>
  <c r="I282" i="43"/>
  <c r="I76" i="43"/>
  <c r="I181" i="43"/>
  <c r="I37" i="43"/>
  <c r="I127" i="43"/>
  <c r="I148" i="43"/>
  <c r="I184" i="43"/>
  <c r="I201" i="43"/>
  <c r="I208" i="43"/>
  <c r="I352" i="43"/>
  <c r="I112" i="43"/>
  <c r="I211" i="43"/>
  <c r="Q266" i="43"/>
  <c r="I161" i="43"/>
  <c r="I68" i="43"/>
  <c r="I129" i="43"/>
  <c r="I248" i="43"/>
  <c r="I294" i="43"/>
  <c r="I223" i="43"/>
  <c r="I26" i="43"/>
  <c r="I251" i="43"/>
  <c r="I415" i="43"/>
  <c r="I399" i="43"/>
  <c r="P63" i="43"/>
  <c r="I424" i="43"/>
  <c r="I188" i="43"/>
  <c r="I165" i="43"/>
  <c r="I357" i="43"/>
  <c r="I215" i="43"/>
  <c r="I179" i="43"/>
  <c r="I321" i="43"/>
  <c r="I348" i="43"/>
  <c r="P393" i="43"/>
  <c r="I81" i="43"/>
  <c r="I212" i="43"/>
  <c r="I255" i="43"/>
  <c r="I303" i="43"/>
  <c r="I51" i="43"/>
  <c r="I381" i="43"/>
  <c r="I297" i="43"/>
  <c r="I373" i="43"/>
  <c r="I140" i="43"/>
  <c r="I191" i="43"/>
  <c r="I245" i="43"/>
  <c r="I291" i="43"/>
  <c r="I107" i="43"/>
  <c r="I118" i="43"/>
  <c r="I199" i="43"/>
  <c r="I315" i="43"/>
  <c r="I33" i="43"/>
  <c r="P102" i="43"/>
  <c r="I117" i="43"/>
  <c r="I267" i="43"/>
  <c r="I21" i="43"/>
  <c r="I45" i="43"/>
  <c r="I87" i="43"/>
  <c r="I111" i="43"/>
  <c r="I134" i="43"/>
  <c r="I166" i="43"/>
  <c r="I253" i="43"/>
  <c r="I318" i="43"/>
  <c r="I241" i="43"/>
  <c r="I195" i="43"/>
  <c r="I242" i="43"/>
  <c r="Q435" i="43"/>
  <c r="I56" i="43"/>
  <c r="I88" i="43"/>
  <c r="I142" i="43"/>
  <c r="I167" i="43"/>
  <c r="I221" i="43"/>
  <c r="I247" i="43"/>
  <c r="I270" i="43"/>
  <c r="I369" i="43"/>
  <c r="I34" i="43"/>
  <c r="I190" i="43"/>
  <c r="I440" i="43"/>
  <c r="Q35" i="43"/>
  <c r="I178" i="43"/>
  <c r="I91" i="43"/>
  <c r="I197" i="43"/>
  <c r="I250" i="43"/>
  <c r="I330" i="43"/>
  <c r="Q162" i="43"/>
  <c r="I366" i="43"/>
  <c r="P435" i="43"/>
  <c r="I338" i="43"/>
  <c r="I398" i="43"/>
  <c r="I448" i="43"/>
  <c r="I433" i="43"/>
  <c r="P157" i="43"/>
  <c r="I58" i="43"/>
  <c r="I43" i="43"/>
  <c r="Q393" i="43"/>
  <c r="I409" i="43"/>
  <c r="I29" i="43"/>
  <c r="I176" i="43"/>
  <c r="I261" i="43"/>
  <c r="I19" i="43"/>
  <c r="I104" i="43"/>
  <c r="I229" i="43"/>
  <c r="I254" i="43"/>
  <c r="I205" i="43"/>
  <c r="I356" i="43"/>
  <c r="I295" i="43"/>
  <c r="I457" i="43"/>
  <c r="I331" i="43"/>
  <c r="I32" i="43"/>
  <c r="I65" i="43"/>
  <c r="I89" i="43"/>
  <c r="I143" i="43"/>
  <c r="I354" i="43"/>
  <c r="P407" i="43"/>
  <c r="I401" i="43"/>
  <c r="I430" i="43"/>
  <c r="I390" i="43"/>
  <c r="Q125" i="43"/>
  <c r="I227" i="43"/>
  <c r="P370" i="43"/>
  <c r="P139" i="43"/>
  <c r="P312" i="43"/>
  <c r="I306" i="43"/>
  <c r="P283" i="43"/>
  <c r="P98" i="43"/>
  <c r="I95" i="43"/>
  <c r="I342" i="43"/>
  <c r="Q206" i="43"/>
  <c r="Q374" i="43"/>
  <c r="Q442" i="43"/>
  <c r="P39" i="43"/>
  <c r="Q407" i="43"/>
  <c r="I99" i="43"/>
  <c r="I61" i="43"/>
  <c r="I133" i="43"/>
  <c r="I38" i="43"/>
  <c r="Q256" i="43"/>
  <c r="I233" i="43"/>
  <c r="Q316" i="43"/>
  <c r="Q400" i="43"/>
  <c r="P55" i="43"/>
  <c r="I53" i="43"/>
  <c r="Q383" i="43"/>
  <c r="I378" i="43"/>
  <c r="P463" i="43"/>
  <c r="I462" i="43"/>
  <c r="I386" i="43"/>
  <c r="I460" i="43"/>
  <c r="I50" i="43"/>
  <c r="I313" i="43"/>
  <c r="I375" i="43"/>
  <c r="P27" i="43"/>
  <c r="I23" i="43"/>
  <c r="I173" i="43"/>
  <c r="P383" i="43"/>
  <c r="I377" i="43"/>
  <c r="Q414" i="43"/>
  <c r="P75" i="43"/>
  <c r="I71" i="43"/>
  <c r="Q105" i="43"/>
  <c r="I360" i="43"/>
  <c r="P49" i="43"/>
  <c r="I47" i="43"/>
  <c r="P266" i="43"/>
  <c r="I263" i="43"/>
  <c r="Q351" i="43"/>
  <c r="Q116" i="43"/>
  <c r="I114" i="43"/>
  <c r="P428" i="43"/>
  <c r="I425" i="43"/>
  <c r="P109" i="43"/>
  <c r="P449" i="43"/>
  <c r="I444" i="43"/>
  <c r="I278" i="43"/>
  <c r="I392" i="43"/>
  <c r="I115" i="43"/>
  <c r="I152" i="43"/>
  <c r="I64" i="43"/>
  <c r="P324" i="43"/>
  <c r="I323" i="43"/>
  <c r="Q332" i="43"/>
  <c r="Q421" i="43"/>
  <c r="Q456" i="43"/>
  <c r="I452" i="43"/>
  <c r="I429" i="43"/>
  <c r="I286" i="43"/>
  <c r="I80" i="43"/>
  <c r="I257" i="43"/>
  <c r="Q46" i="43"/>
  <c r="P363" i="43"/>
  <c r="Q22" i="43"/>
  <c r="P180" i="43"/>
  <c r="P59" i="43"/>
  <c r="P305" i="43"/>
  <c r="Q213" i="43"/>
  <c r="Q243" i="43"/>
  <c r="Q94" i="43"/>
  <c r="P345" i="43"/>
  <c r="Q231" i="43"/>
  <c r="Q139" i="43"/>
  <c r="P336" i="43"/>
  <c r="Q86" i="43"/>
  <c r="P79" i="43"/>
  <c r="P187" i="43"/>
  <c r="Q39" i="43"/>
  <c r="Q18" i="43"/>
  <c r="Q75" i="43"/>
  <c r="P105" i="43"/>
  <c r="P206" i="43"/>
  <c r="Q296" i="43"/>
  <c r="P358" i="43"/>
  <c r="Q180" i="43"/>
  <c r="Q370" i="43"/>
  <c r="Q63" i="43"/>
  <c r="P213" i="43"/>
  <c r="P35" i="43"/>
  <c r="P168" i="43"/>
  <c r="P162" i="43"/>
  <c r="Q449" i="43"/>
  <c r="Q389" i="43"/>
  <c r="P288" i="43"/>
  <c r="P151" i="43"/>
  <c r="Q283" i="43"/>
  <c r="Q194" i="43"/>
  <c r="P31" i="43"/>
  <c r="Q145" i="43"/>
  <c r="P86" i="43"/>
  <c r="Q79" i="43"/>
  <c r="Q187" i="43"/>
  <c r="P316" i="43"/>
  <c r="P18" i="43"/>
  <c r="P414" i="43"/>
  <c r="Q328" i="43"/>
  <c r="P296" i="43"/>
  <c r="Q67" i="43"/>
  <c r="Q70" i="43"/>
  <c r="P262" i="43"/>
  <c r="P322" i="43"/>
  <c r="P374" i="43"/>
  <c r="P400" i="43"/>
  <c r="P174" i="43"/>
  <c r="P42" i="43"/>
  <c r="Q168" i="43"/>
  <c r="P421" i="43"/>
  <c r="P231" i="43"/>
  <c r="Q336" i="43"/>
  <c r="P194" i="43"/>
  <c r="Q31" i="43"/>
  <c r="P113" i="43"/>
  <c r="P145" i="43"/>
  <c r="Q102" i="43"/>
  <c r="Q120" i="43"/>
  <c r="Q272" i="43"/>
  <c r="P225" i="43"/>
  <c r="Q90" i="43"/>
  <c r="Q200" i="43"/>
  <c r="P219" i="43"/>
  <c r="Q82" i="43"/>
  <c r="P70" i="43"/>
  <c r="Q262" i="43"/>
  <c r="P328" i="43"/>
  <c r="P351" i="43"/>
  <c r="Q174" i="43"/>
  <c r="Q276" i="43"/>
  <c r="P456" i="43"/>
  <c r="Q157" i="43"/>
  <c r="P120" i="43"/>
  <c r="P272" i="43"/>
  <c r="Q225" i="43"/>
  <c r="P90" i="43"/>
  <c r="P200" i="43"/>
  <c r="Q219" i="43"/>
  <c r="P249" i="43"/>
  <c r="P276" i="43"/>
  <c r="P237" i="43"/>
  <c r="Q345" i="43"/>
  <c r="Q428" i="43"/>
  <c r="P46" i="43"/>
  <c r="Q151" i="43"/>
  <c r="Q132" i="43"/>
  <c r="P22" i="43"/>
  <c r="Q358" i="43"/>
  <c r="Q27" i="43"/>
  <c r="Q59" i="43"/>
  <c r="P125" i="43"/>
  <c r="Q249" i="43"/>
  <c r="Q109" i="43"/>
  <c r="P243" i="43"/>
  <c r="P94" i="43"/>
  <c r="P256" i="43"/>
  <c r="Q237" i="43"/>
  <c r="P332" i="43"/>
  <c r="P132" i="43"/>
  <c r="P442" i="43"/>
  <c r="I37" i="44"/>
  <c r="I71" i="44"/>
  <c r="I125" i="44"/>
  <c r="I47" i="44"/>
  <c r="P110" i="44"/>
  <c r="I68" i="44"/>
  <c r="P84" i="44"/>
  <c r="P19" i="44"/>
  <c r="Q28" i="44"/>
  <c r="Q121" i="44"/>
  <c r="I96" i="44"/>
  <c r="P98" i="44"/>
  <c r="I126" i="44"/>
  <c r="I116" i="44"/>
  <c r="Q49" i="44"/>
  <c r="Q19" i="44"/>
  <c r="P70" i="44"/>
  <c r="Q128" i="44"/>
  <c r="P88" i="44"/>
  <c r="I109" i="44"/>
  <c r="P128" i="44"/>
  <c r="I78" i="44"/>
  <c r="Q84" i="44"/>
  <c r="I50" i="44"/>
  <c r="P56" i="44"/>
  <c r="Q102" i="44"/>
  <c r="I87" i="44"/>
  <c r="I99" i="44"/>
  <c r="I57" i="44"/>
  <c r="P49" i="44"/>
  <c r="Q98" i="44"/>
  <c r="I93" i="44"/>
  <c r="I82" i="44"/>
  <c r="Q70" i="44"/>
  <c r="I14" i="44"/>
  <c r="P77" i="44"/>
  <c r="I122" i="44"/>
  <c r="I43" i="44"/>
  <c r="Q35" i="44"/>
  <c r="Q56" i="44"/>
  <c r="Q77" i="44"/>
  <c r="Q63" i="44"/>
  <c r="I85" i="44"/>
  <c r="Q88" i="44"/>
  <c r="I20" i="44"/>
  <c r="P28" i="44"/>
  <c r="I89" i="44"/>
  <c r="P92" i="44"/>
  <c r="I29" i="44"/>
  <c r="P35" i="44"/>
  <c r="Q42" i="44"/>
  <c r="I113" i="44"/>
  <c r="P121" i="44"/>
  <c r="I105" i="44"/>
  <c r="Q110" i="44"/>
  <c r="I15" i="44"/>
  <c r="I94" i="44"/>
  <c r="I59" i="44"/>
  <c r="I76" i="44"/>
  <c r="I111" i="44"/>
  <c r="I52" i="44"/>
  <c r="I45" i="44"/>
  <c r="I115" i="44"/>
  <c r="I53" i="44"/>
  <c r="I31" i="44"/>
  <c r="I103" i="44"/>
  <c r="I124" i="44"/>
  <c r="I60" i="44"/>
  <c r="I73" i="44"/>
  <c r="I90" i="44"/>
  <c r="I106" i="44"/>
  <c r="I66" i="44"/>
  <c r="I38" i="44"/>
  <c r="I26" i="44"/>
  <c r="I27" i="44"/>
  <c r="I100" i="44"/>
  <c r="I107" i="44"/>
  <c r="I67" i="44"/>
  <c r="I16" i="44"/>
  <c r="I86" i="44"/>
  <c r="I18" i="44"/>
  <c r="K133" i="44"/>
  <c r="L133" i="44"/>
  <c r="N133" i="44"/>
  <c r="O133" i="44"/>
  <c r="P133" i="44"/>
  <c r="Q133" i="44"/>
  <c r="R133" i="44"/>
  <c r="T133" i="44"/>
  <c r="U133" i="44"/>
  <c r="X133" i="44"/>
  <c r="Y133" i="44"/>
  <c r="Z133" i="44"/>
  <c r="AA133" i="44"/>
  <c r="AB133" i="44"/>
  <c r="AC133" i="44"/>
  <c r="AD133" i="44"/>
  <c r="AE133" i="44"/>
  <c r="AI133" i="44"/>
  <c r="AJ133" i="44"/>
  <c r="AL133" i="44"/>
  <c r="AM133" i="44"/>
  <c r="AN133" i="44"/>
  <c r="AW133" i="44"/>
  <c r="AX133" i="44"/>
  <c r="BA133" i="44"/>
  <c r="BB133" i="44"/>
  <c r="BC133" i="44"/>
  <c r="BD133" i="44"/>
  <c r="BE133" i="44"/>
  <c r="BF133" i="44"/>
  <c r="BG133" i="44"/>
  <c r="BH133" i="44"/>
  <c r="BI133" i="44"/>
  <c r="BJ133" i="44"/>
  <c r="K134" i="44"/>
  <c r="L134" i="44"/>
  <c r="N134" i="44"/>
  <c r="O134" i="44"/>
  <c r="P134" i="44"/>
  <c r="Q134" i="44"/>
  <c r="R134" i="44"/>
  <c r="T134" i="44"/>
  <c r="U134" i="44"/>
  <c r="X134" i="44"/>
  <c r="Y134" i="44"/>
  <c r="Z134" i="44"/>
  <c r="AA134" i="44"/>
  <c r="AB134" i="44"/>
  <c r="AC134" i="44"/>
  <c r="AD134" i="44"/>
  <c r="AE134" i="44"/>
  <c r="AI134" i="44"/>
  <c r="AJ134" i="44"/>
  <c r="AL134" i="44"/>
  <c r="AM134" i="44"/>
  <c r="AN134" i="44"/>
  <c r="AW134" i="44"/>
  <c r="AX134" i="44"/>
  <c r="BA134" i="44"/>
  <c r="BB134" i="44"/>
  <c r="BC134" i="44"/>
  <c r="BD134" i="44"/>
  <c r="BE134" i="44"/>
  <c r="BF134" i="44"/>
  <c r="BG134" i="44"/>
  <c r="BH134" i="44"/>
  <c r="BI134" i="44"/>
  <c r="BJ134" i="44"/>
  <c r="K135" i="44"/>
  <c r="L135" i="44"/>
  <c r="N135" i="44"/>
  <c r="O135" i="44"/>
  <c r="P135" i="44"/>
  <c r="Q135" i="44"/>
  <c r="R135" i="44"/>
  <c r="T135" i="44"/>
  <c r="U135" i="44"/>
  <c r="X135" i="44"/>
  <c r="Y135" i="44"/>
  <c r="Z135" i="44"/>
  <c r="AA135" i="44"/>
  <c r="AB135" i="44"/>
  <c r="AC135" i="44"/>
  <c r="AD135" i="44"/>
  <c r="AE135" i="44"/>
  <c r="AI135" i="44"/>
  <c r="AJ135" i="44"/>
  <c r="AL135" i="44"/>
  <c r="AM135" i="44"/>
  <c r="AN135" i="44"/>
  <c r="AW135" i="44"/>
  <c r="AX135" i="44"/>
  <c r="BA135" i="44"/>
  <c r="BB135" i="44"/>
  <c r="BC135" i="44"/>
  <c r="BD135" i="44"/>
  <c r="BE135" i="44"/>
  <c r="BF135" i="44"/>
  <c r="BG135" i="44"/>
  <c r="BH135" i="44"/>
  <c r="BI135" i="44"/>
  <c r="BJ135" i="44"/>
  <c r="K136" i="44"/>
  <c r="L136" i="44"/>
  <c r="N136" i="44"/>
  <c r="O136" i="44"/>
  <c r="P136" i="44"/>
  <c r="Q136" i="44"/>
  <c r="R136" i="44"/>
  <c r="T136" i="44"/>
  <c r="U136" i="44"/>
  <c r="X136" i="44"/>
  <c r="Y136" i="44"/>
  <c r="Z136" i="44"/>
  <c r="AA136" i="44"/>
  <c r="AB136" i="44"/>
  <c r="AC136" i="44"/>
  <c r="AD136" i="44"/>
  <c r="AE136" i="44"/>
  <c r="AI136" i="44"/>
  <c r="AJ136" i="44"/>
  <c r="AL136" i="44"/>
  <c r="AM136" i="44"/>
  <c r="AN136" i="44"/>
  <c r="AW136" i="44"/>
  <c r="AX136" i="44"/>
  <c r="BA136" i="44"/>
  <c r="BB136" i="44"/>
  <c r="BC136" i="44"/>
  <c r="BD136" i="44"/>
  <c r="BE136" i="44"/>
  <c r="BF136" i="44"/>
  <c r="BG136" i="44"/>
  <c r="BH136" i="44"/>
  <c r="BI136" i="44"/>
  <c r="BJ136" i="44"/>
  <c r="J137" i="44"/>
  <c r="K137" i="44"/>
  <c r="L137" i="44"/>
  <c r="M137" i="44"/>
  <c r="N137" i="44"/>
  <c r="O137" i="44"/>
  <c r="P137" i="44"/>
  <c r="Q137" i="44"/>
  <c r="R137" i="44"/>
  <c r="S137" i="44"/>
  <c r="T137" i="44"/>
  <c r="U137" i="44"/>
  <c r="V137" i="44"/>
  <c r="W137" i="44"/>
  <c r="X137" i="44"/>
  <c r="Y137" i="44"/>
  <c r="Z137" i="44"/>
  <c r="AA137" i="44"/>
  <c r="AB137" i="44"/>
  <c r="AC137" i="44"/>
  <c r="AD137" i="44"/>
  <c r="AE137" i="44"/>
  <c r="AF137" i="44"/>
  <c r="AG137" i="44"/>
  <c r="AH137" i="44"/>
  <c r="AI137" i="44"/>
  <c r="AJ137" i="44"/>
  <c r="AL137" i="44"/>
  <c r="AM137" i="44"/>
  <c r="AN137" i="44"/>
  <c r="AO137" i="44"/>
  <c r="AP137" i="44"/>
  <c r="AQ137" i="44"/>
  <c r="AR137" i="44"/>
  <c r="AS137" i="44"/>
  <c r="AT137" i="44"/>
  <c r="AU137" i="44"/>
  <c r="AV137" i="44"/>
  <c r="AW137" i="44"/>
  <c r="AX137" i="44"/>
  <c r="AY137" i="44"/>
  <c r="AZ137" i="44"/>
  <c r="BA137" i="44"/>
  <c r="BB137" i="44"/>
  <c r="BC137" i="44"/>
  <c r="BD137" i="44"/>
  <c r="BE137" i="44"/>
  <c r="BF137" i="44"/>
  <c r="BG137" i="44"/>
  <c r="BH137" i="44"/>
  <c r="BI137" i="44"/>
  <c r="BJ137" i="44"/>
  <c r="BK137" i="44"/>
  <c r="BL137" i="44"/>
  <c r="BM137" i="44"/>
  <c r="BN137" i="44"/>
  <c r="BO137" i="44"/>
  <c r="BP137" i="44"/>
  <c r="BQ137" i="44"/>
  <c r="BR137" i="44"/>
  <c r="BS137" i="44"/>
  <c r="BT137" i="44"/>
  <c r="BU137" i="44"/>
  <c r="BV137" i="44"/>
  <c r="BW137" i="44"/>
  <c r="BX137" i="44"/>
  <c r="BY137" i="44"/>
  <c r="BZ137" i="44"/>
  <c r="J138" i="44"/>
  <c r="K138" i="44"/>
  <c r="L138" i="44"/>
  <c r="M138" i="44"/>
  <c r="N138" i="44"/>
  <c r="O138" i="44"/>
  <c r="P138" i="44"/>
  <c r="Q138" i="44"/>
  <c r="R138" i="44"/>
  <c r="S138" i="44"/>
  <c r="T138" i="44"/>
  <c r="U138" i="44"/>
  <c r="V138" i="44"/>
  <c r="W138" i="44"/>
  <c r="X138" i="44"/>
  <c r="Y138" i="44"/>
  <c r="Z138" i="44"/>
  <c r="AA138" i="44"/>
  <c r="AB138" i="44"/>
  <c r="AC138" i="44"/>
  <c r="AD138" i="44"/>
  <c r="AE138" i="44"/>
  <c r="AF138" i="44"/>
  <c r="AG138" i="44"/>
  <c r="AH138" i="44"/>
  <c r="AI138" i="44"/>
  <c r="AJ138" i="44"/>
  <c r="AL138" i="44"/>
  <c r="AM138" i="44"/>
  <c r="AN138" i="44"/>
  <c r="AO138" i="44"/>
  <c r="AP138" i="44"/>
  <c r="AQ138" i="44"/>
  <c r="AR138" i="44"/>
  <c r="AS138" i="44"/>
  <c r="AT138" i="44"/>
  <c r="AU138" i="44"/>
  <c r="AV138" i="44"/>
  <c r="AW138" i="44"/>
  <c r="AX138" i="44"/>
  <c r="AY138" i="44"/>
  <c r="AZ138" i="44"/>
  <c r="BA138" i="44"/>
  <c r="BB138" i="44"/>
  <c r="BC138" i="44"/>
  <c r="BD138" i="44"/>
  <c r="BE138" i="44"/>
  <c r="BF138" i="44"/>
  <c r="BG138" i="44"/>
  <c r="BH138" i="44"/>
  <c r="BI138" i="44"/>
  <c r="BJ138" i="44"/>
  <c r="BK138" i="44"/>
  <c r="BL138" i="44"/>
  <c r="BM138" i="44"/>
  <c r="BN138" i="44"/>
  <c r="BO138" i="44"/>
  <c r="BP138" i="44"/>
  <c r="BQ138" i="44"/>
  <c r="BR138" i="44"/>
  <c r="BS138" i="44"/>
  <c r="BT138" i="44"/>
  <c r="BU138" i="44"/>
  <c r="BV138" i="44"/>
  <c r="BW138" i="44"/>
  <c r="BX138" i="44"/>
  <c r="BY138" i="44"/>
  <c r="BZ138" i="44"/>
  <c r="K139" i="44"/>
  <c r="L139" i="44"/>
  <c r="N139" i="44"/>
  <c r="O139" i="44"/>
  <c r="R139" i="44"/>
  <c r="T139" i="44"/>
  <c r="U139" i="44"/>
  <c r="X139" i="44"/>
  <c r="Y139" i="44"/>
  <c r="Z139" i="44"/>
  <c r="AA139" i="44"/>
  <c r="AB139" i="44"/>
  <c r="AC139" i="44"/>
  <c r="AD139" i="44"/>
  <c r="AE139" i="44"/>
  <c r="AI139" i="44"/>
  <c r="AJ139" i="44"/>
  <c r="AL139" i="44"/>
  <c r="AM139" i="44"/>
  <c r="AN139" i="44"/>
  <c r="AW139" i="44"/>
  <c r="AX139" i="44"/>
  <c r="BA139" i="44"/>
  <c r="BB139" i="44"/>
  <c r="BC139" i="44"/>
  <c r="BD139" i="44"/>
  <c r="BE139" i="44"/>
  <c r="BF139" i="44"/>
  <c r="BG139" i="44"/>
  <c r="BH139" i="44"/>
  <c r="BI139" i="44"/>
  <c r="BJ139" i="44"/>
  <c r="K140" i="44"/>
  <c r="L140" i="44"/>
  <c r="N140" i="44"/>
  <c r="O140" i="44"/>
  <c r="P140" i="44"/>
  <c r="Q140" i="44"/>
  <c r="R140" i="44"/>
  <c r="T140" i="44"/>
  <c r="U140" i="44"/>
  <c r="X140" i="44"/>
  <c r="Y140" i="44"/>
  <c r="Z140" i="44"/>
  <c r="AA140" i="44"/>
  <c r="AB140" i="44"/>
  <c r="AC140" i="44"/>
  <c r="AD140" i="44"/>
  <c r="AE140" i="44"/>
  <c r="AI140" i="44"/>
  <c r="AJ140" i="44"/>
  <c r="AL140" i="44"/>
  <c r="AM140" i="44"/>
  <c r="AN140" i="44"/>
  <c r="AW140" i="44"/>
  <c r="AX140" i="44"/>
  <c r="BA140" i="44"/>
  <c r="BB140" i="44"/>
  <c r="BC140" i="44"/>
  <c r="BD140" i="44"/>
  <c r="BE140" i="44"/>
  <c r="BF140" i="44"/>
  <c r="BG140" i="44"/>
  <c r="BH140" i="44"/>
  <c r="BI140" i="44"/>
  <c r="BJ140" i="44"/>
  <c r="K141" i="44"/>
  <c r="L141" i="44"/>
  <c r="N141" i="44"/>
  <c r="O141" i="44"/>
  <c r="P141" i="44"/>
  <c r="Q141" i="44"/>
  <c r="R141" i="44"/>
  <c r="T141" i="44"/>
  <c r="U141" i="44"/>
  <c r="X141" i="44"/>
  <c r="Y141" i="44"/>
  <c r="Z141" i="44"/>
  <c r="AA141" i="44"/>
  <c r="AB141" i="44"/>
  <c r="AC141" i="44"/>
  <c r="AD141" i="44"/>
  <c r="AE141" i="44"/>
  <c r="AI141" i="44"/>
  <c r="AJ141" i="44"/>
  <c r="AL141" i="44"/>
  <c r="AM141" i="44"/>
  <c r="AN141" i="44"/>
  <c r="AW141" i="44"/>
  <c r="AX141" i="44"/>
  <c r="BA141" i="44"/>
  <c r="BB141" i="44"/>
  <c r="BC141" i="44"/>
  <c r="BD141" i="44"/>
  <c r="BE141" i="44"/>
  <c r="BF141" i="44"/>
  <c r="BG141" i="44"/>
  <c r="BH141" i="44"/>
  <c r="BI141" i="44"/>
  <c r="BJ141" i="44"/>
  <c r="K142" i="44"/>
  <c r="L142" i="44"/>
  <c r="N142" i="44"/>
  <c r="O142" i="44"/>
  <c r="P142" i="44"/>
  <c r="Q142" i="44"/>
  <c r="R142" i="44"/>
  <c r="T142" i="44"/>
  <c r="U142" i="44"/>
  <c r="X142" i="44"/>
  <c r="Y142" i="44"/>
  <c r="Z142" i="44"/>
  <c r="AA142" i="44"/>
  <c r="AB142" i="44"/>
  <c r="AC142" i="44"/>
  <c r="AD142" i="44"/>
  <c r="AE142" i="44"/>
  <c r="AI142" i="44"/>
  <c r="AJ142" i="44"/>
  <c r="AL142" i="44"/>
  <c r="AM142" i="44"/>
  <c r="AN142" i="44"/>
  <c r="AW142" i="44"/>
  <c r="AX142" i="44"/>
  <c r="BA142" i="44"/>
  <c r="BB142" i="44"/>
  <c r="BC142" i="44"/>
  <c r="BD142" i="44"/>
  <c r="BE142" i="44"/>
  <c r="BF142" i="44"/>
  <c r="BG142" i="44"/>
  <c r="BH142" i="44"/>
  <c r="BI142" i="44"/>
  <c r="BJ142" i="44"/>
  <c r="K468" i="43"/>
  <c r="L468" i="43"/>
  <c r="E27" i="47" s="1"/>
  <c r="N468" i="43"/>
  <c r="O468" i="43"/>
  <c r="H27" i="47" s="1"/>
  <c r="P468" i="43"/>
  <c r="Q468" i="43"/>
  <c r="R468" i="43"/>
  <c r="T468" i="43"/>
  <c r="M27" i="47" s="1"/>
  <c r="U468" i="43"/>
  <c r="X468" i="43"/>
  <c r="Q27" i="47" s="1"/>
  <c r="Y468" i="43"/>
  <c r="Z468" i="43"/>
  <c r="AA468" i="43"/>
  <c r="AB468" i="43"/>
  <c r="AC468" i="43"/>
  <c r="AD468" i="43"/>
  <c r="W27" i="47" s="1"/>
  <c r="AE468" i="43"/>
  <c r="AI468" i="43"/>
  <c r="AJ468" i="43"/>
  <c r="AL468" i="43"/>
  <c r="AE27" i="47" s="1"/>
  <c r="AM468" i="43"/>
  <c r="AN468" i="43"/>
  <c r="AG27" i="47" s="1"/>
  <c r="AW468" i="43"/>
  <c r="AX468" i="43"/>
  <c r="BA468" i="43"/>
  <c r="BB468" i="43"/>
  <c r="AU27" i="47" s="1"/>
  <c r="BC468" i="43"/>
  <c r="BD468" i="43"/>
  <c r="AW27" i="47" s="1"/>
  <c r="BE468" i="43"/>
  <c r="BF468" i="43"/>
  <c r="BG468" i="43"/>
  <c r="BH468" i="43"/>
  <c r="BA27" i="47" s="1"/>
  <c r="BI468" i="43"/>
  <c r="BJ468" i="43"/>
  <c r="BC27" i="47" s="1"/>
  <c r="K469" i="43"/>
  <c r="L469" i="43"/>
  <c r="N469" i="43"/>
  <c r="O469" i="43"/>
  <c r="H28" i="47" s="1"/>
  <c r="P469" i="43"/>
  <c r="Q469" i="43"/>
  <c r="J28" i="47" s="1"/>
  <c r="R469" i="43"/>
  <c r="T469" i="43"/>
  <c r="U469" i="43"/>
  <c r="X469" i="43"/>
  <c r="Q28" i="47" s="1"/>
  <c r="Y469" i="43"/>
  <c r="Z469" i="43"/>
  <c r="S28" i="47" s="1"/>
  <c r="AA469" i="43"/>
  <c r="AB469" i="43"/>
  <c r="AC469" i="43"/>
  <c r="AD469" i="43"/>
  <c r="W28" i="47" s="1"/>
  <c r="AE469" i="43"/>
  <c r="AI469" i="43"/>
  <c r="AB28" i="47" s="1"/>
  <c r="AJ469" i="43"/>
  <c r="AL469" i="43"/>
  <c r="AM469" i="43"/>
  <c r="AN469" i="43"/>
  <c r="AG28" i="47" s="1"/>
  <c r="AW469" i="43"/>
  <c r="AX469" i="43"/>
  <c r="AQ28" i="47" s="1"/>
  <c r="BA469" i="43"/>
  <c r="BB469" i="43"/>
  <c r="BC469" i="43"/>
  <c r="BD469" i="43"/>
  <c r="AW28" i="47" s="1"/>
  <c r="BE469" i="43"/>
  <c r="BF469" i="43"/>
  <c r="AY28" i="47" s="1"/>
  <c r="BG469" i="43"/>
  <c r="BH469" i="43"/>
  <c r="BI469" i="43"/>
  <c r="BJ469" i="43"/>
  <c r="BC28" i="47" s="1"/>
  <c r="K470" i="43"/>
  <c r="L470" i="43"/>
  <c r="E29" i="47" s="1"/>
  <c r="N470" i="43"/>
  <c r="O470" i="43"/>
  <c r="P470" i="43"/>
  <c r="Q470" i="43"/>
  <c r="J29" i="47" s="1"/>
  <c r="R470" i="43"/>
  <c r="T470" i="43"/>
  <c r="M29" i="47" s="1"/>
  <c r="U470" i="43"/>
  <c r="X470" i="43"/>
  <c r="Y470" i="43"/>
  <c r="Z470" i="43"/>
  <c r="S29" i="47" s="1"/>
  <c r="AA470" i="43"/>
  <c r="AB470" i="43"/>
  <c r="AC470" i="43"/>
  <c r="AD470" i="43"/>
  <c r="AE470" i="43"/>
  <c r="AI470" i="43"/>
  <c r="AB29" i="47" s="1"/>
  <c r="AJ470" i="43"/>
  <c r="AL470" i="43"/>
  <c r="AE29" i="47" s="1"/>
  <c r="AM470" i="43"/>
  <c r="AN470" i="43"/>
  <c r="AW470" i="43"/>
  <c r="AX470" i="43"/>
  <c r="AQ29" i="47" s="1"/>
  <c r="BA470" i="43"/>
  <c r="BB470" i="43"/>
  <c r="AU29" i="47" s="1"/>
  <c r="BC470" i="43"/>
  <c r="BD470" i="43"/>
  <c r="BE470" i="43"/>
  <c r="BF470" i="43"/>
  <c r="AY29" i="47" s="1"/>
  <c r="BG470" i="43"/>
  <c r="BH470" i="43"/>
  <c r="BA29" i="47" s="1"/>
  <c r="BI470" i="43"/>
  <c r="BJ470" i="43"/>
  <c r="K471" i="43"/>
  <c r="L471" i="43"/>
  <c r="E30" i="47" s="1"/>
  <c r="N471" i="43"/>
  <c r="O471" i="43"/>
  <c r="H30" i="47" s="1"/>
  <c r="P471" i="43"/>
  <c r="Q471" i="43"/>
  <c r="R471" i="43"/>
  <c r="T471" i="43"/>
  <c r="M30" i="47" s="1"/>
  <c r="U471" i="43"/>
  <c r="X471" i="43"/>
  <c r="Q30" i="47" s="1"/>
  <c r="Y471" i="43"/>
  <c r="Z471" i="43"/>
  <c r="AA471" i="43"/>
  <c r="AB471" i="43"/>
  <c r="AC471" i="43"/>
  <c r="AD471" i="43"/>
  <c r="W30" i="47" s="1"/>
  <c r="AE471" i="43"/>
  <c r="AI471" i="43"/>
  <c r="AJ471" i="43"/>
  <c r="AL471" i="43"/>
  <c r="AE30" i="47" s="1"/>
  <c r="AM471" i="43"/>
  <c r="AN471" i="43"/>
  <c r="AG30" i="47" s="1"/>
  <c r="AW471" i="43"/>
  <c r="AX471" i="43"/>
  <c r="BA471" i="43"/>
  <c r="BB471" i="43"/>
  <c r="AU30" i="47" s="1"/>
  <c r="BC471" i="43"/>
  <c r="BD471" i="43"/>
  <c r="AW30" i="47" s="1"/>
  <c r="BE471" i="43"/>
  <c r="BF471" i="43"/>
  <c r="BG471" i="43"/>
  <c r="BH471" i="43"/>
  <c r="BA30" i="47" s="1"/>
  <c r="BI471" i="43"/>
  <c r="BJ471" i="43"/>
  <c r="BC30" i="47" s="1"/>
  <c r="J472" i="43"/>
  <c r="K472" i="43"/>
  <c r="L472" i="43"/>
  <c r="M472" i="43"/>
  <c r="F31" i="47" s="1"/>
  <c r="N472" i="43"/>
  <c r="O472" i="43"/>
  <c r="H31" i="47" s="1"/>
  <c r="P472" i="43"/>
  <c r="Q472" i="43"/>
  <c r="R472" i="43"/>
  <c r="S472" i="43"/>
  <c r="L31" i="47" s="1"/>
  <c r="T472" i="43"/>
  <c r="U472" i="43"/>
  <c r="N31" i="47" s="1"/>
  <c r="V472" i="43"/>
  <c r="W472" i="43"/>
  <c r="X472" i="43"/>
  <c r="Y472" i="43"/>
  <c r="R31" i="47" s="1"/>
  <c r="Z472" i="43"/>
  <c r="AA472" i="43"/>
  <c r="T31" i="47" s="1"/>
  <c r="AB472" i="43"/>
  <c r="AC472" i="43"/>
  <c r="AD472" i="43"/>
  <c r="AE472" i="43"/>
  <c r="X31" i="47" s="1"/>
  <c r="AF472" i="43"/>
  <c r="AG472" i="43"/>
  <c r="Z31" i="47" s="1"/>
  <c r="AH472" i="43"/>
  <c r="AI472" i="43"/>
  <c r="AJ472" i="43"/>
  <c r="AL472" i="43"/>
  <c r="AE31" i="47" s="1"/>
  <c r="AM472" i="43"/>
  <c r="AN472" i="43"/>
  <c r="AG31" i="47" s="1"/>
  <c r="AO472" i="43"/>
  <c r="AP472" i="43"/>
  <c r="AQ472" i="43"/>
  <c r="AR472" i="43"/>
  <c r="AS472" i="43"/>
  <c r="AT472" i="43"/>
  <c r="AM31" i="47" s="1"/>
  <c r="AU472" i="43"/>
  <c r="AV472" i="43"/>
  <c r="AW472" i="43"/>
  <c r="AX472" i="43"/>
  <c r="AQ31" i="47" s="1"/>
  <c r="AY472" i="43"/>
  <c r="AZ472" i="43"/>
  <c r="BA472" i="43"/>
  <c r="BB472" i="43"/>
  <c r="BC472" i="43"/>
  <c r="BD472" i="43"/>
  <c r="AW31" i="47" s="1"/>
  <c r="BE472" i="43"/>
  <c r="BF472" i="43"/>
  <c r="AY31" i="47" s="1"/>
  <c r="BG472" i="43"/>
  <c r="BH472" i="43"/>
  <c r="BI472" i="43"/>
  <c r="BJ472" i="43"/>
  <c r="BC31" i="47" s="1"/>
  <c r="BK472" i="43"/>
  <c r="BL472" i="43"/>
  <c r="BE31" i="47" s="1"/>
  <c r="BM472" i="43"/>
  <c r="BN472" i="43"/>
  <c r="BO472" i="43"/>
  <c r="BP472" i="43"/>
  <c r="BI31" i="47" s="1"/>
  <c r="BQ472" i="43"/>
  <c r="BR472" i="43"/>
  <c r="BK31" i="47" s="1"/>
  <c r="BS472" i="43"/>
  <c r="BT472" i="43"/>
  <c r="BU472" i="43"/>
  <c r="BV472" i="43"/>
  <c r="BO31" i="47" s="1"/>
  <c r="BW472" i="43"/>
  <c r="BX472" i="43"/>
  <c r="BQ31" i="47" s="1"/>
  <c r="BY472" i="43"/>
  <c r="BZ472" i="43"/>
  <c r="J473" i="43"/>
  <c r="K473" i="43"/>
  <c r="D32" i="47" s="1"/>
  <c r="L473" i="43"/>
  <c r="M473" i="43"/>
  <c r="F32" i="47" s="1"/>
  <c r="N473" i="43"/>
  <c r="O473" i="43"/>
  <c r="P473" i="43"/>
  <c r="Q473" i="43"/>
  <c r="J32" i="47" s="1"/>
  <c r="R473" i="43"/>
  <c r="S473" i="43"/>
  <c r="L32" i="47" s="1"/>
  <c r="T473" i="43"/>
  <c r="U473" i="43"/>
  <c r="V473" i="43"/>
  <c r="W473" i="43"/>
  <c r="P32" i="47" s="1"/>
  <c r="X473" i="43"/>
  <c r="Y473" i="43"/>
  <c r="R32" i="47" s="1"/>
  <c r="Z473" i="43"/>
  <c r="AA473" i="43"/>
  <c r="AB473" i="43"/>
  <c r="AC473" i="43"/>
  <c r="AD473" i="43"/>
  <c r="AE473" i="43"/>
  <c r="X32" i="47" s="1"/>
  <c r="AF473" i="43"/>
  <c r="AG473" i="43"/>
  <c r="AH473" i="43"/>
  <c r="AI473" i="43"/>
  <c r="AB32" i="47" s="1"/>
  <c r="AJ473" i="43"/>
  <c r="AL473" i="43"/>
  <c r="AE32" i="47" s="1"/>
  <c r="AM473" i="43"/>
  <c r="AN473" i="43"/>
  <c r="AO473" i="43"/>
  <c r="AP473" i="43"/>
  <c r="AI32" i="47" s="1"/>
  <c r="AQ473" i="43"/>
  <c r="AR473" i="43"/>
  <c r="AK32" i="47" s="1"/>
  <c r="AS473" i="43"/>
  <c r="AT473" i="43"/>
  <c r="AU473" i="43"/>
  <c r="AV473" i="43"/>
  <c r="AO32" i="47" s="1"/>
  <c r="AW473" i="43"/>
  <c r="AX473" i="43"/>
  <c r="AQ32" i="47" s="1"/>
  <c r="AY473" i="43"/>
  <c r="AZ473" i="43"/>
  <c r="BA473" i="43"/>
  <c r="BB473" i="43"/>
  <c r="AU32" i="47" s="1"/>
  <c r="BC473" i="43"/>
  <c r="BD473" i="43"/>
  <c r="BE473" i="43"/>
  <c r="BF473" i="43"/>
  <c r="BG473" i="43"/>
  <c r="BH473" i="43"/>
  <c r="BA32" i="47" s="1"/>
  <c r="BI473" i="43"/>
  <c r="BJ473" i="43"/>
  <c r="BC32" i="47" s="1"/>
  <c r="BK473" i="43"/>
  <c r="BL473" i="43"/>
  <c r="BM473" i="43"/>
  <c r="BN473" i="43"/>
  <c r="BG32" i="47" s="1"/>
  <c r="BO473" i="43"/>
  <c r="BP473" i="43"/>
  <c r="BI32" i="47" s="1"/>
  <c r="BQ473" i="43"/>
  <c r="BR473" i="43"/>
  <c r="BS473" i="43"/>
  <c r="BT473" i="43"/>
  <c r="BM32" i="47" s="1"/>
  <c r="BU473" i="43"/>
  <c r="BV473" i="43"/>
  <c r="BO32" i="47" s="1"/>
  <c r="BW473" i="43"/>
  <c r="BX473" i="43"/>
  <c r="BY473" i="43"/>
  <c r="BZ473" i="43"/>
  <c r="BS32" i="47" s="1"/>
  <c r="K474" i="43"/>
  <c r="L474" i="43"/>
  <c r="E33" i="47" s="1"/>
  <c r="N474" i="43"/>
  <c r="O474" i="43"/>
  <c r="R474" i="43"/>
  <c r="T474" i="43"/>
  <c r="M33" i="47" s="1"/>
  <c r="U474" i="43"/>
  <c r="X474" i="43"/>
  <c r="Q33" i="47" s="1"/>
  <c r="Y474" i="43"/>
  <c r="Z474" i="43"/>
  <c r="AA474" i="43"/>
  <c r="AB474" i="43"/>
  <c r="AC474" i="43"/>
  <c r="AD474" i="43"/>
  <c r="W33" i="47" s="1"/>
  <c r="AE474" i="43"/>
  <c r="AI474" i="43"/>
  <c r="AJ474" i="43"/>
  <c r="AL474" i="43"/>
  <c r="AE33" i="47" s="1"/>
  <c r="AM474" i="43"/>
  <c r="AN474" i="43"/>
  <c r="AG33" i="47" s="1"/>
  <c r="AW474" i="43"/>
  <c r="AX474" i="43"/>
  <c r="BA474" i="43"/>
  <c r="BB474" i="43"/>
  <c r="AU33" i="47" s="1"/>
  <c r="BC474" i="43"/>
  <c r="BD474" i="43"/>
  <c r="BE474" i="43"/>
  <c r="BF474" i="43"/>
  <c r="BG474" i="43"/>
  <c r="BH474" i="43"/>
  <c r="BA33" i="47" s="1"/>
  <c r="BI474" i="43"/>
  <c r="BJ474" i="43"/>
  <c r="BC33" i="47" s="1"/>
  <c r="K475" i="43"/>
  <c r="L475" i="43"/>
  <c r="N475" i="43"/>
  <c r="O475" i="43"/>
  <c r="H34" i="47" s="1"/>
  <c r="P475" i="43"/>
  <c r="Q475" i="43"/>
  <c r="J34" i="47" s="1"/>
  <c r="R475" i="43"/>
  <c r="T475" i="43"/>
  <c r="U475" i="43"/>
  <c r="X475" i="43"/>
  <c r="Q34" i="47" s="1"/>
  <c r="Y475" i="43"/>
  <c r="Z475" i="43"/>
  <c r="S34" i="47" s="1"/>
  <c r="AA475" i="43"/>
  <c r="AB475" i="43"/>
  <c r="AC475" i="43"/>
  <c r="AD475" i="43"/>
  <c r="AE475" i="43"/>
  <c r="AI475" i="43"/>
  <c r="AB34" i="47" s="1"/>
  <c r="AJ475" i="43"/>
  <c r="AL475" i="43"/>
  <c r="AM475" i="43"/>
  <c r="AN475" i="43"/>
  <c r="AW475" i="43"/>
  <c r="AX475" i="43"/>
  <c r="AQ34" i="47" s="1"/>
  <c r="BA475" i="43"/>
  <c r="BB475" i="43"/>
  <c r="BC475" i="43"/>
  <c r="BD475" i="43"/>
  <c r="BE475" i="43"/>
  <c r="BF475" i="43"/>
  <c r="AY34" i="47" s="1"/>
  <c r="BG475" i="43"/>
  <c r="BH475" i="43"/>
  <c r="BI475" i="43"/>
  <c r="BJ475" i="43"/>
  <c r="K476" i="43"/>
  <c r="L476" i="43"/>
  <c r="E35" i="47" s="1"/>
  <c r="N476" i="43"/>
  <c r="O476" i="43"/>
  <c r="P476" i="43"/>
  <c r="Q476" i="43"/>
  <c r="R476" i="43"/>
  <c r="T476" i="43"/>
  <c r="M35" i="47" s="1"/>
  <c r="U476" i="43"/>
  <c r="X476" i="43"/>
  <c r="Y476" i="43"/>
  <c r="Z476" i="43"/>
  <c r="AA476" i="43"/>
  <c r="AB476" i="43"/>
  <c r="AC476" i="43"/>
  <c r="AD476" i="43"/>
  <c r="AE476" i="43"/>
  <c r="AI476" i="43"/>
  <c r="AJ476" i="43"/>
  <c r="AL476" i="43"/>
  <c r="AE35" i="47" s="1"/>
  <c r="AM476" i="43"/>
  <c r="AN476" i="43"/>
  <c r="AW476" i="43"/>
  <c r="AX476" i="43"/>
  <c r="BA476" i="43"/>
  <c r="BB476" i="43"/>
  <c r="AU35" i="47" s="1"/>
  <c r="BC476" i="43"/>
  <c r="BD476" i="43"/>
  <c r="BE476" i="43"/>
  <c r="BF476" i="43"/>
  <c r="BG476" i="43"/>
  <c r="BH476" i="43"/>
  <c r="BA35" i="47" s="1"/>
  <c r="BI476" i="43"/>
  <c r="BJ476" i="43"/>
  <c r="K477" i="43"/>
  <c r="L477" i="43"/>
  <c r="N477" i="43"/>
  <c r="O477" i="43"/>
  <c r="R477" i="43"/>
  <c r="T477" i="43"/>
  <c r="U477" i="43"/>
  <c r="X477" i="43"/>
  <c r="Q36" i="47" s="1"/>
  <c r="Y477" i="43"/>
  <c r="Z477" i="43"/>
  <c r="AA477" i="43"/>
  <c r="AB477" i="43"/>
  <c r="AC477" i="43"/>
  <c r="AD477" i="43"/>
  <c r="W36" i="47" s="1"/>
  <c r="AE477" i="43"/>
  <c r="AI477" i="43"/>
  <c r="AJ477" i="43"/>
  <c r="AL477" i="43"/>
  <c r="AM477" i="43"/>
  <c r="AN477" i="43"/>
  <c r="AW477" i="43"/>
  <c r="AX477" i="43"/>
  <c r="BA477" i="43"/>
  <c r="BB477" i="43"/>
  <c r="BC477" i="43"/>
  <c r="BD477" i="43"/>
  <c r="BE477" i="43"/>
  <c r="BF477" i="43"/>
  <c r="BG477" i="43"/>
  <c r="BH477" i="43"/>
  <c r="BI477" i="43"/>
  <c r="BJ477" i="43"/>
  <c r="BC36" i="47" s="1"/>
  <c r="S13" i="44"/>
  <c r="M13" i="44"/>
  <c r="J12" i="44"/>
  <c r="M12" i="43"/>
  <c r="M13" i="43" s="1"/>
  <c r="J12" i="43"/>
  <c r="BJ128" i="44"/>
  <c r="BI128" i="44"/>
  <c r="AE128" i="44"/>
  <c r="AD128" i="44"/>
  <c r="AC128" i="44"/>
  <c r="AA128" i="44"/>
  <c r="Z128" i="44"/>
  <c r="Y128" i="44"/>
  <c r="X128" i="44"/>
  <c r="BJ121" i="44"/>
  <c r="BI121" i="44"/>
  <c r="AE121" i="44"/>
  <c r="AD121" i="44"/>
  <c r="AC121" i="44"/>
  <c r="AA121" i="44"/>
  <c r="Z121" i="44"/>
  <c r="Y121" i="44"/>
  <c r="X121" i="44"/>
  <c r="BJ112" i="44"/>
  <c r="BI112" i="44"/>
  <c r="AE112" i="44"/>
  <c r="AD112" i="44"/>
  <c r="AC112" i="44"/>
  <c r="AA112" i="44"/>
  <c r="Z112" i="44"/>
  <c r="Y112" i="44"/>
  <c r="X112" i="44"/>
  <c r="BJ110" i="44"/>
  <c r="BI110" i="44"/>
  <c r="AE110" i="44"/>
  <c r="AD110" i="44"/>
  <c r="AC110" i="44"/>
  <c r="AA110" i="44"/>
  <c r="Z110" i="44"/>
  <c r="Y110" i="44"/>
  <c r="X110" i="44"/>
  <c r="BJ104" i="44"/>
  <c r="BI104" i="44"/>
  <c r="AE104" i="44"/>
  <c r="AD104" i="44"/>
  <c r="AC104" i="44"/>
  <c r="AA104" i="44"/>
  <c r="Z104" i="44"/>
  <c r="Y104" i="44"/>
  <c r="X104" i="44"/>
  <c r="BJ102" i="44"/>
  <c r="BI102" i="44"/>
  <c r="AE102" i="44"/>
  <c r="AD102" i="44"/>
  <c r="AC102" i="44"/>
  <c r="AA102" i="44"/>
  <c r="Z102" i="44"/>
  <c r="Y102" i="44"/>
  <c r="X102" i="44"/>
  <c r="BJ98" i="44"/>
  <c r="BI98" i="44"/>
  <c r="AE98" i="44"/>
  <c r="AD98" i="44"/>
  <c r="AC98" i="44"/>
  <c r="AA98" i="44"/>
  <c r="Z98" i="44"/>
  <c r="Y98" i="44"/>
  <c r="X98" i="44"/>
  <c r="BJ92" i="44"/>
  <c r="BI92" i="44"/>
  <c r="AE92" i="44"/>
  <c r="AD92" i="44"/>
  <c r="AC92" i="44"/>
  <c r="AA92" i="44"/>
  <c r="Z92" i="44"/>
  <c r="Y92" i="44"/>
  <c r="X92" i="44"/>
  <c r="BJ88" i="44"/>
  <c r="BI88" i="44"/>
  <c r="AE88" i="44"/>
  <c r="AD88" i="44"/>
  <c r="AC88" i="44"/>
  <c r="AA88" i="44"/>
  <c r="Z88" i="44"/>
  <c r="Y88" i="44"/>
  <c r="X88" i="44"/>
  <c r="BJ84" i="44"/>
  <c r="BI84" i="44"/>
  <c r="AE84" i="44"/>
  <c r="AD84" i="44"/>
  <c r="AC84" i="44"/>
  <c r="AA84" i="44"/>
  <c r="Z84" i="44"/>
  <c r="Y84" i="44"/>
  <c r="X84" i="44"/>
  <c r="BJ77" i="44"/>
  <c r="BI77" i="44"/>
  <c r="AE77" i="44"/>
  <c r="AD77" i="44"/>
  <c r="AC77" i="44"/>
  <c r="AA77" i="44"/>
  <c r="Z77" i="44"/>
  <c r="Y77" i="44"/>
  <c r="X77" i="44"/>
  <c r="BJ70" i="44"/>
  <c r="BI70" i="44"/>
  <c r="AE70" i="44"/>
  <c r="AD70" i="44"/>
  <c r="AC70" i="44"/>
  <c r="AA70" i="44"/>
  <c r="Z70" i="44"/>
  <c r="Y70" i="44"/>
  <c r="X70" i="44"/>
  <c r="BJ63" i="44"/>
  <c r="BI63" i="44"/>
  <c r="AE63" i="44"/>
  <c r="AD63" i="44"/>
  <c r="AC63" i="44"/>
  <c r="AA63" i="44"/>
  <c r="Z63" i="44"/>
  <c r="Y63" i="44"/>
  <c r="X63" i="44"/>
  <c r="BJ56" i="44"/>
  <c r="BI56" i="44"/>
  <c r="AE56" i="44"/>
  <c r="AD56" i="44"/>
  <c r="AC56" i="44"/>
  <c r="AA56" i="44"/>
  <c r="Z56" i="44"/>
  <c r="Y56" i="44"/>
  <c r="X56" i="44"/>
  <c r="BJ49" i="44"/>
  <c r="BI49" i="44"/>
  <c r="AE49" i="44"/>
  <c r="AD49" i="44"/>
  <c r="AC49" i="44"/>
  <c r="AA49" i="44"/>
  <c r="Z49" i="44"/>
  <c r="Y49" i="44"/>
  <c r="X49" i="44"/>
  <c r="BJ42" i="44"/>
  <c r="BI42" i="44"/>
  <c r="AE42" i="44"/>
  <c r="AD42" i="44"/>
  <c r="AC42" i="44"/>
  <c r="AA42" i="44"/>
  <c r="Z42" i="44"/>
  <c r="Y42" i="44"/>
  <c r="X42" i="44"/>
  <c r="BJ35" i="44"/>
  <c r="BI35" i="44"/>
  <c r="AE35" i="44"/>
  <c r="AD35" i="44"/>
  <c r="AC35" i="44"/>
  <c r="AA35" i="44"/>
  <c r="Z35" i="44"/>
  <c r="Y35" i="44"/>
  <c r="X35" i="44"/>
  <c r="BJ28" i="44"/>
  <c r="BI28" i="44"/>
  <c r="AE28" i="44"/>
  <c r="AD28" i="44"/>
  <c r="AC28" i="44"/>
  <c r="AA28" i="44"/>
  <c r="Z28" i="44"/>
  <c r="Y28" i="44"/>
  <c r="X28" i="44"/>
  <c r="BJ19" i="44"/>
  <c r="BI19" i="44"/>
  <c r="AE19" i="44"/>
  <c r="AD19" i="44"/>
  <c r="AC19" i="44"/>
  <c r="AA19" i="44"/>
  <c r="Z19" i="44"/>
  <c r="Y19" i="44"/>
  <c r="X19" i="44"/>
  <c r="BJ13" i="44"/>
  <c r="BI13" i="44"/>
  <c r="AE13" i="44"/>
  <c r="AD13" i="44"/>
  <c r="AC13" i="44"/>
  <c r="AA13" i="44"/>
  <c r="Z13" i="44"/>
  <c r="Y13" i="44"/>
  <c r="X13" i="44"/>
  <c r="AE463" i="43"/>
  <c r="AD463" i="43"/>
  <c r="AC463" i="43"/>
  <c r="AA463" i="43"/>
  <c r="Z463" i="43"/>
  <c r="Y463" i="43"/>
  <c r="X463" i="43"/>
  <c r="AE459" i="43"/>
  <c r="AD459" i="43"/>
  <c r="AC459" i="43"/>
  <c r="AA459" i="43"/>
  <c r="Z459" i="43"/>
  <c r="Y459" i="43"/>
  <c r="X459" i="43"/>
  <c r="AE456" i="43"/>
  <c r="AD456" i="43"/>
  <c r="AC456" i="43"/>
  <c r="AA456" i="43"/>
  <c r="Z456" i="43"/>
  <c r="Y456" i="43"/>
  <c r="X456" i="43"/>
  <c r="AE449" i="43"/>
  <c r="AD449" i="43"/>
  <c r="AC449" i="43"/>
  <c r="AA449" i="43"/>
  <c r="Z449" i="43"/>
  <c r="Y449" i="43"/>
  <c r="X449" i="43"/>
  <c r="AE442" i="43"/>
  <c r="AD442" i="43"/>
  <c r="AC442" i="43"/>
  <c r="AA442" i="43"/>
  <c r="Z442" i="43"/>
  <c r="Y442" i="43"/>
  <c r="X442" i="43"/>
  <c r="AE435" i="43"/>
  <c r="AD435" i="43"/>
  <c r="AC435" i="43"/>
  <c r="AA435" i="43"/>
  <c r="Z435" i="43"/>
  <c r="Y435" i="43"/>
  <c r="X435" i="43"/>
  <c r="AE428" i="43"/>
  <c r="AD428" i="43"/>
  <c r="AC428" i="43"/>
  <c r="AA428" i="43"/>
  <c r="Z428" i="43"/>
  <c r="Y428" i="43"/>
  <c r="X428" i="43"/>
  <c r="AE421" i="43"/>
  <c r="AD421" i="43"/>
  <c r="AC421" i="43"/>
  <c r="AA421" i="43"/>
  <c r="Z421" i="43"/>
  <c r="Y421" i="43"/>
  <c r="X421" i="43"/>
  <c r="AE414" i="43"/>
  <c r="AD414" i="43"/>
  <c r="AC414" i="43"/>
  <c r="AA414" i="43"/>
  <c r="Z414" i="43"/>
  <c r="Y414" i="43"/>
  <c r="X414" i="43"/>
  <c r="AE407" i="43"/>
  <c r="AD407" i="43"/>
  <c r="AC407" i="43"/>
  <c r="AA407" i="43"/>
  <c r="Z407" i="43"/>
  <c r="Y407" i="43"/>
  <c r="X407" i="43"/>
  <c r="AE400" i="43"/>
  <c r="AD400" i="43"/>
  <c r="AC400" i="43"/>
  <c r="AA400" i="43"/>
  <c r="Z400" i="43"/>
  <c r="Y400" i="43"/>
  <c r="X400" i="43"/>
  <c r="AE393" i="43"/>
  <c r="AD393" i="43"/>
  <c r="AC393" i="43"/>
  <c r="AA393" i="43"/>
  <c r="Z393" i="43"/>
  <c r="Y393" i="43"/>
  <c r="X393" i="43"/>
  <c r="AE389" i="43"/>
  <c r="AD389" i="43"/>
  <c r="AC389" i="43"/>
  <c r="AA389" i="43"/>
  <c r="Z389" i="43"/>
  <c r="Y389" i="43"/>
  <c r="X389" i="43"/>
  <c r="AE383" i="43"/>
  <c r="AD383" i="43"/>
  <c r="AC383" i="43"/>
  <c r="AA383" i="43"/>
  <c r="Z383" i="43"/>
  <c r="Y383" i="43"/>
  <c r="X383" i="43"/>
  <c r="AE376" i="43"/>
  <c r="AD376" i="43"/>
  <c r="AC376" i="43"/>
  <c r="AA376" i="43"/>
  <c r="Z376" i="43"/>
  <c r="Y376" i="43"/>
  <c r="X376" i="43"/>
  <c r="AE374" i="43"/>
  <c r="AD374" i="43"/>
  <c r="AC374" i="43"/>
  <c r="AA374" i="43"/>
  <c r="Z374" i="43"/>
  <c r="Y374" i="43"/>
  <c r="X374" i="43"/>
  <c r="AE370" i="43"/>
  <c r="AD370" i="43"/>
  <c r="AC370" i="43"/>
  <c r="AA370" i="43"/>
  <c r="Z370" i="43"/>
  <c r="Y370" i="43"/>
  <c r="X370" i="43"/>
  <c r="AE363" i="43"/>
  <c r="AD363" i="43"/>
  <c r="AC363" i="43"/>
  <c r="AA363" i="43"/>
  <c r="Z363" i="43"/>
  <c r="Y363" i="43"/>
  <c r="X363" i="43"/>
  <c r="AE358" i="43"/>
  <c r="AD358" i="43"/>
  <c r="AC358" i="43"/>
  <c r="AA358" i="43"/>
  <c r="Z358" i="43"/>
  <c r="Y358" i="43"/>
  <c r="X358" i="43"/>
  <c r="AE351" i="43"/>
  <c r="AD351" i="43"/>
  <c r="AC351" i="43"/>
  <c r="AA351" i="43"/>
  <c r="Z351" i="43"/>
  <c r="Y351" i="43"/>
  <c r="X351" i="43"/>
  <c r="AE345" i="43"/>
  <c r="AD345" i="43"/>
  <c r="AC345" i="43"/>
  <c r="AA345" i="43"/>
  <c r="Z345" i="43"/>
  <c r="Y345" i="43"/>
  <c r="X345" i="43"/>
  <c r="AE336" i="43"/>
  <c r="AD336" i="43"/>
  <c r="AC336" i="43"/>
  <c r="AA336" i="43"/>
  <c r="Z336" i="43"/>
  <c r="Y336" i="43"/>
  <c r="X336" i="43"/>
  <c r="AE332" i="43"/>
  <c r="AD332" i="43"/>
  <c r="AC332" i="43"/>
  <c r="AA332" i="43"/>
  <c r="Z332" i="43"/>
  <c r="Y332" i="43"/>
  <c r="X332" i="43"/>
  <c r="AE328" i="43"/>
  <c r="AD328" i="43"/>
  <c r="AC328" i="43"/>
  <c r="AA328" i="43"/>
  <c r="Z328" i="43"/>
  <c r="Y328" i="43"/>
  <c r="X328" i="43"/>
  <c r="AE324" i="43"/>
  <c r="AD324" i="43"/>
  <c r="AC324" i="43"/>
  <c r="AA324" i="43"/>
  <c r="Z324" i="43"/>
  <c r="Y324" i="43"/>
  <c r="X324" i="43"/>
  <c r="AE322" i="43"/>
  <c r="AD322" i="43"/>
  <c r="AC322" i="43"/>
  <c r="AA322" i="43"/>
  <c r="Z322" i="43"/>
  <c r="Y322" i="43"/>
  <c r="X322" i="43"/>
  <c r="AE316" i="43"/>
  <c r="AD316" i="43"/>
  <c r="AC316" i="43"/>
  <c r="AA316" i="43"/>
  <c r="Z316" i="43"/>
  <c r="Y316" i="43"/>
  <c r="X316" i="43"/>
  <c r="AE312" i="43"/>
  <c r="AD312" i="43"/>
  <c r="AC312" i="43"/>
  <c r="AA312" i="43"/>
  <c r="Z312" i="43"/>
  <c r="Y312" i="43"/>
  <c r="X312" i="43"/>
  <c r="AE305" i="43"/>
  <c r="AD305" i="43"/>
  <c r="AC305" i="43"/>
  <c r="AA305" i="43"/>
  <c r="Z305" i="43"/>
  <c r="Y305" i="43"/>
  <c r="X305" i="43"/>
  <c r="AE298" i="43"/>
  <c r="AD298" i="43"/>
  <c r="AC298" i="43"/>
  <c r="AA298" i="43"/>
  <c r="Z298" i="43"/>
  <c r="Y298" i="43"/>
  <c r="X298" i="43"/>
  <c r="AE296" i="43"/>
  <c r="AD296" i="43"/>
  <c r="AC296" i="43"/>
  <c r="AA296" i="43"/>
  <c r="Z296" i="43"/>
  <c r="Y296" i="43"/>
  <c r="X296" i="43"/>
  <c r="AE288" i="43"/>
  <c r="AD288" i="43"/>
  <c r="AC288" i="43"/>
  <c r="AA288" i="43"/>
  <c r="Z288" i="43"/>
  <c r="Y288" i="43"/>
  <c r="X288" i="43"/>
  <c r="AE283" i="43"/>
  <c r="AD283" i="43"/>
  <c r="AC283" i="43"/>
  <c r="AA283" i="43"/>
  <c r="Z283" i="43"/>
  <c r="Y283" i="43"/>
  <c r="X283" i="43"/>
  <c r="AE276" i="43"/>
  <c r="AD276" i="43"/>
  <c r="AC276" i="43"/>
  <c r="AA276" i="43"/>
  <c r="Z276" i="43"/>
  <c r="Y276" i="43"/>
  <c r="X276" i="43"/>
  <c r="AE272" i="43"/>
  <c r="AD272" i="43"/>
  <c r="AC272" i="43"/>
  <c r="AA272" i="43"/>
  <c r="Z272" i="43"/>
  <c r="Y272" i="43"/>
  <c r="X272" i="43"/>
  <c r="AE266" i="43"/>
  <c r="AD266" i="43"/>
  <c r="AC266" i="43"/>
  <c r="AA266" i="43"/>
  <c r="Z266" i="43"/>
  <c r="Y266" i="43"/>
  <c r="X266" i="43"/>
  <c r="AE262" i="43"/>
  <c r="AD262" i="43"/>
  <c r="AC262" i="43"/>
  <c r="AA262" i="43"/>
  <c r="Z262" i="43"/>
  <c r="Y262" i="43"/>
  <c r="X262" i="43"/>
  <c r="AE258" i="43"/>
  <c r="AD258" i="43"/>
  <c r="AC258" i="43"/>
  <c r="AA258" i="43"/>
  <c r="Z258" i="43"/>
  <c r="Y258" i="43"/>
  <c r="X258" i="43"/>
  <c r="AE256" i="43"/>
  <c r="AD256" i="43"/>
  <c r="AC256" i="43"/>
  <c r="AA256" i="43"/>
  <c r="Z256" i="43"/>
  <c r="Y256" i="43"/>
  <c r="X256" i="43"/>
  <c r="AE249" i="43"/>
  <c r="AD249" i="43"/>
  <c r="AC249" i="43"/>
  <c r="AA249" i="43"/>
  <c r="Z249" i="43"/>
  <c r="Y249" i="43"/>
  <c r="X249" i="43"/>
  <c r="AE243" i="43"/>
  <c r="AD243" i="43"/>
  <c r="AC243" i="43"/>
  <c r="AA243" i="43"/>
  <c r="Z243" i="43"/>
  <c r="Y243" i="43"/>
  <c r="X243" i="43"/>
  <c r="AE237" i="43"/>
  <c r="AD237" i="43"/>
  <c r="AC237" i="43"/>
  <c r="AA237" i="43"/>
  <c r="Z237" i="43"/>
  <c r="Y237" i="43"/>
  <c r="X237" i="43"/>
  <c r="AE231" i="43"/>
  <c r="AD231" i="43"/>
  <c r="AC231" i="43"/>
  <c r="AA231" i="43"/>
  <c r="Z231" i="43"/>
  <c r="Y231" i="43"/>
  <c r="X231" i="43"/>
  <c r="AE225" i="43"/>
  <c r="AD225" i="43"/>
  <c r="AC225" i="43"/>
  <c r="AA225" i="43"/>
  <c r="Z225" i="43"/>
  <c r="Y225" i="43"/>
  <c r="X225" i="43"/>
  <c r="AE219" i="43"/>
  <c r="AD219" i="43"/>
  <c r="AC219" i="43"/>
  <c r="AA219" i="43"/>
  <c r="Z219" i="43"/>
  <c r="Y219" i="43"/>
  <c r="X219" i="43"/>
  <c r="AE213" i="43"/>
  <c r="AD213" i="43"/>
  <c r="AC213" i="43"/>
  <c r="AA213" i="43"/>
  <c r="Z213" i="43"/>
  <c r="Y213" i="43"/>
  <c r="X213" i="43"/>
  <c r="AE206" i="43"/>
  <c r="AD206" i="43"/>
  <c r="AC206" i="43"/>
  <c r="AA206" i="43"/>
  <c r="Z206" i="43"/>
  <c r="Y206" i="43"/>
  <c r="X206" i="43"/>
  <c r="AE200" i="43"/>
  <c r="AD200" i="43"/>
  <c r="AC200" i="43"/>
  <c r="AA200" i="43"/>
  <c r="Z200" i="43"/>
  <c r="Y200" i="43"/>
  <c r="X200" i="43"/>
  <c r="AE194" i="43"/>
  <c r="AD194" i="43"/>
  <c r="AC194" i="43"/>
  <c r="AA194" i="43"/>
  <c r="Z194" i="43"/>
  <c r="Y194" i="43"/>
  <c r="X194" i="43"/>
  <c r="AE187" i="43"/>
  <c r="AD187" i="43"/>
  <c r="AC187" i="43"/>
  <c r="AA187" i="43"/>
  <c r="Z187" i="43"/>
  <c r="Y187" i="43"/>
  <c r="X187" i="43"/>
  <c r="AE180" i="43"/>
  <c r="AD180" i="43"/>
  <c r="AC180" i="43"/>
  <c r="AA180" i="43"/>
  <c r="Z180" i="43"/>
  <c r="Y180" i="43"/>
  <c r="X180" i="43"/>
  <c r="AE174" i="43"/>
  <c r="AD174" i="43"/>
  <c r="AC174" i="43"/>
  <c r="AA174" i="43"/>
  <c r="Z174" i="43"/>
  <c r="Y174" i="43"/>
  <c r="X174" i="43"/>
  <c r="AE168" i="43"/>
  <c r="AD168" i="43"/>
  <c r="AC168" i="43"/>
  <c r="AA168" i="43"/>
  <c r="Z168" i="43"/>
  <c r="Y168" i="43"/>
  <c r="X168" i="43"/>
  <c r="AE162" i="43"/>
  <c r="AD162" i="43"/>
  <c r="AC162" i="43"/>
  <c r="AA162" i="43"/>
  <c r="Z162" i="43"/>
  <c r="Y162" i="43"/>
  <c r="X162" i="43"/>
  <c r="AE157" i="43"/>
  <c r="AD157" i="43"/>
  <c r="AC157" i="43"/>
  <c r="AA157" i="43"/>
  <c r="Z157" i="43"/>
  <c r="Y157" i="43"/>
  <c r="X157" i="43"/>
  <c r="AE151" i="43"/>
  <c r="AD151" i="43"/>
  <c r="AC151" i="43"/>
  <c r="AA151" i="43"/>
  <c r="Z151" i="43"/>
  <c r="Y151" i="43"/>
  <c r="X151" i="43"/>
  <c r="AE145" i="43"/>
  <c r="AD145" i="43"/>
  <c r="AC145" i="43"/>
  <c r="AA145" i="43"/>
  <c r="Z145" i="43"/>
  <c r="Y145" i="43"/>
  <c r="X145" i="43"/>
  <c r="AE139" i="43"/>
  <c r="AD139" i="43"/>
  <c r="AC139" i="43"/>
  <c r="AA139" i="43"/>
  <c r="Z139" i="43"/>
  <c r="Y139" i="43"/>
  <c r="X139" i="43"/>
  <c r="AE132" i="43"/>
  <c r="AD132" i="43"/>
  <c r="AC132" i="43"/>
  <c r="AA132" i="43"/>
  <c r="Z132" i="43"/>
  <c r="Y132" i="43"/>
  <c r="X132" i="43"/>
  <c r="AE125" i="43"/>
  <c r="AD125" i="43"/>
  <c r="AC125" i="43"/>
  <c r="AA125" i="43"/>
  <c r="Z125" i="43"/>
  <c r="Y125" i="43"/>
  <c r="X125" i="43"/>
  <c r="AE120" i="43"/>
  <c r="AD120" i="43"/>
  <c r="AC120" i="43"/>
  <c r="AA120" i="43"/>
  <c r="Z120" i="43"/>
  <c r="Y120" i="43"/>
  <c r="X120" i="43"/>
  <c r="AE116" i="43"/>
  <c r="AD116" i="43"/>
  <c r="AC116" i="43"/>
  <c r="AA116" i="43"/>
  <c r="Z116" i="43"/>
  <c r="Y116" i="43"/>
  <c r="X116" i="43"/>
  <c r="AE113" i="43"/>
  <c r="AD113" i="43"/>
  <c r="AC113" i="43"/>
  <c r="AA113" i="43"/>
  <c r="Z113" i="43"/>
  <c r="Y113" i="43"/>
  <c r="X113" i="43"/>
  <c r="AE109" i="43"/>
  <c r="AD109" i="43"/>
  <c r="AC109" i="43"/>
  <c r="AA109" i="43"/>
  <c r="Z109" i="43"/>
  <c r="Y109" i="43"/>
  <c r="X109" i="43"/>
  <c r="AE105" i="43"/>
  <c r="AD105" i="43"/>
  <c r="AC105" i="43"/>
  <c r="AA105" i="43"/>
  <c r="Z105" i="43"/>
  <c r="Y105" i="43"/>
  <c r="X105" i="43"/>
  <c r="AE102" i="43"/>
  <c r="AD102" i="43"/>
  <c r="AC102" i="43"/>
  <c r="AA102" i="43"/>
  <c r="Z102" i="43"/>
  <c r="Y102" i="43"/>
  <c r="X102" i="43"/>
  <c r="AE98" i="43"/>
  <c r="AD98" i="43"/>
  <c r="AC98" i="43"/>
  <c r="AA98" i="43"/>
  <c r="Z98" i="43"/>
  <c r="Y98" i="43"/>
  <c r="X98" i="43"/>
  <c r="AE94" i="43"/>
  <c r="AD94" i="43"/>
  <c r="AC94" i="43"/>
  <c r="AA94" i="43"/>
  <c r="Z94" i="43"/>
  <c r="Y94" i="43"/>
  <c r="X94" i="43"/>
  <c r="AE90" i="43"/>
  <c r="AD90" i="43"/>
  <c r="AC90" i="43"/>
  <c r="AA90" i="43"/>
  <c r="Z90" i="43"/>
  <c r="Y90" i="43"/>
  <c r="X90" i="43"/>
  <c r="AE86" i="43"/>
  <c r="AD86" i="43"/>
  <c r="AC86" i="43"/>
  <c r="AA86" i="43"/>
  <c r="Z86" i="43"/>
  <c r="Y86" i="43"/>
  <c r="X86" i="43"/>
  <c r="AE82" i="43"/>
  <c r="AD82" i="43"/>
  <c r="AC82" i="43"/>
  <c r="AA82" i="43"/>
  <c r="Z82" i="43"/>
  <c r="Y82" i="43"/>
  <c r="X82" i="43"/>
  <c r="AE79" i="43"/>
  <c r="AD79" i="43"/>
  <c r="AC79" i="43"/>
  <c r="AA79" i="43"/>
  <c r="Z79" i="43"/>
  <c r="Y79" i="43"/>
  <c r="X79" i="43"/>
  <c r="AE75" i="43"/>
  <c r="AD75" i="43"/>
  <c r="AC75" i="43"/>
  <c r="AA75" i="43"/>
  <c r="Z75" i="43"/>
  <c r="Y75" i="43"/>
  <c r="X75" i="43"/>
  <c r="AE70" i="43"/>
  <c r="AD70" i="43"/>
  <c r="AC70" i="43"/>
  <c r="AA70" i="43"/>
  <c r="Z70" i="43"/>
  <c r="Y70" i="43"/>
  <c r="X70" i="43"/>
  <c r="AE67" i="43"/>
  <c r="AD67" i="43"/>
  <c r="AC67" i="43"/>
  <c r="AA67" i="43"/>
  <c r="Z67" i="43"/>
  <c r="Y67" i="43"/>
  <c r="X67" i="43"/>
  <c r="AE63" i="43"/>
  <c r="AD63" i="43"/>
  <c r="AC63" i="43"/>
  <c r="AA63" i="43"/>
  <c r="Z63" i="43"/>
  <c r="Y63" i="43"/>
  <c r="X63" i="43"/>
  <c r="AE59" i="43"/>
  <c r="AD59" i="43"/>
  <c r="AC59" i="43"/>
  <c r="AA59" i="43"/>
  <c r="Z59" i="43"/>
  <c r="Y59" i="43"/>
  <c r="X59" i="43"/>
  <c r="AE55" i="43"/>
  <c r="AD55" i="43"/>
  <c r="AC55" i="43"/>
  <c r="AA55" i="43"/>
  <c r="Z55" i="43"/>
  <c r="Y55" i="43"/>
  <c r="X55" i="43"/>
  <c r="AE52" i="43"/>
  <c r="AD52" i="43"/>
  <c r="AC52" i="43"/>
  <c r="AA52" i="43"/>
  <c r="Z52" i="43"/>
  <c r="Y52" i="43"/>
  <c r="X52" i="43"/>
  <c r="AE49" i="43"/>
  <c r="AD49" i="43"/>
  <c r="AC49" i="43"/>
  <c r="AA49" i="43"/>
  <c r="Z49" i="43"/>
  <c r="Y49" i="43"/>
  <c r="X49" i="43"/>
  <c r="AE46" i="43"/>
  <c r="AD46" i="43"/>
  <c r="AC46" i="43"/>
  <c r="AA46" i="43"/>
  <c r="Z46" i="43"/>
  <c r="Y46" i="43"/>
  <c r="X46" i="43"/>
  <c r="AE42" i="43"/>
  <c r="AD42" i="43"/>
  <c r="AC42" i="43"/>
  <c r="AA42" i="43"/>
  <c r="Z42" i="43"/>
  <c r="Y42" i="43"/>
  <c r="X42" i="43"/>
  <c r="AE39" i="43"/>
  <c r="AD39" i="43"/>
  <c r="AC39" i="43"/>
  <c r="AA39" i="43"/>
  <c r="Z39" i="43"/>
  <c r="Y39" i="43"/>
  <c r="X39" i="43"/>
  <c r="AE35" i="43"/>
  <c r="AD35" i="43"/>
  <c r="AC35" i="43"/>
  <c r="AA35" i="43"/>
  <c r="Z35" i="43"/>
  <c r="Y35" i="43"/>
  <c r="X35" i="43"/>
  <c r="AE31" i="43"/>
  <c r="AD31" i="43"/>
  <c r="AC31" i="43"/>
  <c r="AA31" i="43"/>
  <c r="Z31" i="43"/>
  <c r="Y31" i="43"/>
  <c r="X31" i="43"/>
  <c r="AE27" i="43"/>
  <c r="AD27" i="43"/>
  <c r="AC27" i="43"/>
  <c r="AA27" i="43"/>
  <c r="Z27" i="43"/>
  <c r="Y27" i="43"/>
  <c r="X27" i="43"/>
  <c r="AE22" i="43"/>
  <c r="AD22" i="43"/>
  <c r="AC22" i="43"/>
  <c r="AA22" i="43"/>
  <c r="Z22" i="43"/>
  <c r="Y22" i="43"/>
  <c r="X22" i="43"/>
  <c r="AE18" i="43"/>
  <c r="AD18" i="43"/>
  <c r="AC18" i="43"/>
  <c r="AA18" i="43"/>
  <c r="Z18" i="43"/>
  <c r="Y18" i="43"/>
  <c r="X18" i="43"/>
  <c r="AE13" i="43"/>
  <c r="AD13" i="43"/>
  <c r="AC13" i="43"/>
  <c r="AA13" i="43"/>
  <c r="Z13" i="43"/>
  <c r="Y13" i="43"/>
  <c r="X13" i="43"/>
  <c r="BL127" i="44"/>
  <c r="BZ127" i="44" s="1"/>
  <c r="BK127" i="44"/>
  <c r="BY127" i="44" s="1"/>
  <c r="BW127" i="44"/>
  <c r="AP127" i="44"/>
  <c r="BT127" i="44" s="1"/>
  <c r="W127" i="44"/>
  <c r="AG127" i="44" s="1"/>
  <c r="V127" i="44"/>
  <c r="AF127" i="44" s="1"/>
  <c r="BL126" i="44"/>
  <c r="BZ126" i="44" s="1"/>
  <c r="BK126" i="44"/>
  <c r="BY126" i="44" s="1"/>
  <c r="BW126" i="44"/>
  <c r="AP126" i="44"/>
  <c r="BT126" i="44" s="1"/>
  <c r="W126" i="44"/>
  <c r="AG126" i="44" s="1"/>
  <c r="V126" i="44"/>
  <c r="AF126" i="44" s="1"/>
  <c r="BL125" i="44"/>
  <c r="BZ125" i="44" s="1"/>
  <c r="BK125" i="44"/>
  <c r="BY125" i="44" s="1"/>
  <c r="BW125" i="44"/>
  <c r="AP125" i="44"/>
  <c r="BT125" i="44" s="1"/>
  <c r="W125" i="44"/>
  <c r="AG125" i="44" s="1"/>
  <c r="V125" i="44"/>
  <c r="AF125" i="44" s="1"/>
  <c r="BL124" i="44"/>
  <c r="BZ124" i="44" s="1"/>
  <c r="BK124" i="44"/>
  <c r="BY124" i="44" s="1"/>
  <c r="BW124" i="44"/>
  <c r="BT124" i="44"/>
  <c r="BS124" i="44"/>
  <c r="W124" i="44"/>
  <c r="V124" i="44"/>
  <c r="BL123" i="44"/>
  <c r="BZ123" i="44" s="1"/>
  <c r="BK123" i="44"/>
  <c r="BY123" i="44" s="1"/>
  <c r="BW123" i="44"/>
  <c r="AP123" i="44"/>
  <c r="BT123" i="44" s="1"/>
  <c r="W123" i="44"/>
  <c r="AG123" i="44" s="1"/>
  <c r="V123" i="44"/>
  <c r="AF123" i="44" s="1"/>
  <c r="BL122" i="44"/>
  <c r="BZ122" i="44" s="1"/>
  <c r="BK122" i="44"/>
  <c r="BY122" i="44" s="1"/>
  <c r="BW122" i="44"/>
  <c r="AP122" i="44"/>
  <c r="W122" i="44"/>
  <c r="AG122" i="44" s="1"/>
  <c r="V122" i="44"/>
  <c r="AF122" i="44" s="1"/>
  <c r="BL120" i="44"/>
  <c r="BK120" i="44"/>
  <c r="BW120" i="44"/>
  <c r="AP120" i="44"/>
  <c r="W120" i="44"/>
  <c r="AG120" i="44" s="1"/>
  <c r="V120" i="44"/>
  <c r="AF120" i="44" s="1"/>
  <c r="BL119" i="44"/>
  <c r="BZ119" i="44" s="1"/>
  <c r="BK119" i="44"/>
  <c r="BY119" i="44" s="1"/>
  <c r="BW119" i="44"/>
  <c r="AP119" i="44"/>
  <c r="BT119" i="44" s="1"/>
  <c r="W119" i="44"/>
  <c r="AG119" i="44" s="1"/>
  <c r="V119" i="44"/>
  <c r="AF119" i="44" s="1"/>
  <c r="BL118" i="44"/>
  <c r="BZ118" i="44" s="1"/>
  <c r="BK118" i="44"/>
  <c r="BY118" i="44" s="1"/>
  <c r="BW118" i="44"/>
  <c r="AP118" i="44"/>
  <c r="BT118" i="44" s="1"/>
  <c r="W118" i="44"/>
  <c r="AG118" i="44" s="1"/>
  <c r="V118" i="44"/>
  <c r="AF118" i="44" s="1"/>
  <c r="BL117" i="44"/>
  <c r="BZ117" i="44" s="1"/>
  <c r="BK117" i="44"/>
  <c r="BY117" i="44" s="1"/>
  <c r="BW117" i="44"/>
  <c r="AP117" i="44"/>
  <c r="BT117" i="44" s="1"/>
  <c r="W117" i="44"/>
  <c r="AG117" i="44" s="1"/>
  <c r="V117" i="44"/>
  <c r="AF117" i="44" s="1"/>
  <c r="BL116" i="44"/>
  <c r="BZ116" i="44" s="1"/>
  <c r="BK116" i="44"/>
  <c r="BY116" i="44" s="1"/>
  <c r="BW116" i="44"/>
  <c r="BT116" i="44"/>
  <c r="BS116" i="44"/>
  <c r="W116" i="44"/>
  <c r="V116" i="44"/>
  <c r="BL115" i="44"/>
  <c r="BZ115" i="44" s="1"/>
  <c r="BK115" i="44"/>
  <c r="BY115" i="44" s="1"/>
  <c r="BW115" i="44"/>
  <c r="AP115" i="44"/>
  <c r="BT115" i="44" s="1"/>
  <c r="W115" i="44"/>
  <c r="AG115" i="44" s="1"/>
  <c r="V115" i="44"/>
  <c r="AF115" i="44" s="1"/>
  <c r="BL114" i="44"/>
  <c r="BZ114" i="44" s="1"/>
  <c r="BK114" i="44"/>
  <c r="BY114" i="44" s="1"/>
  <c r="BW114" i="44"/>
  <c r="AP114" i="44"/>
  <c r="BT114" i="44" s="1"/>
  <c r="W114" i="44"/>
  <c r="AG114" i="44" s="1"/>
  <c r="V114" i="44"/>
  <c r="AF114" i="44" s="1"/>
  <c r="BL113" i="44"/>
  <c r="BZ113" i="44" s="1"/>
  <c r="BK113" i="44"/>
  <c r="BY113" i="44" s="1"/>
  <c r="BW113" i="44"/>
  <c r="AP113" i="44"/>
  <c r="W113" i="44"/>
  <c r="AG113" i="44" s="1"/>
  <c r="V113" i="44"/>
  <c r="AF113" i="44" s="1"/>
  <c r="BL111" i="44"/>
  <c r="BZ111" i="44" s="1"/>
  <c r="BZ112" i="44" s="1"/>
  <c r="BK111" i="44"/>
  <c r="BY111" i="44" s="1"/>
  <c r="BY112" i="44" s="1"/>
  <c r="BW111" i="44"/>
  <c r="BW112" i="44" s="1"/>
  <c r="AP111" i="44"/>
  <c r="AO112" i="44"/>
  <c r="W111" i="44"/>
  <c r="AG111" i="44" s="1"/>
  <c r="AG112" i="44" s="1"/>
  <c r="V111" i="44"/>
  <c r="AF111" i="44" s="1"/>
  <c r="AF112" i="44" s="1"/>
  <c r="BL109" i="44"/>
  <c r="BZ109" i="44" s="1"/>
  <c r="BK109" i="44"/>
  <c r="BY109" i="44" s="1"/>
  <c r="BW109" i="44"/>
  <c r="AP109" i="44"/>
  <c r="BT109" i="44" s="1"/>
  <c r="W109" i="44"/>
  <c r="AG109" i="44" s="1"/>
  <c r="V109" i="44"/>
  <c r="AF109" i="44" s="1"/>
  <c r="BL108" i="44"/>
  <c r="BZ108" i="44" s="1"/>
  <c r="BK108" i="44"/>
  <c r="BY108" i="44" s="1"/>
  <c r="BW108" i="44"/>
  <c r="AP108" i="44"/>
  <c r="BT108" i="44" s="1"/>
  <c r="W108" i="44"/>
  <c r="AG108" i="44" s="1"/>
  <c r="V108" i="44"/>
  <c r="AF108" i="44" s="1"/>
  <c r="BL107" i="44"/>
  <c r="BZ107" i="44" s="1"/>
  <c r="BK107" i="44"/>
  <c r="BY107" i="44" s="1"/>
  <c r="BW107" i="44"/>
  <c r="BT107" i="44"/>
  <c r="BS107" i="44"/>
  <c r="W107" i="44"/>
  <c r="V107" i="44"/>
  <c r="BL106" i="44"/>
  <c r="BZ106" i="44" s="1"/>
  <c r="BK106" i="44"/>
  <c r="BY106" i="44" s="1"/>
  <c r="BW106" i="44"/>
  <c r="AP106" i="44"/>
  <c r="BT106" i="44" s="1"/>
  <c r="W106" i="44"/>
  <c r="AG106" i="44" s="1"/>
  <c r="V106" i="44"/>
  <c r="AF106" i="44" s="1"/>
  <c r="BL105" i="44"/>
  <c r="BZ105" i="44" s="1"/>
  <c r="BK105" i="44"/>
  <c r="BY105" i="44" s="1"/>
  <c r="BW105" i="44"/>
  <c r="AP105" i="44"/>
  <c r="W105" i="44"/>
  <c r="AG105" i="44" s="1"/>
  <c r="BL103" i="44"/>
  <c r="BZ103" i="44" s="1"/>
  <c r="BZ104" i="44" s="1"/>
  <c r="BK103" i="44"/>
  <c r="BY103" i="44" s="1"/>
  <c r="BY104" i="44" s="1"/>
  <c r="BW103" i="44"/>
  <c r="BW104" i="44" s="1"/>
  <c r="AP103" i="44"/>
  <c r="AO104" i="44"/>
  <c r="W103" i="44"/>
  <c r="AG103" i="44" s="1"/>
  <c r="AG104" i="44" s="1"/>
  <c r="V103" i="44"/>
  <c r="BL101" i="44"/>
  <c r="BZ101" i="44" s="1"/>
  <c r="BK101" i="44"/>
  <c r="BY101" i="44" s="1"/>
  <c r="BW101" i="44"/>
  <c r="AP101" i="44"/>
  <c r="BT101" i="44" s="1"/>
  <c r="W101" i="44"/>
  <c r="AG101" i="44" s="1"/>
  <c r="V101" i="44"/>
  <c r="AF101" i="44" s="1"/>
  <c r="BL100" i="44"/>
  <c r="BZ100" i="44" s="1"/>
  <c r="BK100" i="44"/>
  <c r="BY100" i="44" s="1"/>
  <c r="BW100" i="44"/>
  <c r="BT100" i="44"/>
  <c r="BS100" i="44"/>
  <c r="W100" i="44"/>
  <c r="V100" i="44"/>
  <c r="BL99" i="44"/>
  <c r="BZ99" i="44" s="1"/>
  <c r="BK99" i="44"/>
  <c r="BY99" i="44" s="1"/>
  <c r="BW99" i="44"/>
  <c r="AP99" i="44"/>
  <c r="W99" i="44"/>
  <c r="AG99" i="44" s="1"/>
  <c r="V99" i="44"/>
  <c r="AF99" i="44" s="1"/>
  <c r="BL97" i="44"/>
  <c r="BZ97" i="44" s="1"/>
  <c r="BK97" i="44"/>
  <c r="BY97" i="44" s="1"/>
  <c r="BW97" i="44"/>
  <c r="AP97" i="44"/>
  <c r="BT97" i="44" s="1"/>
  <c r="W97" i="44"/>
  <c r="AG97" i="44" s="1"/>
  <c r="V97" i="44"/>
  <c r="AF97" i="44" s="1"/>
  <c r="BL96" i="44"/>
  <c r="BZ96" i="44" s="1"/>
  <c r="BK96" i="44"/>
  <c r="BY96" i="44" s="1"/>
  <c r="BW96" i="44"/>
  <c r="AP96" i="44"/>
  <c r="BT96" i="44" s="1"/>
  <c r="W96" i="44"/>
  <c r="AG96" i="44" s="1"/>
  <c r="V96" i="44"/>
  <c r="AF96" i="44" s="1"/>
  <c r="BL95" i="44"/>
  <c r="BZ95" i="44" s="1"/>
  <c r="BK95" i="44"/>
  <c r="BY95" i="44" s="1"/>
  <c r="BW95" i="44"/>
  <c r="BT95" i="44"/>
  <c r="BS95" i="44"/>
  <c r="W95" i="44"/>
  <c r="V95" i="44"/>
  <c r="BL94" i="44"/>
  <c r="BZ94" i="44" s="1"/>
  <c r="BK94" i="44"/>
  <c r="BY94" i="44" s="1"/>
  <c r="BW94" i="44"/>
  <c r="AP94" i="44"/>
  <c r="BT94" i="44" s="1"/>
  <c r="W94" i="44"/>
  <c r="AG94" i="44" s="1"/>
  <c r="V94" i="44"/>
  <c r="AF94" i="44" s="1"/>
  <c r="BL93" i="44"/>
  <c r="BZ93" i="44" s="1"/>
  <c r="BK93" i="44"/>
  <c r="BY93" i="44" s="1"/>
  <c r="BW93" i="44"/>
  <c r="AP93" i="44"/>
  <c r="W93" i="44"/>
  <c r="AG93" i="44" s="1"/>
  <c r="V93" i="44"/>
  <c r="AF93" i="44" s="1"/>
  <c r="BL91" i="44"/>
  <c r="BZ91" i="44" s="1"/>
  <c r="BK91" i="44"/>
  <c r="BY91" i="44" s="1"/>
  <c r="BW91" i="44"/>
  <c r="AP91" i="44"/>
  <c r="BT91" i="44" s="1"/>
  <c r="W91" i="44"/>
  <c r="AG91" i="44" s="1"/>
  <c r="V91" i="44"/>
  <c r="AF91" i="44" s="1"/>
  <c r="BL90" i="44"/>
  <c r="BZ90" i="44" s="1"/>
  <c r="BK90" i="44"/>
  <c r="BY90" i="44" s="1"/>
  <c r="BW90" i="44"/>
  <c r="BT90" i="44"/>
  <c r="BS90" i="44"/>
  <c r="W90" i="44"/>
  <c r="V90" i="44"/>
  <c r="BL89" i="44"/>
  <c r="BZ89" i="44" s="1"/>
  <c r="BK89" i="44"/>
  <c r="BY89" i="44" s="1"/>
  <c r="BW89" i="44"/>
  <c r="AP89" i="44"/>
  <c r="W89" i="44"/>
  <c r="AG89" i="44" s="1"/>
  <c r="V89" i="44"/>
  <c r="AF89" i="44" s="1"/>
  <c r="BL87" i="44"/>
  <c r="BZ87" i="44" s="1"/>
  <c r="BK87" i="44"/>
  <c r="BY87" i="44" s="1"/>
  <c r="BW87" i="44"/>
  <c r="AP87" i="44"/>
  <c r="BT87" i="44" s="1"/>
  <c r="W87" i="44"/>
  <c r="AG87" i="44" s="1"/>
  <c r="V87" i="44"/>
  <c r="AF87" i="44" s="1"/>
  <c r="BL86" i="44"/>
  <c r="BZ86" i="44" s="1"/>
  <c r="BK86" i="44"/>
  <c r="BY86" i="44" s="1"/>
  <c r="BW86" i="44"/>
  <c r="AP86" i="44"/>
  <c r="BT86" i="44" s="1"/>
  <c r="W86" i="44"/>
  <c r="AG86" i="44" s="1"/>
  <c r="V86" i="44"/>
  <c r="AF86" i="44" s="1"/>
  <c r="BL85" i="44"/>
  <c r="BZ85" i="44" s="1"/>
  <c r="BK85" i="44"/>
  <c r="BY85" i="44" s="1"/>
  <c r="BW85" i="44"/>
  <c r="AP85" i="44"/>
  <c r="W85" i="44"/>
  <c r="AG85" i="44" s="1"/>
  <c r="V85" i="44"/>
  <c r="AF85" i="44" s="1"/>
  <c r="BL83" i="44"/>
  <c r="BZ83" i="44" s="1"/>
  <c r="BK83" i="44"/>
  <c r="BY83" i="44" s="1"/>
  <c r="BW83" i="44"/>
  <c r="AP83" i="44"/>
  <c r="BT83" i="44" s="1"/>
  <c r="W83" i="44"/>
  <c r="AG83" i="44" s="1"/>
  <c r="V83" i="44"/>
  <c r="AF83" i="44" s="1"/>
  <c r="BL82" i="44"/>
  <c r="BZ82" i="44" s="1"/>
  <c r="BK82" i="44"/>
  <c r="BY82" i="44" s="1"/>
  <c r="BW82" i="44"/>
  <c r="AP82" i="44"/>
  <c r="BT82" i="44" s="1"/>
  <c r="W82" i="44"/>
  <c r="AG82" i="44" s="1"/>
  <c r="V82" i="44"/>
  <c r="AF82" i="44" s="1"/>
  <c r="BL81" i="44"/>
  <c r="BZ81" i="44" s="1"/>
  <c r="BK81" i="44"/>
  <c r="BY81" i="44" s="1"/>
  <c r="BW81" i="44"/>
  <c r="AP81" i="44"/>
  <c r="BT81" i="44" s="1"/>
  <c r="W81" i="44"/>
  <c r="AG81" i="44" s="1"/>
  <c r="V81" i="44"/>
  <c r="AF81" i="44" s="1"/>
  <c r="BL80" i="44"/>
  <c r="BZ80" i="44" s="1"/>
  <c r="BK80" i="44"/>
  <c r="BY80" i="44" s="1"/>
  <c r="BW80" i="44"/>
  <c r="BT80" i="44"/>
  <c r="BS80" i="44"/>
  <c r="W80" i="44"/>
  <c r="V80" i="44"/>
  <c r="BL79" i="44"/>
  <c r="BZ79" i="44" s="1"/>
  <c r="BK79" i="44"/>
  <c r="BY79" i="44" s="1"/>
  <c r="BW79" i="44"/>
  <c r="AP79" i="44"/>
  <c r="BT79" i="44" s="1"/>
  <c r="W79" i="44"/>
  <c r="AG79" i="44" s="1"/>
  <c r="V79" i="44"/>
  <c r="AF79" i="44" s="1"/>
  <c r="BL78" i="44"/>
  <c r="BZ78" i="44" s="1"/>
  <c r="BK78" i="44"/>
  <c r="BY78" i="44" s="1"/>
  <c r="BW78" i="44"/>
  <c r="AP78" i="44"/>
  <c r="W78" i="44"/>
  <c r="AG78" i="44" s="1"/>
  <c r="V78" i="44"/>
  <c r="AF78" i="44" s="1"/>
  <c r="BL76" i="44"/>
  <c r="BZ76" i="44" s="1"/>
  <c r="BK76" i="44"/>
  <c r="BY76" i="44" s="1"/>
  <c r="BW76" i="44"/>
  <c r="AP76" i="44"/>
  <c r="BT76" i="44" s="1"/>
  <c r="W76" i="44"/>
  <c r="AG76" i="44" s="1"/>
  <c r="V76" i="44"/>
  <c r="AF76" i="44" s="1"/>
  <c r="BL75" i="44"/>
  <c r="BZ75" i="44" s="1"/>
  <c r="BK75" i="44"/>
  <c r="BY75" i="44" s="1"/>
  <c r="BW75" i="44"/>
  <c r="AP75" i="44"/>
  <c r="BT75" i="44" s="1"/>
  <c r="W75" i="44"/>
  <c r="AG75" i="44" s="1"/>
  <c r="V75" i="44"/>
  <c r="AF75" i="44" s="1"/>
  <c r="BL74" i="44"/>
  <c r="BZ74" i="44" s="1"/>
  <c r="BK74" i="44"/>
  <c r="BY74" i="44" s="1"/>
  <c r="BW74" i="44"/>
  <c r="AP74" i="44"/>
  <c r="BT74" i="44" s="1"/>
  <c r="W74" i="44"/>
  <c r="AG74" i="44" s="1"/>
  <c r="V74" i="44"/>
  <c r="AF74" i="44" s="1"/>
  <c r="BL73" i="44"/>
  <c r="BZ73" i="44" s="1"/>
  <c r="BK73" i="44"/>
  <c r="BY73" i="44" s="1"/>
  <c r="BW73" i="44"/>
  <c r="BT73" i="44"/>
  <c r="BS73" i="44"/>
  <c r="W73" i="44"/>
  <c r="V73" i="44"/>
  <c r="BL72" i="44"/>
  <c r="BZ72" i="44" s="1"/>
  <c r="BK72" i="44"/>
  <c r="BY72" i="44" s="1"/>
  <c r="BW72" i="44"/>
  <c r="AP72" i="44"/>
  <c r="BT72" i="44" s="1"/>
  <c r="W72" i="44"/>
  <c r="AG72" i="44" s="1"/>
  <c r="V72" i="44"/>
  <c r="AF72" i="44" s="1"/>
  <c r="BL71" i="44"/>
  <c r="BZ71" i="44" s="1"/>
  <c r="BK71" i="44"/>
  <c r="BY71" i="44" s="1"/>
  <c r="BW71" i="44"/>
  <c r="AP71" i="44"/>
  <c r="W71" i="44"/>
  <c r="AG71" i="44" s="1"/>
  <c r="V71" i="44"/>
  <c r="AF71" i="44" s="1"/>
  <c r="BL69" i="44"/>
  <c r="BZ69" i="44" s="1"/>
  <c r="BK69" i="44"/>
  <c r="BY69" i="44" s="1"/>
  <c r="BW69" i="44"/>
  <c r="AP69" i="44"/>
  <c r="BT69" i="44" s="1"/>
  <c r="W69" i="44"/>
  <c r="AG69" i="44" s="1"/>
  <c r="V69" i="44"/>
  <c r="AF69" i="44" s="1"/>
  <c r="BL68" i="44"/>
  <c r="BZ68" i="44" s="1"/>
  <c r="BK68" i="44"/>
  <c r="BY68" i="44" s="1"/>
  <c r="BW68" i="44"/>
  <c r="AP68" i="44"/>
  <c r="BT68" i="44" s="1"/>
  <c r="W68" i="44"/>
  <c r="AG68" i="44" s="1"/>
  <c r="V68" i="44"/>
  <c r="AF68" i="44" s="1"/>
  <c r="BL67" i="44"/>
  <c r="BZ67" i="44" s="1"/>
  <c r="BK67" i="44"/>
  <c r="BY67" i="44" s="1"/>
  <c r="BW67" i="44"/>
  <c r="AP67" i="44"/>
  <c r="BT67" i="44" s="1"/>
  <c r="W67" i="44"/>
  <c r="AG67" i="44" s="1"/>
  <c r="V67" i="44"/>
  <c r="AF67" i="44" s="1"/>
  <c r="BL66" i="44"/>
  <c r="BZ66" i="44" s="1"/>
  <c r="BK66" i="44"/>
  <c r="BY66" i="44" s="1"/>
  <c r="BW66" i="44"/>
  <c r="BT66" i="44"/>
  <c r="BS66" i="44"/>
  <c r="W66" i="44"/>
  <c r="V66" i="44"/>
  <c r="BL65" i="44"/>
  <c r="BZ65" i="44" s="1"/>
  <c r="BK65" i="44"/>
  <c r="BY65" i="44" s="1"/>
  <c r="BW65" i="44"/>
  <c r="AP65" i="44"/>
  <c r="BT65" i="44" s="1"/>
  <c r="W65" i="44"/>
  <c r="AG65" i="44" s="1"/>
  <c r="V65" i="44"/>
  <c r="AF65" i="44" s="1"/>
  <c r="BL64" i="44"/>
  <c r="BZ64" i="44" s="1"/>
  <c r="BK64" i="44"/>
  <c r="BY64" i="44" s="1"/>
  <c r="BW64" i="44"/>
  <c r="AP64" i="44"/>
  <c r="W64" i="44"/>
  <c r="AG64" i="44" s="1"/>
  <c r="V64" i="44"/>
  <c r="AF64" i="44" s="1"/>
  <c r="BL62" i="44"/>
  <c r="BZ62" i="44" s="1"/>
  <c r="BK62" i="44"/>
  <c r="BY62" i="44" s="1"/>
  <c r="BW62" i="44"/>
  <c r="AP62" i="44"/>
  <c r="BT62" i="44" s="1"/>
  <c r="W62" i="44"/>
  <c r="AG62" i="44" s="1"/>
  <c r="V62" i="44"/>
  <c r="AF62" i="44" s="1"/>
  <c r="BL61" i="44"/>
  <c r="BZ61" i="44" s="1"/>
  <c r="BK61" i="44"/>
  <c r="BY61" i="44" s="1"/>
  <c r="BW61" i="44"/>
  <c r="AP61" i="44"/>
  <c r="BT61" i="44" s="1"/>
  <c r="W61" i="44"/>
  <c r="AG61" i="44" s="1"/>
  <c r="V61" i="44"/>
  <c r="AF61" i="44" s="1"/>
  <c r="BL60" i="44"/>
  <c r="BZ60" i="44" s="1"/>
  <c r="BK60" i="44"/>
  <c r="BY60" i="44" s="1"/>
  <c r="BW60" i="44"/>
  <c r="AP60" i="44"/>
  <c r="BT60" i="44" s="1"/>
  <c r="W60" i="44"/>
  <c r="AG60" i="44" s="1"/>
  <c r="V60" i="44"/>
  <c r="AF60" i="44" s="1"/>
  <c r="BL59" i="44"/>
  <c r="BZ59" i="44" s="1"/>
  <c r="BK59" i="44"/>
  <c r="BY59" i="44" s="1"/>
  <c r="BW59" i="44"/>
  <c r="BT59" i="44"/>
  <c r="BS59" i="44"/>
  <c r="W59" i="44"/>
  <c r="V59" i="44"/>
  <c r="BL58" i="44"/>
  <c r="BZ58" i="44" s="1"/>
  <c r="BK58" i="44"/>
  <c r="BY58" i="44" s="1"/>
  <c r="BW58" i="44"/>
  <c r="AP58" i="44"/>
  <c r="BT58" i="44" s="1"/>
  <c r="W58" i="44"/>
  <c r="AG58" i="44" s="1"/>
  <c r="V58" i="44"/>
  <c r="AF58" i="44" s="1"/>
  <c r="BL57" i="44"/>
  <c r="BZ57" i="44" s="1"/>
  <c r="BK57" i="44"/>
  <c r="BY57" i="44" s="1"/>
  <c r="BW57" i="44"/>
  <c r="AP57" i="44"/>
  <c r="W57" i="44"/>
  <c r="AG57" i="44" s="1"/>
  <c r="V57" i="44"/>
  <c r="AF57" i="44" s="1"/>
  <c r="BL55" i="44"/>
  <c r="BZ55" i="44" s="1"/>
  <c r="BK55" i="44"/>
  <c r="BY55" i="44" s="1"/>
  <c r="BW55" i="44"/>
  <c r="AP55" i="44"/>
  <c r="BT55" i="44" s="1"/>
  <c r="W55" i="44"/>
  <c r="AG55" i="44" s="1"/>
  <c r="V55" i="44"/>
  <c r="AF55" i="44" s="1"/>
  <c r="BL54" i="44"/>
  <c r="BZ54" i="44" s="1"/>
  <c r="BK54" i="44"/>
  <c r="BY54" i="44" s="1"/>
  <c r="BW54" i="44"/>
  <c r="AP54" i="44"/>
  <c r="BT54" i="44" s="1"/>
  <c r="W54" i="44"/>
  <c r="AG54" i="44" s="1"/>
  <c r="V54" i="44"/>
  <c r="AF54" i="44" s="1"/>
  <c r="BL53" i="44"/>
  <c r="BZ53" i="44" s="1"/>
  <c r="BK53" i="44"/>
  <c r="BY53" i="44" s="1"/>
  <c r="BW53" i="44"/>
  <c r="AP53" i="44"/>
  <c r="BT53" i="44" s="1"/>
  <c r="W53" i="44"/>
  <c r="AG53" i="44" s="1"/>
  <c r="V53" i="44"/>
  <c r="AF53" i="44" s="1"/>
  <c r="BL52" i="44"/>
  <c r="BZ52" i="44" s="1"/>
  <c r="BK52" i="44"/>
  <c r="BY52" i="44" s="1"/>
  <c r="BW52" i="44"/>
  <c r="BT52" i="44"/>
  <c r="BS52" i="44"/>
  <c r="W52" i="44"/>
  <c r="V52" i="44"/>
  <c r="BL51" i="44"/>
  <c r="BZ51" i="44" s="1"/>
  <c r="BK51" i="44"/>
  <c r="BY51" i="44" s="1"/>
  <c r="BW51" i="44"/>
  <c r="AP51" i="44"/>
  <c r="BT51" i="44" s="1"/>
  <c r="W51" i="44"/>
  <c r="AG51" i="44" s="1"/>
  <c r="V51" i="44"/>
  <c r="AF51" i="44" s="1"/>
  <c r="BL50" i="44"/>
  <c r="BZ50" i="44" s="1"/>
  <c r="BK50" i="44"/>
  <c r="BY50" i="44" s="1"/>
  <c r="BW50" i="44"/>
  <c r="AP50" i="44"/>
  <c r="W50" i="44"/>
  <c r="AG50" i="44" s="1"/>
  <c r="V50" i="44"/>
  <c r="AF50" i="44" s="1"/>
  <c r="BL48" i="44"/>
  <c r="BZ48" i="44" s="1"/>
  <c r="BK48" i="44"/>
  <c r="BY48" i="44" s="1"/>
  <c r="BW48" i="44"/>
  <c r="AP48" i="44"/>
  <c r="BT48" i="44" s="1"/>
  <c r="W48" i="44"/>
  <c r="AG48" i="44" s="1"/>
  <c r="V48" i="44"/>
  <c r="AF48" i="44" s="1"/>
  <c r="BL47" i="44"/>
  <c r="BZ47" i="44" s="1"/>
  <c r="BK47" i="44"/>
  <c r="BY47" i="44" s="1"/>
  <c r="BW47" i="44"/>
  <c r="AP47" i="44"/>
  <c r="BT47" i="44" s="1"/>
  <c r="W47" i="44"/>
  <c r="AG47" i="44" s="1"/>
  <c r="V47" i="44"/>
  <c r="AF47" i="44" s="1"/>
  <c r="BL46" i="44"/>
  <c r="BZ46" i="44" s="1"/>
  <c r="BK46" i="44"/>
  <c r="BY46" i="44" s="1"/>
  <c r="BW46" i="44"/>
  <c r="AP46" i="44"/>
  <c r="BT46" i="44" s="1"/>
  <c r="W46" i="44"/>
  <c r="AG46" i="44" s="1"/>
  <c r="V46" i="44"/>
  <c r="AF46" i="44" s="1"/>
  <c r="BL45" i="44"/>
  <c r="BZ45" i="44" s="1"/>
  <c r="BK45" i="44"/>
  <c r="BY45" i="44" s="1"/>
  <c r="BW45" i="44"/>
  <c r="BT45" i="44"/>
  <c r="BS45" i="44"/>
  <c r="W45" i="44"/>
  <c r="V45" i="44"/>
  <c r="BL44" i="44"/>
  <c r="BZ44" i="44" s="1"/>
  <c r="BK44" i="44"/>
  <c r="BY44" i="44" s="1"/>
  <c r="BW44" i="44"/>
  <c r="AP44" i="44"/>
  <c r="BT44" i="44" s="1"/>
  <c r="W44" i="44"/>
  <c r="AG44" i="44" s="1"/>
  <c r="V44" i="44"/>
  <c r="AF44" i="44" s="1"/>
  <c r="BL43" i="44"/>
  <c r="BZ43" i="44" s="1"/>
  <c r="BK43" i="44"/>
  <c r="BY43" i="44" s="1"/>
  <c r="BW43" i="44"/>
  <c r="AP43" i="44"/>
  <c r="W43" i="44"/>
  <c r="AG43" i="44" s="1"/>
  <c r="V43" i="44"/>
  <c r="AF43" i="44" s="1"/>
  <c r="BL41" i="44"/>
  <c r="BZ41" i="44" s="1"/>
  <c r="BK41" i="44"/>
  <c r="BY41" i="44" s="1"/>
  <c r="BW41" i="44"/>
  <c r="AP41" i="44"/>
  <c r="BT41" i="44" s="1"/>
  <c r="W41" i="44"/>
  <c r="AG41" i="44" s="1"/>
  <c r="V41" i="44"/>
  <c r="AF41" i="44" s="1"/>
  <c r="BL40" i="44"/>
  <c r="BZ40" i="44" s="1"/>
  <c r="BK40" i="44"/>
  <c r="BY40" i="44" s="1"/>
  <c r="BW40" i="44"/>
  <c r="AP40" i="44"/>
  <c r="BT40" i="44" s="1"/>
  <c r="W40" i="44"/>
  <c r="AG40" i="44" s="1"/>
  <c r="V40" i="44"/>
  <c r="AF40" i="44" s="1"/>
  <c r="BL39" i="44"/>
  <c r="BZ39" i="44" s="1"/>
  <c r="BK39" i="44"/>
  <c r="BY39" i="44" s="1"/>
  <c r="BW39" i="44"/>
  <c r="AP39" i="44"/>
  <c r="BT39" i="44" s="1"/>
  <c r="W39" i="44"/>
  <c r="AG39" i="44" s="1"/>
  <c r="V39" i="44"/>
  <c r="AF39" i="44" s="1"/>
  <c r="BL38" i="44"/>
  <c r="BZ38" i="44" s="1"/>
  <c r="BK38" i="44"/>
  <c r="BY38" i="44" s="1"/>
  <c r="BW38" i="44"/>
  <c r="BT38" i="44"/>
  <c r="BS38" i="44"/>
  <c r="W38" i="44"/>
  <c r="V38" i="44"/>
  <c r="BL37" i="44"/>
  <c r="BZ37" i="44" s="1"/>
  <c r="BK37" i="44"/>
  <c r="BY37" i="44" s="1"/>
  <c r="BW37" i="44"/>
  <c r="AP37" i="44"/>
  <c r="BT37" i="44" s="1"/>
  <c r="W37" i="44"/>
  <c r="AG37" i="44" s="1"/>
  <c r="V37" i="44"/>
  <c r="AF37" i="44" s="1"/>
  <c r="BL36" i="44"/>
  <c r="BZ36" i="44" s="1"/>
  <c r="BK36" i="44"/>
  <c r="BY36" i="44" s="1"/>
  <c r="BW36" i="44"/>
  <c r="AP36" i="44"/>
  <c r="W36" i="44"/>
  <c r="AG36" i="44" s="1"/>
  <c r="V36" i="44"/>
  <c r="AF36" i="44" s="1"/>
  <c r="BL34" i="44"/>
  <c r="BZ34" i="44" s="1"/>
  <c r="BK34" i="44"/>
  <c r="BY34" i="44" s="1"/>
  <c r="BW34" i="44"/>
  <c r="AP34" i="44"/>
  <c r="BT34" i="44" s="1"/>
  <c r="W34" i="44"/>
  <c r="AG34" i="44" s="1"/>
  <c r="V34" i="44"/>
  <c r="AF34" i="44" s="1"/>
  <c r="BL33" i="44"/>
  <c r="BZ33" i="44" s="1"/>
  <c r="BK33" i="44"/>
  <c r="BY33" i="44" s="1"/>
  <c r="BW33" i="44"/>
  <c r="AP33" i="44"/>
  <c r="BT33" i="44" s="1"/>
  <c r="W33" i="44"/>
  <c r="AG33" i="44" s="1"/>
  <c r="V33" i="44"/>
  <c r="AF33" i="44" s="1"/>
  <c r="BL32" i="44"/>
  <c r="BZ32" i="44" s="1"/>
  <c r="BK32" i="44"/>
  <c r="BY32" i="44" s="1"/>
  <c r="BW32" i="44"/>
  <c r="AP32" i="44"/>
  <c r="BT32" i="44" s="1"/>
  <c r="W32" i="44"/>
  <c r="AG32" i="44" s="1"/>
  <c r="V32" i="44"/>
  <c r="AF32" i="44" s="1"/>
  <c r="BL31" i="44"/>
  <c r="BZ31" i="44" s="1"/>
  <c r="BK31" i="44"/>
  <c r="BY31" i="44" s="1"/>
  <c r="BW31" i="44"/>
  <c r="BT31" i="44"/>
  <c r="BS31" i="44"/>
  <c r="W31" i="44"/>
  <c r="V31" i="44"/>
  <c r="BL30" i="44"/>
  <c r="BZ30" i="44" s="1"/>
  <c r="BK30" i="44"/>
  <c r="BY30" i="44" s="1"/>
  <c r="BW30" i="44"/>
  <c r="AP30" i="44"/>
  <c r="BT30" i="44" s="1"/>
  <c r="W30" i="44"/>
  <c r="AG30" i="44" s="1"/>
  <c r="V30" i="44"/>
  <c r="AF30" i="44" s="1"/>
  <c r="BL29" i="44"/>
  <c r="BZ29" i="44" s="1"/>
  <c r="BK29" i="44"/>
  <c r="BY29" i="44" s="1"/>
  <c r="BW29" i="44"/>
  <c r="AP29" i="44"/>
  <c r="W29" i="44"/>
  <c r="AG29" i="44" s="1"/>
  <c r="V29" i="44"/>
  <c r="AF29" i="44" s="1"/>
  <c r="BL27" i="44"/>
  <c r="BZ27" i="44" s="1"/>
  <c r="BK27" i="44"/>
  <c r="BW27" i="44"/>
  <c r="AP27" i="44"/>
  <c r="BT27" i="44" s="1"/>
  <c r="W27" i="44"/>
  <c r="AG27" i="44" s="1"/>
  <c r="V27" i="44"/>
  <c r="AF27" i="44" s="1"/>
  <c r="BL26" i="44"/>
  <c r="BZ26" i="44" s="1"/>
  <c r="BK26" i="44"/>
  <c r="BY26" i="44" s="1"/>
  <c r="BW26" i="44"/>
  <c r="AP26" i="44"/>
  <c r="BT26" i="44" s="1"/>
  <c r="W26" i="44"/>
  <c r="AG26" i="44" s="1"/>
  <c r="V26" i="44"/>
  <c r="AF26" i="44" s="1"/>
  <c r="BL25" i="44"/>
  <c r="BZ25" i="44" s="1"/>
  <c r="BK25" i="44"/>
  <c r="BY25" i="44" s="1"/>
  <c r="BW25" i="44"/>
  <c r="AP25" i="44"/>
  <c r="BT25" i="44" s="1"/>
  <c r="W25" i="44"/>
  <c r="AG25" i="44" s="1"/>
  <c r="V25" i="44"/>
  <c r="AF25" i="44" s="1"/>
  <c r="BL24" i="44"/>
  <c r="BZ24" i="44" s="1"/>
  <c r="BK24" i="44"/>
  <c r="BY24" i="44" s="1"/>
  <c r="BW24" i="44"/>
  <c r="AP24" i="44"/>
  <c r="BT24" i="44" s="1"/>
  <c r="W24" i="44"/>
  <c r="AG24" i="44" s="1"/>
  <c r="V24" i="44"/>
  <c r="AF24" i="44" s="1"/>
  <c r="BL23" i="44"/>
  <c r="BZ23" i="44" s="1"/>
  <c r="BK23" i="44"/>
  <c r="BY23" i="44" s="1"/>
  <c r="BW23" i="44"/>
  <c r="AP23" i="44"/>
  <c r="BT23" i="44" s="1"/>
  <c r="W23" i="44"/>
  <c r="AG23" i="44" s="1"/>
  <c r="V23" i="44"/>
  <c r="AF23" i="44" s="1"/>
  <c r="BL22" i="44"/>
  <c r="BZ22" i="44" s="1"/>
  <c r="BK22" i="44"/>
  <c r="BY22" i="44" s="1"/>
  <c r="BW22" i="44"/>
  <c r="BT22" i="44"/>
  <c r="BS22" i="44"/>
  <c r="W22" i="44"/>
  <c r="V22" i="44"/>
  <c r="BL21" i="44"/>
  <c r="BZ21" i="44" s="1"/>
  <c r="BK21" i="44"/>
  <c r="BY21" i="44" s="1"/>
  <c r="BW21" i="44"/>
  <c r="AP21" i="44"/>
  <c r="BT21" i="44" s="1"/>
  <c r="W21" i="44"/>
  <c r="AG21" i="44" s="1"/>
  <c r="V21" i="44"/>
  <c r="AF21" i="44" s="1"/>
  <c r="BL20" i="44"/>
  <c r="BZ20" i="44" s="1"/>
  <c r="BK20" i="44"/>
  <c r="BY20" i="44" s="1"/>
  <c r="BW20" i="44"/>
  <c r="AP20" i="44"/>
  <c r="W20" i="44"/>
  <c r="AG20" i="44" s="1"/>
  <c r="V20" i="44"/>
  <c r="AF20" i="44" s="1"/>
  <c r="BL18" i="44"/>
  <c r="BK18" i="44"/>
  <c r="BW18" i="44"/>
  <c r="AP18" i="44"/>
  <c r="W18" i="44"/>
  <c r="AG18" i="44" s="1"/>
  <c r="V18" i="44"/>
  <c r="AF18" i="44" s="1"/>
  <c r="BL17" i="44"/>
  <c r="BZ17" i="44" s="1"/>
  <c r="BK17" i="44"/>
  <c r="BY17" i="44" s="1"/>
  <c r="BW17" i="44"/>
  <c r="AP17" i="44"/>
  <c r="BT17" i="44" s="1"/>
  <c r="W17" i="44"/>
  <c r="AG17" i="44" s="1"/>
  <c r="V17" i="44"/>
  <c r="AF17" i="44" s="1"/>
  <c r="BL16" i="44"/>
  <c r="BZ16" i="44" s="1"/>
  <c r="BK16" i="44"/>
  <c r="BY16" i="44" s="1"/>
  <c r="BW16" i="44"/>
  <c r="AP16" i="44"/>
  <c r="BT16" i="44" s="1"/>
  <c r="W16" i="44"/>
  <c r="AG16" i="44" s="1"/>
  <c r="V16" i="44"/>
  <c r="AF16" i="44" s="1"/>
  <c r="BL15" i="44"/>
  <c r="BZ15" i="44" s="1"/>
  <c r="BK15" i="44"/>
  <c r="BY15" i="44" s="1"/>
  <c r="BW15" i="44"/>
  <c r="AP15" i="44"/>
  <c r="BT15" i="44" s="1"/>
  <c r="W15" i="44"/>
  <c r="AG15" i="44" s="1"/>
  <c r="V15" i="44"/>
  <c r="AF15" i="44" s="1"/>
  <c r="BL14" i="44"/>
  <c r="BZ14" i="44" s="1"/>
  <c r="BK14" i="44"/>
  <c r="BY14" i="44" s="1"/>
  <c r="BW14" i="44"/>
  <c r="AP14" i="44"/>
  <c r="W14" i="44"/>
  <c r="AG14" i="44" s="1"/>
  <c r="V14" i="44"/>
  <c r="AF14" i="44" s="1"/>
  <c r="BL12" i="44"/>
  <c r="BZ12" i="44" s="1"/>
  <c r="BZ13" i="44" s="1"/>
  <c r="BK12" i="44"/>
  <c r="AY12" i="44"/>
  <c r="AY13" i="44" s="1"/>
  <c r="AP12" i="44"/>
  <c r="W12" i="44"/>
  <c r="V12" i="44"/>
  <c r="AF12" i="44" s="1"/>
  <c r="AF13" i="44" s="1"/>
  <c r="BL462" i="43"/>
  <c r="BZ462" i="43" s="1"/>
  <c r="BK462" i="43"/>
  <c r="BY462" i="43" s="1"/>
  <c r="BW462" i="43"/>
  <c r="AP462" i="43"/>
  <c r="BT462" i="43" s="1"/>
  <c r="BL461" i="43"/>
  <c r="BZ461" i="43" s="1"/>
  <c r="BK461" i="43"/>
  <c r="BY461" i="43" s="1"/>
  <c r="BW461" i="43"/>
  <c r="BT461" i="43"/>
  <c r="BS461" i="43"/>
  <c r="W461" i="43"/>
  <c r="AG461" i="43" s="1"/>
  <c r="V461" i="43"/>
  <c r="AF461" i="43" s="1"/>
  <c r="BL460" i="43"/>
  <c r="BK460" i="43"/>
  <c r="BW460" i="43"/>
  <c r="AP460" i="43"/>
  <c r="W460" i="43"/>
  <c r="AG460" i="43" s="1"/>
  <c r="V460" i="43"/>
  <c r="AF460" i="43" s="1"/>
  <c r="AF463" i="43" s="1"/>
  <c r="BL458" i="43"/>
  <c r="BZ458" i="43" s="1"/>
  <c r="BK458" i="43"/>
  <c r="BY458" i="43" s="1"/>
  <c r="BW458" i="43"/>
  <c r="AP458" i="43"/>
  <c r="BT458" i="43" s="1"/>
  <c r="W458" i="43"/>
  <c r="AG458" i="43" s="1"/>
  <c r="V458" i="43"/>
  <c r="AF458" i="43" s="1"/>
  <c r="BL457" i="43"/>
  <c r="BK457" i="43"/>
  <c r="BW457" i="43"/>
  <c r="AP457" i="43"/>
  <c r="W457" i="43"/>
  <c r="AG457" i="43" s="1"/>
  <c r="V457" i="43"/>
  <c r="AF457" i="43" s="1"/>
  <c r="BL455" i="43"/>
  <c r="BZ455" i="43" s="1"/>
  <c r="BK455" i="43"/>
  <c r="BY455" i="43" s="1"/>
  <c r="BW455" i="43"/>
  <c r="AP455" i="43"/>
  <c r="BT455" i="43" s="1"/>
  <c r="W455" i="43"/>
  <c r="AG455" i="43" s="1"/>
  <c r="V455" i="43"/>
  <c r="AF455" i="43" s="1"/>
  <c r="BL454" i="43"/>
  <c r="BZ454" i="43" s="1"/>
  <c r="BK454" i="43"/>
  <c r="BY454" i="43" s="1"/>
  <c r="BW454" i="43"/>
  <c r="AP454" i="43"/>
  <c r="BT454" i="43" s="1"/>
  <c r="W454" i="43"/>
  <c r="AG454" i="43" s="1"/>
  <c r="V454" i="43"/>
  <c r="AF454" i="43" s="1"/>
  <c r="BL453" i="43"/>
  <c r="BZ453" i="43" s="1"/>
  <c r="BK453" i="43"/>
  <c r="BY453" i="43" s="1"/>
  <c r="BW453" i="43"/>
  <c r="AP453" i="43"/>
  <c r="BT453" i="43" s="1"/>
  <c r="W453" i="43"/>
  <c r="AG453" i="43" s="1"/>
  <c r="V453" i="43"/>
  <c r="AF453" i="43" s="1"/>
  <c r="BL452" i="43"/>
  <c r="BZ452" i="43" s="1"/>
  <c r="BK452" i="43"/>
  <c r="BY452" i="43" s="1"/>
  <c r="BW452" i="43"/>
  <c r="BT452" i="43"/>
  <c r="BS452" i="43"/>
  <c r="W452" i="43"/>
  <c r="AG452" i="43" s="1"/>
  <c r="V452" i="43"/>
  <c r="AF452" i="43" s="1"/>
  <c r="BL451" i="43"/>
  <c r="BZ451" i="43" s="1"/>
  <c r="BK451" i="43"/>
  <c r="BY451" i="43" s="1"/>
  <c r="BW451" i="43"/>
  <c r="AP451" i="43"/>
  <c r="BT451" i="43" s="1"/>
  <c r="W451" i="43"/>
  <c r="AG451" i="43" s="1"/>
  <c r="V451" i="43"/>
  <c r="AF451" i="43" s="1"/>
  <c r="BL450" i="43"/>
  <c r="BK450" i="43"/>
  <c r="BW450" i="43"/>
  <c r="AP450" i="43"/>
  <c r="W450" i="43"/>
  <c r="AG450" i="43" s="1"/>
  <c r="V450" i="43"/>
  <c r="AF450" i="43" s="1"/>
  <c r="BL448" i="43"/>
  <c r="BZ448" i="43" s="1"/>
  <c r="BK448" i="43"/>
  <c r="BY448" i="43" s="1"/>
  <c r="BW448" i="43"/>
  <c r="AP448" i="43"/>
  <c r="BT448" i="43" s="1"/>
  <c r="W448" i="43"/>
  <c r="AG448" i="43" s="1"/>
  <c r="V448" i="43"/>
  <c r="AF448" i="43" s="1"/>
  <c r="BL447" i="43"/>
  <c r="BZ447" i="43" s="1"/>
  <c r="BK447" i="43"/>
  <c r="BY447" i="43" s="1"/>
  <c r="BW447" i="43"/>
  <c r="AP447" i="43"/>
  <c r="BT447" i="43" s="1"/>
  <c r="W447" i="43"/>
  <c r="AG447" i="43" s="1"/>
  <c r="V447" i="43"/>
  <c r="AF447" i="43" s="1"/>
  <c r="BL446" i="43"/>
  <c r="BZ446" i="43" s="1"/>
  <c r="BK446" i="43"/>
  <c r="BY446" i="43" s="1"/>
  <c r="BW446" i="43"/>
  <c r="AP446" i="43"/>
  <c r="BT446" i="43" s="1"/>
  <c r="W446" i="43"/>
  <c r="AG446" i="43" s="1"/>
  <c r="V446" i="43"/>
  <c r="AF446" i="43" s="1"/>
  <c r="BL445" i="43"/>
  <c r="BZ445" i="43" s="1"/>
  <c r="BK445" i="43"/>
  <c r="BY445" i="43" s="1"/>
  <c r="BW445" i="43"/>
  <c r="BT445" i="43"/>
  <c r="BS445" i="43"/>
  <c r="W445" i="43"/>
  <c r="AG445" i="43" s="1"/>
  <c r="V445" i="43"/>
  <c r="AF445" i="43" s="1"/>
  <c r="BL444" i="43"/>
  <c r="BZ444" i="43" s="1"/>
  <c r="BK444" i="43"/>
  <c r="BY444" i="43" s="1"/>
  <c r="BW444" i="43"/>
  <c r="AP444" i="43"/>
  <c r="BT444" i="43" s="1"/>
  <c r="W444" i="43"/>
  <c r="AG444" i="43" s="1"/>
  <c r="V444" i="43"/>
  <c r="AF444" i="43" s="1"/>
  <c r="BL443" i="43"/>
  <c r="BK443" i="43"/>
  <c r="BW443" i="43"/>
  <c r="AP443" i="43"/>
  <c r="W443" i="43"/>
  <c r="AG443" i="43" s="1"/>
  <c r="V443" i="43"/>
  <c r="AF443" i="43" s="1"/>
  <c r="BL441" i="43"/>
  <c r="BZ441" i="43" s="1"/>
  <c r="BK441" i="43"/>
  <c r="BY441" i="43" s="1"/>
  <c r="BW441" i="43"/>
  <c r="AP441" i="43"/>
  <c r="BT441" i="43" s="1"/>
  <c r="W441" i="43"/>
  <c r="AG441" i="43" s="1"/>
  <c r="V441" i="43"/>
  <c r="AF441" i="43" s="1"/>
  <c r="BL440" i="43"/>
  <c r="BZ440" i="43" s="1"/>
  <c r="BK440" i="43"/>
  <c r="BY440" i="43" s="1"/>
  <c r="BW440" i="43"/>
  <c r="AP440" i="43"/>
  <c r="BT440" i="43" s="1"/>
  <c r="W440" i="43"/>
  <c r="AG440" i="43" s="1"/>
  <c r="V440" i="43"/>
  <c r="AF440" i="43" s="1"/>
  <c r="BL439" i="43"/>
  <c r="BZ439" i="43" s="1"/>
  <c r="BK439" i="43"/>
  <c r="BY439" i="43" s="1"/>
  <c r="BW439" i="43"/>
  <c r="AP439" i="43"/>
  <c r="BT439" i="43" s="1"/>
  <c r="W439" i="43"/>
  <c r="AG439" i="43" s="1"/>
  <c r="V439" i="43"/>
  <c r="AF439" i="43" s="1"/>
  <c r="BL438" i="43"/>
  <c r="BZ438" i="43" s="1"/>
  <c r="BK438" i="43"/>
  <c r="BY438" i="43" s="1"/>
  <c r="BW438" i="43"/>
  <c r="BT438" i="43"/>
  <c r="BS438" i="43"/>
  <c r="W438" i="43"/>
  <c r="AG438" i="43" s="1"/>
  <c r="V438" i="43"/>
  <c r="AF438" i="43" s="1"/>
  <c r="BL437" i="43"/>
  <c r="BZ437" i="43" s="1"/>
  <c r="BK437" i="43"/>
  <c r="BY437" i="43" s="1"/>
  <c r="BW437" i="43"/>
  <c r="AP437" i="43"/>
  <c r="BT437" i="43" s="1"/>
  <c r="W437" i="43"/>
  <c r="AG437" i="43" s="1"/>
  <c r="V437" i="43"/>
  <c r="AF437" i="43" s="1"/>
  <c r="BL436" i="43"/>
  <c r="BK436" i="43"/>
  <c r="BW436" i="43"/>
  <c r="AP436" i="43"/>
  <c r="W436" i="43"/>
  <c r="AG436" i="43" s="1"/>
  <c r="V436" i="43"/>
  <c r="AF436" i="43" s="1"/>
  <c r="BL434" i="43"/>
  <c r="BZ434" i="43" s="1"/>
  <c r="BK434" i="43"/>
  <c r="BY434" i="43" s="1"/>
  <c r="BW434" i="43"/>
  <c r="AP434" i="43"/>
  <c r="BT434" i="43" s="1"/>
  <c r="W434" i="43"/>
  <c r="AG434" i="43" s="1"/>
  <c r="V434" i="43"/>
  <c r="AF434" i="43" s="1"/>
  <c r="BL433" i="43"/>
  <c r="BZ433" i="43" s="1"/>
  <c r="BK433" i="43"/>
  <c r="BY433" i="43" s="1"/>
  <c r="BW433" i="43"/>
  <c r="AP433" i="43"/>
  <c r="BT433" i="43" s="1"/>
  <c r="W433" i="43"/>
  <c r="AG433" i="43" s="1"/>
  <c r="V433" i="43"/>
  <c r="AF433" i="43" s="1"/>
  <c r="BL432" i="43"/>
  <c r="BZ432" i="43" s="1"/>
  <c r="BK432" i="43"/>
  <c r="BY432" i="43" s="1"/>
  <c r="BW432" i="43"/>
  <c r="AP432" i="43"/>
  <c r="BT432" i="43" s="1"/>
  <c r="W432" i="43"/>
  <c r="AG432" i="43" s="1"/>
  <c r="V432" i="43"/>
  <c r="AF432" i="43" s="1"/>
  <c r="BL431" i="43"/>
  <c r="BZ431" i="43" s="1"/>
  <c r="BK431" i="43"/>
  <c r="BY431" i="43" s="1"/>
  <c r="BW431" i="43"/>
  <c r="BT431" i="43"/>
  <c r="BS431" i="43"/>
  <c r="W431" i="43"/>
  <c r="AG431" i="43" s="1"/>
  <c r="V431" i="43"/>
  <c r="AF431" i="43" s="1"/>
  <c r="BL430" i="43"/>
  <c r="BZ430" i="43" s="1"/>
  <c r="BK430" i="43"/>
  <c r="BY430" i="43" s="1"/>
  <c r="BW430" i="43"/>
  <c r="AP430" i="43"/>
  <c r="BT430" i="43" s="1"/>
  <c r="W430" i="43"/>
  <c r="AG430" i="43" s="1"/>
  <c r="V430" i="43"/>
  <c r="AF430" i="43" s="1"/>
  <c r="BL429" i="43"/>
  <c r="BK429" i="43"/>
  <c r="BW429" i="43"/>
  <c r="AP429" i="43"/>
  <c r="W429" i="43"/>
  <c r="AG429" i="43" s="1"/>
  <c r="V429" i="43"/>
  <c r="AF429" i="43" s="1"/>
  <c r="BL427" i="43"/>
  <c r="BZ427" i="43" s="1"/>
  <c r="BK427" i="43"/>
  <c r="BY427" i="43" s="1"/>
  <c r="BW427" i="43"/>
  <c r="AP427" i="43"/>
  <c r="BT427" i="43" s="1"/>
  <c r="W427" i="43"/>
  <c r="AG427" i="43" s="1"/>
  <c r="V427" i="43"/>
  <c r="AF427" i="43" s="1"/>
  <c r="BL426" i="43"/>
  <c r="BZ426" i="43" s="1"/>
  <c r="BK426" i="43"/>
  <c r="BY426" i="43" s="1"/>
  <c r="BW426" i="43"/>
  <c r="AP426" i="43"/>
  <c r="BT426" i="43" s="1"/>
  <c r="W426" i="43"/>
  <c r="AG426" i="43" s="1"/>
  <c r="V426" i="43"/>
  <c r="AF426" i="43" s="1"/>
  <c r="BL425" i="43"/>
  <c r="BZ425" i="43" s="1"/>
  <c r="BK425" i="43"/>
  <c r="BY425" i="43" s="1"/>
  <c r="BW425" i="43"/>
  <c r="AP425" i="43"/>
  <c r="BT425" i="43" s="1"/>
  <c r="W425" i="43"/>
  <c r="AG425" i="43" s="1"/>
  <c r="V425" i="43"/>
  <c r="AF425" i="43" s="1"/>
  <c r="BL424" i="43"/>
  <c r="BZ424" i="43" s="1"/>
  <c r="BK424" i="43"/>
  <c r="BY424" i="43" s="1"/>
  <c r="BW424" i="43"/>
  <c r="BT424" i="43"/>
  <c r="BS424" i="43"/>
  <c r="W424" i="43"/>
  <c r="AG424" i="43" s="1"/>
  <c r="V424" i="43"/>
  <c r="AF424" i="43" s="1"/>
  <c r="BL423" i="43"/>
  <c r="BZ423" i="43" s="1"/>
  <c r="BK423" i="43"/>
  <c r="BY423" i="43" s="1"/>
  <c r="BW423" i="43"/>
  <c r="AP423" i="43"/>
  <c r="BT423" i="43" s="1"/>
  <c r="W423" i="43"/>
  <c r="AG423" i="43" s="1"/>
  <c r="V423" i="43"/>
  <c r="AF423" i="43" s="1"/>
  <c r="BL422" i="43"/>
  <c r="BK422" i="43"/>
  <c r="BW422" i="43"/>
  <c r="AP422" i="43"/>
  <c r="W422" i="43"/>
  <c r="AG422" i="43" s="1"/>
  <c r="V422" i="43"/>
  <c r="AF422" i="43" s="1"/>
  <c r="BL420" i="43"/>
  <c r="BZ420" i="43" s="1"/>
  <c r="BK420" i="43"/>
  <c r="BY420" i="43" s="1"/>
  <c r="BW420" i="43"/>
  <c r="AP420" i="43"/>
  <c r="BT420" i="43" s="1"/>
  <c r="W420" i="43"/>
  <c r="AG420" i="43" s="1"/>
  <c r="V420" i="43"/>
  <c r="AF420" i="43" s="1"/>
  <c r="BL419" i="43"/>
  <c r="BZ419" i="43" s="1"/>
  <c r="BK419" i="43"/>
  <c r="BY419" i="43" s="1"/>
  <c r="BW419" i="43"/>
  <c r="AP419" i="43"/>
  <c r="BT419" i="43" s="1"/>
  <c r="W419" i="43"/>
  <c r="AG419" i="43" s="1"/>
  <c r="V419" i="43"/>
  <c r="AF419" i="43" s="1"/>
  <c r="BL418" i="43"/>
  <c r="BZ418" i="43" s="1"/>
  <c r="BK418" i="43"/>
  <c r="BY418" i="43" s="1"/>
  <c r="BW418" i="43"/>
  <c r="AP418" i="43"/>
  <c r="BT418" i="43" s="1"/>
  <c r="W418" i="43"/>
  <c r="AG418" i="43" s="1"/>
  <c r="V418" i="43"/>
  <c r="AF418" i="43" s="1"/>
  <c r="BL417" i="43"/>
  <c r="BZ417" i="43" s="1"/>
  <c r="BK417" i="43"/>
  <c r="BY417" i="43" s="1"/>
  <c r="BW417" i="43"/>
  <c r="BT417" i="43"/>
  <c r="BS417" i="43"/>
  <c r="W417" i="43"/>
  <c r="AG417" i="43" s="1"/>
  <c r="V417" i="43"/>
  <c r="AF417" i="43" s="1"/>
  <c r="BL416" i="43"/>
  <c r="BZ416" i="43" s="1"/>
  <c r="BK416" i="43"/>
  <c r="BY416" i="43" s="1"/>
  <c r="BW416" i="43"/>
  <c r="AP416" i="43"/>
  <c r="BT416" i="43" s="1"/>
  <c r="W416" i="43"/>
  <c r="AG416" i="43" s="1"/>
  <c r="V416" i="43"/>
  <c r="AF416" i="43" s="1"/>
  <c r="BL415" i="43"/>
  <c r="BK415" i="43"/>
  <c r="BW415" i="43"/>
  <c r="AP415" i="43"/>
  <c r="W415" i="43"/>
  <c r="AG415" i="43" s="1"/>
  <c r="V415" i="43"/>
  <c r="AF415" i="43" s="1"/>
  <c r="BL413" i="43"/>
  <c r="BZ413" i="43" s="1"/>
  <c r="BK413" i="43"/>
  <c r="BY413" i="43" s="1"/>
  <c r="BW413" i="43"/>
  <c r="AP413" i="43"/>
  <c r="BT413" i="43" s="1"/>
  <c r="W413" i="43"/>
  <c r="AG413" i="43" s="1"/>
  <c r="V413" i="43"/>
  <c r="AF413" i="43" s="1"/>
  <c r="BL412" i="43"/>
  <c r="BZ412" i="43" s="1"/>
  <c r="BK412" i="43"/>
  <c r="BY412" i="43" s="1"/>
  <c r="BW412" i="43"/>
  <c r="AP412" i="43"/>
  <c r="BT412" i="43" s="1"/>
  <c r="W412" i="43"/>
  <c r="AG412" i="43" s="1"/>
  <c r="V412" i="43"/>
  <c r="AF412" i="43" s="1"/>
  <c r="BL411" i="43"/>
  <c r="BZ411" i="43" s="1"/>
  <c r="BK411" i="43"/>
  <c r="BY411" i="43" s="1"/>
  <c r="BW411" i="43"/>
  <c r="AP411" i="43"/>
  <c r="BT411" i="43" s="1"/>
  <c r="W411" i="43"/>
  <c r="AG411" i="43" s="1"/>
  <c r="V411" i="43"/>
  <c r="AF411" i="43" s="1"/>
  <c r="BL410" i="43"/>
  <c r="BZ410" i="43" s="1"/>
  <c r="BK410" i="43"/>
  <c r="BY410" i="43" s="1"/>
  <c r="BW410" i="43"/>
  <c r="BT410" i="43"/>
  <c r="BS410" i="43"/>
  <c r="W410" i="43"/>
  <c r="AG410" i="43" s="1"/>
  <c r="V410" i="43"/>
  <c r="AF410" i="43" s="1"/>
  <c r="BL409" i="43"/>
  <c r="BZ409" i="43" s="1"/>
  <c r="BK409" i="43"/>
  <c r="BY409" i="43" s="1"/>
  <c r="BW409" i="43"/>
  <c r="AP409" i="43"/>
  <c r="BT409" i="43" s="1"/>
  <c r="W409" i="43"/>
  <c r="AG409" i="43" s="1"/>
  <c r="V409" i="43"/>
  <c r="AF409" i="43" s="1"/>
  <c r="BL408" i="43"/>
  <c r="BK408" i="43"/>
  <c r="BW408" i="43"/>
  <c r="AP408" i="43"/>
  <c r="W408" i="43"/>
  <c r="AG408" i="43" s="1"/>
  <c r="V408" i="43"/>
  <c r="AF408" i="43" s="1"/>
  <c r="BL406" i="43"/>
  <c r="BZ406" i="43" s="1"/>
  <c r="BK406" i="43"/>
  <c r="BY406" i="43" s="1"/>
  <c r="BW406" i="43"/>
  <c r="AP406" i="43"/>
  <c r="BT406" i="43" s="1"/>
  <c r="W406" i="43"/>
  <c r="AG406" i="43" s="1"/>
  <c r="V406" i="43"/>
  <c r="AF406" i="43" s="1"/>
  <c r="BL405" i="43"/>
  <c r="BZ405" i="43" s="1"/>
  <c r="BK405" i="43"/>
  <c r="BY405" i="43" s="1"/>
  <c r="BW405" i="43"/>
  <c r="AP405" i="43"/>
  <c r="BT405" i="43" s="1"/>
  <c r="W405" i="43"/>
  <c r="AG405" i="43" s="1"/>
  <c r="V405" i="43"/>
  <c r="AF405" i="43" s="1"/>
  <c r="BL404" i="43"/>
  <c r="BZ404" i="43" s="1"/>
  <c r="BK404" i="43"/>
  <c r="BY404" i="43" s="1"/>
  <c r="BW404" i="43"/>
  <c r="AP404" i="43"/>
  <c r="BT404" i="43" s="1"/>
  <c r="W404" i="43"/>
  <c r="AG404" i="43" s="1"/>
  <c r="V404" i="43"/>
  <c r="AF404" i="43" s="1"/>
  <c r="BL403" i="43"/>
  <c r="BZ403" i="43" s="1"/>
  <c r="BK403" i="43"/>
  <c r="BY403" i="43" s="1"/>
  <c r="BW403" i="43"/>
  <c r="AP403" i="43"/>
  <c r="BT403" i="43" s="1"/>
  <c r="W403" i="43"/>
  <c r="AG403" i="43" s="1"/>
  <c r="V403" i="43"/>
  <c r="AF403" i="43" s="1"/>
  <c r="BL402" i="43"/>
  <c r="BZ402" i="43" s="1"/>
  <c r="BK402" i="43"/>
  <c r="BY402" i="43" s="1"/>
  <c r="BW402" i="43"/>
  <c r="AP402" i="43"/>
  <c r="BT402" i="43" s="1"/>
  <c r="W402" i="43"/>
  <c r="AG402" i="43" s="1"/>
  <c r="V402" i="43"/>
  <c r="AF402" i="43" s="1"/>
  <c r="BL401" i="43"/>
  <c r="BK401" i="43"/>
  <c r="BW401" i="43"/>
  <c r="AP401" i="43"/>
  <c r="W401" i="43"/>
  <c r="AG401" i="43" s="1"/>
  <c r="V401" i="43"/>
  <c r="AF401" i="43" s="1"/>
  <c r="BL399" i="43"/>
  <c r="BZ399" i="43" s="1"/>
  <c r="BK399" i="43"/>
  <c r="BY399" i="43" s="1"/>
  <c r="BW399" i="43"/>
  <c r="AP399" i="43"/>
  <c r="BT399" i="43" s="1"/>
  <c r="W399" i="43"/>
  <c r="AG399" i="43" s="1"/>
  <c r="V399" i="43"/>
  <c r="AF399" i="43" s="1"/>
  <c r="BL398" i="43"/>
  <c r="BZ398" i="43" s="1"/>
  <c r="BK398" i="43"/>
  <c r="BY398" i="43" s="1"/>
  <c r="BW398" i="43"/>
  <c r="AP398" i="43"/>
  <c r="BT398" i="43" s="1"/>
  <c r="W398" i="43"/>
  <c r="AG398" i="43" s="1"/>
  <c r="V398" i="43"/>
  <c r="AF398" i="43" s="1"/>
  <c r="BL397" i="43"/>
  <c r="BZ397" i="43" s="1"/>
  <c r="BK397" i="43"/>
  <c r="BY397" i="43" s="1"/>
  <c r="BW397" i="43"/>
  <c r="AP397" i="43"/>
  <c r="BT397" i="43" s="1"/>
  <c r="W397" i="43"/>
  <c r="AG397" i="43" s="1"/>
  <c r="V397" i="43"/>
  <c r="AF397" i="43" s="1"/>
  <c r="BL396" i="43"/>
  <c r="BZ396" i="43" s="1"/>
  <c r="BK396" i="43"/>
  <c r="BY396" i="43" s="1"/>
  <c r="BW396" i="43"/>
  <c r="AP396" i="43"/>
  <c r="BT396" i="43" s="1"/>
  <c r="W396" i="43"/>
  <c r="AG396" i="43" s="1"/>
  <c r="V396" i="43"/>
  <c r="AF396" i="43" s="1"/>
  <c r="BL395" i="43"/>
  <c r="BZ395" i="43" s="1"/>
  <c r="BK395" i="43"/>
  <c r="BY395" i="43" s="1"/>
  <c r="BW395" i="43"/>
  <c r="BT395" i="43"/>
  <c r="BS395" i="43"/>
  <c r="W395" i="43"/>
  <c r="AG395" i="43" s="1"/>
  <c r="V395" i="43"/>
  <c r="AF395" i="43" s="1"/>
  <c r="BL394" i="43"/>
  <c r="BK394" i="43"/>
  <c r="BW394" i="43"/>
  <c r="AP394" i="43"/>
  <c r="W394" i="43"/>
  <c r="AG394" i="43" s="1"/>
  <c r="V394" i="43"/>
  <c r="AF394" i="43" s="1"/>
  <c r="BL392" i="43"/>
  <c r="BZ392" i="43" s="1"/>
  <c r="BK392" i="43"/>
  <c r="BY392" i="43" s="1"/>
  <c r="BW392" i="43"/>
  <c r="AP392" i="43"/>
  <c r="BT392" i="43" s="1"/>
  <c r="W392" i="43"/>
  <c r="AG392" i="43" s="1"/>
  <c r="V392" i="43"/>
  <c r="AF392" i="43" s="1"/>
  <c r="BL391" i="43"/>
  <c r="BZ391" i="43" s="1"/>
  <c r="BK391" i="43"/>
  <c r="BY391" i="43" s="1"/>
  <c r="BW391" i="43"/>
  <c r="BT391" i="43"/>
  <c r="BS391" i="43"/>
  <c r="W391" i="43"/>
  <c r="AG391" i="43" s="1"/>
  <c r="V391" i="43"/>
  <c r="AF391" i="43" s="1"/>
  <c r="BL390" i="43"/>
  <c r="BK390" i="43"/>
  <c r="BW390" i="43"/>
  <c r="AP390" i="43"/>
  <c r="W390" i="43"/>
  <c r="AG390" i="43" s="1"/>
  <c r="V390" i="43"/>
  <c r="AF390" i="43" s="1"/>
  <c r="BL388" i="43"/>
  <c r="BZ388" i="43" s="1"/>
  <c r="BK388" i="43"/>
  <c r="BY388" i="43" s="1"/>
  <c r="BW388" i="43"/>
  <c r="AP388" i="43"/>
  <c r="BT388" i="43" s="1"/>
  <c r="W388" i="43"/>
  <c r="AG388" i="43" s="1"/>
  <c r="V388" i="43"/>
  <c r="AF388" i="43" s="1"/>
  <c r="BL387" i="43"/>
  <c r="BZ387" i="43" s="1"/>
  <c r="BK387" i="43"/>
  <c r="BY387" i="43" s="1"/>
  <c r="BW387" i="43"/>
  <c r="AP387" i="43"/>
  <c r="BT387" i="43" s="1"/>
  <c r="W387" i="43"/>
  <c r="AG387" i="43" s="1"/>
  <c r="V387" i="43"/>
  <c r="AF387" i="43" s="1"/>
  <c r="BL386" i="43"/>
  <c r="BZ386" i="43" s="1"/>
  <c r="BK386" i="43"/>
  <c r="BY386" i="43" s="1"/>
  <c r="BW386" i="43"/>
  <c r="BT386" i="43"/>
  <c r="BS386" i="43"/>
  <c r="W386" i="43"/>
  <c r="AG386" i="43" s="1"/>
  <c r="V386" i="43"/>
  <c r="AF386" i="43" s="1"/>
  <c r="BL385" i="43"/>
  <c r="BZ385" i="43" s="1"/>
  <c r="BK385" i="43"/>
  <c r="BY385" i="43" s="1"/>
  <c r="BW385" i="43"/>
  <c r="AP385" i="43"/>
  <c r="BT385" i="43" s="1"/>
  <c r="W385" i="43"/>
  <c r="AG385" i="43" s="1"/>
  <c r="V385" i="43"/>
  <c r="AF385" i="43" s="1"/>
  <c r="BL384" i="43"/>
  <c r="BK384" i="43"/>
  <c r="BW384" i="43"/>
  <c r="AP384" i="43"/>
  <c r="W384" i="43"/>
  <c r="AG384" i="43" s="1"/>
  <c r="V384" i="43"/>
  <c r="AF384" i="43" s="1"/>
  <c r="BL382" i="43"/>
  <c r="BZ382" i="43" s="1"/>
  <c r="BK382" i="43"/>
  <c r="BY382" i="43" s="1"/>
  <c r="BW382" i="43"/>
  <c r="AP382" i="43"/>
  <c r="BT382" i="43" s="1"/>
  <c r="W382" i="43"/>
  <c r="AG382" i="43" s="1"/>
  <c r="V382" i="43"/>
  <c r="AF382" i="43" s="1"/>
  <c r="BL381" i="43"/>
  <c r="BZ381" i="43" s="1"/>
  <c r="BK381" i="43"/>
  <c r="BY381" i="43" s="1"/>
  <c r="BW381" i="43"/>
  <c r="AP381" i="43"/>
  <c r="BT381" i="43" s="1"/>
  <c r="W381" i="43"/>
  <c r="AG381" i="43" s="1"/>
  <c r="V381" i="43"/>
  <c r="AF381" i="43" s="1"/>
  <c r="BL380" i="43"/>
  <c r="BZ380" i="43" s="1"/>
  <c r="BK380" i="43"/>
  <c r="BY380" i="43" s="1"/>
  <c r="BW380" i="43"/>
  <c r="AP380" i="43"/>
  <c r="BT380" i="43" s="1"/>
  <c r="W380" i="43"/>
  <c r="AG380" i="43" s="1"/>
  <c r="V380" i="43"/>
  <c r="AF380" i="43" s="1"/>
  <c r="BL379" i="43"/>
  <c r="BZ379" i="43" s="1"/>
  <c r="BK379" i="43"/>
  <c r="BY379" i="43" s="1"/>
  <c r="BW379" i="43"/>
  <c r="BT379" i="43"/>
  <c r="BS379" i="43"/>
  <c r="W379" i="43"/>
  <c r="AG379" i="43" s="1"/>
  <c r="V379" i="43"/>
  <c r="AF379" i="43" s="1"/>
  <c r="BL378" i="43"/>
  <c r="BZ378" i="43" s="1"/>
  <c r="BK378" i="43"/>
  <c r="BY378" i="43" s="1"/>
  <c r="BW378" i="43"/>
  <c r="AP378" i="43"/>
  <c r="BT378" i="43" s="1"/>
  <c r="W378" i="43"/>
  <c r="AG378" i="43" s="1"/>
  <c r="V378" i="43"/>
  <c r="AF378" i="43" s="1"/>
  <c r="BL377" i="43"/>
  <c r="BK377" i="43"/>
  <c r="BW377" i="43"/>
  <c r="AP377" i="43"/>
  <c r="W377" i="43"/>
  <c r="AG377" i="43" s="1"/>
  <c r="V377" i="43"/>
  <c r="AF377" i="43" s="1"/>
  <c r="BL375" i="43"/>
  <c r="BK375" i="43"/>
  <c r="BK376" i="43" s="1"/>
  <c r="AP375" i="43"/>
  <c r="W375" i="43"/>
  <c r="AG375" i="43" s="1"/>
  <c r="AG376" i="43" s="1"/>
  <c r="V375" i="43"/>
  <c r="AF375" i="43" s="1"/>
  <c r="AF376" i="43" s="1"/>
  <c r="BL373" i="43"/>
  <c r="BZ373" i="43" s="1"/>
  <c r="BK373" i="43"/>
  <c r="BY373" i="43" s="1"/>
  <c r="BW373" i="43"/>
  <c r="AP373" i="43"/>
  <c r="BT373" i="43" s="1"/>
  <c r="W373" i="43"/>
  <c r="AG373" i="43" s="1"/>
  <c r="V373" i="43"/>
  <c r="AF373" i="43" s="1"/>
  <c r="BL372" i="43"/>
  <c r="BZ372" i="43" s="1"/>
  <c r="BK372" i="43"/>
  <c r="BY372" i="43" s="1"/>
  <c r="BW372" i="43"/>
  <c r="BT372" i="43"/>
  <c r="BS372" i="43"/>
  <c r="W372" i="43"/>
  <c r="AG372" i="43" s="1"/>
  <c r="V372" i="43"/>
  <c r="AF372" i="43" s="1"/>
  <c r="BL371" i="43"/>
  <c r="BK371" i="43"/>
  <c r="BW371" i="43"/>
  <c r="AP371" i="43"/>
  <c r="W371" i="43"/>
  <c r="AG371" i="43" s="1"/>
  <c r="V371" i="43"/>
  <c r="AF371" i="43" s="1"/>
  <c r="BL369" i="43"/>
  <c r="BZ369" i="43" s="1"/>
  <c r="BK369" i="43"/>
  <c r="BY369" i="43" s="1"/>
  <c r="BW369" i="43"/>
  <c r="AP369" i="43"/>
  <c r="BT369" i="43" s="1"/>
  <c r="W369" i="43"/>
  <c r="AG369" i="43" s="1"/>
  <c r="V369" i="43"/>
  <c r="AF369" i="43" s="1"/>
  <c r="BL368" i="43"/>
  <c r="BZ368" i="43" s="1"/>
  <c r="BK368" i="43"/>
  <c r="BY368" i="43" s="1"/>
  <c r="BW368" i="43"/>
  <c r="AP368" i="43"/>
  <c r="BT368" i="43" s="1"/>
  <c r="W368" i="43"/>
  <c r="AG368" i="43" s="1"/>
  <c r="V368" i="43"/>
  <c r="AF368" i="43" s="1"/>
  <c r="BL367" i="43"/>
  <c r="BZ367" i="43" s="1"/>
  <c r="BK367" i="43"/>
  <c r="BY367" i="43" s="1"/>
  <c r="BW367" i="43"/>
  <c r="AP367" i="43"/>
  <c r="BT367" i="43" s="1"/>
  <c r="W367" i="43"/>
  <c r="AG367" i="43" s="1"/>
  <c r="V367" i="43"/>
  <c r="AF367" i="43" s="1"/>
  <c r="BL366" i="43"/>
  <c r="BZ366" i="43" s="1"/>
  <c r="BK366" i="43"/>
  <c r="BY366" i="43" s="1"/>
  <c r="BW366" i="43"/>
  <c r="BT366" i="43"/>
  <c r="BS366" i="43"/>
  <c r="W366" i="43"/>
  <c r="AG366" i="43" s="1"/>
  <c r="V366" i="43"/>
  <c r="AF366" i="43" s="1"/>
  <c r="BL365" i="43"/>
  <c r="BZ365" i="43" s="1"/>
  <c r="BK365" i="43"/>
  <c r="BY365" i="43" s="1"/>
  <c r="BW365" i="43"/>
  <c r="AP365" i="43"/>
  <c r="BT365" i="43" s="1"/>
  <c r="W365" i="43"/>
  <c r="AG365" i="43" s="1"/>
  <c r="V365" i="43"/>
  <c r="AF365" i="43" s="1"/>
  <c r="BL364" i="43"/>
  <c r="BK364" i="43"/>
  <c r="BW364" i="43"/>
  <c r="AP364" i="43"/>
  <c r="W364" i="43"/>
  <c r="AG364" i="43" s="1"/>
  <c r="V364" i="43"/>
  <c r="AF364" i="43" s="1"/>
  <c r="BL362" i="43"/>
  <c r="BZ362" i="43" s="1"/>
  <c r="BK362" i="43"/>
  <c r="BY362" i="43" s="1"/>
  <c r="BW362" i="43"/>
  <c r="AP362" i="43"/>
  <c r="BT362" i="43" s="1"/>
  <c r="W362" i="43"/>
  <c r="AG362" i="43" s="1"/>
  <c r="V362" i="43"/>
  <c r="AF362" i="43" s="1"/>
  <c r="BL361" i="43"/>
  <c r="BZ361" i="43" s="1"/>
  <c r="BK361" i="43"/>
  <c r="BY361" i="43" s="1"/>
  <c r="BW361" i="43"/>
  <c r="AP361" i="43"/>
  <c r="BT361" i="43" s="1"/>
  <c r="W361" i="43"/>
  <c r="AG361" i="43" s="1"/>
  <c r="V361" i="43"/>
  <c r="AF361" i="43" s="1"/>
  <c r="BL360" i="43"/>
  <c r="BZ360" i="43" s="1"/>
  <c r="BK360" i="43"/>
  <c r="BY360" i="43" s="1"/>
  <c r="BW360" i="43"/>
  <c r="BT360" i="43"/>
  <c r="BS360" i="43"/>
  <c r="W360" i="43"/>
  <c r="AG360" i="43" s="1"/>
  <c r="V360" i="43"/>
  <c r="AF360" i="43" s="1"/>
  <c r="BL359" i="43"/>
  <c r="BK359" i="43"/>
  <c r="BW359" i="43"/>
  <c r="AP359" i="43"/>
  <c r="W359" i="43"/>
  <c r="AG359" i="43" s="1"/>
  <c r="V359" i="43"/>
  <c r="AF359" i="43" s="1"/>
  <c r="BL357" i="43"/>
  <c r="BZ357" i="43" s="1"/>
  <c r="BK357" i="43"/>
  <c r="BY357" i="43" s="1"/>
  <c r="BW357" i="43"/>
  <c r="AP357" i="43"/>
  <c r="BT357" i="43" s="1"/>
  <c r="W357" i="43"/>
  <c r="AG357" i="43" s="1"/>
  <c r="V357" i="43"/>
  <c r="AF357" i="43" s="1"/>
  <c r="BL356" i="43"/>
  <c r="BZ356" i="43" s="1"/>
  <c r="BK356" i="43"/>
  <c r="BY356" i="43" s="1"/>
  <c r="BW356" i="43"/>
  <c r="AP356" i="43"/>
  <c r="BT356" i="43" s="1"/>
  <c r="W356" i="43"/>
  <c r="AG356" i="43" s="1"/>
  <c r="V356" i="43"/>
  <c r="AF356" i="43" s="1"/>
  <c r="BL355" i="43"/>
  <c r="BZ355" i="43" s="1"/>
  <c r="BK355" i="43"/>
  <c r="BY355" i="43" s="1"/>
  <c r="BW355" i="43"/>
  <c r="AP355" i="43"/>
  <c r="BT355" i="43" s="1"/>
  <c r="W355" i="43"/>
  <c r="AG355" i="43" s="1"/>
  <c r="V355" i="43"/>
  <c r="AF355" i="43" s="1"/>
  <c r="BL354" i="43"/>
  <c r="BZ354" i="43" s="1"/>
  <c r="BK354" i="43"/>
  <c r="BY354" i="43" s="1"/>
  <c r="BW354" i="43"/>
  <c r="AP354" i="43"/>
  <c r="BT354" i="43" s="1"/>
  <c r="W354" i="43"/>
  <c r="AG354" i="43" s="1"/>
  <c r="V354" i="43"/>
  <c r="AF354" i="43" s="1"/>
  <c r="BL353" i="43"/>
  <c r="BZ353" i="43" s="1"/>
  <c r="BK353" i="43"/>
  <c r="BY353" i="43" s="1"/>
  <c r="BW353" i="43"/>
  <c r="BT353" i="43"/>
  <c r="BS353" i="43"/>
  <c r="W353" i="43"/>
  <c r="AG353" i="43" s="1"/>
  <c r="V353" i="43"/>
  <c r="AF353" i="43" s="1"/>
  <c r="BL352" i="43"/>
  <c r="BK352" i="43"/>
  <c r="BW352" i="43"/>
  <c r="AP352" i="43"/>
  <c r="W352" i="43"/>
  <c r="AG352" i="43" s="1"/>
  <c r="V352" i="43"/>
  <c r="AF352" i="43" s="1"/>
  <c r="BL350" i="43"/>
  <c r="BZ350" i="43" s="1"/>
  <c r="BK350" i="43"/>
  <c r="BY350" i="43" s="1"/>
  <c r="BW350" i="43"/>
  <c r="AP350" i="43"/>
  <c r="BT350" i="43" s="1"/>
  <c r="W350" i="43"/>
  <c r="AG350" i="43" s="1"/>
  <c r="V350" i="43"/>
  <c r="AF350" i="43" s="1"/>
  <c r="BL349" i="43"/>
  <c r="BZ349" i="43" s="1"/>
  <c r="BK349" i="43"/>
  <c r="BY349" i="43" s="1"/>
  <c r="BW349" i="43"/>
  <c r="AP349" i="43"/>
  <c r="BT349" i="43" s="1"/>
  <c r="W349" i="43"/>
  <c r="AG349" i="43" s="1"/>
  <c r="V349" i="43"/>
  <c r="AF349" i="43" s="1"/>
  <c r="BL348" i="43"/>
  <c r="BZ348" i="43" s="1"/>
  <c r="BK348" i="43"/>
  <c r="BY348" i="43" s="1"/>
  <c r="BW348" i="43"/>
  <c r="AP348" i="43"/>
  <c r="BT348" i="43" s="1"/>
  <c r="W348" i="43"/>
  <c r="AG348" i="43" s="1"/>
  <c r="V348" i="43"/>
  <c r="AF348" i="43" s="1"/>
  <c r="BL347" i="43"/>
  <c r="BZ347" i="43" s="1"/>
  <c r="BK347" i="43"/>
  <c r="BY347" i="43" s="1"/>
  <c r="BW347" i="43"/>
  <c r="BT347" i="43"/>
  <c r="BS347" i="43"/>
  <c r="W347" i="43"/>
  <c r="AG347" i="43" s="1"/>
  <c r="V347" i="43"/>
  <c r="AF347" i="43" s="1"/>
  <c r="BL346" i="43"/>
  <c r="BK346" i="43"/>
  <c r="BW346" i="43"/>
  <c r="AP346" i="43"/>
  <c r="W346" i="43"/>
  <c r="AG346" i="43" s="1"/>
  <c r="V346" i="43"/>
  <c r="AF346" i="43" s="1"/>
  <c r="BL344" i="43"/>
  <c r="BZ344" i="43" s="1"/>
  <c r="BK344" i="43"/>
  <c r="BY344" i="43" s="1"/>
  <c r="BW344" i="43"/>
  <c r="AP344" i="43"/>
  <c r="BT344" i="43" s="1"/>
  <c r="W344" i="43"/>
  <c r="AG344" i="43" s="1"/>
  <c r="V344" i="43"/>
  <c r="AF344" i="43" s="1"/>
  <c r="BL343" i="43"/>
  <c r="BZ343" i="43" s="1"/>
  <c r="BK343" i="43"/>
  <c r="BY343" i="43" s="1"/>
  <c r="BW343" i="43"/>
  <c r="AP343" i="43"/>
  <c r="BT343" i="43" s="1"/>
  <c r="W343" i="43"/>
  <c r="AG343" i="43" s="1"/>
  <c r="V343" i="43"/>
  <c r="AF343" i="43" s="1"/>
  <c r="BL342" i="43"/>
  <c r="BZ342" i="43" s="1"/>
  <c r="BK342" i="43"/>
  <c r="BY342" i="43" s="1"/>
  <c r="BW342" i="43"/>
  <c r="AP342" i="43"/>
  <c r="BT342" i="43" s="1"/>
  <c r="W342" i="43"/>
  <c r="AG342" i="43" s="1"/>
  <c r="V342" i="43"/>
  <c r="AF342" i="43" s="1"/>
  <c r="BL341" i="43"/>
  <c r="BZ341" i="43" s="1"/>
  <c r="BK341" i="43"/>
  <c r="BY341" i="43" s="1"/>
  <c r="BW341" i="43"/>
  <c r="BT341" i="43"/>
  <c r="BS341" i="43"/>
  <c r="W341" i="43"/>
  <c r="AG341" i="43" s="1"/>
  <c r="V341" i="43"/>
  <c r="AF341" i="43" s="1"/>
  <c r="BL340" i="43"/>
  <c r="BZ340" i="43" s="1"/>
  <c r="BK340" i="43"/>
  <c r="BY340" i="43" s="1"/>
  <c r="BW340" i="43"/>
  <c r="AP340" i="43"/>
  <c r="BT340" i="43" s="1"/>
  <c r="W340" i="43"/>
  <c r="AG340" i="43" s="1"/>
  <c r="V340" i="43"/>
  <c r="AF340" i="43" s="1"/>
  <c r="BL339" i="43"/>
  <c r="BZ339" i="43" s="1"/>
  <c r="BK339" i="43"/>
  <c r="BY339" i="43" s="1"/>
  <c r="BW339" i="43"/>
  <c r="AP339" i="43"/>
  <c r="BT339" i="43" s="1"/>
  <c r="W339" i="43"/>
  <c r="AG339" i="43" s="1"/>
  <c r="V339" i="43"/>
  <c r="AF339" i="43" s="1"/>
  <c r="BL338" i="43"/>
  <c r="BZ338" i="43" s="1"/>
  <c r="BK338" i="43"/>
  <c r="BY338" i="43" s="1"/>
  <c r="BW338" i="43"/>
  <c r="AP338" i="43"/>
  <c r="BT338" i="43" s="1"/>
  <c r="W338" i="43"/>
  <c r="AG338" i="43" s="1"/>
  <c r="V338" i="43"/>
  <c r="AF338" i="43" s="1"/>
  <c r="BL337" i="43"/>
  <c r="BK337" i="43"/>
  <c r="BW337" i="43"/>
  <c r="AP337" i="43"/>
  <c r="W337" i="43"/>
  <c r="AG337" i="43" s="1"/>
  <c r="V337" i="43"/>
  <c r="AF337" i="43" s="1"/>
  <c r="BL335" i="43"/>
  <c r="BZ335" i="43" s="1"/>
  <c r="BK335" i="43"/>
  <c r="BY335" i="43" s="1"/>
  <c r="BW335" i="43"/>
  <c r="AP335" i="43"/>
  <c r="BT335" i="43" s="1"/>
  <c r="W335" i="43"/>
  <c r="AG335" i="43" s="1"/>
  <c r="V335" i="43"/>
  <c r="AF335" i="43" s="1"/>
  <c r="BL334" i="43"/>
  <c r="BZ334" i="43" s="1"/>
  <c r="BK334" i="43"/>
  <c r="BY334" i="43" s="1"/>
  <c r="BW334" i="43"/>
  <c r="BT334" i="43"/>
  <c r="BS334" i="43"/>
  <c r="W334" i="43"/>
  <c r="AG334" i="43" s="1"/>
  <c r="V334" i="43"/>
  <c r="AF334" i="43" s="1"/>
  <c r="BL333" i="43"/>
  <c r="BK333" i="43"/>
  <c r="BW333" i="43"/>
  <c r="AP333" i="43"/>
  <c r="W333" i="43"/>
  <c r="AG333" i="43" s="1"/>
  <c r="V333" i="43"/>
  <c r="AF333" i="43" s="1"/>
  <c r="BL331" i="43"/>
  <c r="BZ331" i="43" s="1"/>
  <c r="BK331" i="43"/>
  <c r="BY331" i="43" s="1"/>
  <c r="BW331" i="43"/>
  <c r="AP331" i="43"/>
  <c r="BT331" i="43" s="1"/>
  <c r="W331" i="43"/>
  <c r="AG331" i="43" s="1"/>
  <c r="V331" i="43"/>
  <c r="AF331" i="43" s="1"/>
  <c r="BL330" i="43"/>
  <c r="BZ330" i="43" s="1"/>
  <c r="BK330" i="43"/>
  <c r="BY330" i="43" s="1"/>
  <c r="BW330" i="43"/>
  <c r="BT330" i="43"/>
  <c r="BS330" i="43"/>
  <c r="W330" i="43"/>
  <c r="AG330" i="43" s="1"/>
  <c r="V330" i="43"/>
  <c r="AF330" i="43" s="1"/>
  <c r="BL329" i="43"/>
  <c r="BK329" i="43"/>
  <c r="BW329" i="43"/>
  <c r="AP329" i="43"/>
  <c r="W329" i="43"/>
  <c r="AG329" i="43" s="1"/>
  <c r="V329" i="43"/>
  <c r="AF329" i="43" s="1"/>
  <c r="BL327" i="43"/>
  <c r="BZ327" i="43" s="1"/>
  <c r="BK327" i="43"/>
  <c r="BY327" i="43" s="1"/>
  <c r="BW327" i="43"/>
  <c r="AP327" i="43"/>
  <c r="BT327" i="43" s="1"/>
  <c r="W327" i="43"/>
  <c r="AG327" i="43" s="1"/>
  <c r="V327" i="43"/>
  <c r="AF327" i="43" s="1"/>
  <c r="BL326" i="43"/>
  <c r="BZ326" i="43" s="1"/>
  <c r="BK326" i="43"/>
  <c r="BY326" i="43" s="1"/>
  <c r="BW326" i="43"/>
  <c r="BT326" i="43"/>
  <c r="BS326" i="43"/>
  <c r="W326" i="43"/>
  <c r="AG326" i="43" s="1"/>
  <c r="V326" i="43"/>
  <c r="AF326" i="43" s="1"/>
  <c r="BL325" i="43"/>
  <c r="BK325" i="43"/>
  <c r="BW325" i="43"/>
  <c r="AP325" i="43"/>
  <c r="W325" i="43"/>
  <c r="AG325" i="43" s="1"/>
  <c r="V325" i="43"/>
  <c r="AF325" i="43" s="1"/>
  <c r="BL323" i="43"/>
  <c r="BK323" i="43"/>
  <c r="BK324" i="43" s="1"/>
  <c r="BW323" i="43"/>
  <c r="BW324" i="43" s="1"/>
  <c r="AP323" i="43"/>
  <c r="W323" i="43"/>
  <c r="AG323" i="43" s="1"/>
  <c r="AG324" i="43" s="1"/>
  <c r="V323" i="43"/>
  <c r="AF323" i="43" s="1"/>
  <c r="AF324" i="43" s="1"/>
  <c r="BL321" i="43"/>
  <c r="BZ321" i="43" s="1"/>
  <c r="BK321" i="43"/>
  <c r="BY321" i="43" s="1"/>
  <c r="BW321" i="43"/>
  <c r="AP321" i="43"/>
  <c r="BT321" i="43" s="1"/>
  <c r="W321" i="43"/>
  <c r="AG321" i="43" s="1"/>
  <c r="V321" i="43"/>
  <c r="AF321" i="43" s="1"/>
  <c r="BL320" i="43"/>
  <c r="BZ320" i="43" s="1"/>
  <c r="BK320" i="43"/>
  <c r="BY320" i="43" s="1"/>
  <c r="BW320" i="43"/>
  <c r="AP320" i="43"/>
  <c r="BT320" i="43" s="1"/>
  <c r="W320" i="43"/>
  <c r="AG320" i="43" s="1"/>
  <c r="V320" i="43"/>
  <c r="AF320" i="43" s="1"/>
  <c r="BL319" i="43"/>
  <c r="BZ319" i="43" s="1"/>
  <c r="BK319" i="43"/>
  <c r="BY319" i="43" s="1"/>
  <c r="BW319" i="43"/>
  <c r="AP319" i="43"/>
  <c r="BT319" i="43" s="1"/>
  <c r="W319" i="43"/>
  <c r="AG319" i="43" s="1"/>
  <c r="V319" i="43"/>
  <c r="AF319" i="43" s="1"/>
  <c r="BL318" i="43"/>
  <c r="BZ318" i="43" s="1"/>
  <c r="BK318" i="43"/>
  <c r="BY318" i="43" s="1"/>
  <c r="BW318" i="43"/>
  <c r="BT318" i="43"/>
  <c r="BS318" i="43"/>
  <c r="W318" i="43"/>
  <c r="AG318" i="43" s="1"/>
  <c r="V318" i="43"/>
  <c r="AF318" i="43" s="1"/>
  <c r="BL317" i="43"/>
  <c r="BK317" i="43"/>
  <c r="BW317" i="43"/>
  <c r="AP317" i="43"/>
  <c r="W317" i="43"/>
  <c r="AG317" i="43" s="1"/>
  <c r="V317" i="43"/>
  <c r="AF317" i="43" s="1"/>
  <c r="AF322" i="43" s="1"/>
  <c r="BL315" i="43"/>
  <c r="BZ315" i="43" s="1"/>
  <c r="BK315" i="43"/>
  <c r="BY315" i="43" s="1"/>
  <c r="BW315" i="43"/>
  <c r="AP315" i="43"/>
  <c r="BT315" i="43" s="1"/>
  <c r="W315" i="43"/>
  <c r="AG315" i="43" s="1"/>
  <c r="V315" i="43"/>
  <c r="AF315" i="43" s="1"/>
  <c r="BL314" i="43"/>
  <c r="BZ314" i="43" s="1"/>
  <c r="BK314" i="43"/>
  <c r="BY314" i="43" s="1"/>
  <c r="BW314" i="43"/>
  <c r="BT314" i="43"/>
  <c r="BS314" i="43"/>
  <c r="W314" i="43"/>
  <c r="AG314" i="43" s="1"/>
  <c r="V314" i="43"/>
  <c r="AF314" i="43" s="1"/>
  <c r="BL313" i="43"/>
  <c r="BK313" i="43"/>
  <c r="BW313" i="43"/>
  <c r="AP313" i="43"/>
  <c r="W313" i="43"/>
  <c r="AG313" i="43" s="1"/>
  <c r="V313" i="43"/>
  <c r="AF313" i="43" s="1"/>
  <c r="BL311" i="43"/>
  <c r="BZ311" i="43" s="1"/>
  <c r="BK311" i="43"/>
  <c r="BY311" i="43" s="1"/>
  <c r="BW311" i="43"/>
  <c r="AP311" i="43"/>
  <c r="BT311" i="43" s="1"/>
  <c r="W311" i="43"/>
  <c r="AG311" i="43" s="1"/>
  <c r="V311" i="43"/>
  <c r="AF311" i="43" s="1"/>
  <c r="BL310" i="43"/>
  <c r="BZ310" i="43" s="1"/>
  <c r="BK310" i="43"/>
  <c r="BY310" i="43" s="1"/>
  <c r="BW310" i="43"/>
  <c r="AP310" i="43"/>
  <c r="BT310" i="43" s="1"/>
  <c r="W310" i="43"/>
  <c r="AG310" i="43" s="1"/>
  <c r="V310" i="43"/>
  <c r="AF310" i="43" s="1"/>
  <c r="BL309" i="43"/>
  <c r="BZ309" i="43" s="1"/>
  <c r="BK309" i="43"/>
  <c r="BY309" i="43" s="1"/>
  <c r="BW309" i="43"/>
  <c r="AP309" i="43"/>
  <c r="BT309" i="43" s="1"/>
  <c r="W309" i="43"/>
  <c r="AG309" i="43" s="1"/>
  <c r="V309" i="43"/>
  <c r="AF309" i="43" s="1"/>
  <c r="BL308" i="43"/>
  <c r="BZ308" i="43" s="1"/>
  <c r="BK308" i="43"/>
  <c r="BY308" i="43" s="1"/>
  <c r="BW308" i="43"/>
  <c r="AP308" i="43"/>
  <c r="BT308" i="43" s="1"/>
  <c r="W308" i="43"/>
  <c r="AG308" i="43" s="1"/>
  <c r="V308" i="43"/>
  <c r="AF308" i="43" s="1"/>
  <c r="BL307" i="43"/>
  <c r="BZ307" i="43" s="1"/>
  <c r="BK307" i="43"/>
  <c r="BY307" i="43" s="1"/>
  <c r="BW307" i="43"/>
  <c r="AP307" i="43"/>
  <c r="BT307" i="43" s="1"/>
  <c r="W307" i="43"/>
  <c r="AG307" i="43" s="1"/>
  <c r="V307" i="43"/>
  <c r="AF307" i="43" s="1"/>
  <c r="BL306" i="43"/>
  <c r="BK306" i="43"/>
  <c r="BW306" i="43"/>
  <c r="AP306" i="43"/>
  <c r="W306" i="43"/>
  <c r="AG306" i="43" s="1"/>
  <c r="V306" i="43"/>
  <c r="AF306" i="43" s="1"/>
  <c r="BL304" i="43"/>
  <c r="BZ304" i="43" s="1"/>
  <c r="BK304" i="43"/>
  <c r="BY304" i="43" s="1"/>
  <c r="BW304" i="43"/>
  <c r="AP304" i="43"/>
  <c r="BT304" i="43" s="1"/>
  <c r="W304" i="43"/>
  <c r="AG304" i="43" s="1"/>
  <c r="V304" i="43"/>
  <c r="AF304" i="43" s="1"/>
  <c r="BL303" i="43"/>
  <c r="BZ303" i="43" s="1"/>
  <c r="BK303" i="43"/>
  <c r="BY303" i="43" s="1"/>
  <c r="BW303" i="43"/>
  <c r="AP303" i="43"/>
  <c r="BT303" i="43" s="1"/>
  <c r="W303" i="43"/>
  <c r="AG303" i="43" s="1"/>
  <c r="V303" i="43"/>
  <c r="AF303" i="43" s="1"/>
  <c r="BL302" i="43"/>
  <c r="BZ302" i="43" s="1"/>
  <c r="BK302" i="43"/>
  <c r="BY302" i="43" s="1"/>
  <c r="BW302" i="43"/>
  <c r="AP302" i="43"/>
  <c r="BT302" i="43" s="1"/>
  <c r="W302" i="43"/>
  <c r="AG302" i="43" s="1"/>
  <c r="V302" i="43"/>
  <c r="AF302" i="43" s="1"/>
  <c r="BL301" i="43"/>
  <c r="BZ301" i="43" s="1"/>
  <c r="BK301" i="43"/>
  <c r="BY301" i="43" s="1"/>
  <c r="BW301" i="43"/>
  <c r="BT301" i="43"/>
  <c r="BS301" i="43"/>
  <c r="W301" i="43"/>
  <c r="AG301" i="43" s="1"/>
  <c r="V301" i="43"/>
  <c r="AF301" i="43" s="1"/>
  <c r="BL300" i="43"/>
  <c r="BZ300" i="43" s="1"/>
  <c r="BK300" i="43"/>
  <c r="BY300" i="43" s="1"/>
  <c r="BW300" i="43"/>
  <c r="AP300" i="43"/>
  <c r="BT300" i="43" s="1"/>
  <c r="W300" i="43"/>
  <c r="AG300" i="43" s="1"/>
  <c r="V300" i="43"/>
  <c r="AF300" i="43" s="1"/>
  <c r="BL299" i="43"/>
  <c r="BK299" i="43"/>
  <c r="BW299" i="43"/>
  <c r="AP299" i="43"/>
  <c r="W299" i="43"/>
  <c r="AG299" i="43" s="1"/>
  <c r="V299" i="43"/>
  <c r="AF299" i="43" s="1"/>
  <c r="BL297" i="43"/>
  <c r="BK297" i="43"/>
  <c r="BK298" i="43" s="1"/>
  <c r="BW297" i="43"/>
  <c r="BW298" i="43" s="1"/>
  <c r="AP297" i="43"/>
  <c r="W297" i="43"/>
  <c r="AG297" i="43" s="1"/>
  <c r="AG298" i="43" s="1"/>
  <c r="V297" i="43"/>
  <c r="AF297" i="43" s="1"/>
  <c r="AF298" i="43" s="1"/>
  <c r="BL295" i="43"/>
  <c r="BZ295" i="43" s="1"/>
  <c r="BK295" i="43"/>
  <c r="BY295" i="43" s="1"/>
  <c r="BW295" i="43"/>
  <c r="AP295" i="43"/>
  <c r="BT295" i="43" s="1"/>
  <c r="W295" i="43"/>
  <c r="AG295" i="43" s="1"/>
  <c r="V295" i="43"/>
  <c r="AF295" i="43" s="1"/>
  <c r="BL294" i="43"/>
  <c r="BZ294" i="43" s="1"/>
  <c r="BK294" i="43"/>
  <c r="BY294" i="43" s="1"/>
  <c r="BW294" i="43"/>
  <c r="AP294" i="43"/>
  <c r="BT294" i="43" s="1"/>
  <c r="W294" i="43"/>
  <c r="AG294" i="43" s="1"/>
  <c r="V294" i="43"/>
  <c r="AF294" i="43" s="1"/>
  <c r="BL293" i="43"/>
  <c r="BZ293" i="43" s="1"/>
  <c r="BK293" i="43"/>
  <c r="BY293" i="43" s="1"/>
  <c r="BW293" i="43"/>
  <c r="AP293" i="43"/>
  <c r="BT293" i="43" s="1"/>
  <c r="W293" i="43"/>
  <c r="AG293" i="43" s="1"/>
  <c r="V293" i="43"/>
  <c r="AF293" i="43" s="1"/>
  <c r="BL292" i="43"/>
  <c r="BZ292" i="43" s="1"/>
  <c r="BK292" i="43"/>
  <c r="BY292" i="43" s="1"/>
  <c r="BW292" i="43"/>
  <c r="AP292" i="43"/>
  <c r="BT292" i="43" s="1"/>
  <c r="W292" i="43"/>
  <c r="AG292" i="43" s="1"/>
  <c r="V292" i="43"/>
  <c r="AF292" i="43" s="1"/>
  <c r="BL291" i="43"/>
  <c r="BZ291" i="43" s="1"/>
  <c r="BK291" i="43"/>
  <c r="BY291" i="43" s="1"/>
  <c r="BW291" i="43"/>
  <c r="BT291" i="43"/>
  <c r="BS291" i="43"/>
  <c r="W291" i="43"/>
  <c r="AG291" i="43" s="1"/>
  <c r="V291" i="43"/>
  <c r="AF291" i="43" s="1"/>
  <c r="BL290" i="43"/>
  <c r="BZ290" i="43" s="1"/>
  <c r="BK290" i="43"/>
  <c r="BY290" i="43" s="1"/>
  <c r="BW290" i="43"/>
  <c r="AP290" i="43"/>
  <c r="BT290" i="43" s="1"/>
  <c r="W290" i="43"/>
  <c r="AG290" i="43" s="1"/>
  <c r="V290" i="43"/>
  <c r="AF290" i="43" s="1"/>
  <c r="BL289" i="43"/>
  <c r="BK289" i="43"/>
  <c r="BW289" i="43"/>
  <c r="AP289" i="43"/>
  <c r="W289" i="43"/>
  <c r="AG289" i="43" s="1"/>
  <c r="V289" i="43"/>
  <c r="AF289" i="43" s="1"/>
  <c r="BL287" i="43"/>
  <c r="BZ287" i="43" s="1"/>
  <c r="BK287" i="43"/>
  <c r="BY287" i="43" s="1"/>
  <c r="BW287" i="43"/>
  <c r="AP287" i="43"/>
  <c r="BT287" i="43" s="1"/>
  <c r="W287" i="43"/>
  <c r="AG287" i="43" s="1"/>
  <c r="V287" i="43"/>
  <c r="AF287" i="43" s="1"/>
  <c r="BL286" i="43"/>
  <c r="BZ286" i="43" s="1"/>
  <c r="BK286" i="43"/>
  <c r="BY286" i="43" s="1"/>
  <c r="BW286" i="43"/>
  <c r="AP286" i="43"/>
  <c r="BT286" i="43" s="1"/>
  <c r="W286" i="43"/>
  <c r="AG286" i="43" s="1"/>
  <c r="V286" i="43"/>
  <c r="AF286" i="43" s="1"/>
  <c r="BL285" i="43"/>
  <c r="BZ285" i="43" s="1"/>
  <c r="BK285" i="43"/>
  <c r="BY285" i="43" s="1"/>
  <c r="BW285" i="43"/>
  <c r="AP285" i="43"/>
  <c r="BT285" i="43" s="1"/>
  <c r="W285" i="43"/>
  <c r="AG285" i="43" s="1"/>
  <c r="V285" i="43"/>
  <c r="AF285" i="43" s="1"/>
  <c r="BL284" i="43"/>
  <c r="BK284" i="43"/>
  <c r="BW284" i="43"/>
  <c r="AP284" i="43"/>
  <c r="W284" i="43"/>
  <c r="AG284" i="43" s="1"/>
  <c r="V284" i="43"/>
  <c r="AF284" i="43" s="1"/>
  <c r="BL282" i="43"/>
  <c r="BZ282" i="43" s="1"/>
  <c r="BK282" i="43"/>
  <c r="BY282" i="43" s="1"/>
  <c r="BW282" i="43"/>
  <c r="AP282" i="43"/>
  <c r="BT282" i="43" s="1"/>
  <c r="W282" i="43"/>
  <c r="AG282" i="43" s="1"/>
  <c r="V282" i="43"/>
  <c r="AF282" i="43" s="1"/>
  <c r="BL281" i="43"/>
  <c r="BZ281" i="43" s="1"/>
  <c r="BK281" i="43"/>
  <c r="BY281" i="43" s="1"/>
  <c r="BW281" i="43"/>
  <c r="AP281" i="43"/>
  <c r="BT281" i="43" s="1"/>
  <c r="W281" i="43"/>
  <c r="AG281" i="43" s="1"/>
  <c r="V281" i="43"/>
  <c r="AF281" i="43" s="1"/>
  <c r="BL280" i="43"/>
  <c r="BZ280" i="43" s="1"/>
  <c r="BK280" i="43"/>
  <c r="BY280" i="43" s="1"/>
  <c r="BW280" i="43"/>
  <c r="AP280" i="43"/>
  <c r="BT280" i="43" s="1"/>
  <c r="W280" i="43"/>
  <c r="AG280" i="43" s="1"/>
  <c r="V280" i="43"/>
  <c r="AF280" i="43" s="1"/>
  <c r="BL279" i="43"/>
  <c r="BZ279" i="43" s="1"/>
  <c r="BK279" i="43"/>
  <c r="BY279" i="43" s="1"/>
  <c r="BW279" i="43"/>
  <c r="BT279" i="43"/>
  <c r="BS279" i="43"/>
  <c r="W279" i="43"/>
  <c r="AG279" i="43" s="1"/>
  <c r="V279" i="43"/>
  <c r="AF279" i="43" s="1"/>
  <c r="BL278" i="43"/>
  <c r="BZ278" i="43" s="1"/>
  <c r="BK278" i="43"/>
  <c r="BY278" i="43" s="1"/>
  <c r="BW278" i="43"/>
  <c r="AP278" i="43"/>
  <c r="BT278" i="43" s="1"/>
  <c r="W278" i="43"/>
  <c r="AG278" i="43" s="1"/>
  <c r="V278" i="43"/>
  <c r="AF278" i="43" s="1"/>
  <c r="BL277" i="43"/>
  <c r="BK277" i="43"/>
  <c r="BW277" i="43"/>
  <c r="AP277" i="43"/>
  <c r="W277" i="43"/>
  <c r="AG277" i="43" s="1"/>
  <c r="V277" i="43"/>
  <c r="AF277" i="43" s="1"/>
  <c r="BL275" i="43"/>
  <c r="BZ275" i="43" s="1"/>
  <c r="BK275" i="43"/>
  <c r="BY275" i="43" s="1"/>
  <c r="BW275" i="43"/>
  <c r="AP275" i="43"/>
  <c r="BT275" i="43" s="1"/>
  <c r="W275" i="43"/>
  <c r="AG275" i="43" s="1"/>
  <c r="V275" i="43"/>
  <c r="AF275" i="43" s="1"/>
  <c r="BL274" i="43"/>
  <c r="BZ274" i="43" s="1"/>
  <c r="BK274" i="43"/>
  <c r="BY274" i="43" s="1"/>
  <c r="BW274" i="43"/>
  <c r="BT274" i="43"/>
  <c r="BS274" i="43"/>
  <c r="W274" i="43"/>
  <c r="AG274" i="43" s="1"/>
  <c r="V274" i="43"/>
  <c r="AF274" i="43" s="1"/>
  <c r="BL273" i="43"/>
  <c r="BK273" i="43"/>
  <c r="BW273" i="43"/>
  <c r="AP273" i="43"/>
  <c r="W273" i="43"/>
  <c r="AG273" i="43" s="1"/>
  <c r="V273" i="43"/>
  <c r="AF273" i="43" s="1"/>
  <c r="BL271" i="43"/>
  <c r="BZ271" i="43" s="1"/>
  <c r="BK271" i="43"/>
  <c r="BY271" i="43" s="1"/>
  <c r="BW271" i="43"/>
  <c r="AP271" i="43"/>
  <c r="BT271" i="43" s="1"/>
  <c r="W271" i="43"/>
  <c r="AG271" i="43" s="1"/>
  <c r="V271" i="43"/>
  <c r="AF271" i="43" s="1"/>
  <c r="BL270" i="43"/>
  <c r="BZ270" i="43" s="1"/>
  <c r="BK270" i="43"/>
  <c r="BY270" i="43" s="1"/>
  <c r="BW270" i="43"/>
  <c r="AP270" i="43"/>
  <c r="BT270" i="43" s="1"/>
  <c r="W270" i="43"/>
  <c r="AG270" i="43" s="1"/>
  <c r="V270" i="43"/>
  <c r="AF270" i="43" s="1"/>
  <c r="BL269" i="43"/>
  <c r="BZ269" i="43" s="1"/>
  <c r="BK269" i="43"/>
  <c r="BY269" i="43" s="1"/>
  <c r="BW269" i="43"/>
  <c r="AP269" i="43"/>
  <c r="BT269" i="43" s="1"/>
  <c r="W269" i="43"/>
  <c r="AG269" i="43" s="1"/>
  <c r="V269" i="43"/>
  <c r="AF269" i="43" s="1"/>
  <c r="BL268" i="43"/>
  <c r="BZ268" i="43" s="1"/>
  <c r="BK268" i="43"/>
  <c r="BY268" i="43" s="1"/>
  <c r="BW268" i="43"/>
  <c r="BT268" i="43"/>
  <c r="BS268" i="43"/>
  <c r="W268" i="43"/>
  <c r="AG268" i="43" s="1"/>
  <c r="V268" i="43"/>
  <c r="AF268" i="43" s="1"/>
  <c r="BL267" i="43"/>
  <c r="BK267" i="43"/>
  <c r="BW267" i="43"/>
  <c r="AP267" i="43"/>
  <c r="W267" i="43"/>
  <c r="AG267" i="43" s="1"/>
  <c r="V267" i="43"/>
  <c r="AF267" i="43" s="1"/>
  <c r="BL265" i="43"/>
  <c r="BZ265" i="43" s="1"/>
  <c r="BK265" i="43"/>
  <c r="BY265" i="43" s="1"/>
  <c r="BW265" i="43"/>
  <c r="AP265" i="43"/>
  <c r="BT265" i="43" s="1"/>
  <c r="W265" i="43"/>
  <c r="AG265" i="43" s="1"/>
  <c r="V265" i="43"/>
  <c r="AF265" i="43" s="1"/>
  <c r="BL264" i="43"/>
  <c r="BZ264" i="43" s="1"/>
  <c r="BK264" i="43"/>
  <c r="BY264" i="43" s="1"/>
  <c r="BW264" i="43"/>
  <c r="BT264" i="43"/>
  <c r="BS264" i="43"/>
  <c r="W264" i="43"/>
  <c r="AG264" i="43" s="1"/>
  <c r="V264" i="43"/>
  <c r="AF264" i="43" s="1"/>
  <c r="BL263" i="43"/>
  <c r="BK263" i="43"/>
  <c r="BW263" i="43"/>
  <c r="AP263" i="43"/>
  <c r="W263" i="43"/>
  <c r="AG263" i="43" s="1"/>
  <c r="V263" i="43"/>
  <c r="AF263" i="43" s="1"/>
  <c r="BL261" i="43"/>
  <c r="BZ261" i="43" s="1"/>
  <c r="BK261" i="43"/>
  <c r="BY261" i="43" s="1"/>
  <c r="BW261" i="43"/>
  <c r="AP261" i="43"/>
  <c r="BT261" i="43" s="1"/>
  <c r="W261" i="43"/>
  <c r="AG261" i="43" s="1"/>
  <c r="V261" i="43"/>
  <c r="AF261" i="43" s="1"/>
  <c r="BL260" i="43"/>
  <c r="BZ260" i="43" s="1"/>
  <c r="BK260" i="43"/>
  <c r="BY260" i="43" s="1"/>
  <c r="BW260" i="43"/>
  <c r="BT260" i="43"/>
  <c r="BS260" i="43"/>
  <c r="W260" i="43"/>
  <c r="AG260" i="43" s="1"/>
  <c r="V260" i="43"/>
  <c r="AF260" i="43" s="1"/>
  <c r="BL259" i="43"/>
  <c r="BK259" i="43"/>
  <c r="BW259" i="43"/>
  <c r="AP259" i="43"/>
  <c r="W259" i="43"/>
  <c r="AG259" i="43" s="1"/>
  <c r="V259" i="43"/>
  <c r="AF259" i="43" s="1"/>
  <c r="BL257" i="43"/>
  <c r="BK257" i="43"/>
  <c r="BW257" i="43"/>
  <c r="BW258" i="43" s="1"/>
  <c r="AP257" i="43"/>
  <c r="W257" i="43"/>
  <c r="AG257" i="43" s="1"/>
  <c r="AG258" i="43" s="1"/>
  <c r="V257" i="43"/>
  <c r="AF257" i="43" s="1"/>
  <c r="AF258" i="43" s="1"/>
  <c r="BL255" i="43"/>
  <c r="BZ255" i="43" s="1"/>
  <c r="BK255" i="43"/>
  <c r="BY255" i="43" s="1"/>
  <c r="BW255" i="43"/>
  <c r="AP255" i="43"/>
  <c r="BT255" i="43" s="1"/>
  <c r="W255" i="43"/>
  <c r="AG255" i="43" s="1"/>
  <c r="V255" i="43"/>
  <c r="AF255" i="43" s="1"/>
  <c r="BL254" i="43"/>
  <c r="BZ254" i="43" s="1"/>
  <c r="BK254" i="43"/>
  <c r="BY254" i="43" s="1"/>
  <c r="BW254" i="43"/>
  <c r="AP254" i="43"/>
  <c r="BT254" i="43" s="1"/>
  <c r="W254" i="43"/>
  <c r="AG254" i="43" s="1"/>
  <c r="V254" i="43"/>
  <c r="AF254" i="43" s="1"/>
  <c r="BL253" i="43"/>
  <c r="BZ253" i="43" s="1"/>
  <c r="BK253" i="43"/>
  <c r="BY253" i="43" s="1"/>
  <c r="BW253" i="43"/>
  <c r="AP253" i="43"/>
  <c r="BT253" i="43" s="1"/>
  <c r="W253" i="43"/>
  <c r="AG253" i="43" s="1"/>
  <c r="V253" i="43"/>
  <c r="AF253" i="43" s="1"/>
  <c r="BL252" i="43"/>
  <c r="BZ252" i="43" s="1"/>
  <c r="BK252" i="43"/>
  <c r="BY252" i="43" s="1"/>
  <c r="BW252" i="43"/>
  <c r="AP252" i="43"/>
  <c r="BT252" i="43" s="1"/>
  <c r="W252" i="43"/>
  <c r="AG252" i="43" s="1"/>
  <c r="V252" i="43"/>
  <c r="AF252" i="43" s="1"/>
  <c r="BL251" i="43"/>
  <c r="BZ251" i="43" s="1"/>
  <c r="BK251" i="43"/>
  <c r="BY251" i="43" s="1"/>
  <c r="BW251" i="43"/>
  <c r="AP251" i="43"/>
  <c r="BT251" i="43" s="1"/>
  <c r="W251" i="43"/>
  <c r="AG251" i="43" s="1"/>
  <c r="V251" i="43"/>
  <c r="AF251" i="43" s="1"/>
  <c r="BL250" i="43"/>
  <c r="BK250" i="43"/>
  <c r="BW250" i="43"/>
  <c r="AP250" i="43"/>
  <c r="W250" i="43"/>
  <c r="AG250" i="43" s="1"/>
  <c r="V250" i="43"/>
  <c r="AF250" i="43" s="1"/>
  <c r="BL248" i="43"/>
  <c r="BZ248" i="43" s="1"/>
  <c r="BK248" i="43"/>
  <c r="BY248" i="43" s="1"/>
  <c r="BW248" i="43"/>
  <c r="AP248" i="43"/>
  <c r="BT248" i="43" s="1"/>
  <c r="W248" i="43"/>
  <c r="AG248" i="43" s="1"/>
  <c r="V248" i="43"/>
  <c r="AF248" i="43" s="1"/>
  <c r="BL247" i="43"/>
  <c r="BZ247" i="43" s="1"/>
  <c r="BK247" i="43"/>
  <c r="BY247" i="43" s="1"/>
  <c r="BW247" i="43"/>
  <c r="AP247" i="43"/>
  <c r="BT247" i="43" s="1"/>
  <c r="W247" i="43"/>
  <c r="AG247" i="43" s="1"/>
  <c r="V247" i="43"/>
  <c r="AF247" i="43" s="1"/>
  <c r="BL246" i="43"/>
  <c r="BZ246" i="43" s="1"/>
  <c r="BK246" i="43"/>
  <c r="BY246" i="43" s="1"/>
  <c r="BW246" i="43"/>
  <c r="AP246" i="43"/>
  <c r="BT246" i="43" s="1"/>
  <c r="W246" i="43"/>
  <c r="AG246" i="43" s="1"/>
  <c r="V246" i="43"/>
  <c r="AF246" i="43" s="1"/>
  <c r="BL245" i="43"/>
  <c r="BZ245" i="43" s="1"/>
  <c r="BK245" i="43"/>
  <c r="BY245" i="43" s="1"/>
  <c r="BW245" i="43"/>
  <c r="BT245" i="43"/>
  <c r="BS245" i="43"/>
  <c r="W245" i="43"/>
  <c r="AG245" i="43" s="1"/>
  <c r="V245" i="43"/>
  <c r="AF245" i="43" s="1"/>
  <c r="BL244" i="43"/>
  <c r="BK244" i="43"/>
  <c r="BW244" i="43"/>
  <c r="AP244" i="43"/>
  <c r="W244" i="43"/>
  <c r="AG244" i="43" s="1"/>
  <c r="V244" i="43"/>
  <c r="AF244" i="43" s="1"/>
  <c r="BL242" i="43"/>
  <c r="BZ242" i="43" s="1"/>
  <c r="BK242" i="43"/>
  <c r="BY242" i="43" s="1"/>
  <c r="BW242" i="43"/>
  <c r="AP242" i="43"/>
  <c r="BT242" i="43" s="1"/>
  <c r="W242" i="43"/>
  <c r="AG242" i="43" s="1"/>
  <c r="V242" i="43"/>
  <c r="AF242" i="43" s="1"/>
  <c r="BL241" i="43"/>
  <c r="BZ241" i="43" s="1"/>
  <c r="BK241" i="43"/>
  <c r="BY241" i="43" s="1"/>
  <c r="BW241" i="43"/>
  <c r="AP241" i="43"/>
  <c r="BT241" i="43" s="1"/>
  <c r="W241" i="43"/>
  <c r="AG241" i="43" s="1"/>
  <c r="V241" i="43"/>
  <c r="AF241" i="43" s="1"/>
  <c r="BL240" i="43"/>
  <c r="BZ240" i="43" s="1"/>
  <c r="BK240" i="43"/>
  <c r="BY240" i="43" s="1"/>
  <c r="BW240" i="43"/>
  <c r="AP240" i="43"/>
  <c r="BT240" i="43" s="1"/>
  <c r="W240" i="43"/>
  <c r="AG240" i="43" s="1"/>
  <c r="V240" i="43"/>
  <c r="AF240" i="43" s="1"/>
  <c r="BL239" i="43"/>
  <c r="BZ239" i="43" s="1"/>
  <c r="BK239" i="43"/>
  <c r="BY239" i="43" s="1"/>
  <c r="BW239" i="43"/>
  <c r="BT239" i="43"/>
  <c r="BS239" i="43"/>
  <c r="W239" i="43"/>
  <c r="AG239" i="43" s="1"/>
  <c r="V239" i="43"/>
  <c r="AF239" i="43" s="1"/>
  <c r="BL238" i="43"/>
  <c r="BK238" i="43"/>
  <c r="BW238" i="43"/>
  <c r="AP238" i="43"/>
  <c r="W238" i="43"/>
  <c r="AG238" i="43" s="1"/>
  <c r="V238" i="43"/>
  <c r="AF238" i="43" s="1"/>
  <c r="BL236" i="43"/>
  <c r="BZ236" i="43" s="1"/>
  <c r="BK236" i="43"/>
  <c r="BY236" i="43" s="1"/>
  <c r="BW236" i="43"/>
  <c r="AP236" i="43"/>
  <c r="BT236" i="43" s="1"/>
  <c r="W236" i="43"/>
  <c r="AG236" i="43" s="1"/>
  <c r="V236" i="43"/>
  <c r="AF236" i="43" s="1"/>
  <c r="BL235" i="43"/>
  <c r="BZ235" i="43" s="1"/>
  <c r="BK235" i="43"/>
  <c r="BY235" i="43" s="1"/>
  <c r="BW235" i="43"/>
  <c r="AP235" i="43"/>
  <c r="BT235" i="43" s="1"/>
  <c r="W235" i="43"/>
  <c r="AG235" i="43" s="1"/>
  <c r="V235" i="43"/>
  <c r="AF235" i="43" s="1"/>
  <c r="BL234" i="43"/>
  <c r="BZ234" i="43" s="1"/>
  <c r="BK234" i="43"/>
  <c r="BY234" i="43" s="1"/>
  <c r="BW234" i="43"/>
  <c r="AP234" i="43"/>
  <c r="BT234" i="43" s="1"/>
  <c r="W234" i="43"/>
  <c r="AG234" i="43" s="1"/>
  <c r="V234" i="43"/>
  <c r="AF234" i="43" s="1"/>
  <c r="BL233" i="43"/>
  <c r="BZ233" i="43" s="1"/>
  <c r="BK233" i="43"/>
  <c r="BY233" i="43" s="1"/>
  <c r="BW233" i="43"/>
  <c r="BT233" i="43"/>
  <c r="BS233" i="43"/>
  <c r="W233" i="43"/>
  <c r="AG233" i="43" s="1"/>
  <c r="V233" i="43"/>
  <c r="AF233" i="43" s="1"/>
  <c r="BL232" i="43"/>
  <c r="BK232" i="43"/>
  <c r="BW232" i="43"/>
  <c r="AP232" i="43"/>
  <c r="W232" i="43"/>
  <c r="AG232" i="43" s="1"/>
  <c r="V232" i="43"/>
  <c r="AF232" i="43" s="1"/>
  <c r="BL230" i="43"/>
  <c r="BZ230" i="43" s="1"/>
  <c r="BK230" i="43"/>
  <c r="BY230" i="43" s="1"/>
  <c r="BW230" i="43"/>
  <c r="AP230" i="43"/>
  <c r="BT230" i="43" s="1"/>
  <c r="W230" i="43"/>
  <c r="AG230" i="43" s="1"/>
  <c r="V230" i="43"/>
  <c r="AF230" i="43" s="1"/>
  <c r="BL229" i="43"/>
  <c r="BZ229" i="43" s="1"/>
  <c r="BK229" i="43"/>
  <c r="BY229" i="43" s="1"/>
  <c r="BW229" i="43"/>
  <c r="AP229" i="43"/>
  <c r="BT229" i="43" s="1"/>
  <c r="W229" i="43"/>
  <c r="AG229" i="43" s="1"/>
  <c r="V229" i="43"/>
  <c r="AF229" i="43" s="1"/>
  <c r="BL228" i="43"/>
  <c r="BZ228" i="43" s="1"/>
  <c r="BK228" i="43"/>
  <c r="BY228" i="43" s="1"/>
  <c r="BW228" i="43"/>
  <c r="AP228" i="43"/>
  <c r="BT228" i="43" s="1"/>
  <c r="W228" i="43"/>
  <c r="AG228" i="43" s="1"/>
  <c r="V228" i="43"/>
  <c r="AF228" i="43" s="1"/>
  <c r="BL227" i="43"/>
  <c r="BZ227" i="43" s="1"/>
  <c r="BK227" i="43"/>
  <c r="BY227" i="43" s="1"/>
  <c r="BW227" i="43"/>
  <c r="BT227" i="43"/>
  <c r="BS227" i="43"/>
  <c r="W227" i="43"/>
  <c r="AG227" i="43" s="1"/>
  <c r="V227" i="43"/>
  <c r="AF227" i="43" s="1"/>
  <c r="BL226" i="43"/>
  <c r="BK226" i="43"/>
  <c r="BW226" i="43"/>
  <c r="AP226" i="43"/>
  <c r="W226" i="43"/>
  <c r="AG226" i="43" s="1"/>
  <c r="V226" i="43"/>
  <c r="AF226" i="43" s="1"/>
  <c r="BL224" i="43"/>
  <c r="BZ224" i="43" s="1"/>
  <c r="BK224" i="43"/>
  <c r="BY224" i="43" s="1"/>
  <c r="BW224" i="43"/>
  <c r="AP224" i="43"/>
  <c r="BT224" i="43" s="1"/>
  <c r="W224" i="43"/>
  <c r="AG224" i="43" s="1"/>
  <c r="V224" i="43"/>
  <c r="AF224" i="43" s="1"/>
  <c r="BL223" i="43"/>
  <c r="BZ223" i="43" s="1"/>
  <c r="BK223" i="43"/>
  <c r="BY223" i="43" s="1"/>
  <c r="BW223" i="43"/>
  <c r="AP223" i="43"/>
  <c r="BT223" i="43" s="1"/>
  <c r="W223" i="43"/>
  <c r="AG223" i="43" s="1"/>
  <c r="V223" i="43"/>
  <c r="AF223" i="43" s="1"/>
  <c r="BL222" i="43"/>
  <c r="BZ222" i="43" s="1"/>
  <c r="BK222" i="43"/>
  <c r="BY222" i="43" s="1"/>
  <c r="BW222" i="43"/>
  <c r="AP222" i="43"/>
  <c r="BT222" i="43" s="1"/>
  <c r="W222" i="43"/>
  <c r="AG222" i="43" s="1"/>
  <c r="V222" i="43"/>
  <c r="AF222" i="43" s="1"/>
  <c r="BL221" i="43"/>
  <c r="BZ221" i="43" s="1"/>
  <c r="BK221" i="43"/>
  <c r="BY221" i="43" s="1"/>
  <c r="BW221" i="43"/>
  <c r="BT221" i="43"/>
  <c r="BS221" i="43"/>
  <c r="W221" i="43"/>
  <c r="AG221" i="43" s="1"/>
  <c r="V221" i="43"/>
  <c r="AF221" i="43" s="1"/>
  <c r="BL220" i="43"/>
  <c r="BK220" i="43"/>
  <c r="BW220" i="43"/>
  <c r="AP220" i="43"/>
  <c r="W220" i="43"/>
  <c r="AG220" i="43" s="1"/>
  <c r="V220" i="43"/>
  <c r="AF220" i="43" s="1"/>
  <c r="BL218" i="43"/>
  <c r="BZ218" i="43" s="1"/>
  <c r="BK218" i="43"/>
  <c r="BY218" i="43" s="1"/>
  <c r="BW218" i="43"/>
  <c r="AP218" i="43"/>
  <c r="BT218" i="43" s="1"/>
  <c r="W218" i="43"/>
  <c r="AG218" i="43" s="1"/>
  <c r="V218" i="43"/>
  <c r="AF218" i="43" s="1"/>
  <c r="BL217" i="43"/>
  <c r="BZ217" i="43" s="1"/>
  <c r="BK217" i="43"/>
  <c r="BY217" i="43" s="1"/>
  <c r="BW217" i="43"/>
  <c r="AP217" i="43"/>
  <c r="BT217" i="43" s="1"/>
  <c r="W217" i="43"/>
  <c r="AG217" i="43" s="1"/>
  <c r="V217" i="43"/>
  <c r="AF217" i="43" s="1"/>
  <c r="BL216" i="43"/>
  <c r="BZ216" i="43" s="1"/>
  <c r="BK216" i="43"/>
  <c r="BY216" i="43" s="1"/>
  <c r="BW216" i="43"/>
  <c r="AP216" i="43"/>
  <c r="BT216" i="43" s="1"/>
  <c r="W216" i="43"/>
  <c r="AG216" i="43" s="1"/>
  <c r="V216" i="43"/>
  <c r="AF216" i="43" s="1"/>
  <c r="BL215" i="43"/>
  <c r="BZ215" i="43" s="1"/>
  <c r="BK215" i="43"/>
  <c r="BY215" i="43" s="1"/>
  <c r="BW215" i="43"/>
  <c r="BT215" i="43"/>
  <c r="BS215" i="43"/>
  <c r="W215" i="43"/>
  <c r="AG215" i="43" s="1"/>
  <c r="V215" i="43"/>
  <c r="AF215" i="43" s="1"/>
  <c r="BL214" i="43"/>
  <c r="BK214" i="43"/>
  <c r="BW214" i="43"/>
  <c r="AP214" i="43"/>
  <c r="W214" i="43"/>
  <c r="AG214" i="43" s="1"/>
  <c r="V214" i="43"/>
  <c r="AF214" i="43" s="1"/>
  <c r="BL212" i="43"/>
  <c r="BZ212" i="43" s="1"/>
  <c r="BK212" i="43"/>
  <c r="BY212" i="43" s="1"/>
  <c r="BW212" i="43"/>
  <c r="AP212" i="43"/>
  <c r="BT212" i="43" s="1"/>
  <c r="W212" i="43"/>
  <c r="AG212" i="43" s="1"/>
  <c r="V212" i="43"/>
  <c r="AF212" i="43" s="1"/>
  <c r="BL211" i="43"/>
  <c r="BZ211" i="43" s="1"/>
  <c r="BK211" i="43"/>
  <c r="BY211" i="43" s="1"/>
  <c r="BW211" i="43"/>
  <c r="AP211" i="43"/>
  <c r="BT211" i="43" s="1"/>
  <c r="W211" i="43"/>
  <c r="AG211" i="43" s="1"/>
  <c r="V211" i="43"/>
  <c r="AF211" i="43" s="1"/>
  <c r="BL210" i="43"/>
  <c r="BZ210" i="43" s="1"/>
  <c r="BK210" i="43"/>
  <c r="BY210" i="43" s="1"/>
  <c r="BW210" i="43"/>
  <c r="AP210" i="43"/>
  <c r="BT210" i="43" s="1"/>
  <c r="W210" i="43"/>
  <c r="AG210" i="43" s="1"/>
  <c r="V210" i="43"/>
  <c r="AF210" i="43" s="1"/>
  <c r="BL209" i="43"/>
  <c r="BZ209" i="43" s="1"/>
  <c r="BK209" i="43"/>
  <c r="BY209" i="43" s="1"/>
  <c r="BW209" i="43"/>
  <c r="AP209" i="43"/>
  <c r="BT209" i="43" s="1"/>
  <c r="W209" i="43"/>
  <c r="AG209" i="43" s="1"/>
  <c r="V209" i="43"/>
  <c r="AF209" i="43" s="1"/>
  <c r="BL208" i="43"/>
  <c r="BZ208" i="43" s="1"/>
  <c r="BK208" i="43"/>
  <c r="BY208" i="43" s="1"/>
  <c r="BW208" i="43"/>
  <c r="BT208" i="43"/>
  <c r="BS208" i="43"/>
  <c r="W208" i="43"/>
  <c r="AG208" i="43" s="1"/>
  <c r="V208" i="43"/>
  <c r="AF208" i="43" s="1"/>
  <c r="BL207" i="43"/>
  <c r="BK207" i="43"/>
  <c r="BW207" i="43"/>
  <c r="AP207" i="43"/>
  <c r="W207" i="43"/>
  <c r="AG207" i="43" s="1"/>
  <c r="V207" i="43"/>
  <c r="AF207" i="43" s="1"/>
  <c r="BL205" i="43"/>
  <c r="BZ205" i="43" s="1"/>
  <c r="BK205" i="43"/>
  <c r="BY205" i="43" s="1"/>
  <c r="BW205" i="43"/>
  <c r="AP205" i="43"/>
  <c r="BT205" i="43" s="1"/>
  <c r="W205" i="43"/>
  <c r="AG205" i="43" s="1"/>
  <c r="V205" i="43"/>
  <c r="AF205" i="43" s="1"/>
  <c r="BL204" i="43"/>
  <c r="BZ204" i="43" s="1"/>
  <c r="BK204" i="43"/>
  <c r="BY204" i="43" s="1"/>
  <c r="BW204" i="43"/>
  <c r="AP204" i="43"/>
  <c r="BT204" i="43" s="1"/>
  <c r="W204" i="43"/>
  <c r="AG204" i="43" s="1"/>
  <c r="V204" i="43"/>
  <c r="AF204" i="43" s="1"/>
  <c r="BL203" i="43"/>
  <c r="BZ203" i="43" s="1"/>
  <c r="BK203" i="43"/>
  <c r="BY203" i="43" s="1"/>
  <c r="BW203" i="43"/>
  <c r="AP203" i="43"/>
  <c r="BT203" i="43" s="1"/>
  <c r="W203" i="43"/>
  <c r="AG203" i="43" s="1"/>
  <c r="V203" i="43"/>
  <c r="AF203" i="43" s="1"/>
  <c r="BL202" i="43"/>
  <c r="BZ202" i="43" s="1"/>
  <c r="BK202" i="43"/>
  <c r="BY202" i="43" s="1"/>
  <c r="BW202" i="43"/>
  <c r="BT202" i="43"/>
  <c r="BS202" i="43"/>
  <c r="W202" i="43"/>
  <c r="AG202" i="43" s="1"/>
  <c r="V202" i="43"/>
  <c r="AF202" i="43" s="1"/>
  <c r="BL201" i="43"/>
  <c r="BK201" i="43"/>
  <c r="BW201" i="43"/>
  <c r="AP201" i="43"/>
  <c r="W201" i="43"/>
  <c r="AG201" i="43" s="1"/>
  <c r="V201" i="43"/>
  <c r="AF201" i="43" s="1"/>
  <c r="BL199" i="43"/>
  <c r="BZ199" i="43" s="1"/>
  <c r="BK199" i="43"/>
  <c r="BY199" i="43" s="1"/>
  <c r="BW199" i="43"/>
  <c r="AP199" i="43"/>
  <c r="BT199" i="43" s="1"/>
  <c r="W199" i="43"/>
  <c r="AG199" i="43" s="1"/>
  <c r="V199" i="43"/>
  <c r="AF199" i="43" s="1"/>
  <c r="BL198" i="43"/>
  <c r="BZ198" i="43" s="1"/>
  <c r="BK198" i="43"/>
  <c r="BY198" i="43" s="1"/>
  <c r="BW198" i="43"/>
  <c r="AP198" i="43"/>
  <c r="BT198" i="43" s="1"/>
  <c r="W198" i="43"/>
  <c r="AG198" i="43" s="1"/>
  <c r="V198" i="43"/>
  <c r="AF198" i="43" s="1"/>
  <c r="BL197" i="43"/>
  <c r="BZ197" i="43" s="1"/>
  <c r="BK197" i="43"/>
  <c r="BY197" i="43" s="1"/>
  <c r="BW197" i="43"/>
  <c r="AP197" i="43"/>
  <c r="BT197" i="43" s="1"/>
  <c r="W197" i="43"/>
  <c r="AG197" i="43" s="1"/>
  <c r="V197" i="43"/>
  <c r="AF197" i="43" s="1"/>
  <c r="BL196" i="43"/>
  <c r="BZ196" i="43" s="1"/>
  <c r="BK196" i="43"/>
  <c r="BY196" i="43" s="1"/>
  <c r="BW196" i="43"/>
  <c r="BT196" i="43"/>
  <c r="BS196" i="43"/>
  <c r="W196" i="43"/>
  <c r="AG196" i="43" s="1"/>
  <c r="V196" i="43"/>
  <c r="AF196" i="43" s="1"/>
  <c r="BL195" i="43"/>
  <c r="BK195" i="43"/>
  <c r="BW195" i="43"/>
  <c r="AP195" i="43"/>
  <c r="W195" i="43"/>
  <c r="AG195" i="43" s="1"/>
  <c r="V195" i="43"/>
  <c r="AF195" i="43" s="1"/>
  <c r="BL193" i="43"/>
  <c r="BZ193" i="43" s="1"/>
  <c r="BK193" i="43"/>
  <c r="BY193" i="43" s="1"/>
  <c r="BW193" i="43"/>
  <c r="AP193" i="43"/>
  <c r="BT193" i="43" s="1"/>
  <c r="W193" i="43"/>
  <c r="AG193" i="43" s="1"/>
  <c r="V193" i="43"/>
  <c r="AF193" i="43" s="1"/>
  <c r="BL192" i="43"/>
  <c r="BZ192" i="43" s="1"/>
  <c r="BK192" i="43"/>
  <c r="BY192" i="43" s="1"/>
  <c r="BW192" i="43"/>
  <c r="AP192" i="43"/>
  <c r="BT192" i="43" s="1"/>
  <c r="W192" i="43"/>
  <c r="AG192" i="43" s="1"/>
  <c r="V192" i="43"/>
  <c r="AF192" i="43" s="1"/>
  <c r="BL191" i="43"/>
  <c r="BZ191" i="43" s="1"/>
  <c r="BK191" i="43"/>
  <c r="BY191" i="43" s="1"/>
  <c r="BW191" i="43"/>
  <c r="AP191" i="43"/>
  <c r="BT191" i="43" s="1"/>
  <c r="W191" i="43"/>
  <c r="AG191" i="43" s="1"/>
  <c r="V191" i="43"/>
  <c r="AF191" i="43" s="1"/>
  <c r="BL190" i="43"/>
  <c r="BZ190" i="43" s="1"/>
  <c r="BK190" i="43"/>
  <c r="BY190" i="43" s="1"/>
  <c r="BW190" i="43"/>
  <c r="AP190" i="43"/>
  <c r="BT190" i="43" s="1"/>
  <c r="W190" i="43"/>
  <c r="AG190" i="43" s="1"/>
  <c r="V190" i="43"/>
  <c r="AF190" i="43" s="1"/>
  <c r="BL189" i="43"/>
  <c r="BZ189" i="43" s="1"/>
  <c r="BK189" i="43"/>
  <c r="BY189" i="43" s="1"/>
  <c r="BW189" i="43"/>
  <c r="BT189" i="43"/>
  <c r="BS189" i="43"/>
  <c r="W189" i="43"/>
  <c r="AG189" i="43" s="1"/>
  <c r="V189" i="43"/>
  <c r="AF189" i="43" s="1"/>
  <c r="BL188" i="43"/>
  <c r="BK188" i="43"/>
  <c r="BW188" i="43"/>
  <c r="AP188" i="43"/>
  <c r="W188" i="43"/>
  <c r="AG188" i="43" s="1"/>
  <c r="V188" i="43"/>
  <c r="AF188" i="43" s="1"/>
  <c r="BL186" i="43"/>
  <c r="BZ186" i="43" s="1"/>
  <c r="BK186" i="43"/>
  <c r="BY186" i="43" s="1"/>
  <c r="BW186" i="43"/>
  <c r="AP186" i="43"/>
  <c r="BT186" i="43" s="1"/>
  <c r="W186" i="43"/>
  <c r="AG186" i="43" s="1"/>
  <c r="V186" i="43"/>
  <c r="AF186" i="43" s="1"/>
  <c r="BL185" i="43"/>
  <c r="BZ185" i="43" s="1"/>
  <c r="BK185" i="43"/>
  <c r="BY185" i="43" s="1"/>
  <c r="BW185" i="43"/>
  <c r="AP185" i="43"/>
  <c r="BT185" i="43" s="1"/>
  <c r="W185" i="43"/>
  <c r="AG185" i="43" s="1"/>
  <c r="V185" i="43"/>
  <c r="AF185" i="43" s="1"/>
  <c r="BL184" i="43"/>
  <c r="BZ184" i="43" s="1"/>
  <c r="BK184" i="43"/>
  <c r="BY184" i="43" s="1"/>
  <c r="BW184" i="43"/>
  <c r="AP184" i="43"/>
  <c r="BT184" i="43" s="1"/>
  <c r="W184" i="43"/>
  <c r="AG184" i="43" s="1"/>
  <c r="V184" i="43"/>
  <c r="AF184" i="43" s="1"/>
  <c r="BL183" i="43"/>
  <c r="BZ183" i="43" s="1"/>
  <c r="BK183" i="43"/>
  <c r="BY183" i="43" s="1"/>
  <c r="BW183" i="43"/>
  <c r="BT183" i="43"/>
  <c r="BS183" i="43"/>
  <c r="W183" i="43"/>
  <c r="AG183" i="43" s="1"/>
  <c r="V183" i="43"/>
  <c r="AF183" i="43" s="1"/>
  <c r="BL182" i="43"/>
  <c r="BZ182" i="43" s="1"/>
  <c r="BK182" i="43"/>
  <c r="BY182" i="43" s="1"/>
  <c r="BW182" i="43"/>
  <c r="AP182" i="43"/>
  <c r="BT182" i="43" s="1"/>
  <c r="W182" i="43"/>
  <c r="AG182" i="43" s="1"/>
  <c r="V182" i="43"/>
  <c r="AF182" i="43" s="1"/>
  <c r="BL181" i="43"/>
  <c r="BK181" i="43"/>
  <c r="BW181" i="43"/>
  <c r="AP181" i="43"/>
  <c r="W181" i="43"/>
  <c r="AG181" i="43" s="1"/>
  <c r="V181" i="43"/>
  <c r="AF181" i="43" s="1"/>
  <c r="BL179" i="43"/>
  <c r="BZ179" i="43" s="1"/>
  <c r="BK179" i="43"/>
  <c r="BY179" i="43" s="1"/>
  <c r="BW179" i="43"/>
  <c r="AP179" i="43"/>
  <c r="BT179" i="43" s="1"/>
  <c r="W179" i="43"/>
  <c r="AG179" i="43" s="1"/>
  <c r="V179" i="43"/>
  <c r="AF179" i="43" s="1"/>
  <c r="BL178" i="43"/>
  <c r="BZ178" i="43" s="1"/>
  <c r="BK178" i="43"/>
  <c r="BY178" i="43" s="1"/>
  <c r="BW178" i="43"/>
  <c r="AP178" i="43"/>
  <c r="BT178" i="43" s="1"/>
  <c r="W178" i="43"/>
  <c r="AG178" i="43" s="1"/>
  <c r="V178" i="43"/>
  <c r="AF178" i="43" s="1"/>
  <c r="BL177" i="43"/>
  <c r="BZ177" i="43" s="1"/>
  <c r="BK177" i="43"/>
  <c r="BY177" i="43" s="1"/>
  <c r="BW177" i="43"/>
  <c r="AP177" i="43"/>
  <c r="BT177" i="43" s="1"/>
  <c r="W177" i="43"/>
  <c r="AG177" i="43" s="1"/>
  <c r="V177" i="43"/>
  <c r="AF177" i="43" s="1"/>
  <c r="BL176" i="43"/>
  <c r="BZ176" i="43" s="1"/>
  <c r="BK176" i="43"/>
  <c r="BY176" i="43" s="1"/>
  <c r="BW176" i="43"/>
  <c r="BT176" i="43"/>
  <c r="BS176" i="43"/>
  <c r="W176" i="43"/>
  <c r="AG176" i="43" s="1"/>
  <c r="V176" i="43"/>
  <c r="AF176" i="43" s="1"/>
  <c r="BL175" i="43"/>
  <c r="BK175" i="43"/>
  <c r="BW175" i="43"/>
  <c r="AP175" i="43"/>
  <c r="W175" i="43"/>
  <c r="AG175" i="43" s="1"/>
  <c r="V175" i="43"/>
  <c r="AF175" i="43" s="1"/>
  <c r="BL173" i="43"/>
  <c r="BZ173" i="43" s="1"/>
  <c r="BK173" i="43"/>
  <c r="BY173" i="43" s="1"/>
  <c r="BW173" i="43"/>
  <c r="AP173" i="43"/>
  <c r="BT173" i="43" s="1"/>
  <c r="W173" i="43"/>
  <c r="AG173" i="43" s="1"/>
  <c r="V173" i="43"/>
  <c r="AF173" i="43" s="1"/>
  <c r="BL172" i="43"/>
  <c r="BZ172" i="43" s="1"/>
  <c r="BK172" i="43"/>
  <c r="BY172" i="43" s="1"/>
  <c r="BW172" i="43"/>
  <c r="AP172" i="43"/>
  <c r="BT172" i="43" s="1"/>
  <c r="W172" i="43"/>
  <c r="AG172" i="43" s="1"/>
  <c r="V172" i="43"/>
  <c r="AF172" i="43" s="1"/>
  <c r="BL171" i="43"/>
  <c r="BZ171" i="43" s="1"/>
  <c r="BK171" i="43"/>
  <c r="BY171" i="43" s="1"/>
  <c r="BW171" i="43"/>
  <c r="AP171" i="43"/>
  <c r="BT171" i="43" s="1"/>
  <c r="W171" i="43"/>
  <c r="AG171" i="43" s="1"/>
  <c r="V171" i="43"/>
  <c r="AF171" i="43" s="1"/>
  <c r="BL170" i="43"/>
  <c r="BZ170" i="43" s="1"/>
  <c r="BK170" i="43"/>
  <c r="BY170" i="43" s="1"/>
  <c r="BW170" i="43"/>
  <c r="BT170" i="43"/>
  <c r="BS170" i="43"/>
  <c r="W170" i="43"/>
  <c r="AG170" i="43" s="1"/>
  <c r="V170" i="43"/>
  <c r="AF170" i="43" s="1"/>
  <c r="BL169" i="43"/>
  <c r="BK169" i="43"/>
  <c r="BW169" i="43"/>
  <c r="AP169" i="43"/>
  <c r="W169" i="43"/>
  <c r="AG169" i="43" s="1"/>
  <c r="V169" i="43"/>
  <c r="AF169" i="43" s="1"/>
  <c r="BL167" i="43"/>
  <c r="BZ167" i="43" s="1"/>
  <c r="BK167" i="43"/>
  <c r="BY167" i="43" s="1"/>
  <c r="BW167" i="43"/>
  <c r="AP167" i="43"/>
  <c r="BT167" i="43" s="1"/>
  <c r="W167" i="43"/>
  <c r="AG167" i="43" s="1"/>
  <c r="V167" i="43"/>
  <c r="AF167" i="43" s="1"/>
  <c r="BL166" i="43"/>
  <c r="BZ166" i="43" s="1"/>
  <c r="BK166" i="43"/>
  <c r="BY166" i="43" s="1"/>
  <c r="BW166" i="43"/>
  <c r="AP166" i="43"/>
  <c r="BT166" i="43" s="1"/>
  <c r="W166" i="43"/>
  <c r="AG166" i="43" s="1"/>
  <c r="V166" i="43"/>
  <c r="AF166" i="43" s="1"/>
  <c r="BL165" i="43"/>
  <c r="BZ165" i="43" s="1"/>
  <c r="BK165" i="43"/>
  <c r="BY165" i="43" s="1"/>
  <c r="BW165" i="43"/>
  <c r="AP165" i="43"/>
  <c r="BT165" i="43" s="1"/>
  <c r="W165" i="43"/>
  <c r="AG165" i="43" s="1"/>
  <c r="V165" i="43"/>
  <c r="AF165" i="43" s="1"/>
  <c r="BL164" i="43"/>
  <c r="BZ164" i="43" s="1"/>
  <c r="BK164" i="43"/>
  <c r="BY164" i="43" s="1"/>
  <c r="BW164" i="43"/>
  <c r="BT164" i="43"/>
  <c r="BS164" i="43"/>
  <c r="W164" i="43"/>
  <c r="AG164" i="43" s="1"/>
  <c r="V164" i="43"/>
  <c r="AF164" i="43" s="1"/>
  <c r="BL163" i="43"/>
  <c r="BK163" i="43"/>
  <c r="BW163" i="43"/>
  <c r="AP163" i="43"/>
  <c r="W163" i="43"/>
  <c r="AG163" i="43" s="1"/>
  <c r="V163" i="43"/>
  <c r="AF163" i="43" s="1"/>
  <c r="BL161" i="43"/>
  <c r="BZ161" i="43" s="1"/>
  <c r="BK161" i="43"/>
  <c r="BY161" i="43" s="1"/>
  <c r="BW161" i="43"/>
  <c r="AP161" i="43"/>
  <c r="BT161" i="43" s="1"/>
  <c r="W161" i="43"/>
  <c r="AG161" i="43" s="1"/>
  <c r="V161" i="43"/>
  <c r="AF161" i="43" s="1"/>
  <c r="BL160" i="43"/>
  <c r="BZ160" i="43" s="1"/>
  <c r="BK160" i="43"/>
  <c r="BY160" i="43" s="1"/>
  <c r="BW160" i="43"/>
  <c r="AP160" i="43"/>
  <c r="BT160" i="43" s="1"/>
  <c r="W160" i="43"/>
  <c r="AG160" i="43" s="1"/>
  <c r="V160" i="43"/>
  <c r="AF160" i="43" s="1"/>
  <c r="BL159" i="43"/>
  <c r="BZ159" i="43" s="1"/>
  <c r="BK159" i="43"/>
  <c r="BY159" i="43" s="1"/>
  <c r="BW159" i="43"/>
  <c r="BT159" i="43"/>
  <c r="BS159" i="43"/>
  <c r="W159" i="43"/>
  <c r="AG159" i="43" s="1"/>
  <c r="V159" i="43"/>
  <c r="AF159" i="43" s="1"/>
  <c r="BL158" i="43"/>
  <c r="BK158" i="43"/>
  <c r="BW158" i="43"/>
  <c r="AP158" i="43"/>
  <c r="W158" i="43"/>
  <c r="AG158" i="43" s="1"/>
  <c r="V158" i="43"/>
  <c r="AF158" i="43" s="1"/>
  <c r="BL156" i="43"/>
  <c r="BZ156" i="43" s="1"/>
  <c r="BK156" i="43"/>
  <c r="BY156" i="43" s="1"/>
  <c r="BW156" i="43"/>
  <c r="AP156" i="43"/>
  <c r="BT156" i="43" s="1"/>
  <c r="W156" i="43"/>
  <c r="AG156" i="43" s="1"/>
  <c r="V156" i="43"/>
  <c r="AF156" i="43" s="1"/>
  <c r="BL155" i="43"/>
  <c r="BZ155" i="43" s="1"/>
  <c r="BK155" i="43"/>
  <c r="BY155" i="43" s="1"/>
  <c r="BW155" i="43"/>
  <c r="AP155" i="43"/>
  <c r="BT155" i="43" s="1"/>
  <c r="W155" i="43"/>
  <c r="AG155" i="43" s="1"/>
  <c r="V155" i="43"/>
  <c r="AF155" i="43" s="1"/>
  <c r="BL154" i="43"/>
  <c r="BZ154" i="43" s="1"/>
  <c r="BK154" i="43"/>
  <c r="BY154" i="43" s="1"/>
  <c r="BW154" i="43"/>
  <c r="AP154" i="43"/>
  <c r="BT154" i="43" s="1"/>
  <c r="W154" i="43"/>
  <c r="AG154" i="43" s="1"/>
  <c r="V154" i="43"/>
  <c r="AF154" i="43" s="1"/>
  <c r="BL153" i="43"/>
  <c r="BZ153" i="43" s="1"/>
  <c r="BK153" i="43"/>
  <c r="BY153" i="43" s="1"/>
  <c r="BW153" i="43"/>
  <c r="BT153" i="43"/>
  <c r="BS153" i="43"/>
  <c r="W153" i="43"/>
  <c r="AG153" i="43" s="1"/>
  <c r="V153" i="43"/>
  <c r="AF153" i="43" s="1"/>
  <c r="BL152" i="43"/>
  <c r="BK152" i="43"/>
  <c r="BW152" i="43"/>
  <c r="AP152" i="43"/>
  <c r="W152" i="43"/>
  <c r="AG152" i="43" s="1"/>
  <c r="V152" i="43"/>
  <c r="AF152" i="43" s="1"/>
  <c r="BL150" i="43"/>
  <c r="BZ150" i="43" s="1"/>
  <c r="BK150" i="43"/>
  <c r="BY150" i="43" s="1"/>
  <c r="BW150" i="43"/>
  <c r="AP150" i="43"/>
  <c r="BT150" i="43" s="1"/>
  <c r="W150" i="43"/>
  <c r="AG150" i="43" s="1"/>
  <c r="V150" i="43"/>
  <c r="AF150" i="43" s="1"/>
  <c r="BL149" i="43"/>
  <c r="BZ149" i="43" s="1"/>
  <c r="BK149" i="43"/>
  <c r="BY149" i="43" s="1"/>
  <c r="BW149" i="43"/>
  <c r="AP149" i="43"/>
  <c r="BT149" i="43" s="1"/>
  <c r="W149" i="43"/>
  <c r="AG149" i="43" s="1"/>
  <c r="V149" i="43"/>
  <c r="AF149" i="43" s="1"/>
  <c r="BL148" i="43"/>
  <c r="BZ148" i="43" s="1"/>
  <c r="BK148" i="43"/>
  <c r="BY148" i="43" s="1"/>
  <c r="BW148" i="43"/>
  <c r="AP148" i="43"/>
  <c r="BT148" i="43" s="1"/>
  <c r="W148" i="43"/>
  <c r="AG148" i="43" s="1"/>
  <c r="V148" i="43"/>
  <c r="AF148" i="43" s="1"/>
  <c r="BL147" i="43"/>
  <c r="BZ147" i="43" s="1"/>
  <c r="BK147" i="43"/>
  <c r="BY147" i="43" s="1"/>
  <c r="BW147" i="43"/>
  <c r="BT147" i="43"/>
  <c r="BS147" i="43"/>
  <c r="W147" i="43"/>
  <c r="AG147" i="43" s="1"/>
  <c r="V147" i="43"/>
  <c r="AF147" i="43" s="1"/>
  <c r="BL146" i="43"/>
  <c r="BK146" i="43"/>
  <c r="BW146" i="43"/>
  <c r="AP146" i="43"/>
  <c r="W146" i="43"/>
  <c r="AG146" i="43" s="1"/>
  <c r="V146" i="43"/>
  <c r="AF146" i="43" s="1"/>
  <c r="BL144" i="43"/>
  <c r="BZ144" i="43" s="1"/>
  <c r="BK144" i="43"/>
  <c r="BY144" i="43" s="1"/>
  <c r="BW144" i="43"/>
  <c r="AP144" i="43"/>
  <c r="BT144" i="43" s="1"/>
  <c r="W144" i="43"/>
  <c r="AG144" i="43" s="1"/>
  <c r="V144" i="43"/>
  <c r="AF144" i="43" s="1"/>
  <c r="BL143" i="43"/>
  <c r="BZ143" i="43" s="1"/>
  <c r="BK143" i="43"/>
  <c r="BY143" i="43" s="1"/>
  <c r="BW143" i="43"/>
  <c r="AP143" i="43"/>
  <c r="BT143" i="43" s="1"/>
  <c r="W143" i="43"/>
  <c r="AG143" i="43" s="1"/>
  <c r="V143" i="43"/>
  <c r="AF143" i="43" s="1"/>
  <c r="BL142" i="43"/>
  <c r="BZ142" i="43" s="1"/>
  <c r="BK142" i="43"/>
  <c r="BY142" i="43" s="1"/>
  <c r="BW142" i="43"/>
  <c r="AP142" i="43"/>
  <c r="BT142" i="43" s="1"/>
  <c r="W142" i="43"/>
  <c r="AG142" i="43" s="1"/>
  <c r="V142" i="43"/>
  <c r="AF142" i="43" s="1"/>
  <c r="BL141" i="43"/>
  <c r="BZ141" i="43" s="1"/>
  <c r="BK141" i="43"/>
  <c r="BY141" i="43" s="1"/>
  <c r="BW141" i="43"/>
  <c r="BT141" i="43"/>
  <c r="BS141" i="43"/>
  <c r="W141" i="43"/>
  <c r="AG141" i="43" s="1"/>
  <c r="V141" i="43"/>
  <c r="AF141" i="43" s="1"/>
  <c r="BL140" i="43"/>
  <c r="BK140" i="43"/>
  <c r="BW140" i="43"/>
  <c r="AP140" i="43"/>
  <c r="W140" i="43"/>
  <c r="AG140" i="43" s="1"/>
  <c r="V140" i="43"/>
  <c r="AF140" i="43" s="1"/>
  <c r="BL138" i="43"/>
  <c r="BZ138" i="43" s="1"/>
  <c r="BK138" i="43"/>
  <c r="BY138" i="43" s="1"/>
  <c r="BW138" i="43"/>
  <c r="AP138" i="43"/>
  <c r="BT138" i="43" s="1"/>
  <c r="W138" i="43"/>
  <c r="AG138" i="43" s="1"/>
  <c r="V138" i="43"/>
  <c r="AF138" i="43" s="1"/>
  <c r="BL137" i="43"/>
  <c r="BZ137" i="43" s="1"/>
  <c r="BK137" i="43"/>
  <c r="BY137" i="43" s="1"/>
  <c r="BW137" i="43"/>
  <c r="AP137" i="43"/>
  <c r="BT137" i="43" s="1"/>
  <c r="W137" i="43"/>
  <c r="AG137" i="43" s="1"/>
  <c r="V137" i="43"/>
  <c r="AF137" i="43" s="1"/>
  <c r="BL136" i="43"/>
  <c r="BZ136" i="43" s="1"/>
  <c r="BK136" i="43"/>
  <c r="BY136" i="43" s="1"/>
  <c r="BW136" i="43"/>
  <c r="AP136" i="43"/>
  <c r="BT136" i="43" s="1"/>
  <c r="W136" i="43"/>
  <c r="AG136" i="43" s="1"/>
  <c r="V136" i="43"/>
  <c r="AF136" i="43" s="1"/>
  <c r="BL135" i="43"/>
  <c r="BZ135" i="43" s="1"/>
  <c r="BK135" i="43"/>
  <c r="BY135" i="43" s="1"/>
  <c r="BW135" i="43"/>
  <c r="AP135" i="43"/>
  <c r="BT135" i="43" s="1"/>
  <c r="W135" i="43"/>
  <c r="AG135" i="43" s="1"/>
  <c r="V135" i="43"/>
  <c r="AF135" i="43" s="1"/>
  <c r="BL134" i="43"/>
  <c r="BZ134" i="43" s="1"/>
  <c r="BK134" i="43"/>
  <c r="BY134" i="43" s="1"/>
  <c r="BW134" i="43"/>
  <c r="BT134" i="43"/>
  <c r="BS134" i="43"/>
  <c r="W134" i="43"/>
  <c r="AG134" i="43" s="1"/>
  <c r="V134" i="43"/>
  <c r="AF134" i="43" s="1"/>
  <c r="BL133" i="43"/>
  <c r="BK133" i="43"/>
  <c r="BW133" i="43"/>
  <c r="AP133" i="43"/>
  <c r="W133" i="43"/>
  <c r="AG133" i="43" s="1"/>
  <c r="V133" i="43"/>
  <c r="AF133" i="43" s="1"/>
  <c r="BL131" i="43"/>
  <c r="BZ131" i="43" s="1"/>
  <c r="BK131" i="43"/>
  <c r="BY131" i="43" s="1"/>
  <c r="BW131" i="43"/>
  <c r="AP131" i="43"/>
  <c r="BT131" i="43" s="1"/>
  <c r="W131" i="43"/>
  <c r="AG131" i="43" s="1"/>
  <c r="V131" i="43"/>
  <c r="AF131" i="43" s="1"/>
  <c r="BL130" i="43"/>
  <c r="BZ130" i="43" s="1"/>
  <c r="BK130" i="43"/>
  <c r="BY130" i="43" s="1"/>
  <c r="BW130" i="43"/>
  <c r="AP130" i="43"/>
  <c r="BT130" i="43" s="1"/>
  <c r="W130" i="43"/>
  <c r="AG130" i="43" s="1"/>
  <c r="V130" i="43"/>
  <c r="AF130" i="43" s="1"/>
  <c r="BL129" i="43"/>
  <c r="BZ129" i="43" s="1"/>
  <c r="BK129" i="43"/>
  <c r="BY129" i="43" s="1"/>
  <c r="BW129" i="43"/>
  <c r="AP129" i="43"/>
  <c r="BT129" i="43" s="1"/>
  <c r="W129" i="43"/>
  <c r="AG129" i="43" s="1"/>
  <c r="V129" i="43"/>
  <c r="AF129" i="43" s="1"/>
  <c r="BL128" i="43"/>
  <c r="BZ128" i="43" s="1"/>
  <c r="BK128" i="43"/>
  <c r="BY128" i="43" s="1"/>
  <c r="BW128" i="43"/>
  <c r="BT128" i="43"/>
  <c r="BS128" i="43"/>
  <c r="W128" i="43"/>
  <c r="AG128" i="43" s="1"/>
  <c r="V128" i="43"/>
  <c r="AF128" i="43" s="1"/>
  <c r="BL127" i="43"/>
  <c r="BZ127" i="43" s="1"/>
  <c r="BK127" i="43"/>
  <c r="BY127" i="43" s="1"/>
  <c r="BW127" i="43"/>
  <c r="AP127" i="43"/>
  <c r="BT127" i="43" s="1"/>
  <c r="W127" i="43"/>
  <c r="AG127" i="43" s="1"/>
  <c r="V127" i="43"/>
  <c r="AF127" i="43" s="1"/>
  <c r="BL126" i="43"/>
  <c r="BK126" i="43"/>
  <c r="BW126" i="43"/>
  <c r="AP126" i="43"/>
  <c r="W126" i="43"/>
  <c r="AG126" i="43" s="1"/>
  <c r="V126" i="43"/>
  <c r="AF126" i="43" s="1"/>
  <c r="BL124" i="43"/>
  <c r="BZ124" i="43" s="1"/>
  <c r="BK124" i="43"/>
  <c r="BY124" i="43" s="1"/>
  <c r="BW124" i="43"/>
  <c r="AP124" i="43"/>
  <c r="BT124" i="43" s="1"/>
  <c r="W124" i="43"/>
  <c r="AG124" i="43" s="1"/>
  <c r="V124" i="43"/>
  <c r="AF124" i="43" s="1"/>
  <c r="BL123" i="43"/>
  <c r="BZ123" i="43" s="1"/>
  <c r="BK123" i="43"/>
  <c r="BY123" i="43" s="1"/>
  <c r="BW123" i="43"/>
  <c r="BT123" i="43"/>
  <c r="BS123" i="43"/>
  <c r="W123" i="43"/>
  <c r="AG123" i="43" s="1"/>
  <c r="V123" i="43"/>
  <c r="AF123" i="43" s="1"/>
  <c r="BL122" i="43"/>
  <c r="BZ122" i="43" s="1"/>
  <c r="BK122" i="43"/>
  <c r="BY122" i="43" s="1"/>
  <c r="BW122" i="43"/>
  <c r="AP122" i="43"/>
  <c r="BT122" i="43" s="1"/>
  <c r="W122" i="43"/>
  <c r="AG122" i="43" s="1"/>
  <c r="V122" i="43"/>
  <c r="AF122" i="43" s="1"/>
  <c r="BL121" i="43"/>
  <c r="BK121" i="43"/>
  <c r="BW121" i="43"/>
  <c r="AP121" i="43"/>
  <c r="W121" i="43"/>
  <c r="AG121" i="43" s="1"/>
  <c r="V121" i="43"/>
  <c r="AF121" i="43" s="1"/>
  <c r="BL119" i="43"/>
  <c r="BZ119" i="43" s="1"/>
  <c r="BK119" i="43"/>
  <c r="BY119" i="43" s="1"/>
  <c r="BW119" i="43"/>
  <c r="AP119" i="43"/>
  <c r="BT119" i="43" s="1"/>
  <c r="W119" i="43"/>
  <c r="AG119" i="43" s="1"/>
  <c r="V119" i="43"/>
  <c r="AF119" i="43" s="1"/>
  <c r="BL118" i="43"/>
  <c r="BZ118" i="43" s="1"/>
  <c r="BK118" i="43"/>
  <c r="BY118" i="43" s="1"/>
  <c r="BW118" i="43"/>
  <c r="BT118" i="43"/>
  <c r="BS118" i="43"/>
  <c r="W118" i="43"/>
  <c r="AG118" i="43" s="1"/>
  <c r="V118" i="43"/>
  <c r="AF118" i="43" s="1"/>
  <c r="BL117" i="43"/>
  <c r="BK117" i="43"/>
  <c r="BW117" i="43"/>
  <c r="AP117" i="43"/>
  <c r="W117" i="43"/>
  <c r="AG117" i="43" s="1"/>
  <c r="V117" i="43"/>
  <c r="AF117" i="43" s="1"/>
  <c r="BL115" i="43"/>
  <c r="BZ115" i="43" s="1"/>
  <c r="BK115" i="43"/>
  <c r="BY115" i="43" s="1"/>
  <c r="BW115" i="43"/>
  <c r="AP115" i="43"/>
  <c r="BT115" i="43" s="1"/>
  <c r="W115" i="43"/>
  <c r="AG115" i="43" s="1"/>
  <c r="V115" i="43"/>
  <c r="AF115" i="43" s="1"/>
  <c r="BL114" i="43"/>
  <c r="BK114" i="43"/>
  <c r="BW114" i="43"/>
  <c r="AP114" i="43"/>
  <c r="W114" i="43"/>
  <c r="AG114" i="43" s="1"/>
  <c r="V114" i="43"/>
  <c r="AF114" i="43" s="1"/>
  <c r="BL112" i="43"/>
  <c r="BZ112" i="43" s="1"/>
  <c r="BK112" i="43"/>
  <c r="BY112" i="43" s="1"/>
  <c r="BW112" i="43"/>
  <c r="AP112" i="43"/>
  <c r="BT112" i="43" s="1"/>
  <c r="W112" i="43"/>
  <c r="AG112" i="43" s="1"/>
  <c r="V112" i="43"/>
  <c r="AF112" i="43" s="1"/>
  <c r="BL111" i="43"/>
  <c r="BZ111" i="43" s="1"/>
  <c r="BK111" i="43"/>
  <c r="BY111" i="43" s="1"/>
  <c r="BW111" i="43"/>
  <c r="AP111" i="43"/>
  <c r="BT111" i="43" s="1"/>
  <c r="W111" i="43"/>
  <c r="AG111" i="43" s="1"/>
  <c r="V111" i="43"/>
  <c r="AF111" i="43" s="1"/>
  <c r="BL110" i="43"/>
  <c r="BK110" i="43"/>
  <c r="BW110" i="43"/>
  <c r="AP110" i="43"/>
  <c r="W110" i="43"/>
  <c r="AG110" i="43" s="1"/>
  <c r="AG113" i="43" s="1"/>
  <c r="V110" i="43"/>
  <c r="AF110" i="43" s="1"/>
  <c r="BL108" i="43"/>
  <c r="BZ108" i="43" s="1"/>
  <c r="BK108" i="43"/>
  <c r="BY108" i="43" s="1"/>
  <c r="BW108" i="43"/>
  <c r="AP108" i="43"/>
  <c r="BT108" i="43" s="1"/>
  <c r="W108" i="43"/>
  <c r="AG108" i="43" s="1"/>
  <c r="V108" i="43"/>
  <c r="AF108" i="43" s="1"/>
  <c r="BL107" i="43"/>
  <c r="BZ107" i="43" s="1"/>
  <c r="BK107" i="43"/>
  <c r="BY107" i="43" s="1"/>
  <c r="BW107" i="43"/>
  <c r="BT107" i="43"/>
  <c r="BS107" i="43"/>
  <c r="W107" i="43"/>
  <c r="AG107" i="43" s="1"/>
  <c r="V107" i="43"/>
  <c r="AF107" i="43" s="1"/>
  <c r="BL106" i="43"/>
  <c r="BK106" i="43"/>
  <c r="BW106" i="43"/>
  <c r="AP106" i="43"/>
  <c r="W106" i="43"/>
  <c r="AG106" i="43" s="1"/>
  <c r="V106" i="43"/>
  <c r="AF106" i="43" s="1"/>
  <c r="BL104" i="43"/>
  <c r="BZ104" i="43" s="1"/>
  <c r="BK104" i="43"/>
  <c r="BY104" i="43" s="1"/>
  <c r="BW104" i="43"/>
  <c r="AP104" i="43"/>
  <c r="BT104" i="43" s="1"/>
  <c r="W104" i="43"/>
  <c r="AG104" i="43" s="1"/>
  <c r="V104" i="43"/>
  <c r="AF104" i="43" s="1"/>
  <c r="BL103" i="43"/>
  <c r="BK103" i="43"/>
  <c r="BW103" i="43"/>
  <c r="AP103" i="43"/>
  <c r="W103" i="43"/>
  <c r="AG103" i="43" s="1"/>
  <c r="V103" i="43"/>
  <c r="AF103" i="43" s="1"/>
  <c r="BL101" i="43"/>
  <c r="BZ101" i="43" s="1"/>
  <c r="BK101" i="43"/>
  <c r="BY101" i="43" s="1"/>
  <c r="BW101" i="43"/>
  <c r="AP101" i="43"/>
  <c r="BT101" i="43" s="1"/>
  <c r="W101" i="43"/>
  <c r="AG101" i="43" s="1"/>
  <c r="V101" i="43"/>
  <c r="AF101" i="43" s="1"/>
  <c r="BL100" i="43"/>
  <c r="BZ100" i="43" s="1"/>
  <c r="BK100" i="43"/>
  <c r="BY100" i="43" s="1"/>
  <c r="BW100" i="43"/>
  <c r="BT100" i="43"/>
  <c r="BS100" i="43"/>
  <c r="W100" i="43"/>
  <c r="AG100" i="43" s="1"/>
  <c r="V100" i="43"/>
  <c r="AF100" i="43" s="1"/>
  <c r="BL99" i="43"/>
  <c r="BK99" i="43"/>
  <c r="BW99" i="43"/>
  <c r="AP99" i="43"/>
  <c r="W99" i="43"/>
  <c r="AG99" i="43" s="1"/>
  <c r="V99" i="43"/>
  <c r="AF99" i="43" s="1"/>
  <c r="BL97" i="43"/>
  <c r="BZ97" i="43" s="1"/>
  <c r="BK97" i="43"/>
  <c r="BY97" i="43" s="1"/>
  <c r="BW97" i="43"/>
  <c r="AP97" i="43"/>
  <c r="BT97" i="43" s="1"/>
  <c r="W97" i="43"/>
  <c r="AG97" i="43" s="1"/>
  <c r="V97" i="43"/>
  <c r="AF97" i="43" s="1"/>
  <c r="BL96" i="43"/>
  <c r="BZ96" i="43" s="1"/>
  <c r="BK96" i="43"/>
  <c r="BY96" i="43" s="1"/>
  <c r="BW96" i="43"/>
  <c r="BT96" i="43"/>
  <c r="BS96" i="43"/>
  <c r="W96" i="43"/>
  <c r="AG96" i="43" s="1"/>
  <c r="V96" i="43"/>
  <c r="AF96" i="43" s="1"/>
  <c r="BL95" i="43"/>
  <c r="BK95" i="43"/>
  <c r="BW95" i="43"/>
  <c r="AP95" i="43"/>
  <c r="W95" i="43"/>
  <c r="AG95" i="43" s="1"/>
  <c r="V95" i="43"/>
  <c r="AF95" i="43" s="1"/>
  <c r="BL93" i="43"/>
  <c r="BZ93" i="43" s="1"/>
  <c r="BK93" i="43"/>
  <c r="BY93" i="43" s="1"/>
  <c r="BW93" i="43"/>
  <c r="AP93" i="43"/>
  <c r="BT93" i="43" s="1"/>
  <c r="W93" i="43"/>
  <c r="AG93" i="43" s="1"/>
  <c r="V93" i="43"/>
  <c r="AF93" i="43" s="1"/>
  <c r="BL92" i="43"/>
  <c r="BZ92" i="43" s="1"/>
  <c r="BK92" i="43"/>
  <c r="BY92" i="43" s="1"/>
  <c r="BW92" i="43"/>
  <c r="BT92" i="43"/>
  <c r="BS92" i="43"/>
  <c r="W92" i="43"/>
  <c r="AG92" i="43" s="1"/>
  <c r="V92" i="43"/>
  <c r="AF92" i="43" s="1"/>
  <c r="BL91" i="43"/>
  <c r="BK91" i="43"/>
  <c r="BW91" i="43"/>
  <c r="AP91" i="43"/>
  <c r="W91" i="43"/>
  <c r="AG91" i="43" s="1"/>
  <c r="V91" i="43"/>
  <c r="AF91" i="43" s="1"/>
  <c r="BL89" i="43"/>
  <c r="BZ89" i="43" s="1"/>
  <c r="BK89" i="43"/>
  <c r="BY89" i="43" s="1"/>
  <c r="BW89" i="43"/>
  <c r="AP89" i="43"/>
  <c r="BT89" i="43" s="1"/>
  <c r="W89" i="43"/>
  <c r="AG89" i="43" s="1"/>
  <c r="V89" i="43"/>
  <c r="AF89" i="43" s="1"/>
  <c r="BL88" i="43"/>
  <c r="BZ88" i="43" s="1"/>
  <c r="BK88" i="43"/>
  <c r="BY88" i="43" s="1"/>
  <c r="BW88" i="43"/>
  <c r="AP88" i="43"/>
  <c r="BT88" i="43" s="1"/>
  <c r="W88" i="43"/>
  <c r="AG88" i="43" s="1"/>
  <c r="V88" i="43"/>
  <c r="AF88" i="43" s="1"/>
  <c r="BL87" i="43"/>
  <c r="BK87" i="43"/>
  <c r="BW87" i="43"/>
  <c r="AP87" i="43"/>
  <c r="W87" i="43"/>
  <c r="AG87" i="43" s="1"/>
  <c r="V87" i="43"/>
  <c r="AF87" i="43" s="1"/>
  <c r="BL85" i="43"/>
  <c r="BZ85" i="43" s="1"/>
  <c r="BK85" i="43"/>
  <c r="BY85" i="43" s="1"/>
  <c r="BW85" i="43"/>
  <c r="AP85" i="43"/>
  <c r="BT85" i="43" s="1"/>
  <c r="W85" i="43"/>
  <c r="AG85" i="43" s="1"/>
  <c r="V85" i="43"/>
  <c r="AF85" i="43" s="1"/>
  <c r="BL84" i="43"/>
  <c r="BZ84" i="43" s="1"/>
  <c r="BK84" i="43"/>
  <c r="BY84" i="43" s="1"/>
  <c r="BW84" i="43"/>
  <c r="AP84" i="43"/>
  <c r="BT84" i="43" s="1"/>
  <c r="W84" i="43"/>
  <c r="AG84" i="43" s="1"/>
  <c r="V84" i="43"/>
  <c r="AF84" i="43" s="1"/>
  <c r="BL83" i="43"/>
  <c r="BK83" i="43"/>
  <c r="BW83" i="43"/>
  <c r="AP83" i="43"/>
  <c r="W83" i="43"/>
  <c r="AG83" i="43" s="1"/>
  <c r="V83" i="43"/>
  <c r="AF83" i="43" s="1"/>
  <c r="BL81" i="43"/>
  <c r="BZ81" i="43" s="1"/>
  <c r="BK81" i="43"/>
  <c r="BY81" i="43" s="1"/>
  <c r="BW81" i="43"/>
  <c r="AP81" i="43"/>
  <c r="BT81" i="43" s="1"/>
  <c r="W81" i="43"/>
  <c r="AG81" i="43" s="1"/>
  <c r="V81" i="43"/>
  <c r="AF81" i="43" s="1"/>
  <c r="BL80" i="43"/>
  <c r="BK80" i="43"/>
  <c r="BW80" i="43"/>
  <c r="AP80" i="43"/>
  <c r="W80" i="43"/>
  <c r="AG80" i="43" s="1"/>
  <c r="V80" i="43"/>
  <c r="AF80" i="43" s="1"/>
  <c r="AF82" i="43" s="1"/>
  <c r="BL78" i="43"/>
  <c r="BZ78" i="43" s="1"/>
  <c r="BK78" i="43"/>
  <c r="BY78" i="43" s="1"/>
  <c r="BW78" i="43"/>
  <c r="AP78" i="43"/>
  <c r="BT78" i="43" s="1"/>
  <c r="W78" i="43"/>
  <c r="AG78" i="43" s="1"/>
  <c r="V78" i="43"/>
  <c r="AF78" i="43" s="1"/>
  <c r="BL77" i="43"/>
  <c r="BZ77" i="43" s="1"/>
  <c r="BK77" i="43"/>
  <c r="BY77" i="43" s="1"/>
  <c r="BW77" i="43"/>
  <c r="AP77" i="43"/>
  <c r="BT77" i="43" s="1"/>
  <c r="W77" i="43"/>
  <c r="AG77" i="43" s="1"/>
  <c r="V77" i="43"/>
  <c r="AF77" i="43" s="1"/>
  <c r="BL76" i="43"/>
  <c r="BK76" i="43"/>
  <c r="BW76" i="43"/>
  <c r="AP76" i="43"/>
  <c r="W76" i="43"/>
  <c r="AG76" i="43" s="1"/>
  <c r="V76" i="43"/>
  <c r="AF76" i="43" s="1"/>
  <c r="BL74" i="43"/>
  <c r="BZ74" i="43" s="1"/>
  <c r="BK74" i="43"/>
  <c r="BY74" i="43" s="1"/>
  <c r="BW74" i="43"/>
  <c r="AP74" i="43"/>
  <c r="BT74" i="43" s="1"/>
  <c r="W74" i="43"/>
  <c r="AG74" i="43" s="1"/>
  <c r="V74" i="43"/>
  <c r="AF74" i="43" s="1"/>
  <c r="BL73" i="43"/>
  <c r="BZ73" i="43" s="1"/>
  <c r="BK73" i="43"/>
  <c r="BY73" i="43" s="1"/>
  <c r="BW73" i="43"/>
  <c r="BT73" i="43"/>
  <c r="BS73" i="43"/>
  <c r="W73" i="43"/>
  <c r="AG73" i="43" s="1"/>
  <c r="V73" i="43"/>
  <c r="AF73" i="43" s="1"/>
  <c r="BL72" i="43"/>
  <c r="BZ72" i="43" s="1"/>
  <c r="BK72" i="43"/>
  <c r="BY72" i="43" s="1"/>
  <c r="BW72" i="43"/>
  <c r="AP72" i="43"/>
  <c r="BT72" i="43" s="1"/>
  <c r="W72" i="43"/>
  <c r="AG72" i="43" s="1"/>
  <c r="V72" i="43"/>
  <c r="AF72" i="43" s="1"/>
  <c r="BL71" i="43"/>
  <c r="BK71" i="43"/>
  <c r="BW71" i="43"/>
  <c r="AP71" i="43"/>
  <c r="W71" i="43"/>
  <c r="AG71" i="43" s="1"/>
  <c r="V71" i="43"/>
  <c r="AF71" i="43" s="1"/>
  <c r="BL69" i="43"/>
  <c r="BZ69" i="43" s="1"/>
  <c r="BK69" i="43"/>
  <c r="BY69" i="43" s="1"/>
  <c r="BW69" i="43"/>
  <c r="AP69" i="43"/>
  <c r="BT69" i="43" s="1"/>
  <c r="W69" i="43"/>
  <c r="AG69" i="43" s="1"/>
  <c r="V69" i="43"/>
  <c r="AF69" i="43" s="1"/>
  <c r="BL68" i="43"/>
  <c r="BK68" i="43"/>
  <c r="BW68" i="43"/>
  <c r="AP68" i="43"/>
  <c r="W68" i="43"/>
  <c r="AG68" i="43" s="1"/>
  <c r="AG70" i="43" s="1"/>
  <c r="V68" i="43"/>
  <c r="AF68" i="43" s="1"/>
  <c r="AF70" i="43" s="1"/>
  <c r="BL66" i="43"/>
  <c r="BZ66" i="43" s="1"/>
  <c r="BK66" i="43"/>
  <c r="BY66" i="43" s="1"/>
  <c r="BW66" i="43"/>
  <c r="AP66" i="43"/>
  <c r="BT66" i="43" s="1"/>
  <c r="W66" i="43"/>
  <c r="AG66" i="43" s="1"/>
  <c r="V66" i="43"/>
  <c r="AF66" i="43" s="1"/>
  <c r="BL65" i="43"/>
  <c r="BZ65" i="43" s="1"/>
  <c r="BK65" i="43"/>
  <c r="BY65" i="43" s="1"/>
  <c r="BW65" i="43"/>
  <c r="BT65" i="43"/>
  <c r="BS65" i="43"/>
  <c r="W65" i="43"/>
  <c r="AG65" i="43" s="1"/>
  <c r="V65" i="43"/>
  <c r="AF65" i="43" s="1"/>
  <c r="BL64" i="43"/>
  <c r="BK64" i="43"/>
  <c r="BW64" i="43"/>
  <c r="AP64" i="43"/>
  <c r="W64" i="43"/>
  <c r="AG64" i="43" s="1"/>
  <c r="V64" i="43"/>
  <c r="AF64" i="43" s="1"/>
  <c r="BL62" i="43"/>
  <c r="BZ62" i="43" s="1"/>
  <c r="BK62" i="43"/>
  <c r="BY62" i="43" s="1"/>
  <c r="BW62" i="43"/>
  <c r="AP62" i="43"/>
  <c r="BT62" i="43" s="1"/>
  <c r="W62" i="43"/>
  <c r="AG62" i="43" s="1"/>
  <c r="V62" i="43"/>
  <c r="AF62" i="43" s="1"/>
  <c r="BL61" i="43"/>
  <c r="BZ61" i="43" s="1"/>
  <c r="BK61" i="43"/>
  <c r="BY61" i="43" s="1"/>
  <c r="BW61" i="43"/>
  <c r="AP61" i="43"/>
  <c r="BT61" i="43" s="1"/>
  <c r="W61" i="43"/>
  <c r="AG61" i="43" s="1"/>
  <c r="V61" i="43"/>
  <c r="AF61" i="43" s="1"/>
  <c r="BL60" i="43"/>
  <c r="BK60" i="43"/>
  <c r="BW60" i="43"/>
  <c r="AP60" i="43"/>
  <c r="W60" i="43"/>
  <c r="AG60" i="43" s="1"/>
  <c r="V60" i="43"/>
  <c r="AF60" i="43" s="1"/>
  <c r="BL58" i="43"/>
  <c r="BZ58" i="43" s="1"/>
  <c r="BK58" i="43"/>
  <c r="BY58" i="43" s="1"/>
  <c r="BW58" i="43"/>
  <c r="AP58" i="43"/>
  <c r="BT58" i="43" s="1"/>
  <c r="W58" i="43"/>
  <c r="AG58" i="43" s="1"/>
  <c r="V58" i="43"/>
  <c r="AF58" i="43" s="1"/>
  <c r="BL57" i="43"/>
  <c r="BZ57" i="43" s="1"/>
  <c r="BK57" i="43"/>
  <c r="BY57" i="43" s="1"/>
  <c r="BW57" i="43"/>
  <c r="BT57" i="43"/>
  <c r="BS57" i="43"/>
  <c r="W57" i="43"/>
  <c r="AG57" i="43" s="1"/>
  <c r="V57" i="43"/>
  <c r="AF57" i="43" s="1"/>
  <c r="BL56" i="43"/>
  <c r="BK56" i="43"/>
  <c r="BW56" i="43"/>
  <c r="AP56" i="43"/>
  <c r="W56" i="43"/>
  <c r="AG56" i="43" s="1"/>
  <c r="V56" i="43"/>
  <c r="AF56" i="43" s="1"/>
  <c r="BL54" i="43"/>
  <c r="BZ54" i="43" s="1"/>
  <c r="BK54" i="43"/>
  <c r="BY54" i="43" s="1"/>
  <c r="BW54" i="43"/>
  <c r="AP54" i="43"/>
  <c r="BT54" i="43" s="1"/>
  <c r="W54" i="43"/>
  <c r="AG54" i="43" s="1"/>
  <c r="V54" i="43"/>
  <c r="AF54" i="43" s="1"/>
  <c r="BL53" i="43"/>
  <c r="BK53" i="43"/>
  <c r="BW53" i="43"/>
  <c r="AP53" i="43"/>
  <c r="W53" i="43"/>
  <c r="AG53" i="43" s="1"/>
  <c r="V53" i="43"/>
  <c r="AF53" i="43" s="1"/>
  <c r="AF55" i="43" s="1"/>
  <c r="BL51" i="43"/>
  <c r="BZ51" i="43" s="1"/>
  <c r="BK51" i="43"/>
  <c r="BY51" i="43" s="1"/>
  <c r="BW51" i="43"/>
  <c r="AP51" i="43"/>
  <c r="BT51" i="43" s="1"/>
  <c r="W51" i="43"/>
  <c r="AG51" i="43" s="1"/>
  <c r="V51" i="43"/>
  <c r="AF51" i="43" s="1"/>
  <c r="BL50" i="43"/>
  <c r="BK50" i="43"/>
  <c r="BW50" i="43"/>
  <c r="AP50" i="43"/>
  <c r="W50" i="43"/>
  <c r="AG50" i="43" s="1"/>
  <c r="V50" i="43"/>
  <c r="AF50" i="43" s="1"/>
  <c r="BL48" i="43"/>
  <c r="BZ48" i="43" s="1"/>
  <c r="BK48" i="43"/>
  <c r="BY48" i="43" s="1"/>
  <c r="BW48" i="43"/>
  <c r="AP48" i="43"/>
  <c r="BT48" i="43" s="1"/>
  <c r="W48" i="43"/>
  <c r="AG48" i="43" s="1"/>
  <c r="V48" i="43"/>
  <c r="AF48" i="43" s="1"/>
  <c r="BL47" i="43"/>
  <c r="BK47" i="43"/>
  <c r="BW47" i="43"/>
  <c r="AP47" i="43"/>
  <c r="W47" i="43"/>
  <c r="AG47" i="43" s="1"/>
  <c r="V47" i="43"/>
  <c r="AF47" i="43" s="1"/>
  <c r="BL45" i="43"/>
  <c r="BZ45" i="43" s="1"/>
  <c r="BK45" i="43"/>
  <c r="BY45" i="43" s="1"/>
  <c r="BW45" i="43"/>
  <c r="AP45" i="43"/>
  <c r="BT45" i="43" s="1"/>
  <c r="W45" i="43"/>
  <c r="AG45" i="43" s="1"/>
  <c r="V45" i="43"/>
  <c r="AF45" i="43" s="1"/>
  <c r="BL44" i="43"/>
  <c r="BZ44" i="43" s="1"/>
  <c r="BK44" i="43"/>
  <c r="BY44" i="43" s="1"/>
  <c r="BW44" i="43"/>
  <c r="BT44" i="43"/>
  <c r="BS44" i="43"/>
  <c r="W44" i="43"/>
  <c r="AG44" i="43" s="1"/>
  <c r="V44" i="43"/>
  <c r="AF44" i="43" s="1"/>
  <c r="BL43" i="43"/>
  <c r="BK43" i="43"/>
  <c r="BW43" i="43"/>
  <c r="AP43" i="43"/>
  <c r="W43" i="43"/>
  <c r="AG43" i="43" s="1"/>
  <c r="V43" i="43"/>
  <c r="AF43" i="43" s="1"/>
  <c r="BL41" i="43"/>
  <c r="BZ41" i="43" s="1"/>
  <c r="BK41" i="43"/>
  <c r="BY41" i="43" s="1"/>
  <c r="BW41" i="43"/>
  <c r="AP41" i="43"/>
  <c r="BT41" i="43" s="1"/>
  <c r="W41" i="43"/>
  <c r="AG41" i="43" s="1"/>
  <c r="V41" i="43"/>
  <c r="AF41" i="43" s="1"/>
  <c r="BL40" i="43"/>
  <c r="BK40" i="43"/>
  <c r="BW40" i="43"/>
  <c r="AP40" i="43"/>
  <c r="W40" i="43"/>
  <c r="AG40" i="43" s="1"/>
  <c r="V40" i="43"/>
  <c r="AF40" i="43" s="1"/>
  <c r="BL38" i="43"/>
  <c r="BZ38" i="43" s="1"/>
  <c r="BK38" i="43"/>
  <c r="BY38" i="43" s="1"/>
  <c r="BW38" i="43"/>
  <c r="AP38" i="43"/>
  <c r="BT38" i="43" s="1"/>
  <c r="W38" i="43"/>
  <c r="AG38" i="43" s="1"/>
  <c r="V38" i="43"/>
  <c r="AF38" i="43" s="1"/>
  <c r="BL37" i="43"/>
  <c r="BZ37" i="43" s="1"/>
  <c r="BK37" i="43"/>
  <c r="BY37" i="43" s="1"/>
  <c r="BW37" i="43"/>
  <c r="BT37" i="43"/>
  <c r="BS37" i="43"/>
  <c r="W37" i="43"/>
  <c r="AG37" i="43" s="1"/>
  <c r="V37" i="43"/>
  <c r="AF37" i="43" s="1"/>
  <c r="BL36" i="43"/>
  <c r="BK36" i="43"/>
  <c r="BW36" i="43"/>
  <c r="AP36" i="43"/>
  <c r="W36" i="43"/>
  <c r="AG36" i="43" s="1"/>
  <c r="V36" i="43"/>
  <c r="AF36" i="43" s="1"/>
  <c r="BL34" i="43"/>
  <c r="BZ34" i="43" s="1"/>
  <c r="BK34" i="43"/>
  <c r="BY34" i="43" s="1"/>
  <c r="BW34" i="43"/>
  <c r="AP34" i="43"/>
  <c r="BT34" i="43" s="1"/>
  <c r="W34" i="43"/>
  <c r="AG34" i="43" s="1"/>
  <c r="V34" i="43"/>
  <c r="AF34" i="43" s="1"/>
  <c r="BL33" i="43"/>
  <c r="BZ33" i="43" s="1"/>
  <c r="BK33" i="43"/>
  <c r="BY33" i="43" s="1"/>
  <c r="BW33" i="43"/>
  <c r="BT33" i="43"/>
  <c r="BS33" i="43"/>
  <c r="W33" i="43"/>
  <c r="AG33" i="43" s="1"/>
  <c r="V33" i="43"/>
  <c r="AF33" i="43" s="1"/>
  <c r="BL32" i="43"/>
  <c r="BK32" i="43"/>
  <c r="BW32" i="43"/>
  <c r="AP32" i="43"/>
  <c r="W32" i="43"/>
  <c r="AG32" i="43" s="1"/>
  <c r="V32" i="43"/>
  <c r="AF32" i="43" s="1"/>
  <c r="BL30" i="43"/>
  <c r="BZ30" i="43" s="1"/>
  <c r="BK30" i="43"/>
  <c r="BY30" i="43" s="1"/>
  <c r="BW30" i="43"/>
  <c r="AP30" i="43"/>
  <c r="BT30" i="43" s="1"/>
  <c r="W30" i="43"/>
  <c r="AG30" i="43" s="1"/>
  <c r="V30" i="43"/>
  <c r="AF30" i="43" s="1"/>
  <c r="BL29" i="43"/>
  <c r="BZ29" i="43" s="1"/>
  <c r="BK29" i="43"/>
  <c r="BY29" i="43" s="1"/>
  <c r="BW29" i="43"/>
  <c r="BT29" i="43"/>
  <c r="BS29" i="43"/>
  <c r="W29" i="43"/>
  <c r="AG29" i="43" s="1"/>
  <c r="V29" i="43"/>
  <c r="AF29" i="43" s="1"/>
  <c r="BL28" i="43"/>
  <c r="BK28" i="43"/>
  <c r="BW28" i="43"/>
  <c r="AP28" i="43"/>
  <c r="W28" i="43"/>
  <c r="AG28" i="43" s="1"/>
  <c r="V28" i="43"/>
  <c r="AF28" i="43" s="1"/>
  <c r="BL26" i="43"/>
  <c r="BZ26" i="43" s="1"/>
  <c r="BK26" i="43"/>
  <c r="BY26" i="43" s="1"/>
  <c r="BW26" i="43"/>
  <c r="AP26" i="43"/>
  <c r="BT26" i="43" s="1"/>
  <c r="W26" i="43"/>
  <c r="AG26" i="43" s="1"/>
  <c r="V26" i="43"/>
  <c r="AF26" i="43" s="1"/>
  <c r="BL25" i="43"/>
  <c r="BZ25" i="43" s="1"/>
  <c r="BK25" i="43"/>
  <c r="BY25" i="43" s="1"/>
  <c r="BW25" i="43"/>
  <c r="BT25" i="43"/>
  <c r="BS25" i="43"/>
  <c r="W25" i="43"/>
  <c r="AG25" i="43" s="1"/>
  <c r="V25" i="43"/>
  <c r="AF25" i="43" s="1"/>
  <c r="BL24" i="43"/>
  <c r="BZ24" i="43" s="1"/>
  <c r="BK24" i="43"/>
  <c r="BY24" i="43" s="1"/>
  <c r="BW24" i="43"/>
  <c r="AP24" i="43"/>
  <c r="BT24" i="43" s="1"/>
  <c r="W24" i="43"/>
  <c r="AG24" i="43" s="1"/>
  <c r="V24" i="43"/>
  <c r="AF24" i="43" s="1"/>
  <c r="BL23" i="43"/>
  <c r="BK23" i="43"/>
  <c r="BW23" i="43"/>
  <c r="AP23" i="43"/>
  <c r="W23" i="43"/>
  <c r="AG23" i="43" s="1"/>
  <c r="V23" i="43"/>
  <c r="AF23" i="43" s="1"/>
  <c r="BL21" i="43"/>
  <c r="BZ21" i="43" s="1"/>
  <c r="BK21" i="43"/>
  <c r="BY21" i="43" s="1"/>
  <c r="BW21" i="43"/>
  <c r="AP21" i="43"/>
  <c r="BT21" i="43" s="1"/>
  <c r="W21" i="43"/>
  <c r="AG21" i="43" s="1"/>
  <c r="V21" i="43"/>
  <c r="AF21" i="43" s="1"/>
  <c r="BL20" i="43"/>
  <c r="BZ20" i="43" s="1"/>
  <c r="BK20" i="43"/>
  <c r="BY20" i="43" s="1"/>
  <c r="BW20" i="43"/>
  <c r="BT20" i="43"/>
  <c r="BS20" i="43"/>
  <c r="W20" i="43"/>
  <c r="AG20" i="43" s="1"/>
  <c r="V20" i="43"/>
  <c r="AF20" i="43" s="1"/>
  <c r="BL19" i="43"/>
  <c r="BK19" i="43"/>
  <c r="BW19" i="43"/>
  <c r="AP19" i="43"/>
  <c r="W19" i="43"/>
  <c r="AG19" i="43" s="1"/>
  <c r="AG22" i="43" s="1"/>
  <c r="V19" i="43"/>
  <c r="AF19" i="43" s="1"/>
  <c r="BL17" i="43"/>
  <c r="BZ17" i="43" s="1"/>
  <c r="BK17" i="43"/>
  <c r="BY17" i="43" s="1"/>
  <c r="BW17" i="43"/>
  <c r="AP17" i="43"/>
  <c r="BT17" i="43" s="1"/>
  <c r="W17" i="43"/>
  <c r="AG17" i="43" s="1"/>
  <c r="V17" i="43"/>
  <c r="AF17" i="43" s="1"/>
  <c r="BL16" i="43"/>
  <c r="BZ16" i="43" s="1"/>
  <c r="BK16" i="43"/>
  <c r="BY16" i="43" s="1"/>
  <c r="BW16" i="43"/>
  <c r="BT16" i="43"/>
  <c r="BS16" i="43"/>
  <c r="W16" i="43"/>
  <c r="AG16" i="43" s="1"/>
  <c r="V16" i="43"/>
  <c r="AF16" i="43" s="1"/>
  <c r="BL15" i="43"/>
  <c r="BZ15" i="43" s="1"/>
  <c r="BK15" i="43"/>
  <c r="BY15" i="43" s="1"/>
  <c r="BW15" i="43"/>
  <c r="AP15" i="43"/>
  <c r="BT15" i="43" s="1"/>
  <c r="W15" i="43"/>
  <c r="AG15" i="43" s="1"/>
  <c r="V15" i="43"/>
  <c r="AF15" i="43" s="1"/>
  <c r="BL14" i="43"/>
  <c r="BK14" i="43"/>
  <c r="BW14" i="43"/>
  <c r="AP14" i="43"/>
  <c r="W14" i="43"/>
  <c r="AG14" i="43" s="1"/>
  <c r="V14" i="43"/>
  <c r="AF14" i="43" s="1"/>
  <c r="S12" i="43"/>
  <c r="S13" i="43" s="1"/>
  <c r="BL12" i="43"/>
  <c r="BL13" i="43" s="1"/>
  <c r="BK12" i="43"/>
  <c r="BK13" i="43" s="1"/>
  <c r="AF35" i="43" l="1"/>
  <c r="AG116" i="43"/>
  <c r="AG463" i="43"/>
  <c r="AF63" i="43"/>
  <c r="AF194" i="43"/>
  <c r="AF449" i="43"/>
  <c r="AG63" i="43"/>
  <c r="AG86" i="43"/>
  <c r="AF288" i="43"/>
  <c r="AF86" i="43"/>
  <c r="AF459" i="43"/>
  <c r="AG31" i="43"/>
  <c r="AF67" i="43"/>
  <c r="AF90" i="43"/>
  <c r="AG109" i="43"/>
  <c r="AG288" i="43"/>
  <c r="AG79" i="43"/>
  <c r="AG90" i="43"/>
  <c r="AF407" i="43"/>
  <c r="AG459" i="43"/>
  <c r="AG393" i="43"/>
  <c r="AG442" i="43"/>
  <c r="AG36" i="47"/>
  <c r="H36" i="47"/>
  <c r="AK31" i="47"/>
  <c r="AS31" i="47"/>
  <c r="E36" i="47"/>
  <c r="AY35" i="47"/>
  <c r="AQ35" i="47"/>
  <c r="AB35" i="47"/>
  <c r="S35" i="47"/>
  <c r="J35" i="47"/>
  <c r="BC34" i="47"/>
  <c r="AW34" i="47"/>
  <c r="AG34" i="47"/>
  <c r="W34" i="47"/>
  <c r="AW36" i="47"/>
  <c r="AW33" i="47"/>
  <c r="AW32" i="47"/>
  <c r="AG120" i="43"/>
  <c r="AF125" i="43"/>
  <c r="AG157" i="43"/>
  <c r="AF162" i="43"/>
  <c r="AG194" i="43"/>
  <c r="AF200" i="43"/>
  <c r="AG272" i="43"/>
  <c r="AG322" i="43"/>
  <c r="AF328" i="43"/>
  <c r="AG358" i="43"/>
  <c r="AF414" i="43"/>
  <c r="AG449" i="43"/>
  <c r="AF456" i="43"/>
  <c r="AG407" i="43"/>
  <c r="AF79" i="43"/>
  <c r="AG82" i="43"/>
  <c r="AG151" i="43"/>
  <c r="AG187" i="43"/>
  <c r="AG351" i="43"/>
  <c r="AF157" i="43"/>
  <c r="AF276" i="43"/>
  <c r="AF113" i="43"/>
  <c r="AF27" i="43"/>
  <c r="AG400" i="43"/>
  <c r="AF358" i="43"/>
  <c r="AG27" i="43"/>
  <c r="AF75" i="43"/>
  <c r="AF116" i="43"/>
  <c r="AG312" i="43"/>
  <c r="AG67" i="43"/>
  <c r="AF256" i="43"/>
  <c r="AG231" i="43"/>
  <c r="AF237" i="43"/>
  <c r="AG59" i="43"/>
  <c r="AG49" i="43"/>
  <c r="AG105" i="43"/>
  <c r="AF49" i="43"/>
  <c r="AG55" i="43"/>
  <c r="AF42" i="43"/>
  <c r="AF363" i="43"/>
  <c r="AG328" i="43"/>
  <c r="AF332" i="43"/>
  <c r="AG363" i="43"/>
  <c r="AF370" i="43"/>
  <c r="AG18" i="43"/>
  <c r="AF22" i="43"/>
  <c r="AG46" i="43"/>
  <c r="AG102" i="43"/>
  <c r="AF109" i="43"/>
  <c r="AG345" i="43"/>
  <c r="AF351" i="43"/>
  <c r="AG389" i="43"/>
  <c r="AF393" i="43"/>
  <c r="AG435" i="43"/>
  <c r="AF442" i="43"/>
  <c r="AG266" i="43"/>
  <c r="AF31" i="43"/>
  <c r="AG414" i="43"/>
  <c r="AF421" i="43"/>
  <c r="AG456" i="43"/>
  <c r="AF266" i="43"/>
  <c r="AG219" i="43"/>
  <c r="AG262" i="43"/>
  <c r="AF312" i="43"/>
  <c r="AF316" i="43"/>
  <c r="AF187" i="43"/>
  <c r="AG225" i="43"/>
  <c r="AF400" i="43"/>
  <c r="AF272" i="43"/>
  <c r="AF59" i="43"/>
  <c r="AG256" i="43"/>
  <c r="AG316" i="43"/>
  <c r="AG52" i="43"/>
  <c r="AG75" i="43"/>
  <c r="AF94" i="43"/>
  <c r="AG125" i="43"/>
  <c r="AF132" i="43"/>
  <c r="AG162" i="43"/>
  <c r="AF168" i="43"/>
  <c r="AG200" i="43"/>
  <c r="AF206" i="43"/>
  <c r="AG237" i="43"/>
  <c r="AF243" i="43"/>
  <c r="AG276" i="43"/>
  <c r="AF283" i="43"/>
  <c r="AF120" i="43"/>
  <c r="AF231" i="43"/>
  <c r="AG35" i="43"/>
  <c r="AF39" i="43"/>
  <c r="AG94" i="43"/>
  <c r="AF98" i="43"/>
  <c r="AG132" i="43"/>
  <c r="AF139" i="43"/>
  <c r="AG168" i="43"/>
  <c r="AF174" i="43"/>
  <c r="AG206" i="43"/>
  <c r="AF213" i="43"/>
  <c r="AG243" i="43"/>
  <c r="AF249" i="43"/>
  <c r="AG283" i="43"/>
  <c r="AF296" i="43"/>
  <c r="AG332" i="43"/>
  <c r="AF336" i="43"/>
  <c r="AG370" i="43"/>
  <c r="AF374" i="43"/>
  <c r="AF383" i="43"/>
  <c r="AG421" i="43"/>
  <c r="AF428" i="43"/>
  <c r="AG42" i="43"/>
  <c r="AF52" i="43"/>
  <c r="AF105" i="43"/>
  <c r="AG145" i="43"/>
  <c r="AF151" i="43"/>
  <c r="AG180" i="43"/>
  <c r="AF225" i="43"/>
  <c r="AG305" i="43"/>
  <c r="AF18" i="43"/>
  <c r="AG39" i="43"/>
  <c r="AF46" i="43"/>
  <c r="AG98" i="43"/>
  <c r="AF102" i="43"/>
  <c r="AG139" i="43"/>
  <c r="AF145" i="43"/>
  <c r="AG174" i="43"/>
  <c r="AF180" i="43"/>
  <c r="AG213" i="43"/>
  <c r="AF219" i="43"/>
  <c r="AG249" i="43"/>
  <c r="AF262" i="43"/>
  <c r="AG296" i="43"/>
  <c r="AF305" i="43"/>
  <c r="AG336" i="43"/>
  <c r="AF345" i="43"/>
  <c r="AG374" i="43"/>
  <c r="AG383" i="43"/>
  <c r="AF389" i="43"/>
  <c r="AG428" i="43"/>
  <c r="AF435" i="43"/>
  <c r="AS44" i="43"/>
  <c r="AS341" i="43"/>
  <c r="AS183" i="43"/>
  <c r="AS221" i="43"/>
  <c r="AS264" i="43"/>
  <c r="BP268" i="43"/>
  <c r="AS314" i="43"/>
  <c r="AS347" i="43"/>
  <c r="AS391" i="43"/>
  <c r="AS438" i="43"/>
  <c r="AS25" i="43"/>
  <c r="AS65" i="43"/>
  <c r="AS118" i="43"/>
  <c r="BP123" i="43"/>
  <c r="AS153" i="43"/>
  <c r="AS189" i="43"/>
  <c r="AS227" i="43"/>
  <c r="BP233" i="43"/>
  <c r="AS268" i="43"/>
  <c r="AS318" i="43"/>
  <c r="V324" i="43"/>
  <c r="BQ353" i="43"/>
  <c r="AS353" i="43"/>
  <c r="AS395" i="43"/>
  <c r="BP410" i="43"/>
  <c r="AS445" i="43"/>
  <c r="BP107" i="43"/>
  <c r="AS141" i="43"/>
  <c r="AS176" i="43"/>
  <c r="BQ57" i="43"/>
  <c r="AS57" i="43"/>
  <c r="AS107" i="43"/>
  <c r="BP153" i="43"/>
  <c r="AS29" i="43"/>
  <c r="BQ73" i="43"/>
  <c r="AS73" i="43"/>
  <c r="AS123" i="43"/>
  <c r="BP128" i="43"/>
  <c r="AS159" i="43"/>
  <c r="BQ196" i="43"/>
  <c r="AS196" i="43"/>
  <c r="AS233" i="43"/>
  <c r="BP239" i="43"/>
  <c r="AS274" i="43"/>
  <c r="BQ326" i="43"/>
  <c r="AS326" i="43"/>
  <c r="AS360" i="43"/>
  <c r="BP366" i="43"/>
  <c r="AS410" i="43"/>
  <c r="BQ452" i="43"/>
  <c r="AS452" i="43"/>
  <c r="AS16" i="43"/>
  <c r="BQ100" i="43"/>
  <c r="AS100" i="43"/>
  <c r="AS215" i="43"/>
  <c r="BQ260" i="43"/>
  <c r="AS260" i="43"/>
  <c r="AS301" i="43"/>
  <c r="W376" i="43"/>
  <c r="AS386" i="43"/>
  <c r="BQ431" i="43"/>
  <c r="AS431" i="43"/>
  <c r="AS20" i="43"/>
  <c r="BP25" i="43"/>
  <c r="AS147" i="43"/>
  <c r="BQ33" i="43"/>
  <c r="AS33" i="43"/>
  <c r="AS92" i="43"/>
  <c r="BP96" i="43"/>
  <c r="AS128" i="43"/>
  <c r="BQ164" i="43"/>
  <c r="AS164" i="43"/>
  <c r="AS202" i="43"/>
  <c r="BP208" i="43"/>
  <c r="AS239" i="43"/>
  <c r="BQ279" i="43"/>
  <c r="AS279" i="43"/>
  <c r="AS330" i="43"/>
  <c r="BP334" i="43"/>
  <c r="AS366" i="43"/>
  <c r="BP379" i="43"/>
  <c r="AS417" i="43"/>
  <c r="BQ461" i="43"/>
  <c r="AS461" i="43"/>
  <c r="BP16" i="43"/>
  <c r="AS37" i="43"/>
  <c r="BQ96" i="43"/>
  <c r="AS96" i="43"/>
  <c r="AS134" i="43"/>
  <c r="BP141" i="43"/>
  <c r="AS170" i="43"/>
  <c r="BQ208" i="43"/>
  <c r="AS208" i="43"/>
  <c r="AS245" i="43"/>
  <c r="BP260" i="43"/>
  <c r="AS291" i="43"/>
  <c r="BQ334" i="43"/>
  <c r="AS334" i="43"/>
  <c r="AS372" i="43"/>
  <c r="BQ379" i="43"/>
  <c r="AS379" i="43"/>
  <c r="AS424" i="43"/>
  <c r="BP431" i="43"/>
  <c r="AA509" i="44"/>
  <c r="BJ509" i="44"/>
  <c r="AF19" i="44"/>
  <c r="AG19" i="44"/>
  <c r="AF88" i="44"/>
  <c r="AG88" i="44"/>
  <c r="AF31" i="44"/>
  <c r="BP31" i="44" s="1"/>
  <c r="AG31" i="44"/>
  <c r="AS31" i="44" s="1"/>
  <c r="AG38" i="44"/>
  <c r="AS38" i="44" s="1"/>
  <c r="AG45" i="44"/>
  <c r="AS45" i="44" s="1"/>
  <c r="AG52" i="44"/>
  <c r="AS52" i="44" s="1"/>
  <c r="AG59" i="44"/>
  <c r="AS59" i="44" s="1"/>
  <c r="AG66" i="44"/>
  <c r="AS66" i="44" s="1"/>
  <c r="AG73" i="44"/>
  <c r="AS73" i="44" s="1"/>
  <c r="AG80" i="44"/>
  <c r="AS80" i="44" s="1"/>
  <c r="AG95" i="44"/>
  <c r="AS95" i="44" s="1"/>
  <c r="AF45" i="44"/>
  <c r="AF49" i="44" s="1"/>
  <c r="AF90" i="44"/>
  <c r="AF92" i="44" s="1"/>
  <c r="AF107" i="44"/>
  <c r="AF110" i="44" s="1"/>
  <c r="BL32" i="47"/>
  <c r="BF32" i="47"/>
  <c r="AZ32" i="47"/>
  <c r="AT32" i="47"/>
  <c r="AH32" i="47"/>
  <c r="O32" i="47"/>
  <c r="I32" i="47"/>
  <c r="C32" i="47"/>
  <c r="BB31" i="47"/>
  <c r="AV31" i="47"/>
  <c r="AP31" i="47"/>
  <c r="AJ31" i="47"/>
  <c r="AC31" i="47"/>
  <c r="W31" i="47"/>
  <c r="Q31" i="47"/>
  <c r="K31" i="47"/>
  <c r="E31" i="47"/>
  <c r="AZ30" i="47"/>
  <c r="AT30" i="47"/>
  <c r="AC30" i="47"/>
  <c r="T30" i="47"/>
  <c r="K30" i="47"/>
  <c r="D30" i="47"/>
  <c r="AX29" i="47"/>
  <c r="AP29" i="47"/>
  <c r="X29" i="47"/>
  <c r="R29" i="47"/>
  <c r="I29" i="47"/>
  <c r="BB28" i="47"/>
  <c r="AV28" i="47"/>
  <c r="AF28" i="47"/>
  <c r="N28" i="47"/>
  <c r="G28" i="47"/>
  <c r="AZ27" i="47"/>
  <c r="AT27" i="47"/>
  <c r="AC27" i="47"/>
  <c r="T27" i="47"/>
  <c r="K27" i="47"/>
  <c r="D27" i="47"/>
  <c r="AF38" i="44"/>
  <c r="BP38" i="44" s="1"/>
  <c r="AF66" i="44"/>
  <c r="AF70" i="44" s="1"/>
  <c r="AF80" i="44"/>
  <c r="BP80" i="44" s="1"/>
  <c r="AG12" i="44"/>
  <c r="AG13" i="44" s="1"/>
  <c r="AG90" i="44"/>
  <c r="AS90" i="44" s="1"/>
  <c r="AG107" i="44"/>
  <c r="AS107" i="44" s="1"/>
  <c r="AF116" i="44"/>
  <c r="AF121" i="44" s="1"/>
  <c r="AF73" i="44"/>
  <c r="AF77" i="44" s="1"/>
  <c r="V104" i="44"/>
  <c r="AF103" i="44"/>
  <c r="AF104" i="44" s="1"/>
  <c r="AF22" i="44"/>
  <c r="BP22" i="44" s="1"/>
  <c r="AF100" i="44"/>
  <c r="AF102" i="44" s="1"/>
  <c r="AG116" i="44"/>
  <c r="AS116" i="44" s="1"/>
  <c r="AF124" i="44"/>
  <c r="AF128" i="44" s="1"/>
  <c r="AF52" i="44"/>
  <c r="AF56" i="44" s="1"/>
  <c r="AF59" i="44"/>
  <c r="AF63" i="44" s="1"/>
  <c r="AF95" i="44"/>
  <c r="AF98" i="44" s="1"/>
  <c r="AG22" i="44"/>
  <c r="AS22" i="44" s="1"/>
  <c r="AG100" i="44"/>
  <c r="AS100" i="44" s="1"/>
  <c r="AG124" i="44"/>
  <c r="AS124" i="44" s="1"/>
  <c r="AN32" i="47"/>
  <c r="AA32" i="47"/>
  <c r="BN31" i="47"/>
  <c r="BH31" i="47"/>
  <c r="U36" i="47"/>
  <c r="D36" i="47"/>
  <c r="AX35" i="47"/>
  <c r="AP35" i="47"/>
  <c r="X35" i="47"/>
  <c r="R35" i="47"/>
  <c r="I35" i="47"/>
  <c r="BB34" i="47"/>
  <c r="AV34" i="47"/>
  <c r="AF34" i="47"/>
  <c r="N34" i="47"/>
  <c r="G34" i="47"/>
  <c r="AZ33" i="47"/>
  <c r="AT33" i="47"/>
  <c r="AC33" i="47"/>
  <c r="T33" i="47"/>
  <c r="K33" i="47"/>
  <c r="BR32" i="47"/>
  <c r="AT36" i="47"/>
  <c r="AC36" i="47"/>
  <c r="T36" i="47"/>
  <c r="K36" i="47"/>
  <c r="O31" i="47"/>
  <c r="I31" i="47"/>
  <c r="C31" i="47"/>
  <c r="AX30" i="47"/>
  <c r="AP30" i="47"/>
  <c r="X30" i="47"/>
  <c r="R30" i="47"/>
  <c r="I30" i="47"/>
  <c r="BB29" i="47"/>
  <c r="AV29" i="47"/>
  <c r="AF29" i="47"/>
  <c r="N29" i="47"/>
  <c r="G29" i="47"/>
  <c r="AZ28" i="47"/>
  <c r="AT28" i="47"/>
  <c r="AC28" i="47"/>
  <c r="T28" i="47"/>
  <c r="K28" i="47"/>
  <c r="D28" i="47"/>
  <c r="AX27" i="47"/>
  <c r="AP27" i="47"/>
  <c r="X27" i="47"/>
  <c r="R27" i="47"/>
  <c r="I27" i="47"/>
  <c r="U34" i="47"/>
  <c r="U28" i="47"/>
  <c r="BB35" i="47"/>
  <c r="AV35" i="47"/>
  <c r="AF35" i="47"/>
  <c r="N35" i="47"/>
  <c r="G35" i="47"/>
  <c r="AZ34" i="47"/>
  <c r="AT34" i="47"/>
  <c r="AC34" i="47"/>
  <c r="T34" i="47"/>
  <c r="K34" i="47"/>
  <c r="D34" i="47"/>
  <c r="AX33" i="47"/>
  <c r="AP33" i="47"/>
  <c r="X33" i="47"/>
  <c r="R33" i="47"/>
  <c r="G33" i="47"/>
  <c r="BP32" i="47"/>
  <c r="BJ32" i="47"/>
  <c r="BD32" i="47"/>
  <c r="AX32" i="47"/>
  <c r="AR32" i="47"/>
  <c r="AL32" i="47"/>
  <c r="AF32" i="47"/>
  <c r="Y32" i="47"/>
  <c r="S32" i="47"/>
  <c r="M32" i="47"/>
  <c r="G32" i="47"/>
  <c r="BR31" i="47"/>
  <c r="BL31" i="47"/>
  <c r="BF31" i="47"/>
  <c r="AZ31" i="47"/>
  <c r="AT31" i="47"/>
  <c r="AN31" i="47"/>
  <c r="AH31" i="47"/>
  <c r="AA31" i="47"/>
  <c r="V27" i="47"/>
  <c r="U27" i="47"/>
  <c r="V32" i="47"/>
  <c r="U32" i="47"/>
  <c r="V31" i="47"/>
  <c r="U31" i="47"/>
  <c r="V33" i="47"/>
  <c r="U33" i="47"/>
  <c r="V30" i="47"/>
  <c r="U30" i="47"/>
  <c r="V35" i="47"/>
  <c r="U35" i="47"/>
  <c r="V29" i="47"/>
  <c r="U29" i="47"/>
  <c r="BA36" i="47"/>
  <c r="AU36" i="47"/>
  <c r="AE36" i="47"/>
  <c r="V36" i="47"/>
  <c r="M36" i="47"/>
  <c r="AX36" i="47"/>
  <c r="AP36" i="47"/>
  <c r="X36" i="47"/>
  <c r="R36" i="47"/>
  <c r="AZ36" i="47"/>
  <c r="BS31" i="47"/>
  <c r="BM31" i="47"/>
  <c r="BG31" i="47"/>
  <c r="BA31" i="47"/>
  <c r="AU31" i="47"/>
  <c r="AO31" i="47"/>
  <c r="AI31" i="47"/>
  <c r="AB31" i="47"/>
  <c r="P31" i="47"/>
  <c r="J31" i="47"/>
  <c r="D31" i="47"/>
  <c r="AY30" i="47"/>
  <c r="AQ30" i="47"/>
  <c r="AB30" i="47"/>
  <c r="S30" i="47"/>
  <c r="J30" i="47"/>
  <c r="BC29" i="47"/>
  <c r="AW29" i="47"/>
  <c r="AG29" i="47"/>
  <c r="W29" i="47"/>
  <c r="Q29" i="47"/>
  <c r="H29" i="47"/>
  <c r="BA28" i="47"/>
  <c r="AU28" i="47"/>
  <c r="AE28" i="47"/>
  <c r="V28" i="47"/>
  <c r="M28" i="47"/>
  <c r="E28" i="47"/>
  <c r="AY27" i="47"/>
  <c r="AQ27" i="47"/>
  <c r="AB27" i="47"/>
  <c r="S27" i="47"/>
  <c r="J27" i="47"/>
  <c r="AB509" i="44"/>
  <c r="BB36" i="47"/>
  <c r="AV36" i="47"/>
  <c r="AF36" i="47"/>
  <c r="N36" i="47"/>
  <c r="AC509" i="44"/>
  <c r="BC35" i="47"/>
  <c r="AW35" i="47"/>
  <c r="AG35" i="47"/>
  <c r="W35" i="47"/>
  <c r="Q35" i="47"/>
  <c r="H35" i="47"/>
  <c r="BA34" i="47"/>
  <c r="AU34" i="47"/>
  <c r="AE34" i="47"/>
  <c r="V34" i="47"/>
  <c r="M34" i="47"/>
  <c r="E34" i="47"/>
  <c r="AY33" i="47"/>
  <c r="AQ33" i="47"/>
  <c r="AB33" i="47"/>
  <c r="S33" i="47"/>
  <c r="H33" i="47"/>
  <c r="BQ32" i="47"/>
  <c r="BK32" i="47"/>
  <c r="BE32" i="47"/>
  <c r="AY32" i="47"/>
  <c r="AS32" i="47"/>
  <c r="AM32" i="47"/>
  <c r="AG32" i="47"/>
  <c r="Z32" i="47"/>
  <c r="T32" i="47"/>
  <c r="N32" i="47"/>
  <c r="H32" i="47"/>
  <c r="Y509" i="44"/>
  <c r="AE509" i="44"/>
  <c r="AY36" i="47"/>
  <c r="AQ36" i="47"/>
  <c r="AB36" i="47"/>
  <c r="S36" i="47"/>
  <c r="G36" i="47"/>
  <c r="AZ35" i="47"/>
  <c r="AT35" i="47"/>
  <c r="AC35" i="47"/>
  <c r="T35" i="47"/>
  <c r="K35" i="47"/>
  <c r="D35" i="47"/>
  <c r="AX34" i="47"/>
  <c r="AP34" i="47"/>
  <c r="X34" i="47"/>
  <c r="R34" i="47"/>
  <c r="I34" i="47"/>
  <c r="BB33" i="47"/>
  <c r="AV33" i="47"/>
  <c r="AF33" i="47"/>
  <c r="N33" i="47"/>
  <c r="D33" i="47"/>
  <c r="BN32" i="47"/>
  <c r="BH32" i="47"/>
  <c r="BB32" i="47"/>
  <c r="AV32" i="47"/>
  <c r="AP32" i="47"/>
  <c r="AJ32" i="47"/>
  <c r="AC32" i="47"/>
  <c r="W32" i="47"/>
  <c r="Q32" i="47"/>
  <c r="K32" i="47"/>
  <c r="E32" i="47"/>
  <c r="BP31" i="47"/>
  <c r="BJ31" i="47"/>
  <c r="BD31" i="47"/>
  <c r="AX31" i="47"/>
  <c r="AR31" i="47"/>
  <c r="AL31" i="47"/>
  <c r="AF31" i="47"/>
  <c r="Y31" i="47"/>
  <c r="S31" i="47"/>
  <c r="M31" i="47"/>
  <c r="G31" i="47"/>
  <c r="BB30" i="47"/>
  <c r="AV30" i="47"/>
  <c r="AF30" i="47"/>
  <c r="N30" i="47"/>
  <c r="G30" i="47"/>
  <c r="AZ29" i="47"/>
  <c r="AT29" i="47"/>
  <c r="AC29" i="47"/>
  <c r="T29" i="47"/>
  <c r="K29" i="47"/>
  <c r="D29" i="47"/>
  <c r="AX28" i="47"/>
  <c r="AP28" i="47"/>
  <c r="X28" i="47"/>
  <c r="R28" i="47"/>
  <c r="I28" i="47"/>
  <c r="BB27" i="47"/>
  <c r="AV27" i="47"/>
  <c r="AF27" i="47"/>
  <c r="N27" i="47"/>
  <c r="G27" i="47"/>
  <c r="BT18" i="44"/>
  <c r="X509" i="44"/>
  <c r="AD509" i="44"/>
  <c r="BY18" i="44"/>
  <c r="BY19" i="44" s="1"/>
  <c r="BZ18" i="44"/>
  <c r="Z509" i="44"/>
  <c r="BI509" i="44"/>
  <c r="BT120" i="44"/>
  <c r="BY120" i="44"/>
  <c r="BY121" i="44" s="1"/>
  <c r="BP120" i="44"/>
  <c r="BZ120" i="44"/>
  <c r="BZ121" i="44" s="1"/>
  <c r="AS120" i="44"/>
  <c r="J13" i="44"/>
  <c r="Q12" i="44"/>
  <c r="Q13" i="44" s="1"/>
  <c r="P12" i="44"/>
  <c r="P13" i="44" s="1"/>
  <c r="BW70" i="43"/>
  <c r="AO102" i="44"/>
  <c r="AO92" i="44"/>
  <c r="BT50" i="43"/>
  <c r="BT52" i="43" s="1"/>
  <c r="AP52" i="43"/>
  <c r="BY64" i="43"/>
  <c r="BY67" i="43" s="1"/>
  <c r="BK67" i="43"/>
  <c r="BT83" i="43"/>
  <c r="BT86" i="43" s="1"/>
  <c r="AP86" i="43"/>
  <c r="BZ87" i="43"/>
  <c r="BZ90" i="43" s="1"/>
  <c r="BL90" i="43"/>
  <c r="BY214" i="43"/>
  <c r="BY219" i="43" s="1"/>
  <c r="BK219" i="43"/>
  <c r="BT297" i="43"/>
  <c r="BT298" i="43" s="1"/>
  <c r="AP298" i="43"/>
  <c r="BY317" i="43"/>
  <c r="BY322" i="43" s="1"/>
  <c r="BK322" i="43"/>
  <c r="BZ323" i="43"/>
  <c r="BZ324" i="43" s="1"/>
  <c r="BL324" i="43"/>
  <c r="BY325" i="43"/>
  <c r="BY328" i="43" s="1"/>
  <c r="BK328" i="43"/>
  <c r="BY333" i="43"/>
  <c r="BY336" i="43" s="1"/>
  <c r="BK336" i="43"/>
  <c r="BZ346" i="43"/>
  <c r="BZ351" i="43" s="1"/>
  <c r="BL351" i="43"/>
  <c r="BT364" i="43"/>
  <c r="BT370" i="43" s="1"/>
  <c r="AP370" i="43"/>
  <c r="BT371" i="43"/>
  <c r="BT374" i="43" s="1"/>
  <c r="AP374" i="43"/>
  <c r="BZ377" i="43"/>
  <c r="BZ383" i="43" s="1"/>
  <c r="BL383" i="43"/>
  <c r="BT19" i="43"/>
  <c r="BT22" i="43" s="1"/>
  <c r="AP22" i="43"/>
  <c r="BZ23" i="43"/>
  <c r="BZ27" i="43" s="1"/>
  <c r="BL27" i="43"/>
  <c r="BY32" i="43"/>
  <c r="BY35" i="43" s="1"/>
  <c r="BK35" i="43"/>
  <c r="BY40" i="43"/>
  <c r="BY42" i="43" s="1"/>
  <c r="BK42" i="43"/>
  <c r="BT43" i="43"/>
  <c r="BT46" i="43" s="1"/>
  <c r="AP46" i="43"/>
  <c r="BZ47" i="43"/>
  <c r="BZ49" i="43" s="1"/>
  <c r="BL49" i="43"/>
  <c r="BZ56" i="43"/>
  <c r="BZ59" i="43" s="1"/>
  <c r="BL59" i="43"/>
  <c r="BT60" i="43"/>
  <c r="BT63" i="43" s="1"/>
  <c r="AP63" i="43"/>
  <c r="BZ64" i="43"/>
  <c r="BZ67" i="43" s="1"/>
  <c r="BL67" i="43"/>
  <c r="BT68" i="43"/>
  <c r="BT70" i="43" s="1"/>
  <c r="AP70" i="43"/>
  <c r="BT76" i="43"/>
  <c r="BT79" i="43" s="1"/>
  <c r="AP79" i="43"/>
  <c r="BZ80" i="43"/>
  <c r="BZ82" i="43" s="1"/>
  <c r="BL82" i="43"/>
  <c r="BY106" i="43"/>
  <c r="BY109" i="43" s="1"/>
  <c r="BK109" i="43"/>
  <c r="BY114" i="43"/>
  <c r="BY116" i="43" s="1"/>
  <c r="BK116" i="43"/>
  <c r="BT117" i="43"/>
  <c r="BT120" i="43" s="1"/>
  <c r="AP120" i="43"/>
  <c r="BZ121" i="43"/>
  <c r="BZ125" i="43" s="1"/>
  <c r="BL125" i="43"/>
  <c r="BT146" i="43"/>
  <c r="BT151" i="43" s="1"/>
  <c r="AP151" i="43"/>
  <c r="BY158" i="43"/>
  <c r="BY162" i="43" s="1"/>
  <c r="BK162" i="43"/>
  <c r="BT175" i="43"/>
  <c r="BT180" i="43" s="1"/>
  <c r="AP180" i="43"/>
  <c r="BY201" i="43"/>
  <c r="BY206" i="43" s="1"/>
  <c r="BK206" i="43"/>
  <c r="BZ207" i="43"/>
  <c r="BZ213" i="43" s="1"/>
  <c r="BL213" i="43"/>
  <c r="BZ214" i="43"/>
  <c r="BZ219" i="43" s="1"/>
  <c r="BL219" i="43"/>
  <c r="BT232" i="43"/>
  <c r="BT237" i="43" s="1"/>
  <c r="AP237" i="43"/>
  <c r="BY244" i="43"/>
  <c r="BY249" i="43" s="1"/>
  <c r="BK249" i="43"/>
  <c r="BZ250" i="43"/>
  <c r="BZ256" i="43" s="1"/>
  <c r="BL256" i="43"/>
  <c r="BZ257" i="43"/>
  <c r="BZ258" i="43" s="1"/>
  <c r="BL258" i="43"/>
  <c r="BY259" i="43"/>
  <c r="BY262" i="43" s="1"/>
  <c r="BK262" i="43"/>
  <c r="BY267" i="43"/>
  <c r="BY272" i="43" s="1"/>
  <c r="BK272" i="43"/>
  <c r="BZ273" i="43"/>
  <c r="BZ276" i="43" s="1"/>
  <c r="BL276" i="43"/>
  <c r="BT277" i="43"/>
  <c r="BT283" i="43" s="1"/>
  <c r="AP283" i="43"/>
  <c r="BT284" i="43"/>
  <c r="BT288" i="43" s="1"/>
  <c r="AP288" i="43"/>
  <c r="BY289" i="43"/>
  <c r="BY296" i="43" s="1"/>
  <c r="BK296" i="43"/>
  <c r="BT299" i="43"/>
  <c r="BT305" i="43" s="1"/>
  <c r="AP305" i="43"/>
  <c r="BT306" i="43"/>
  <c r="BT312" i="43" s="1"/>
  <c r="AP312" i="43"/>
  <c r="BT313" i="43"/>
  <c r="BT316" i="43" s="1"/>
  <c r="AP316" i="43"/>
  <c r="BZ317" i="43"/>
  <c r="BZ322" i="43" s="1"/>
  <c r="BL322" i="43"/>
  <c r="BZ325" i="43"/>
  <c r="BZ328" i="43" s="1"/>
  <c r="BL328" i="43"/>
  <c r="BT329" i="43"/>
  <c r="BT332" i="43" s="1"/>
  <c r="AP332" i="43"/>
  <c r="BZ333" i="43"/>
  <c r="BZ336" i="43" s="1"/>
  <c r="BL336" i="43"/>
  <c r="BT337" i="43"/>
  <c r="BT345" i="43" s="1"/>
  <c r="AP345" i="43"/>
  <c r="BY394" i="43"/>
  <c r="BY400" i="43" s="1"/>
  <c r="BK400" i="43"/>
  <c r="BY401" i="43"/>
  <c r="BY407" i="43" s="1"/>
  <c r="BK407" i="43"/>
  <c r="BY408" i="43"/>
  <c r="BY414" i="43" s="1"/>
  <c r="BK414" i="43"/>
  <c r="BY415" i="43"/>
  <c r="BY421" i="43" s="1"/>
  <c r="BK421" i="43"/>
  <c r="BY422" i="43"/>
  <c r="BY428" i="43" s="1"/>
  <c r="BK428" i="43"/>
  <c r="BY429" i="43"/>
  <c r="BY435" i="43" s="1"/>
  <c r="BK435" i="43"/>
  <c r="BY436" i="43"/>
  <c r="BY442" i="43" s="1"/>
  <c r="BK442" i="43"/>
  <c r="BY443" i="43"/>
  <c r="BY449" i="43" s="1"/>
  <c r="BK449" i="43"/>
  <c r="BY450" i="43"/>
  <c r="BY456" i="43" s="1"/>
  <c r="BK456" i="43"/>
  <c r="BY457" i="43"/>
  <c r="BY459" i="43" s="1"/>
  <c r="BK459" i="43"/>
  <c r="BT460" i="43"/>
  <c r="BT463" i="43" s="1"/>
  <c r="AP463" i="43"/>
  <c r="BZ14" i="43"/>
  <c r="BZ18" i="43" s="1"/>
  <c r="BL18" i="43"/>
  <c r="BY23" i="43"/>
  <c r="BY27" i="43" s="1"/>
  <c r="BK27" i="43"/>
  <c r="BY47" i="43"/>
  <c r="BY49" i="43" s="1"/>
  <c r="BK49" i="43"/>
  <c r="BZ71" i="43"/>
  <c r="BZ75" i="43" s="1"/>
  <c r="BL75" i="43"/>
  <c r="BY80" i="43"/>
  <c r="BY82" i="43" s="1"/>
  <c r="BK82" i="43"/>
  <c r="BT99" i="43"/>
  <c r="BT102" i="43" s="1"/>
  <c r="AP102" i="43"/>
  <c r="BZ103" i="43"/>
  <c r="BZ105" i="43" s="1"/>
  <c r="BL105" i="43"/>
  <c r="BT152" i="43"/>
  <c r="BT157" i="43" s="1"/>
  <c r="AP157" i="43"/>
  <c r="BT181" i="43"/>
  <c r="BT187" i="43" s="1"/>
  <c r="AP187" i="43"/>
  <c r="BT28" i="43"/>
  <c r="BT31" i="43" s="1"/>
  <c r="AP31" i="43"/>
  <c r="BZ32" i="43"/>
  <c r="BZ35" i="43" s="1"/>
  <c r="BL35" i="43"/>
  <c r="BT36" i="43"/>
  <c r="BT39" i="43" s="1"/>
  <c r="AP39" i="43"/>
  <c r="BZ40" i="43"/>
  <c r="BZ42" i="43" s="1"/>
  <c r="BL42" i="43"/>
  <c r="BY50" i="43"/>
  <c r="BY52" i="43" s="1"/>
  <c r="BK52" i="43"/>
  <c r="BT53" i="43"/>
  <c r="BT55" i="43" s="1"/>
  <c r="AP55" i="43"/>
  <c r="BY83" i="43"/>
  <c r="BY86" i="43" s="1"/>
  <c r="BK86" i="43"/>
  <c r="BY91" i="43"/>
  <c r="BY94" i="43" s="1"/>
  <c r="BK94" i="43"/>
  <c r="BY99" i="43"/>
  <c r="BY102" i="43" s="1"/>
  <c r="BK102" i="43"/>
  <c r="BZ106" i="43"/>
  <c r="BZ109" i="43" s="1"/>
  <c r="BL109" i="43"/>
  <c r="BT110" i="43"/>
  <c r="BT113" i="43" s="1"/>
  <c r="AP113" i="43"/>
  <c r="BZ114" i="43"/>
  <c r="BZ116" i="43" s="1"/>
  <c r="BL116" i="43"/>
  <c r="BT126" i="43"/>
  <c r="BT132" i="43" s="1"/>
  <c r="AP132" i="43"/>
  <c r="BT133" i="43"/>
  <c r="BT139" i="43" s="1"/>
  <c r="AP139" i="43"/>
  <c r="BT140" i="43"/>
  <c r="BT145" i="43" s="1"/>
  <c r="AP145" i="43"/>
  <c r="BY152" i="43"/>
  <c r="BY157" i="43" s="1"/>
  <c r="BK157" i="43"/>
  <c r="BZ158" i="43"/>
  <c r="BZ162" i="43" s="1"/>
  <c r="BL162" i="43"/>
  <c r="BT169" i="43"/>
  <c r="BT174" i="43" s="1"/>
  <c r="AP174" i="43"/>
  <c r="BY181" i="43"/>
  <c r="BY187" i="43" s="1"/>
  <c r="BK187" i="43"/>
  <c r="BY188" i="43"/>
  <c r="BY194" i="43" s="1"/>
  <c r="BK194" i="43"/>
  <c r="BY195" i="43"/>
  <c r="BY200" i="43" s="1"/>
  <c r="BK200" i="43"/>
  <c r="BZ201" i="43"/>
  <c r="BZ206" i="43" s="1"/>
  <c r="BL206" i="43"/>
  <c r="BT226" i="43"/>
  <c r="BT231" i="43" s="1"/>
  <c r="AP231" i="43"/>
  <c r="BY238" i="43"/>
  <c r="BY243" i="43" s="1"/>
  <c r="BK243" i="43"/>
  <c r="BZ244" i="43"/>
  <c r="BZ249" i="43" s="1"/>
  <c r="BL249" i="43"/>
  <c r="BZ259" i="43"/>
  <c r="BZ262" i="43" s="1"/>
  <c r="BL262" i="43"/>
  <c r="BT263" i="43"/>
  <c r="BT266" i="43" s="1"/>
  <c r="AP266" i="43"/>
  <c r="BZ267" i="43"/>
  <c r="BZ272" i="43" s="1"/>
  <c r="BL272" i="43"/>
  <c r="BZ289" i="43"/>
  <c r="BZ296" i="43" s="1"/>
  <c r="BL296" i="43"/>
  <c r="BT352" i="43"/>
  <c r="BT358" i="43" s="1"/>
  <c r="AP358" i="43"/>
  <c r="BT359" i="43"/>
  <c r="BT363" i="43" s="1"/>
  <c r="AP363" i="43"/>
  <c r="BY364" i="43"/>
  <c r="BY370" i="43" s="1"/>
  <c r="BK370" i="43"/>
  <c r="BY371" i="43"/>
  <c r="BY374" i="43" s="1"/>
  <c r="BK374" i="43"/>
  <c r="AQ375" i="43"/>
  <c r="AQ376" i="43" s="1"/>
  <c r="BT390" i="43"/>
  <c r="BT393" i="43" s="1"/>
  <c r="AP393" i="43"/>
  <c r="BZ394" i="43"/>
  <c r="BZ400" i="43" s="1"/>
  <c r="BL400" i="43"/>
  <c r="BZ401" i="43"/>
  <c r="BZ407" i="43" s="1"/>
  <c r="BL407" i="43"/>
  <c r="BZ408" i="43"/>
  <c r="BZ414" i="43" s="1"/>
  <c r="BL414" i="43"/>
  <c r="BZ415" i="43"/>
  <c r="BZ421" i="43" s="1"/>
  <c r="BL421" i="43"/>
  <c r="BZ422" i="43"/>
  <c r="BZ428" i="43" s="1"/>
  <c r="BL428" i="43"/>
  <c r="BZ429" i="43"/>
  <c r="BZ435" i="43" s="1"/>
  <c r="BL435" i="43"/>
  <c r="BZ436" i="43"/>
  <c r="BZ442" i="43" s="1"/>
  <c r="BL442" i="43"/>
  <c r="BZ443" i="43"/>
  <c r="BZ449" i="43" s="1"/>
  <c r="BL449" i="43"/>
  <c r="BZ450" i="43"/>
  <c r="BZ456" i="43" s="1"/>
  <c r="BL456" i="43"/>
  <c r="BZ457" i="43"/>
  <c r="BZ459" i="43" s="1"/>
  <c r="BL459" i="43"/>
  <c r="BY56" i="43"/>
  <c r="BY59" i="43" s="1"/>
  <c r="BK59" i="43"/>
  <c r="BY121" i="43"/>
  <c r="BY125" i="43" s="1"/>
  <c r="BK125" i="43"/>
  <c r="BY207" i="43"/>
  <c r="BY213" i="43" s="1"/>
  <c r="BK213" i="43"/>
  <c r="BT238" i="43"/>
  <c r="BT243" i="43" s="1"/>
  <c r="AP243" i="43"/>
  <c r="BT14" i="43"/>
  <c r="BT18" i="43" s="1"/>
  <c r="AP18" i="43"/>
  <c r="BY19" i="43"/>
  <c r="BY22" i="43" s="1"/>
  <c r="BK22" i="43"/>
  <c r="BY43" i="43"/>
  <c r="BY46" i="43" s="1"/>
  <c r="BK46" i="43"/>
  <c r="BZ50" i="43"/>
  <c r="BZ52" i="43" s="1"/>
  <c r="BL52" i="43"/>
  <c r="BY60" i="43"/>
  <c r="BY63" i="43" s="1"/>
  <c r="BK63" i="43"/>
  <c r="BY68" i="43"/>
  <c r="BY70" i="43" s="1"/>
  <c r="BK70" i="43"/>
  <c r="BT71" i="43"/>
  <c r="BT75" i="43" s="1"/>
  <c r="AP75" i="43"/>
  <c r="BY76" i="43"/>
  <c r="BY79" i="43" s="1"/>
  <c r="BK79" i="43"/>
  <c r="BZ83" i="43"/>
  <c r="BZ86" i="43" s="1"/>
  <c r="BL86" i="43"/>
  <c r="BT87" i="43"/>
  <c r="BT90" i="43" s="1"/>
  <c r="AP90" i="43"/>
  <c r="BZ91" i="43"/>
  <c r="BZ94" i="43" s="1"/>
  <c r="BL94" i="43"/>
  <c r="BT95" i="43"/>
  <c r="BT98" i="43" s="1"/>
  <c r="AP98" i="43"/>
  <c r="BZ99" i="43"/>
  <c r="BZ102" i="43" s="1"/>
  <c r="BL102" i="43"/>
  <c r="BT103" i="43"/>
  <c r="BT105" i="43" s="1"/>
  <c r="AP105" i="43"/>
  <c r="BY117" i="43"/>
  <c r="BY120" i="43" s="1"/>
  <c r="BK120" i="43"/>
  <c r="BY146" i="43"/>
  <c r="BY151" i="43" s="1"/>
  <c r="BK151" i="43"/>
  <c r="BZ152" i="43"/>
  <c r="BZ157" i="43" s="1"/>
  <c r="BL157" i="43"/>
  <c r="BT163" i="43"/>
  <c r="BT168" i="43" s="1"/>
  <c r="AP168" i="43"/>
  <c r="BY175" i="43"/>
  <c r="BY180" i="43" s="1"/>
  <c r="BK180" i="43"/>
  <c r="BZ181" i="43"/>
  <c r="BZ187" i="43" s="1"/>
  <c r="BL187" i="43"/>
  <c r="BZ188" i="43"/>
  <c r="BZ194" i="43" s="1"/>
  <c r="BL194" i="43"/>
  <c r="BZ195" i="43"/>
  <c r="BZ200" i="43" s="1"/>
  <c r="BL200" i="43"/>
  <c r="BT220" i="43"/>
  <c r="BT225" i="43" s="1"/>
  <c r="AP225" i="43"/>
  <c r="BY232" i="43"/>
  <c r="BY237" i="43" s="1"/>
  <c r="BK237" i="43"/>
  <c r="BZ238" i="43"/>
  <c r="BZ243" i="43" s="1"/>
  <c r="BL243" i="43"/>
  <c r="BY277" i="43"/>
  <c r="BY283" i="43" s="1"/>
  <c r="BK283" i="43"/>
  <c r="BY284" i="43"/>
  <c r="BY288" i="43" s="1"/>
  <c r="BK288" i="43"/>
  <c r="BZ297" i="43"/>
  <c r="BZ298" i="43" s="1"/>
  <c r="BL298" i="43"/>
  <c r="BY299" i="43"/>
  <c r="BY305" i="43" s="1"/>
  <c r="BK305" i="43"/>
  <c r="BY306" i="43"/>
  <c r="BY312" i="43" s="1"/>
  <c r="BK312" i="43"/>
  <c r="BY313" i="43"/>
  <c r="BY316" i="43" s="1"/>
  <c r="BK316" i="43"/>
  <c r="BT323" i="43"/>
  <c r="BT324" i="43" s="1"/>
  <c r="AP324" i="43"/>
  <c r="BY329" i="43"/>
  <c r="BY332" i="43" s="1"/>
  <c r="BK332" i="43"/>
  <c r="BY337" i="43"/>
  <c r="BY345" i="43" s="1"/>
  <c r="BK345" i="43"/>
  <c r="BT346" i="43"/>
  <c r="BT351" i="43" s="1"/>
  <c r="AP351" i="43"/>
  <c r="BZ364" i="43"/>
  <c r="BZ370" i="43" s="1"/>
  <c r="BL370" i="43"/>
  <c r="BZ371" i="43"/>
  <c r="BZ374" i="43" s="1"/>
  <c r="BL374" i="43"/>
  <c r="BT375" i="43"/>
  <c r="BT376" i="43" s="1"/>
  <c r="AP376" i="43"/>
  <c r="BT377" i="43"/>
  <c r="BT383" i="43" s="1"/>
  <c r="AP383" i="43"/>
  <c r="BT384" i="43"/>
  <c r="BT389" i="43" s="1"/>
  <c r="AP389" i="43"/>
  <c r="BY460" i="43"/>
  <c r="BY463" i="43" s="1"/>
  <c r="BK463" i="43"/>
  <c r="BT91" i="43"/>
  <c r="BT94" i="43" s="1"/>
  <c r="AP94" i="43"/>
  <c r="BZ95" i="43"/>
  <c r="BZ98" i="43" s="1"/>
  <c r="BL98" i="43"/>
  <c r="BT188" i="43"/>
  <c r="BT194" i="43" s="1"/>
  <c r="AP194" i="43"/>
  <c r="BY250" i="43"/>
  <c r="BY256" i="43" s="1"/>
  <c r="BK256" i="43"/>
  <c r="BZ384" i="43"/>
  <c r="BZ389" i="43" s="1"/>
  <c r="BL389" i="43"/>
  <c r="BZ19" i="43"/>
  <c r="BZ22" i="43" s="1"/>
  <c r="BL22" i="43"/>
  <c r="BT23" i="43"/>
  <c r="BT27" i="43" s="1"/>
  <c r="AP27" i="43"/>
  <c r="BY28" i="43"/>
  <c r="BY31" i="43" s="1"/>
  <c r="BK31" i="43"/>
  <c r="BY36" i="43"/>
  <c r="BY39" i="43" s="1"/>
  <c r="BK39" i="43"/>
  <c r="BZ43" i="43"/>
  <c r="BZ46" i="43" s="1"/>
  <c r="BL46" i="43"/>
  <c r="BT47" i="43"/>
  <c r="BT49" i="43" s="1"/>
  <c r="AP49" i="43"/>
  <c r="BY53" i="43"/>
  <c r="BY55" i="43" s="1"/>
  <c r="BK55" i="43"/>
  <c r="BT56" i="43"/>
  <c r="BT59" i="43" s="1"/>
  <c r="AP59" i="43"/>
  <c r="BZ60" i="43"/>
  <c r="BZ63" i="43" s="1"/>
  <c r="BL63" i="43"/>
  <c r="BT64" i="43"/>
  <c r="BT67" i="43" s="1"/>
  <c r="AP67" i="43"/>
  <c r="BZ68" i="43"/>
  <c r="BZ70" i="43" s="1"/>
  <c r="BL70" i="43"/>
  <c r="BZ76" i="43"/>
  <c r="BZ79" i="43" s="1"/>
  <c r="BL79" i="43"/>
  <c r="BT80" i="43"/>
  <c r="BT82" i="43" s="1"/>
  <c r="AP82" i="43"/>
  <c r="BY110" i="43"/>
  <c r="BY113" i="43" s="1"/>
  <c r="BK113" i="43"/>
  <c r="BZ117" i="43"/>
  <c r="BZ120" i="43" s="1"/>
  <c r="BL120" i="43"/>
  <c r="BT121" i="43"/>
  <c r="BT125" i="43" s="1"/>
  <c r="AP125" i="43"/>
  <c r="BY126" i="43"/>
  <c r="BY132" i="43" s="1"/>
  <c r="BK132" i="43"/>
  <c r="BY133" i="43"/>
  <c r="BY139" i="43" s="1"/>
  <c r="BK139" i="43"/>
  <c r="BY140" i="43"/>
  <c r="BY145" i="43" s="1"/>
  <c r="BK145" i="43"/>
  <c r="BZ146" i="43"/>
  <c r="BZ151" i="43" s="1"/>
  <c r="BL151" i="43"/>
  <c r="BY169" i="43"/>
  <c r="BY174" i="43" s="1"/>
  <c r="BK174" i="43"/>
  <c r="BZ175" i="43"/>
  <c r="BZ180" i="43" s="1"/>
  <c r="BL180" i="43"/>
  <c r="BT207" i="43"/>
  <c r="BT213" i="43" s="1"/>
  <c r="AP213" i="43"/>
  <c r="BT214" i="43"/>
  <c r="BT219" i="43" s="1"/>
  <c r="AP219" i="43"/>
  <c r="BY226" i="43"/>
  <c r="BY231" i="43" s="1"/>
  <c r="BK231" i="43"/>
  <c r="BZ232" i="43"/>
  <c r="BZ237" i="43" s="1"/>
  <c r="BL237" i="43"/>
  <c r="BT250" i="43"/>
  <c r="BT256" i="43" s="1"/>
  <c r="AP256" i="43"/>
  <c r="BT257" i="43"/>
  <c r="BT258" i="43" s="1"/>
  <c r="AP258" i="43"/>
  <c r="BY263" i="43"/>
  <c r="BY266" i="43" s="1"/>
  <c r="BK266" i="43"/>
  <c r="BT273" i="43"/>
  <c r="BT276" i="43" s="1"/>
  <c r="AP276" i="43"/>
  <c r="BZ277" i="43"/>
  <c r="BZ283" i="43" s="1"/>
  <c r="BL283" i="43"/>
  <c r="BZ284" i="43"/>
  <c r="BZ288" i="43" s="1"/>
  <c r="BL288" i="43"/>
  <c r="BZ299" i="43"/>
  <c r="BZ305" i="43" s="1"/>
  <c r="BL305" i="43"/>
  <c r="BZ306" i="43"/>
  <c r="BZ312" i="43" s="1"/>
  <c r="BL312" i="43"/>
  <c r="BZ313" i="43"/>
  <c r="BZ316" i="43" s="1"/>
  <c r="BL316" i="43"/>
  <c r="BT317" i="43"/>
  <c r="BT322" i="43" s="1"/>
  <c r="AP322" i="43"/>
  <c r="BT325" i="43"/>
  <c r="BT328" i="43" s="1"/>
  <c r="AP328" i="43"/>
  <c r="BZ329" i="43"/>
  <c r="BZ332" i="43" s="1"/>
  <c r="BL332" i="43"/>
  <c r="BT333" i="43"/>
  <c r="BT336" i="43" s="1"/>
  <c r="AP336" i="43"/>
  <c r="BZ337" i="43"/>
  <c r="BZ345" i="43" s="1"/>
  <c r="BL345" i="43"/>
  <c r="BY352" i="43"/>
  <c r="BY358" i="43" s="1"/>
  <c r="BK358" i="43"/>
  <c r="BY359" i="43"/>
  <c r="BY363" i="43" s="1"/>
  <c r="BK363" i="43"/>
  <c r="BY390" i="43"/>
  <c r="BY393" i="43" s="1"/>
  <c r="BK393" i="43"/>
  <c r="BZ460" i="43"/>
  <c r="BZ463" i="43" s="1"/>
  <c r="BL463" i="43"/>
  <c r="BZ163" i="43"/>
  <c r="BZ168" i="43" s="1"/>
  <c r="BL168" i="43"/>
  <c r="BT195" i="43"/>
  <c r="BT200" i="43" s="1"/>
  <c r="AP200" i="43"/>
  <c r="BZ220" i="43"/>
  <c r="BZ225" i="43" s="1"/>
  <c r="BL225" i="43"/>
  <c r="BY257" i="43"/>
  <c r="BY258" i="43" s="1"/>
  <c r="BK258" i="43"/>
  <c r="BY273" i="43"/>
  <c r="BY276" i="43" s="1"/>
  <c r="BK276" i="43"/>
  <c r="BY14" i="43"/>
  <c r="BY18" i="43" s="1"/>
  <c r="BK18" i="43"/>
  <c r="BZ28" i="43"/>
  <c r="BZ31" i="43" s="1"/>
  <c r="BL31" i="43"/>
  <c r="BT32" i="43"/>
  <c r="BT35" i="43" s="1"/>
  <c r="AP35" i="43"/>
  <c r="BZ36" i="43"/>
  <c r="BZ39" i="43" s="1"/>
  <c r="BL39" i="43"/>
  <c r="BT40" i="43"/>
  <c r="BT42" i="43" s="1"/>
  <c r="AP42" i="43"/>
  <c r="BZ53" i="43"/>
  <c r="BZ55" i="43" s="1"/>
  <c r="BL55" i="43"/>
  <c r="BY71" i="43"/>
  <c r="BY75" i="43" s="1"/>
  <c r="BK75" i="43"/>
  <c r="BY87" i="43"/>
  <c r="BY90" i="43" s="1"/>
  <c r="BK90" i="43"/>
  <c r="BY95" i="43"/>
  <c r="BY98" i="43" s="1"/>
  <c r="BK98" i="43"/>
  <c r="BY103" i="43"/>
  <c r="BY105" i="43" s="1"/>
  <c r="BK105" i="43"/>
  <c r="BT106" i="43"/>
  <c r="BT109" i="43" s="1"/>
  <c r="AP109" i="43"/>
  <c r="BZ110" i="43"/>
  <c r="BZ113" i="43" s="1"/>
  <c r="BL113" i="43"/>
  <c r="BT114" i="43"/>
  <c r="BT116" i="43" s="1"/>
  <c r="AP116" i="43"/>
  <c r="BZ126" i="43"/>
  <c r="BZ132" i="43" s="1"/>
  <c r="BL132" i="43"/>
  <c r="BZ133" i="43"/>
  <c r="BZ139" i="43" s="1"/>
  <c r="BL139" i="43"/>
  <c r="BZ140" i="43"/>
  <c r="BZ145" i="43" s="1"/>
  <c r="BL145" i="43"/>
  <c r="BT158" i="43"/>
  <c r="BT162" i="43" s="1"/>
  <c r="AP162" i="43"/>
  <c r="BY163" i="43"/>
  <c r="BY168" i="43" s="1"/>
  <c r="BK168" i="43"/>
  <c r="BZ169" i="43"/>
  <c r="BZ174" i="43" s="1"/>
  <c r="BL174" i="43"/>
  <c r="BT201" i="43"/>
  <c r="BT206" i="43" s="1"/>
  <c r="AP206" i="43"/>
  <c r="BY220" i="43"/>
  <c r="BY225" i="43" s="1"/>
  <c r="BK225" i="43"/>
  <c r="BZ226" i="43"/>
  <c r="BZ231" i="43" s="1"/>
  <c r="BL231" i="43"/>
  <c r="BT244" i="43"/>
  <c r="BT249" i="43" s="1"/>
  <c r="AP249" i="43"/>
  <c r="BT259" i="43"/>
  <c r="BT262" i="43" s="1"/>
  <c r="AP262" i="43"/>
  <c r="BZ263" i="43"/>
  <c r="BZ266" i="43" s="1"/>
  <c r="BL266" i="43"/>
  <c r="BT267" i="43"/>
  <c r="BT272" i="43" s="1"/>
  <c r="AP272" i="43"/>
  <c r="BT289" i="43"/>
  <c r="BT296" i="43" s="1"/>
  <c r="AP296" i="43"/>
  <c r="BY346" i="43"/>
  <c r="BY351" i="43" s="1"/>
  <c r="BK351" i="43"/>
  <c r="BZ352" i="43"/>
  <c r="BZ358" i="43" s="1"/>
  <c r="BL358" i="43"/>
  <c r="BZ359" i="43"/>
  <c r="BZ363" i="43" s="1"/>
  <c r="BL363" i="43"/>
  <c r="BZ375" i="43"/>
  <c r="BZ376" i="43" s="1"/>
  <c r="BL376" i="43"/>
  <c r="BY377" i="43"/>
  <c r="BY383" i="43" s="1"/>
  <c r="BK383" i="43"/>
  <c r="BY384" i="43"/>
  <c r="BY389" i="43" s="1"/>
  <c r="BK389" i="43"/>
  <c r="BZ390" i="43"/>
  <c r="BZ393" i="43" s="1"/>
  <c r="BL393" i="43"/>
  <c r="BT394" i="43"/>
  <c r="BT400" i="43" s="1"/>
  <c r="AP400" i="43"/>
  <c r="BT401" i="43"/>
  <c r="BT407" i="43" s="1"/>
  <c r="AP407" i="43"/>
  <c r="BT408" i="43"/>
  <c r="BT414" i="43" s="1"/>
  <c r="AP414" i="43"/>
  <c r="BT415" i="43"/>
  <c r="BT421" i="43" s="1"/>
  <c r="AP421" i="43"/>
  <c r="BT422" i="43"/>
  <c r="BT428" i="43" s="1"/>
  <c r="AP428" i="43"/>
  <c r="BT429" i="43"/>
  <c r="BT435" i="43" s="1"/>
  <c r="AP435" i="43"/>
  <c r="BT436" i="43"/>
  <c r="BT442" i="43" s="1"/>
  <c r="AP442" i="43"/>
  <c r="BT443" i="43"/>
  <c r="BT449" i="43" s="1"/>
  <c r="AP449" i="43"/>
  <c r="BT450" i="43"/>
  <c r="BT456" i="43" s="1"/>
  <c r="AP456" i="43"/>
  <c r="BT457" i="43"/>
  <c r="BT459" i="43" s="1"/>
  <c r="AP459" i="43"/>
  <c r="BP38" i="43"/>
  <c r="AR38" i="43"/>
  <c r="AH38" i="43"/>
  <c r="BQ54" i="43"/>
  <c r="AS54" i="43"/>
  <c r="BS77" i="43"/>
  <c r="AQ77" i="43"/>
  <c r="BR77" i="43" s="1"/>
  <c r="BQ87" i="43"/>
  <c r="AS87" i="43"/>
  <c r="BS110" i="43"/>
  <c r="AQ110" i="43"/>
  <c r="BP135" i="43"/>
  <c r="AR135" i="43"/>
  <c r="AH135" i="43"/>
  <c r="AU135" i="43" s="1"/>
  <c r="BP142" i="43"/>
  <c r="AR142" i="43"/>
  <c r="AH142" i="43"/>
  <c r="BS154" i="43"/>
  <c r="AQ154" i="43"/>
  <c r="BR154" i="43" s="1"/>
  <c r="BP171" i="43"/>
  <c r="AR171" i="43"/>
  <c r="AH171" i="43"/>
  <c r="BQ191" i="43"/>
  <c r="AS191" i="43"/>
  <c r="BP199" i="43"/>
  <c r="AR199" i="43"/>
  <c r="AH199" i="43"/>
  <c r="AU199" i="43" s="1"/>
  <c r="BS218" i="43"/>
  <c r="AQ218" i="43"/>
  <c r="BR218" i="43" s="1"/>
  <c r="BP235" i="43"/>
  <c r="AH235" i="43"/>
  <c r="AR235" i="43"/>
  <c r="BS247" i="43"/>
  <c r="AQ247" i="43"/>
  <c r="BR247" i="43" s="1"/>
  <c r="BQ255" i="43"/>
  <c r="AS255" i="43"/>
  <c r="BS285" i="43"/>
  <c r="AQ285" i="43"/>
  <c r="BR285" i="43" s="1"/>
  <c r="BQ293" i="43"/>
  <c r="AS293" i="43"/>
  <c r="BP302" i="43"/>
  <c r="AR302" i="43"/>
  <c r="AH302" i="43"/>
  <c r="AU302" i="43" s="1"/>
  <c r="BP333" i="43"/>
  <c r="AR333" i="43"/>
  <c r="BS344" i="43"/>
  <c r="AQ344" i="43"/>
  <c r="BR344" i="43" s="1"/>
  <c r="BP361" i="43"/>
  <c r="AR361" i="43"/>
  <c r="AH361" i="43"/>
  <c r="BS373" i="43"/>
  <c r="AQ373" i="43"/>
  <c r="BR373" i="43" s="1"/>
  <c r="BS382" i="43"/>
  <c r="AQ382" i="43"/>
  <c r="BR382" i="43" s="1"/>
  <c r="BS390" i="43"/>
  <c r="AQ390" i="43"/>
  <c r="BR390" i="43" s="1"/>
  <c r="BQ398" i="43"/>
  <c r="AS398" i="43"/>
  <c r="BP406" i="43"/>
  <c r="AR406" i="43"/>
  <c r="AH406" i="43"/>
  <c r="BS418" i="43"/>
  <c r="AQ418" i="43"/>
  <c r="BR418" i="43" s="1"/>
  <c r="BQ426" i="43"/>
  <c r="AS426" i="43"/>
  <c r="BP434" i="43"/>
  <c r="AR434" i="43"/>
  <c r="AH434" i="43"/>
  <c r="BS446" i="43"/>
  <c r="AQ446" i="43"/>
  <c r="BR446" i="43" s="1"/>
  <c r="BQ454" i="43"/>
  <c r="AS454" i="43"/>
  <c r="BQ21" i="43"/>
  <c r="AS21" i="43"/>
  <c r="BP30" i="43"/>
  <c r="AR30" i="43"/>
  <c r="AH30" i="43"/>
  <c r="BS53" i="43"/>
  <c r="AQ53" i="43"/>
  <c r="BR53" i="43" s="1"/>
  <c r="BQ62" i="43"/>
  <c r="AS62" i="43"/>
  <c r="BP72" i="43"/>
  <c r="AR72" i="43"/>
  <c r="AH72" i="43"/>
  <c r="BS85" i="43"/>
  <c r="AQ85" i="43"/>
  <c r="BR85" i="43" s="1"/>
  <c r="BQ95" i="43"/>
  <c r="AS95" i="43"/>
  <c r="BP104" i="43"/>
  <c r="AR104" i="43"/>
  <c r="AH104" i="43"/>
  <c r="BQ119" i="43"/>
  <c r="AS119" i="43"/>
  <c r="BS140" i="43"/>
  <c r="AQ140" i="43"/>
  <c r="BQ155" i="43"/>
  <c r="AS155" i="43"/>
  <c r="BQ184" i="43"/>
  <c r="AS184" i="43"/>
  <c r="BP192" i="43"/>
  <c r="AR192" i="43"/>
  <c r="AH192" i="43"/>
  <c r="BS204" i="43"/>
  <c r="AQ204" i="43"/>
  <c r="BR204" i="43" s="1"/>
  <c r="BQ212" i="43"/>
  <c r="AS212" i="43"/>
  <c r="BQ241" i="43"/>
  <c r="AS241" i="43"/>
  <c r="BP265" i="43"/>
  <c r="AR265" i="43"/>
  <c r="AH265" i="43"/>
  <c r="BS278" i="43"/>
  <c r="AQ278" i="43"/>
  <c r="BR278" i="43" s="1"/>
  <c r="BQ286" i="43"/>
  <c r="AS286" i="43"/>
  <c r="BP294" i="43"/>
  <c r="AR294" i="43"/>
  <c r="AH294" i="43"/>
  <c r="BS307" i="43"/>
  <c r="AQ307" i="43"/>
  <c r="BR307" i="43" s="1"/>
  <c r="BQ315" i="43"/>
  <c r="AS315" i="43"/>
  <c r="BS338" i="43"/>
  <c r="AQ338" i="43"/>
  <c r="BR338" i="43" s="1"/>
  <c r="BP354" i="43"/>
  <c r="AR354" i="43"/>
  <c r="AH354" i="43"/>
  <c r="BP385" i="43"/>
  <c r="AR385" i="43"/>
  <c r="AH385" i="43"/>
  <c r="BS397" i="43"/>
  <c r="AQ397" i="43"/>
  <c r="BR397" i="43" s="1"/>
  <c r="BQ405" i="43"/>
  <c r="AS405" i="43"/>
  <c r="BP413" i="43"/>
  <c r="AR413" i="43"/>
  <c r="AH413" i="43"/>
  <c r="BS425" i="43"/>
  <c r="AQ425" i="43"/>
  <c r="BR425" i="43" s="1"/>
  <c r="BS432" i="43"/>
  <c r="AQ432" i="43"/>
  <c r="BR432" i="43" s="1"/>
  <c r="BQ440" i="43"/>
  <c r="AS440" i="43"/>
  <c r="BP448" i="43"/>
  <c r="AR448" i="43"/>
  <c r="AH448" i="43"/>
  <c r="BS462" i="43"/>
  <c r="AQ462" i="43"/>
  <c r="BR462" i="43" s="1"/>
  <c r="BS14" i="43"/>
  <c r="AQ14" i="43"/>
  <c r="BR14" i="43" s="1"/>
  <c r="BQ15" i="43"/>
  <c r="AS15" i="43"/>
  <c r="BS21" i="43"/>
  <c r="AQ21" i="43"/>
  <c r="BR21" i="43" s="1"/>
  <c r="BP24" i="43"/>
  <c r="AR24" i="43"/>
  <c r="AH24" i="43"/>
  <c r="AU24" i="43" s="1"/>
  <c r="BQ30" i="43"/>
  <c r="AS30" i="43"/>
  <c r="BQ38" i="43"/>
  <c r="AS38" i="43"/>
  <c r="BS45" i="43"/>
  <c r="AQ45" i="43"/>
  <c r="BR45" i="43" s="1"/>
  <c r="BP48" i="43"/>
  <c r="AR48" i="43"/>
  <c r="AH48" i="43"/>
  <c r="BS54" i="43"/>
  <c r="AQ54" i="43"/>
  <c r="BR54" i="43" s="1"/>
  <c r="BS62" i="43"/>
  <c r="AQ62" i="43"/>
  <c r="BR62" i="43" s="1"/>
  <c r="BQ64" i="43"/>
  <c r="AS64" i="43"/>
  <c r="BS71" i="43"/>
  <c r="AQ71" i="43"/>
  <c r="BR71" i="43" s="1"/>
  <c r="BQ72" i="43"/>
  <c r="AS72" i="43"/>
  <c r="BS78" i="43"/>
  <c r="AQ78" i="43"/>
  <c r="BR78" i="43" s="1"/>
  <c r="BP81" i="43"/>
  <c r="AR81" i="43"/>
  <c r="AH81" i="43"/>
  <c r="BS87" i="43"/>
  <c r="AQ87" i="43"/>
  <c r="BR87" i="43" s="1"/>
  <c r="BQ88" i="43"/>
  <c r="AS88" i="43"/>
  <c r="BP89" i="43"/>
  <c r="AR89" i="43"/>
  <c r="AH89" i="43"/>
  <c r="BS95" i="43"/>
  <c r="AQ95" i="43"/>
  <c r="BR95" i="43" s="1"/>
  <c r="BP97" i="43"/>
  <c r="AR97" i="43"/>
  <c r="AH97" i="43"/>
  <c r="BS103" i="43"/>
  <c r="AQ103" i="43"/>
  <c r="BR103" i="43" s="1"/>
  <c r="BQ104" i="43"/>
  <c r="AS104" i="43"/>
  <c r="BS111" i="43"/>
  <c r="AQ111" i="43"/>
  <c r="BR111" i="43" s="1"/>
  <c r="BQ112" i="43"/>
  <c r="AS112" i="43"/>
  <c r="BS119" i="43"/>
  <c r="AQ119" i="43"/>
  <c r="BR119" i="43" s="1"/>
  <c r="BP122" i="43"/>
  <c r="AR122" i="43"/>
  <c r="AH122" i="43"/>
  <c r="BS127" i="43"/>
  <c r="AQ127" i="43"/>
  <c r="BR127" i="43" s="1"/>
  <c r="BP129" i="43"/>
  <c r="AR129" i="43"/>
  <c r="AH129" i="43"/>
  <c r="BQ135" i="43"/>
  <c r="AS135" i="43"/>
  <c r="BP136" i="43"/>
  <c r="AR136" i="43"/>
  <c r="AH136" i="43"/>
  <c r="BQ142" i="43"/>
  <c r="AS142" i="43"/>
  <c r="BP143" i="43"/>
  <c r="AR143" i="43"/>
  <c r="AH143" i="43"/>
  <c r="BS148" i="43"/>
  <c r="AQ148" i="43"/>
  <c r="BR148" i="43" s="1"/>
  <c r="BQ149" i="43"/>
  <c r="AS149" i="43"/>
  <c r="BP150" i="43"/>
  <c r="AR150" i="43"/>
  <c r="AH150" i="43"/>
  <c r="AU150" i="43" s="1"/>
  <c r="BS155" i="43"/>
  <c r="AQ155" i="43"/>
  <c r="BR155" i="43" s="1"/>
  <c r="BQ156" i="43"/>
  <c r="AS156" i="43"/>
  <c r="BS163" i="43"/>
  <c r="AQ163" i="43"/>
  <c r="BR163" i="43" s="1"/>
  <c r="BP165" i="43"/>
  <c r="AR165" i="43"/>
  <c r="AH165" i="43"/>
  <c r="BQ171" i="43"/>
  <c r="AS171" i="43"/>
  <c r="BP172" i="43"/>
  <c r="AR172" i="43"/>
  <c r="AH172" i="43"/>
  <c r="AU172" i="43" s="1"/>
  <c r="BS177" i="43"/>
  <c r="AQ177" i="43"/>
  <c r="BR177" i="43" s="1"/>
  <c r="BQ178" i="43"/>
  <c r="AS178" i="43"/>
  <c r="BP179" i="43"/>
  <c r="AR179" i="43"/>
  <c r="AH179" i="43"/>
  <c r="BS184" i="43"/>
  <c r="AQ184" i="43"/>
  <c r="BR184" i="43" s="1"/>
  <c r="BQ185" i="43"/>
  <c r="AS185" i="43"/>
  <c r="BP186" i="43"/>
  <c r="AR186" i="43"/>
  <c r="AH186" i="43"/>
  <c r="AU186" i="43" s="1"/>
  <c r="BS191" i="43"/>
  <c r="AQ191" i="43"/>
  <c r="BR191" i="43" s="1"/>
  <c r="BQ192" i="43"/>
  <c r="AS192" i="43"/>
  <c r="BP193" i="43"/>
  <c r="AR193" i="43"/>
  <c r="AH193" i="43"/>
  <c r="AU193" i="43" s="1"/>
  <c r="BS198" i="43"/>
  <c r="AQ198" i="43"/>
  <c r="BR198" i="43" s="1"/>
  <c r="BQ199" i="43"/>
  <c r="AS199" i="43"/>
  <c r="BS205" i="43"/>
  <c r="AQ205" i="43"/>
  <c r="BR205" i="43" s="1"/>
  <c r="BS212" i="43"/>
  <c r="AQ212" i="43"/>
  <c r="BR212" i="43" s="1"/>
  <c r="BS220" i="43"/>
  <c r="AQ220" i="43"/>
  <c r="BR220" i="43" s="1"/>
  <c r="BP222" i="43"/>
  <c r="AR222" i="43"/>
  <c r="AH222" i="43"/>
  <c r="BQ228" i="43"/>
  <c r="AS228" i="43"/>
  <c r="BP229" i="43"/>
  <c r="AR229" i="43"/>
  <c r="AH229" i="43"/>
  <c r="BS234" i="43"/>
  <c r="AQ234" i="43"/>
  <c r="BR234" i="43" s="1"/>
  <c r="BQ235" i="43"/>
  <c r="AS235" i="43"/>
  <c r="BP236" i="43"/>
  <c r="AR236" i="43"/>
  <c r="AH236" i="43"/>
  <c r="BS241" i="43"/>
  <c r="AQ241" i="43"/>
  <c r="BR241" i="43" s="1"/>
  <c r="BQ242" i="43"/>
  <c r="AS242" i="43"/>
  <c r="BP244" i="43"/>
  <c r="AR244" i="43"/>
  <c r="BS248" i="43"/>
  <c r="AQ248" i="43"/>
  <c r="BR248" i="43" s="1"/>
  <c r="BP251" i="43"/>
  <c r="AR251" i="43"/>
  <c r="AH251" i="43"/>
  <c r="BS255" i="43"/>
  <c r="AQ255" i="43"/>
  <c r="BR255" i="43" s="1"/>
  <c r="BQ265" i="43"/>
  <c r="AS265" i="43"/>
  <c r="BP267" i="43"/>
  <c r="AR267" i="43"/>
  <c r="BS271" i="43"/>
  <c r="AQ271" i="43"/>
  <c r="BR271" i="43" s="1"/>
  <c r="BQ280" i="43"/>
  <c r="AS280" i="43"/>
  <c r="BP281" i="43"/>
  <c r="AR281" i="43"/>
  <c r="AH281" i="43"/>
  <c r="BS286" i="43"/>
  <c r="AQ286" i="43"/>
  <c r="BR286" i="43" s="1"/>
  <c r="BQ287" i="43"/>
  <c r="AS287" i="43"/>
  <c r="BS293" i="43"/>
  <c r="AQ293" i="43"/>
  <c r="BR293" i="43" s="1"/>
  <c r="BQ294" i="43"/>
  <c r="AS294" i="43"/>
  <c r="BP295" i="43"/>
  <c r="AR295" i="43"/>
  <c r="AH295" i="43"/>
  <c r="BQ302" i="43"/>
  <c r="AS302" i="43"/>
  <c r="BP303" i="43"/>
  <c r="AR303" i="43"/>
  <c r="AH303" i="43"/>
  <c r="BS308" i="43"/>
  <c r="AQ308" i="43"/>
  <c r="BR308" i="43" s="1"/>
  <c r="BQ309" i="43"/>
  <c r="AS309" i="43"/>
  <c r="BP310" i="43"/>
  <c r="AR310" i="43"/>
  <c r="AH310" i="43"/>
  <c r="BS315" i="43"/>
  <c r="AQ315" i="43"/>
  <c r="BR315" i="43" s="1"/>
  <c r="BS323" i="43"/>
  <c r="BS324" i="43" s="1"/>
  <c r="AQ323" i="43"/>
  <c r="AQ324" i="43" s="1"/>
  <c r="BS331" i="43"/>
  <c r="AQ331" i="43"/>
  <c r="BR331" i="43" s="1"/>
  <c r="BS339" i="43"/>
  <c r="AQ339" i="43"/>
  <c r="BR339" i="43" s="1"/>
  <c r="BQ340" i="43"/>
  <c r="AS340" i="43"/>
  <c r="BS346" i="43"/>
  <c r="AQ346" i="43"/>
  <c r="BP348" i="43"/>
  <c r="AR348" i="43"/>
  <c r="AH348" i="43"/>
  <c r="AU348" i="43" s="1"/>
  <c r="BQ354" i="43"/>
  <c r="AS354" i="43"/>
  <c r="BP355" i="43"/>
  <c r="AR355" i="43"/>
  <c r="AH355" i="43"/>
  <c r="BQ361" i="43"/>
  <c r="AS361" i="43"/>
  <c r="BP362" i="43"/>
  <c r="AR362" i="43"/>
  <c r="AH362" i="43"/>
  <c r="BS367" i="43"/>
  <c r="AQ367" i="43"/>
  <c r="BR367" i="43" s="1"/>
  <c r="BQ368" i="43"/>
  <c r="AS368" i="43"/>
  <c r="BP369" i="43"/>
  <c r="AR369" i="43"/>
  <c r="AH369" i="43"/>
  <c r="BS377" i="43"/>
  <c r="AQ377" i="43"/>
  <c r="BR377" i="43" s="1"/>
  <c r="BQ378" i="43"/>
  <c r="AS378" i="43"/>
  <c r="BS384" i="43"/>
  <c r="AQ384" i="43"/>
  <c r="BR384" i="43" s="1"/>
  <c r="BQ385" i="43"/>
  <c r="AS385" i="43"/>
  <c r="BQ392" i="43"/>
  <c r="AS392" i="43"/>
  <c r="BP394" i="43"/>
  <c r="AR394" i="43"/>
  <c r="BS398" i="43"/>
  <c r="AQ398" i="43"/>
  <c r="BR398" i="43" s="1"/>
  <c r="BQ399" i="43"/>
  <c r="AS399" i="43"/>
  <c r="BS405" i="43"/>
  <c r="AQ405" i="43"/>
  <c r="BR405" i="43" s="1"/>
  <c r="BQ406" i="43"/>
  <c r="AS406" i="43"/>
  <c r="BS412" i="43"/>
  <c r="AQ412" i="43"/>
  <c r="BR412" i="43" s="1"/>
  <c r="BQ413" i="43"/>
  <c r="AS413" i="43"/>
  <c r="BS419" i="43"/>
  <c r="AQ419" i="43"/>
  <c r="BR419" i="43" s="1"/>
  <c r="BQ420" i="43"/>
  <c r="AS420" i="43"/>
  <c r="BS426" i="43"/>
  <c r="AQ426" i="43"/>
  <c r="BR426" i="43" s="1"/>
  <c r="BQ427" i="43"/>
  <c r="AS427" i="43"/>
  <c r="BS433" i="43"/>
  <c r="AQ433" i="43"/>
  <c r="BR433" i="43" s="1"/>
  <c r="BQ434" i="43"/>
  <c r="AS434" i="43"/>
  <c r="BS440" i="43"/>
  <c r="AQ440" i="43"/>
  <c r="BR440" i="43" s="1"/>
  <c r="BQ441" i="43"/>
  <c r="AS441" i="43"/>
  <c r="BS447" i="43"/>
  <c r="AQ447" i="43"/>
  <c r="BR447" i="43" s="1"/>
  <c r="BQ448" i="43"/>
  <c r="AS448" i="43"/>
  <c r="BS454" i="43"/>
  <c r="AQ454" i="43"/>
  <c r="BR454" i="43" s="1"/>
  <c r="BQ455" i="43"/>
  <c r="AS455" i="43"/>
  <c r="BQ462" i="43"/>
  <c r="AS462" i="43"/>
  <c r="BP15" i="43"/>
  <c r="AR15" i="43"/>
  <c r="AH15" i="43"/>
  <c r="BS61" i="43"/>
  <c r="AQ61" i="43"/>
  <c r="BR61" i="43" s="1"/>
  <c r="BQ71" i="43"/>
  <c r="AS71" i="43"/>
  <c r="BS93" i="43"/>
  <c r="AQ93" i="43"/>
  <c r="BR93" i="43" s="1"/>
  <c r="BP112" i="43"/>
  <c r="AR112" i="43"/>
  <c r="AH112" i="43"/>
  <c r="BS126" i="43"/>
  <c r="AQ126" i="43"/>
  <c r="BR126" i="43" s="1"/>
  <c r="BQ148" i="43"/>
  <c r="AS148" i="43"/>
  <c r="BP156" i="43"/>
  <c r="AR156" i="43"/>
  <c r="AH156" i="43"/>
  <c r="BS169" i="43"/>
  <c r="AQ169" i="43"/>
  <c r="BR169" i="43" s="1"/>
  <c r="BQ177" i="43"/>
  <c r="AS177" i="43"/>
  <c r="BP185" i="43"/>
  <c r="AR185" i="43"/>
  <c r="AH185" i="43"/>
  <c r="AU185" i="43" s="1"/>
  <c r="BS197" i="43"/>
  <c r="AQ197" i="43"/>
  <c r="BR197" i="43" s="1"/>
  <c r="BS211" i="43"/>
  <c r="AQ211" i="43"/>
  <c r="BR211" i="43" s="1"/>
  <c r="BP228" i="43"/>
  <c r="AR228" i="43"/>
  <c r="AH228" i="43"/>
  <c r="BS240" i="43"/>
  <c r="AQ240" i="43"/>
  <c r="BR240" i="43" s="1"/>
  <c r="BQ248" i="43"/>
  <c r="AS248" i="43"/>
  <c r="BS263" i="43"/>
  <c r="AQ263" i="43"/>
  <c r="BR263" i="43" s="1"/>
  <c r="BQ271" i="43"/>
  <c r="AS271" i="43"/>
  <c r="BP280" i="43"/>
  <c r="AR280" i="43"/>
  <c r="AH280" i="43"/>
  <c r="BS292" i="43"/>
  <c r="AQ292" i="43"/>
  <c r="BR292" i="43" s="1"/>
  <c r="BP309" i="43"/>
  <c r="AR309" i="43"/>
  <c r="AH309" i="43"/>
  <c r="BS321" i="43"/>
  <c r="AQ321" i="43"/>
  <c r="BR321" i="43" s="1"/>
  <c r="BQ331" i="43"/>
  <c r="AS331" i="43"/>
  <c r="BP340" i="43"/>
  <c r="AR340" i="43"/>
  <c r="AH340" i="43"/>
  <c r="BS352" i="43"/>
  <c r="AQ352" i="43"/>
  <c r="BR352" i="43" s="1"/>
  <c r="BS359" i="43"/>
  <c r="AQ359" i="43"/>
  <c r="BR359" i="43" s="1"/>
  <c r="BQ367" i="43"/>
  <c r="AS367" i="43"/>
  <c r="BP392" i="43"/>
  <c r="AR392" i="43"/>
  <c r="AH392" i="43"/>
  <c r="BS404" i="43"/>
  <c r="AQ404" i="43"/>
  <c r="BR404" i="43" s="1"/>
  <c r="BQ412" i="43"/>
  <c r="AS412" i="43"/>
  <c r="BP420" i="43"/>
  <c r="AR420" i="43"/>
  <c r="AH420" i="43"/>
  <c r="BQ433" i="43"/>
  <c r="AS433" i="43"/>
  <c r="BP441" i="43"/>
  <c r="AR441" i="43"/>
  <c r="AH441" i="43"/>
  <c r="AU441" i="43" s="1"/>
  <c r="BS453" i="43"/>
  <c r="AQ453" i="43"/>
  <c r="BR453" i="43" s="1"/>
  <c r="BS15" i="43"/>
  <c r="AQ15" i="43"/>
  <c r="BR15" i="43" s="1"/>
  <c r="BP17" i="43"/>
  <c r="AR17" i="43"/>
  <c r="BS23" i="43"/>
  <c r="AQ23" i="43"/>
  <c r="BR23" i="43" s="1"/>
  <c r="BQ24" i="43"/>
  <c r="AS24" i="43"/>
  <c r="BS30" i="43"/>
  <c r="AQ30" i="43"/>
  <c r="BR30" i="43" s="1"/>
  <c r="BS38" i="43"/>
  <c r="AQ38" i="43"/>
  <c r="BR38" i="43" s="1"/>
  <c r="BP41" i="43"/>
  <c r="AR41" i="43"/>
  <c r="AH41" i="43"/>
  <c r="BS47" i="43"/>
  <c r="AQ47" i="43"/>
  <c r="BR47" i="43" s="1"/>
  <c r="BQ48" i="43"/>
  <c r="AS48" i="43"/>
  <c r="BS56" i="43"/>
  <c r="AQ56" i="43"/>
  <c r="BR56" i="43" s="1"/>
  <c r="BP58" i="43"/>
  <c r="AR58" i="43"/>
  <c r="AH58" i="43"/>
  <c r="AU58" i="43" s="1"/>
  <c r="BS64" i="43"/>
  <c r="AQ64" i="43"/>
  <c r="BR64" i="43" s="1"/>
  <c r="BP66" i="43"/>
  <c r="AR66" i="43"/>
  <c r="AH66" i="43"/>
  <c r="BS72" i="43"/>
  <c r="AQ72" i="43"/>
  <c r="BR72" i="43" s="1"/>
  <c r="BP74" i="43"/>
  <c r="AR74" i="43"/>
  <c r="AH74" i="43"/>
  <c r="BS80" i="43"/>
  <c r="AQ80" i="43"/>
  <c r="BR80" i="43" s="1"/>
  <c r="BQ81" i="43"/>
  <c r="AS81" i="43"/>
  <c r="BS88" i="43"/>
  <c r="AQ88" i="43"/>
  <c r="BR88" i="43" s="1"/>
  <c r="BQ89" i="43"/>
  <c r="AS89" i="43"/>
  <c r="BQ97" i="43"/>
  <c r="AS97" i="43"/>
  <c r="BS104" i="43"/>
  <c r="AQ104" i="43"/>
  <c r="BR104" i="43" s="1"/>
  <c r="BS112" i="43"/>
  <c r="AQ112" i="43"/>
  <c r="BR112" i="43" s="1"/>
  <c r="BP115" i="43"/>
  <c r="AR115" i="43"/>
  <c r="AH115" i="43"/>
  <c r="BS121" i="43"/>
  <c r="AQ121" i="43"/>
  <c r="BR121" i="43" s="1"/>
  <c r="BQ122" i="43"/>
  <c r="AS122" i="43"/>
  <c r="BQ129" i="43"/>
  <c r="AS129" i="43"/>
  <c r="BS135" i="43"/>
  <c r="AQ135" i="43"/>
  <c r="BR135" i="43" s="1"/>
  <c r="BQ136" i="43"/>
  <c r="AS136" i="43"/>
  <c r="BP137" i="43"/>
  <c r="AR137" i="43"/>
  <c r="AH137" i="43"/>
  <c r="BS142" i="43"/>
  <c r="AQ142" i="43"/>
  <c r="BR142" i="43" s="1"/>
  <c r="BQ143" i="43"/>
  <c r="AS143" i="43"/>
  <c r="BP144" i="43"/>
  <c r="AR144" i="43"/>
  <c r="AH144" i="43"/>
  <c r="BS149" i="43"/>
  <c r="AQ149" i="43"/>
  <c r="BR149" i="43" s="1"/>
  <c r="BQ150" i="43"/>
  <c r="AS150" i="43"/>
  <c r="BS156" i="43"/>
  <c r="AQ156" i="43"/>
  <c r="BR156" i="43" s="1"/>
  <c r="BQ165" i="43"/>
  <c r="AS165" i="43"/>
  <c r="BP166" i="43"/>
  <c r="AR166" i="43"/>
  <c r="AH166" i="43"/>
  <c r="BS171" i="43"/>
  <c r="AQ171" i="43"/>
  <c r="BR171" i="43" s="1"/>
  <c r="BQ172" i="43"/>
  <c r="AS172" i="43"/>
  <c r="BP173" i="43"/>
  <c r="AR173" i="43"/>
  <c r="AH173" i="43"/>
  <c r="BS178" i="43"/>
  <c r="AQ178" i="43"/>
  <c r="BR178" i="43" s="1"/>
  <c r="BQ179" i="43"/>
  <c r="AS179" i="43"/>
  <c r="BS185" i="43"/>
  <c r="AQ185" i="43"/>
  <c r="BR185" i="43" s="1"/>
  <c r="BQ186" i="43"/>
  <c r="AS186" i="43"/>
  <c r="BS192" i="43"/>
  <c r="AQ192" i="43"/>
  <c r="BR192" i="43" s="1"/>
  <c r="BQ193" i="43"/>
  <c r="AS193" i="43"/>
  <c r="BS199" i="43"/>
  <c r="AQ199" i="43"/>
  <c r="BR199" i="43" s="1"/>
  <c r="BS207" i="43"/>
  <c r="AQ207" i="43"/>
  <c r="BR207" i="43" s="1"/>
  <c r="BP209" i="43"/>
  <c r="AR209" i="43"/>
  <c r="AH209" i="43"/>
  <c r="BS214" i="43"/>
  <c r="AQ214" i="43"/>
  <c r="BR214" i="43" s="1"/>
  <c r="BP216" i="43"/>
  <c r="AR216" i="43"/>
  <c r="AH216" i="43"/>
  <c r="BQ222" i="43"/>
  <c r="AS222" i="43"/>
  <c r="AT222" i="43" s="1"/>
  <c r="BP223" i="43"/>
  <c r="AR223" i="43"/>
  <c r="AH223" i="43"/>
  <c r="BS228" i="43"/>
  <c r="AQ228" i="43"/>
  <c r="BR228" i="43" s="1"/>
  <c r="BQ229" i="43"/>
  <c r="AS229" i="43"/>
  <c r="BP230" i="43"/>
  <c r="AR230" i="43"/>
  <c r="AH230" i="43"/>
  <c r="BS235" i="43"/>
  <c r="AQ235" i="43"/>
  <c r="BR235" i="43" s="1"/>
  <c r="BQ236" i="43"/>
  <c r="AS236" i="43"/>
  <c r="BP238" i="43"/>
  <c r="AR238" i="43"/>
  <c r="BS242" i="43"/>
  <c r="AQ242" i="43"/>
  <c r="BR242" i="43" s="1"/>
  <c r="BS250" i="43"/>
  <c r="AQ250" i="43"/>
  <c r="BR250" i="43" s="1"/>
  <c r="BQ251" i="43"/>
  <c r="AS251" i="43"/>
  <c r="BP252" i="43"/>
  <c r="AR252" i="43"/>
  <c r="AH252" i="43"/>
  <c r="BS257" i="43"/>
  <c r="BS258" i="43" s="1"/>
  <c r="AQ257" i="43"/>
  <c r="AQ258" i="43" s="1"/>
  <c r="BS265" i="43"/>
  <c r="AQ265" i="43"/>
  <c r="BR265" i="43" s="1"/>
  <c r="BS273" i="43"/>
  <c r="AQ273" i="43"/>
  <c r="BR273" i="43" s="1"/>
  <c r="BP275" i="43"/>
  <c r="AR275" i="43"/>
  <c r="AH275" i="43"/>
  <c r="BS280" i="43"/>
  <c r="AQ280" i="43"/>
  <c r="BR280" i="43" s="1"/>
  <c r="BQ281" i="43"/>
  <c r="AS281" i="43"/>
  <c r="BP282" i="43"/>
  <c r="AR282" i="43"/>
  <c r="AH282" i="43"/>
  <c r="BS287" i="43"/>
  <c r="AQ287" i="43"/>
  <c r="BR287" i="43" s="1"/>
  <c r="BP290" i="43"/>
  <c r="AR290" i="43"/>
  <c r="AH290" i="43"/>
  <c r="BS294" i="43"/>
  <c r="AQ294" i="43"/>
  <c r="BR294" i="43" s="1"/>
  <c r="BQ295" i="43"/>
  <c r="AS295" i="43"/>
  <c r="BS302" i="43"/>
  <c r="AQ302" i="43"/>
  <c r="BR302" i="43" s="1"/>
  <c r="BQ303" i="43"/>
  <c r="AS303" i="43"/>
  <c r="BP304" i="43"/>
  <c r="AR304" i="43"/>
  <c r="AH304" i="43"/>
  <c r="BS309" i="43"/>
  <c r="AQ309" i="43"/>
  <c r="BR309" i="43" s="1"/>
  <c r="BQ310" i="43"/>
  <c r="AS310" i="43"/>
  <c r="BP311" i="43"/>
  <c r="AR311" i="43"/>
  <c r="AH311" i="43"/>
  <c r="AU311" i="43" s="1"/>
  <c r="BS317" i="43"/>
  <c r="AQ317" i="43"/>
  <c r="BP319" i="43"/>
  <c r="AR319" i="43"/>
  <c r="AH319" i="43"/>
  <c r="BS325" i="43"/>
  <c r="AQ325" i="43"/>
  <c r="BR325" i="43" s="1"/>
  <c r="BP327" i="43"/>
  <c r="AR327" i="43"/>
  <c r="AH327" i="43"/>
  <c r="BS333" i="43"/>
  <c r="AQ333" i="43"/>
  <c r="BR333" i="43" s="1"/>
  <c r="BP335" i="43"/>
  <c r="AR335" i="43"/>
  <c r="AH335" i="43"/>
  <c r="BS340" i="43"/>
  <c r="AQ340" i="43"/>
  <c r="BR340" i="43" s="1"/>
  <c r="BP342" i="43"/>
  <c r="AR342" i="43"/>
  <c r="AH342" i="43"/>
  <c r="BQ348" i="43"/>
  <c r="AS348" i="43"/>
  <c r="AT348" i="43" s="1"/>
  <c r="BP349" i="43"/>
  <c r="AR349" i="43"/>
  <c r="AH349" i="43"/>
  <c r="BS354" i="43"/>
  <c r="AQ354" i="43"/>
  <c r="BR354" i="43" s="1"/>
  <c r="BQ355" i="43"/>
  <c r="AS355" i="43"/>
  <c r="BP356" i="43"/>
  <c r="AR356" i="43"/>
  <c r="AH356" i="43"/>
  <c r="BS361" i="43"/>
  <c r="AQ361" i="43"/>
  <c r="BR361" i="43" s="1"/>
  <c r="BQ362" i="43"/>
  <c r="AS362" i="43"/>
  <c r="BS368" i="43"/>
  <c r="AQ368" i="43"/>
  <c r="BR368" i="43" s="1"/>
  <c r="BQ369" i="43"/>
  <c r="AS369" i="43"/>
  <c r="BS378" i="43"/>
  <c r="AQ378" i="43"/>
  <c r="BR378" i="43" s="1"/>
  <c r="BP380" i="43"/>
  <c r="AR380" i="43"/>
  <c r="AH380" i="43"/>
  <c r="BS385" i="43"/>
  <c r="AQ385" i="43"/>
  <c r="BR385" i="43" s="1"/>
  <c r="BP387" i="43"/>
  <c r="AR387" i="43"/>
  <c r="AH387" i="43"/>
  <c r="BS392" i="43"/>
  <c r="AQ392" i="43"/>
  <c r="BR392" i="43" s="1"/>
  <c r="BS399" i="43"/>
  <c r="AQ399" i="43"/>
  <c r="BR399" i="43" s="1"/>
  <c r="BP402" i="43"/>
  <c r="AR402" i="43"/>
  <c r="AH402" i="43"/>
  <c r="BS406" i="43"/>
  <c r="AQ406" i="43"/>
  <c r="BR406" i="43" s="1"/>
  <c r="BP409" i="43"/>
  <c r="AR409" i="43"/>
  <c r="AH409" i="43"/>
  <c r="BS413" i="43"/>
  <c r="AQ413" i="43"/>
  <c r="BR413" i="43" s="1"/>
  <c r="BQ415" i="43"/>
  <c r="AS415" i="43"/>
  <c r="BP416" i="43"/>
  <c r="AR416" i="43"/>
  <c r="AH416" i="43"/>
  <c r="BS420" i="43"/>
  <c r="AQ420" i="43"/>
  <c r="BR420" i="43" s="1"/>
  <c r="BP423" i="43"/>
  <c r="AR423" i="43"/>
  <c r="AH423" i="43"/>
  <c r="BS427" i="43"/>
  <c r="AQ427" i="43"/>
  <c r="BR427" i="43" s="1"/>
  <c r="BP430" i="43"/>
  <c r="AR430" i="43"/>
  <c r="AH430" i="43"/>
  <c r="AU430" i="43" s="1"/>
  <c r="BS434" i="43"/>
  <c r="AQ434" i="43"/>
  <c r="BR434" i="43" s="1"/>
  <c r="BP437" i="43"/>
  <c r="AR437" i="43"/>
  <c r="AH437" i="43"/>
  <c r="BS441" i="43"/>
  <c r="AQ441" i="43"/>
  <c r="BR441" i="43" s="1"/>
  <c r="BP444" i="43"/>
  <c r="AR444" i="43"/>
  <c r="AH444" i="43"/>
  <c r="BS448" i="43"/>
  <c r="AQ448" i="43"/>
  <c r="BR448" i="43" s="1"/>
  <c r="BP451" i="43"/>
  <c r="AR451" i="43"/>
  <c r="AH451" i="43"/>
  <c r="BS455" i="43"/>
  <c r="AQ455" i="43"/>
  <c r="BR455" i="43" s="1"/>
  <c r="BP458" i="43"/>
  <c r="AH458" i="43"/>
  <c r="AR458" i="43"/>
  <c r="BS28" i="43"/>
  <c r="BS31" i="43" s="1"/>
  <c r="AQ28" i="43"/>
  <c r="BS36" i="43"/>
  <c r="BS39" i="43" s="1"/>
  <c r="AQ36" i="43"/>
  <c r="AQ39" i="43" s="1"/>
  <c r="BQ45" i="43"/>
  <c r="AS45" i="43"/>
  <c r="BS69" i="43"/>
  <c r="AQ69" i="43"/>
  <c r="BR69" i="43" s="1"/>
  <c r="BQ78" i="43"/>
  <c r="AS78" i="43"/>
  <c r="BP88" i="43"/>
  <c r="AR88" i="43"/>
  <c r="AH88" i="43"/>
  <c r="BS101" i="43"/>
  <c r="AQ101" i="43"/>
  <c r="BR101" i="43" s="1"/>
  <c r="BQ111" i="43"/>
  <c r="AS111" i="43"/>
  <c r="BS133" i="43"/>
  <c r="AQ133" i="43"/>
  <c r="BR133" i="43" s="1"/>
  <c r="BP149" i="43"/>
  <c r="AR149" i="43"/>
  <c r="AH149" i="43"/>
  <c r="BS161" i="43"/>
  <c r="AQ161" i="43"/>
  <c r="BR161" i="43" s="1"/>
  <c r="BP178" i="43"/>
  <c r="AR178" i="43"/>
  <c r="AH178" i="43"/>
  <c r="BS190" i="43"/>
  <c r="AQ190" i="43"/>
  <c r="BR190" i="43" s="1"/>
  <c r="BQ198" i="43"/>
  <c r="AS198" i="43"/>
  <c r="BQ205" i="43"/>
  <c r="AS205" i="43"/>
  <c r="BS226" i="43"/>
  <c r="AQ226" i="43"/>
  <c r="BQ234" i="43"/>
  <c r="AS234" i="43"/>
  <c r="BP242" i="43"/>
  <c r="AR242" i="43"/>
  <c r="AH242" i="43"/>
  <c r="BS254" i="43"/>
  <c r="AQ254" i="43"/>
  <c r="BR254" i="43" s="1"/>
  <c r="BS270" i="43"/>
  <c r="AQ270" i="43"/>
  <c r="BR270" i="43" s="1"/>
  <c r="BP287" i="43"/>
  <c r="AR287" i="43"/>
  <c r="AH287" i="43"/>
  <c r="AU287" i="43" s="1"/>
  <c r="BS300" i="43"/>
  <c r="AQ300" i="43"/>
  <c r="BR300" i="43" s="1"/>
  <c r="BQ308" i="43"/>
  <c r="AS308" i="43"/>
  <c r="BP317" i="43"/>
  <c r="AR317" i="43"/>
  <c r="BQ339" i="43"/>
  <c r="AS339" i="43"/>
  <c r="BP368" i="43"/>
  <c r="AR368" i="43"/>
  <c r="AH368" i="43"/>
  <c r="BP378" i="43"/>
  <c r="AR378" i="43"/>
  <c r="AH378" i="43"/>
  <c r="BP399" i="43"/>
  <c r="AR399" i="43"/>
  <c r="AH399" i="43"/>
  <c r="BS411" i="43"/>
  <c r="AQ411" i="43"/>
  <c r="BR411" i="43" s="1"/>
  <c r="BQ419" i="43"/>
  <c r="AS419" i="43"/>
  <c r="BP427" i="43"/>
  <c r="AR427" i="43"/>
  <c r="AH427" i="43"/>
  <c r="BS439" i="43"/>
  <c r="AQ439" i="43"/>
  <c r="BR439" i="43" s="1"/>
  <c r="BQ447" i="43"/>
  <c r="AS447" i="43"/>
  <c r="BP455" i="43"/>
  <c r="AH455" i="43"/>
  <c r="AR455" i="43"/>
  <c r="BP19" i="43"/>
  <c r="AR19" i="43"/>
  <c r="AH19" i="43"/>
  <c r="AU19" i="43" s="1"/>
  <c r="BS24" i="43"/>
  <c r="AQ24" i="43"/>
  <c r="BR24" i="43" s="1"/>
  <c r="BP26" i="43"/>
  <c r="AR26" i="43"/>
  <c r="AH26" i="43"/>
  <c r="BS32" i="43"/>
  <c r="AQ32" i="43"/>
  <c r="BR32" i="43" s="1"/>
  <c r="BP34" i="43"/>
  <c r="AR34" i="43"/>
  <c r="AH34" i="43"/>
  <c r="BS40" i="43"/>
  <c r="AQ40" i="43"/>
  <c r="BR40" i="43" s="1"/>
  <c r="BQ41" i="43"/>
  <c r="AS41" i="43"/>
  <c r="BP43" i="43"/>
  <c r="AR43" i="43"/>
  <c r="AH43" i="43"/>
  <c r="AU43" i="43" s="1"/>
  <c r="BS48" i="43"/>
  <c r="AQ48" i="43"/>
  <c r="BR48" i="43" s="1"/>
  <c r="BQ50" i="43"/>
  <c r="AS50" i="43"/>
  <c r="BP51" i="43"/>
  <c r="AR51" i="43"/>
  <c r="AH51" i="43"/>
  <c r="AU51" i="43" s="1"/>
  <c r="BQ58" i="43"/>
  <c r="AS58" i="43"/>
  <c r="BQ66" i="43"/>
  <c r="AS66" i="43"/>
  <c r="BQ74" i="43"/>
  <c r="AS74" i="43"/>
  <c r="BS81" i="43"/>
  <c r="AQ81" i="43"/>
  <c r="BR81" i="43" s="1"/>
  <c r="BP84" i="43"/>
  <c r="AR84" i="43"/>
  <c r="AH84" i="43"/>
  <c r="AU84" i="43" s="1"/>
  <c r="BS89" i="43"/>
  <c r="AQ89" i="43"/>
  <c r="BR89" i="43" s="1"/>
  <c r="BS97" i="43"/>
  <c r="AQ97" i="43"/>
  <c r="BR97" i="43" s="1"/>
  <c r="BS106" i="43"/>
  <c r="AQ106" i="43"/>
  <c r="BR106" i="43" s="1"/>
  <c r="BP108" i="43"/>
  <c r="AR108" i="43"/>
  <c r="AH108" i="43"/>
  <c r="BS114" i="43"/>
  <c r="AQ114" i="43"/>
  <c r="BR114" i="43" s="1"/>
  <c r="BQ115" i="43"/>
  <c r="AS115" i="43"/>
  <c r="BS122" i="43"/>
  <c r="AQ122" i="43"/>
  <c r="BR122" i="43" s="1"/>
  <c r="BP124" i="43"/>
  <c r="AR124" i="43"/>
  <c r="AH124" i="43"/>
  <c r="BS129" i="43"/>
  <c r="AQ129" i="43"/>
  <c r="BR129" i="43" s="1"/>
  <c r="BP131" i="43"/>
  <c r="AR131" i="43"/>
  <c r="AH131" i="43"/>
  <c r="BS136" i="43"/>
  <c r="AQ136" i="43"/>
  <c r="BR136" i="43" s="1"/>
  <c r="BQ137" i="43"/>
  <c r="AS137" i="43"/>
  <c r="BP138" i="43"/>
  <c r="AR138" i="43"/>
  <c r="BS143" i="43"/>
  <c r="AQ143" i="43"/>
  <c r="BR143" i="43" s="1"/>
  <c r="BQ144" i="43"/>
  <c r="AS144" i="43"/>
  <c r="BS150" i="43"/>
  <c r="AQ150" i="43"/>
  <c r="BR150" i="43" s="1"/>
  <c r="BS158" i="43"/>
  <c r="AQ158" i="43"/>
  <c r="BR158" i="43" s="1"/>
  <c r="BP160" i="43"/>
  <c r="AR160" i="43"/>
  <c r="AH160" i="43"/>
  <c r="BS165" i="43"/>
  <c r="AQ165" i="43"/>
  <c r="BR165" i="43" s="1"/>
  <c r="BQ166" i="43"/>
  <c r="AS166" i="43"/>
  <c r="BP167" i="43"/>
  <c r="AR167" i="43"/>
  <c r="AH167" i="43"/>
  <c r="AU167" i="43" s="1"/>
  <c r="BS172" i="43"/>
  <c r="AQ172" i="43"/>
  <c r="BR172" i="43" s="1"/>
  <c r="BQ173" i="43"/>
  <c r="AS173" i="43"/>
  <c r="BS179" i="43"/>
  <c r="AQ179" i="43"/>
  <c r="BR179" i="43" s="1"/>
  <c r="BP182" i="43"/>
  <c r="AR182" i="43"/>
  <c r="AH182" i="43"/>
  <c r="BS186" i="43"/>
  <c r="AQ186" i="43"/>
  <c r="BR186" i="43" s="1"/>
  <c r="BS193" i="43"/>
  <c r="AQ193" i="43"/>
  <c r="BR193" i="43" s="1"/>
  <c r="BS201" i="43"/>
  <c r="AQ201" i="43"/>
  <c r="BR201" i="43" s="1"/>
  <c r="BP203" i="43"/>
  <c r="AR203" i="43"/>
  <c r="AH203" i="43"/>
  <c r="BQ209" i="43"/>
  <c r="AS209" i="43"/>
  <c r="BP210" i="43"/>
  <c r="AR210" i="43"/>
  <c r="AH210" i="43"/>
  <c r="BQ216" i="43"/>
  <c r="AS216" i="43"/>
  <c r="BP217" i="43"/>
  <c r="AH217" i="43"/>
  <c r="AR217" i="43"/>
  <c r="BS222" i="43"/>
  <c r="AQ222" i="43"/>
  <c r="BR222" i="43" s="1"/>
  <c r="BQ223" i="43"/>
  <c r="AS223" i="43"/>
  <c r="BP224" i="43"/>
  <c r="AR224" i="43"/>
  <c r="AH224" i="43"/>
  <c r="BS229" i="43"/>
  <c r="AQ229" i="43"/>
  <c r="BR229" i="43" s="1"/>
  <c r="BQ230" i="43"/>
  <c r="AS230" i="43"/>
  <c r="BS236" i="43"/>
  <c r="AQ236" i="43"/>
  <c r="BR236" i="43" s="1"/>
  <c r="BS244" i="43"/>
  <c r="AQ244" i="43"/>
  <c r="BR244" i="43" s="1"/>
  <c r="BP246" i="43"/>
  <c r="AR246" i="43"/>
  <c r="AH246" i="43"/>
  <c r="BS251" i="43"/>
  <c r="AQ251" i="43"/>
  <c r="BR251" i="43" s="1"/>
  <c r="BQ252" i="43"/>
  <c r="AS252" i="43"/>
  <c r="BP253" i="43"/>
  <c r="AR253" i="43"/>
  <c r="AH253" i="43"/>
  <c r="BS259" i="43"/>
  <c r="AQ259" i="43"/>
  <c r="BR259" i="43" s="1"/>
  <c r="BP261" i="43"/>
  <c r="AR261" i="43"/>
  <c r="AH261" i="43"/>
  <c r="BS267" i="43"/>
  <c r="AQ267" i="43"/>
  <c r="BR267" i="43" s="1"/>
  <c r="BP269" i="43"/>
  <c r="AR269" i="43"/>
  <c r="AH269" i="43"/>
  <c r="BQ275" i="43"/>
  <c r="AS275" i="43"/>
  <c r="BS281" i="43"/>
  <c r="AQ281" i="43"/>
  <c r="BR281" i="43" s="1"/>
  <c r="BQ282" i="43"/>
  <c r="AS282" i="43"/>
  <c r="BS289" i="43"/>
  <c r="AQ289" i="43"/>
  <c r="BR289" i="43" s="1"/>
  <c r="BQ290" i="43"/>
  <c r="AS290" i="43"/>
  <c r="BS295" i="43"/>
  <c r="AQ295" i="43"/>
  <c r="BR295" i="43" s="1"/>
  <c r="BP299" i="43"/>
  <c r="AR299" i="43"/>
  <c r="BS303" i="43"/>
  <c r="AQ303" i="43"/>
  <c r="BR303" i="43" s="1"/>
  <c r="BQ304" i="43"/>
  <c r="AS304" i="43"/>
  <c r="BS310" i="43"/>
  <c r="AQ310" i="43"/>
  <c r="BR310" i="43" s="1"/>
  <c r="BQ311" i="43"/>
  <c r="AS311" i="43"/>
  <c r="BQ319" i="43"/>
  <c r="AS319" i="43"/>
  <c r="BP320" i="43"/>
  <c r="AR320" i="43"/>
  <c r="AH320" i="43"/>
  <c r="AU320" i="43" s="1"/>
  <c r="BQ327" i="43"/>
  <c r="AS327" i="43"/>
  <c r="BQ335" i="43"/>
  <c r="AS335" i="43"/>
  <c r="BQ342" i="43"/>
  <c r="AS342" i="43"/>
  <c r="BP343" i="43"/>
  <c r="AH343" i="43"/>
  <c r="AR343" i="43"/>
  <c r="BS348" i="43"/>
  <c r="AQ348" i="43"/>
  <c r="BR348" i="43" s="1"/>
  <c r="BQ349" i="43"/>
  <c r="AS349" i="43"/>
  <c r="BP350" i="43"/>
  <c r="AR350" i="43"/>
  <c r="AH350" i="43"/>
  <c r="BS355" i="43"/>
  <c r="AQ355" i="43"/>
  <c r="BR355" i="43" s="1"/>
  <c r="BQ356" i="43"/>
  <c r="AS356" i="43"/>
  <c r="BP357" i="43"/>
  <c r="AR357" i="43"/>
  <c r="AH357" i="43"/>
  <c r="BS362" i="43"/>
  <c r="AQ362" i="43"/>
  <c r="BR362" i="43" s="1"/>
  <c r="BP365" i="43"/>
  <c r="AR365" i="43"/>
  <c r="AH365" i="43"/>
  <c r="BS369" i="43"/>
  <c r="AQ369" i="43"/>
  <c r="BR369" i="43" s="1"/>
  <c r="BQ380" i="43"/>
  <c r="AS380" i="43"/>
  <c r="BP381" i="43"/>
  <c r="AR381" i="43"/>
  <c r="AH381" i="43"/>
  <c r="BQ387" i="43"/>
  <c r="AS387" i="43"/>
  <c r="BP388" i="43"/>
  <c r="AR388" i="43"/>
  <c r="AH388" i="43"/>
  <c r="BS394" i="43"/>
  <c r="AQ394" i="43"/>
  <c r="BR394" i="43" s="1"/>
  <c r="BP396" i="43"/>
  <c r="AR396" i="43"/>
  <c r="AH396" i="43"/>
  <c r="BS401" i="43"/>
  <c r="AQ401" i="43"/>
  <c r="BR401" i="43" s="1"/>
  <c r="BQ402" i="43"/>
  <c r="AS402" i="43"/>
  <c r="BP403" i="43"/>
  <c r="AR403" i="43"/>
  <c r="AH403" i="43"/>
  <c r="BS408" i="43"/>
  <c r="AQ408" i="43"/>
  <c r="BR408" i="43" s="1"/>
  <c r="BQ409" i="43"/>
  <c r="AS409" i="43"/>
  <c r="BS415" i="43"/>
  <c r="AQ415" i="43"/>
  <c r="BQ416" i="43"/>
  <c r="AS416" i="43"/>
  <c r="BS422" i="43"/>
  <c r="AQ422" i="43"/>
  <c r="BR422" i="43" s="1"/>
  <c r="BQ423" i="43"/>
  <c r="AS423" i="43"/>
  <c r="BS429" i="43"/>
  <c r="AQ429" i="43"/>
  <c r="BR429" i="43" s="1"/>
  <c r="BQ430" i="43"/>
  <c r="AS430" i="43"/>
  <c r="BS436" i="43"/>
  <c r="AQ436" i="43"/>
  <c r="BQ437" i="43"/>
  <c r="AS437" i="43"/>
  <c r="BS443" i="43"/>
  <c r="AQ443" i="43"/>
  <c r="BR443" i="43" s="1"/>
  <c r="BQ444" i="43"/>
  <c r="AS444" i="43"/>
  <c r="BS450" i="43"/>
  <c r="AQ450" i="43"/>
  <c r="BR450" i="43" s="1"/>
  <c r="BQ451" i="43"/>
  <c r="AS451" i="43"/>
  <c r="BS457" i="43"/>
  <c r="AQ457" i="43"/>
  <c r="BQ458" i="43"/>
  <c r="AS458" i="43"/>
  <c r="BQ19" i="43"/>
  <c r="AS19" i="43"/>
  <c r="BQ34" i="43"/>
  <c r="AS34" i="43"/>
  <c r="BS41" i="43"/>
  <c r="AQ41" i="43"/>
  <c r="BR41" i="43" s="1"/>
  <c r="BQ51" i="43"/>
  <c r="AS51" i="43"/>
  <c r="BS58" i="43"/>
  <c r="AQ58" i="43"/>
  <c r="BR58" i="43" s="1"/>
  <c r="BP61" i="43"/>
  <c r="AR61" i="43"/>
  <c r="AH61" i="43"/>
  <c r="AU61" i="43" s="1"/>
  <c r="BP69" i="43"/>
  <c r="AR69" i="43"/>
  <c r="AH69" i="43"/>
  <c r="AU69" i="43" s="1"/>
  <c r="BS83" i="43"/>
  <c r="AQ83" i="43"/>
  <c r="BR83" i="43" s="1"/>
  <c r="BP85" i="43"/>
  <c r="AR85" i="43"/>
  <c r="AH85" i="43"/>
  <c r="BS99" i="43"/>
  <c r="AQ99" i="43"/>
  <c r="BR99" i="43" s="1"/>
  <c r="BP101" i="43"/>
  <c r="AR101" i="43"/>
  <c r="AH101" i="43"/>
  <c r="BQ108" i="43"/>
  <c r="AS108" i="43"/>
  <c r="BS115" i="43"/>
  <c r="BS116" i="43" s="1"/>
  <c r="AQ115" i="43"/>
  <c r="BR115" i="43" s="1"/>
  <c r="BQ124" i="43"/>
  <c r="AS124" i="43"/>
  <c r="BS130" i="43"/>
  <c r="AQ130" i="43"/>
  <c r="BR130" i="43" s="1"/>
  <c r="BS144" i="43"/>
  <c r="AQ144" i="43"/>
  <c r="BR144" i="43" s="1"/>
  <c r="BP161" i="43"/>
  <c r="AR161" i="43"/>
  <c r="AH161" i="43"/>
  <c r="BQ167" i="43"/>
  <c r="AS167" i="43"/>
  <c r="BS173" i="43"/>
  <c r="AQ173" i="43"/>
  <c r="BR173" i="43" s="1"/>
  <c r="BQ182" i="43"/>
  <c r="AS182" i="43"/>
  <c r="BS188" i="43"/>
  <c r="AQ188" i="43"/>
  <c r="BR188" i="43" s="1"/>
  <c r="BP190" i="43"/>
  <c r="AH190" i="43"/>
  <c r="AU190" i="43" s="1"/>
  <c r="AR190" i="43"/>
  <c r="BQ203" i="43"/>
  <c r="AS203" i="43"/>
  <c r="BS209" i="43"/>
  <c r="AQ209" i="43"/>
  <c r="BR209" i="43" s="1"/>
  <c r="BP211" i="43"/>
  <c r="AR211" i="43"/>
  <c r="AH211" i="43"/>
  <c r="BQ217" i="43"/>
  <c r="AS217" i="43"/>
  <c r="BQ224" i="43"/>
  <c r="AS224" i="43"/>
  <c r="BS230" i="43"/>
  <c r="AQ230" i="43"/>
  <c r="BR230" i="43" s="1"/>
  <c r="BS238" i="43"/>
  <c r="AQ238" i="43"/>
  <c r="BR238" i="43" s="1"/>
  <c r="BP240" i="43"/>
  <c r="AR240" i="43"/>
  <c r="AH240" i="43"/>
  <c r="AU240" i="43" s="1"/>
  <c r="BQ246" i="43"/>
  <c r="AS246" i="43"/>
  <c r="BS252" i="43"/>
  <c r="AQ252" i="43"/>
  <c r="BR252" i="43" s="1"/>
  <c r="BP254" i="43"/>
  <c r="AR254" i="43"/>
  <c r="AH254" i="43"/>
  <c r="BQ269" i="43"/>
  <c r="AS269" i="43"/>
  <c r="BS275" i="43"/>
  <c r="AQ275" i="43"/>
  <c r="BR275" i="43" s="1"/>
  <c r="BS282" i="43"/>
  <c r="AQ282" i="43"/>
  <c r="BR282" i="43" s="1"/>
  <c r="BP285" i="43"/>
  <c r="AR285" i="43"/>
  <c r="AH285" i="43"/>
  <c r="BS290" i="43"/>
  <c r="AQ290" i="43"/>
  <c r="BR290" i="43" s="1"/>
  <c r="BP292" i="43"/>
  <c r="AR292" i="43"/>
  <c r="AH292" i="43"/>
  <c r="BS297" i="43"/>
  <c r="BS298" i="43" s="1"/>
  <c r="AQ297" i="43"/>
  <c r="AQ298" i="43" s="1"/>
  <c r="BP300" i="43"/>
  <c r="AR300" i="43"/>
  <c r="AH300" i="43"/>
  <c r="BS304" i="43"/>
  <c r="AQ304" i="43"/>
  <c r="BR304" i="43" s="1"/>
  <c r="BP307" i="43"/>
  <c r="AR307" i="43"/>
  <c r="AH307" i="43"/>
  <c r="BS311" i="43"/>
  <c r="AQ311" i="43"/>
  <c r="BR311" i="43" s="1"/>
  <c r="BS319" i="43"/>
  <c r="AQ319" i="43"/>
  <c r="BR319" i="43" s="1"/>
  <c r="BQ320" i="43"/>
  <c r="AS320" i="43"/>
  <c r="BP321" i="43"/>
  <c r="AR321" i="43"/>
  <c r="AH321" i="43"/>
  <c r="BS327" i="43"/>
  <c r="AQ327" i="43"/>
  <c r="BR327" i="43" s="1"/>
  <c r="BS335" i="43"/>
  <c r="AQ335" i="43"/>
  <c r="BR335" i="43" s="1"/>
  <c r="BP338" i="43"/>
  <c r="AR338" i="43"/>
  <c r="AH338" i="43"/>
  <c r="BS342" i="43"/>
  <c r="AQ342" i="43"/>
  <c r="BR342" i="43" s="1"/>
  <c r="BQ343" i="43"/>
  <c r="AS343" i="43"/>
  <c r="BP344" i="43"/>
  <c r="AR344" i="43"/>
  <c r="AH344" i="43"/>
  <c r="BS349" i="43"/>
  <c r="AQ349" i="43"/>
  <c r="BR349" i="43" s="1"/>
  <c r="BQ350" i="43"/>
  <c r="AS350" i="43"/>
  <c r="BS356" i="43"/>
  <c r="AQ356" i="43"/>
  <c r="BR356" i="43" s="1"/>
  <c r="BQ357" i="43"/>
  <c r="AS357" i="43"/>
  <c r="BP359" i="43"/>
  <c r="AR359" i="43"/>
  <c r="AH359" i="43"/>
  <c r="AU359" i="43" s="1"/>
  <c r="BS364" i="43"/>
  <c r="AQ364" i="43"/>
  <c r="BQ365" i="43"/>
  <c r="AS365" i="43"/>
  <c r="BS371" i="43"/>
  <c r="AQ371" i="43"/>
  <c r="BR371" i="43" s="1"/>
  <c r="BP373" i="43"/>
  <c r="AR373" i="43"/>
  <c r="AH373" i="43"/>
  <c r="BS380" i="43"/>
  <c r="AQ380" i="43"/>
  <c r="BR380" i="43" s="1"/>
  <c r="BQ381" i="43"/>
  <c r="AS381" i="43"/>
  <c r="BP382" i="43"/>
  <c r="AR382" i="43"/>
  <c r="AH382" i="43"/>
  <c r="BS387" i="43"/>
  <c r="AQ387" i="43"/>
  <c r="BR387" i="43" s="1"/>
  <c r="BQ388" i="43"/>
  <c r="AS388" i="43"/>
  <c r="BQ396" i="43"/>
  <c r="AS396" i="43"/>
  <c r="BP397" i="43"/>
  <c r="AH397" i="43"/>
  <c r="AR397" i="43"/>
  <c r="BS402" i="43"/>
  <c r="AQ402" i="43"/>
  <c r="BR402" i="43" s="1"/>
  <c r="BQ403" i="43"/>
  <c r="AS403" i="43"/>
  <c r="BP404" i="43"/>
  <c r="AR404" i="43"/>
  <c r="AH404" i="43"/>
  <c r="BS409" i="43"/>
  <c r="AQ409" i="43"/>
  <c r="BR409" i="43" s="1"/>
  <c r="BP411" i="43"/>
  <c r="AR411" i="43"/>
  <c r="AH411" i="43"/>
  <c r="BS416" i="43"/>
  <c r="AQ416" i="43"/>
  <c r="BR416" i="43" s="1"/>
  <c r="BP418" i="43"/>
  <c r="AH418" i="43"/>
  <c r="AR418" i="43"/>
  <c r="BS423" i="43"/>
  <c r="AQ423" i="43"/>
  <c r="BR423" i="43" s="1"/>
  <c r="BP425" i="43"/>
  <c r="AR425" i="43"/>
  <c r="AH425" i="43"/>
  <c r="BS430" i="43"/>
  <c r="AQ430" i="43"/>
  <c r="BR430" i="43" s="1"/>
  <c r="BP432" i="43"/>
  <c r="AR432" i="43"/>
  <c r="AH432" i="43"/>
  <c r="AU432" i="43" s="1"/>
  <c r="BS437" i="43"/>
  <c r="AQ437" i="43"/>
  <c r="BR437" i="43" s="1"/>
  <c r="BP439" i="43"/>
  <c r="AR439" i="43"/>
  <c r="AH439" i="43"/>
  <c r="BS444" i="43"/>
  <c r="AQ444" i="43"/>
  <c r="BR444" i="43" s="1"/>
  <c r="BP446" i="43"/>
  <c r="AH446" i="43"/>
  <c r="AR446" i="43"/>
  <c r="BS451" i="43"/>
  <c r="AQ451" i="43"/>
  <c r="BR451" i="43" s="1"/>
  <c r="BP453" i="43"/>
  <c r="AR453" i="43"/>
  <c r="AH453" i="43"/>
  <c r="BS458" i="43"/>
  <c r="AQ458" i="43"/>
  <c r="BR458" i="43" s="1"/>
  <c r="BS17" i="43"/>
  <c r="AQ17" i="43"/>
  <c r="BR17" i="43" s="1"/>
  <c r="BQ26" i="43"/>
  <c r="AS26" i="43"/>
  <c r="BQ43" i="43"/>
  <c r="AS43" i="43"/>
  <c r="BS50" i="43"/>
  <c r="AQ50" i="43"/>
  <c r="BS66" i="43"/>
  <c r="AQ66" i="43"/>
  <c r="BR66" i="43" s="1"/>
  <c r="BS74" i="43"/>
  <c r="AQ74" i="43"/>
  <c r="BR74" i="43" s="1"/>
  <c r="BP77" i="43"/>
  <c r="AR77" i="43"/>
  <c r="AH77" i="43"/>
  <c r="BQ84" i="43"/>
  <c r="AS84" i="43"/>
  <c r="BS91" i="43"/>
  <c r="AQ91" i="43"/>
  <c r="AQ94" i="43" s="1"/>
  <c r="BP93" i="43"/>
  <c r="AR93" i="43"/>
  <c r="AH93" i="43"/>
  <c r="BQ131" i="43"/>
  <c r="AS131" i="43"/>
  <c r="BS137" i="43"/>
  <c r="AQ137" i="43"/>
  <c r="BR137" i="43" s="1"/>
  <c r="BS152" i="43"/>
  <c r="AQ152" i="43"/>
  <c r="BR152" i="43" s="1"/>
  <c r="BP154" i="43"/>
  <c r="AR154" i="43"/>
  <c r="AH154" i="43"/>
  <c r="BQ160" i="43"/>
  <c r="AS160" i="43"/>
  <c r="BS166" i="43"/>
  <c r="AQ166" i="43"/>
  <c r="BR166" i="43" s="1"/>
  <c r="BS181" i="43"/>
  <c r="AQ181" i="43"/>
  <c r="BR181" i="43" s="1"/>
  <c r="BS195" i="43"/>
  <c r="AQ195" i="43"/>
  <c r="BR195" i="43" s="1"/>
  <c r="BP197" i="43"/>
  <c r="AR197" i="43"/>
  <c r="AH197" i="43"/>
  <c r="BP204" i="43"/>
  <c r="AR204" i="43"/>
  <c r="AH204" i="43"/>
  <c r="AU204" i="43" s="1"/>
  <c r="BQ210" i="43"/>
  <c r="AS210" i="43"/>
  <c r="BS216" i="43"/>
  <c r="AQ216" i="43"/>
  <c r="BR216" i="43" s="1"/>
  <c r="BP218" i="43"/>
  <c r="AR218" i="43"/>
  <c r="AH218" i="43"/>
  <c r="BS223" i="43"/>
  <c r="AQ223" i="43"/>
  <c r="BR223" i="43" s="1"/>
  <c r="BP247" i="43"/>
  <c r="AR247" i="43"/>
  <c r="AH247" i="43"/>
  <c r="BQ253" i="43"/>
  <c r="AS253" i="43"/>
  <c r="BQ261" i="43"/>
  <c r="AS261" i="43"/>
  <c r="BP270" i="43"/>
  <c r="AR270" i="43"/>
  <c r="AH270" i="43"/>
  <c r="AU270" i="43" s="1"/>
  <c r="BS19" i="43"/>
  <c r="AQ19" i="43"/>
  <c r="BR19" i="43" s="1"/>
  <c r="BP21" i="43"/>
  <c r="AR21" i="43"/>
  <c r="AH21" i="43"/>
  <c r="BS26" i="43"/>
  <c r="AQ26" i="43"/>
  <c r="BR26" i="43" s="1"/>
  <c r="BS34" i="43"/>
  <c r="AQ34" i="43"/>
  <c r="BR34" i="43" s="1"/>
  <c r="BQ36" i="43"/>
  <c r="AS36" i="43"/>
  <c r="BS43" i="43"/>
  <c r="AQ43" i="43"/>
  <c r="BR43" i="43" s="1"/>
  <c r="BP45" i="43"/>
  <c r="AR45" i="43"/>
  <c r="AH45" i="43"/>
  <c r="BS51" i="43"/>
  <c r="AQ51" i="43"/>
  <c r="BR51" i="43" s="1"/>
  <c r="BP54" i="43"/>
  <c r="AR54" i="43"/>
  <c r="AH54" i="43"/>
  <c r="BS60" i="43"/>
  <c r="AQ60" i="43"/>
  <c r="BR60" i="43" s="1"/>
  <c r="BQ61" i="43"/>
  <c r="AS61" i="43"/>
  <c r="BP62" i="43"/>
  <c r="AR62" i="43"/>
  <c r="AH62" i="43"/>
  <c r="BS68" i="43"/>
  <c r="AQ68" i="43"/>
  <c r="BR68" i="43" s="1"/>
  <c r="BQ69" i="43"/>
  <c r="AS69" i="43"/>
  <c r="BS76" i="43"/>
  <c r="AQ76" i="43"/>
  <c r="BQ77" i="43"/>
  <c r="AS77" i="43"/>
  <c r="BP78" i="43"/>
  <c r="AR78" i="43"/>
  <c r="AH78" i="43"/>
  <c r="BS84" i="43"/>
  <c r="AQ84" i="43"/>
  <c r="BR84" i="43" s="1"/>
  <c r="BQ85" i="43"/>
  <c r="AS85" i="43"/>
  <c r="BQ93" i="43"/>
  <c r="AS93" i="43"/>
  <c r="BQ101" i="43"/>
  <c r="AS101" i="43"/>
  <c r="BS108" i="43"/>
  <c r="AQ108" i="43"/>
  <c r="BR108" i="43" s="1"/>
  <c r="BP111" i="43"/>
  <c r="AR111" i="43"/>
  <c r="AH111" i="43"/>
  <c r="BS117" i="43"/>
  <c r="AQ117" i="43"/>
  <c r="BR117" i="43" s="1"/>
  <c r="BP119" i="43"/>
  <c r="AR119" i="43"/>
  <c r="AH119" i="43"/>
  <c r="BS124" i="43"/>
  <c r="AQ124" i="43"/>
  <c r="BR124" i="43" s="1"/>
  <c r="BS131" i="43"/>
  <c r="AQ131" i="43"/>
  <c r="BR131" i="43" s="1"/>
  <c r="BS138" i="43"/>
  <c r="AQ138" i="43"/>
  <c r="BR138" i="43" s="1"/>
  <c r="BS146" i="43"/>
  <c r="AQ146" i="43"/>
  <c r="BR146" i="43" s="1"/>
  <c r="BP148" i="43"/>
  <c r="AH148" i="43"/>
  <c r="AR148" i="43"/>
  <c r="BQ154" i="43"/>
  <c r="AS154" i="43"/>
  <c r="BP155" i="43"/>
  <c r="AR155" i="43"/>
  <c r="AH155" i="43"/>
  <c r="BS160" i="43"/>
  <c r="AQ160" i="43"/>
  <c r="BR160" i="43" s="1"/>
  <c r="BQ161" i="43"/>
  <c r="AS161" i="43"/>
  <c r="BS167" i="43"/>
  <c r="AQ167" i="43"/>
  <c r="BR167" i="43" s="1"/>
  <c r="BS175" i="43"/>
  <c r="AQ175" i="43"/>
  <c r="BR175" i="43" s="1"/>
  <c r="BP177" i="43"/>
  <c r="AR177" i="43"/>
  <c r="AH177" i="43"/>
  <c r="AU177" i="43" s="1"/>
  <c r="BS182" i="43"/>
  <c r="AQ182" i="43"/>
  <c r="BR182" i="43" s="1"/>
  <c r="BP184" i="43"/>
  <c r="AR184" i="43"/>
  <c r="AH184" i="43"/>
  <c r="AU184" i="43" s="1"/>
  <c r="BQ190" i="43"/>
  <c r="AS190" i="43"/>
  <c r="BP191" i="43"/>
  <c r="AR191" i="43"/>
  <c r="AH191" i="43"/>
  <c r="BQ197" i="43"/>
  <c r="AS197" i="43"/>
  <c r="BP198" i="43"/>
  <c r="AR198" i="43"/>
  <c r="AH198" i="43"/>
  <c r="BS203" i="43"/>
  <c r="AQ203" i="43"/>
  <c r="BR203" i="43" s="1"/>
  <c r="BQ204" i="43"/>
  <c r="AS204" i="43"/>
  <c r="BP205" i="43"/>
  <c r="AR205" i="43"/>
  <c r="AH205" i="43"/>
  <c r="BS210" i="43"/>
  <c r="AQ210" i="43"/>
  <c r="BR210" i="43" s="1"/>
  <c r="BQ211" i="43"/>
  <c r="AS211" i="43"/>
  <c r="BP212" i="43"/>
  <c r="AR212" i="43"/>
  <c r="AH212" i="43"/>
  <c r="BS217" i="43"/>
  <c r="AQ217" i="43"/>
  <c r="BR217" i="43" s="1"/>
  <c r="BQ218" i="43"/>
  <c r="AS218" i="43"/>
  <c r="BS224" i="43"/>
  <c r="AQ224" i="43"/>
  <c r="BR224" i="43" s="1"/>
  <c r="BS232" i="43"/>
  <c r="AQ232" i="43"/>
  <c r="BP234" i="43"/>
  <c r="AR234" i="43"/>
  <c r="AH234" i="43"/>
  <c r="BQ240" i="43"/>
  <c r="AS240" i="43"/>
  <c r="BP241" i="43"/>
  <c r="AR241" i="43"/>
  <c r="AH241" i="43"/>
  <c r="BS246" i="43"/>
  <c r="AQ246" i="43"/>
  <c r="BR246" i="43" s="1"/>
  <c r="BQ247" i="43"/>
  <c r="AS247" i="43"/>
  <c r="BP248" i="43"/>
  <c r="AH248" i="43"/>
  <c r="AR248" i="43"/>
  <c r="BS253" i="43"/>
  <c r="AQ253" i="43"/>
  <c r="BR253" i="43" s="1"/>
  <c r="BQ254" i="43"/>
  <c r="AS254" i="43"/>
  <c r="BP255" i="43"/>
  <c r="AR255" i="43"/>
  <c r="AH255" i="43"/>
  <c r="BS261" i="43"/>
  <c r="AQ261" i="43"/>
  <c r="BR261" i="43" s="1"/>
  <c r="BS269" i="43"/>
  <c r="AQ269" i="43"/>
  <c r="BR269" i="43" s="1"/>
  <c r="BQ270" i="43"/>
  <c r="AS270" i="43"/>
  <c r="BP271" i="43"/>
  <c r="AH271" i="43"/>
  <c r="AR271" i="43"/>
  <c r="BS277" i="43"/>
  <c r="AQ277" i="43"/>
  <c r="BR277" i="43" s="1"/>
  <c r="BS284" i="43"/>
  <c r="AQ284" i="43"/>
  <c r="BR284" i="43" s="1"/>
  <c r="BQ285" i="43"/>
  <c r="AS285" i="43"/>
  <c r="BP286" i="43"/>
  <c r="AR286" i="43"/>
  <c r="AH286" i="43"/>
  <c r="BQ292" i="43"/>
  <c r="AS292" i="43"/>
  <c r="BP293" i="43"/>
  <c r="AR293" i="43"/>
  <c r="AH293" i="43"/>
  <c r="AU293" i="43" s="1"/>
  <c r="BS299" i="43"/>
  <c r="AQ299" i="43"/>
  <c r="BR299" i="43" s="1"/>
  <c r="BQ300" i="43"/>
  <c r="AS300" i="43"/>
  <c r="BS306" i="43"/>
  <c r="AQ306" i="43"/>
  <c r="BQ307" i="43"/>
  <c r="AS307" i="43"/>
  <c r="BP308" i="43"/>
  <c r="AR308" i="43"/>
  <c r="AH308" i="43"/>
  <c r="BS313" i="43"/>
  <c r="AQ313" i="43"/>
  <c r="BR313" i="43" s="1"/>
  <c r="BP315" i="43"/>
  <c r="AR315" i="43"/>
  <c r="AH315" i="43"/>
  <c r="BS320" i="43"/>
  <c r="AQ320" i="43"/>
  <c r="BR320" i="43" s="1"/>
  <c r="BQ321" i="43"/>
  <c r="AS321" i="43"/>
  <c r="BS329" i="43"/>
  <c r="AQ329" i="43"/>
  <c r="BR329" i="43" s="1"/>
  <c r="BP331" i="43"/>
  <c r="AR331" i="43"/>
  <c r="AH331" i="43"/>
  <c r="BS337" i="43"/>
  <c r="AQ337" i="43"/>
  <c r="BQ338" i="43"/>
  <c r="AS338" i="43"/>
  <c r="BP339" i="43"/>
  <c r="AH339" i="43"/>
  <c r="AR339" i="43"/>
  <c r="BS343" i="43"/>
  <c r="AQ343" i="43"/>
  <c r="BR343" i="43" s="1"/>
  <c r="BQ344" i="43"/>
  <c r="AS344" i="43"/>
  <c r="BS350" i="43"/>
  <c r="AQ350" i="43"/>
  <c r="BR350" i="43" s="1"/>
  <c r="BS357" i="43"/>
  <c r="AQ357" i="43"/>
  <c r="BR357" i="43" s="1"/>
  <c r="BQ359" i="43"/>
  <c r="AS359" i="43"/>
  <c r="BS365" i="43"/>
  <c r="AQ365" i="43"/>
  <c r="BR365" i="43" s="1"/>
  <c r="BP367" i="43"/>
  <c r="AR367" i="43"/>
  <c r="AH367" i="43"/>
  <c r="BQ373" i="43"/>
  <c r="AS373" i="43"/>
  <c r="BS381" i="43"/>
  <c r="AQ381" i="43"/>
  <c r="BR381" i="43" s="1"/>
  <c r="BQ382" i="43"/>
  <c r="AS382" i="43"/>
  <c r="BS388" i="43"/>
  <c r="AQ388" i="43"/>
  <c r="BR388" i="43" s="1"/>
  <c r="BS396" i="43"/>
  <c r="AQ396" i="43"/>
  <c r="BR396" i="43" s="1"/>
  <c r="BQ397" i="43"/>
  <c r="AS397" i="43"/>
  <c r="BP398" i="43"/>
  <c r="AR398" i="43"/>
  <c r="AH398" i="43"/>
  <c r="BS403" i="43"/>
  <c r="AQ403" i="43"/>
  <c r="BR403" i="43" s="1"/>
  <c r="BQ404" i="43"/>
  <c r="AS404" i="43"/>
  <c r="BP405" i="43"/>
  <c r="AR405" i="43"/>
  <c r="AH405" i="43"/>
  <c r="BQ411" i="43"/>
  <c r="AS411" i="43"/>
  <c r="BP412" i="43"/>
  <c r="AR412" i="43"/>
  <c r="AH412" i="43"/>
  <c r="BQ418" i="43"/>
  <c r="AS418" i="43"/>
  <c r="BP419" i="43"/>
  <c r="AR419" i="43"/>
  <c r="AH419" i="43"/>
  <c r="BQ425" i="43"/>
  <c r="AS425" i="43"/>
  <c r="BP426" i="43"/>
  <c r="AR426" i="43"/>
  <c r="AH426" i="43"/>
  <c r="BQ432" i="43"/>
  <c r="AS432" i="43"/>
  <c r="BP433" i="43"/>
  <c r="AH433" i="43"/>
  <c r="AR433" i="43"/>
  <c r="BQ439" i="43"/>
  <c r="AS439" i="43"/>
  <c r="BP440" i="43"/>
  <c r="AR440" i="43"/>
  <c r="AH440" i="43"/>
  <c r="BQ446" i="43"/>
  <c r="AS446" i="43"/>
  <c r="BP447" i="43"/>
  <c r="AH447" i="43"/>
  <c r="AR447" i="43"/>
  <c r="BQ453" i="43"/>
  <c r="AS453" i="43"/>
  <c r="BP454" i="43"/>
  <c r="AH454" i="43"/>
  <c r="AR454" i="43"/>
  <c r="BS460" i="43"/>
  <c r="AQ460" i="43"/>
  <c r="BR460" i="43" s="1"/>
  <c r="BP462" i="43"/>
  <c r="AR462" i="43"/>
  <c r="AH462" i="43"/>
  <c r="BW42" i="43"/>
  <c r="BW116" i="43"/>
  <c r="BW27" i="43"/>
  <c r="BW49" i="43"/>
  <c r="BW59" i="43"/>
  <c r="BW67" i="43"/>
  <c r="BW82" i="43"/>
  <c r="BW125" i="43"/>
  <c r="BW219" i="43"/>
  <c r="BW276" i="43"/>
  <c r="BW328" i="43"/>
  <c r="BW336" i="43"/>
  <c r="BW35" i="43"/>
  <c r="BW109" i="43"/>
  <c r="BW162" i="43"/>
  <c r="BW262" i="43"/>
  <c r="BW52" i="43"/>
  <c r="BW86" i="43"/>
  <c r="BW94" i="43"/>
  <c r="BW102" i="43"/>
  <c r="BT43" i="44"/>
  <c r="BT49" i="44" s="1"/>
  <c r="AP49" i="44"/>
  <c r="BT64" i="44"/>
  <c r="BT70" i="44" s="1"/>
  <c r="AP70" i="44"/>
  <c r="BT85" i="44"/>
  <c r="BT88" i="44" s="1"/>
  <c r="AP88" i="44"/>
  <c r="AO128" i="44"/>
  <c r="AO98" i="44"/>
  <c r="BT99" i="44"/>
  <c r="BT102" i="44" s="1"/>
  <c r="AP102" i="44"/>
  <c r="BT122" i="44"/>
  <c r="BT128" i="44" s="1"/>
  <c r="AP128" i="44"/>
  <c r="BT36" i="44"/>
  <c r="BT42" i="44" s="1"/>
  <c r="AP42" i="44"/>
  <c r="BT50" i="44"/>
  <c r="BT56" i="44" s="1"/>
  <c r="AP56" i="44"/>
  <c r="BT89" i="44"/>
  <c r="BT92" i="44" s="1"/>
  <c r="AP92" i="44"/>
  <c r="BT113" i="44"/>
  <c r="AP121" i="44"/>
  <c r="BS12" i="44"/>
  <c r="BS13" i="44" s="1"/>
  <c r="AO13" i="44"/>
  <c r="AO28" i="44"/>
  <c r="BT93" i="44"/>
  <c r="BT98" i="44" s="1"/>
  <c r="AP98" i="44"/>
  <c r="BT71" i="44"/>
  <c r="BT77" i="44" s="1"/>
  <c r="AP77" i="44"/>
  <c r="BT105" i="44"/>
  <c r="BT110" i="44" s="1"/>
  <c r="AP110" i="44"/>
  <c r="BT12" i="44"/>
  <c r="BT13" i="44" s="1"/>
  <c r="AP13" i="44"/>
  <c r="AO19" i="44"/>
  <c r="BT20" i="44"/>
  <c r="BT28" i="44" s="1"/>
  <c r="AP28" i="44"/>
  <c r="BT29" i="44"/>
  <c r="BT35" i="44" s="1"/>
  <c r="AP35" i="44"/>
  <c r="BT57" i="44"/>
  <c r="BT63" i="44" s="1"/>
  <c r="AP63" i="44"/>
  <c r="BT78" i="44"/>
  <c r="BT84" i="44" s="1"/>
  <c r="AP84" i="44"/>
  <c r="BT14" i="44"/>
  <c r="AP19" i="44"/>
  <c r="AO35" i="44"/>
  <c r="AO42" i="44"/>
  <c r="AO49" i="44"/>
  <c r="AO56" i="44"/>
  <c r="AO63" i="44"/>
  <c r="AO70" i="44"/>
  <c r="AO77" i="44"/>
  <c r="AO84" i="44"/>
  <c r="AO88" i="44"/>
  <c r="BT103" i="44"/>
  <c r="BT104" i="44" s="1"/>
  <c r="AP104" i="44"/>
  <c r="AO110" i="44"/>
  <c r="BT111" i="44"/>
  <c r="BT112" i="44" s="1"/>
  <c r="AP112" i="44"/>
  <c r="AO121" i="44"/>
  <c r="BS15" i="44"/>
  <c r="AQ15" i="44"/>
  <c r="BR15" i="44" s="1"/>
  <c r="BQ23" i="44"/>
  <c r="AS23" i="44"/>
  <c r="BP24" i="44"/>
  <c r="AR24" i="44"/>
  <c r="AH24" i="44"/>
  <c r="BS29" i="44"/>
  <c r="AQ29" i="44"/>
  <c r="BQ30" i="44"/>
  <c r="AS30" i="44"/>
  <c r="BS36" i="44"/>
  <c r="AQ36" i="44"/>
  <c r="BQ37" i="44"/>
  <c r="AS37" i="44"/>
  <c r="BS43" i="44"/>
  <c r="AQ43" i="44"/>
  <c r="BR43" i="44" s="1"/>
  <c r="BQ44" i="44"/>
  <c r="AS44" i="44"/>
  <c r="BS50" i="44"/>
  <c r="AQ50" i="44"/>
  <c r="BQ51" i="44"/>
  <c r="AS51" i="44"/>
  <c r="BS57" i="44"/>
  <c r="AQ57" i="44"/>
  <c r="BQ58" i="44"/>
  <c r="AS58" i="44"/>
  <c r="BS64" i="44"/>
  <c r="AQ64" i="44"/>
  <c r="BR64" i="44" s="1"/>
  <c r="BQ65" i="44"/>
  <c r="AS65" i="44"/>
  <c r="BS71" i="44"/>
  <c r="AQ71" i="44"/>
  <c r="BQ72" i="44"/>
  <c r="AS72" i="44"/>
  <c r="BS78" i="44"/>
  <c r="AQ78" i="44"/>
  <c r="BR78" i="44" s="1"/>
  <c r="BQ79" i="44"/>
  <c r="AS79" i="44"/>
  <c r="BS85" i="44"/>
  <c r="AQ85" i="44"/>
  <c r="BR85" i="44" s="1"/>
  <c r="BP86" i="44"/>
  <c r="AR86" i="44"/>
  <c r="AH86" i="44"/>
  <c r="BS89" i="44"/>
  <c r="AQ89" i="44"/>
  <c r="BR89" i="44" s="1"/>
  <c r="BP91" i="44"/>
  <c r="AH91" i="44"/>
  <c r="AR91" i="44"/>
  <c r="BS96" i="44"/>
  <c r="AQ96" i="44"/>
  <c r="BR96" i="44" s="1"/>
  <c r="BQ97" i="44"/>
  <c r="AS97" i="44"/>
  <c r="BS105" i="44"/>
  <c r="AQ105" i="44"/>
  <c r="BR105" i="44" s="1"/>
  <c r="BQ106" i="44"/>
  <c r="AS106" i="44"/>
  <c r="BS113" i="44"/>
  <c r="AQ113" i="44"/>
  <c r="BR113" i="44" s="1"/>
  <c r="BQ114" i="44"/>
  <c r="AS114" i="44"/>
  <c r="BP115" i="44"/>
  <c r="AR115" i="44"/>
  <c r="AH115" i="44"/>
  <c r="BS119" i="44"/>
  <c r="AQ119" i="44"/>
  <c r="BR119" i="44" s="1"/>
  <c r="BS126" i="44"/>
  <c r="AQ126" i="44"/>
  <c r="BR126" i="44" s="1"/>
  <c r="BQ127" i="44"/>
  <c r="AS127" i="44"/>
  <c r="BS16" i="44"/>
  <c r="AQ16" i="44"/>
  <c r="BR16" i="44" s="1"/>
  <c r="BS23" i="44"/>
  <c r="AQ23" i="44"/>
  <c r="BR23" i="44" s="1"/>
  <c r="BQ24" i="44"/>
  <c r="AS24" i="44"/>
  <c r="BP25" i="44"/>
  <c r="AR25" i="44"/>
  <c r="AH25" i="44"/>
  <c r="BS30" i="44"/>
  <c r="AQ30" i="44"/>
  <c r="BR30" i="44" s="1"/>
  <c r="BP32" i="44"/>
  <c r="AR32" i="44"/>
  <c r="AH32" i="44"/>
  <c r="BS37" i="44"/>
  <c r="AQ37" i="44"/>
  <c r="BR37" i="44" s="1"/>
  <c r="BP39" i="44"/>
  <c r="AR39" i="44"/>
  <c r="AH39" i="44"/>
  <c r="BS44" i="44"/>
  <c r="AQ44" i="44"/>
  <c r="BR44" i="44" s="1"/>
  <c r="BP46" i="44"/>
  <c r="AR46" i="44"/>
  <c r="AH46" i="44"/>
  <c r="BS51" i="44"/>
  <c r="AQ51" i="44"/>
  <c r="BR51" i="44" s="1"/>
  <c r="BP53" i="44"/>
  <c r="AR53" i="44"/>
  <c r="AH53" i="44"/>
  <c r="BS58" i="44"/>
  <c r="AQ58" i="44"/>
  <c r="BR58" i="44" s="1"/>
  <c r="BP60" i="44"/>
  <c r="AR60" i="44"/>
  <c r="AH60" i="44"/>
  <c r="AU60" i="44" s="1"/>
  <c r="BS65" i="44"/>
  <c r="AQ65" i="44"/>
  <c r="BR65" i="44" s="1"/>
  <c r="BP67" i="44"/>
  <c r="AR67" i="44"/>
  <c r="AH67" i="44"/>
  <c r="BS72" i="44"/>
  <c r="AQ72" i="44"/>
  <c r="BR72" i="44" s="1"/>
  <c r="BP74" i="44"/>
  <c r="AR74" i="44"/>
  <c r="AH74" i="44"/>
  <c r="BS79" i="44"/>
  <c r="AQ79" i="44"/>
  <c r="BR79" i="44" s="1"/>
  <c r="BP81" i="44"/>
  <c r="AR81" i="44"/>
  <c r="AH81" i="44"/>
  <c r="AU81" i="44" s="1"/>
  <c r="BQ86" i="44"/>
  <c r="AS86" i="44"/>
  <c r="BP87" i="44"/>
  <c r="AR87" i="44"/>
  <c r="AH87" i="44"/>
  <c r="BQ91" i="44"/>
  <c r="AS91" i="44"/>
  <c r="BS97" i="44"/>
  <c r="AQ97" i="44"/>
  <c r="BR97" i="44" s="1"/>
  <c r="BS106" i="44"/>
  <c r="AQ106" i="44"/>
  <c r="BR106" i="44" s="1"/>
  <c r="BP108" i="44"/>
  <c r="AH108" i="44"/>
  <c r="AR108" i="44"/>
  <c r="BS114" i="44"/>
  <c r="AQ114" i="44"/>
  <c r="BR114" i="44" s="1"/>
  <c r="BQ115" i="44"/>
  <c r="AS115" i="44"/>
  <c r="BS120" i="44"/>
  <c r="AQ120" i="44"/>
  <c r="BP123" i="44"/>
  <c r="AR123" i="44"/>
  <c r="AH123" i="44"/>
  <c r="BS127" i="44"/>
  <c r="AQ127" i="44"/>
  <c r="BR127" i="44" s="1"/>
  <c r="BS17" i="44"/>
  <c r="AQ17" i="44"/>
  <c r="BR17" i="44" s="1"/>
  <c r="BQ18" i="44"/>
  <c r="AS18" i="44"/>
  <c r="BP20" i="44"/>
  <c r="AR20" i="44"/>
  <c r="AH20" i="44"/>
  <c r="BS24" i="44"/>
  <c r="AQ24" i="44"/>
  <c r="BR24" i="44" s="1"/>
  <c r="BQ25" i="44"/>
  <c r="AS25" i="44"/>
  <c r="BP26" i="44"/>
  <c r="AR26" i="44"/>
  <c r="AH26" i="44"/>
  <c r="BQ32" i="44"/>
  <c r="AS32" i="44"/>
  <c r="BP33" i="44"/>
  <c r="AR33" i="44"/>
  <c r="AH33" i="44"/>
  <c r="BQ39" i="44"/>
  <c r="AS39" i="44"/>
  <c r="BP40" i="44"/>
  <c r="AR40" i="44"/>
  <c r="AH40" i="44"/>
  <c r="BQ46" i="44"/>
  <c r="AS46" i="44"/>
  <c r="BP47" i="44"/>
  <c r="AR47" i="44"/>
  <c r="AH47" i="44"/>
  <c r="BQ53" i="44"/>
  <c r="AS53" i="44"/>
  <c r="BP54" i="44"/>
  <c r="AR54" i="44"/>
  <c r="AH54" i="44"/>
  <c r="BQ60" i="44"/>
  <c r="AS60" i="44"/>
  <c r="BP61" i="44"/>
  <c r="AR61" i="44"/>
  <c r="AH61" i="44"/>
  <c r="BQ67" i="44"/>
  <c r="AS67" i="44"/>
  <c r="BP68" i="44"/>
  <c r="AR68" i="44"/>
  <c r="AH68" i="44"/>
  <c r="BQ74" i="44"/>
  <c r="AS74" i="44"/>
  <c r="BP75" i="44"/>
  <c r="AR75" i="44"/>
  <c r="AH75" i="44"/>
  <c r="BQ81" i="44"/>
  <c r="AS81" i="44"/>
  <c r="BP82" i="44"/>
  <c r="AR82" i="44"/>
  <c r="AH82" i="44"/>
  <c r="BS86" i="44"/>
  <c r="AQ86" i="44"/>
  <c r="BR86" i="44" s="1"/>
  <c r="BQ87" i="44"/>
  <c r="AS87" i="44"/>
  <c r="BS91" i="44"/>
  <c r="AQ91" i="44"/>
  <c r="BR91" i="44" s="1"/>
  <c r="BP94" i="44"/>
  <c r="AR94" i="44"/>
  <c r="AH94" i="44"/>
  <c r="BS99" i="44"/>
  <c r="AQ99" i="44"/>
  <c r="BR99" i="44" s="1"/>
  <c r="BP101" i="44"/>
  <c r="AR101" i="44"/>
  <c r="AH101" i="44"/>
  <c r="BQ108" i="44"/>
  <c r="AS108" i="44"/>
  <c r="BP109" i="44"/>
  <c r="AH109" i="44"/>
  <c r="AR109" i="44"/>
  <c r="BS115" i="44"/>
  <c r="AQ115" i="44"/>
  <c r="BR115" i="44" s="1"/>
  <c r="BP117" i="44"/>
  <c r="AH117" i="44"/>
  <c r="AU117" i="44" s="1"/>
  <c r="AR117" i="44"/>
  <c r="BS122" i="44"/>
  <c r="AQ122" i="44"/>
  <c r="BR122" i="44" s="1"/>
  <c r="BQ123" i="44"/>
  <c r="AS123" i="44"/>
  <c r="BP14" i="44"/>
  <c r="AR14" i="44"/>
  <c r="AH14" i="44"/>
  <c r="BS18" i="44"/>
  <c r="AQ18" i="44"/>
  <c r="BQ20" i="44"/>
  <c r="AS20" i="44"/>
  <c r="BP21" i="44"/>
  <c r="AR21" i="44"/>
  <c r="AH21" i="44"/>
  <c r="BS25" i="44"/>
  <c r="AQ25" i="44"/>
  <c r="BR25" i="44" s="1"/>
  <c r="BQ26" i="44"/>
  <c r="AS26" i="44"/>
  <c r="BP27" i="44"/>
  <c r="AR27" i="44"/>
  <c r="AH27" i="44"/>
  <c r="BS32" i="44"/>
  <c r="AQ32" i="44"/>
  <c r="BR32" i="44" s="1"/>
  <c r="BQ33" i="44"/>
  <c r="AS33" i="44"/>
  <c r="BP34" i="44"/>
  <c r="AR34" i="44"/>
  <c r="AH34" i="44"/>
  <c r="BS39" i="44"/>
  <c r="AQ39" i="44"/>
  <c r="BR39" i="44" s="1"/>
  <c r="BQ40" i="44"/>
  <c r="AS40" i="44"/>
  <c r="BP41" i="44"/>
  <c r="AR41" i="44"/>
  <c r="AH41" i="44"/>
  <c r="BS46" i="44"/>
  <c r="AQ46" i="44"/>
  <c r="BR46" i="44" s="1"/>
  <c r="BQ47" i="44"/>
  <c r="AS47" i="44"/>
  <c r="BP48" i="44"/>
  <c r="AR48" i="44"/>
  <c r="AH48" i="44"/>
  <c r="BS53" i="44"/>
  <c r="AQ53" i="44"/>
  <c r="BR53" i="44" s="1"/>
  <c r="BQ54" i="44"/>
  <c r="AS54" i="44"/>
  <c r="BP55" i="44"/>
  <c r="AR55" i="44"/>
  <c r="AH55" i="44"/>
  <c r="BS60" i="44"/>
  <c r="AQ60" i="44"/>
  <c r="BR60" i="44" s="1"/>
  <c r="BQ61" i="44"/>
  <c r="AS61" i="44"/>
  <c r="BP62" i="44"/>
  <c r="AR62" i="44"/>
  <c r="AH62" i="44"/>
  <c r="AU62" i="44" s="1"/>
  <c r="BS67" i="44"/>
  <c r="AQ67" i="44"/>
  <c r="BR67" i="44" s="1"/>
  <c r="BQ68" i="44"/>
  <c r="AS68" i="44"/>
  <c r="BP69" i="44"/>
  <c r="AR69" i="44"/>
  <c r="AH69" i="44"/>
  <c r="BS74" i="44"/>
  <c r="AQ74" i="44"/>
  <c r="BR74" i="44" s="1"/>
  <c r="BQ75" i="44"/>
  <c r="AS75" i="44"/>
  <c r="BP76" i="44"/>
  <c r="AR76" i="44"/>
  <c r="AH76" i="44"/>
  <c r="BS81" i="44"/>
  <c r="AQ81" i="44"/>
  <c r="BR81" i="44" s="1"/>
  <c r="BQ82" i="44"/>
  <c r="AS82" i="44"/>
  <c r="BP83" i="44"/>
  <c r="AR83" i="44"/>
  <c r="AH83" i="44"/>
  <c r="BS87" i="44"/>
  <c r="AQ87" i="44"/>
  <c r="BR87" i="44" s="1"/>
  <c r="BS93" i="44"/>
  <c r="AQ93" i="44"/>
  <c r="BR93" i="44" s="1"/>
  <c r="BQ94" i="44"/>
  <c r="AS94" i="44"/>
  <c r="BQ101" i="44"/>
  <c r="AS101" i="44"/>
  <c r="BS108" i="44"/>
  <c r="AQ108" i="44"/>
  <c r="BR108" i="44" s="1"/>
  <c r="BQ109" i="44"/>
  <c r="AS109" i="44"/>
  <c r="BQ117" i="44"/>
  <c r="AS117" i="44"/>
  <c r="BP118" i="44"/>
  <c r="AR118" i="44"/>
  <c r="AH118" i="44"/>
  <c r="BS123" i="44"/>
  <c r="AQ123" i="44"/>
  <c r="BR123" i="44" s="1"/>
  <c r="BP125" i="44"/>
  <c r="AR125" i="44"/>
  <c r="AH125" i="44"/>
  <c r="BQ14" i="44"/>
  <c r="AS14" i="44"/>
  <c r="BP15" i="44"/>
  <c r="AR15" i="44"/>
  <c r="AH15" i="44"/>
  <c r="BS20" i="44"/>
  <c r="AQ20" i="44"/>
  <c r="BQ21" i="44"/>
  <c r="AS21" i="44"/>
  <c r="BS26" i="44"/>
  <c r="AQ26" i="44"/>
  <c r="BR26" i="44" s="1"/>
  <c r="BQ27" i="44"/>
  <c r="AS27" i="44"/>
  <c r="BP29" i="44"/>
  <c r="AR29" i="44"/>
  <c r="AH29" i="44"/>
  <c r="BS33" i="44"/>
  <c r="AQ33" i="44"/>
  <c r="BR33" i="44" s="1"/>
  <c r="BQ34" i="44"/>
  <c r="AS34" i="44"/>
  <c r="BP36" i="44"/>
  <c r="AR36" i="44"/>
  <c r="AH36" i="44"/>
  <c r="BS40" i="44"/>
  <c r="AQ40" i="44"/>
  <c r="BR40" i="44" s="1"/>
  <c r="BQ41" i="44"/>
  <c r="AS41" i="44"/>
  <c r="BP43" i="44"/>
  <c r="AR43" i="44"/>
  <c r="AH43" i="44"/>
  <c r="BS47" i="44"/>
  <c r="AQ47" i="44"/>
  <c r="BR47" i="44" s="1"/>
  <c r="BQ48" i="44"/>
  <c r="AS48" i="44"/>
  <c r="BS54" i="44"/>
  <c r="AQ54" i="44"/>
  <c r="BR54" i="44" s="1"/>
  <c r="BQ55" i="44"/>
  <c r="AS55" i="44"/>
  <c r="BP57" i="44"/>
  <c r="AR57" i="44"/>
  <c r="AH57" i="44"/>
  <c r="BS61" i="44"/>
  <c r="AQ61" i="44"/>
  <c r="BR61" i="44" s="1"/>
  <c r="BQ62" i="44"/>
  <c r="AS62" i="44"/>
  <c r="BS68" i="44"/>
  <c r="AQ68" i="44"/>
  <c r="BR68" i="44" s="1"/>
  <c r="BQ69" i="44"/>
  <c r="AS69" i="44"/>
  <c r="BP71" i="44"/>
  <c r="AR71" i="44"/>
  <c r="BS75" i="44"/>
  <c r="AQ75" i="44"/>
  <c r="BR75" i="44" s="1"/>
  <c r="BQ76" i="44"/>
  <c r="AS76" i="44"/>
  <c r="BS82" i="44"/>
  <c r="AQ82" i="44"/>
  <c r="BR82" i="44" s="1"/>
  <c r="BQ83" i="44"/>
  <c r="AS83" i="44"/>
  <c r="BS94" i="44"/>
  <c r="AQ94" i="44"/>
  <c r="BR94" i="44" s="1"/>
  <c r="BP96" i="44"/>
  <c r="AR96" i="44"/>
  <c r="AH96" i="44"/>
  <c r="BS101" i="44"/>
  <c r="AQ101" i="44"/>
  <c r="BR101" i="44" s="1"/>
  <c r="BS109" i="44"/>
  <c r="AQ109" i="44"/>
  <c r="BR109" i="44" s="1"/>
  <c r="BS117" i="44"/>
  <c r="AQ117" i="44"/>
  <c r="BR117" i="44" s="1"/>
  <c r="BQ118" i="44"/>
  <c r="AS118" i="44"/>
  <c r="AT118" i="44" s="1"/>
  <c r="BP119" i="44"/>
  <c r="AR119" i="44"/>
  <c r="AH119" i="44"/>
  <c r="BQ125" i="44"/>
  <c r="AS125" i="44"/>
  <c r="BP126" i="44"/>
  <c r="AR126" i="44"/>
  <c r="AH126" i="44"/>
  <c r="BP17" i="44"/>
  <c r="AR17" i="44"/>
  <c r="BS14" i="44"/>
  <c r="AQ14" i="44"/>
  <c r="BR14" i="44" s="1"/>
  <c r="BQ15" i="44"/>
  <c r="AS15" i="44"/>
  <c r="BP16" i="44"/>
  <c r="AR16" i="44"/>
  <c r="BS21" i="44"/>
  <c r="AQ21" i="44"/>
  <c r="BR21" i="44" s="1"/>
  <c r="BP23" i="44"/>
  <c r="AR23" i="44"/>
  <c r="AH23" i="44"/>
  <c r="BS27" i="44"/>
  <c r="AQ27" i="44"/>
  <c r="BR27" i="44" s="1"/>
  <c r="BQ29" i="44"/>
  <c r="AS29" i="44"/>
  <c r="BP30" i="44"/>
  <c r="AR30" i="44"/>
  <c r="AH30" i="44"/>
  <c r="BS34" i="44"/>
  <c r="AQ34" i="44"/>
  <c r="BR34" i="44" s="1"/>
  <c r="BQ36" i="44"/>
  <c r="AS36" i="44"/>
  <c r="BP37" i="44"/>
  <c r="AR37" i="44"/>
  <c r="AH37" i="44"/>
  <c r="AU37" i="44" s="1"/>
  <c r="BS41" i="44"/>
  <c r="AQ41" i="44"/>
  <c r="BR41" i="44" s="1"/>
  <c r="BQ43" i="44"/>
  <c r="AS43" i="44"/>
  <c r="BP44" i="44"/>
  <c r="AR44" i="44"/>
  <c r="AH44" i="44"/>
  <c r="BS48" i="44"/>
  <c r="AQ48" i="44"/>
  <c r="BR48" i="44" s="1"/>
  <c r="BP51" i="44"/>
  <c r="AR51" i="44"/>
  <c r="AH51" i="44"/>
  <c r="BS55" i="44"/>
  <c r="AQ55" i="44"/>
  <c r="BR55" i="44" s="1"/>
  <c r="BQ57" i="44"/>
  <c r="AS57" i="44"/>
  <c r="BP58" i="44"/>
  <c r="AR58" i="44"/>
  <c r="AH58" i="44"/>
  <c r="BS62" i="44"/>
  <c r="AQ62" i="44"/>
  <c r="BR62" i="44" s="1"/>
  <c r="BQ64" i="44"/>
  <c r="AS64" i="44"/>
  <c r="BP65" i="44"/>
  <c r="AR65" i="44"/>
  <c r="AH65" i="44"/>
  <c r="BS69" i="44"/>
  <c r="AQ69" i="44"/>
  <c r="BR69" i="44" s="1"/>
  <c r="BP72" i="44"/>
  <c r="AR72" i="44"/>
  <c r="AH72" i="44"/>
  <c r="BS76" i="44"/>
  <c r="AQ76" i="44"/>
  <c r="BR76" i="44" s="1"/>
  <c r="BP79" i="44"/>
  <c r="AR79" i="44"/>
  <c r="AH79" i="44"/>
  <c r="BS83" i="44"/>
  <c r="AQ83" i="44"/>
  <c r="BR83" i="44" s="1"/>
  <c r="BQ96" i="44"/>
  <c r="AS96" i="44"/>
  <c r="BP97" i="44"/>
  <c r="AR97" i="44"/>
  <c r="AH97" i="44"/>
  <c r="BS103" i="44"/>
  <c r="BS104" i="44" s="1"/>
  <c r="AQ103" i="44"/>
  <c r="AQ104" i="44" s="1"/>
  <c r="BP106" i="44"/>
  <c r="AH106" i="44"/>
  <c r="AU106" i="44" s="1"/>
  <c r="AR106" i="44"/>
  <c r="AQ111" i="44"/>
  <c r="AQ112" i="44" s="1"/>
  <c r="BP114" i="44"/>
  <c r="AR114" i="44"/>
  <c r="AH114" i="44"/>
  <c r="BS118" i="44"/>
  <c r="AQ118" i="44"/>
  <c r="BR118" i="44" s="1"/>
  <c r="BQ119" i="44"/>
  <c r="AS119" i="44"/>
  <c r="BS125" i="44"/>
  <c r="AQ125" i="44"/>
  <c r="BR125" i="44" s="1"/>
  <c r="BQ126" i="44"/>
  <c r="AS126" i="44"/>
  <c r="BP127" i="44"/>
  <c r="AH127" i="44"/>
  <c r="AR127" i="44"/>
  <c r="BZ35" i="44"/>
  <c r="BZ56" i="44"/>
  <c r="BZ63" i="44"/>
  <c r="BZ70" i="44"/>
  <c r="BZ77" i="44"/>
  <c r="BZ84" i="44"/>
  <c r="BZ88" i="44"/>
  <c r="BZ92" i="44"/>
  <c r="BW102" i="44"/>
  <c r="BW128" i="44"/>
  <c r="BZ110" i="44"/>
  <c r="BY102" i="44"/>
  <c r="BZ49" i="44"/>
  <c r="BZ42" i="44"/>
  <c r="BW18" i="43"/>
  <c r="BW75" i="43"/>
  <c r="BW90" i="43"/>
  <c r="BW98" i="43"/>
  <c r="BW105" i="43"/>
  <c r="BW168" i="43"/>
  <c r="BW225" i="43"/>
  <c r="BW351" i="43"/>
  <c r="BW393" i="43"/>
  <c r="BW98" i="44"/>
  <c r="BY128" i="44"/>
  <c r="BW28" i="44"/>
  <c r="BY98" i="44"/>
  <c r="BZ102" i="44"/>
  <c r="BZ128" i="44"/>
  <c r="BW19" i="44"/>
  <c r="BZ98" i="44"/>
  <c r="BZ28" i="44"/>
  <c r="BW35" i="44"/>
  <c r="BW42" i="44"/>
  <c r="BW49" i="44"/>
  <c r="BW56" i="44"/>
  <c r="BW63" i="44"/>
  <c r="BW70" i="44"/>
  <c r="BW77" i="44"/>
  <c r="BW84" i="44"/>
  <c r="BW88" i="44"/>
  <c r="BW92" i="44"/>
  <c r="BW110" i="44"/>
  <c r="BW121" i="44"/>
  <c r="BY35" i="44"/>
  <c r="BY42" i="44"/>
  <c r="BY49" i="44"/>
  <c r="BY56" i="44"/>
  <c r="BY63" i="44"/>
  <c r="BY70" i="44"/>
  <c r="BY77" i="44"/>
  <c r="BY84" i="44"/>
  <c r="BY88" i="44"/>
  <c r="BY92" i="44"/>
  <c r="BY110" i="44"/>
  <c r="BK142" i="44"/>
  <c r="BY27" i="44"/>
  <c r="BY28" i="44" s="1"/>
  <c r="I49" i="44"/>
  <c r="BS111" i="44"/>
  <c r="BS112" i="44" s="1"/>
  <c r="I42" i="44"/>
  <c r="I104" i="44"/>
  <c r="I112" i="44"/>
  <c r="BW256" i="43"/>
  <c r="BW322" i="43"/>
  <c r="BW383" i="43"/>
  <c r="BW389" i="43"/>
  <c r="BW206" i="43"/>
  <c r="BW249" i="43"/>
  <c r="BW272" i="43"/>
  <c r="BW296" i="43"/>
  <c r="BW157" i="43"/>
  <c r="BW187" i="43"/>
  <c r="BW194" i="43"/>
  <c r="BW200" i="43"/>
  <c r="BW243" i="43"/>
  <c r="BW370" i="43"/>
  <c r="BW374" i="43"/>
  <c r="BW400" i="43"/>
  <c r="BW407" i="43"/>
  <c r="BW414" i="43"/>
  <c r="BW421" i="43"/>
  <c r="BW428" i="43"/>
  <c r="BW435" i="43"/>
  <c r="BW442" i="43"/>
  <c r="BW449" i="43"/>
  <c r="BW456" i="43"/>
  <c r="BW459" i="43"/>
  <c r="BW213" i="43"/>
  <c r="BW22" i="43"/>
  <c r="BW46" i="43"/>
  <c r="BW63" i="43"/>
  <c r="BW79" i="43"/>
  <c r="BW120" i="43"/>
  <c r="BW151" i="43"/>
  <c r="BW180" i="43"/>
  <c r="BW237" i="43"/>
  <c r="BW283" i="43"/>
  <c r="BW288" i="43"/>
  <c r="BW305" i="43"/>
  <c r="BW312" i="43"/>
  <c r="BW316" i="43"/>
  <c r="BW332" i="43"/>
  <c r="BW345" i="43"/>
  <c r="I42" i="43"/>
  <c r="BW31" i="43"/>
  <c r="BW39" i="43"/>
  <c r="BW55" i="43"/>
  <c r="BW113" i="43"/>
  <c r="BW132" i="43"/>
  <c r="BW139" i="43"/>
  <c r="BW145" i="43"/>
  <c r="BW174" i="43"/>
  <c r="BW231" i="43"/>
  <c r="BW266" i="43"/>
  <c r="BW358" i="43"/>
  <c r="BW363" i="43"/>
  <c r="BW463" i="43"/>
  <c r="I258" i="43"/>
  <c r="I428" i="43"/>
  <c r="I151" i="43"/>
  <c r="I328" i="43"/>
  <c r="M464" i="43"/>
  <c r="F13" i="47" s="1"/>
  <c r="I49" i="43"/>
  <c r="I376" i="43"/>
  <c r="I31" i="43"/>
  <c r="I374" i="43"/>
  <c r="I219" i="43"/>
  <c r="I125" i="43"/>
  <c r="BY375" i="43"/>
  <c r="BY376" i="43" s="1"/>
  <c r="I288" i="43"/>
  <c r="I324" i="43"/>
  <c r="I98" i="43"/>
  <c r="I414" i="43"/>
  <c r="I332" i="43"/>
  <c r="I442" i="43"/>
  <c r="I109" i="43"/>
  <c r="I298" i="43"/>
  <c r="I421" i="43"/>
  <c r="I363" i="43"/>
  <c r="I459" i="43"/>
  <c r="I113" i="43"/>
  <c r="I70" i="43"/>
  <c r="BY323" i="43"/>
  <c r="BY324" i="43" s="1"/>
  <c r="BY297" i="43"/>
  <c r="BY298" i="43" s="1"/>
  <c r="BS375" i="43"/>
  <c r="BS376" i="43" s="1"/>
  <c r="I456" i="43"/>
  <c r="I55" i="43"/>
  <c r="I39" i="43"/>
  <c r="I351" i="43"/>
  <c r="I336" i="43"/>
  <c r="BW375" i="43"/>
  <c r="BW376" i="43" s="1"/>
  <c r="I389" i="43"/>
  <c r="I312" i="43"/>
  <c r="I262" i="43"/>
  <c r="I94" i="43"/>
  <c r="I370" i="43"/>
  <c r="I322" i="43"/>
  <c r="I305" i="43"/>
  <c r="I18" i="43"/>
  <c r="I82" i="43"/>
  <c r="I35" i="43"/>
  <c r="I59" i="43"/>
  <c r="I162" i="43"/>
  <c r="I79" i="43"/>
  <c r="I383" i="43"/>
  <c r="I67" i="43"/>
  <c r="I174" i="43"/>
  <c r="I463" i="43"/>
  <c r="I105" i="43"/>
  <c r="I132" i="43"/>
  <c r="I46" i="43"/>
  <c r="I243" i="43"/>
  <c r="I276" i="43"/>
  <c r="I266" i="43"/>
  <c r="I75" i="43"/>
  <c r="I63" i="43"/>
  <c r="I22" i="43"/>
  <c r="I400" i="43"/>
  <c r="I225" i="43"/>
  <c r="I120" i="43"/>
  <c r="I407" i="43"/>
  <c r="I345" i="43"/>
  <c r="I168" i="43"/>
  <c r="I283" i="43"/>
  <c r="I237" i="43"/>
  <c r="I296" i="43"/>
  <c r="I435" i="43"/>
  <c r="I449" i="43"/>
  <c r="I231" i="43"/>
  <c r="I180" i="43"/>
  <c r="I249" i="43"/>
  <c r="I213" i="43"/>
  <c r="I86" i="43"/>
  <c r="I157" i="43"/>
  <c r="I27" i="43"/>
  <c r="I139" i="43"/>
  <c r="I393" i="43"/>
  <c r="I90" i="43"/>
  <c r="I206" i="43"/>
  <c r="I187" i="43"/>
  <c r="I200" i="43"/>
  <c r="I194" i="43"/>
  <c r="I102" i="43"/>
  <c r="I116" i="43"/>
  <c r="I316" i="43"/>
  <c r="I272" i="43"/>
  <c r="I52" i="43"/>
  <c r="I256" i="43"/>
  <c r="I145" i="43"/>
  <c r="I358" i="43"/>
  <c r="J13" i="43"/>
  <c r="P12" i="43"/>
  <c r="P13" i="43" s="1"/>
  <c r="Q12" i="43"/>
  <c r="Q13" i="43" s="1"/>
  <c r="U464" i="43"/>
  <c r="N13" i="47" s="1"/>
  <c r="R464" i="43"/>
  <c r="K13" i="47" s="1"/>
  <c r="K464" i="43"/>
  <c r="D13" i="47" s="1"/>
  <c r="T464" i="43"/>
  <c r="M13" i="47" s="1"/>
  <c r="L464" i="43"/>
  <c r="E13" i="47" s="1"/>
  <c r="BM458" i="43"/>
  <c r="BX458" i="43" s="1"/>
  <c r="BM341" i="43"/>
  <c r="BX341" i="43" s="1"/>
  <c r="BR33" i="43"/>
  <c r="BM241" i="43"/>
  <c r="BX241" i="43" s="1"/>
  <c r="I121" i="44"/>
  <c r="I35" i="44"/>
  <c r="I98" i="44"/>
  <c r="I84" i="44"/>
  <c r="I128" i="44"/>
  <c r="I102" i="44"/>
  <c r="I92" i="44"/>
  <c r="I28" i="44"/>
  <c r="I88" i="44"/>
  <c r="I77" i="44"/>
  <c r="I110" i="44"/>
  <c r="I19" i="44"/>
  <c r="I63" i="44"/>
  <c r="I56" i="44"/>
  <c r="I70" i="44"/>
  <c r="BR38" i="44"/>
  <c r="T129" i="44"/>
  <c r="M14" i="47" s="1"/>
  <c r="U129" i="44"/>
  <c r="N14" i="47" s="1"/>
  <c r="R129" i="44"/>
  <c r="K14" i="47" s="1"/>
  <c r="BK141" i="44"/>
  <c r="J142" i="44"/>
  <c r="M142" i="44"/>
  <c r="S142" i="44"/>
  <c r="J136" i="44"/>
  <c r="BY135" i="44"/>
  <c r="BR100" i="44"/>
  <c r="J474" i="43"/>
  <c r="BK477" i="43"/>
  <c r="BM424" i="43"/>
  <c r="BX424" i="43" s="1"/>
  <c r="AO476" i="43"/>
  <c r="BR65" i="43"/>
  <c r="BR73" i="43"/>
  <c r="M474" i="43"/>
  <c r="BL470" i="43"/>
  <c r="AO471" i="43"/>
  <c r="BM392" i="43"/>
  <c r="BX392" i="43" s="1"/>
  <c r="AO468" i="43"/>
  <c r="AO469" i="43"/>
  <c r="BM238" i="43"/>
  <c r="W336" i="43"/>
  <c r="BM394" i="43"/>
  <c r="M471" i="43"/>
  <c r="M470" i="43"/>
  <c r="M475" i="43"/>
  <c r="BL475" i="43"/>
  <c r="W470" i="43"/>
  <c r="J471" i="43"/>
  <c r="J470" i="43"/>
  <c r="J475" i="43"/>
  <c r="BK475" i="43"/>
  <c r="AP468" i="43"/>
  <c r="AP469" i="43"/>
  <c r="V475" i="43"/>
  <c r="BK476" i="43"/>
  <c r="BM193" i="43"/>
  <c r="BX193" i="43" s="1"/>
  <c r="AP471" i="43"/>
  <c r="BM12" i="43"/>
  <c r="BM13" i="43" s="1"/>
  <c r="BL477" i="43"/>
  <c r="AY468" i="43"/>
  <c r="AS17" i="43"/>
  <c r="W474" i="43"/>
  <c r="AY469" i="43"/>
  <c r="AS130" i="43"/>
  <c r="W475" i="43"/>
  <c r="BL476" i="43"/>
  <c r="BR164" i="43"/>
  <c r="AO470" i="43"/>
  <c r="AY471" i="43"/>
  <c r="S476" i="43"/>
  <c r="S469" i="43"/>
  <c r="J476" i="43"/>
  <c r="V474" i="43"/>
  <c r="BK469" i="43"/>
  <c r="AS138" i="43"/>
  <c r="W476" i="43"/>
  <c r="AY476" i="43"/>
  <c r="V470" i="43"/>
  <c r="S477" i="43"/>
  <c r="AP470" i="43"/>
  <c r="BK471" i="43"/>
  <c r="V468" i="43"/>
  <c r="BL468" i="43"/>
  <c r="V469" i="43"/>
  <c r="BL469" i="43"/>
  <c r="AP475" i="43"/>
  <c r="AY470" i="43"/>
  <c r="V471" i="43"/>
  <c r="BL471" i="43"/>
  <c r="M477" i="43"/>
  <c r="J469" i="43"/>
  <c r="J468" i="43"/>
  <c r="V476" i="43"/>
  <c r="BK468" i="43"/>
  <c r="AO475" i="43"/>
  <c r="M476" i="43"/>
  <c r="M469" i="43"/>
  <c r="W468" i="43"/>
  <c r="W469" i="43"/>
  <c r="BW475" i="43"/>
  <c r="AY475" i="43"/>
  <c r="AP476" i="43"/>
  <c r="BM250" i="43"/>
  <c r="BK470" i="43"/>
  <c r="W471" i="43"/>
  <c r="BR291" i="43"/>
  <c r="BK474" i="43"/>
  <c r="S471" i="43"/>
  <c r="S470" i="43"/>
  <c r="S475" i="43"/>
  <c r="S474" i="43"/>
  <c r="J477" i="43"/>
  <c r="Z467" i="43"/>
  <c r="T467" i="43"/>
  <c r="BF467" i="43"/>
  <c r="AA467" i="43"/>
  <c r="U467" i="43"/>
  <c r="BJ467" i="43"/>
  <c r="BD467" i="43"/>
  <c r="AE467" i="43"/>
  <c r="Y467" i="43"/>
  <c r="S468" i="43"/>
  <c r="M468" i="43"/>
  <c r="BI467" i="43"/>
  <c r="BC467" i="43"/>
  <c r="AW467" i="43"/>
  <c r="AD467" i="43"/>
  <c r="X467" i="43"/>
  <c r="BH467" i="43"/>
  <c r="BB467" i="43"/>
  <c r="AC467" i="43"/>
  <c r="BG467" i="43"/>
  <c r="AB467" i="43"/>
  <c r="J134" i="44"/>
  <c r="M134" i="44"/>
  <c r="M136" i="44"/>
  <c r="M135" i="44"/>
  <c r="J141" i="44"/>
  <c r="BR66" i="44"/>
  <c r="J133" i="44"/>
  <c r="BM72" i="44"/>
  <c r="BX72" i="44" s="1"/>
  <c r="S141" i="44"/>
  <c r="BR22" i="44"/>
  <c r="BW136" i="44"/>
  <c r="S134" i="44"/>
  <c r="AO141" i="44"/>
  <c r="AO142" i="44"/>
  <c r="BR124" i="44"/>
  <c r="AF135" i="44"/>
  <c r="BZ135" i="44"/>
  <c r="BK136" i="44"/>
  <c r="BZ136" i="44"/>
  <c r="M140" i="44"/>
  <c r="M141" i="44"/>
  <c r="AY139" i="44"/>
  <c r="BK139" i="44"/>
  <c r="AO136" i="44"/>
  <c r="S140" i="44"/>
  <c r="BW140" i="44"/>
  <c r="J140" i="44"/>
  <c r="AO135" i="44"/>
  <c r="AP135" i="44"/>
  <c r="BW135" i="44"/>
  <c r="AY135" i="44"/>
  <c r="AS17" i="44"/>
  <c r="W140" i="44"/>
  <c r="BK133" i="44"/>
  <c r="AY134" i="44"/>
  <c r="AY142" i="44"/>
  <c r="J139" i="44"/>
  <c r="J135" i="44"/>
  <c r="BM86" i="44"/>
  <c r="BX86" i="44" s="1"/>
  <c r="AY141" i="44"/>
  <c r="AO140" i="44"/>
  <c r="V140" i="44"/>
  <c r="BK135" i="44"/>
  <c r="AO134" i="44"/>
  <c r="V134" i="44"/>
  <c r="K129" i="44"/>
  <c r="D14" i="47" s="1"/>
  <c r="AP142" i="44"/>
  <c r="W142" i="44"/>
  <c r="BL140" i="44"/>
  <c r="BZ139" i="44"/>
  <c r="AP139" i="44"/>
  <c r="W139" i="44"/>
  <c r="AP136" i="44"/>
  <c r="W136" i="44"/>
  <c r="S135" i="44"/>
  <c r="BL134" i="44"/>
  <c r="AP133" i="44"/>
  <c r="W133" i="44"/>
  <c r="V142" i="44"/>
  <c r="BK140" i="44"/>
  <c r="AY140" i="44"/>
  <c r="AO139" i="44"/>
  <c r="V139" i="44"/>
  <c r="V136" i="44"/>
  <c r="BK134" i="44"/>
  <c r="AO133" i="44"/>
  <c r="V133" i="44"/>
  <c r="BL142" i="44"/>
  <c r="AP141" i="44"/>
  <c r="W141" i="44"/>
  <c r="BL139" i="44"/>
  <c r="BL136" i="44"/>
  <c r="W135" i="44"/>
  <c r="BL133" i="44"/>
  <c r="V141" i="44"/>
  <c r="AF139" i="44"/>
  <c r="AY136" i="44"/>
  <c r="V135" i="44"/>
  <c r="AY133" i="44"/>
  <c r="BM90" i="44"/>
  <c r="BX90" i="44" s="1"/>
  <c r="BL141" i="44"/>
  <c r="AP140" i="44"/>
  <c r="S139" i="44"/>
  <c r="M139" i="44"/>
  <c r="S136" i="44"/>
  <c r="BL135" i="44"/>
  <c r="AP134" i="44"/>
  <c r="W134" i="44"/>
  <c r="S133" i="44"/>
  <c r="M133" i="44"/>
  <c r="AJ467" i="43"/>
  <c r="W466" i="43" s="1"/>
  <c r="AI467" i="43"/>
  <c r="V466" i="43" s="1"/>
  <c r="O467" i="43"/>
  <c r="N467" i="43"/>
  <c r="L467" i="43"/>
  <c r="K467" i="43"/>
  <c r="AX467" i="43"/>
  <c r="AY474" i="43"/>
  <c r="AO474" i="43"/>
  <c r="AL467" i="43"/>
  <c r="AN467" i="43"/>
  <c r="AP474" i="43"/>
  <c r="AM467" i="43"/>
  <c r="R467" i="43"/>
  <c r="BI132" i="44"/>
  <c r="BC132" i="44"/>
  <c r="AW132" i="44"/>
  <c r="AJ132" i="44"/>
  <c r="W131" i="44" s="1"/>
  <c r="AD132" i="44"/>
  <c r="X132" i="44"/>
  <c r="R132" i="44"/>
  <c r="L132" i="44"/>
  <c r="BH132" i="44"/>
  <c r="BB132" i="44"/>
  <c r="AI132" i="44"/>
  <c r="V131" i="44" s="1"/>
  <c r="AC132" i="44"/>
  <c r="K132" i="44"/>
  <c r="BG132" i="44"/>
  <c r="BA132" i="44"/>
  <c r="AB132" i="44"/>
  <c r="BE132" i="44"/>
  <c r="AM132" i="44"/>
  <c r="Z132" i="44"/>
  <c r="T132" i="44"/>
  <c r="N132" i="44"/>
  <c r="BF132" i="44"/>
  <c r="AN132" i="44"/>
  <c r="AA132" i="44"/>
  <c r="U132" i="44"/>
  <c r="O132" i="44"/>
  <c r="BJ132" i="44"/>
  <c r="BD132" i="44"/>
  <c r="AX132" i="44"/>
  <c r="AL132" i="44"/>
  <c r="AE132" i="44"/>
  <c r="Y132" i="44"/>
  <c r="BL474" i="43"/>
  <c r="BE467" i="43"/>
  <c r="BA467" i="43"/>
  <c r="BM26" i="44"/>
  <c r="BX26" i="44" s="1"/>
  <c r="AI129" i="44"/>
  <c r="AB14" i="47" s="1"/>
  <c r="AA129" i="44"/>
  <c r="T14" i="47" s="1"/>
  <c r="AJ129" i="44"/>
  <c r="AC14" i="47" s="1"/>
  <c r="BA129" i="44"/>
  <c r="AT14" i="47" s="1"/>
  <c r="BG129" i="44"/>
  <c r="AZ14" i="47" s="1"/>
  <c r="Z129" i="44"/>
  <c r="S14" i="47" s="1"/>
  <c r="AB129" i="44"/>
  <c r="AL129" i="44"/>
  <c r="AE14" i="47" s="1"/>
  <c r="BB129" i="44"/>
  <c r="AU14" i="47" s="1"/>
  <c r="BH129" i="44"/>
  <c r="BA14" i="47" s="1"/>
  <c r="BR45" i="44"/>
  <c r="BF129" i="44"/>
  <c r="AY14" i="47" s="1"/>
  <c r="AC129" i="44"/>
  <c r="V14" i="47" s="1"/>
  <c r="AM129" i="44"/>
  <c r="AF14" i="47" s="1"/>
  <c r="BC129" i="44"/>
  <c r="AV14" i="47" s="1"/>
  <c r="BI129" i="44"/>
  <c r="BB14" i="47" s="1"/>
  <c r="BK42" i="44"/>
  <c r="BK70" i="44"/>
  <c r="X129" i="44"/>
  <c r="Q14" i="47" s="1"/>
  <c r="AD129" i="44"/>
  <c r="W14" i="47" s="1"/>
  <c r="AN129" i="44"/>
  <c r="AG14" i="47" s="1"/>
  <c r="BD129" i="44"/>
  <c r="BJ129" i="44"/>
  <c r="BC14" i="47" s="1"/>
  <c r="AX129" i="44"/>
  <c r="AQ14" i="47" s="1"/>
  <c r="BK28" i="44"/>
  <c r="BL63" i="44"/>
  <c r="Y129" i="44"/>
  <c r="R14" i="47" s="1"/>
  <c r="AE129" i="44"/>
  <c r="X14" i="47" s="1"/>
  <c r="AW129" i="44"/>
  <c r="AP14" i="47" s="1"/>
  <c r="BE129" i="44"/>
  <c r="AX14" i="47" s="1"/>
  <c r="BR16" i="43"/>
  <c r="BR57" i="43"/>
  <c r="BM344" i="43"/>
  <c r="BX344" i="43" s="1"/>
  <c r="BM415" i="43"/>
  <c r="X464" i="43"/>
  <c r="Q13" i="47" s="1"/>
  <c r="AD464" i="43"/>
  <c r="W13" i="47" s="1"/>
  <c r="AN464" i="43"/>
  <c r="AG13" i="47" s="1"/>
  <c r="BD464" i="43"/>
  <c r="BJ464" i="43"/>
  <c r="BC13" i="47" s="1"/>
  <c r="BM396" i="43"/>
  <c r="BX396" i="43" s="1"/>
  <c r="Y464" i="43"/>
  <c r="R13" i="47" s="1"/>
  <c r="AE464" i="43"/>
  <c r="X13" i="47" s="1"/>
  <c r="AW464" i="43"/>
  <c r="AP13" i="47" s="1"/>
  <c r="BE464" i="43"/>
  <c r="AX13" i="47" s="1"/>
  <c r="BM19" i="43"/>
  <c r="BR29" i="43"/>
  <c r="BR92" i="43"/>
  <c r="BM308" i="43"/>
  <c r="BX308" i="43" s="1"/>
  <c r="BR461" i="43"/>
  <c r="Z464" i="43"/>
  <c r="S13" i="47" s="1"/>
  <c r="AI464" i="43"/>
  <c r="AB13" i="47" s="1"/>
  <c r="AX464" i="43"/>
  <c r="AQ13" i="47" s="1"/>
  <c r="BF464" i="43"/>
  <c r="AY13" i="47" s="1"/>
  <c r="BR260" i="43"/>
  <c r="V288" i="43"/>
  <c r="AA464" i="43"/>
  <c r="T13" i="47" s="1"/>
  <c r="AJ464" i="43"/>
  <c r="AC13" i="47" s="1"/>
  <c r="BA464" i="43"/>
  <c r="AT13" i="47" s="1"/>
  <c r="BG464" i="43"/>
  <c r="AZ13" i="47" s="1"/>
  <c r="BM178" i="43"/>
  <c r="BX178" i="43" s="1"/>
  <c r="BM202" i="43"/>
  <c r="BX202" i="43" s="1"/>
  <c r="W266" i="43"/>
  <c r="AB464" i="43"/>
  <c r="AL464" i="43"/>
  <c r="AE13" i="47" s="1"/>
  <c r="BB464" i="43"/>
  <c r="AU13" i="47" s="1"/>
  <c r="BH464" i="43"/>
  <c r="BA13" i="47" s="1"/>
  <c r="BM211" i="43"/>
  <c r="BX211" i="43" s="1"/>
  <c r="BM245" i="43"/>
  <c r="BX245" i="43" s="1"/>
  <c r="BM455" i="43"/>
  <c r="BX455" i="43" s="1"/>
  <c r="AC464" i="43"/>
  <c r="V13" i="47" s="1"/>
  <c r="AM464" i="43"/>
  <c r="AF13" i="47" s="1"/>
  <c r="BC464" i="43"/>
  <c r="AV13" i="47" s="1"/>
  <c r="BI464" i="43"/>
  <c r="BB13" i="47" s="1"/>
  <c r="L129" i="44"/>
  <c r="E14" i="47" s="1"/>
  <c r="N129" i="44"/>
  <c r="G14" i="47" s="1"/>
  <c r="O129" i="44"/>
  <c r="H14" i="47" s="1"/>
  <c r="BM199" i="43"/>
  <c r="BX199" i="43" s="1"/>
  <c r="AS375" i="43"/>
  <c r="AS376" i="43" s="1"/>
  <c r="BY12" i="44"/>
  <c r="BY13" i="44" s="1"/>
  <c r="BK13" i="44"/>
  <c r="AS50" i="44"/>
  <c r="W56" i="44"/>
  <c r="BK56" i="44"/>
  <c r="BW12" i="44"/>
  <c r="BW13" i="44" s="1"/>
  <c r="BM142" i="43"/>
  <c r="BX142" i="43" s="1"/>
  <c r="BR202" i="43"/>
  <c r="BM236" i="43"/>
  <c r="BX236" i="43" s="1"/>
  <c r="BM426" i="43"/>
  <c r="BX426" i="43" s="1"/>
  <c r="W19" i="44"/>
  <c r="BM233" i="43"/>
  <c r="BX233" i="43" s="1"/>
  <c r="BM235" i="43"/>
  <c r="BX235" i="43" s="1"/>
  <c r="V322" i="43"/>
  <c r="BM66" i="44"/>
  <c r="BX66" i="44" s="1"/>
  <c r="BM215" i="43"/>
  <c r="BX215" i="43" s="1"/>
  <c r="BM218" i="43"/>
  <c r="BX218" i="43" s="1"/>
  <c r="BR233" i="43"/>
  <c r="BM254" i="43"/>
  <c r="BX254" i="43" s="1"/>
  <c r="BM260" i="43"/>
  <c r="BX260" i="43" s="1"/>
  <c r="BM290" i="43"/>
  <c r="BX290" i="43" s="1"/>
  <c r="BM314" i="43"/>
  <c r="BX314" i="43" s="1"/>
  <c r="BM391" i="43"/>
  <c r="BX391" i="43" s="1"/>
  <c r="BM412" i="43"/>
  <c r="BX412" i="43" s="1"/>
  <c r="BM418" i="43"/>
  <c r="BX418" i="43" s="1"/>
  <c r="BL42" i="44"/>
  <c r="BM53" i="44"/>
  <c r="BX53" i="44" s="1"/>
  <c r="BK63" i="44"/>
  <c r="BM81" i="44"/>
  <c r="BX81" i="44" s="1"/>
  <c r="BK92" i="44"/>
  <c r="V49" i="44"/>
  <c r="AH16" i="44"/>
  <c r="AU16" i="44" s="1"/>
  <c r="V84" i="44"/>
  <c r="V92" i="44"/>
  <c r="BK102" i="44"/>
  <c r="AS105" i="44"/>
  <c r="W110" i="44"/>
  <c r="V112" i="44"/>
  <c r="BL112" i="44"/>
  <c r="BL13" i="44"/>
  <c r="BL28" i="44"/>
  <c r="W49" i="44"/>
  <c r="BL56" i="44"/>
  <c r="V63" i="44"/>
  <c r="W70" i="44"/>
  <c r="BL102" i="44"/>
  <c r="V110" i="44"/>
  <c r="BK112" i="44"/>
  <c r="W35" i="44"/>
  <c r="BL110" i="44"/>
  <c r="BM47" i="44"/>
  <c r="BX47" i="44" s="1"/>
  <c r="AS78" i="44"/>
  <c r="W84" i="44"/>
  <c r="BK88" i="44"/>
  <c r="AS89" i="44"/>
  <c r="W92" i="44"/>
  <c r="V98" i="44"/>
  <c r="BK98" i="44"/>
  <c r="V102" i="44"/>
  <c r="AS111" i="44"/>
  <c r="AS112" i="44" s="1"/>
  <c r="W112" i="44"/>
  <c r="BK121" i="44"/>
  <c r="V128" i="44"/>
  <c r="BK128" i="44"/>
  <c r="V13" i="44"/>
  <c r="V28" i="44"/>
  <c r="V42" i="44"/>
  <c r="W63" i="44"/>
  <c r="BL70" i="44"/>
  <c r="BL92" i="44"/>
  <c r="V56" i="44"/>
  <c r="BR59" i="44"/>
  <c r="V88" i="44"/>
  <c r="BL88" i="44"/>
  <c r="AS93" i="44"/>
  <c r="W98" i="44"/>
  <c r="BL98" i="44"/>
  <c r="AS99" i="44"/>
  <c r="W102" i="44"/>
  <c r="BK104" i="44"/>
  <c r="V121" i="44"/>
  <c r="AS122" i="44"/>
  <c r="W128" i="44"/>
  <c r="BL128" i="44"/>
  <c r="W13" i="44"/>
  <c r="BK19" i="44"/>
  <c r="W28" i="44"/>
  <c r="BK35" i="44"/>
  <c r="W42" i="44"/>
  <c r="BK49" i="44"/>
  <c r="BL84" i="44"/>
  <c r="BM78" i="44"/>
  <c r="BX78" i="44" s="1"/>
  <c r="BK84" i="44"/>
  <c r="BM32" i="44"/>
  <c r="BX32" i="44" s="1"/>
  <c r="V70" i="44"/>
  <c r="BK77" i="44"/>
  <c r="AS85" i="44"/>
  <c r="W88" i="44"/>
  <c r="AS103" i="44"/>
  <c r="AS104" i="44" s="1"/>
  <c r="W104" i="44"/>
  <c r="BL104" i="44"/>
  <c r="AS113" i="44"/>
  <c r="W121" i="44"/>
  <c r="BL19" i="44"/>
  <c r="BL35" i="44"/>
  <c r="BL49" i="44"/>
  <c r="V77" i="44"/>
  <c r="AS71" i="44"/>
  <c r="W77" i="44"/>
  <c r="BL77" i="44"/>
  <c r="BR90" i="44"/>
  <c r="BK110" i="44"/>
  <c r="BM126" i="44"/>
  <c r="BX126" i="44" s="1"/>
  <c r="V19" i="44"/>
  <c r="V35" i="44"/>
  <c r="BL121" i="44"/>
  <c r="BM50" i="44"/>
  <c r="BX50" i="44" s="1"/>
  <c r="BM14" i="44"/>
  <c r="BX14" i="44" s="1"/>
  <c r="BM23" i="44"/>
  <c r="BX23" i="44" s="1"/>
  <c r="BM41" i="44"/>
  <c r="BX41" i="44" s="1"/>
  <c r="BM69" i="44"/>
  <c r="BX69" i="44" s="1"/>
  <c r="BR73" i="44"/>
  <c r="BM75" i="44"/>
  <c r="BX75" i="44" s="1"/>
  <c r="BM111" i="44"/>
  <c r="BR116" i="44"/>
  <c r="BM18" i="44"/>
  <c r="BR31" i="44"/>
  <c r="BM38" i="44"/>
  <c r="BX38" i="44" s="1"/>
  <c r="BM60" i="44"/>
  <c r="BX60" i="44" s="1"/>
  <c r="BR80" i="44"/>
  <c r="BM114" i="44"/>
  <c r="BX114" i="44" s="1"/>
  <c r="BM120" i="44"/>
  <c r="BM12" i="44"/>
  <c r="BX12" i="44" s="1"/>
  <c r="BX13" i="44" s="1"/>
  <c r="BM29" i="44"/>
  <c r="BX29" i="44" s="1"/>
  <c r="BM62" i="44"/>
  <c r="BX62" i="44" s="1"/>
  <c r="BM17" i="44"/>
  <c r="BX17" i="44" s="1"/>
  <c r="BM44" i="44"/>
  <c r="BX44" i="44" s="1"/>
  <c r="BR52" i="44"/>
  <c r="BM117" i="44"/>
  <c r="BX117" i="44" s="1"/>
  <c r="BM123" i="44"/>
  <c r="BX123" i="44" s="1"/>
  <c r="AS32" i="43"/>
  <c r="W35" i="43"/>
  <c r="V120" i="43"/>
  <c r="V139" i="43"/>
  <c r="AS238" i="43"/>
  <c r="W243" i="43"/>
  <c r="BM248" i="43"/>
  <c r="BX248" i="43" s="1"/>
  <c r="V258" i="43"/>
  <c r="V18" i="43"/>
  <c r="V42" i="43"/>
  <c r="V52" i="43"/>
  <c r="V63" i="43"/>
  <c r="AS80" i="43"/>
  <c r="W82" i="43"/>
  <c r="AS83" i="43"/>
  <c r="W86" i="43"/>
  <c r="BM106" i="43"/>
  <c r="V145" i="43"/>
  <c r="W200" i="43"/>
  <c r="AS195" i="43"/>
  <c r="AS346" i="43"/>
  <c r="W351" i="43"/>
  <c r="AS394" i="43"/>
  <c r="W400" i="43"/>
  <c r="W18" i="43"/>
  <c r="V113" i="43"/>
  <c r="V116" i="43"/>
  <c r="BM130" i="43"/>
  <c r="BX130" i="43" s="1"/>
  <c r="BM325" i="43"/>
  <c r="AS28" i="43"/>
  <c r="W31" i="43"/>
  <c r="AS68" i="43"/>
  <c r="W70" i="43"/>
  <c r="AS121" i="43"/>
  <c r="W125" i="43"/>
  <c r="AS158" i="43"/>
  <c r="W162" i="43"/>
  <c r="AS163" i="43"/>
  <c r="W168" i="43"/>
  <c r="V180" i="43"/>
  <c r="AS181" i="43"/>
  <c r="W187" i="43"/>
  <c r="V225" i="43"/>
  <c r="BR264" i="43"/>
  <c r="BM329" i="43"/>
  <c r="AS429" i="43"/>
  <c r="W435" i="43"/>
  <c r="BZ12" i="43"/>
  <c r="BZ13" i="43" s="1"/>
  <c r="BR25" i="43"/>
  <c r="V79" i="43"/>
  <c r="AS91" i="43"/>
  <c r="W94" i="43"/>
  <c r="V98" i="43"/>
  <c r="V151" i="43"/>
  <c r="AS152" i="43"/>
  <c r="W157" i="43"/>
  <c r="AS169" i="43"/>
  <c r="W174" i="43"/>
  <c r="V332" i="43"/>
  <c r="AS23" i="43"/>
  <c r="W27" i="43"/>
  <c r="V55" i="43"/>
  <c r="AS56" i="43"/>
  <c r="W59" i="43"/>
  <c r="W105" i="43"/>
  <c r="BM133" i="43"/>
  <c r="V194" i="43"/>
  <c r="AS244" i="43"/>
  <c r="W249" i="43"/>
  <c r="AS250" i="43"/>
  <c r="W256" i="43"/>
  <c r="V283" i="43"/>
  <c r="BM405" i="43"/>
  <c r="BX405" i="43" s="1"/>
  <c r="V22" i="43"/>
  <c r="V39" i="43"/>
  <c r="BR37" i="43"/>
  <c r="V49" i="43"/>
  <c r="BM47" i="43"/>
  <c r="V90" i="43"/>
  <c r="W113" i="43"/>
  <c r="BM112" i="43"/>
  <c r="BX112" i="43" s="1"/>
  <c r="BM121" i="43"/>
  <c r="BM127" i="43"/>
  <c r="BX127" i="43" s="1"/>
  <c r="AS140" i="43"/>
  <c r="W145" i="43"/>
  <c r="BM166" i="43"/>
  <c r="BX166" i="43" s="1"/>
  <c r="BM190" i="43"/>
  <c r="BX190" i="43" s="1"/>
  <c r="V206" i="43"/>
  <c r="BM212" i="43"/>
  <c r="BX212" i="43" s="1"/>
  <c r="AS220" i="43"/>
  <c r="W225" i="43"/>
  <c r="AS257" i="43"/>
  <c r="AS258" i="43" s="1"/>
  <c r="W258" i="43"/>
  <c r="V272" i="43"/>
  <c r="W283" i="43"/>
  <c r="V328" i="43"/>
  <c r="AS329" i="43"/>
  <c r="W332" i="43"/>
  <c r="AS333" i="43"/>
  <c r="BR334" i="43"/>
  <c r="V370" i="43"/>
  <c r="V383" i="43"/>
  <c r="BR379" i="43"/>
  <c r="V393" i="43"/>
  <c r="BR391" i="43"/>
  <c r="BM399" i="43"/>
  <c r="BX399" i="43" s="1"/>
  <c r="V421" i="43"/>
  <c r="BR417" i="43"/>
  <c r="W442" i="43"/>
  <c r="W456" i="43"/>
  <c r="W39" i="43"/>
  <c r="V27" i="43"/>
  <c r="V31" i="43"/>
  <c r="AS47" i="43"/>
  <c r="W49" i="43"/>
  <c r="V82" i="43"/>
  <c r="BM80" i="43"/>
  <c r="V86" i="43"/>
  <c r="BM83" i="43"/>
  <c r="V94" i="43"/>
  <c r="V125" i="43"/>
  <c r="V162" i="43"/>
  <c r="V168" i="43"/>
  <c r="BM163" i="43"/>
  <c r="V174" i="43"/>
  <c r="V187" i="43"/>
  <c r="W206" i="43"/>
  <c r="V237" i="43"/>
  <c r="BM232" i="43"/>
  <c r="BM265" i="43"/>
  <c r="BX265" i="43" s="1"/>
  <c r="AS267" i="43"/>
  <c r="W272" i="43"/>
  <c r="V298" i="43"/>
  <c r="V312" i="43"/>
  <c r="BM310" i="43"/>
  <c r="BX310" i="43" s="1"/>
  <c r="AS325" i="43"/>
  <c r="W328" i="43"/>
  <c r="BR326" i="43"/>
  <c r="BR353" i="43"/>
  <c r="AS364" i="43"/>
  <c r="W370" i="43"/>
  <c r="AS377" i="43"/>
  <c r="W383" i="43"/>
  <c r="AS390" i="43"/>
  <c r="W393" i="43"/>
  <c r="BM408" i="43"/>
  <c r="W421" i="43"/>
  <c r="BR431" i="43"/>
  <c r="V213" i="43"/>
  <c r="V219" i="43"/>
  <c r="AS232" i="43"/>
  <c r="W237" i="43"/>
  <c r="V262" i="43"/>
  <c r="V266" i="43"/>
  <c r="V276" i="43"/>
  <c r="W298" i="43"/>
  <c r="W312" i="43"/>
  <c r="V316" i="43"/>
  <c r="V358" i="43"/>
  <c r="V376" i="43"/>
  <c r="V389" i="43"/>
  <c r="V414" i="43"/>
  <c r="V428" i="43"/>
  <c r="W22" i="43"/>
  <c r="W46" i="43"/>
  <c r="W67" i="43"/>
  <c r="W90" i="43"/>
  <c r="V46" i="43"/>
  <c r="V67" i="43"/>
  <c r="V75" i="43"/>
  <c r="V102" i="43"/>
  <c r="BM103" i="43"/>
  <c r="AS114" i="43"/>
  <c r="W116" i="43"/>
  <c r="AS117" i="43"/>
  <c r="W120" i="43"/>
  <c r="V132" i="43"/>
  <c r="W139" i="43"/>
  <c r="BM136" i="43"/>
  <c r="BX136" i="43" s="1"/>
  <c r="AS146" i="43"/>
  <c r="W151" i="43"/>
  <c r="BM148" i="43"/>
  <c r="BX148" i="43" s="1"/>
  <c r="AS175" i="43"/>
  <c r="W180" i="43"/>
  <c r="BM175" i="43"/>
  <c r="BM184" i="43"/>
  <c r="BX184" i="43" s="1"/>
  <c r="W194" i="43"/>
  <c r="BM196" i="43"/>
  <c r="BX196" i="43" s="1"/>
  <c r="AS207" i="43"/>
  <c r="W213" i="43"/>
  <c r="AS214" i="43"/>
  <c r="W219" i="43"/>
  <c r="BM214" i="43"/>
  <c r="V231" i="43"/>
  <c r="AS259" i="43"/>
  <c r="W262" i="43"/>
  <c r="BM259" i="43"/>
  <c r="AS273" i="43"/>
  <c r="W276" i="43"/>
  <c r="BR274" i="43"/>
  <c r="BM284" i="43"/>
  <c r="V296" i="43"/>
  <c r="BM293" i="43"/>
  <c r="BX293" i="43" s="1"/>
  <c r="V305" i="43"/>
  <c r="AS306" i="43"/>
  <c r="BM307" i="43"/>
  <c r="BX307" i="43" s="1"/>
  <c r="AS313" i="43"/>
  <c r="W316" i="43"/>
  <c r="BM313" i="43"/>
  <c r="V336" i="43"/>
  <c r="V345" i="43"/>
  <c r="AS352" i="43"/>
  <c r="W358" i="43"/>
  <c r="V363" i="43"/>
  <c r="V374" i="43"/>
  <c r="AS384" i="43"/>
  <c r="W389" i="43"/>
  <c r="BM386" i="43"/>
  <c r="BX386" i="43" s="1"/>
  <c r="V407" i="43"/>
  <c r="AS408" i="43"/>
  <c r="W414" i="43"/>
  <c r="BM411" i="43"/>
  <c r="BX411" i="43" s="1"/>
  <c r="AS422" i="43"/>
  <c r="W428" i="43"/>
  <c r="AS53" i="43"/>
  <c r="W55" i="43"/>
  <c r="AS60" i="43"/>
  <c r="W63" i="43"/>
  <c r="AS76" i="43"/>
  <c r="W79" i="43"/>
  <c r="V109" i="43"/>
  <c r="BY12" i="43"/>
  <c r="BY13" i="43" s="1"/>
  <c r="BM15" i="43"/>
  <c r="BX15" i="43" s="1"/>
  <c r="V35" i="43"/>
  <c r="AS40" i="43"/>
  <c r="W42" i="43"/>
  <c r="V59" i="43"/>
  <c r="V70" i="43"/>
  <c r="AS99" i="43"/>
  <c r="W102" i="43"/>
  <c r="V105" i="43"/>
  <c r="AS106" i="43"/>
  <c r="W109" i="43"/>
  <c r="BM118" i="43"/>
  <c r="BX118" i="43" s="1"/>
  <c r="BM124" i="43"/>
  <c r="BX124" i="43" s="1"/>
  <c r="W132" i="43"/>
  <c r="V157" i="43"/>
  <c r="BR176" i="43"/>
  <c r="V200" i="43"/>
  <c r="BM220" i="43"/>
  <c r="BM221" i="43"/>
  <c r="BX221" i="43" s="1"/>
  <c r="AS226" i="43"/>
  <c r="W231" i="43"/>
  <c r="BM230" i="43"/>
  <c r="BX230" i="43" s="1"/>
  <c r="V243" i="43"/>
  <c r="BM242" i="43"/>
  <c r="BX242" i="43" s="1"/>
  <c r="V249" i="43"/>
  <c r="V256" i="43"/>
  <c r="BM257" i="43"/>
  <c r="BM258" i="43" s="1"/>
  <c r="AS263" i="43"/>
  <c r="BM263" i="43"/>
  <c r="AS284" i="43"/>
  <c r="W288" i="43"/>
  <c r="AS289" i="43"/>
  <c r="W296" i="43"/>
  <c r="AS299" i="43"/>
  <c r="W305" i="43"/>
  <c r="AS317" i="43"/>
  <c r="W322" i="43"/>
  <c r="BR318" i="43"/>
  <c r="BM319" i="43"/>
  <c r="BX319" i="43" s="1"/>
  <c r="AS323" i="43"/>
  <c r="AS324" i="43" s="1"/>
  <c r="W324" i="43"/>
  <c r="AS337" i="43"/>
  <c r="W345" i="43"/>
  <c r="V351" i="43"/>
  <c r="W363" i="43"/>
  <c r="AS371" i="43"/>
  <c r="W374" i="43"/>
  <c r="BM371" i="43"/>
  <c r="BR372" i="43"/>
  <c r="V400" i="43"/>
  <c r="BM395" i="43"/>
  <c r="BX395" i="43" s="1"/>
  <c r="AS401" i="43"/>
  <c r="W407" i="43"/>
  <c r="V435" i="43"/>
  <c r="W52" i="43"/>
  <c r="W75" i="43"/>
  <c r="W98" i="43"/>
  <c r="V459" i="43"/>
  <c r="V442" i="43"/>
  <c r="AS457" i="43"/>
  <c r="W459" i="43"/>
  <c r="V463" i="43"/>
  <c r="V449" i="43"/>
  <c r="AS460" i="43"/>
  <c r="W463" i="43"/>
  <c r="AS443" i="43"/>
  <c r="W449" i="43"/>
  <c r="V456" i="43"/>
  <c r="BM208" i="43"/>
  <c r="BX208" i="43" s="1"/>
  <c r="BM92" i="43"/>
  <c r="BX92" i="43" s="1"/>
  <c r="BM226" i="43"/>
  <c r="BM239" i="43"/>
  <c r="BX239" i="43" s="1"/>
  <c r="BM56" i="43"/>
  <c r="BR196" i="43"/>
  <c r="BM223" i="43"/>
  <c r="BX223" i="43" s="1"/>
  <c r="BM161" i="43"/>
  <c r="BX161" i="43" s="1"/>
  <c r="BM229" i="43"/>
  <c r="BX229" i="43" s="1"/>
  <c r="BM302" i="43"/>
  <c r="BX302" i="43" s="1"/>
  <c r="BM16" i="43"/>
  <c r="BX16" i="43" s="1"/>
  <c r="BM30" i="43"/>
  <c r="BX30" i="43" s="1"/>
  <c r="BM33" i="43"/>
  <c r="BX33" i="43" s="1"/>
  <c r="BM95" i="43"/>
  <c r="BM44" i="43"/>
  <c r="BX44" i="43" s="1"/>
  <c r="BM68" i="43"/>
  <c r="BM71" i="43"/>
  <c r="BM74" i="43"/>
  <c r="BX74" i="43" s="1"/>
  <c r="BM77" i="43"/>
  <c r="BX77" i="43" s="1"/>
  <c r="BM62" i="43"/>
  <c r="BX62" i="43" s="1"/>
  <c r="BM65" i="43"/>
  <c r="BX65" i="43" s="1"/>
  <c r="BM101" i="43"/>
  <c r="BX101" i="43" s="1"/>
  <c r="BM365" i="43"/>
  <c r="BX365" i="43" s="1"/>
  <c r="BM420" i="43"/>
  <c r="BX420" i="43" s="1"/>
  <c r="BR44" i="43"/>
  <c r="BM50" i="43"/>
  <c r="BM53" i="43"/>
  <c r="BM89" i="43"/>
  <c r="BX89" i="43" s="1"/>
  <c r="BM115" i="43"/>
  <c r="BX115" i="43" s="1"/>
  <c r="BM172" i="43"/>
  <c r="BX172" i="43" s="1"/>
  <c r="BM181" i="43"/>
  <c r="BR123" i="43"/>
  <c r="BM227" i="43"/>
  <c r="BX227" i="43" s="1"/>
  <c r="BM304" i="43"/>
  <c r="BX304" i="43" s="1"/>
  <c r="BR96" i="43"/>
  <c r="BR100" i="43"/>
  <c r="BM154" i="43"/>
  <c r="BX154" i="43" s="1"/>
  <c r="BM160" i="43"/>
  <c r="BX160" i="43" s="1"/>
  <c r="BM209" i="43"/>
  <c r="BX209" i="43" s="1"/>
  <c r="BM224" i="43"/>
  <c r="BX224" i="43" s="1"/>
  <c r="BM251" i="43"/>
  <c r="BX251" i="43" s="1"/>
  <c r="BM253" i="43"/>
  <c r="BX253" i="43" s="1"/>
  <c r="BM270" i="43"/>
  <c r="BX270" i="43" s="1"/>
  <c r="BM311" i="43"/>
  <c r="BX311" i="43" s="1"/>
  <c r="BR347" i="43"/>
  <c r="BM169" i="43"/>
  <c r="BM244" i="43"/>
  <c r="BM247" i="43"/>
  <c r="BX247" i="43" s="1"/>
  <c r="BM268" i="43"/>
  <c r="BX268" i="43" s="1"/>
  <c r="BR141" i="43"/>
  <c r="BR147" i="43"/>
  <c r="BR153" i="43"/>
  <c r="BR183" i="43"/>
  <c r="BR208" i="43"/>
  <c r="BM217" i="43"/>
  <c r="BX217" i="43" s="1"/>
  <c r="BM281" i="43"/>
  <c r="BX281" i="43" s="1"/>
  <c r="BR330" i="43"/>
  <c r="BM331" i="43"/>
  <c r="BX331" i="43" s="1"/>
  <c r="BR118" i="43"/>
  <c r="BR159" i="43"/>
  <c r="BR170" i="43"/>
  <c r="BR189" i="43"/>
  <c r="BR215" i="43"/>
  <c r="BM299" i="43"/>
  <c r="BM323" i="43"/>
  <c r="BM338" i="43"/>
  <c r="BX338" i="43" s="1"/>
  <c r="BM368" i="43"/>
  <c r="BX368" i="43" s="1"/>
  <c r="BM269" i="43"/>
  <c r="BX269" i="43" s="1"/>
  <c r="BM347" i="43"/>
  <c r="BX347" i="43" s="1"/>
  <c r="BR268" i="43"/>
  <c r="BM271" i="43"/>
  <c r="BX271" i="43" s="1"/>
  <c r="BM362" i="43"/>
  <c r="BX362" i="43" s="1"/>
  <c r="BM388" i="43"/>
  <c r="BX388" i="43" s="1"/>
  <c r="BM417" i="43"/>
  <c r="BX417" i="43" s="1"/>
  <c r="BR445" i="43"/>
  <c r="BM452" i="43"/>
  <c r="BX452" i="43" s="1"/>
  <c r="BM335" i="43"/>
  <c r="BX335" i="43" s="1"/>
  <c r="BM350" i="43"/>
  <c r="BX350" i="43" s="1"/>
  <c r="BM377" i="43"/>
  <c r="BM402" i="43"/>
  <c r="BX402" i="43" s="1"/>
  <c r="BR410" i="43"/>
  <c r="BM423" i="43"/>
  <c r="BX423" i="43" s="1"/>
  <c r="BR314" i="43"/>
  <c r="BM359" i="43"/>
  <c r="BM380" i="43"/>
  <c r="BX380" i="43" s="1"/>
  <c r="BM427" i="43"/>
  <c r="BX427" i="43" s="1"/>
  <c r="BM353" i="43"/>
  <c r="BX353" i="43" s="1"/>
  <c r="BM356" i="43"/>
  <c r="BX356" i="43" s="1"/>
  <c r="BM446" i="43"/>
  <c r="BX446" i="43" s="1"/>
  <c r="BM461" i="43"/>
  <c r="BX461" i="43" s="1"/>
  <c r="BR360" i="43"/>
  <c r="BR366" i="43"/>
  <c r="BR452" i="43"/>
  <c r="BP12" i="44"/>
  <c r="BP13" i="44" s="1"/>
  <c r="AR12" i="44"/>
  <c r="AR13" i="44" s="1"/>
  <c r="AQ12" i="44"/>
  <c r="AQ13" i="44" s="1"/>
  <c r="BM16" i="44"/>
  <c r="BX16" i="44" s="1"/>
  <c r="BM22" i="44"/>
  <c r="BX22" i="44" s="1"/>
  <c r="BM24" i="44"/>
  <c r="BX24" i="44" s="1"/>
  <c r="BM54" i="44"/>
  <c r="BX54" i="44" s="1"/>
  <c r="BM27" i="44"/>
  <c r="BX27" i="44" s="1"/>
  <c r="BM30" i="44"/>
  <c r="BX30" i="44" s="1"/>
  <c r="BM33" i="44"/>
  <c r="BX33" i="44" s="1"/>
  <c r="BM57" i="44"/>
  <c r="BX57" i="44" s="1"/>
  <c r="BM20" i="44"/>
  <c r="BX20" i="44" s="1"/>
  <c r="BM36" i="44"/>
  <c r="BX36" i="44" s="1"/>
  <c r="BM39" i="44"/>
  <c r="BX39" i="44" s="1"/>
  <c r="BM45" i="44"/>
  <c r="BX45" i="44" s="1"/>
  <c r="BM124" i="44"/>
  <c r="BX124" i="44" s="1"/>
  <c r="BM85" i="44"/>
  <c r="BX85" i="44" s="1"/>
  <c r="BM51" i="44"/>
  <c r="BX51" i="44" s="1"/>
  <c r="BM15" i="44"/>
  <c r="BX15" i="44" s="1"/>
  <c r="BM21" i="44"/>
  <c r="BX21" i="44" s="1"/>
  <c r="BM48" i="44"/>
  <c r="BX48" i="44" s="1"/>
  <c r="BM87" i="44"/>
  <c r="BX87" i="44" s="1"/>
  <c r="BM64" i="44"/>
  <c r="BX64" i="44" s="1"/>
  <c r="BM67" i="44"/>
  <c r="BX67" i="44" s="1"/>
  <c r="BM58" i="44"/>
  <c r="BX58" i="44" s="1"/>
  <c r="BM76" i="44"/>
  <c r="BX76" i="44" s="1"/>
  <c r="BM25" i="44"/>
  <c r="BX25" i="44" s="1"/>
  <c r="BM31" i="44"/>
  <c r="BX31" i="44" s="1"/>
  <c r="BM34" i="44"/>
  <c r="BX34" i="44" s="1"/>
  <c r="BM37" i="44"/>
  <c r="BX37" i="44" s="1"/>
  <c r="BM40" i="44"/>
  <c r="BX40" i="44" s="1"/>
  <c r="BM43" i="44"/>
  <c r="BX43" i="44" s="1"/>
  <c r="BM46" i="44"/>
  <c r="BX46" i="44" s="1"/>
  <c r="BM52" i="44"/>
  <c r="BX52" i="44" s="1"/>
  <c r="BM55" i="44"/>
  <c r="BX55" i="44" s="1"/>
  <c r="BM73" i="44"/>
  <c r="BX73" i="44" s="1"/>
  <c r="BM79" i="44"/>
  <c r="BX79" i="44" s="1"/>
  <c r="BM61" i="44"/>
  <c r="BX61" i="44" s="1"/>
  <c r="BM82" i="44"/>
  <c r="BX82" i="44" s="1"/>
  <c r="BT136" i="44"/>
  <c r="BM59" i="44"/>
  <c r="BX59" i="44" s="1"/>
  <c r="BM65" i="44"/>
  <c r="BX65" i="44" s="1"/>
  <c r="BM68" i="44"/>
  <c r="BX68" i="44" s="1"/>
  <c r="BM71" i="44"/>
  <c r="BX71" i="44" s="1"/>
  <c r="BM74" i="44"/>
  <c r="BX74" i="44" s="1"/>
  <c r="BM80" i="44"/>
  <c r="BX80" i="44" s="1"/>
  <c r="BM83" i="44"/>
  <c r="BX83" i="44" s="1"/>
  <c r="BM89" i="44"/>
  <c r="BX89" i="44" s="1"/>
  <c r="BM108" i="44"/>
  <c r="BX108" i="44" s="1"/>
  <c r="BM93" i="44"/>
  <c r="BX93" i="44" s="1"/>
  <c r="BR95" i="44"/>
  <c r="BM96" i="44"/>
  <c r="BX96" i="44" s="1"/>
  <c r="BM99" i="44"/>
  <c r="BX99" i="44" s="1"/>
  <c r="BM105" i="44"/>
  <c r="BX105" i="44" s="1"/>
  <c r="BR107" i="44"/>
  <c r="BM127" i="44"/>
  <c r="BX127" i="44" s="1"/>
  <c r="BM91" i="44"/>
  <c r="BX91" i="44" s="1"/>
  <c r="BM94" i="44"/>
  <c r="BX94" i="44" s="1"/>
  <c r="BM97" i="44"/>
  <c r="BX97" i="44" s="1"/>
  <c r="BM100" i="44"/>
  <c r="BX100" i="44" s="1"/>
  <c r="BM103" i="44"/>
  <c r="BX103" i="44" s="1"/>
  <c r="BX104" i="44" s="1"/>
  <c r="BM106" i="44"/>
  <c r="BX106" i="44" s="1"/>
  <c r="BM95" i="44"/>
  <c r="BX95" i="44" s="1"/>
  <c r="BM101" i="44"/>
  <c r="BX101" i="44" s="1"/>
  <c r="BM107" i="44"/>
  <c r="BX107" i="44" s="1"/>
  <c r="BM109" i="44"/>
  <c r="BX109" i="44" s="1"/>
  <c r="BM115" i="44"/>
  <c r="BX115" i="44" s="1"/>
  <c r="BM118" i="44"/>
  <c r="BX118" i="44" s="1"/>
  <c r="BM113" i="44"/>
  <c r="BX113" i="44" s="1"/>
  <c r="BM116" i="44"/>
  <c r="BX116" i="44" s="1"/>
  <c r="BM119" i="44"/>
  <c r="BX119" i="44" s="1"/>
  <c r="BM122" i="44"/>
  <c r="BX122" i="44" s="1"/>
  <c r="BM125" i="44"/>
  <c r="BX125" i="44" s="1"/>
  <c r="BM37" i="43"/>
  <c r="BX37" i="43" s="1"/>
  <c r="BR20" i="43"/>
  <c r="BM21" i="43"/>
  <c r="BX21" i="43" s="1"/>
  <c r="BM25" i="43"/>
  <c r="BX25" i="43" s="1"/>
  <c r="BM28" i="43"/>
  <c r="BM51" i="43"/>
  <c r="BX51" i="43" s="1"/>
  <c r="BM57" i="43"/>
  <c r="BX57" i="43" s="1"/>
  <c r="BM69" i="43"/>
  <c r="BX69" i="43" s="1"/>
  <c r="BM81" i="43"/>
  <c r="BX81" i="43" s="1"/>
  <c r="BM87" i="43"/>
  <c r="BM93" i="43"/>
  <c r="BX93" i="43" s="1"/>
  <c r="BM99" i="43"/>
  <c r="BR301" i="43"/>
  <c r="BM24" i="43"/>
  <c r="BX24" i="43" s="1"/>
  <c r="BM36" i="43"/>
  <c r="BM40" i="43"/>
  <c r="BM45" i="43"/>
  <c r="BX45" i="43" s="1"/>
  <c r="BM107" i="43"/>
  <c r="BX107" i="43" s="1"/>
  <c r="BM34" i="43"/>
  <c r="BX34" i="43" s="1"/>
  <c r="BM48" i="43"/>
  <c r="BX48" i="43" s="1"/>
  <c r="BM54" i="43"/>
  <c r="BX54" i="43" s="1"/>
  <c r="BM60" i="43"/>
  <c r="BM66" i="43"/>
  <c r="BX66" i="43" s="1"/>
  <c r="BM72" i="43"/>
  <c r="BX72" i="43" s="1"/>
  <c r="BM78" i="43"/>
  <c r="BX78" i="43" s="1"/>
  <c r="BM84" i="43"/>
  <c r="BX84" i="43" s="1"/>
  <c r="BM96" i="43"/>
  <c r="BX96" i="43" s="1"/>
  <c r="BM14" i="43"/>
  <c r="BM17" i="43"/>
  <c r="BX17" i="43" s="1"/>
  <c r="BM20" i="43"/>
  <c r="BX20" i="43" s="1"/>
  <c r="BM110" i="43"/>
  <c r="BM205" i="43"/>
  <c r="BX205" i="43" s="1"/>
  <c r="BM43" i="43"/>
  <c r="BM58" i="43"/>
  <c r="BX58" i="43" s="1"/>
  <c r="BM61" i="43"/>
  <c r="BX61" i="43" s="1"/>
  <c r="BM64" i="43"/>
  <c r="BM73" i="43"/>
  <c r="BX73" i="43" s="1"/>
  <c r="BM76" i="43"/>
  <c r="BM85" i="43"/>
  <c r="BX85" i="43" s="1"/>
  <c r="BM88" i="43"/>
  <c r="BX88" i="43" s="1"/>
  <c r="BM91" i="43"/>
  <c r="BM97" i="43"/>
  <c r="BX97" i="43" s="1"/>
  <c r="BM100" i="43"/>
  <c r="BX100" i="43" s="1"/>
  <c r="BM167" i="43"/>
  <c r="BX167" i="43" s="1"/>
  <c r="BM23" i="43"/>
  <c r="BM26" i="43"/>
  <c r="BX26" i="43" s="1"/>
  <c r="BM29" i="43"/>
  <c r="BX29" i="43" s="1"/>
  <c r="BM32" i="43"/>
  <c r="BM38" i="43"/>
  <c r="BX38" i="43" s="1"/>
  <c r="BM41" i="43"/>
  <c r="BX41" i="43" s="1"/>
  <c r="BM104" i="43"/>
  <c r="BX104" i="43" s="1"/>
  <c r="BM114" i="43"/>
  <c r="BM164" i="43"/>
  <c r="BX164" i="43" s="1"/>
  <c r="BM176" i="43"/>
  <c r="BX176" i="43" s="1"/>
  <c r="BM185" i="43"/>
  <c r="BX185" i="43" s="1"/>
  <c r="BM203" i="43"/>
  <c r="BX203" i="43" s="1"/>
  <c r="BR107" i="43"/>
  <c r="BM108" i="43"/>
  <c r="BX108" i="43" s="1"/>
  <c r="BM111" i="43"/>
  <c r="BX111" i="43" s="1"/>
  <c r="BM117" i="43"/>
  <c r="BM123" i="43"/>
  <c r="BX123" i="43" s="1"/>
  <c r="BM126" i="43"/>
  <c r="BR128" i="43"/>
  <c r="BM129" i="43"/>
  <c r="BX129" i="43" s="1"/>
  <c r="BR134" i="43"/>
  <c r="BM135" i="43"/>
  <c r="BX135" i="43" s="1"/>
  <c r="BM138" i="43"/>
  <c r="BX138" i="43" s="1"/>
  <c r="BM141" i="43"/>
  <c r="BX141" i="43" s="1"/>
  <c r="BM144" i="43"/>
  <c r="BX144" i="43" s="1"/>
  <c r="BM147" i="43"/>
  <c r="BX147" i="43" s="1"/>
  <c r="BM150" i="43"/>
  <c r="BX150" i="43" s="1"/>
  <c r="BM153" i="43"/>
  <c r="BX153" i="43" s="1"/>
  <c r="BM156" i="43"/>
  <c r="BX156" i="43" s="1"/>
  <c r="BM159" i="43"/>
  <c r="BX159" i="43" s="1"/>
  <c r="BM171" i="43"/>
  <c r="BX171" i="43" s="1"/>
  <c r="BM179" i="43"/>
  <c r="BX179" i="43" s="1"/>
  <c r="BM188" i="43"/>
  <c r="BM197" i="43"/>
  <c r="BX197" i="43" s="1"/>
  <c r="BM261" i="43"/>
  <c r="BX261" i="43" s="1"/>
  <c r="BM173" i="43"/>
  <c r="BX173" i="43" s="1"/>
  <c r="BM182" i="43"/>
  <c r="BX182" i="43" s="1"/>
  <c r="BM191" i="43"/>
  <c r="BX191" i="43" s="1"/>
  <c r="BM119" i="43"/>
  <c r="BX119" i="43" s="1"/>
  <c r="BM122" i="43"/>
  <c r="BX122" i="43" s="1"/>
  <c r="BM128" i="43"/>
  <c r="BX128" i="43" s="1"/>
  <c r="BM131" i="43"/>
  <c r="BX131" i="43" s="1"/>
  <c r="BM134" i="43"/>
  <c r="BX134" i="43" s="1"/>
  <c r="BM137" i="43"/>
  <c r="BX137" i="43" s="1"/>
  <c r="BM140" i="43"/>
  <c r="BM143" i="43"/>
  <c r="BX143" i="43" s="1"/>
  <c r="BM146" i="43"/>
  <c r="BM149" i="43"/>
  <c r="BX149" i="43" s="1"/>
  <c r="BM152" i="43"/>
  <c r="BM155" i="43"/>
  <c r="BX155" i="43" s="1"/>
  <c r="BM158" i="43"/>
  <c r="BM165" i="43"/>
  <c r="BX165" i="43" s="1"/>
  <c r="BM170" i="43"/>
  <c r="BX170" i="43" s="1"/>
  <c r="BM228" i="43"/>
  <c r="BX228" i="43" s="1"/>
  <c r="BM246" i="43"/>
  <c r="BX246" i="43" s="1"/>
  <c r="BM264" i="43"/>
  <c r="BX264" i="43" s="1"/>
  <c r="BM278" i="43"/>
  <c r="BX278" i="43" s="1"/>
  <c r="BM207" i="43"/>
  <c r="BM267" i="43"/>
  <c r="BM320" i="43"/>
  <c r="BX320" i="43" s="1"/>
  <c r="BM177" i="43"/>
  <c r="BX177" i="43" s="1"/>
  <c r="BM183" i="43"/>
  <c r="BX183" i="43" s="1"/>
  <c r="BM186" i="43"/>
  <c r="BX186" i="43" s="1"/>
  <c r="BM189" i="43"/>
  <c r="BX189" i="43" s="1"/>
  <c r="BM192" i="43"/>
  <c r="BX192" i="43" s="1"/>
  <c r="BM195" i="43"/>
  <c r="BM198" i="43"/>
  <c r="BX198" i="43" s="1"/>
  <c r="BM201" i="43"/>
  <c r="BM204" i="43"/>
  <c r="BX204" i="43" s="1"/>
  <c r="BM216" i="43"/>
  <c r="BX216" i="43" s="1"/>
  <c r="BR221" i="43"/>
  <c r="BM234" i="43"/>
  <c r="BX234" i="43" s="1"/>
  <c r="BR239" i="43"/>
  <c r="BM252" i="43"/>
  <c r="BX252" i="43" s="1"/>
  <c r="BM275" i="43"/>
  <c r="BX275" i="43" s="1"/>
  <c r="BM287" i="43"/>
  <c r="BX287" i="43" s="1"/>
  <c r="BM210" i="43"/>
  <c r="BX210" i="43" s="1"/>
  <c r="BM255" i="43"/>
  <c r="BX255" i="43" s="1"/>
  <c r="BM273" i="43"/>
  <c r="BM297" i="43"/>
  <c r="BM309" i="43"/>
  <c r="BX309" i="43" s="1"/>
  <c r="BM222" i="43"/>
  <c r="BX222" i="43" s="1"/>
  <c r="BR227" i="43"/>
  <c r="BM240" i="43"/>
  <c r="BX240" i="43" s="1"/>
  <c r="BR245" i="43"/>
  <c r="BM274" i="43"/>
  <c r="BX274" i="43" s="1"/>
  <c r="BR279" i="43"/>
  <c r="BM282" i="43"/>
  <c r="BX282" i="43" s="1"/>
  <c r="BM291" i="43"/>
  <c r="BX291" i="43" s="1"/>
  <c r="BM300" i="43"/>
  <c r="BX300" i="43" s="1"/>
  <c r="BM384" i="43"/>
  <c r="BM279" i="43"/>
  <c r="BX279" i="43" s="1"/>
  <c r="BM327" i="43"/>
  <c r="BX327" i="43" s="1"/>
  <c r="BM285" i="43"/>
  <c r="BX285" i="43" s="1"/>
  <c r="BM294" i="43"/>
  <c r="BX294" i="43" s="1"/>
  <c r="BM317" i="43"/>
  <c r="BM330" i="43"/>
  <c r="BX330" i="43" s="1"/>
  <c r="BM306" i="43"/>
  <c r="BM315" i="43"/>
  <c r="BX315" i="43" s="1"/>
  <c r="BR395" i="43"/>
  <c r="BM303" i="43"/>
  <c r="BX303" i="43" s="1"/>
  <c r="BM318" i="43"/>
  <c r="BX318" i="43" s="1"/>
  <c r="BM342" i="43"/>
  <c r="BX342" i="43" s="1"/>
  <c r="BM321" i="43"/>
  <c r="BX321" i="43" s="1"/>
  <c r="BM277" i="43"/>
  <c r="BM280" i="43"/>
  <c r="BX280" i="43" s="1"/>
  <c r="BM286" i="43"/>
  <c r="BX286" i="43" s="1"/>
  <c r="BM289" i="43"/>
  <c r="BM292" i="43"/>
  <c r="BX292" i="43" s="1"/>
  <c r="BM295" i="43"/>
  <c r="BX295" i="43" s="1"/>
  <c r="BM301" i="43"/>
  <c r="BX301" i="43" s="1"/>
  <c r="BM326" i="43"/>
  <c r="BX326" i="43" s="1"/>
  <c r="BM333" i="43"/>
  <c r="BR341" i="43"/>
  <c r="BM354" i="43"/>
  <c r="BX354" i="43" s="1"/>
  <c r="BM360" i="43"/>
  <c r="BX360" i="43" s="1"/>
  <c r="BM366" i="43"/>
  <c r="BX366" i="43" s="1"/>
  <c r="BM369" i="43"/>
  <c r="BX369" i="43" s="1"/>
  <c r="BM372" i="43"/>
  <c r="BX372" i="43" s="1"/>
  <c r="BM375" i="43"/>
  <c r="BR424" i="43"/>
  <c r="BM339" i="43"/>
  <c r="BX339" i="43" s="1"/>
  <c r="BM348" i="43"/>
  <c r="BX348" i="43" s="1"/>
  <c r="BM357" i="43"/>
  <c r="BX357" i="43" s="1"/>
  <c r="BM378" i="43"/>
  <c r="BX378" i="43" s="1"/>
  <c r="BM381" i="43"/>
  <c r="BX381" i="43" s="1"/>
  <c r="BR386" i="43"/>
  <c r="BM390" i="43"/>
  <c r="BM406" i="43"/>
  <c r="BX406" i="43" s="1"/>
  <c r="BM387" i="43"/>
  <c r="BX387" i="43" s="1"/>
  <c r="BM334" i="43"/>
  <c r="BX334" i="43" s="1"/>
  <c r="BM337" i="43"/>
  <c r="BM340" i="43"/>
  <c r="BX340" i="43" s="1"/>
  <c r="BM343" i="43"/>
  <c r="BX343" i="43" s="1"/>
  <c r="BM346" i="43"/>
  <c r="BM349" i="43"/>
  <c r="BX349" i="43" s="1"/>
  <c r="BM352" i="43"/>
  <c r="BM355" i="43"/>
  <c r="BX355" i="43" s="1"/>
  <c r="BM361" i="43"/>
  <c r="BX361" i="43" s="1"/>
  <c r="BM429" i="43"/>
  <c r="BM364" i="43"/>
  <c r="BM367" i="43"/>
  <c r="BX367" i="43" s="1"/>
  <c r="BM373" i="43"/>
  <c r="BX373" i="43" s="1"/>
  <c r="BM379" i="43"/>
  <c r="BX379" i="43" s="1"/>
  <c r="BM382" i="43"/>
  <c r="BX382" i="43" s="1"/>
  <c r="BM385" i="43"/>
  <c r="BX385" i="43" s="1"/>
  <c r="BM397" i="43"/>
  <c r="BX397" i="43" s="1"/>
  <c r="BM403" i="43"/>
  <c r="BX403" i="43" s="1"/>
  <c r="BM409" i="43"/>
  <c r="BX409" i="43" s="1"/>
  <c r="BM425" i="43"/>
  <c r="BX425" i="43" s="1"/>
  <c r="BM439" i="43"/>
  <c r="BX439" i="43" s="1"/>
  <c r="BM441" i="43"/>
  <c r="BX441" i="43" s="1"/>
  <c r="BM422" i="43"/>
  <c r="BM436" i="43"/>
  <c r="BM438" i="43"/>
  <c r="BX438" i="43" s="1"/>
  <c r="BM398" i="43"/>
  <c r="BX398" i="43" s="1"/>
  <c r="BM401" i="43"/>
  <c r="BM404" i="43"/>
  <c r="BX404" i="43" s="1"/>
  <c r="BM410" i="43"/>
  <c r="BX410" i="43" s="1"/>
  <c r="BM419" i="43"/>
  <c r="BX419" i="43" s="1"/>
  <c r="BM433" i="43"/>
  <c r="BX433" i="43" s="1"/>
  <c r="BM413" i="43"/>
  <c r="BX413" i="43" s="1"/>
  <c r="BM416" i="43"/>
  <c r="BX416" i="43" s="1"/>
  <c r="BM430" i="43"/>
  <c r="BX430" i="43" s="1"/>
  <c r="BM432" i="43"/>
  <c r="BX432" i="43" s="1"/>
  <c r="BR438" i="43"/>
  <c r="BM453" i="43"/>
  <c r="BX453" i="43" s="1"/>
  <c r="BM462" i="43"/>
  <c r="BX462" i="43" s="1"/>
  <c r="BM450" i="43"/>
  <c r="BM447" i="43"/>
  <c r="BX447" i="43" s="1"/>
  <c r="BM431" i="43"/>
  <c r="BX431" i="43" s="1"/>
  <c r="BM434" i="43"/>
  <c r="BX434" i="43" s="1"/>
  <c r="BM437" i="43"/>
  <c r="BX437" i="43" s="1"/>
  <c r="BM440" i="43"/>
  <c r="BX440" i="43" s="1"/>
  <c r="BM443" i="43"/>
  <c r="BM444" i="43"/>
  <c r="BX444" i="43" s="1"/>
  <c r="BM445" i="43"/>
  <c r="BX445" i="43" s="1"/>
  <c r="BM448" i="43"/>
  <c r="BX448" i="43" s="1"/>
  <c r="BM451" i="43"/>
  <c r="BX451" i="43" s="1"/>
  <c r="BM454" i="43"/>
  <c r="BX454" i="43" s="1"/>
  <c r="BM457" i="43"/>
  <c r="BM460" i="43"/>
  <c r="AY12" i="43"/>
  <c r="AP12" i="43"/>
  <c r="BO109" i="44" l="1"/>
  <c r="AU109" i="44"/>
  <c r="BO115" i="44"/>
  <c r="AU115" i="44"/>
  <c r="BO97" i="44"/>
  <c r="AU97" i="44"/>
  <c r="BO58" i="44"/>
  <c r="AU58" i="44"/>
  <c r="BO43" i="44"/>
  <c r="AU43" i="44"/>
  <c r="BO55" i="44"/>
  <c r="AU55" i="44"/>
  <c r="BO94" i="44"/>
  <c r="AU94" i="44"/>
  <c r="BO61" i="44"/>
  <c r="AU61" i="44"/>
  <c r="BU61" i="44" s="1"/>
  <c r="BO20" i="44"/>
  <c r="AU20" i="44"/>
  <c r="BO25" i="44"/>
  <c r="AU25" i="44"/>
  <c r="BO24" i="44"/>
  <c r="AU24" i="44"/>
  <c r="BO114" i="44"/>
  <c r="AU114" i="44"/>
  <c r="BO51" i="44"/>
  <c r="AU51" i="44"/>
  <c r="BO65" i="44"/>
  <c r="AU65" i="44"/>
  <c r="BO23" i="44"/>
  <c r="AU23" i="44"/>
  <c r="BO15" i="44"/>
  <c r="AU15" i="44"/>
  <c r="BU15" i="44" s="1"/>
  <c r="BO82" i="44"/>
  <c r="AU82" i="44"/>
  <c r="BO26" i="44"/>
  <c r="AU26" i="44"/>
  <c r="BO123" i="44"/>
  <c r="AU123" i="44"/>
  <c r="BO46" i="44"/>
  <c r="AU46" i="44"/>
  <c r="BU46" i="44" s="1"/>
  <c r="BO36" i="44"/>
  <c r="AU36" i="44"/>
  <c r="BO48" i="44"/>
  <c r="AU48" i="44"/>
  <c r="BO30" i="44"/>
  <c r="AU30" i="44"/>
  <c r="BO69" i="44"/>
  <c r="AU69" i="44"/>
  <c r="BU69" i="44" s="1"/>
  <c r="BO47" i="44"/>
  <c r="AU47" i="44"/>
  <c r="BO67" i="44"/>
  <c r="AU67" i="44"/>
  <c r="BO119" i="44"/>
  <c r="AU119" i="44"/>
  <c r="BO118" i="44"/>
  <c r="AU118" i="44"/>
  <c r="BU118" i="44" s="1"/>
  <c r="BO76" i="44"/>
  <c r="AU76" i="44"/>
  <c r="BO21" i="44"/>
  <c r="AU21" i="44"/>
  <c r="BO101" i="44"/>
  <c r="AU101" i="44"/>
  <c r="BO68" i="44"/>
  <c r="AU68" i="44"/>
  <c r="BO108" i="44"/>
  <c r="AU108" i="44"/>
  <c r="BO87" i="44"/>
  <c r="AU87" i="44"/>
  <c r="BO32" i="44"/>
  <c r="AU32" i="44"/>
  <c r="BO86" i="44"/>
  <c r="AU86" i="44"/>
  <c r="BU86" i="44" s="1"/>
  <c r="BO79" i="44"/>
  <c r="AU79" i="44"/>
  <c r="BO40" i="44"/>
  <c r="AU40" i="44"/>
  <c r="BO91" i="44"/>
  <c r="AU91" i="44"/>
  <c r="BO72" i="44"/>
  <c r="AU72" i="44"/>
  <c r="BO44" i="44"/>
  <c r="AU44" i="44"/>
  <c r="BO83" i="44"/>
  <c r="AU83" i="44"/>
  <c r="BO27" i="44"/>
  <c r="AU27" i="44"/>
  <c r="BO33" i="44"/>
  <c r="AU33" i="44"/>
  <c r="BO53" i="44"/>
  <c r="AU53" i="44"/>
  <c r="BO127" i="44"/>
  <c r="AU127" i="44"/>
  <c r="BO57" i="44"/>
  <c r="AU57" i="44"/>
  <c r="BO34" i="44"/>
  <c r="AU34" i="44"/>
  <c r="BO54" i="44"/>
  <c r="AU54" i="44"/>
  <c r="BO74" i="44"/>
  <c r="AU74" i="44"/>
  <c r="BO126" i="44"/>
  <c r="AU126" i="44"/>
  <c r="BO96" i="44"/>
  <c r="AU96" i="44"/>
  <c r="BU96" i="44" s="1"/>
  <c r="BO29" i="44"/>
  <c r="AU29" i="44"/>
  <c r="BO125" i="44"/>
  <c r="AU125" i="44"/>
  <c r="BO41" i="44"/>
  <c r="AU41" i="44"/>
  <c r="BO75" i="44"/>
  <c r="AU75" i="44"/>
  <c r="BO39" i="44"/>
  <c r="AU39" i="44"/>
  <c r="AH12" i="44"/>
  <c r="BO14" i="44"/>
  <c r="AU14" i="44"/>
  <c r="BO447" i="43"/>
  <c r="AU447" i="43"/>
  <c r="BO412" i="43"/>
  <c r="AU412" i="43"/>
  <c r="BO45" i="43"/>
  <c r="AU45" i="43"/>
  <c r="BO446" i="43"/>
  <c r="AU446" i="43"/>
  <c r="BO411" i="43"/>
  <c r="AU411" i="43"/>
  <c r="BO344" i="43"/>
  <c r="AU344" i="43"/>
  <c r="BO101" i="43"/>
  <c r="AU101" i="43"/>
  <c r="BU101" i="43" s="1"/>
  <c r="BO131" i="43"/>
  <c r="AU131" i="43"/>
  <c r="BO34" i="43"/>
  <c r="AU34" i="43"/>
  <c r="BO178" i="43"/>
  <c r="AU178" i="43"/>
  <c r="BO451" i="43"/>
  <c r="AU451" i="43"/>
  <c r="BU451" i="43" s="1"/>
  <c r="BO409" i="43"/>
  <c r="AU409" i="43"/>
  <c r="BO290" i="43"/>
  <c r="AU290" i="43"/>
  <c r="BO216" i="43"/>
  <c r="AU216" i="43"/>
  <c r="BO173" i="43"/>
  <c r="AU173" i="43"/>
  <c r="BU173" i="43" s="1"/>
  <c r="BO420" i="43"/>
  <c r="AU420" i="43"/>
  <c r="BO340" i="43"/>
  <c r="AU340" i="43"/>
  <c r="BO229" i="43"/>
  <c r="AU229" i="43"/>
  <c r="BO179" i="43"/>
  <c r="AU179" i="43"/>
  <c r="BU179" i="43" s="1"/>
  <c r="BO97" i="43"/>
  <c r="AU97" i="43"/>
  <c r="BO413" i="43"/>
  <c r="AU413" i="43"/>
  <c r="BO142" i="43"/>
  <c r="AU142" i="43"/>
  <c r="BO365" i="43"/>
  <c r="AU365" i="43"/>
  <c r="BU365" i="43" s="1"/>
  <c r="BO437" i="43"/>
  <c r="AU437" i="43"/>
  <c r="BO144" i="43"/>
  <c r="AU144" i="43"/>
  <c r="BO41" i="43"/>
  <c r="AU41" i="43"/>
  <c r="BO369" i="43"/>
  <c r="AU369" i="43"/>
  <c r="BO310" i="43"/>
  <c r="AU310" i="43"/>
  <c r="BO265" i="43"/>
  <c r="AU265" i="43"/>
  <c r="BO331" i="43"/>
  <c r="AU331" i="43"/>
  <c r="BO271" i="43"/>
  <c r="AU271" i="43"/>
  <c r="BU271" i="43" s="1"/>
  <c r="BO255" i="43"/>
  <c r="AU255" i="43"/>
  <c r="BO248" i="43"/>
  <c r="AU248" i="43"/>
  <c r="BO78" i="43"/>
  <c r="AU78" i="43"/>
  <c r="BO154" i="43"/>
  <c r="AU154" i="43"/>
  <c r="BU154" i="43" s="1"/>
  <c r="BO77" i="43"/>
  <c r="AU77" i="43"/>
  <c r="BO292" i="43"/>
  <c r="AU292" i="43"/>
  <c r="BO211" i="43"/>
  <c r="AU211" i="43"/>
  <c r="BO396" i="43"/>
  <c r="AU396" i="43"/>
  <c r="BU396" i="43" s="1"/>
  <c r="BO269" i="43"/>
  <c r="AU269" i="43"/>
  <c r="BO210" i="43"/>
  <c r="AU210" i="43"/>
  <c r="BO368" i="43"/>
  <c r="AU368" i="43"/>
  <c r="AQ31" i="43"/>
  <c r="BO416" i="43"/>
  <c r="AU416" i="43"/>
  <c r="BO380" i="43"/>
  <c r="AU380" i="43"/>
  <c r="BO319" i="43"/>
  <c r="AU319" i="43"/>
  <c r="BO137" i="43"/>
  <c r="AU137" i="43"/>
  <c r="BO362" i="43"/>
  <c r="AU362" i="43"/>
  <c r="BO303" i="43"/>
  <c r="AU303" i="43"/>
  <c r="BO281" i="43"/>
  <c r="AU281" i="43"/>
  <c r="BO236" i="43"/>
  <c r="AU236" i="43"/>
  <c r="BO136" i="43"/>
  <c r="AU136" i="43"/>
  <c r="BO433" i="43"/>
  <c r="AU433" i="43"/>
  <c r="BO246" i="43"/>
  <c r="AU246" i="43"/>
  <c r="BO454" i="43"/>
  <c r="AU454" i="43"/>
  <c r="BO419" i="43"/>
  <c r="AU419" i="43"/>
  <c r="BO367" i="43"/>
  <c r="AU367" i="43"/>
  <c r="BO339" i="43"/>
  <c r="AU339" i="43"/>
  <c r="BO54" i="43"/>
  <c r="AU54" i="43"/>
  <c r="BO21" i="43"/>
  <c r="AU21" i="43"/>
  <c r="BO161" i="43"/>
  <c r="AU161" i="43"/>
  <c r="BO381" i="43"/>
  <c r="AU381" i="43"/>
  <c r="BO253" i="43"/>
  <c r="AU253" i="43"/>
  <c r="BO399" i="43"/>
  <c r="AU399" i="43"/>
  <c r="BO242" i="43"/>
  <c r="AU242" i="43"/>
  <c r="BO223" i="43"/>
  <c r="AU223" i="43"/>
  <c r="BO122" i="43"/>
  <c r="AU122" i="43"/>
  <c r="BO48" i="43"/>
  <c r="AU48" i="43"/>
  <c r="BO294" i="43"/>
  <c r="AU294" i="43"/>
  <c r="BO192" i="43"/>
  <c r="AU192" i="43"/>
  <c r="BO171" i="43"/>
  <c r="AU171" i="43"/>
  <c r="BO315" i="43"/>
  <c r="AU315" i="43"/>
  <c r="BO191" i="43"/>
  <c r="AU191" i="43"/>
  <c r="BO93" i="43"/>
  <c r="AU93" i="43"/>
  <c r="BO453" i="43"/>
  <c r="AU453" i="43"/>
  <c r="BO403" i="43"/>
  <c r="AU403" i="43"/>
  <c r="BO342" i="43"/>
  <c r="AU342" i="43"/>
  <c r="BO354" i="43"/>
  <c r="AU354" i="43"/>
  <c r="BO235" i="43"/>
  <c r="AU235" i="43"/>
  <c r="BO440" i="43"/>
  <c r="AU440" i="43"/>
  <c r="BO398" i="43"/>
  <c r="AU398" i="43"/>
  <c r="BO234" i="43"/>
  <c r="AU234" i="43"/>
  <c r="BO111" i="43"/>
  <c r="AU111" i="43"/>
  <c r="BO62" i="43"/>
  <c r="AU62" i="43"/>
  <c r="BO218" i="43"/>
  <c r="AU218" i="43"/>
  <c r="BO439" i="43"/>
  <c r="AU439" i="43"/>
  <c r="BO418" i="43"/>
  <c r="AU418" i="43"/>
  <c r="BO373" i="43"/>
  <c r="AU373" i="43"/>
  <c r="BO300" i="43"/>
  <c r="AU300" i="43"/>
  <c r="BO427" i="43"/>
  <c r="AU427" i="43"/>
  <c r="BO458" i="43"/>
  <c r="AU458" i="43"/>
  <c r="BO423" i="43"/>
  <c r="AU423" i="43"/>
  <c r="BO387" i="43"/>
  <c r="AU387" i="43"/>
  <c r="BO327" i="43"/>
  <c r="AU327" i="43"/>
  <c r="BO275" i="43"/>
  <c r="AU275" i="43"/>
  <c r="BO230" i="43"/>
  <c r="AU230" i="43"/>
  <c r="BO66" i="43"/>
  <c r="AU66" i="43"/>
  <c r="BO280" i="43"/>
  <c r="AU280" i="43"/>
  <c r="BO112" i="43"/>
  <c r="AU112" i="43"/>
  <c r="BO165" i="43"/>
  <c r="AU165" i="43"/>
  <c r="BO143" i="43"/>
  <c r="AU143" i="43"/>
  <c r="BO81" i="43"/>
  <c r="AU81" i="43"/>
  <c r="BO30" i="43"/>
  <c r="AU30" i="43"/>
  <c r="BO406" i="43"/>
  <c r="AU406" i="43"/>
  <c r="BO462" i="43"/>
  <c r="AU462" i="43"/>
  <c r="BO405" i="43"/>
  <c r="AU405" i="43"/>
  <c r="BO198" i="43"/>
  <c r="AU198" i="43"/>
  <c r="BO148" i="43"/>
  <c r="AU148" i="43"/>
  <c r="BO404" i="43"/>
  <c r="AU404" i="43"/>
  <c r="BO397" i="43"/>
  <c r="AU397" i="43"/>
  <c r="BO382" i="43"/>
  <c r="AU382" i="43"/>
  <c r="BO85" i="43"/>
  <c r="AU85" i="43"/>
  <c r="BO224" i="43"/>
  <c r="AU224" i="43"/>
  <c r="BO217" i="43"/>
  <c r="AU217" i="43"/>
  <c r="BO124" i="43"/>
  <c r="AU124" i="43"/>
  <c r="BO26" i="43"/>
  <c r="AU26" i="43"/>
  <c r="BO149" i="43"/>
  <c r="AU149" i="43"/>
  <c r="BO444" i="43"/>
  <c r="AU444" i="43"/>
  <c r="BO402" i="43"/>
  <c r="AU402" i="43"/>
  <c r="BO349" i="43"/>
  <c r="AU349" i="43"/>
  <c r="BO304" i="43"/>
  <c r="AU304" i="43"/>
  <c r="BO282" i="43"/>
  <c r="AU282" i="43"/>
  <c r="BO252" i="43"/>
  <c r="AU252" i="43"/>
  <c r="BO209" i="43"/>
  <c r="AU209" i="43"/>
  <c r="BO156" i="43"/>
  <c r="AU156" i="43"/>
  <c r="BO15" i="43"/>
  <c r="AU15" i="43"/>
  <c r="BO222" i="43"/>
  <c r="AU222" i="43"/>
  <c r="BO89" i="43"/>
  <c r="AU89" i="43"/>
  <c r="BO72" i="43"/>
  <c r="AU72" i="43"/>
  <c r="BO434" i="43"/>
  <c r="AU434" i="43"/>
  <c r="BO426" i="43"/>
  <c r="AU426" i="43"/>
  <c r="BO205" i="43"/>
  <c r="AU205" i="43"/>
  <c r="BO197" i="43"/>
  <c r="AU197" i="43"/>
  <c r="BO425" i="43"/>
  <c r="AU425" i="43"/>
  <c r="BO321" i="43"/>
  <c r="AU321" i="43"/>
  <c r="BO285" i="43"/>
  <c r="AU285" i="43"/>
  <c r="BO388" i="43"/>
  <c r="AU388" i="43"/>
  <c r="BO350" i="43"/>
  <c r="AU350" i="43"/>
  <c r="BO343" i="43"/>
  <c r="AU343" i="43"/>
  <c r="BO261" i="43"/>
  <c r="AU261" i="43"/>
  <c r="BO203" i="43"/>
  <c r="AU203" i="43"/>
  <c r="BO108" i="43"/>
  <c r="AU108" i="43"/>
  <c r="BO455" i="43"/>
  <c r="AU455" i="43"/>
  <c r="BO378" i="43"/>
  <c r="AU378" i="43"/>
  <c r="AT149" i="43"/>
  <c r="BO88" i="43"/>
  <c r="AU88" i="43"/>
  <c r="BO356" i="43"/>
  <c r="AU356" i="43"/>
  <c r="BO115" i="43"/>
  <c r="AU115" i="43"/>
  <c r="BU115" i="43" s="1"/>
  <c r="BO355" i="43"/>
  <c r="AU355" i="43"/>
  <c r="BO295" i="43"/>
  <c r="AU295" i="43"/>
  <c r="BO251" i="43"/>
  <c r="AU251" i="43"/>
  <c r="BO129" i="43"/>
  <c r="AU129" i="43"/>
  <c r="BU129" i="43" s="1"/>
  <c r="BO104" i="43"/>
  <c r="AU104" i="43"/>
  <c r="BO38" i="43"/>
  <c r="AU38" i="43"/>
  <c r="BO308" i="43"/>
  <c r="AU308" i="43"/>
  <c r="BO286" i="43"/>
  <c r="AU286" i="43"/>
  <c r="BU286" i="43" s="1"/>
  <c r="BO241" i="43"/>
  <c r="AU241" i="43"/>
  <c r="BO212" i="43"/>
  <c r="AU212" i="43"/>
  <c r="BO155" i="43"/>
  <c r="AU155" i="43"/>
  <c r="BO119" i="43"/>
  <c r="AU119" i="43"/>
  <c r="BU119" i="43" s="1"/>
  <c r="BO247" i="43"/>
  <c r="AU247" i="43"/>
  <c r="BO338" i="43"/>
  <c r="AU338" i="43"/>
  <c r="BO307" i="43"/>
  <c r="AU307" i="43"/>
  <c r="BO254" i="43"/>
  <c r="AU254" i="43"/>
  <c r="BO357" i="43"/>
  <c r="AU357" i="43"/>
  <c r="BO182" i="43"/>
  <c r="AU182" i="43"/>
  <c r="BO160" i="43"/>
  <c r="AU160" i="43"/>
  <c r="BO335" i="43"/>
  <c r="AU335" i="43"/>
  <c r="BU335" i="43" s="1"/>
  <c r="BO166" i="43"/>
  <c r="AU166" i="43"/>
  <c r="BO74" i="43"/>
  <c r="AU74" i="43"/>
  <c r="BO392" i="43"/>
  <c r="AU392" i="43"/>
  <c r="BO309" i="43"/>
  <c r="AU309" i="43"/>
  <c r="BU309" i="43" s="1"/>
  <c r="BO228" i="43"/>
  <c r="AU228" i="43"/>
  <c r="BO448" i="43"/>
  <c r="AU448" i="43"/>
  <c r="BO385" i="43"/>
  <c r="AU385" i="43"/>
  <c r="BO361" i="43"/>
  <c r="AU361" i="43"/>
  <c r="CB465" i="43"/>
  <c r="U13" i="47"/>
  <c r="AT191" i="43"/>
  <c r="AW13" i="47"/>
  <c r="CF465" i="43"/>
  <c r="AG139" i="44"/>
  <c r="AS12" i="44"/>
  <c r="AS13" i="44" s="1"/>
  <c r="BQ107" i="44"/>
  <c r="AW14" i="47"/>
  <c r="CF130" i="44"/>
  <c r="U14" i="47"/>
  <c r="CB130" i="44"/>
  <c r="AR33" i="47"/>
  <c r="AG98" i="44"/>
  <c r="BP59" i="44"/>
  <c r="BQ66" i="44"/>
  <c r="BQ70" i="44" s="1"/>
  <c r="AF84" i="44"/>
  <c r="AF136" i="44"/>
  <c r="AG70" i="44"/>
  <c r="BP124" i="44"/>
  <c r="BQ12" i="44"/>
  <c r="BQ13" i="44" s="1"/>
  <c r="AG56" i="44"/>
  <c r="AG28" i="44"/>
  <c r="BO19" i="43"/>
  <c r="BO43" i="43"/>
  <c r="BQ318" i="43"/>
  <c r="BP395" i="43"/>
  <c r="BP400" i="43" s="1"/>
  <c r="BQ221" i="43"/>
  <c r="BQ189" i="43"/>
  <c r="BP183" i="43"/>
  <c r="BP147" i="43"/>
  <c r="BQ65" i="43"/>
  <c r="BQ67" i="43" s="1"/>
  <c r="BQ347" i="43"/>
  <c r="BQ341" i="43"/>
  <c r="AH264" i="43"/>
  <c r="AU264" i="43" s="1"/>
  <c r="AR264" i="43"/>
  <c r="AT264" i="43" s="1"/>
  <c r="AH386" i="43"/>
  <c r="AU386" i="43" s="1"/>
  <c r="AR386" i="43"/>
  <c r="AT386" i="43" s="1"/>
  <c r="AR341" i="43"/>
  <c r="AT341" i="43" s="1"/>
  <c r="AH341" i="43"/>
  <c r="AU341" i="43" s="1"/>
  <c r="AH215" i="43"/>
  <c r="AU215" i="43" s="1"/>
  <c r="AR215" i="43"/>
  <c r="AT215" i="43" s="1"/>
  <c r="AR100" i="43"/>
  <c r="AT100" i="43" s="1"/>
  <c r="AH100" i="43"/>
  <c r="AU100" i="43" s="1"/>
  <c r="AH20" i="43"/>
  <c r="AR20" i="43"/>
  <c r="AT20" i="43" s="1"/>
  <c r="AR291" i="43"/>
  <c r="AT291" i="43" s="1"/>
  <c r="AH291" i="43"/>
  <c r="AU291" i="43" s="1"/>
  <c r="AR170" i="43"/>
  <c r="AT170" i="43" s="1"/>
  <c r="AH170" i="43"/>
  <c r="AU170" i="43" s="1"/>
  <c r="AR37" i="43"/>
  <c r="AT37" i="43" s="1"/>
  <c r="AH37" i="43"/>
  <c r="AU37" i="43" s="1"/>
  <c r="AH65" i="43"/>
  <c r="AU65" i="43" s="1"/>
  <c r="AR65" i="43"/>
  <c r="AT65" i="43" s="1"/>
  <c r="AH438" i="43"/>
  <c r="AU438" i="43" s="1"/>
  <c r="AR438" i="43"/>
  <c r="AT438" i="43" s="1"/>
  <c r="AR461" i="43"/>
  <c r="AT461" i="43" s="1"/>
  <c r="AH461" i="43"/>
  <c r="AU461" i="43" s="1"/>
  <c r="AR330" i="43"/>
  <c r="AT330" i="43" s="1"/>
  <c r="AH330" i="43"/>
  <c r="AU330" i="43" s="1"/>
  <c r="AR202" i="43"/>
  <c r="AT202" i="43" s="1"/>
  <c r="AH202" i="43"/>
  <c r="AR92" i="43"/>
  <c r="AT92" i="43" s="1"/>
  <c r="AH92" i="43"/>
  <c r="AU92" i="43" s="1"/>
  <c r="AH360" i="43"/>
  <c r="AR360" i="43"/>
  <c r="AT360" i="43" s="1"/>
  <c r="AH196" i="43"/>
  <c r="AU196" i="43" s="1"/>
  <c r="AR196" i="43"/>
  <c r="AT196" i="43" s="1"/>
  <c r="AH73" i="43"/>
  <c r="AU73" i="43" s="1"/>
  <c r="AR73" i="43"/>
  <c r="AT73" i="43" s="1"/>
  <c r="AH353" i="43"/>
  <c r="AU353" i="43" s="1"/>
  <c r="AR353" i="43"/>
  <c r="AT353" i="43" s="1"/>
  <c r="AH227" i="43"/>
  <c r="AU227" i="43" s="1"/>
  <c r="AR227" i="43"/>
  <c r="AT227" i="43" s="1"/>
  <c r="BP386" i="43"/>
  <c r="BP341" i="43"/>
  <c r="BQ291" i="43"/>
  <c r="BP215" i="43"/>
  <c r="BQ170" i="43"/>
  <c r="BP100" i="43"/>
  <c r="BQ37" i="43"/>
  <c r="BQ39" i="43" s="1"/>
  <c r="BP20" i="43"/>
  <c r="BP22" i="43" s="1"/>
  <c r="BQ417" i="43"/>
  <c r="BQ421" i="43" s="1"/>
  <c r="BQ366" i="43"/>
  <c r="BP291" i="43"/>
  <c r="BQ239" i="43"/>
  <c r="BP170" i="43"/>
  <c r="BQ128" i="43"/>
  <c r="BP37" i="43"/>
  <c r="BP65" i="43"/>
  <c r="BP438" i="43"/>
  <c r="BQ386" i="43"/>
  <c r="BQ301" i="43"/>
  <c r="BQ215" i="43"/>
  <c r="BP461" i="43"/>
  <c r="BQ410" i="43"/>
  <c r="BP330" i="43"/>
  <c r="BQ274" i="43"/>
  <c r="BP202" i="43"/>
  <c r="BQ159" i="43"/>
  <c r="BP92" i="43"/>
  <c r="BQ29" i="43"/>
  <c r="BQ107" i="43"/>
  <c r="BQ141" i="43"/>
  <c r="BQ445" i="43"/>
  <c r="BP360" i="43"/>
  <c r="BP363" i="43" s="1"/>
  <c r="BQ268" i="43"/>
  <c r="BP196" i="43"/>
  <c r="BQ153" i="43"/>
  <c r="BP73" i="43"/>
  <c r="BQ25" i="43"/>
  <c r="BQ438" i="43"/>
  <c r="BP353" i="43"/>
  <c r="BQ314" i="43"/>
  <c r="BP227" i="43"/>
  <c r="BQ183" i="43"/>
  <c r="BP264" i="43"/>
  <c r="AH431" i="43"/>
  <c r="AU431" i="43" s="1"/>
  <c r="AR431" i="43"/>
  <c r="AT431" i="43" s="1"/>
  <c r="AH260" i="43"/>
  <c r="AU260" i="43" s="1"/>
  <c r="AR260" i="43"/>
  <c r="AT260" i="43" s="1"/>
  <c r="AH141" i="43"/>
  <c r="AU141" i="43" s="1"/>
  <c r="AR141" i="43"/>
  <c r="AT141" i="43" s="1"/>
  <c r="AR16" i="43"/>
  <c r="AT16" i="43" s="1"/>
  <c r="AH16" i="43"/>
  <c r="AU16" i="43" s="1"/>
  <c r="AR379" i="43"/>
  <c r="AT379" i="43" s="1"/>
  <c r="AH379" i="43"/>
  <c r="AU379" i="43" s="1"/>
  <c r="AR334" i="43"/>
  <c r="AT334" i="43" s="1"/>
  <c r="AH334" i="43"/>
  <c r="AU334" i="43" s="1"/>
  <c r="AR208" i="43"/>
  <c r="AT208" i="43" s="1"/>
  <c r="AH208" i="43"/>
  <c r="AU208" i="43" s="1"/>
  <c r="AR96" i="43"/>
  <c r="AT96" i="43" s="1"/>
  <c r="AH96" i="43"/>
  <c r="AU96" i="43" s="1"/>
  <c r="AH25" i="43"/>
  <c r="AU25" i="43" s="1"/>
  <c r="AR25" i="43"/>
  <c r="AT25" i="43" s="1"/>
  <c r="AR366" i="43"/>
  <c r="AT366" i="43" s="1"/>
  <c r="AH366" i="43"/>
  <c r="AU366" i="43" s="1"/>
  <c r="AR239" i="43"/>
  <c r="AT239" i="43" s="1"/>
  <c r="AH239" i="43"/>
  <c r="AU239" i="43" s="1"/>
  <c r="AR128" i="43"/>
  <c r="AT128" i="43" s="1"/>
  <c r="AH128" i="43"/>
  <c r="AU128" i="43" s="1"/>
  <c r="AH153" i="43"/>
  <c r="AU153" i="43" s="1"/>
  <c r="AR153" i="43"/>
  <c r="AT153" i="43" s="1"/>
  <c r="AH107" i="43"/>
  <c r="AU107" i="43" s="1"/>
  <c r="AR107" i="43"/>
  <c r="AT107" i="43" s="1"/>
  <c r="AR410" i="43"/>
  <c r="AT410" i="43" s="1"/>
  <c r="AH410" i="43"/>
  <c r="AU410" i="43" s="1"/>
  <c r="AR233" i="43"/>
  <c r="AT233" i="43" s="1"/>
  <c r="AH233" i="43"/>
  <c r="AU233" i="43" s="1"/>
  <c r="AH123" i="43"/>
  <c r="AU123" i="43" s="1"/>
  <c r="AR123" i="43"/>
  <c r="AT123" i="43" s="1"/>
  <c r="AH183" i="43"/>
  <c r="AU183" i="43" s="1"/>
  <c r="AR183" i="43"/>
  <c r="AT183" i="43" s="1"/>
  <c r="AH395" i="43"/>
  <c r="AU395" i="43" s="1"/>
  <c r="AR395" i="43"/>
  <c r="AT395" i="43" s="1"/>
  <c r="AH268" i="43"/>
  <c r="AU268" i="43" s="1"/>
  <c r="AR268" i="43"/>
  <c r="AT268" i="43" s="1"/>
  <c r="AH147" i="43"/>
  <c r="AU147" i="43" s="1"/>
  <c r="AR147" i="43"/>
  <c r="AT147" i="43" s="1"/>
  <c r="AR301" i="43"/>
  <c r="AT301" i="43" s="1"/>
  <c r="AH301" i="43"/>
  <c r="AU301" i="43" s="1"/>
  <c r="AR176" i="43"/>
  <c r="AT176" i="43" s="1"/>
  <c r="AH176" i="43"/>
  <c r="AU176" i="43" s="1"/>
  <c r="AR44" i="43"/>
  <c r="AT44" i="43" s="1"/>
  <c r="AH44" i="43"/>
  <c r="AH57" i="43"/>
  <c r="AU57" i="43" s="1"/>
  <c r="AR57" i="43"/>
  <c r="AT57" i="43" s="1"/>
  <c r="AH424" i="43"/>
  <c r="AU424" i="43" s="1"/>
  <c r="AR424" i="43"/>
  <c r="AT424" i="43" s="1"/>
  <c r="AR372" i="43"/>
  <c r="AT372" i="43" s="1"/>
  <c r="AH372" i="43"/>
  <c r="AU372" i="43" s="1"/>
  <c r="AR245" i="43"/>
  <c r="AT245" i="43" s="1"/>
  <c r="AH245" i="43"/>
  <c r="AU245" i="43" s="1"/>
  <c r="AR134" i="43"/>
  <c r="AT134" i="43" s="1"/>
  <c r="AH134" i="43"/>
  <c r="AU134" i="43" s="1"/>
  <c r="AH391" i="43"/>
  <c r="AU391" i="43" s="1"/>
  <c r="AR391" i="43"/>
  <c r="AT391" i="43" s="1"/>
  <c r="AH347" i="43"/>
  <c r="AU347" i="43" s="1"/>
  <c r="AR347" i="43"/>
  <c r="AT347" i="43" s="1"/>
  <c r="AH221" i="43"/>
  <c r="AU221" i="43" s="1"/>
  <c r="AR221" i="43"/>
  <c r="AT221" i="43" s="1"/>
  <c r="AR417" i="43"/>
  <c r="AT417" i="43" s="1"/>
  <c r="AH417" i="43"/>
  <c r="AU417" i="43" s="1"/>
  <c r="AR279" i="43"/>
  <c r="AT279" i="43" s="1"/>
  <c r="AH279" i="43"/>
  <c r="AU279" i="43" s="1"/>
  <c r="AR164" i="43"/>
  <c r="AT164" i="43" s="1"/>
  <c r="AH164" i="43"/>
  <c r="AU164" i="43" s="1"/>
  <c r="AR33" i="43"/>
  <c r="AT33" i="43" s="1"/>
  <c r="AH33" i="43"/>
  <c r="AU33" i="43" s="1"/>
  <c r="AH118" i="43"/>
  <c r="AU118" i="43" s="1"/>
  <c r="AR118" i="43"/>
  <c r="AT118" i="43" s="1"/>
  <c r="AR452" i="43"/>
  <c r="AT452" i="43" s="1"/>
  <c r="AH452" i="43"/>
  <c r="AU452" i="43" s="1"/>
  <c r="AH326" i="43"/>
  <c r="AU326" i="43" s="1"/>
  <c r="AR326" i="43"/>
  <c r="AT326" i="43" s="1"/>
  <c r="AH274" i="43"/>
  <c r="AU274" i="43" s="1"/>
  <c r="AR274" i="43"/>
  <c r="AT274" i="43" s="1"/>
  <c r="AH159" i="43"/>
  <c r="AR159" i="43"/>
  <c r="AT159" i="43" s="1"/>
  <c r="AH29" i="43"/>
  <c r="AU29" i="43" s="1"/>
  <c r="AR29" i="43"/>
  <c r="AT29" i="43" s="1"/>
  <c r="AR445" i="43"/>
  <c r="AT445" i="43" s="1"/>
  <c r="AH445" i="43"/>
  <c r="AU445" i="43" s="1"/>
  <c r="AH318" i="43"/>
  <c r="AU318" i="43" s="1"/>
  <c r="AR318" i="43"/>
  <c r="AT318" i="43" s="1"/>
  <c r="AH189" i="43"/>
  <c r="AU189" i="43" s="1"/>
  <c r="AR189" i="43"/>
  <c r="AT189" i="43" s="1"/>
  <c r="AH314" i="43"/>
  <c r="AU314" i="43" s="1"/>
  <c r="AR314" i="43"/>
  <c r="AT314" i="43" s="1"/>
  <c r="BQ424" i="43"/>
  <c r="BQ372" i="43"/>
  <c r="BP301" i="43"/>
  <c r="BP305" i="43" s="1"/>
  <c r="BQ245" i="43"/>
  <c r="BP176" i="43"/>
  <c r="BQ134" i="43"/>
  <c r="BP44" i="43"/>
  <c r="BP46" i="43" s="1"/>
  <c r="BP57" i="43"/>
  <c r="BP424" i="43"/>
  <c r="BP372" i="43"/>
  <c r="BQ330" i="43"/>
  <c r="BP245" i="43"/>
  <c r="BP249" i="43" s="1"/>
  <c r="BQ202" i="43"/>
  <c r="BP134" i="43"/>
  <c r="BQ92" i="43"/>
  <c r="BQ147" i="43"/>
  <c r="BQ20" i="43"/>
  <c r="BQ22" i="43" s="1"/>
  <c r="BP391" i="43"/>
  <c r="BP347" i="43"/>
  <c r="BP221" i="43"/>
  <c r="BQ16" i="43"/>
  <c r="BP417" i="43"/>
  <c r="BQ360" i="43"/>
  <c r="BQ363" i="43" s="1"/>
  <c r="BP279" i="43"/>
  <c r="BQ233" i="43"/>
  <c r="BP164" i="43"/>
  <c r="BQ123" i="43"/>
  <c r="BP33" i="43"/>
  <c r="BP118" i="43"/>
  <c r="BQ176" i="43"/>
  <c r="BP452" i="43"/>
  <c r="BQ395" i="43"/>
  <c r="BP326" i="43"/>
  <c r="BP274" i="43"/>
  <c r="BQ227" i="43"/>
  <c r="BP159" i="43"/>
  <c r="BQ118" i="43"/>
  <c r="BP29" i="43"/>
  <c r="BP445" i="43"/>
  <c r="BQ391" i="43"/>
  <c r="BP318" i="43"/>
  <c r="BP322" i="43" s="1"/>
  <c r="BQ264" i="43"/>
  <c r="BP189" i="43"/>
  <c r="BP314" i="43"/>
  <c r="BQ44" i="43"/>
  <c r="BQ46" i="43" s="1"/>
  <c r="BP95" i="44"/>
  <c r="BP107" i="44"/>
  <c r="BQ45" i="44"/>
  <c r="BQ49" i="44" s="1"/>
  <c r="AG49" i="44"/>
  <c r="AF42" i="44"/>
  <c r="BT121" i="44"/>
  <c r="BQ124" i="44"/>
  <c r="BQ116" i="44"/>
  <c r="AG84" i="44"/>
  <c r="AG42" i="44"/>
  <c r="AF35" i="44"/>
  <c r="AG121" i="44"/>
  <c r="AG77" i="44"/>
  <c r="AG35" i="44"/>
  <c r="AG92" i="44"/>
  <c r="BQ100" i="44"/>
  <c r="BP116" i="44"/>
  <c r="AG102" i="44"/>
  <c r="AG128" i="44"/>
  <c r="AF28" i="44"/>
  <c r="AG110" i="44"/>
  <c r="BQ95" i="44"/>
  <c r="AG63" i="44"/>
  <c r="AR90" i="44"/>
  <c r="AT90" i="44" s="1"/>
  <c r="AH90" i="44"/>
  <c r="AG136" i="44"/>
  <c r="AH59" i="44"/>
  <c r="AU59" i="44" s="1"/>
  <c r="AR59" i="44"/>
  <c r="AT59" i="44" s="1"/>
  <c r="AR80" i="44"/>
  <c r="AT80" i="44" s="1"/>
  <c r="AH80" i="44"/>
  <c r="BP90" i="44"/>
  <c r="BQ80" i="44"/>
  <c r="BQ59" i="44"/>
  <c r="BQ38" i="44"/>
  <c r="BQ42" i="44" s="1"/>
  <c r="AR45" i="44"/>
  <c r="AT45" i="44" s="1"/>
  <c r="AH45" i="44"/>
  <c r="AH52" i="44"/>
  <c r="AU52" i="44" s="1"/>
  <c r="AR52" i="44"/>
  <c r="AT52" i="44" s="1"/>
  <c r="AH100" i="44"/>
  <c r="AU100" i="44" s="1"/>
  <c r="AR100" i="44"/>
  <c r="AT100" i="44" s="1"/>
  <c r="AR73" i="44"/>
  <c r="AT73" i="44" s="1"/>
  <c r="AH73" i="44"/>
  <c r="AU73" i="44" s="1"/>
  <c r="AR66" i="44"/>
  <c r="AT66" i="44" s="1"/>
  <c r="AH66" i="44"/>
  <c r="AU66" i="44" s="1"/>
  <c r="BP45" i="44"/>
  <c r="BP49" i="44" s="1"/>
  <c r="BQ73" i="44"/>
  <c r="BQ52" i="44"/>
  <c r="BQ31" i="44"/>
  <c r="BQ35" i="44" s="1"/>
  <c r="BQ22" i="44"/>
  <c r="BQ28" i="44" s="1"/>
  <c r="BP52" i="44"/>
  <c r="BP100" i="44"/>
  <c r="BP73" i="44"/>
  <c r="BQ90" i="44"/>
  <c r="BP66" i="44"/>
  <c r="AR107" i="44"/>
  <c r="AT107" i="44" s="1"/>
  <c r="AH107" i="44"/>
  <c r="AU107" i="44" s="1"/>
  <c r="AR31" i="44"/>
  <c r="AT31" i="44" s="1"/>
  <c r="AH31" i="44"/>
  <c r="AR95" i="44"/>
  <c r="AT95" i="44" s="1"/>
  <c r="AH95" i="44"/>
  <c r="AU95" i="44" s="1"/>
  <c r="AR124" i="44"/>
  <c r="AT124" i="44" s="1"/>
  <c r="AH124" i="44"/>
  <c r="AU124" i="44" s="1"/>
  <c r="AR22" i="44"/>
  <c r="AT22" i="44" s="1"/>
  <c r="AH22" i="44"/>
  <c r="AR116" i="44"/>
  <c r="AT116" i="44" s="1"/>
  <c r="AH116" i="44"/>
  <c r="AU116" i="44" s="1"/>
  <c r="AR38" i="44"/>
  <c r="AT38" i="44" s="1"/>
  <c r="AH38" i="44"/>
  <c r="BE33" i="47"/>
  <c r="BD36" i="47"/>
  <c r="BQ120" i="44"/>
  <c r="AS116" i="43"/>
  <c r="AT44" i="44"/>
  <c r="AH56" i="43"/>
  <c r="AU56" i="43" s="1"/>
  <c r="L36" i="47"/>
  <c r="AT23" i="44"/>
  <c r="F36" i="47"/>
  <c r="V23" i="47"/>
  <c r="AS276" i="43"/>
  <c r="U26" i="47"/>
  <c r="AT30" i="44"/>
  <c r="AS94" i="43"/>
  <c r="AS82" i="43"/>
  <c r="AS262" i="43"/>
  <c r="AI33" i="47"/>
  <c r="BL509" i="44"/>
  <c r="AH18" i="44"/>
  <c r="AU18" i="44" s="1"/>
  <c r="BD35" i="47"/>
  <c r="AR18" i="44"/>
  <c r="AT18" i="44" s="1"/>
  <c r="BK509" i="44"/>
  <c r="AH33" i="47"/>
  <c r="L29" i="47"/>
  <c r="BD29" i="47"/>
  <c r="BE27" i="47"/>
  <c r="C35" i="47"/>
  <c r="AR27" i="47"/>
  <c r="O34" i="47"/>
  <c r="C29" i="47"/>
  <c r="F30" i="47"/>
  <c r="C33" i="47"/>
  <c r="BP18" i="44"/>
  <c r="BP140" i="44" s="1"/>
  <c r="AP509" i="44"/>
  <c r="C36" i="47"/>
  <c r="AR34" i="47"/>
  <c r="F35" i="47"/>
  <c r="BE28" i="47"/>
  <c r="AI29" i="47"/>
  <c r="AR30" i="47"/>
  <c r="AR28" i="47"/>
  <c r="AI30" i="47"/>
  <c r="AI27" i="47"/>
  <c r="BE34" i="47"/>
  <c r="AH30" i="47"/>
  <c r="V509" i="44"/>
  <c r="F27" i="47"/>
  <c r="L33" i="47"/>
  <c r="P30" i="47"/>
  <c r="BP34" i="47"/>
  <c r="AH34" i="47"/>
  <c r="BE30" i="47"/>
  <c r="O28" i="47"/>
  <c r="BD28" i="47"/>
  <c r="AH29" i="47"/>
  <c r="P33" i="47"/>
  <c r="BD34" i="47"/>
  <c r="F34" i="47"/>
  <c r="BE29" i="47"/>
  <c r="AO509" i="44"/>
  <c r="L27" i="47"/>
  <c r="L34" i="47"/>
  <c r="P28" i="47"/>
  <c r="BD27" i="47"/>
  <c r="O30" i="47"/>
  <c r="O29" i="47"/>
  <c r="O33" i="47"/>
  <c r="C34" i="47"/>
  <c r="F29" i="47"/>
  <c r="AH28" i="47"/>
  <c r="F33" i="47"/>
  <c r="W509" i="44"/>
  <c r="L30" i="47"/>
  <c r="P27" i="47"/>
  <c r="C27" i="47"/>
  <c r="AR29" i="47"/>
  <c r="O27" i="47"/>
  <c r="AR35" i="47"/>
  <c r="L28" i="47"/>
  <c r="P34" i="47"/>
  <c r="BE36" i="47"/>
  <c r="C30" i="47"/>
  <c r="AH27" i="47"/>
  <c r="BW509" i="44"/>
  <c r="BT19" i="44"/>
  <c r="BZ140" i="44"/>
  <c r="O35" i="47"/>
  <c r="BE35" i="47"/>
  <c r="BD33" i="47"/>
  <c r="AI35" i="47"/>
  <c r="F28" i="47"/>
  <c r="C28" i="47"/>
  <c r="AI34" i="47"/>
  <c r="BD30" i="47"/>
  <c r="P35" i="47"/>
  <c r="L35" i="47"/>
  <c r="AI28" i="47"/>
  <c r="P29" i="47"/>
  <c r="AH35" i="47"/>
  <c r="AT241" i="43"/>
  <c r="AS46" i="43"/>
  <c r="BR257" i="43"/>
  <c r="BR258" i="43" s="1"/>
  <c r="AS374" i="43"/>
  <c r="BX18" i="44"/>
  <c r="BX19" i="44" s="1"/>
  <c r="BZ19" i="44"/>
  <c r="BZ509" i="44" s="1"/>
  <c r="BR18" i="44"/>
  <c r="BR19" i="44" s="1"/>
  <c r="BY509" i="44"/>
  <c r="BX120" i="44"/>
  <c r="BX121" i="44" s="1"/>
  <c r="AR120" i="44"/>
  <c r="BR120" i="44"/>
  <c r="AF140" i="44"/>
  <c r="AH120" i="44"/>
  <c r="BR103" i="44"/>
  <c r="BR104" i="44" s="1"/>
  <c r="BS70" i="43"/>
  <c r="AT419" i="43"/>
  <c r="AT331" i="43"/>
  <c r="BR297" i="43"/>
  <c r="BR298" i="43" s="1"/>
  <c r="AS102" i="43"/>
  <c r="AS162" i="43"/>
  <c r="BP336" i="43"/>
  <c r="BS428" i="43"/>
  <c r="BR323" i="43"/>
  <c r="BR324" i="43" s="1"/>
  <c r="AS463" i="43"/>
  <c r="AS27" i="43"/>
  <c r="AS31" i="43"/>
  <c r="AS266" i="43"/>
  <c r="AS120" i="43"/>
  <c r="AS63" i="43"/>
  <c r="AS328" i="43"/>
  <c r="BS22" i="43"/>
  <c r="BS27" i="43"/>
  <c r="BR111" i="44"/>
  <c r="BR112" i="44" s="1"/>
  <c r="AS407" i="43"/>
  <c r="AT234" i="43"/>
  <c r="BQ90" i="43"/>
  <c r="AS363" i="43"/>
  <c r="AT184" i="43"/>
  <c r="BS374" i="43"/>
  <c r="BS35" i="43"/>
  <c r="BS266" i="43"/>
  <c r="BS109" i="43"/>
  <c r="AS243" i="43"/>
  <c r="BR36" i="43"/>
  <c r="BR39" i="43" s="1"/>
  <c r="AS79" i="43"/>
  <c r="BR375" i="43"/>
  <c r="BR376" i="43" s="1"/>
  <c r="AT423" i="43"/>
  <c r="AT94" i="44"/>
  <c r="AT69" i="44"/>
  <c r="AT440" i="43"/>
  <c r="AS109" i="43"/>
  <c r="AS225" i="43"/>
  <c r="AS35" i="43"/>
  <c r="AS70" i="43"/>
  <c r="AT369" i="43"/>
  <c r="AS288" i="43"/>
  <c r="AS249" i="43"/>
  <c r="AT398" i="43"/>
  <c r="BS120" i="43"/>
  <c r="AQ374" i="43"/>
  <c r="AT242" i="43"/>
  <c r="AT248" i="43"/>
  <c r="AT212" i="43"/>
  <c r="BS125" i="43"/>
  <c r="AS400" i="43"/>
  <c r="AT293" i="43"/>
  <c r="BS283" i="43"/>
  <c r="BS139" i="43"/>
  <c r="BS213" i="43"/>
  <c r="BS262" i="43"/>
  <c r="BS231" i="43"/>
  <c r="AS435" i="43"/>
  <c r="AS187" i="43"/>
  <c r="AQ463" i="43"/>
  <c r="AT78" i="43"/>
  <c r="AQ22" i="43"/>
  <c r="BS59" i="43"/>
  <c r="BS393" i="43"/>
  <c r="AQ459" i="43"/>
  <c r="AT412" i="43"/>
  <c r="AT327" i="43"/>
  <c r="AT115" i="43"/>
  <c r="BS113" i="43"/>
  <c r="BS316" i="43"/>
  <c r="BS151" i="43"/>
  <c r="BP272" i="43"/>
  <c r="BS200" i="43"/>
  <c r="AT77" i="43"/>
  <c r="AQ52" i="43"/>
  <c r="BS442" i="43"/>
  <c r="BS49" i="43"/>
  <c r="BQ63" i="44"/>
  <c r="BS102" i="44"/>
  <c r="AS110" i="44"/>
  <c r="BS88" i="44"/>
  <c r="AS459" i="43"/>
  <c r="AS151" i="43"/>
  <c r="AS237" i="43"/>
  <c r="AS200" i="43"/>
  <c r="AT285" i="43"/>
  <c r="BS272" i="43"/>
  <c r="AT198" i="43"/>
  <c r="AT148" i="43"/>
  <c r="BS243" i="43"/>
  <c r="AT455" i="43"/>
  <c r="AS414" i="43"/>
  <c r="AQ237" i="43"/>
  <c r="AQ46" i="43"/>
  <c r="AT441" i="43"/>
  <c r="BR91" i="43"/>
  <c r="BR94" i="43" s="1"/>
  <c r="AT155" i="43"/>
  <c r="AT185" i="43"/>
  <c r="AS180" i="43"/>
  <c r="BS370" i="43"/>
  <c r="AQ316" i="43"/>
  <c r="BS52" i="43"/>
  <c r="BS206" i="43"/>
  <c r="BS328" i="43"/>
  <c r="AT193" i="43"/>
  <c r="BS82" i="43"/>
  <c r="AT156" i="43"/>
  <c r="BQ75" i="43"/>
  <c r="AQ312" i="43"/>
  <c r="AT286" i="43"/>
  <c r="BS249" i="43"/>
  <c r="BS86" i="43"/>
  <c r="AQ79" i="43"/>
  <c r="BS63" i="43"/>
  <c r="BS389" i="43"/>
  <c r="BS145" i="43"/>
  <c r="BS42" i="43"/>
  <c r="BS363" i="43"/>
  <c r="AT179" i="43"/>
  <c r="BS105" i="43"/>
  <c r="BS90" i="43"/>
  <c r="BS449" i="43"/>
  <c r="BS407" i="43"/>
  <c r="BS305" i="43"/>
  <c r="BS237" i="43"/>
  <c r="BS79" i="43"/>
  <c r="BR306" i="43"/>
  <c r="BR312" i="43" s="1"/>
  <c r="AS312" i="43"/>
  <c r="AT453" i="43"/>
  <c r="AT411" i="43"/>
  <c r="AT205" i="43"/>
  <c r="AT62" i="43"/>
  <c r="AQ102" i="43"/>
  <c r="BR76" i="43"/>
  <c r="BR79" i="43" s="1"/>
  <c r="AS345" i="43"/>
  <c r="AS231" i="43"/>
  <c r="AS219" i="43"/>
  <c r="AS332" i="43"/>
  <c r="AT308" i="43"/>
  <c r="AT271" i="43"/>
  <c r="BS180" i="43"/>
  <c r="AT119" i="43"/>
  <c r="BS456" i="43"/>
  <c r="BS102" i="43"/>
  <c r="BR28" i="43"/>
  <c r="BR31" i="43" s="1"/>
  <c r="AS351" i="43"/>
  <c r="BS463" i="43"/>
  <c r="BS345" i="43"/>
  <c r="AQ345" i="43"/>
  <c r="BP243" i="43"/>
  <c r="BS225" i="43"/>
  <c r="BS421" i="43"/>
  <c r="AQ370" i="43"/>
  <c r="BS336" i="43"/>
  <c r="BS132" i="43"/>
  <c r="AQ442" i="43"/>
  <c r="AQ421" i="43"/>
  <c r="BS351" i="43"/>
  <c r="BS296" i="43"/>
  <c r="BS98" i="43"/>
  <c r="BQ52" i="43"/>
  <c r="BS256" i="43"/>
  <c r="BS435" i="43"/>
  <c r="BS358" i="43"/>
  <c r="AQ322" i="43"/>
  <c r="AT303" i="43"/>
  <c r="BS288" i="43"/>
  <c r="BS276" i="43"/>
  <c r="AT165" i="43"/>
  <c r="BQ98" i="43"/>
  <c r="BS67" i="43"/>
  <c r="BS322" i="43"/>
  <c r="AT228" i="43"/>
  <c r="BS174" i="43"/>
  <c r="AT399" i="43"/>
  <c r="AQ351" i="43"/>
  <c r="BS168" i="43"/>
  <c r="BS75" i="43"/>
  <c r="BS18" i="43"/>
  <c r="BS400" i="43"/>
  <c r="AQ145" i="43"/>
  <c r="BS383" i="43"/>
  <c r="AQ113" i="43"/>
  <c r="AS358" i="43"/>
  <c r="AS316" i="43"/>
  <c r="AS157" i="43"/>
  <c r="AQ305" i="43"/>
  <c r="AQ288" i="43"/>
  <c r="AQ70" i="43"/>
  <c r="AQ157" i="43"/>
  <c r="AS22" i="43"/>
  <c r="BR50" i="43"/>
  <c r="BR52" i="43" s="1"/>
  <c r="AQ63" i="43"/>
  <c r="AS63" i="44"/>
  <c r="BS92" i="44"/>
  <c r="AT106" i="44"/>
  <c r="BS110" i="44"/>
  <c r="AS56" i="44"/>
  <c r="BS84" i="44"/>
  <c r="BS42" i="44"/>
  <c r="AS49" i="44"/>
  <c r="AT75" i="44"/>
  <c r="AT33" i="44"/>
  <c r="AS121" i="44"/>
  <c r="AS35" i="44"/>
  <c r="AS77" i="44"/>
  <c r="AS102" i="44"/>
  <c r="AT72" i="44"/>
  <c r="AT67" i="44"/>
  <c r="BP63" i="44"/>
  <c r="AT25" i="44"/>
  <c r="AS98" i="44"/>
  <c r="BS63" i="44"/>
  <c r="AQ28" i="44"/>
  <c r="BS70" i="44"/>
  <c r="AT34" i="44"/>
  <c r="AQ77" i="44"/>
  <c r="AQ56" i="44"/>
  <c r="AT37" i="44"/>
  <c r="AQ35" i="44"/>
  <c r="AT96" i="44"/>
  <c r="BP28" i="44"/>
  <c r="BS98" i="44"/>
  <c r="AS128" i="44"/>
  <c r="BS77" i="44"/>
  <c r="AQ110" i="44"/>
  <c r="AT86" i="44"/>
  <c r="BX457" i="43"/>
  <c r="BX459" i="43" s="1"/>
  <c r="BM459" i="43"/>
  <c r="BX375" i="43"/>
  <c r="BX376" i="43" s="1"/>
  <c r="BM376" i="43"/>
  <c r="BX443" i="43"/>
  <c r="BX449" i="43" s="1"/>
  <c r="BM449" i="43"/>
  <c r="BX390" i="43"/>
  <c r="BX393" i="43" s="1"/>
  <c r="BM393" i="43"/>
  <c r="BX289" i="43"/>
  <c r="BX296" i="43" s="1"/>
  <c r="BM296" i="43"/>
  <c r="BX126" i="43"/>
  <c r="BX132" i="43" s="1"/>
  <c r="BM132" i="43"/>
  <c r="BR110" i="43"/>
  <c r="BR113" i="43" s="1"/>
  <c r="BX91" i="43"/>
  <c r="BX94" i="43" s="1"/>
  <c r="BM94" i="43"/>
  <c r="BX36" i="43"/>
  <c r="BX39" i="43" s="1"/>
  <c r="BM39" i="43"/>
  <c r="BX99" i="43"/>
  <c r="BX102" i="43" s="1"/>
  <c r="BM102" i="43"/>
  <c r="BR337" i="43"/>
  <c r="BR345" i="43" s="1"/>
  <c r="BX299" i="43"/>
  <c r="BX305" i="43" s="1"/>
  <c r="BM305" i="43"/>
  <c r="BX53" i="43"/>
  <c r="BX55" i="43" s="1"/>
  <c r="BM55" i="43"/>
  <c r="BX68" i="43"/>
  <c r="BX70" i="43" s="1"/>
  <c r="BM70" i="43"/>
  <c r="BR415" i="43"/>
  <c r="BR421" i="43" s="1"/>
  <c r="BX259" i="43"/>
  <c r="BX262" i="43" s="1"/>
  <c r="BM262" i="43"/>
  <c r="BX214" i="43"/>
  <c r="BX219" i="43" s="1"/>
  <c r="BM219" i="43"/>
  <c r="AS49" i="43"/>
  <c r="BX329" i="43"/>
  <c r="BX332" i="43" s="1"/>
  <c r="BM332" i="43"/>
  <c r="BX325" i="43"/>
  <c r="BX328" i="43" s="1"/>
  <c r="BM328" i="43"/>
  <c r="AS86" i="43"/>
  <c r="BX250" i="43"/>
  <c r="BX256" i="43" s="1"/>
  <c r="BM256" i="43"/>
  <c r="AQ120" i="43"/>
  <c r="BS459" i="43"/>
  <c r="AT388" i="43"/>
  <c r="AQ206" i="43"/>
  <c r="AQ35" i="43"/>
  <c r="AQ328" i="43"/>
  <c r="AQ82" i="43"/>
  <c r="AQ27" i="43"/>
  <c r="AT340" i="43"/>
  <c r="AT280" i="43"/>
  <c r="AS75" i="43"/>
  <c r="AT354" i="43"/>
  <c r="BS332" i="43"/>
  <c r="AT310" i="43"/>
  <c r="AQ98" i="43"/>
  <c r="AS67" i="43"/>
  <c r="AS98" i="43"/>
  <c r="BX195" i="43"/>
  <c r="BX200" i="43" s="1"/>
  <c r="BM200" i="43"/>
  <c r="BX436" i="43"/>
  <c r="BX442" i="43" s="1"/>
  <c r="BM442" i="43"/>
  <c r="BX364" i="43"/>
  <c r="BX370" i="43" s="1"/>
  <c r="BM370" i="43"/>
  <c r="BX337" i="43"/>
  <c r="BX345" i="43" s="1"/>
  <c r="BM345" i="43"/>
  <c r="BX384" i="43"/>
  <c r="BX389" i="43" s="1"/>
  <c r="BM389" i="43"/>
  <c r="BX146" i="43"/>
  <c r="BX151" i="43" s="1"/>
  <c r="BM151" i="43"/>
  <c r="BX32" i="43"/>
  <c r="BX35" i="43" s="1"/>
  <c r="BM35" i="43"/>
  <c r="BX110" i="43"/>
  <c r="BX113" i="43" s="1"/>
  <c r="BM113" i="43"/>
  <c r="BX28" i="43"/>
  <c r="BX31" i="43" s="1"/>
  <c r="BM31" i="43"/>
  <c r="BR364" i="43"/>
  <c r="BR370" i="43" s="1"/>
  <c r="BX50" i="43"/>
  <c r="BX52" i="43" s="1"/>
  <c r="BM52" i="43"/>
  <c r="BX56" i="43"/>
  <c r="BX59" i="43" s="1"/>
  <c r="BM59" i="43"/>
  <c r="AS296" i="43"/>
  <c r="AS55" i="43"/>
  <c r="BX313" i="43"/>
  <c r="BX316" i="43" s="1"/>
  <c r="BM316" i="43"/>
  <c r="BX284" i="43"/>
  <c r="BX288" i="43" s="1"/>
  <c r="BM288" i="43"/>
  <c r="BX408" i="43"/>
  <c r="BX414" i="43" s="1"/>
  <c r="BM414" i="43"/>
  <c r="AT267" i="43"/>
  <c r="AS272" i="43"/>
  <c r="BX80" i="43"/>
  <c r="BX82" i="43" s="1"/>
  <c r="BM82" i="43"/>
  <c r="AS174" i="43"/>
  <c r="AS125" i="43"/>
  <c r="BR232" i="43"/>
  <c r="BR237" i="43" s="1"/>
  <c r="AQ151" i="43"/>
  <c r="AS39" i="43"/>
  <c r="AQ200" i="43"/>
  <c r="AT240" i="43"/>
  <c r="AQ449" i="43"/>
  <c r="AQ428" i="43"/>
  <c r="AQ162" i="43"/>
  <c r="AQ42" i="43"/>
  <c r="AS421" i="43"/>
  <c r="AT349" i="43"/>
  <c r="AQ336" i="43"/>
  <c r="AT209" i="43"/>
  <c r="AQ125" i="43"/>
  <c r="AQ49" i="43"/>
  <c r="AQ363" i="43"/>
  <c r="AQ383" i="43"/>
  <c r="AQ225" i="43"/>
  <c r="AQ105" i="43"/>
  <c r="AQ90" i="43"/>
  <c r="AT385" i="43"/>
  <c r="AT294" i="43"/>
  <c r="AS90" i="43"/>
  <c r="BX64" i="43"/>
  <c r="BX67" i="43" s="1"/>
  <c r="BM67" i="43"/>
  <c r="BX121" i="43"/>
  <c r="BX125" i="43" s="1"/>
  <c r="BM125" i="43"/>
  <c r="BX133" i="43"/>
  <c r="BX139" i="43" s="1"/>
  <c r="BM139" i="43"/>
  <c r="BX238" i="43"/>
  <c r="BX243" i="43" s="1"/>
  <c r="BM243" i="43"/>
  <c r="AQ231" i="43"/>
  <c r="AQ132" i="43"/>
  <c r="AP477" i="43"/>
  <c r="AP13" i="43"/>
  <c r="BX450" i="43"/>
  <c r="BX456" i="43" s="1"/>
  <c r="BM456" i="43"/>
  <c r="BX352" i="43"/>
  <c r="BX358" i="43" s="1"/>
  <c r="BM358" i="43"/>
  <c r="BR317" i="43"/>
  <c r="BR322" i="43" s="1"/>
  <c r="BX273" i="43"/>
  <c r="BX276" i="43" s="1"/>
  <c r="BM276" i="43"/>
  <c r="BX267" i="43"/>
  <c r="BX272" i="43" s="1"/>
  <c r="BM272" i="43"/>
  <c r="BX43" i="43"/>
  <c r="BX46" i="43" s="1"/>
  <c r="BM46" i="43"/>
  <c r="BX14" i="43"/>
  <c r="BX18" i="43" s="1"/>
  <c r="BM18" i="43"/>
  <c r="BX87" i="43"/>
  <c r="BX90" i="43" s="1"/>
  <c r="BM90" i="43"/>
  <c r="BX244" i="43"/>
  <c r="BX249" i="43" s="1"/>
  <c r="BM249" i="43"/>
  <c r="BX181" i="43"/>
  <c r="BX187" i="43" s="1"/>
  <c r="BM187" i="43"/>
  <c r="BX226" i="43"/>
  <c r="BX231" i="43" s="1"/>
  <c r="BM231" i="43"/>
  <c r="BR436" i="43"/>
  <c r="BR442" i="43" s="1"/>
  <c r="BX371" i="43"/>
  <c r="BX374" i="43" s="1"/>
  <c r="BM374" i="43"/>
  <c r="AS322" i="43"/>
  <c r="BX263" i="43"/>
  <c r="BX266" i="43" s="1"/>
  <c r="BM266" i="43"/>
  <c r="BX220" i="43"/>
  <c r="BX225" i="43" s="1"/>
  <c r="BM225" i="43"/>
  <c r="AS389" i="43"/>
  <c r="BX103" i="43"/>
  <c r="BX105" i="43" s="1"/>
  <c r="BM105" i="43"/>
  <c r="AS383" i="43"/>
  <c r="BX47" i="43"/>
  <c r="BX49" i="43" s="1"/>
  <c r="BM49" i="43"/>
  <c r="BX19" i="43"/>
  <c r="BX22" i="43" s="1"/>
  <c r="BM22" i="43"/>
  <c r="BX394" i="43"/>
  <c r="BX400" i="43" s="1"/>
  <c r="BM400" i="43"/>
  <c r="AQ283" i="43"/>
  <c r="AT247" i="43"/>
  <c r="AT204" i="43"/>
  <c r="AQ86" i="43"/>
  <c r="AT61" i="43"/>
  <c r="AQ262" i="43"/>
  <c r="AQ249" i="43"/>
  <c r="AQ109" i="43"/>
  <c r="AT19" i="43"/>
  <c r="AT437" i="43"/>
  <c r="AT311" i="43"/>
  <c r="AT290" i="43"/>
  <c r="AT216" i="43"/>
  <c r="AT173" i="43"/>
  <c r="BS157" i="43"/>
  <c r="AT66" i="43"/>
  <c r="AT265" i="43"/>
  <c r="AQ393" i="43"/>
  <c r="AT38" i="43"/>
  <c r="BX152" i="43"/>
  <c r="BX157" i="43" s="1"/>
  <c r="BM157" i="43"/>
  <c r="BX188" i="43"/>
  <c r="BX194" i="43" s="1"/>
  <c r="BM194" i="43"/>
  <c r="BX95" i="43"/>
  <c r="BX98" i="43" s="1"/>
  <c r="BM98" i="43"/>
  <c r="AT253" i="43"/>
  <c r="AY477" i="43"/>
  <c r="AR36" i="47" s="1"/>
  <c r="AY13" i="43"/>
  <c r="BX429" i="43"/>
  <c r="BX435" i="43" s="1"/>
  <c r="BM435" i="43"/>
  <c r="BX277" i="43"/>
  <c r="BX283" i="43" s="1"/>
  <c r="BM283" i="43"/>
  <c r="BX306" i="43"/>
  <c r="BX312" i="43" s="1"/>
  <c r="BM312" i="43"/>
  <c r="BX201" i="43"/>
  <c r="BX206" i="43" s="1"/>
  <c r="BM206" i="43"/>
  <c r="BX158" i="43"/>
  <c r="BX162" i="43" s="1"/>
  <c r="BM162" i="43"/>
  <c r="BX140" i="43"/>
  <c r="BX145" i="43" s="1"/>
  <c r="BM145" i="43"/>
  <c r="BX114" i="43"/>
  <c r="BX116" i="43" s="1"/>
  <c r="BM116" i="43"/>
  <c r="BX76" i="43"/>
  <c r="BX79" i="43" s="1"/>
  <c r="BM79" i="43"/>
  <c r="BX169" i="43"/>
  <c r="BX174" i="43" s="1"/>
  <c r="BM174" i="43"/>
  <c r="BR226" i="43"/>
  <c r="BR231" i="43" s="1"/>
  <c r="BX232" i="43"/>
  <c r="BX237" i="43" s="1"/>
  <c r="BM237" i="43"/>
  <c r="BX163" i="43"/>
  <c r="BX168" i="43" s="1"/>
  <c r="BM168" i="43"/>
  <c r="AT333" i="43"/>
  <c r="AS336" i="43"/>
  <c r="AS145" i="43"/>
  <c r="AS256" i="43"/>
  <c r="AS168" i="43"/>
  <c r="BX415" i="43"/>
  <c r="BX421" i="43" s="1"/>
  <c r="BM421" i="43"/>
  <c r="BR346" i="43"/>
  <c r="BR351" i="43" s="1"/>
  <c r="AT433" i="43"/>
  <c r="AT426" i="43"/>
  <c r="AQ180" i="43"/>
  <c r="AT93" i="43"/>
  <c r="AQ187" i="43"/>
  <c r="AT425" i="43"/>
  <c r="AQ243" i="43"/>
  <c r="AQ194" i="43"/>
  <c r="AQ456" i="43"/>
  <c r="AQ435" i="43"/>
  <c r="AQ414" i="43"/>
  <c r="AQ400" i="43"/>
  <c r="AQ272" i="43"/>
  <c r="AT124" i="43"/>
  <c r="AQ116" i="43"/>
  <c r="AT84" i="43"/>
  <c r="AQ139" i="43"/>
  <c r="AT319" i="43"/>
  <c r="AT304" i="43"/>
  <c r="AQ256" i="43"/>
  <c r="AQ213" i="43"/>
  <c r="AT150" i="43"/>
  <c r="AQ59" i="43"/>
  <c r="AQ358" i="43"/>
  <c r="AR400" i="43"/>
  <c r="AQ389" i="43"/>
  <c r="AT172" i="43"/>
  <c r="AQ55" i="43"/>
  <c r="AT434" i="43"/>
  <c r="AT361" i="43"/>
  <c r="BX323" i="43"/>
  <c r="BX324" i="43" s="1"/>
  <c r="BM324" i="43"/>
  <c r="BX71" i="43"/>
  <c r="BX75" i="43" s="1"/>
  <c r="BM75" i="43"/>
  <c r="BX175" i="43"/>
  <c r="BX180" i="43" s="1"/>
  <c r="BM180" i="43"/>
  <c r="BX460" i="43"/>
  <c r="BX463" i="43" s="1"/>
  <c r="BM463" i="43"/>
  <c r="BX401" i="43"/>
  <c r="BX407" i="43" s="1"/>
  <c r="BM407" i="43"/>
  <c r="BX422" i="43"/>
  <c r="BX428" i="43" s="1"/>
  <c r="BM428" i="43"/>
  <c r="BX346" i="43"/>
  <c r="BX351" i="43" s="1"/>
  <c r="BM351" i="43"/>
  <c r="BX333" i="43"/>
  <c r="BX336" i="43" s="1"/>
  <c r="BM336" i="43"/>
  <c r="BX317" i="43"/>
  <c r="BX322" i="43" s="1"/>
  <c r="BM322" i="43"/>
  <c r="BX297" i="43"/>
  <c r="BX298" i="43" s="1"/>
  <c r="BM298" i="43"/>
  <c r="BX207" i="43"/>
  <c r="BX213" i="43" s="1"/>
  <c r="BM213" i="43"/>
  <c r="BR140" i="43"/>
  <c r="BR145" i="43" s="1"/>
  <c r="BX117" i="43"/>
  <c r="BX120" i="43" s="1"/>
  <c r="BM120" i="43"/>
  <c r="BX23" i="43"/>
  <c r="BX27" i="43" s="1"/>
  <c r="BM27" i="43"/>
  <c r="BX60" i="43"/>
  <c r="BX63" i="43" s="1"/>
  <c r="BM63" i="43"/>
  <c r="BX40" i="43"/>
  <c r="BX42" i="43" s="1"/>
  <c r="BM42" i="43"/>
  <c r="BX359" i="43"/>
  <c r="BX363" i="43" s="1"/>
  <c r="BM363" i="43"/>
  <c r="BX377" i="43"/>
  <c r="BX383" i="43" s="1"/>
  <c r="BM383" i="43"/>
  <c r="AS449" i="43"/>
  <c r="AS305" i="43"/>
  <c r="AS42" i="43"/>
  <c r="AS428" i="43"/>
  <c r="AS213" i="43"/>
  <c r="AS393" i="43"/>
  <c r="AS370" i="43"/>
  <c r="BX83" i="43"/>
  <c r="BX86" i="43" s="1"/>
  <c r="BM86" i="43"/>
  <c r="AS59" i="43"/>
  <c r="BX106" i="43"/>
  <c r="BX109" i="43" s="1"/>
  <c r="BM109" i="43"/>
  <c r="BR457" i="43"/>
  <c r="BR459" i="43" s="1"/>
  <c r="AT367" i="43"/>
  <c r="AQ332" i="43"/>
  <c r="AT300" i="43"/>
  <c r="BS162" i="43"/>
  <c r="AT69" i="43"/>
  <c r="AT54" i="43"/>
  <c r="BS219" i="43"/>
  <c r="BS187" i="43"/>
  <c r="AT154" i="43"/>
  <c r="BS94" i="43"/>
  <c r="AT432" i="43"/>
  <c r="BS414" i="43"/>
  <c r="AT382" i="43"/>
  <c r="AT357" i="43"/>
  <c r="BS312" i="43"/>
  <c r="AT292" i="43"/>
  <c r="BS194" i="43"/>
  <c r="AQ407" i="43"/>
  <c r="AT320" i="43"/>
  <c r="AQ296" i="43"/>
  <c r="AS52" i="43"/>
  <c r="AT88" i="43"/>
  <c r="AT45" i="43"/>
  <c r="AQ276" i="43"/>
  <c r="AQ219" i="43"/>
  <c r="AQ67" i="43"/>
  <c r="AQ266" i="43"/>
  <c r="AQ174" i="43"/>
  <c r="AQ168" i="43"/>
  <c r="AT97" i="43"/>
  <c r="AQ75" i="43"/>
  <c r="BS46" i="43"/>
  <c r="AT24" i="43"/>
  <c r="AQ18" i="43"/>
  <c r="AT104" i="43"/>
  <c r="BS55" i="43"/>
  <c r="AR443" i="43"/>
  <c r="AH443" i="43"/>
  <c r="AR371" i="43"/>
  <c r="AH371" i="43"/>
  <c r="AU371" i="43" s="1"/>
  <c r="BQ133" i="43"/>
  <c r="AS133" i="43"/>
  <c r="AS139" i="43" s="1"/>
  <c r="AR408" i="43"/>
  <c r="AH408" i="43"/>
  <c r="BP232" i="43"/>
  <c r="BP237" i="43" s="1"/>
  <c r="AR232" i="43"/>
  <c r="AH232" i="43"/>
  <c r="AR163" i="43"/>
  <c r="AH163" i="43"/>
  <c r="AU163" i="43" s="1"/>
  <c r="AR377" i="43"/>
  <c r="AH377" i="43"/>
  <c r="AU377" i="43" s="1"/>
  <c r="AR364" i="43"/>
  <c r="AH364" i="43"/>
  <c r="AR47" i="43"/>
  <c r="AH47" i="43"/>
  <c r="AR188" i="43"/>
  <c r="AH188" i="43"/>
  <c r="AU188" i="43" s="1"/>
  <c r="BQ103" i="43"/>
  <c r="BQ105" i="43" s="1"/>
  <c r="AS103" i="43"/>
  <c r="AS105" i="43" s="1"/>
  <c r="AR329" i="43"/>
  <c r="AH329" i="43"/>
  <c r="AR220" i="43"/>
  <c r="AH220" i="43"/>
  <c r="AR114" i="43"/>
  <c r="AH114" i="43"/>
  <c r="AR133" i="43"/>
  <c r="AH133" i="43"/>
  <c r="AU133" i="43" s="1"/>
  <c r="BQ278" i="43"/>
  <c r="AS278" i="43"/>
  <c r="BQ127" i="43"/>
  <c r="AS127" i="43"/>
  <c r="BU405" i="43"/>
  <c r="AV405" i="43"/>
  <c r="BV405" i="43" s="1"/>
  <c r="AV271" i="43"/>
  <c r="BV271" i="43" s="1"/>
  <c r="BU155" i="43"/>
  <c r="AV155" i="43"/>
  <c r="BV155" i="43" s="1"/>
  <c r="AV148" i="43"/>
  <c r="BV148" i="43" s="1"/>
  <c r="AT210" i="43"/>
  <c r="AT197" i="43"/>
  <c r="AT446" i="43"/>
  <c r="AT439" i="43"/>
  <c r="BU404" i="43"/>
  <c r="AV404" i="43"/>
  <c r="BV404" i="43" s="1"/>
  <c r="AT373" i="43"/>
  <c r="AV307" i="43"/>
  <c r="BV307" i="43" s="1"/>
  <c r="BU307" i="43"/>
  <c r="BU254" i="43"/>
  <c r="AV254" i="43"/>
  <c r="BV254" i="43" s="1"/>
  <c r="BU211" i="43"/>
  <c r="AV211" i="43"/>
  <c r="BV211" i="43" s="1"/>
  <c r="AV161" i="43"/>
  <c r="BV161" i="43" s="1"/>
  <c r="BU161" i="43"/>
  <c r="BU85" i="43"/>
  <c r="AV85" i="43"/>
  <c r="BV85" i="43" s="1"/>
  <c r="AT387" i="43"/>
  <c r="AT269" i="43"/>
  <c r="AT182" i="43"/>
  <c r="AT108" i="43"/>
  <c r="AT427" i="43"/>
  <c r="AV399" i="43"/>
  <c r="BV399" i="43" s="1"/>
  <c r="AV368" i="43"/>
  <c r="BV368" i="43" s="1"/>
  <c r="BU368" i="43"/>
  <c r="AT317" i="43"/>
  <c r="BU287" i="43"/>
  <c r="AV287" i="43"/>
  <c r="BV287" i="43" s="1"/>
  <c r="AT111" i="43"/>
  <c r="AT458" i="43"/>
  <c r="AT451" i="43"/>
  <c r="AV416" i="43"/>
  <c r="BV416" i="43" s="1"/>
  <c r="BU416" i="43"/>
  <c r="BU402" i="43"/>
  <c r="AV402" i="43"/>
  <c r="BV402" i="43" s="1"/>
  <c r="BU380" i="43"/>
  <c r="AV380" i="43"/>
  <c r="BV380" i="43" s="1"/>
  <c r="AV335" i="43"/>
  <c r="BV335" i="43" s="1"/>
  <c r="AV252" i="43"/>
  <c r="BV252" i="43" s="1"/>
  <c r="BU252" i="43"/>
  <c r="AT223" i="43"/>
  <c r="AT166" i="43"/>
  <c r="AT137" i="43"/>
  <c r="AT129" i="43"/>
  <c r="AV115" i="43"/>
  <c r="BV115" i="43" s="1"/>
  <c r="AT74" i="43"/>
  <c r="BU41" i="43"/>
  <c r="AV41" i="43"/>
  <c r="BV41" i="43" s="1"/>
  <c r="AT17" i="43"/>
  <c r="BU441" i="43"/>
  <c r="AV441" i="43"/>
  <c r="AT420" i="43"/>
  <c r="BU392" i="43"/>
  <c r="AV392" i="43"/>
  <c r="BV392" i="43" s="1"/>
  <c r="AT177" i="43"/>
  <c r="AT112" i="43"/>
  <c r="AT251" i="43"/>
  <c r="AT236" i="43"/>
  <c r="AV229" i="43"/>
  <c r="BV229" i="43" s="1"/>
  <c r="BU229" i="43"/>
  <c r="AV193" i="43"/>
  <c r="BU193" i="43"/>
  <c r="AT171" i="43"/>
  <c r="BU143" i="43"/>
  <c r="AV143" i="43"/>
  <c r="BV143" i="43" s="1"/>
  <c r="AT136" i="43"/>
  <c r="BU413" i="43"/>
  <c r="AV413" i="43"/>
  <c r="BV413" i="43" s="1"/>
  <c r="AT192" i="43"/>
  <c r="AT72" i="43"/>
  <c r="BU30" i="43"/>
  <c r="AV30" i="43"/>
  <c r="BV30" i="43" s="1"/>
  <c r="AT302" i="43"/>
  <c r="AT255" i="43"/>
  <c r="AR32" i="43"/>
  <c r="AH32" i="43"/>
  <c r="AR64" i="43"/>
  <c r="AH64" i="43"/>
  <c r="AR259" i="43"/>
  <c r="AH259" i="43"/>
  <c r="BP169" i="43"/>
  <c r="BP174" i="43" s="1"/>
  <c r="AR169" i="43"/>
  <c r="AH169" i="43"/>
  <c r="AR80" i="43"/>
  <c r="AH80" i="43"/>
  <c r="BQ450" i="43"/>
  <c r="BQ456" i="43" s="1"/>
  <c r="AS450" i="43"/>
  <c r="AS456" i="43" s="1"/>
  <c r="BQ110" i="43"/>
  <c r="BQ113" i="43" s="1"/>
  <c r="AS110" i="43"/>
  <c r="AS113" i="43" s="1"/>
  <c r="AR36" i="43"/>
  <c r="AH36" i="43"/>
  <c r="AR277" i="43"/>
  <c r="AH277" i="43"/>
  <c r="AU277" i="43" s="1"/>
  <c r="AH53" i="43"/>
  <c r="AR53" i="43"/>
  <c r="AR95" i="43"/>
  <c r="AH95" i="43"/>
  <c r="AU95" i="43" s="1"/>
  <c r="AR140" i="43"/>
  <c r="AH140" i="43"/>
  <c r="AT454" i="43"/>
  <c r="AV447" i="43"/>
  <c r="BV447" i="43" s="1"/>
  <c r="BU447" i="43"/>
  <c r="AV412" i="43"/>
  <c r="BV412" i="43" s="1"/>
  <c r="BU412" i="43"/>
  <c r="BU398" i="43"/>
  <c r="AV398" i="43"/>
  <c r="BV398" i="43" s="1"/>
  <c r="AT321" i="43"/>
  <c r="BU177" i="43"/>
  <c r="AV177" i="43"/>
  <c r="BV177" i="43" s="1"/>
  <c r="BU270" i="43"/>
  <c r="AV270" i="43"/>
  <c r="BV270" i="43" s="1"/>
  <c r="BU218" i="43"/>
  <c r="AV218" i="43"/>
  <c r="BV218" i="43" s="1"/>
  <c r="BU93" i="43"/>
  <c r="AV93" i="43"/>
  <c r="BV93" i="43" s="1"/>
  <c r="AV453" i="43"/>
  <c r="BV453" i="43" s="1"/>
  <c r="BU453" i="43"/>
  <c r="BU446" i="43"/>
  <c r="AV446" i="43"/>
  <c r="BV446" i="43" s="1"/>
  <c r="BU411" i="43"/>
  <c r="AV411" i="43"/>
  <c r="BV411" i="43" s="1"/>
  <c r="AT404" i="43"/>
  <c r="AT397" i="43"/>
  <c r="AT381" i="43"/>
  <c r="BU344" i="43"/>
  <c r="AV344" i="43"/>
  <c r="BV344" i="43" s="1"/>
  <c r="AT307" i="43"/>
  <c r="AT254" i="43"/>
  <c r="BU240" i="43"/>
  <c r="AV240" i="43"/>
  <c r="BV240" i="43" s="1"/>
  <c r="AT211" i="43"/>
  <c r="AT190" i="43"/>
  <c r="AT161" i="43"/>
  <c r="AV101" i="43"/>
  <c r="BV101" i="43" s="1"/>
  <c r="AT85" i="43"/>
  <c r="AT51" i="43"/>
  <c r="AT342" i="43"/>
  <c r="BU320" i="43"/>
  <c r="AV320" i="43"/>
  <c r="BV320" i="43" s="1"/>
  <c r="BU51" i="43"/>
  <c r="AV51" i="43"/>
  <c r="BV51" i="43" s="1"/>
  <c r="AV19" i="43"/>
  <c r="BV19" i="43" s="1"/>
  <c r="AT447" i="43"/>
  <c r="AT368" i="43"/>
  <c r="AT287" i="43"/>
  <c r="AV242" i="43"/>
  <c r="BV242" i="43" s="1"/>
  <c r="BU242" i="43"/>
  <c r="BU149" i="43"/>
  <c r="AV149" i="43"/>
  <c r="BU458" i="43"/>
  <c r="AV458" i="43"/>
  <c r="BV458" i="43" s="1"/>
  <c r="BU423" i="43"/>
  <c r="AV423" i="43"/>
  <c r="AT416" i="43"/>
  <c r="BU409" i="43"/>
  <c r="AV409" i="43"/>
  <c r="BV409" i="43" s="1"/>
  <c r="AT402" i="43"/>
  <c r="BU387" i="43"/>
  <c r="AV387" i="43"/>
  <c r="BV387" i="43" s="1"/>
  <c r="AT380" i="43"/>
  <c r="BU356" i="43"/>
  <c r="AV356" i="43"/>
  <c r="BV356" i="43" s="1"/>
  <c r="BU342" i="43"/>
  <c r="AV342" i="43"/>
  <c r="BV342" i="43" s="1"/>
  <c r="AT335" i="43"/>
  <c r="AT252" i="43"/>
  <c r="AT81" i="43"/>
  <c r="AT41" i="43"/>
  <c r="AT392" i="43"/>
  <c r="AT394" i="43"/>
  <c r="AV348" i="43"/>
  <c r="BV348" i="43" s="1"/>
  <c r="AT309" i="43"/>
  <c r="AT229" i="43"/>
  <c r="AV186" i="43"/>
  <c r="BV186" i="43" s="1"/>
  <c r="BU186" i="43"/>
  <c r="AT143" i="43"/>
  <c r="BU48" i="43"/>
  <c r="AV48" i="43"/>
  <c r="BV48" i="43" s="1"/>
  <c r="AT413" i="43"/>
  <c r="BU385" i="43"/>
  <c r="AV385" i="43"/>
  <c r="BV385" i="43" s="1"/>
  <c r="AV294" i="43"/>
  <c r="BV294" i="43" s="1"/>
  <c r="AT30" i="43"/>
  <c r="BU142" i="43"/>
  <c r="AV142" i="43"/>
  <c r="BV142" i="43" s="1"/>
  <c r="AR450" i="43"/>
  <c r="AH450" i="43"/>
  <c r="AU450" i="43" s="1"/>
  <c r="AR457" i="43"/>
  <c r="AH457" i="43"/>
  <c r="AR346" i="43"/>
  <c r="AH346" i="43"/>
  <c r="AR103" i="43"/>
  <c r="AH103" i="43"/>
  <c r="AH401" i="43"/>
  <c r="AR401" i="43"/>
  <c r="AR226" i="43"/>
  <c r="AH226" i="43"/>
  <c r="AU226" i="43" s="1"/>
  <c r="BQ188" i="43"/>
  <c r="BQ194" i="43" s="1"/>
  <c r="AS188" i="43"/>
  <c r="AS194" i="43" s="1"/>
  <c r="AR99" i="43"/>
  <c r="AH99" i="43"/>
  <c r="AR422" i="43"/>
  <c r="AH422" i="43"/>
  <c r="BQ297" i="43"/>
  <c r="BQ298" i="43" s="1"/>
  <c r="AS297" i="43"/>
  <c r="AS298" i="43" s="1"/>
  <c r="BP207" i="43"/>
  <c r="BP213" i="43" s="1"/>
  <c r="AR207" i="43"/>
  <c r="AH207" i="43"/>
  <c r="AR23" i="43"/>
  <c r="AH23" i="43"/>
  <c r="AU23" i="43" s="1"/>
  <c r="AH415" i="43"/>
  <c r="AR415" i="43"/>
  <c r="AR390" i="43"/>
  <c r="AH390" i="43"/>
  <c r="BQ277" i="43"/>
  <c r="AS277" i="43"/>
  <c r="AR87" i="43"/>
  <c r="AR90" i="43" s="1"/>
  <c r="AH87" i="43"/>
  <c r="BQ14" i="43"/>
  <c r="AS14" i="43"/>
  <c r="AS18" i="43" s="1"/>
  <c r="AR50" i="43"/>
  <c r="AH50" i="43"/>
  <c r="BP323" i="43"/>
  <c r="BP324" i="43" s="1"/>
  <c r="AR323" i="43"/>
  <c r="AH323" i="43"/>
  <c r="BP278" i="43"/>
  <c r="AR278" i="43"/>
  <c r="AH278" i="43"/>
  <c r="AU278" i="43" s="1"/>
  <c r="BP127" i="43"/>
  <c r="AR127" i="43"/>
  <c r="AH127" i="43"/>
  <c r="AR130" i="43"/>
  <c r="AT130" i="43" s="1"/>
  <c r="AH130" i="43"/>
  <c r="AU130" i="43" s="1"/>
  <c r="BU462" i="43"/>
  <c r="AV462" i="43"/>
  <c r="BV462" i="43" s="1"/>
  <c r="BU454" i="43"/>
  <c r="AV454" i="43"/>
  <c r="BV454" i="43" s="1"/>
  <c r="AV419" i="43"/>
  <c r="BV419" i="43" s="1"/>
  <c r="BU419" i="43"/>
  <c r="BU339" i="43"/>
  <c r="AV339" i="43"/>
  <c r="BV339" i="43" s="1"/>
  <c r="BU331" i="43"/>
  <c r="AV331" i="43"/>
  <c r="BV331" i="43" s="1"/>
  <c r="AV286" i="43"/>
  <c r="AV255" i="43"/>
  <c r="BV255" i="43" s="1"/>
  <c r="BU255" i="43"/>
  <c r="BU212" i="43"/>
  <c r="AV212" i="43"/>
  <c r="BV212" i="43" s="1"/>
  <c r="AV184" i="43"/>
  <c r="BV184" i="43" s="1"/>
  <c r="AV21" i="43"/>
  <c r="BV21" i="43" s="1"/>
  <c r="BU21" i="43"/>
  <c r="AT270" i="43"/>
  <c r="AV247" i="43"/>
  <c r="BV247" i="43" s="1"/>
  <c r="AT218" i="43"/>
  <c r="BU204" i="43"/>
  <c r="AV204" i="43"/>
  <c r="AV77" i="43"/>
  <c r="BV77" i="43" s="1"/>
  <c r="BU77" i="43"/>
  <c r="AT418" i="43"/>
  <c r="BU397" i="43"/>
  <c r="AV397" i="43"/>
  <c r="BV397" i="43" s="1"/>
  <c r="AV359" i="43"/>
  <c r="BV359" i="43" s="1"/>
  <c r="AT344" i="43"/>
  <c r="BU338" i="43"/>
  <c r="AV338" i="43"/>
  <c r="BV338" i="43" s="1"/>
  <c r="BU190" i="43"/>
  <c r="AV190" i="43"/>
  <c r="BV190" i="43" s="1"/>
  <c r="AT101" i="43"/>
  <c r="AV61" i="43"/>
  <c r="BV61" i="43" s="1"/>
  <c r="BU61" i="43"/>
  <c r="BU381" i="43"/>
  <c r="AV381" i="43"/>
  <c r="BV381" i="43" s="1"/>
  <c r="AV357" i="43"/>
  <c r="BV357" i="43" s="1"/>
  <c r="BU357" i="43"/>
  <c r="AH299" i="43"/>
  <c r="AV203" i="43"/>
  <c r="BV203" i="43" s="1"/>
  <c r="BU203" i="43"/>
  <c r="AV167" i="43"/>
  <c r="BV167" i="43" s="1"/>
  <c r="BU167" i="43"/>
  <c r="AH138" i="43"/>
  <c r="BU124" i="43"/>
  <c r="AV124" i="43"/>
  <c r="BV124" i="43" s="1"/>
  <c r="AV84" i="43"/>
  <c r="BV84" i="43" s="1"/>
  <c r="AV43" i="43"/>
  <c r="BV43" i="43" s="1"/>
  <c r="BU26" i="43"/>
  <c r="AV26" i="43"/>
  <c r="BV26" i="43" s="1"/>
  <c r="AV178" i="43"/>
  <c r="BV178" i="43" s="1"/>
  <c r="BU178" i="43"/>
  <c r="AV430" i="43"/>
  <c r="BV430" i="43" s="1"/>
  <c r="BU430" i="43"/>
  <c r="AT409" i="43"/>
  <c r="AT356" i="43"/>
  <c r="BU349" i="43"/>
  <c r="AV349" i="43"/>
  <c r="BV349" i="43" s="1"/>
  <c r="AV282" i="43"/>
  <c r="BV282" i="43" s="1"/>
  <c r="BU282" i="43"/>
  <c r="BU228" i="43"/>
  <c r="AV228" i="43"/>
  <c r="BV228" i="43" s="1"/>
  <c r="BU15" i="43"/>
  <c r="AV15" i="43"/>
  <c r="BV15" i="43" s="1"/>
  <c r="AH394" i="43"/>
  <c r="BU369" i="43"/>
  <c r="AV369" i="43"/>
  <c r="BV369" i="43" s="1"/>
  <c r="BU355" i="43"/>
  <c r="AV355" i="43"/>
  <c r="BV355" i="43" s="1"/>
  <c r="AT186" i="43"/>
  <c r="AV179" i="43"/>
  <c r="BV179" i="43" s="1"/>
  <c r="BU165" i="43"/>
  <c r="AV165" i="43"/>
  <c r="BV165" i="43" s="1"/>
  <c r="AT135" i="43"/>
  <c r="AT48" i="43"/>
  <c r="AV265" i="43"/>
  <c r="BU265" i="43"/>
  <c r="AH333" i="43"/>
  <c r="BU171" i="43"/>
  <c r="AV171" i="43"/>
  <c r="BV171" i="43" s="1"/>
  <c r="AT142" i="43"/>
  <c r="AR429" i="43"/>
  <c r="AR435" i="43" s="1"/>
  <c r="AH429" i="43"/>
  <c r="AU429" i="43" s="1"/>
  <c r="BP273" i="43"/>
  <c r="BP276" i="43" s="1"/>
  <c r="AR273" i="43"/>
  <c r="AR276" i="43" s="1"/>
  <c r="AH273" i="43"/>
  <c r="AR56" i="43"/>
  <c r="AR337" i="43"/>
  <c r="AH337" i="43"/>
  <c r="BP126" i="43"/>
  <c r="AR126" i="43"/>
  <c r="AH126" i="43"/>
  <c r="AU126" i="43" s="1"/>
  <c r="AR375" i="43"/>
  <c r="AR376" i="43" s="1"/>
  <c r="AH375" i="43"/>
  <c r="AR352" i="43"/>
  <c r="AH352" i="43"/>
  <c r="AR181" i="43"/>
  <c r="AH181" i="43"/>
  <c r="AR83" i="43"/>
  <c r="AH83" i="43"/>
  <c r="BQ436" i="43"/>
  <c r="AS436" i="43"/>
  <c r="AS442" i="43" s="1"/>
  <c r="AR201" i="43"/>
  <c r="AH201" i="43"/>
  <c r="AU201" i="43" s="1"/>
  <c r="AR110" i="43"/>
  <c r="AR113" i="43" s="1"/>
  <c r="AH110" i="43"/>
  <c r="AR284" i="43"/>
  <c r="AH284" i="43"/>
  <c r="AT462" i="43"/>
  <c r="BU426" i="43"/>
  <c r="AV426" i="43"/>
  <c r="BV426" i="43" s="1"/>
  <c r="BU293" i="43"/>
  <c r="AV293" i="43"/>
  <c r="BV293" i="43" s="1"/>
  <c r="BU234" i="43"/>
  <c r="AV234" i="43"/>
  <c r="BV234" i="43" s="1"/>
  <c r="AV205" i="43"/>
  <c r="BV205" i="43" s="1"/>
  <c r="BU205" i="43"/>
  <c r="AV191" i="43"/>
  <c r="BV191" i="43" s="1"/>
  <c r="BU191" i="43"/>
  <c r="BU111" i="43"/>
  <c r="AV111" i="43"/>
  <c r="BV111" i="43" s="1"/>
  <c r="BU62" i="43"/>
  <c r="AV62" i="43"/>
  <c r="BV62" i="43" s="1"/>
  <c r="AV45" i="43"/>
  <c r="BV45" i="43" s="1"/>
  <c r="BU425" i="43"/>
  <c r="AV425" i="43"/>
  <c r="BV425" i="43" s="1"/>
  <c r="BU418" i="43"/>
  <c r="AV418" i="43"/>
  <c r="BV418" i="43" s="1"/>
  <c r="AT359" i="43"/>
  <c r="AT338" i="43"/>
  <c r="AV321" i="43"/>
  <c r="BV321" i="43" s="1"/>
  <c r="BU321" i="43"/>
  <c r="AV285" i="43"/>
  <c r="BV285" i="43" s="1"/>
  <c r="BU285" i="43"/>
  <c r="AT444" i="43"/>
  <c r="BU403" i="43"/>
  <c r="AV403" i="43"/>
  <c r="BV403" i="43" s="1"/>
  <c r="BU388" i="43"/>
  <c r="AV388" i="43"/>
  <c r="BV388" i="43" s="1"/>
  <c r="AV365" i="43"/>
  <c r="BV365" i="43" s="1"/>
  <c r="AV350" i="43"/>
  <c r="BV350" i="43" s="1"/>
  <c r="BU350" i="43"/>
  <c r="AT299" i="43"/>
  <c r="BU253" i="43"/>
  <c r="AV253" i="43"/>
  <c r="BV253" i="43" s="1"/>
  <c r="BU224" i="43"/>
  <c r="AV224" i="43"/>
  <c r="BV224" i="43" s="1"/>
  <c r="BU210" i="43"/>
  <c r="AV210" i="43"/>
  <c r="BV210" i="43" s="1"/>
  <c r="AT203" i="43"/>
  <c r="AT167" i="43"/>
  <c r="AV160" i="43"/>
  <c r="BV160" i="43" s="1"/>
  <c r="BU160" i="43"/>
  <c r="AT138" i="43"/>
  <c r="BU131" i="43"/>
  <c r="AV131" i="43"/>
  <c r="BV131" i="43" s="1"/>
  <c r="AT43" i="43"/>
  <c r="BU34" i="43"/>
  <c r="AV34" i="43"/>
  <c r="BV34" i="43" s="1"/>
  <c r="AT26" i="43"/>
  <c r="AV378" i="43"/>
  <c r="BV378" i="43" s="1"/>
  <c r="BU378" i="43"/>
  <c r="AT339" i="43"/>
  <c r="AT178" i="43"/>
  <c r="BU437" i="43"/>
  <c r="AV437" i="43"/>
  <c r="BV437" i="43" s="1"/>
  <c r="AT430" i="43"/>
  <c r="BU311" i="43"/>
  <c r="AV311" i="43"/>
  <c r="BV311" i="43" s="1"/>
  <c r="BU290" i="43"/>
  <c r="AV290" i="43"/>
  <c r="BV290" i="43" s="1"/>
  <c r="AT282" i="43"/>
  <c r="AV275" i="43"/>
  <c r="BV275" i="43" s="1"/>
  <c r="BU275" i="43"/>
  <c r="AH238" i="43"/>
  <c r="AU238" i="43" s="1"/>
  <c r="BU209" i="43"/>
  <c r="AV209" i="43"/>
  <c r="BV209" i="43" s="1"/>
  <c r="BU58" i="43"/>
  <c r="AV58" i="43"/>
  <c r="BV58" i="43" s="1"/>
  <c r="BU340" i="43"/>
  <c r="AV340" i="43"/>
  <c r="BV340" i="43" s="1"/>
  <c r="BU280" i="43"/>
  <c r="AV280" i="43"/>
  <c r="BV280" i="43" s="1"/>
  <c r="BU185" i="43"/>
  <c r="AV185" i="43"/>
  <c r="BV185" i="43" s="1"/>
  <c r="BU362" i="43"/>
  <c r="AV362" i="43"/>
  <c r="BV362" i="43" s="1"/>
  <c r="AT355" i="43"/>
  <c r="BU281" i="43"/>
  <c r="AV281" i="43"/>
  <c r="BV281" i="43" s="1"/>
  <c r="AV172" i="43"/>
  <c r="BV172" i="43" s="1"/>
  <c r="BU122" i="43"/>
  <c r="AV122" i="43"/>
  <c r="BV122" i="43" s="1"/>
  <c r="BU89" i="43"/>
  <c r="AV89" i="43"/>
  <c r="BV89" i="43" s="1"/>
  <c r="AT15" i="43"/>
  <c r="BU448" i="43"/>
  <c r="AV448" i="43"/>
  <c r="BV448" i="43" s="1"/>
  <c r="AT405" i="43"/>
  <c r="AT315" i="43"/>
  <c r="AT21" i="43"/>
  <c r="BU434" i="43"/>
  <c r="AV434" i="43"/>
  <c r="BV434" i="43" s="1"/>
  <c r="AV361" i="43"/>
  <c r="BV361" i="43" s="1"/>
  <c r="BU199" i="43"/>
  <c r="AV199" i="43"/>
  <c r="BV199" i="43" s="1"/>
  <c r="BU38" i="43"/>
  <c r="AV38" i="43"/>
  <c r="BV38" i="43" s="1"/>
  <c r="AR68" i="43"/>
  <c r="AH68" i="43"/>
  <c r="AR106" i="43"/>
  <c r="AH106" i="43"/>
  <c r="AR289" i="43"/>
  <c r="AH289" i="43"/>
  <c r="AR313" i="43"/>
  <c r="AH313" i="43"/>
  <c r="AR263" i="43"/>
  <c r="AH263" i="43"/>
  <c r="AR297" i="43"/>
  <c r="AR298" i="43" s="1"/>
  <c r="AH297" i="43"/>
  <c r="AR158" i="43"/>
  <c r="AH158" i="43"/>
  <c r="AU158" i="43" s="1"/>
  <c r="BP91" i="43"/>
  <c r="BP94" i="43" s="1"/>
  <c r="AR91" i="43"/>
  <c r="AH91" i="43"/>
  <c r="AR325" i="43"/>
  <c r="AH325" i="43"/>
  <c r="AR146" i="43"/>
  <c r="AH146" i="43"/>
  <c r="AU146" i="43" s="1"/>
  <c r="AR76" i="43"/>
  <c r="AH76" i="43"/>
  <c r="AR60" i="43"/>
  <c r="AH60" i="43"/>
  <c r="AR14" i="43"/>
  <c r="AH14" i="43"/>
  <c r="AU14" i="43" s="1"/>
  <c r="AR117" i="43"/>
  <c r="AH117" i="43"/>
  <c r="AU117" i="43" s="1"/>
  <c r="BU367" i="43"/>
  <c r="AV367" i="43"/>
  <c r="BV367" i="43" s="1"/>
  <c r="BU308" i="43"/>
  <c r="AV308" i="43"/>
  <c r="BU248" i="43"/>
  <c r="AV248" i="43"/>
  <c r="BV248" i="43" s="1"/>
  <c r="BU241" i="43"/>
  <c r="AV241" i="43"/>
  <c r="BV241" i="43" s="1"/>
  <c r="AV198" i="43"/>
  <c r="BV198" i="43" s="1"/>
  <c r="AV119" i="43"/>
  <c r="BV119" i="43" s="1"/>
  <c r="BU78" i="43"/>
  <c r="AV78" i="43"/>
  <c r="BV78" i="43" s="1"/>
  <c r="AV54" i="43"/>
  <c r="BV54" i="43" s="1"/>
  <c r="BU54" i="43"/>
  <c r="AT261" i="43"/>
  <c r="AV154" i="43"/>
  <c r="BV154" i="43" s="1"/>
  <c r="BU432" i="43"/>
  <c r="AV432" i="43"/>
  <c r="BV432" i="43" s="1"/>
  <c r="AT396" i="43"/>
  <c r="AV382" i="43"/>
  <c r="BV382" i="43" s="1"/>
  <c r="AV292" i="43"/>
  <c r="BU292" i="43"/>
  <c r="AT403" i="43"/>
  <c r="AV396" i="43"/>
  <c r="BV396" i="43" s="1"/>
  <c r="AT365" i="43"/>
  <c r="AT350" i="43"/>
  <c r="AT343" i="43"/>
  <c r="BU261" i="43"/>
  <c r="AV261" i="43"/>
  <c r="BV261" i="43" s="1"/>
  <c r="BU246" i="43"/>
  <c r="AV246" i="43"/>
  <c r="BV246" i="43" s="1"/>
  <c r="AT224" i="43"/>
  <c r="AT217" i="43"/>
  <c r="AT160" i="43"/>
  <c r="AT144" i="43"/>
  <c r="AT131" i="43"/>
  <c r="AT34" i="43"/>
  <c r="AV88" i="43"/>
  <c r="BV88" i="43" s="1"/>
  <c r="BU88" i="43"/>
  <c r="BU444" i="43"/>
  <c r="AV444" i="43"/>
  <c r="BV444" i="43" s="1"/>
  <c r="BU319" i="43"/>
  <c r="AV319" i="43"/>
  <c r="BV319" i="43" s="1"/>
  <c r="BU304" i="43"/>
  <c r="AV304" i="43"/>
  <c r="BV304" i="43" s="1"/>
  <c r="AT275" i="43"/>
  <c r="AT238" i="43"/>
  <c r="BU230" i="43"/>
  <c r="AV230" i="43"/>
  <c r="BV230" i="43" s="1"/>
  <c r="AV216" i="43"/>
  <c r="BV216" i="43" s="1"/>
  <c r="BU216" i="43"/>
  <c r="AV173" i="43"/>
  <c r="BV173" i="43" s="1"/>
  <c r="BU144" i="43"/>
  <c r="AV144" i="43"/>
  <c r="BV144" i="43" s="1"/>
  <c r="AV66" i="43"/>
  <c r="BV66" i="43" s="1"/>
  <c r="AT58" i="43"/>
  <c r="AV309" i="43"/>
  <c r="BV309" i="43" s="1"/>
  <c r="BU156" i="43"/>
  <c r="AV156" i="43"/>
  <c r="BV156" i="43" s="1"/>
  <c r="AT378" i="43"/>
  <c r="AT362" i="43"/>
  <c r="AV310" i="43"/>
  <c r="BV310" i="43" s="1"/>
  <c r="BU310" i="43"/>
  <c r="BU295" i="43"/>
  <c r="AV295" i="43"/>
  <c r="BV295" i="43" s="1"/>
  <c r="AT281" i="43"/>
  <c r="AH267" i="43"/>
  <c r="AT244" i="43"/>
  <c r="AV129" i="43"/>
  <c r="BV129" i="43" s="1"/>
  <c r="AT122" i="43"/>
  <c r="AV97" i="43"/>
  <c r="BV97" i="43" s="1"/>
  <c r="AT89" i="43"/>
  <c r="BU81" i="43"/>
  <c r="AV81" i="43"/>
  <c r="BV81" i="43" s="1"/>
  <c r="BU24" i="43"/>
  <c r="AV24" i="43"/>
  <c r="BV24" i="43" s="1"/>
  <c r="AT448" i="43"/>
  <c r="BU354" i="43"/>
  <c r="AV354" i="43"/>
  <c r="BV354" i="43" s="1"/>
  <c r="BU104" i="43"/>
  <c r="AV104" i="43"/>
  <c r="BV104" i="43" s="1"/>
  <c r="AV406" i="43"/>
  <c r="BV406" i="43" s="1"/>
  <c r="BU406" i="43"/>
  <c r="AT235" i="43"/>
  <c r="AT199" i="43"/>
  <c r="BU135" i="43"/>
  <c r="AV135" i="43"/>
  <c r="BV135" i="43" s="1"/>
  <c r="AH436" i="43"/>
  <c r="AU436" i="43" s="1"/>
  <c r="AR436" i="43"/>
  <c r="AR460" i="43"/>
  <c r="AH460" i="43"/>
  <c r="AR195" i="43"/>
  <c r="AH195" i="43"/>
  <c r="AU195" i="43" s="1"/>
  <c r="AR152" i="43"/>
  <c r="AH152" i="43"/>
  <c r="AU152" i="43" s="1"/>
  <c r="BQ126" i="43"/>
  <c r="AS126" i="43"/>
  <c r="AR71" i="43"/>
  <c r="AH71" i="43"/>
  <c r="AR384" i="43"/>
  <c r="AH384" i="43"/>
  <c r="AU384" i="43" s="1"/>
  <c r="AR214" i="43"/>
  <c r="AH214" i="43"/>
  <c r="AR306" i="43"/>
  <c r="AH306" i="43"/>
  <c r="BQ201" i="43"/>
  <c r="AS201" i="43"/>
  <c r="AR121" i="43"/>
  <c r="AH121" i="43"/>
  <c r="AU121" i="43" s="1"/>
  <c r="AR28" i="43"/>
  <c r="AH28" i="43"/>
  <c r="BP175" i="43"/>
  <c r="AR175" i="43"/>
  <c r="AH175" i="43"/>
  <c r="AU175" i="43" s="1"/>
  <c r="AR40" i="43"/>
  <c r="AH40" i="43"/>
  <c r="AR257" i="43"/>
  <c r="AH257" i="43"/>
  <c r="BP250" i="43"/>
  <c r="BP256" i="43" s="1"/>
  <c r="AR250" i="43"/>
  <c r="AH250" i="43"/>
  <c r="AV440" i="43"/>
  <c r="BV440" i="43" s="1"/>
  <c r="BU440" i="43"/>
  <c r="AV433" i="43"/>
  <c r="BV433" i="43" s="1"/>
  <c r="BU433" i="43"/>
  <c r="BU315" i="43"/>
  <c r="AV315" i="43"/>
  <c r="BV315" i="43" s="1"/>
  <c r="BU197" i="43"/>
  <c r="AV197" i="43"/>
  <c r="BV197" i="43" s="1"/>
  <c r="BU439" i="43"/>
  <c r="AV439" i="43"/>
  <c r="BV439" i="43" s="1"/>
  <c r="BU373" i="43"/>
  <c r="AV373" i="43"/>
  <c r="BV373" i="43" s="1"/>
  <c r="BU300" i="43"/>
  <c r="AV300" i="43"/>
  <c r="BV300" i="43" s="1"/>
  <c r="BU69" i="43"/>
  <c r="AV69" i="43"/>
  <c r="BV69" i="43" s="1"/>
  <c r="BU343" i="43"/>
  <c r="AV343" i="43"/>
  <c r="BV343" i="43" s="1"/>
  <c r="BU269" i="43"/>
  <c r="AV269" i="43"/>
  <c r="BV269" i="43" s="1"/>
  <c r="AT246" i="43"/>
  <c r="BU217" i="43"/>
  <c r="AV217" i="43"/>
  <c r="BV217" i="43" s="1"/>
  <c r="BU182" i="43"/>
  <c r="AV182" i="43"/>
  <c r="BV182" i="43" s="1"/>
  <c r="AV108" i="43"/>
  <c r="BV108" i="43" s="1"/>
  <c r="BU108" i="43"/>
  <c r="AV455" i="43"/>
  <c r="BV455" i="43" s="1"/>
  <c r="BU427" i="43"/>
  <c r="AV427" i="43"/>
  <c r="BV427" i="43" s="1"/>
  <c r="AH317" i="43"/>
  <c r="AV451" i="43"/>
  <c r="BV451" i="43" s="1"/>
  <c r="AV327" i="43"/>
  <c r="BU327" i="43"/>
  <c r="AT230" i="43"/>
  <c r="AV223" i="43"/>
  <c r="BV223" i="43" s="1"/>
  <c r="BU223" i="43"/>
  <c r="AV166" i="43"/>
  <c r="BV166" i="43" s="1"/>
  <c r="BU166" i="43"/>
  <c r="BU137" i="43"/>
  <c r="AV137" i="43"/>
  <c r="BV137" i="43" s="1"/>
  <c r="BU74" i="43"/>
  <c r="AV74" i="43"/>
  <c r="BV74" i="43" s="1"/>
  <c r="AH17" i="43"/>
  <c r="AU17" i="43" s="1"/>
  <c r="BU420" i="43"/>
  <c r="AV420" i="43"/>
  <c r="BV420" i="43" s="1"/>
  <c r="BU112" i="43"/>
  <c r="AV112" i="43"/>
  <c r="BV112" i="43" s="1"/>
  <c r="AV303" i="43"/>
  <c r="BV303" i="43" s="1"/>
  <c r="BU303" i="43"/>
  <c r="AT295" i="43"/>
  <c r="BU251" i="43"/>
  <c r="AV251" i="43"/>
  <c r="BV251" i="43" s="1"/>
  <c r="AH244" i="43"/>
  <c r="AV236" i="43"/>
  <c r="BV236" i="43" s="1"/>
  <c r="BU236" i="43"/>
  <c r="BU222" i="43"/>
  <c r="AV222" i="43"/>
  <c r="BV222" i="43" s="1"/>
  <c r="AV150" i="43"/>
  <c r="BV150" i="43" s="1"/>
  <c r="AV136" i="43"/>
  <c r="BV136" i="43" s="1"/>
  <c r="BU136" i="43"/>
  <c r="BU192" i="43"/>
  <c r="AV192" i="43"/>
  <c r="BV192" i="43" s="1"/>
  <c r="AV72" i="43"/>
  <c r="BV72" i="43" s="1"/>
  <c r="BU72" i="43"/>
  <c r="AT406" i="43"/>
  <c r="BU302" i="43"/>
  <c r="AV302" i="43"/>
  <c r="BV302" i="43" s="1"/>
  <c r="BU235" i="43"/>
  <c r="AV235" i="43"/>
  <c r="BV235" i="43" s="1"/>
  <c r="BR49" i="43"/>
  <c r="BR42" i="43"/>
  <c r="BR63" i="43"/>
  <c r="BR262" i="43"/>
  <c r="BR86" i="43"/>
  <c r="BR276" i="43"/>
  <c r="BR266" i="43"/>
  <c r="BR162" i="43"/>
  <c r="BR55" i="43"/>
  <c r="BR70" i="43"/>
  <c r="AT20" i="44"/>
  <c r="AS88" i="44"/>
  <c r="AS92" i="44"/>
  <c r="BT139" i="44"/>
  <c r="AS42" i="44"/>
  <c r="AT119" i="44"/>
  <c r="AQ98" i="44"/>
  <c r="AQ128" i="44"/>
  <c r="BR20" i="44"/>
  <c r="BR28" i="44" s="1"/>
  <c r="AT114" i="44"/>
  <c r="AH63" i="44"/>
  <c r="BS49" i="44"/>
  <c r="BS121" i="44"/>
  <c r="AQ121" i="44"/>
  <c r="AQ84" i="44"/>
  <c r="BR57" i="44"/>
  <c r="BR63" i="44" s="1"/>
  <c r="AQ63" i="44"/>
  <c r="BR36" i="44"/>
  <c r="BR42" i="44" s="1"/>
  <c r="AQ42" i="44"/>
  <c r="BS19" i="44"/>
  <c r="BR50" i="44"/>
  <c r="BR56" i="44" s="1"/>
  <c r="BS56" i="44"/>
  <c r="AQ19" i="44"/>
  <c r="AT57" i="44"/>
  <c r="AR19" i="44"/>
  <c r="AQ92" i="44"/>
  <c r="AT76" i="44"/>
  <c r="AS84" i="44"/>
  <c r="BR71" i="44"/>
  <c r="BR77" i="44" s="1"/>
  <c r="BR29" i="44"/>
  <c r="BR35" i="44" s="1"/>
  <c r="AT58" i="44"/>
  <c r="BS35" i="44"/>
  <c r="BS28" i="44"/>
  <c r="BP42" i="44"/>
  <c r="AT48" i="44"/>
  <c r="AS28" i="44"/>
  <c r="AQ102" i="44"/>
  <c r="AQ88" i="44"/>
  <c r="AQ70" i="44"/>
  <c r="AQ49" i="44"/>
  <c r="AS70" i="44"/>
  <c r="BP77" i="44"/>
  <c r="AT55" i="44"/>
  <c r="BP35" i="44"/>
  <c r="BS128" i="44"/>
  <c r="AT83" i="44"/>
  <c r="AT123" i="44"/>
  <c r="AT68" i="44"/>
  <c r="AT26" i="44"/>
  <c r="BU16" i="44"/>
  <c r="AV16" i="44"/>
  <c r="BV16" i="44" s="1"/>
  <c r="BO16" i="44"/>
  <c r="AR103" i="44"/>
  <c r="AH103" i="44"/>
  <c r="AT127" i="44"/>
  <c r="AT97" i="44"/>
  <c r="AT79" i="44"/>
  <c r="AV30" i="44"/>
  <c r="BV30" i="44" s="1"/>
  <c r="AT126" i="44"/>
  <c r="BU43" i="44"/>
  <c r="AV43" i="44"/>
  <c r="BU125" i="44"/>
  <c r="AV125" i="44"/>
  <c r="BV125" i="44" s="1"/>
  <c r="BU62" i="44"/>
  <c r="AV62" i="44"/>
  <c r="BV62" i="44" s="1"/>
  <c r="AT27" i="44"/>
  <c r="BU21" i="44"/>
  <c r="AV21" i="44"/>
  <c r="BV21" i="44" s="1"/>
  <c r="BU101" i="44"/>
  <c r="AV101" i="44"/>
  <c r="BV101" i="44" s="1"/>
  <c r="AT82" i="44"/>
  <c r="BU47" i="44"/>
  <c r="AV47" i="44"/>
  <c r="BV47" i="44" s="1"/>
  <c r="AT40" i="44"/>
  <c r="AT87" i="44"/>
  <c r="BU81" i="44"/>
  <c r="AV81" i="44"/>
  <c r="BV81" i="44" s="1"/>
  <c r="AT74" i="44"/>
  <c r="BU39" i="44"/>
  <c r="AV39" i="44"/>
  <c r="BV39" i="44" s="1"/>
  <c r="AT32" i="44"/>
  <c r="AV115" i="44"/>
  <c r="BV115" i="44" s="1"/>
  <c r="BU115" i="44"/>
  <c r="AT24" i="44"/>
  <c r="BU127" i="44"/>
  <c r="AV127" i="44"/>
  <c r="BV127" i="44" s="1"/>
  <c r="AV106" i="44"/>
  <c r="BV106" i="44" s="1"/>
  <c r="BU106" i="44"/>
  <c r="BU23" i="44"/>
  <c r="AV23" i="44"/>
  <c r="AH17" i="44"/>
  <c r="AU17" i="44" s="1"/>
  <c r="AV57" i="44"/>
  <c r="BV57" i="44" s="1"/>
  <c r="AT43" i="44"/>
  <c r="AV36" i="44"/>
  <c r="BV36" i="44" s="1"/>
  <c r="AV15" i="44"/>
  <c r="BV15" i="44" s="1"/>
  <c r="AT125" i="44"/>
  <c r="AT62" i="44"/>
  <c r="BU55" i="44"/>
  <c r="AV55" i="44"/>
  <c r="BV55" i="44" s="1"/>
  <c r="AT21" i="44"/>
  <c r="BU14" i="44"/>
  <c r="AV14" i="44"/>
  <c r="BV14" i="44" s="1"/>
  <c r="AT109" i="44"/>
  <c r="AT101" i="44"/>
  <c r="BU54" i="44"/>
  <c r="AV54" i="44"/>
  <c r="BV54" i="44" s="1"/>
  <c r="AT47" i="44"/>
  <c r="AT81" i="44"/>
  <c r="AV46" i="44"/>
  <c r="BV46" i="44" s="1"/>
  <c r="AT39" i="44"/>
  <c r="AT115" i="44"/>
  <c r="AT51" i="44"/>
  <c r="AH78" i="44"/>
  <c r="AU78" i="44" s="1"/>
  <c r="AR78" i="44"/>
  <c r="AR93" i="44"/>
  <c r="AH93" i="44"/>
  <c r="AU93" i="44" s="1"/>
  <c r="AV114" i="44"/>
  <c r="BV114" i="44" s="1"/>
  <c r="AT17" i="44"/>
  <c r="AH71" i="44"/>
  <c r="AT36" i="44"/>
  <c r="BU29" i="44"/>
  <c r="AV29" i="44"/>
  <c r="BV29" i="44" s="1"/>
  <c r="AT15" i="44"/>
  <c r="AV48" i="44"/>
  <c r="BU48" i="44"/>
  <c r="AT14" i="44"/>
  <c r="AT117" i="44"/>
  <c r="BU109" i="44"/>
  <c r="AV109" i="44"/>
  <c r="BV109" i="44" s="1"/>
  <c r="AV61" i="44"/>
  <c r="BV61" i="44" s="1"/>
  <c r="AT54" i="44"/>
  <c r="AT108" i="44"/>
  <c r="BU53" i="44"/>
  <c r="AV53" i="44"/>
  <c r="BV53" i="44" s="1"/>
  <c r="AT46" i="44"/>
  <c r="AV86" i="44"/>
  <c r="BV86" i="44" s="1"/>
  <c r="AR113" i="44"/>
  <c r="AH113" i="44"/>
  <c r="AU113" i="44" s="1"/>
  <c r="AR85" i="44"/>
  <c r="AH85" i="44"/>
  <c r="BQ16" i="44"/>
  <c r="BQ135" i="44" s="1"/>
  <c r="AS16" i="44"/>
  <c r="AS19" i="44" s="1"/>
  <c r="BU65" i="44"/>
  <c r="AV65" i="44"/>
  <c r="BV65" i="44" s="1"/>
  <c r="AV96" i="44"/>
  <c r="AT71" i="44"/>
  <c r="AT29" i="44"/>
  <c r="AV83" i="44"/>
  <c r="BV83" i="44" s="1"/>
  <c r="BU83" i="44"/>
  <c r="AV41" i="44"/>
  <c r="BV41" i="44" s="1"/>
  <c r="BU41" i="44"/>
  <c r="AV117" i="44"/>
  <c r="BV117" i="44" s="1"/>
  <c r="BU117" i="44"/>
  <c r="AV68" i="44"/>
  <c r="BV68" i="44" s="1"/>
  <c r="BU68" i="44"/>
  <c r="AT61" i="44"/>
  <c r="BU26" i="44"/>
  <c r="AV26" i="44"/>
  <c r="BV26" i="44" s="1"/>
  <c r="AV108" i="44"/>
  <c r="BV108" i="44" s="1"/>
  <c r="BU108" i="44"/>
  <c r="BU60" i="44"/>
  <c r="AV60" i="44"/>
  <c r="BV60" i="44" s="1"/>
  <c r="AT53" i="44"/>
  <c r="AT91" i="44"/>
  <c r="AR64" i="44"/>
  <c r="AH64" i="44"/>
  <c r="AU64" i="44" s="1"/>
  <c r="AR122" i="44"/>
  <c r="AH122" i="44"/>
  <c r="AU122" i="44" s="1"/>
  <c r="BP99" i="44"/>
  <c r="BP102" i="44" s="1"/>
  <c r="AR99" i="44"/>
  <c r="AH99" i="44"/>
  <c r="AU99" i="44" s="1"/>
  <c r="AR111" i="44"/>
  <c r="AH111" i="44"/>
  <c r="AH89" i="44"/>
  <c r="AU89" i="44" s="1"/>
  <c r="AR89" i="44"/>
  <c r="AV72" i="44"/>
  <c r="BV72" i="44" s="1"/>
  <c r="AT65" i="44"/>
  <c r="AV58" i="44"/>
  <c r="BV58" i="44" s="1"/>
  <c r="BU58" i="44"/>
  <c r="BU44" i="44"/>
  <c r="AV44" i="44"/>
  <c r="BV44" i="44" s="1"/>
  <c r="AV119" i="44"/>
  <c r="BV119" i="44" s="1"/>
  <c r="BU119" i="44"/>
  <c r="BU76" i="44"/>
  <c r="AV76" i="44"/>
  <c r="BV76" i="44" s="1"/>
  <c r="AT41" i="44"/>
  <c r="BU34" i="44"/>
  <c r="AV34" i="44"/>
  <c r="BV34" i="44" s="1"/>
  <c r="AV75" i="44"/>
  <c r="BV75" i="44" s="1"/>
  <c r="AV33" i="44"/>
  <c r="BV33" i="44" s="1"/>
  <c r="BU20" i="44"/>
  <c r="AV20" i="44"/>
  <c r="BV20" i="44" s="1"/>
  <c r="BU67" i="44"/>
  <c r="AV67" i="44"/>
  <c r="BV67" i="44" s="1"/>
  <c r="AT60" i="44"/>
  <c r="BU25" i="44"/>
  <c r="AV25" i="44"/>
  <c r="BV25" i="44" s="1"/>
  <c r="BU91" i="44"/>
  <c r="AV91" i="44"/>
  <c r="BV91" i="44" s="1"/>
  <c r="AR105" i="44"/>
  <c r="AH105" i="44"/>
  <c r="AU105" i="44" s="1"/>
  <c r="AR50" i="44"/>
  <c r="AH50" i="44"/>
  <c r="AV97" i="44"/>
  <c r="BV97" i="44" s="1"/>
  <c r="BU97" i="44"/>
  <c r="BU79" i="44"/>
  <c r="AV79" i="44"/>
  <c r="BV79" i="44" s="1"/>
  <c r="AV51" i="44"/>
  <c r="BV51" i="44" s="1"/>
  <c r="BU51" i="44"/>
  <c r="BU37" i="44"/>
  <c r="AV37" i="44"/>
  <c r="BV37" i="44" s="1"/>
  <c r="BU126" i="44"/>
  <c r="AV126" i="44"/>
  <c r="BV126" i="44" s="1"/>
  <c r="AV118" i="44"/>
  <c r="BV118" i="44" s="1"/>
  <c r="AV69" i="44"/>
  <c r="AV27" i="44"/>
  <c r="BV27" i="44" s="1"/>
  <c r="BU27" i="44"/>
  <c r="BU94" i="44"/>
  <c r="AV94" i="44"/>
  <c r="BV94" i="44" s="1"/>
  <c r="BU82" i="44"/>
  <c r="AV82" i="44"/>
  <c r="BV82" i="44" s="1"/>
  <c r="BU40" i="44"/>
  <c r="AV40" i="44"/>
  <c r="BV40" i="44" s="1"/>
  <c r="BU123" i="44"/>
  <c r="AV123" i="44"/>
  <c r="BV123" i="44" s="1"/>
  <c r="AV87" i="44"/>
  <c r="BV87" i="44" s="1"/>
  <c r="BU87" i="44"/>
  <c r="BU74" i="44"/>
  <c r="AV74" i="44"/>
  <c r="BV74" i="44" s="1"/>
  <c r="BU32" i="44"/>
  <c r="AV32" i="44"/>
  <c r="BV32" i="44" s="1"/>
  <c r="AV24" i="44"/>
  <c r="BV24" i="44" s="1"/>
  <c r="BU24" i="44"/>
  <c r="BX128" i="44"/>
  <c r="BR67" i="43"/>
  <c r="BR98" i="43"/>
  <c r="BR82" i="43"/>
  <c r="BR243" i="43"/>
  <c r="BR456" i="43"/>
  <c r="BR449" i="43"/>
  <c r="BR336" i="43"/>
  <c r="BX110" i="44"/>
  <c r="BX92" i="44"/>
  <c r="BX77" i="44"/>
  <c r="BX49" i="44"/>
  <c r="BX28" i="44"/>
  <c r="BR88" i="44"/>
  <c r="BX56" i="44"/>
  <c r="BR98" i="44"/>
  <c r="BX102" i="44"/>
  <c r="BX70" i="44"/>
  <c r="BX88" i="44"/>
  <c r="BX42" i="44"/>
  <c r="BX63" i="44"/>
  <c r="BX35" i="44"/>
  <c r="BR92" i="44"/>
  <c r="BR102" i="44"/>
  <c r="BR49" i="44"/>
  <c r="BX98" i="44"/>
  <c r="BX84" i="44"/>
  <c r="BR110" i="44"/>
  <c r="BR84" i="44"/>
  <c r="BR70" i="44"/>
  <c r="BR128" i="44"/>
  <c r="BP64" i="44"/>
  <c r="AG142" i="44"/>
  <c r="BQ103" i="44"/>
  <c r="BQ104" i="44" s="1"/>
  <c r="BM112" i="44"/>
  <c r="BX111" i="44"/>
  <c r="BX112" i="44" s="1"/>
  <c r="BQ71" i="44"/>
  <c r="BQ113" i="44"/>
  <c r="BQ99" i="44"/>
  <c r="BQ111" i="44"/>
  <c r="BQ112" i="44" s="1"/>
  <c r="BP78" i="44"/>
  <c r="BP84" i="44" s="1"/>
  <c r="BO106" i="44"/>
  <c r="BQ105" i="44"/>
  <c r="BQ110" i="44" s="1"/>
  <c r="BO60" i="44"/>
  <c r="BQ78" i="44"/>
  <c r="BQ84" i="44" s="1"/>
  <c r="BO81" i="44"/>
  <c r="BP113" i="44"/>
  <c r="BP85" i="44"/>
  <c r="BP88" i="44" s="1"/>
  <c r="BP105" i="44"/>
  <c r="BP110" i="44" s="1"/>
  <c r="BO62" i="44"/>
  <c r="AG140" i="44"/>
  <c r="BQ17" i="44"/>
  <c r="BO37" i="44"/>
  <c r="BQ122" i="44"/>
  <c r="BO117" i="44"/>
  <c r="BQ85" i="44"/>
  <c r="BQ88" i="44" s="1"/>
  <c r="BP103" i="44"/>
  <c r="BP104" i="44" s="1"/>
  <c r="BP93" i="44"/>
  <c r="BP98" i="44" s="1"/>
  <c r="BQ89" i="44"/>
  <c r="BP111" i="44"/>
  <c r="BP112" i="44" s="1"/>
  <c r="BQ50" i="44"/>
  <c r="BP50" i="44"/>
  <c r="BP56" i="44" s="1"/>
  <c r="BQ93" i="44"/>
  <c r="BP122" i="44"/>
  <c r="BP128" i="44" s="1"/>
  <c r="BP89" i="44"/>
  <c r="BR435" i="43"/>
  <c r="BR18" i="43"/>
  <c r="BR389" i="43"/>
  <c r="BR400" i="43"/>
  <c r="BR272" i="43"/>
  <c r="BR256" i="43"/>
  <c r="BR194" i="43"/>
  <c r="BR283" i="43"/>
  <c r="BR200" i="43"/>
  <c r="BR363" i="43"/>
  <c r="BR414" i="43"/>
  <c r="BR288" i="43"/>
  <c r="BR151" i="43"/>
  <c r="BR316" i="43"/>
  <c r="BR249" i="43"/>
  <c r="BR296" i="43"/>
  <c r="BR225" i="43"/>
  <c r="BR206" i="43"/>
  <c r="BR46" i="43"/>
  <c r="BR358" i="43"/>
  <c r="BR109" i="43"/>
  <c r="BR22" i="43"/>
  <c r="BR102" i="43"/>
  <c r="BR27" i="43"/>
  <c r="BR213" i="43"/>
  <c r="BR125" i="43"/>
  <c r="BR105" i="43"/>
  <c r="BR219" i="43"/>
  <c r="BR305" i="43"/>
  <c r="BR180" i="43"/>
  <c r="BR407" i="43"/>
  <c r="BR463" i="43"/>
  <c r="BR174" i="43"/>
  <c r="BR428" i="43"/>
  <c r="BR168" i="43"/>
  <c r="BR157" i="43"/>
  <c r="BR332" i="43"/>
  <c r="BR187" i="43"/>
  <c r="BR90" i="43"/>
  <c r="BR116" i="43"/>
  <c r="BR374" i="43"/>
  <c r="BR59" i="43"/>
  <c r="BR393" i="43"/>
  <c r="BR132" i="43"/>
  <c r="BR75" i="43"/>
  <c r="BR120" i="43"/>
  <c r="BR383" i="43"/>
  <c r="BR328" i="43"/>
  <c r="BR35" i="43"/>
  <c r="BR139" i="43"/>
  <c r="BO270" i="43"/>
  <c r="BO167" i="43"/>
  <c r="BQ443" i="43"/>
  <c r="BQ449" i="43" s="1"/>
  <c r="BQ401" i="43"/>
  <c r="BQ407" i="43" s="1"/>
  <c r="BQ284" i="43"/>
  <c r="BQ288" i="43" s="1"/>
  <c r="BP103" i="43"/>
  <c r="BP105" i="43" s="1"/>
  <c r="BO61" i="43"/>
  <c r="BQ422" i="43"/>
  <c r="BQ408" i="43"/>
  <c r="BO372" i="43"/>
  <c r="BQ214" i="43"/>
  <c r="BQ114" i="43"/>
  <c r="BQ116" i="43" s="1"/>
  <c r="BP99" i="43"/>
  <c r="BP408" i="43"/>
  <c r="BP414" i="43" s="1"/>
  <c r="BP384" i="43"/>
  <c r="BP389" i="43" s="1"/>
  <c r="BP259" i="43"/>
  <c r="BP262" i="43" s="1"/>
  <c r="BQ232" i="43"/>
  <c r="BQ237" i="43" s="1"/>
  <c r="BQ390" i="43"/>
  <c r="BQ393" i="43" s="1"/>
  <c r="BP390" i="43"/>
  <c r="BP393" i="43" s="1"/>
  <c r="BQ329" i="43"/>
  <c r="BQ257" i="43"/>
  <c r="BQ258" i="43" s="1"/>
  <c r="BQ220" i="43"/>
  <c r="BQ225" i="43" s="1"/>
  <c r="BP201" i="43"/>
  <c r="BP206" i="43" s="1"/>
  <c r="BQ244" i="43"/>
  <c r="BQ249" i="43" s="1"/>
  <c r="BP53" i="43"/>
  <c r="BP55" i="43" s="1"/>
  <c r="BP329" i="43"/>
  <c r="BP76" i="43"/>
  <c r="BP79" i="43" s="1"/>
  <c r="BQ429" i="43"/>
  <c r="BQ435" i="43" s="1"/>
  <c r="BP50" i="43"/>
  <c r="BP52" i="43" s="1"/>
  <c r="BP284" i="43"/>
  <c r="BP288" i="43" s="1"/>
  <c r="BO441" i="43"/>
  <c r="BQ138" i="43"/>
  <c r="BO185" i="43"/>
  <c r="BO84" i="43"/>
  <c r="BO150" i="43"/>
  <c r="BO33" i="43"/>
  <c r="BP457" i="43"/>
  <c r="BP459" i="43" s="1"/>
  <c r="BP346" i="43"/>
  <c r="BQ263" i="43"/>
  <c r="BQ266" i="43" s="1"/>
  <c r="BQ76" i="43"/>
  <c r="BQ79" i="43" s="1"/>
  <c r="BQ53" i="43"/>
  <c r="BQ55" i="43" s="1"/>
  <c r="BQ306" i="43"/>
  <c r="BQ312" i="43" s="1"/>
  <c r="BP226" i="43"/>
  <c r="BP313" i="43"/>
  <c r="BP297" i="43"/>
  <c r="BP298" i="43" s="1"/>
  <c r="BP163" i="43"/>
  <c r="BP83" i="43"/>
  <c r="BP86" i="43" s="1"/>
  <c r="BQ152" i="43"/>
  <c r="BP95" i="43"/>
  <c r="BP98" i="43" s="1"/>
  <c r="BQ121" i="43"/>
  <c r="BQ125" i="43" s="1"/>
  <c r="BQ68" i="43"/>
  <c r="BQ70" i="43" s="1"/>
  <c r="BP110" i="43"/>
  <c r="BP113" i="43" s="1"/>
  <c r="BO184" i="43"/>
  <c r="AG475" i="43"/>
  <c r="BQ130" i="43"/>
  <c r="BQ475" i="43" s="1"/>
  <c r="BP130" i="43"/>
  <c r="BP475" i="43" s="1"/>
  <c r="BO51" i="43"/>
  <c r="BP436" i="43"/>
  <c r="BP460" i="43"/>
  <c r="BP463" i="43" s="1"/>
  <c r="BQ289" i="43"/>
  <c r="BQ296" i="43" s="1"/>
  <c r="BP195" i="43"/>
  <c r="BP152" i="43"/>
  <c r="BP157" i="43" s="1"/>
  <c r="BQ99" i="43"/>
  <c r="BQ102" i="43" s="1"/>
  <c r="BP32" i="43"/>
  <c r="BP35" i="43" s="1"/>
  <c r="BQ384" i="43"/>
  <c r="BQ389" i="43" s="1"/>
  <c r="BP337" i="43"/>
  <c r="BQ207" i="43"/>
  <c r="BQ213" i="43" s="1"/>
  <c r="BP422" i="43"/>
  <c r="BP428" i="43" s="1"/>
  <c r="BQ364" i="43"/>
  <c r="BQ370" i="43" s="1"/>
  <c r="BQ325" i="43"/>
  <c r="BQ328" i="43" s="1"/>
  <c r="BP306" i="43"/>
  <c r="BP312" i="43" s="1"/>
  <c r="BQ267" i="43"/>
  <c r="BQ272" i="43" s="1"/>
  <c r="BP121" i="43"/>
  <c r="BP125" i="43" s="1"/>
  <c r="BP23" i="43"/>
  <c r="BP27" i="43" s="1"/>
  <c r="BO240" i="43"/>
  <c r="BP220" i="43"/>
  <c r="BP60" i="43"/>
  <c r="BP63" i="43" s="1"/>
  <c r="BP14" i="43"/>
  <c r="BP18" i="43" s="1"/>
  <c r="BQ238" i="43"/>
  <c r="BP117" i="43"/>
  <c r="BO24" i="43"/>
  <c r="BO432" i="43"/>
  <c r="BO190" i="43"/>
  <c r="BO320" i="43"/>
  <c r="BO311" i="43"/>
  <c r="BO293" i="43"/>
  <c r="BP443" i="43"/>
  <c r="BQ106" i="43"/>
  <c r="BP68" i="43"/>
  <c r="BP70" i="43" s="1"/>
  <c r="BP56" i="43"/>
  <c r="BP401" i="43"/>
  <c r="BP407" i="43" s="1"/>
  <c r="BP371" i="43"/>
  <c r="BP374" i="43" s="1"/>
  <c r="BQ117" i="43"/>
  <c r="BP71" i="43"/>
  <c r="BP263" i="43"/>
  <c r="BP266" i="43" s="1"/>
  <c r="BP181" i="43"/>
  <c r="BQ333" i="43"/>
  <c r="BQ336" i="43" s="1"/>
  <c r="BP325" i="43"/>
  <c r="BP328" i="43" s="1"/>
  <c r="BQ140" i="43"/>
  <c r="BP47" i="43"/>
  <c r="BP49" i="43" s="1"/>
  <c r="BQ56" i="43"/>
  <c r="BQ59" i="43" s="1"/>
  <c r="BQ91" i="43"/>
  <c r="BQ163" i="43"/>
  <c r="BQ168" i="43" s="1"/>
  <c r="BQ83" i="43"/>
  <c r="BQ86" i="43" s="1"/>
  <c r="BP40" i="43"/>
  <c r="BP42" i="43" s="1"/>
  <c r="BP133" i="43"/>
  <c r="BO193" i="43"/>
  <c r="BO430" i="43"/>
  <c r="BO348" i="43"/>
  <c r="BO204" i="43"/>
  <c r="BO135" i="43"/>
  <c r="BO359" i="43"/>
  <c r="BO170" i="43"/>
  <c r="BO100" i="43"/>
  <c r="BP450" i="43"/>
  <c r="BQ337" i="43"/>
  <c r="BQ345" i="43" s="1"/>
  <c r="BQ323" i="43"/>
  <c r="BQ324" i="43" s="1"/>
  <c r="BQ299" i="43"/>
  <c r="BQ305" i="43" s="1"/>
  <c r="BX257" i="43"/>
  <c r="BX258" i="43" s="1"/>
  <c r="BQ226" i="43"/>
  <c r="BQ40" i="43"/>
  <c r="BQ42" i="43" s="1"/>
  <c r="BQ352" i="43"/>
  <c r="BQ358" i="43" s="1"/>
  <c r="BQ313" i="43"/>
  <c r="BQ316" i="43" s="1"/>
  <c r="BP289" i="43"/>
  <c r="BQ175" i="43"/>
  <c r="BQ180" i="43" s="1"/>
  <c r="BQ146" i="43"/>
  <c r="BQ151" i="43" s="1"/>
  <c r="BP375" i="43"/>
  <c r="BP376" i="43" s="1"/>
  <c r="BP352" i="43"/>
  <c r="BP358" i="43" s="1"/>
  <c r="BP214" i="43"/>
  <c r="BP87" i="43"/>
  <c r="BP90" i="43" s="1"/>
  <c r="BP36" i="43"/>
  <c r="BP39" i="43" s="1"/>
  <c r="BQ250" i="43"/>
  <c r="BQ256" i="43" s="1"/>
  <c r="BQ23" i="43"/>
  <c r="BQ27" i="43" s="1"/>
  <c r="BP146" i="43"/>
  <c r="BP114" i="43"/>
  <c r="BP116" i="43" s="1"/>
  <c r="BQ346" i="43"/>
  <c r="BQ351" i="43" s="1"/>
  <c r="BP140" i="43"/>
  <c r="BP145" i="43" s="1"/>
  <c r="BQ32" i="43"/>
  <c r="BQ35" i="43" s="1"/>
  <c r="BQ375" i="43"/>
  <c r="BQ376" i="43" s="1"/>
  <c r="BO287" i="43"/>
  <c r="BO302" i="43"/>
  <c r="BO186" i="43"/>
  <c r="BO69" i="43"/>
  <c r="BO58" i="43"/>
  <c r="BO177" i="43"/>
  <c r="BO73" i="43"/>
  <c r="BQ460" i="43"/>
  <c r="BQ463" i="43" s="1"/>
  <c r="BQ457" i="43"/>
  <c r="BQ459" i="43" s="1"/>
  <c r="BP429" i="43"/>
  <c r="BP435" i="43" s="1"/>
  <c r="BQ371" i="43"/>
  <c r="BQ317" i="43"/>
  <c r="BQ322" i="43" s="1"/>
  <c r="BO199" i="43"/>
  <c r="BP106" i="43"/>
  <c r="BP109" i="43" s="1"/>
  <c r="BQ60" i="43"/>
  <c r="BQ63" i="43" s="1"/>
  <c r="BQ273" i="43"/>
  <c r="BQ276" i="43" s="1"/>
  <c r="BQ259" i="43"/>
  <c r="BQ262" i="43" s="1"/>
  <c r="BP64" i="43"/>
  <c r="BQ377" i="43"/>
  <c r="BQ383" i="43" s="1"/>
  <c r="BP158" i="43"/>
  <c r="BP162" i="43" s="1"/>
  <c r="BP80" i="43"/>
  <c r="BP82" i="43" s="1"/>
  <c r="BQ47" i="43"/>
  <c r="BQ49" i="43" s="1"/>
  <c r="BP28" i="43"/>
  <c r="BP415" i="43"/>
  <c r="BP421" i="43" s="1"/>
  <c r="BP377" i="43"/>
  <c r="BP383" i="43" s="1"/>
  <c r="BP364" i="43"/>
  <c r="BP370" i="43" s="1"/>
  <c r="BP277" i="43"/>
  <c r="BP188" i="43"/>
  <c r="BQ169" i="43"/>
  <c r="BQ181" i="43"/>
  <c r="BQ187" i="43" s="1"/>
  <c r="BQ158" i="43"/>
  <c r="BQ162" i="43" s="1"/>
  <c r="BQ28" i="43"/>
  <c r="BQ394" i="43"/>
  <c r="BQ195" i="43"/>
  <c r="BQ200" i="43" s="1"/>
  <c r="BQ80" i="43"/>
  <c r="BQ82" i="43" s="1"/>
  <c r="BP257" i="43"/>
  <c r="BP258" i="43" s="1"/>
  <c r="BO172" i="43"/>
  <c r="BQ17" i="43"/>
  <c r="Q464" i="43"/>
  <c r="J13" i="47" s="1"/>
  <c r="I12" i="43"/>
  <c r="I13" i="43" s="1"/>
  <c r="J465" i="43"/>
  <c r="J466" i="43"/>
  <c r="Q477" i="43"/>
  <c r="J36" i="47" s="1"/>
  <c r="P477" i="43"/>
  <c r="I36" i="47" s="1"/>
  <c r="P464" i="43"/>
  <c r="I13" i="47" s="1"/>
  <c r="J464" i="43"/>
  <c r="C13" i="47" s="1"/>
  <c r="S464" i="43"/>
  <c r="L13" i="47" s="1"/>
  <c r="BY142" i="44"/>
  <c r="I12" i="44"/>
  <c r="I13" i="44" s="1"/>
  <c r="Q139" i="44"/>
  <c r="Q132" i="44" s="1"/>
  <c r="P139" i="44"/>
  <c r="P132" i="44" s="1"/>
  <c r="S129" i="44"/>
  <c r="L14" i="47" s="1"/>
  <c r="AH135" i="44"/>
  <c r="BK467" i="43"/>
  <c r="AY466" i="43"/>
  <c r="X23" i="47"/>
  <c r="BK466" i="43"/>
  <c r="S467" i="43"/>
  <c r="BL466" i="43"/>
  <c r="BZ474" i="43"/>
  <c r="BS33" i="47" s="1"/>
  <c r="BT474" i="43"/>
  <c r="AY465" i="43"/>
  <c r="BL467" i="43"/>
  <c r="M467" i="43"/>
  <c r="BY474" i="43"/>
  <c r="BY475" i="43"/>
  <c r="R23" i="47"/>
  <c r="AZ23" i="47"/>
  <c r="BS474" i="43"/>
  <c r="BS471" i="43"/>
  <c r="BS475" i="43"/>
  <c r="AQ470" i="43"/>
  <c r="BT468" i="43"/>
  <c r="BT476" i="43"/>
  <c r="AF469" i="43"/>
  <c r="BY471" i="43"/>
  <c r="BY469" i="43"/>
  <c r="AG474" i="43"/>
  <c r="Z33" i="47" s="1"/>
  <c r="BT471" i="43"/>
  <c r="BM30" i="47" s="1"/>
  <c r="AO477" i="43"/>
  <c r="AH36" i="47" s="1"/>
  <c r="AQ468" i="43"/>
  <c r="BS470" i="43"/>
  <c r="BY470" i="43"/>
  <c r="BR29" i="47" s="1"/>
  <c r="BM469" i="43"/>
  <c r="AG470" i="43"/>
  <c r="AF468" i="43"/>
  <c r="BC23" i="47"/>
  <c r="AY23" i="47"/>
  <c r="BY468" i="43"/>
  <c r="BW476" i="43"/>
  <c r="BT469" i="43"/>
  <c r="BS469" i="43"/>
  <c r="BR475" i="43"/>
  <c r="AQ475" i="43"/>
  <c r="BS468" i="43"/>
  <c r="BT470" i="43"/>
  <c r="BZ477" i="43"/>
  <c r="AW23" i="47"/>
  <c r="BY24" i="47" s="1"/>
  <c r="AQ474" i="43"/>
  <c r="S465" i="43"/>
  <c r="AG471" i="43"/>
  <c r="Z30" i="47" s="1"/>
  <c r="BT475" i="43"/>
  <c r="BW468" i="43"/>
  <c r="BM468" i="43"/>
  <c r="AQ476" i="43"/>
  <c r="AQ471" i="43"/>
  <c r="BX475" i="43"/>
  <c r="BM475" i="43"/>
  <c r="AG468" i="43"/>
  <c r="BB23" i="47"/>
  <c r="T23" i="47"/>
  <c r="J467" i="43"/>
  <c r="BW474" i="43"/>
  <c r="BZ476" i="43"/>
  <c r="BW469" i="43"/>
  <c r="BY476" i="43"/>
  <c r="BM471" i="43"/>
  <c r="AQ469" i="43"/>
  <c r="BS476" i="43"/>
  <c r="BY477" i="43"/>
  <c r="BW470" i="43"/>
  <c r="BP29" i="47" s="1"/>
  <c r="BZ475" i="43"/>
  <c r="W23" i="47"/>
  <c r="AV23" i="47"/>
  <c r="S466" i="43"/>
  <c r="BM470" i="43"/>
  <c r="AG469" i="43"/>
  <c r="AF471" i="43"/>
  <c r="BZ469" i="43"/>
  <c r="AG476" i="43"/>
  <c r="BW471" i="43"/>
  <c r="BP30" i="47" s="1"/>
  <c r="AF476" i="43"/>
  <c r="BM477" i="43"/>
  <c r="BZ471" i="43"/>
  <c r="BS30" i="47" s="1"/>
  <c r="BM476" i="43"/>
  <c r="BZ470" i="43"/>
  <c r="BS29" i="47" s="1"/>
  <c r="BZ468" i="43"/>
  <c r="Q23" i="47"/>
  <c r="BA23" i="47"/>
  <c r="S23" i="47"/>
  <c r="AF470" i="43"/>
  <c r="Y29" i="47" s="1"/>
  <c r="AF475" i="43"/>
  <c r="AF474" i="43"/>
  <c r="Y33" i="47" s="1"/>
  <c r="AF134" i="44"/>
  <c r="AY132" i="44"/>
  <c r="M132" i="44"/>
  <c r="BP135" i="44"/>
  <c r="AE23" i="47"/>
  <c r="M129" i="44"/>
  <c r="F14" i="47" s="1"/>
  <c r="V132" i="44"/>
  <c r="W132" i="44"/>
  <c r="BS142" i="44"/>
  <c r="BS140" i="44"/>
  <c r="J129" i="44"/>
  <c r="C14" i="47" s="1"/>
  <c r="BS134" i="44"/>
  <c r="BS139" i="44"/>
  <c r="BS133" i="44"/>
  <c r="BT133" i="44"/>
  <c r="BY140" i="44"/>
  <c r="AP132" i="44"/>
  <c r="J132" i="44"/>
  <c r="BK132" i="44"/>
  <c r="S132" i="44"/>
  <c r="BL132" i="44"/>
  <c r="AO132" i="44"/>
  <c r="J131" i="44"/>
  <c r="AG23" i="47"/>
  <c r="BX139" i="44"/>
  <c r="AS139" i="44"/>
  <c r="BM142" i="44"/>
  <c r="BM140" i="44"/>
  <c r="BX135" i="44"/>
  <c r="BM135" i="44"/>
  <c r="S130" i="44"/>
  <c r="W130" i="44"/>
  <c r="BR136" i="44"/>
  <c r="AQ136" i="44"/>
  <c r="BS136" i="44"/>
  <c r="BM134" i="44"/>
  <c r="AQ139" i="44"/>
  <c r="AR135" i="44"/>
  <c r="BM141" i="44"/>
  <c r="M131" i="44"/>
  <c r="BL131" i="44"/>
  <c r="BZ141" i="44"/>
  <c r="BZ142" i="44"/>
  <c r="BW134" i="44"/>
  <c r="BT142" i="44"/>
  <c r="BM133" i="44"/>
  <c r="BX136" i="44"/>
  <c r="BM136" i="44"/>
  <c r="AR139" i="44"/>
  <c r="AQ142" i="44"/>
  <c r="K23" i="47"/>
  <c r="AY130" i="44"/>
  <c r="AP23" i="47"/>
  <c r="BY141" i="44"/>
  <c r="BR135" i="44"/>
  <c r="AQ135" i="44"/>
  <c r="AF141" i="44"/>
  <c r="AG133" i="44"/>
  <c r="AG135" i="44"/>
  <c r="BW141" i="44"/>
  <c r="BY136" i="44"/>
  <c r="AQ134" i="44"/>
  <c r="BP139" i="44"/>
  <c r="BS141" i="44"/>
  <c r="AQ133" i="44"/>
  <c r="AS136" i="44"/>
  <c r="BW139" i="44"/>
  <c r="BT135" i="44"/>
  <c r="J130" i="44"/>
  <c r="BY134" i="44"/>
  <c r="BY133" i="44"/>
  <c r="AG141" i="44"/>
  <c r="BT134" i="44"/>
  <c r="AF142" i="44"/>
  <c r="AH139" i="44"/>
  <c r="AQ141" i="44"/>
  <c r="AS142" i="44"/>
  <c r="N23" i="47"/>
  <c r="AF23" i="47"/>
  <c r="BL130" i="44"/>
  <c r="AU23" i="47"/>
  <c r="AG134" i="44"/>
  <c r="BZ133" i="44"/>
  <c r="BZ134" i="44"/>
  <c r="BW133" i="44"/>
  <c r="BS135" i="44"/>
  <c r="BM13" i="44"/>
  <c r="BM139" i="44"/>
  <c r="AQ140" i="44"/>
  <c r="BY139" i="44"/>
  <c r="M130" i="44"/>
  <c r="G23" i="47"/>
  <c r="BK130" i="44"/>
  <c r="V130" i="44"/>
  <c r="AF133" i="44"/>
  <c r="BW142" i="44"/>
  <c r="BT140" i="44"/>
  <c r="BT141" i="44"/>
  <c r="BK465" i="43"/>
  <c r="BL465" i="43"/>
  <c r="AX23" i="47"/>
  <c r="W465" i="43"/>
  <c r="V465" i="43"/>
  <c r="M466" i="43"/>
  <c r="M465" i="43"/>
  <c r="P474" i="43"/>
  <c r="AW26" i="47"/>
  <c r="X26" i="47"/>
  <c r="AU26" i="47"/>
  <c r="AY131" i="44"/>
  <c r="BA26" i="47"/>
  <c r="BK131" i="44"/>
  <c r="R26" i="47"/>
  <c r="S131" i="44"/>
  <c r="AP26" i="47"/>
  <c r="N26" i="47"/>
  <c r="AB26" i="47"/>
  <c r="O25" i="47" s="1"/>
  <c r="AY26" i="47"/>
  <c r="H26" i="47"/>
  <c r="BC26" i="47"/>
  <c r="AV26" i="47"/>
  <c r="AE26" i="47"/>
  <c r="AX26" i="47"/>
  <c r="T26" i="47"/>
  <c r="AG26" i="47"/>
  <c r="D26" i="47"/>
  <c r="E26" i="47"/>
  <c r="AQ26" i="47"/>
  <c r="AT26" i="47"/>
  <c r="AZ26" i="47"/>
  <c r="M26" i="47"/>
  <c r="W26" i="47"/>
  <c r="S26" i="47"/>
  <c r="AC26" i="47"/>
  <c r="P25" i="47" s="1"/>
  <c r="V26" i="47"/>
  <c r="BB26" i="47"/>
  <c r="G26" i="47"/>
  <c r="Q26" i="47"/>
  <c r="AF26" i="47"/>
  <c r="K26" i="47"/>
  <c r="Q474" i="43"/>
  <c r="AQ23" i="47"/>
  <c r="BM474" i="43"/>
  <c r="BL129" i="44"/>
  <c r="BE14" i="47" s="1"/>
  <c r="W129" i="44"/>
  <c r="P14" i="47" s="1"/>
  <c r="BK129" i="44"/>
  <c r="AO129" i="44"/>
  <c r="AH14" i="47" s="1"/>
  <c r="V129" i="44"/>
  <c r="O14" i="47" s="1"/>
  <c r="BL464" i="43"/>
  <c r="BE13" i="47" s="1"/>
  <c r="BK464" i="43"/>
  <c r="BD13" i="47" s="1"/>
  <c r="AP129" i="44"/>
  <c r="AI14" i="47" s="1"/>
  <c r="AY129" i="44"/>
  <c r="AR14" i="47" s="1"/>
  <c r="BM56" i="44"/>
  <c r="BM42" i="44"/>
  <c r="BM128" i="44"/>
  <c r="BM104" i="44"/>
  <c r="BM49" i="44"/>
  <c r="BR12" i="44"/>
  <c r="BR13" i="44" s="1"/>
  <c r="BM77" i="44"/>
  <c r="BM98" i="44"/>
  <c r="BM70" i="44"/>
  <c r="BM28" i="44"/>
  <c r="BM102" i="44"/>
  <c r="BM88" i="44"/>
  <c r="BM63" i="44"/>
  <c r="BM35" i="44"/>
  <c r="BM19" i="44"/>
  <c r="BM121" i="44"/>
  <c r="BM110" i="44"/>
  <c r="BM92" i="44"/>
  <c r="BM84" i="44"/>
  <c r="BT12" i="43"/>
  <c r="BT13" i="43" s="1"/>
  <c r="BW12" i="43"/>
  <c r="BW13" i="43" s="1"/>
  <c r="AV12" i="44"/>
  <c r="AV13" i="44" s="1"/>
  <c r="BO12" i="44"/>
  <c r="BO13" i="44" s="1"/>
  <c r="AT12" i="44"/>
  <c r="AT13" i="44" s="1"/>
  <c r="AQ12" i="43"/>
  <c r="BS12" i="43"/>
  <c r="BS13" i="43" s="1"/>
  <c r="V12" i="43"/>
  <c r="W12" i="43"/>
  <c r="AG12" i="43" s="1"/>
  <c r="AG13" i="43" s="1"/>
  <c r="AH56" i="44" l="1"/>
  <c r="AU50" i="44"/>
  <c r="BO80" i="44"/>
  <c r="AU80" i="44"/>
  <c r="AH104" i="44"/>
  <c r="AU103" i="44"/>
  <c r="AV120" i="44"/>
  <c r="AU120" i="44"/>
  <c r="BU120" i="44" s="1"/>
  <c r="AH42" i="44"/>
  <c r="AU38" i="44"/>
  <c r="AH49" i="44"/>
  <c r="AU45" i="44"/>
  <c r="AH88" i="44"/>
  <c r="AU85" i="44"/>
  <c r="AH35" i="44"/>
  <c r="AU31" i="44"/>
  <c r="BU31" i="44" s="1"/>
  <c r="AH112" i="44"/>
  <c r="AU111" i="44"/>
  <c r="BO90" i="44"/>
  <c r="AU90" i="44"/>
  <c r="AH77" i="44"/>
  <c r="AU71" i="44"/>
  <c r="AH28" i="44"/>
  <c r="AU22" i="44"/>
  <c r="BU22" i="44" s="1"/>
  <c r="BU28" i="44" s="1"/>
  <c r="AH13" i="44"/>
  <c r="AU12" i="44"/>
  <c r="AU13" i="44" s="1"/>
  <c r="BO127" i="43"/>
  <c r="AU127" i="43"/>
  <c r="AH351" i="43"/>
  <c r="AU346" i="43"/>
  <c r="AH31" i="43"/>
  <c r="AU28" i="43"/>
  <c r="AH219" i="43"/>
  <c r="AU214" i="43"/>
  <c r="AH266" i="43"/>
  <c r="AU263" i="43"/>
  <c r="AH70" i="43"/>
  <c r="AU68" i="43"/>
  <c r="BO138" i="43"/>
  <c r="AU138" i="43"/>
  <c r="AH324" i="43"/>
  <c r="AU323" i="43"/>
  <c r="AH102" i="43"/>
  <c r="AU99" i="43"/>
  <c r="AH105" i="43"/>
  <c r="AU103" i="43"/>
  <c r="AH316" i="43"/>
  <c r="AU313" i="43"/>
  <c r="AH262" i="43"/>
  <c r="AU259" i="43"/>
  <c r="AH258" i="43"/>
  <c r="AU257" i="43"/>
  <c r="AH63" i="43"/>
  <c r="AU60" i="43"/>
  <c r="AH94" i="43"/>
  <c r="AU91" i="43"/>
  <c r="AH113" i="43"/>
  <c r="AU110" i="43"/>
  <c r="AH187" i="43"/>
  <c r="AU181" i="43"/>
  <c r="AH213" i="43"/>
  <c r="AU207" i="43"/>
  <c r="AH116" i="43"/>
  <c r="AU114" i="43"/>
  <c r="AH363" i="43"/>
  <c r="AU360" i="43"/>
  <c r="BU360" i="43" s="1"/>
  <c r="BP449" i="43"/>
  <c r="AH42" i="43"/>
  <c r="AU40" i="43"/>
  <c r="AH79" i="43"/>
  <c r="AU76" i="43"/>
  <c r="AH358" i="43"/>
  <c r="AU352" i="43"/>
  <c r="AH400" i="43"/>
  <c r="AU394" i="43"/>
  <c r="AH52" i="43"/>
  <c r="AU50" i="43"/>
  <c r="AH393" i="43"/>
  <c r="AU390" i="43"/>
  <c r="AH225" i="43"/>
  <c r="AU220" i="43"/>
  <c r="AH49" i="43"/>
  <c r="AU47" i="43"/>
  <c r="AH237" i="43"/>
  <c r="AU232" i="43"/>
  <c r="AH345" i="43"/>
  <c r="AU337" i="43"/>
  <c r="BQ94" i="43"/>
  <c r="AH75" i="43"/>
  <c r="AU71" i="43"/>
  <c r="BU71" i="43" s="1"/>
  <c r="BU75" i="43" s="1"/>
  <c r="AH463" i="43"/>
  <c r="AU460" i="43"/>
  <c r="AH296" i="43"/>
  <c r="AU289" i="43"/>
  <c r="AH459" i="43"/>
  <c r="AU457" i="43"/>
  <c r="AH55" i="43"/>
  <c r="AU53" i="43"/>
  <c r="AU55" i="43" s="1"/>
  <c r="AH67" i="43"/>
  <c r="AU64" i="43"/>
  <c r="AH449" i="43"/>
  <c r="AU443" i="43"/>
  <c r="BO159" i="43"/>
  <c r="AU159" i="43"/>
  <c r="BU159" i="43" s="1"/>
  <c r="BO202" i="43"/>
  <c r="AU202" i="43"/>
  <c r="AH272" i="43"/>
  <c r="AU267" i="43"/>
  <c r="AH376" i="43"/>
  <c r="AU375" i="43"/>
  <c r="AH276" i="43"/>
  <c r="AU273" i="43"/>
  <c r="AH336" i="43"/>
  <c r="AU333" i="43"/>
  <c r="AH305" i="43"/>
  <c r="AU299" i="43"/>
  <c r="AH82" i="43"/>
  <c r="AU80" i="43"/>
  <c r="AH332" i="43"/>
  <c r="AU329" i="43"/>
  <c r="AH370" i="43"/>
  <c r="AU364" i="43"/>
  <c r="AH46" i="43"/>
  <c r="AU44" i="43"/>
  <c r="AH22" i="43"/>
  <c r="AU20" i="43"/>
  <c r="BU20" i="43" s="1"/>
  <c r="BO107" i="43"/>
  <c r="BP102" i="43"/>
  <c r="AH256" i="43"/>
  <c r="AU250" i="43"/>
  <c r="AH312" i="43"/>
  <c r="AU306" i="43"/>
  <c r="AH298" i="43"/>
  <c r="AU297" i="43"/>
  <c r="AH109" i="43"/>
  <c r="AU106" i="43"/>
  <c r="AH421" i="43"/>
  <c r="AU415" i="43"/>
  <c r="AH428" i="43"/>
  <c r="AU422" i="43"/>
  <c r="AH35" i="43"/>
  <c r="AU32" i="43"/>
  <c r="AH414" i="43"/>
  <c r="AU408" i="43"/>
  <c r="BQ145" i="43"/>
  <c r="AH249" i="43"/>
  <c r="AU244" i="43"/>
  <c r="AH322" i="43"/>
  <c r="AU317" i="43"/>
  <c r="AH328" i="43"/>
  <c r="AU325" i="43"/>
  <c r="AH288" i="43"/>
  <c r="AU284" i="43"/>
  <c r="AH86" i="43"/>
  <c r="AU83" i="43"/>
  <c r="AH90" i="43"/>
  <c r="AU87" i="43"/>
  <c r="AH407" i="43"/>
  <c r="AU401" i="43"/>
  <c r="AH145" i="43"/>
  <c r="AU140" i="43"/>
  <c r="AH39" i="43"/>
  <c r="AU36" i="43"/>
  <c r="AH174" i="43"/>
  <c r="AU169" i="43"/>
  <c r="AR336" i="43"/>
  <c r="AH27" i="43"/>
  <c r="AH59" i="43"/>
  <c r="BQ31" i="43"/>
  <c r="BP219" i="43"/>
  <c r="AH435" i="43"/>
  <c r="AH157" i="43"/>
  <c r="AH162" i="43"/>
  <c r="U23" i="47"/>
  <c r="BU24" i="47" s="1"/>
  <c r="BP75" i="43"/>
  <c r="BQ243" i="43"/>
  <c r="AH120" i="43"/>
  <c r="AH151" i="43"/>
  <c r="BQ120" i="43"/>
  <c r="AH125" i="43"/>
  <c r="AH206" i="43"/>
  <c r="AH194" i="43"/>
  <c r="AH102" i="44"/>
  <c r="AR35" i="44"/>
  <c r="F25" i="47"/>
  <c r="AR63" i="44"/>
  <c r="BQ98" i="44"/>
  <c r="BQ102" i="44"/>
  <c r="BQ77" i="44"/>
  <c r="AR42" i="44"/>
  <c r="Y30" i="47"/>
  <c r="BP121" i="44"/>
  <c r="AR46" i="43"/>
  <c r="BE24" i="47"/>
  <c r="AR25" i="47"/>
  <c r="L25" i="47"/>
  <c r="BD25" i="47"/>
  <c r="C25" i="47"/>
  <c r="AR24" i="47"/>
  <c r="BE25" i="47"/>
  <c r="AH442" i="43"/>
  <c r="AH243" i="43"/>
  <c r="AH200" i="43"/>
  <c r="AH231" i="43"/>
  <c r="AH168" i="43"/>
  <c r="AH98" i="43"/>
  <c r="AH180" i="43"/>
  <c r="AH389" i="43"/>
  <c r="AH456" i="43"/>
  <c r="AH383" i="43"/>
  <c r="AH283" i="43"/>
  <c r="BQ140" i="44"/>
  <c r="BJ34" i="47" s="1"/>
  <c r="BQ121" i="44"/>
  <c r="BP136" i="44"/>
  <c r="AH110" i="44"/>
  <c r="AH92" i="44"/>
  <c r="AH128" i="44"/>
  <c r="BQ128" i="44"/>
  <c r="BQ139" i="44"/>
  <c r="BP92" i="44"/>
  <c r="AH70" i="44"/>
  <c r="AH18" i="43"/>
  <c r="AH374" i="43"/>
  <c r="AH132" i="43"/>
  <c r="BO133" i="43"/>
  <c r="AH139" i="43"/>
  <c r="BP67" i="43"/>
  <c r="BP456" i="43"/>
  <c r="BQ414" i="43"/>
  <c r="BP187" i="43"/>
  <c r="BP200" i="43"/>
  <c r="BP351" i="43"/>
  <c r="BQ428" i="43"/>
  <c r="BQ206" i="43"/>
  <c r="BP194" i="43"/>
  <c r="AR363" i="43"/>
  <c r="V477" i="43"/>
  <c r="O36" i="47" s="1"/>
  <c r="O26" i="47" s="1"/>
  <c r="AF12" i="43"/>
  <c r="AF13" i="43" s="1"/>
  <c r="AR243" i="43"/>
  <c r="BQ174" i="43"/>
  <c r="BP31" i="43"/>
  <c r="BQ374" i="43"/>
  <c r="BP316" i="43"/>
  <c r="BP332" i="43"/>
  <c r="AR322" i="43"/>
  <c r="BP59" i="43"/>
  <c r="BP231" i="43"/>
  <c r="BQ400" i="43"/>
  <c r="BP296" i="43"/>
  <c r="BP139" i="43"/>
  <c r="BQ157" i="43"/>
  <c r="AR206" i="43"/>
  <c r="BQ109" i="43"/>
  <c r="BP225" i="43"/>
  <c r="BP442" i="43"/>
  <c r="BP151" i="43"/>
  <c r="BP168" i="43"/>
  <c r="AR102" i="43"/>
  <c r="AR272" i="43"/>
  <c r="BP180" i="43"/>
  <c r="AV314" i="43"/>
  <c r="BV314" i="43" s="1"/>
  <c r="BU314" i="43"/>
  <c r="BU274" i="43"/>
  <c r="AV274" i="43"/>
  <c r="BV274" i="43" s="1"/>
  <c r="BO274" i="43"/>
  <c r="BU118" i="43"/>
  <c r="AV118" i="43"/>
  <c r="BV118" i="43" s="1"/>
  <c r="BO118" i="43"/>
  <c r="AV347" i="43"/>
  <c r="BV347" i="43" s="1"/>
  <c r="BU347" i="43"/>
  <c r="BO347" i="43"/>
  <c r="AV57" i="43"/>
  <c r="BV57" i="43" s="1"/>
  <c r="BU57" i="43"/>
  <c r="AV395" i="43"/>
  <c r="BV395" i="43" s="1"/>
  <c r="BU395" i="43"/>
  <c r="BO395" i="43"/>
  <c r="BU153" i="43"/>
  <c r="AV153" i="43"/>
  <c r="BV153" i="43" s="1"/>
  <c r="BO153" i="43"/>
  <c r="AV431" i="43"/>
  <c r="BV431" i="43" s="1"/>
  <c r="BU431" i="43"/>
  <c r="BO431" i="43"/>
  <c r="BU92" i="43"/>
  <c r="AV92" i="43"/>
  <c r="BV92" i="43" s="1"/>
  <c r="BO92" i="43"/>
  <c r="BU461" i="43"/>
  <c r="AV461" i="43"/>
  <c r="BV461" i="43" s="1"/>
  <c r="BO461" i="43"/>
  <c r="BU37" i="43"/>
  <c r="AV37" i="43"/>
  <c r="BV37" i="43" s="1"/>
  <c r="BO37" i="43"/>
  <c r="BU341" i="43"/>
  <c r="AV341" i="43"/>
  <c r="BV341" i="43" s="1"/>
  <c r="BO341" i="43"/>
  <c r="BP120" i="43"/>
  <c r="BQ219" i="43"/>
  <c r="BU33" i="43"/>
  <c r="AV33" i="43"/>
  <c r="BV33" i="43" s="1"/>
  <c r="BU417" i="43"/>
  <c r="AV417" i="43"/>
  <c r="BV417" i="43" s="1"/>
  <c r="BO417" i="43"/>
  <c r="BU372" i="43"/>
  <c r="AV372" i="43"/>
  <c r="BV372" i="43" s="1"/>
  <c r="BU44" i="43"/>
  <c r="AV44" i="43"/>
  <c r="BV44" i="43" s="1"/>
  <c r="BO44" i="43"/>
  <c r="BO46" i="43" s="1"/>
  <c r="BU410" i="43"/>
  <c r="AV410" i="43"/>
  <c r="BV410" i="43" s="1"/>
  <c r="BO410" i="43"/>
  <c r="BU128" i="43"/>
  <c r="AV128" i="43"/>
  <c r="BV128" i="43" s="1"/>
  <c r="BO128" i="43"/>
  <c r="AV334" i="43"/>
  <c r="BV334" i="43" s="1"/>
  <c r="BU334" i="43"/>
  <c r="BO334" i="43"/>
  <c r="AV73" i="43"/>
  <c r="BV73" i="43" s="1"/>
  <c r="BU73" i="43"/>
  <c r="AV20" i="43"/>
  <c r="BV20" i="43" s="1"/>
  <c r="BV22" i="43" s="1"/>
  <c r="BO20" i="43"/>
  <c r="BO22" i="43" s="1"/>
  <c r="BO314" i="43"/>
  <c r="AV189" i="43"/>
  <c r="BV189" i="43" s="1"/>
  <c r="BU189" i="43"/>
  <c r="BO189" i="43"/>
  <c r="AV29" i="43"/>
  <c r="BV29" i="43" s="1"/>
  <c r="BU29" i="43"/>
  <c r="BO29" i="43"/>
  <c r="AV326" i="43"/>
  <c r="BV326" i="43" s="1"/>
  <c r="BU326" i="43"/>
  <c r="BO326" i="43"/>
  <c r="BU391" i="43"/>
  <c r="AV391" i="43"/>
  <c r="BV391" i="43" s="1"/>
  <c r="BO391" i="43"/>
  <c r="BU147" i="43"/>
  <c r="AV147" i="43"/>
  <c r="BV147" i="43" s="1"/>
  <c r="BO147" i="43"/>
  <c r="BU183" i="43"/>
  <c r="AV183" i="43"/>
  <c r="BV183" i="43" s="1"/>
  <c r="BO183" i="43"/>
  <c r="AV25" i="43"/>
  <c r="BV25" i="43" s="1"/>
  <c r="BU25" i="43"/>
  <c r="BO25" i="43"/>
  <c r="AV141" i="43"/>
  <c r="BV141" i="43" s="1"/>
  <c r="BU141" i="43"/>
  <c r="BO141" i="43"/>
  <c r="BU202" i="43"/>
  <c r="AV202" i="43"/>
  <c r="BV202" i="43" s="1"/>
  <c r="AV170" i="43"/>
  <c r="BV170" i="43" s="1"/>
  <c r="BU170" i="43"/>
  <c r="AV100" i="43"/>
  <c r="BV100" i="43" s="1"/>
  <c r="BU100" i="43"/>
  <c r="BQ231" i="43"/>
  <c r="BP345" i="43"/>
  <c r="AR305" i="43"/>
  <c r="BU452" i="43"/>
  <c r="AV452" i="43"/>
  <c r="BV452" i="43" s="1"/>
  <c r="BO452" i="43"/>
  <c r="AV164" i="43"/>
  <c r="BV164" i="43" s="1"/>
  <c r="BU164" i="43"/>
  <c r="BO164" i="43"/>
  <c r="BU134" i="43"/>
  <c r="AV134" i="43"/>
  <c r="BV134" i="43" s="1"/>
  <c r="BO134" i="43"/>
  <c r="BO139" i="43" s="1"/>
  <c r="AV176" i="43"/>
  <c r="BV176" i="43" s="1"/>
  <c r="BU176" i="43"/>
  <c r="BO176" i="43"/>
  <c r="AV239" i="43"/>
  <c r="BV239" i="43" s="1"/>
  <c r="BU239" i="43"/>
  <c r="BO239" i="43"/>
  <c r="BU96" i="43"/>
  <c r="AV96" i="43"/>
  <c r="BV96" i="43" s="1"/>
  <c r="BO96" i="43"/>
  <c r="AV379" i="43"/>
  <c r="BV379" i="43" s="1"/>
  <c r="BU379" i="43"/>
  <c r="BO379" i="43"/>
  <c r="BU227" i="43"/>
  <c r="AV227" i="43"/>
  <c r="BV227" i="43" s="1"/>
  <c r="BO227" i="43"/>
  <c r="AV196" i="43"/>
  <c r="BV196" i="43" s="1"/>
  <c r="BU196" i="43"/>
  <c r="BO196" i="43"/>
  <c r="BU438" i="43"/>
  <c r="AV438" i="43"/>
  <c r="BV438" i="43" s="1"/>
  <c r="BO438" i="43"/>
  <c r="BU386" i="43"/>
  <c r="AV386" i="43"/>
  <c r="BV386" i="43" s="1"/>
  <c r="BO386" i="43"/>
  <c r="BQ332" i="43"/>
  <c r="BQ442" i="43"/>
  <c r="AR22" i="43"/>
  <c r="AV318" i="43"/>
  <c r="BV318" i="43" s="1"/>
  <c r="BU318" i="43"/>
  <c r="BO318" i="43"/>
  <c r="AV159" i="43"/>
  <c r="BV159" i="43" s="1"/>
  <c r="BU221" i="43"/>
  <c r="AV221" i="43"/>
  <c r="BV221" i="43" s="1"/>
  <c r="BO221" i="43"/>
  <c r="AV424" i="43"/>
  <c r="BV424" i="43" s="1"/>
  <c r="BU424" i="43"/>
  <c r="BO424" i="43"/>
  <c r="BU268" i="43"/>
  <c r="AV268" i="43"/>
  <c r="BV268" i="43" s="1"/>
  <c r="BO268" i="43"/>
  <c r="AV123" i="43"/>
  <c r="BV123" i="43" s="1"/>
  <c r="BU123" i="43"/>
  <c r="BO123" i="43"/>
  <c r="AV107" i="43"/>
  <c r="BV107" i="43" s="1"/>
  <c r="BU107" i="43"/>
  <c r="AV260" i="43"/>
  <c r="BV260" i="43" s="1"/>
  <c r="BU260" i="43"/>
  <c r="BO260" i="43"/>
  <c r="BU330" i="43"/>
  <c r="AV330" i="43"/>
  <c r="BV330" i="43" s="1"/>
  <c r="BO330" i="43"/>
  <c r="BU291" i="43"/>
  <c r="AV291" i="43"/>
  <c r="BV291" i="43" s="1"/>
  <c r="BO291" i="43"/>
  <c r="BO57" i="43"/>
  <c r="AR249" i="43"/>
  <c r="BU445" i="43"/>
  <c r="AV445" i="43"/>
  <c r="BV445" i="43" s="1"/>
  <c r="BO445" i="43"/>
  <c r="BU279" i="43"/>
  <c r="AV279" i="43"/>
  <c r="BV279" i="43" s="1"/>
  <c r="BO279" i="43"/>
  <c r="BU245" i="43"/>
  <c r="AV245" i="43"/>
  <c r="BV245" i="43" s="1"/>
  <c r="BO245" i="43"/>
  <c r="BU301" i="43"/>
  <c r="AV301" i="43"/>
  <c r="BV301" i="43" s="1"/>
  <c r="BO301" i="43"/>
  <c r="BU233" i="43"/>
  <c r="AV233" i="43"/>
  <c r="BV233" i="43" s="1"/>
  <c r="BO233" i="43"/>
  <c r="BU366" i="43"/>
  <c r="AV366" i="43"/>
  <c r="BV366" i="43" s="1"/>
  <c r="BO366" i="43"/>
  <c r="BU208" i="43"/>
  <c r="AV208" i="43"/>
  <c r="BV208" i="43" s="1"/>
  <c r="BO208" i="43"/>
  <c r="BU16" i="43"/>
  <c r="AV16" i="43"/>
  <c r="BV16" i="43" s="1"/>
  <c r="BO16" i="43"/>
  <c r="AV353" i="43"/>
  <c r="BV353" i="43" s="1"/>
  <c r="BU353" i="43"/>
  <c r="BO353" i="43"/>
  <c r="AV360" i="43"/>
  <c r="BV360" i="43" s="1"/>
  <c r="BO360" i="43"/>
  <c r="BO363" i="43" s="1"/>
  <c r="BU65" i="43"/>
  <c r="AV65" i="43"/>
  <c r="BV65" i="43" s="1"/>
  <c r="BO65" i="43"/>
  <c r="AV215" i="43"/>
  <c r="BV215" i="43" s="1"/>
  <c r="BU215" i="43"/>
  <c r="BO215" i="43"/>
  <c r="BU264" i="43"/>
  <c r="AV264" i="43"/>
  <c r="BV264" i="43" s="1"/>
  <c r="BO264" i="43"/>
  <c r="AH136" i="44"/>
  <c r="AH84" i="44"/>
  <c r="BQ136" i="44"/>
  <c r="BP70" i="44"/>
  <c r="BT509" i="44"/>
  <c r="AH98" i="44"/>
  <c r="AR136" i="44"/>
  <c r="AR28" i="44"/>
  <c r="AV22" i="44"/>
  <c r="BV22" i="44" s="1"/>
  <c r="BO22" i="44"/>
  <c r="BO28" i="44" s="1"/>
  <c r="AV31" i="44"/>
  <c r="BV31" i="44" s="1"/>
  <c r="BV35" i="44" s="1"/>
  <c r="BO31" i="44"/>
  <c r="BO35" i="44" s="1"/>
  <c r="BU100" i="44"/>
  <c r="AV100" i="44"/>
  <c r="BV100" i="44" s="1"/>
  <c r="BO100" i="44"/>
  <c r="AV59" i="44"/>
  <c r="BV59" i="44" s="1"/>
  <c r="BV63" i="44" s="1"/>
  <c r="BU59" i="44"/>
  <c r="BO59" i="44"/>
  <c r="BO63" i="44" s="1"/>
  <c r="BQ56" i="44"/>
  <c r="AR49" i="44"/>
  <c r="BU38" i="44"/>
  <c r="AV38" i="44"/>
  <c r="BV38" i="44" s="1"/>
  <c r="BV42" i="44" s="1"/>
  <c r="BO38" i="44"/>
  <c r="BO42" i="44" s="1"/>
  <c r="BU124" i="44"/>
  <c r="AV124" i="44"/>
  <c r="BV124" i="44" s="1"/>
  <c r="BO124" i="44"/>
  <c r="AV107" i="44"/>
  <c r="BV107" i="44" s="1"/>
  <c r="BU107" i="44"/>
  <c r="BO107" i="44"/>
  <c r="BU66" i="44"/>
  <c r="AV66" i="44"/>
  <c r="BV66" i="44" s="1"/>
  <c r="BO66" i="44"/>
  <c r="BU52" i="44"/>
  <c r="AV52" i="44"/>
  <c r="BV52" i="44" s="1"/>
  <c r="BO52" i="44"/>
  <c r="AV90" i="44"/>
  <c r="BV90" i="44" s="1"/>
  <c r="BU90" i="44"/>
  <c r="BQ92" i="44"/>
  <c r="AR77" i="44"/>
  <c r="AV116" i="44"/>
  <c r="BV116" i="44" s="1"/>
  <c r="BU116" i="44"/>
  <c r="BO116" i="44"/>
  <c r="BU95" i="44"/>
  <c r="AV95" i="44"/>
  <c r="BV95" i="44" s="1"/>
  <c r="BO95" i="44"/>
  <c r="AV73" i="44"/>
  <c r="BV73" i="44" s="1"/>
  <c r="BU73" i="44"/>
  <c r="BO73" i="44"/>
  <c r="BU45" i="44"/>
  <c r="BU49" i="44" s="1"/>
  <c r="AV45" i="44"/>
  <c r="BV45" i="44" s="1"/>
  <c r="BO45" i="44"/>
  <c r="BO49" i="44" s="1"/>
  <c r="BU80" i="44"/>
  <c r="AV80" i="44"/>
  <c r="AR140" i="44"/>
  <c r="BM33" i="47"/>
  <c r="BO18" i="44"/>
  <c r="AV18" i="44"/>
  <c r="BV18" i="44" s="1"/>
  <c r="AH19" i="44"/>
  <c r="BP19" i="44"/>
  <c r="J33" i="47"/>
  <c r="J26" i="47" s="1"/>
  <c r="BS34" i="47"/>
  <c r="AT120" i="44"/>
  <c r="AT140" i="44" s="1"/>
  <c r="BR140" i="44"/>
  <c r="BK34" i="47" s="1"/>
  <c r="Y34" i="47"/>
  <c r="BO429" i="43"/>
  <c r="AY467" i="43"/>
  <c r="BO110" i="43"/>
  <c r="BO113" i="43" s="1"/>
  <c r="BX140" i="44"/>
  <c r="BQ34" i="47" s="1"/>
  <c r="BR121" i="44"/>
  <c r="BR509" i="44" s="1"/>
  <c r="BZ129" i="44"/>
  <c r="BS14" i="47" s="1"/>
  <c r="AG509" i="44"/>
  <c r="BF30" i="47"/>
  <c r="AJ35" i="47"/>
  <c r="AJ33" i="47"/>
  <c r="BF28" i="47"/>
  <c r="AJ29" i="47"/>
  <c r="I33" i="47"/>
  <c r="I26" i="47" s="1"/>
  <c r="BY130" i="44"/>
  <c r="BD14" i="47"/>
  <c r="Y35" i="47"/>
  <c r="BF29" i="47"/>
  <c r="BR36" i="47"/>
  <c r="BS35" i="47"/>
  <c r="BF34" i="47"/>
  <c r="BM34" i="47"/>
  <c r="BS36" i="47"/>
  <c r="BM28" i="47"/>
  <c r="AJ27" i="47"/>
  <c r="Y28" i="47"/>
  <c r="BL33" i="47"/>
  <c r="AH121" i="44"/>
  <c r="BF35" i="47"/>
  <c r="BF33" i="47"/>
  <c r="BS27" i="47"/>
  <c r="BL35" i="47"/>
  <c r="BP33" i="47"/>
  <c r="BM29" i="47"/>
  <c r="BP35" i="47"/>
  <c r="Z29" i="47"/>
  <c r="BM35" i="47"/>
  <c r="Z34" i="47"/>
  <c r="AF509" i="44"/>
  <c r="BX509" i="44"/>
  <c r="Z35" i="47"/>
  <c r="AJ28" i="47"/>
  <c r="AJ30" i="47"/>
  <c r="BL27" i="47"/>
  <c r="BR27" i="47"/>
  <c r="BM27" i="47"/>
  <c r="AS509" i="44"/>
  <c r="BR35" i="47"/>
  <c r="BF27" i="47"/>
  <c r="BR28" i="47"/>
  <c r="BL34" i="47"/>
  <c r="BR34" i="47"/>
  <c r="BS509" i="44"/>
  <c r="AQ509" i="44"/>
  <c r="BS28" i="47"/>
  <c r="AJ34" i="47"/>
  <c r="BM509" i="44"/>
  <c r="BF36" i="47"/>
  <c r="Z28" i="47"/>
  <c r="BP28" i="47"/>
  <c r="Z27" i="47"/>
  <c r="BP27" i="47"/>
  <c r="BL28" i="47"/>
  <c r="Y27" i="47"/>
  <c r="BL29" i="47"/>
  <c r="BR30" i="47"/>
  <c r="BL30" i="47"/>
  <c r="BR33" i="47"/>
  <c r="BI34" i="47"/>
  <c r="AP467" i="43"/>
  <c r="AI36" i="47"/>
  <c r="AI26" i="47" s="1"/>
  <c r="BO40" i="43"/>
  <c r="BO42" i="43" s="1"/>
  <c r="BO163" i="43"/>
  <c r="AR475" i="43"/>
  <c r="BU18" i="44"/>
  <c r="BV120" i="44"/>
  <c r="BO120" i="44"/>
  <c r="BO36" i="43"/>
  <c r="BO364" i="43"/>
  <c r="BO436" i="43"/>
  <c r="BO169" i="43"/>
  <c r="BO174" i="43" s="1"/>
  <c r="AZ222" i="43"/>
  <c r="BN222" i="43" s="1"/>
  <c r="AZ327" i="43"/>
  <c r="BN327" i="43" s="1"/>
  <c r="BO99" i="44"/>
  <c r="BO297" i="43"/>
  <c r="BO298" i="43" s="1"/>
  <c r="BO244" i="43"/>
  <c r="AT99" i="43"/>
  <c r="AT102" i="43" s="1"/>
  <c r="BO313" i="43"/>
  <c r="AZ308" i="43"/>
  <c r="BN308" i="43" s="1"/>
  <c r="AZ453" i="43"/>
  <c r="BN453" i="43" s="1"/>
  <c r="BO117" i="43"/>
  <c r="BP471" i="43"/>
  <c r="BO91" i="43"/>
  <c r="AZ122" i="43"/>
  <c r="BN122" i="43" s="1"/>
  <c r="BO284" i="43"/>
  <c r="BO288" i="43" s="1"/>
  <c r="BV327" i="43"/>
  <c r="BO207" i="43"/>
  <c r="AZ66" i="43"/>
  <c r="BN66" i="43" s="1"/>
  <c r="BR471" i="43"/>
  <c r="BK30" i="47" s="1"/>
  <c r="BP283" i="43"/>
  <c r="BQ139" i="43"/>
  <c r="AZ150" i="43"/>
  <c r="BN150" i="43" s="1"/>
  <c r="BO175" i="43"/>
  <c r="BQ18" i="43"/>
  <c r="AS132" i="43"/>
  <c r="AZ271" i="43"/>
  <c r="BN271" i="43" s="1"/>
  <c r="AZ124" i="43"/>
  <c r="BN124" i="43" s="1"/>
  <c r="AZ23" i="44"/>
  <c r="BN23" i="44" s="1"/>
  <c r="BV23" i="44"/>
  <c r="BV28" i="44" s="1"/>
  <c r="BO85" i="44"/>
  <c r="BO88" i="44" s="1"/>
  <c r="BO232" i="43"/>
  <c r="BO237" i="43" s="1"/>
  <c r="BO181" i="43"/>
  <c r="AZ62" i="43"/>
  <c r="BN62" i="43" s="1"/>
  <c r="AZ349" i="43"/>
  <c r="BN349" i="43" s="1"/>
  <c r="AZ419" i="43"/>
  <c r="BN419" i="43" s="1"/>
  <c r="AZ398" i="43"/>
  <c r="BN398" i="43" s="1"/>
  <c r="AZ368" i="43"/>
  <c r="BN368" i="43" s="1"/>
  <c r="AZ382" i="43"/>
  <c r="BN382" i="43" s="1"/>
  <c r="AZ290" i="43"/>
  <c r="BN290" i="43" s="1"/>
  <c r="AZ247" i="43"/>
  <c r="BN247" i="43" s="1"/>
  <c r="AZ149" i="43"/>
  <c r="BN149" i="43" s="1"/>
  <c r="AZ320" i="43"/>
  <c r="BN320" i="43" s="1"/>
  <c r="AZ354" i="43"/>
  <c r="BN354" i="43" s="1"/>
  <c r="AZ119" i="43"/>
  <c r="BN119" i="43" s="1"/>
  <c r="AZ265" i="43"/>
  <c r="BN265" i="43" s="1"/>
  <c r="AZ204" i="43"/>
  <c r="BN204" i="43" s="1"/>
  <c r="AZ294" i="43"/>
  <c r="BN294" i="43" s="1"/>
  <c r="AZ348" i="43"/>
  <c r="BN348" i="43" s="1"/>
  <c r="AZ335" i="43"/>
  <c r="BN335" i="43" s="1"/>
  <c r="AZ423" i="43"/>
  <c r="BN423" i="43" s="1"/>
  <c r="BU348" i="43"/>
  <c r="AZ69" i="43"/>
  <c r="BN69" i="43" s="1"/>
  <c r="AZ285" i="43"/>
  <c r="BN285" i="43" s="1"/>
  <c r="AZ205" i="43"/>
  <c r="BN205" i="43" s="1"/>
  <c r="AT87" i="43"/>
  <c r="AT90" i="43" s="1"/>
  <c r="AZ15" i="43"/>
  <c r="BN15" i="43" s="1"/>
  <c r="AZ172" i="43"/>
  <c r="BN172" i="43" s="1"/>
  <c r="AZ430" i="43"/>
  <c r="BN430" i="43" s="1"/>
  <c r="BU66" i="43"/>
  <c r="BO415" i="43"/>
  <c r="AZ295" i="43"/>
  <c r="BN295" i="43" s="1"/>
  <c r="AZ34" i="43"/>
  <c r="BN34" i="43" s="1"/>
  <c r="AZ21" i="43"/>
  <c r="BN21" i="43" s="1"/>
  <c r="AZ84" i="43"/>
  <c r="BN84" i="43" s="1"/>
  <c r="AZ392" i="43"/>
  <c r="BN392" i="43" s="1"/>
  <c r="AZ240" i="43"/>
  <c r="BN240" i="43" s="1"/>
  <c r="AT375" i="43"/>
  <c r="AT376" i="43" s="1"/>
  <c r="AZ24" i="43"/>
  <c r="BN24" i="43" s="1"/>
  <c r="AZ88" i="43"/>
  <c r="BN88" i="43" s="1"/>
  <c r="AZ54" i="43"/>
  <c r="BN54" i="43" s="1"/>
  <c r="AZ304" i="43"/>
  <c r="BN304" i="43" s="1"/>
  <c r="AZ209" i="43"/>
  <c r="BN209" i="43" s="1"/>
  <c r="AZ388" i="43"/>
  <c r="BN388" i="43" s="1"/>
  <c r="AZ310" i="43"/>
  <c r="BN310" i="43" s="1"/>
  <c r="AT243" i="43"/>
  <c r="AZ280" i="43"/>
  <c r="BN280" i="43" s="1"/>
  <c r="AZ437" i="43"/>
  <c r="BN437" i="43" s="1"/>
  <c r="AZ356" i="43"/>
  <c r="BN356" i="43" s="1"/>
  <c r="AZ441" i="43"/>
  <c r="BN441" i="43" s="1"/>
  <c r="AZ115" i="43"/>
  <c r="BN115" i="43" s="1"/>
  <c r="BU294" i="43"/>
  <c r="BV423" i="43"/>
  <c r="BV308" i="43"/>
  <c r="AZ300" i="43"/>
  <c r="BN300" i="43" s="1"/>
  <c r="AZ362" i="43"/>
  <c r="BN362" i="43" s="1"/>
  <c r="AR474" i="43"/>
  <c r="AK33" i="47" s="1"/>
  <c r="BU150" i="43"/>
  <c r="AZ455" i="43"/>
  <c r="BN455" i="43" s="1"/>
  <c r="AZ241" i="43"/>
  <c r="BN241" i="43" s="1"/>
  <c r="AZ97" i="43"/>
  <c r="BN97" i="43" s="1"/>
  <c r="AZ281" i="43"/>
  <c r="BN281" i="43" s="1"/>
  <c r="AZ378" i="43"/>
  <c r="BN378" i="43" s="1"/>
  <c r="AZ198" i="43"/>
  <c r="BN198" i="43" s="1"/>
  <c r="AZ45" i="43"/>
  <c r="BN45" i="43" s="1"/>
  <c r="AZ191" i="43"/>
  <c r="BN191" i="43" s="1"/>
  <c r="AZ293" i="43"/>
  <c r="BN293" i="43" s="1"/>
  <c r="AZ179" i="43"/>
  <c r="BN179" i="43" s="1"/>
  <c r="AZ369" i="43"/>
  <c r="BN369" i="43" s="1"/>
  <c r="AV363" i="43"/>
  <c r="AZ342" i="43"/>
  <c r="BN342" i="43" s="1"/>
  <c r="AZ93" i="43"/>
  <c r="BN93" i="43" s="1"/>
  <c r="AZ193" i="43"/>
  <c r="BN193" i="43" s="1"/>
  <c r="AZ155" i="43"/>
  <c r="BN155" i="43" s="1"/>
  <c r="BP141" i="44"/>
  <c r="BO78" i="44"/>
  <c r="BO84" i="44" s="1"/>
  <c r="AZ53" i="44"/>
  <c r="BN53" i="44" s="1"/>
  <c r="AZ96" i="44"/>
  <c r="BN96" i="44" s="1"/>
  <c r="AZ46" i="44"/>
  <c r="BN46" i="44" s="1"/>
  <c r="AZ72" i="44"/>
  <c r="BN72" i="44" s="1"/>
  <c r="AZ34" i="44"/>
  <c r="BN34" i="44" s="1"/>
  <c r="BU72" i="44"/>
  <c r="AT16" i="44"/>
  <c r="AZ16" i="44" s="1"/>
  <c r="AZ86" i="44"/>
  <c r="BN86" i="44" s="1"/>
  <c r="AZ33" i="44"/>
  <c r="BN33" i="44" s="1"/>
  <c r="AZ75" i="44"/>
  <c r="BN75" i="44" s="1"/>
  <c r="AS135" i="44"/>
  <c r="AZ69" i="44"/>
  <c r="BN69" i="44" s="1"/>
  <c r="AZ30" i="44"/>
  <c r="BN30" i="44" s="1"/>
  <c r="BU30" i="44"/>
  <c r="AZ83" i="44"/>
  <c r="BN83" i="44" s="1"/>
  <c r="AZ101" i="44"/>
  <c r="BN101" i="44" s="1"/>
  <c r="AZ119" i="44"/>
  <c r="BN119" i="44" s="1"/>
  <c r="AZ20" i="44"/>
  <c r="BN20" i="44" s="1"/>
  <c r="BO93" i="44"/>
  <c r="BU75" i="44"/>
  <c r="AZ58" i="44"/>
  <c r="BN58" i="44" s="1"/>
  <c r="AZ26" i="44"/>
  <c r="BN26" i="44" s="1"/>
  <c r="AZ76" i="44"/>
  <c r="BN76" i="44" s="1"/>
  <c r="AZ37" i="44"/>
  <c r="BN37" i="44" s="1"/>
  <c r="AZ48" i="44"/>
  <c r="BN48" i="44" s="1"/>
  <c r="AZ106" i="44"/>
  <c r="BN106" i="44" s="1"/>
  <c r="AT284" i="43"/>
  <c r="AT288" i="43" s="1"/>
  <c r="AR288" i="43"/>
  <c r="AT352" i="43"/>
  <c r="AT358" i="43" s="1"/>
  <c r="AR358" i="43"/>
  <c r="AT32" i="43"/>
  <c r="AT35" i="43" s="1"/>
  <c r="AR35" i="43"/>
  <c r="AT188" i="43"/>
  <c r="AT194" i="43" s="1"/>
  <c r="AR194" i="43"/>
  <c r="BO195" i="43"/>
  <c r="BO306" i="43"/>
  <c r="BO312" i="43" s="1"/>
  <c r="BV441" i="43"/>
  <c r="BV204" i="43"/>
  <c r="AT28" i="43"/>
  <c r="AT31" i="43" s="1"/>
  <c r="AR31" i="43"/>
  <c r="AT306" i="43"/>
  <c r="AT312" i="43" s="1"/>
  <c r="AR312" i="43"/>
  <c r="AT71" i="43"/>
  <c r="AT75" i="43" s="1"/>
  <c r="AR75" i="43"/>
  <c r="AT195" i="43"/>
  <c r="AT200" i="43" s="1"/>
  <c r="AR200" i="43"/>
  <c r="AZ104" i="43"/>
  <c r="BN104" i="43" s="1"/>
  <c r="AZ156" i="43"/>
  <c r="BN156" i="43" s="1"/>
  <c r="AZ131" i="43"/>
  <c r="BN131" i="43" s="1"/>
  <c r="AZ365" i="43"/>
  <c r="BN365" i="43" s="1"/>
  <c r="AZ292" i="43"/>
  <c r="BN292" i="43" s="1"/>
  <c r="AZ154" i="43"/>
  <c r="BN154" i="43" s="1"/>
  <c r="AZ78" i="43"/>
  <c r="BN78" i="43" s="1"/>
  <c r="AT429" i="43"/>
  <c r="AT435" i="43" s="1"/>
  <c r="AT325" i="43"/>
  <c r="AT328" i="43" s="1"/>
  <c r="AR328" i="43"/>
  <c r="AT273" i="43"/>
  <c r="AT276" i="43" s="1"/>
  <c r="AT68" i="43"/>
  <c r="AT70" i="43" s="1"/>
  <c r="AR70" i="43"/>
  <c r="AZ185" i="43"/>
  <c r="BN185" i="43" s="1"/>
  <c r="AZ282" i="43"/>
  <c r="BN282" i="43" s="1"/>
  <c r="AZ26" i="43"/>
  <c r="BN26" i="43" s="1"/>
  <c r="AZ203" i="43"/>
  <c r="BN203" i="43" s="1"/>
  <c r="AT337" i="43"/>
  <c r="AT345" i="43" s="1"/>
  <c r="AR345" i="43"/>
  <c r="AZ409" i="43"/>
  <c r="BN409" i="43" s="1"/>
  <c r="AT323" i="43"/>
  <c r="AT324" i="43" s="1"/>
  <c r="AR324" i="43"/>
  <c r="AT415" i="43"/>
  <c r="AT421" i="43" s="1"/>
  <c r="AR421" i="43"/>
  <c r="AT457" i="43"/>
  <c r="AT459" i="43" s="1"/>
  <c r="AR459" i="43"/>
  <c r="AZ380" i="43"/>
  <c r="BN380" i="43" s="1"/>
  <c r="AZ161" i="43"/>
  <c r="BN161" i="43" s="1"/>
  <c r="AZ307" i="43"/>
  <c r="BN307" i="43" s="1"/>
  <c r="AT140" i="43"/>
  <c r="AT145" i="43" s="1"/>
  <c r="AR145" i="43"/>
  <c r="AR283" i="43"/>
  <c r="AZ399" i="43"/>
  <c r="BN399" i="43" s="1"/>
  <c r="AZ148" i="43"/>
  <c r="BN148" i="43" s="1"/>
  <c r="AT408" i="43"/>
  <c r="AT414" i="43" s="1"/>
  <c r="AR414" i="43"/>
  <c r="AT443" i="43"/>
  <c r="AT449" i="43" s="1"/>
  <c r="AR449" i="43"/>
  <c r="AT257" i="43"/>
  <c r="AT258" i="43" s="1"/>
  <c r="AR258" i="43"/>
  <c r="AT158" i="43"/>
  <c r="AT162" i="43" s="1"/>
  <c r="AR162" i="43"/>
  <c r="AT390" i="43"/>
  <c r="AT393" i="43" s="1"/>
  <c r="AR393" i="43"/>
  <c r="AT401" i="43"/>
  <c r="AT407" i="43" s="1"/>
  <c r="AR407" i="43"/>
  <c r="AT220" i="43"/>
  <c r="AT225" i="43" s="1"/>
  <c r="AR225" i="43"/>
  <c r="AQ477" i="43"/>
  <c r="AQ13" i="43"/>
  <c r="BU198" i="43"/>
  <c r="BO408" i="43"/>
  <c r="BU172" i="43"/>
  <c r="AZ319" i="43"/>
  <c r="BN319" i="43" s="1"/>
  <c r="AZ432" i="43"/>
  <c r="BN432" i="43" s="1"/>
  <c r="BO250" i="43"/>
  <c r="BO256" i="43" s="1"/>
  <c r="AT40" i="43"/>
  <c r="AT42" i="43" s="1"/>
  <c r="AR42" i="43"/>
  <c r="BO121" i="43"/>
  <c r="AZ199" i="43"/>
  <c r="BN199" i="43" s="1"/>
  <c r="AZ253" i="43"/>
  <c r="BN253" i="43" s="1"/>
  <c r="AT117" i="43"/>
  <c r="AT120" i="43" s="1"/>
  <c r="AR120" i="43"/>
  <c r="AZ405" i="43"/>
  <c r="BN405" i="43" s="1"/>
  <c r="AZ355" i="43"/>
  <c r="BN355" i="43" s="1"/>
  <c r="AT305" i="43"/>
  <c r="AZ426" i="43"/>
  <c r="BN426" i="43" s="1"/>
  <c r="AT83" i="43"/>
  <c r="AT86" i="43" s="1"/>
  <c r="AR86" i="43"/>
  <c r="AZ143" i="43"/>
  <c r="BN143" i="43" s="1"/>
  <c r="AZ19" i="43"/>
  <c r="AZ190" i="43"/>
  <c r="BN190" i="43" s="1"/>
  <c r="AT259" i="43"/>
  <c r="AT262" i="43" s="1"/>
  <c r="AR262" i="43"/>
  <c r="AZ302" i="43"/>
  <c r="BN302" i="43" s="1"/>
  <c r="AZ129" i="43"/>
  <c r="BN129" i="43" s="1"/>
  <c r="AZ440" i="43"/>
  <c r="BN440" i="43" s="1"/>
  <c r="AT133" i="43"/>
  <c r="AT139" i="43" s="1"/>
  <c r="AR139" i="43"/>
  <c r="AT329" i="43"/>
  <c r="AT332" i="43" s="1"/>
  <c r="AR332" i="43"/>
  <c r="AT47" i="43"/>
  <c r="AT49" i="43" s="1"/>
  <c r="AR49" i="43"/>
  <c r="AT163" i="43"/>
  <c r="AT168" i="43" s="1"/>
  <c r="AR168" i="43"/>
  <c r="AT272" i="43"/>
  <c r="AT207" i="43"/>
  <c r="AT213" i="43" s="1"/>
  <c r="AR213" i="43"/>
  <c r="BV149" i="43"/>
  <c r="BU455" i="43"/>
  <c r="BU97" i="43"/>
  <c r="BU359" i="43"/>
  <c r="AZ173" i="43"/>
  <c r="BN173" i="43" s="1"/>
  <c r="AT250" i="43"/>
  <c r="AT256" i="43" s="1"/>
  <c r="AR256" i="43"/>
  <c r="AT121" i="43"/>
  <c r="AT125" i="43" s="1"/>
  <c r="AR125" i="43"/>
  <c r="AT214" i="43"/>
  <c r="AT219" i="43" s="1"/>
  <c r="AR219" i="43"/>
  <c r="AT460" i="43"/>
  <c r="AT463" i="43" s="1"/>
  <c r="AR463" i="43"/>
  <c r="AZ235" i="43"/>
  <c r="BN235" i="43" s="1"/>
  <c r="AZ89" i="43"/>
  <c r="BN89" i="43" s="1"/>
  <c r="AT76" i="43"/>
  <c r="AT79" i="43" s="1"/>
  <c r="AR79" i="43"/>
  <c r="AT91" i="43"/>
  <c r="AT94" i="43" s="1"/>
  <c r="AR94" i="43"/>
  <c r="AT289" i="43"/>
  <c r="AT296" i="43" s="1"/>
  <c r="AR296" i="43"/>
  <c r="AZ361" i="43"/>
  <c r="BN361" i="43" s="1"/>
  <c r="AZ425" i="43"/>
  <c r="BN425" i="43" s="1"/>
  <c r="AT56" i="43"/>
  <c r="AT59" i="43" s="1"/>
  <c r="AR59" i="43"/>
  <c r="AZ142" i="43"/>
  <c r="BN142" i="43" s="1"/>
  <c r="BU43" i="43"/>
  <c r="AZ418" i="43"/>
  <c r="BN418" i="43" s="1"/>
  <c r="AZ184" i="43"/>
  <c r="BN184" i="43" s="1"/>
  <c r="AZ286" i="43"/>
  <c r="BN286" i="43" s="1"/>
  <c r="AZ412" i="43"/>
  <c r="BN412" i="43" s="1"/>
  <c r="AS283" i="43"/>
  <c r="AT103" i="43"/>
  <c r="AT105" i="43" s="1"/>
  <c r="AR105" i="43"/>
  <c r="AT450" i="43"/>
  <c r="AT456" i="43" s="1"/>
  <c r="AR456" i="43"/>
  <c r="AT400" i="43"/>
  <c r="AZ211" i="43"/>
  <c r="BN211" i="43" s="1"/>
  <c r="AT95" i="43"/>
  <c r="AT98" i="43" s="1"/>
  <c r="AR98" i="43"/>
  <c r="AT36" i="43"/>
  <c r="AT39" i="43" s="1"/>
  <c r="AR39" i="43"/>
  <c r="AT80" i="43"/>
  <c r="AT82" i="43" s="1"/>
  <c r="AR82" i="43"/>
  <c r="AZ136" i="43"/>
  <c r="BN136" i="43" s="1"/>
  <c r="AZ137" i="43"/>
  <c r="BN137" i="43" s="1"/>
  <c r="AT322" i="43"/>
  <c r="AT336" i="43"/>
  <c r="AT60" i="43"/>
  <c r="AT63" i="43" s="1"/>
  <c r="AR63" i="43"/>
  <c r="AT313" i="43"/>
  <c r="AT316" i="43" s="1"/>
  <c r="AR316" i="43"/>
  <c r="AT377" i="43"/>
  <c r="AT383" i="43" s="1"/>
  <c r="AR383" i="43"/>
  <c r="BU84" i="43"/>
  <c r="AZ406" i="43"/>
  <c r="BN406" i="43" s="1"/>
  <c r="AZ433" i="43"/>
  <c r="BN433" i="43" s="1"/>
  <c r="AT175" i="43"/>
  <c r="AT180" i="43" s="1"/>
  <c r="AR180" i="43"/>
  <c r="AT201" i="43"/>
  <c r="AT206" i="43" s="1"/>
  <c r="AS206" i="43"/>
  <c r="AT436" i="43"/>
  <c r="AT442" i="43" s="1"/>
  <c r="AR442" i="43"/>
  <c r="AT249" i="43"/>
  <c r="AT14" i="43"/>
  <c r="AT18" i="43" s="1"/>
  <c r="AR18" i="43"/>
  <c r="AT263" i="43"/>
  <c r="AT266" i="43" s="1"/>
  <c r="AR266" i="43"/>
  <c r="AZ38" i="43"/>
  <c r="BN38" i="43" s="1"/>
  <c r="AZ434" i="43"/>
  <c r="BN434" i="43" s="1"/>
  <c r="AZ339" i="43"/>
  <c r="BN339" i="43" s="1"/>
  <c r="AZ43" i="43"/>
  <c r="BN43" i="43" s="1"/>
  <c r="AT46" i="43"/>
  <c r="AT181" i="43"/>
  <c r="AT187" i="43" s="1"/>
  <c r="AR187" i="43"/>
  <c r="AT126" i="43"/>
  <c r="AR132" i="43"/>
  <c r="AZ48" i="43"/>
  <c r="BN48" i="43" s="1"/>
  <c r="AV46" i="43"/>
  <c r="AZ357" i="43"/>
  <c r="BN357" i="43" s="1"/>
  <c r="AZ101" i="43"/>
  <c r="BN101" i="43" s="1"/>
  <c r="AZ77" i="43"/>
  <c r="BN77" i="43" s="1"/>
  <c r="AZ212" i="43"/>
  <c r="BN212" i="43" s="1"/>
  <c r="AZ331" i="43"/>
  <c r="BN331" i="43" s="1"/>
  <c r="AT278" i="43"/>
  <c r="AT50" i="43"/>
  <c r="AT52" i="43" s="1"/>
  <c r="AR52" i="43"/>
  <c r="BQ283" i="43"/>
  <c r="AT23" i="43"/>
  <c r="AT27" i="43" s="1"/>
  <c r="AR27" i="43"/>
  <c r="AT53" i="43"/>
  <c r="AT55" i="43" s="1"/>
  <c r="AR55" i="43"/>
  <c r="AT64" i="43"/>
  <c r="AT67" i="43" s="1"/>
  <c r="AR67" i="43"/>
  <c r="AT114" i="43"/>
  <c r="AT116" i="43" s="1"/>
  <c r="AR116" i="43"/>
  <c r="AT364" i="43"/>
  <c r="AT370" i="43" s="1"/>
  <c r="AR370" i="43"/>
  <c r="AT232" i="43"/>
  <c r="AT237" i="43" s="1"/>
  <c r="AR237" i="43"/>
  <c r="AZ303" i="43"/>
  <c r="BN303" i="43" s="1"/>
  <c r="AT384" i="43"/>
  <c r="AT389" i="43" s="1"/>
  <c r="AR389" i="43"/>
  <c r="AT152" i="43"/>
  <c r="AT157" i="43" s="1"/>
  <c r="AR157" i="43"/>
  <c r="AZ248" i="43"/>
  <c r="BN248" i="43" s="1"/>
  <c r="AT146" i="43"/>
  <c r="AT151" i="43" s="1"/>
  <c r="AR151" i="43"/>
  <c r="AT106" i="43"/>
  <c r="AT109" i="43" s="1"/>
  <c r="AR109" i="43"/>
  <c r="AZ359" i="43"/>
  <c r="BN359" i="43" s="1"/>
  <c r="AT363" i="43"/>
  <c r="AZ270" i="43"/>
  <c r="BN270" i="43" s="1"/>
  <c r="AT422" i="43"/>
  <c r="AT428" i="43" s="1"/>
  <c r="AR428" i="43"/>
  <c r="AT226" i="43"/>
  <c r="AT231" i="43" s="1"/>
  <c r="AR231" i="43"/>
  <c r="AT346" i="43"/>
  <c r="AT351" i="43" s="1"/>
  <c r="AR351" i="43"/>
  <c r="AT169" i="43"/>
  <c r="AT174" i="43" s="1"/>
  <c r="AR174" i="43"/>
  <c r="AT371" i="43"/>
  <c r="AT374" i="43" s="1"/>
  <c r="AR374" i="43"/>
  <c r="AT22" i="43"/>
  <c r="BU214" i="43"/>
  <c r="BU219" i="43" s="1"/>
  <c r="AV214" i="43"/>
  <c r="BU138" i="43"/>
  <c r="AV138" i="43"/>
  <c r="BV138" i="43" s="1"/>
  <c r="BU278" i="43"/>
  <c r="AV278" i="43"/>
  <c r="BV278" i="43" s="1"/>
  <c r="BV292" i="43"/>
  <c r="BV286" i="43"/>
  <c r="BU45" i="43"/>
  <c r="BU148" i="43"/>
  <c r="BO278" i="43"/>
  <c r="AZ367" i="43"/>
  <c r="BN367" i="43" s="1"/>
  <c r="AV152" i="43"/>
  <c r="AZ340" i="43"/>
  <c r="BN340" i="43" s="1"/>
  <c r="AZ144" i="43"/>
  <c r="BN144" i="43" s="1"/>
  <c r="AV14" i="43"/>
  <c r="BV14" i="43" s="1"/>
  <c r="BU14" i="43"/>
  <c r="AV91" i="43"/>
  <c r="BU106" i="43"/>
  <c r="AV106" i="43"/>
  <c r="AV110" i="43"/>
  <c r="AV113" i="43" s="1"/>
  <c r="AU276" i="43"/>
  <c r="AV273" i="43"/>
  <c r="AZ165" i="43"/>
  <c r="BN165" i="43" s="1"/>
  <c r="AZ344" i="43"/>
  <c r="BN344" i="43" s="1"/>
  <c r="BU130" i="43"/>
  <c r="AV130" i="43"/>
  <c r="AV99" i="43"/>
  <c r="AV346" i="43"/>
  <c r="AZ51" i="43"/>
  <c r="BN51" i="43" s="1"/>
  <c r="AV95" i="43"/>
  <c r="BU277" i="43"/>
  <c r="AV277" i="43"/>
  <c r="AV80" i="43"/>
  <c r="AV82" i="43" s="1"/>
  <c r="AV259" i="43"/>
  <c r="AZ427" i="43"/>
  <c r="BN427" i="43" s="1"/>
  <c r="AZ439" i="43"/>
  <c r="BN439" i="43" s="1"/>
  <c r="AV329" i="43"/>
  <c r="AU49" i="43"/>
  <c r="AV47" i="43"/>
  <c r="AV408" i="43"/>
  <c r="AV414" i="43" s="1"/>
  <c r="AU298" i="43"/>
  <c r="AV297" i="43"/>
  <c r="AV298" i="43" s="1"/>
  <c r="AU86" i="43"/>
  <c r="AV83" i="43"/>
  <c r="BU361" i="43"/>
  <c r="BU247" i="43"/>
  <c r="BV193" i="43"/>
  <c r="BP132" i="43"/>
  <c r="AZ216" i="43"/>
  <c r="BN216" i="43" s="1"/>
  <c r="AU258" i="43"/>
  <c r="AV257" i="43"/>
  <c r="AV258" i="43" s="1"/>
  <c r="AV436" i="43"/>
  <c r="AZ58" i="43"/>
  <c r="BN58" i="43" s="1"/>
  <c r="AZ311" i="43"/>
  <c r="BN311" i="43" s="1"/>
  <c r="AZ160" i="43"/>
  <c r="BN160" i="43" s="1"/>
  <c r="AZ411" i="43"/>
  <c r="BN411" i="43" s="1"/>
  <c r="BU76" i="43"/>
  <c r="BU79" i="43" s="1"/>
  <c r="AV76" i="43"/>
  <c r="AV79" i="43" s="1"/>
  <c r="AV325" i="43"/>
  <c r="BU263" i="43"/>
  <c r="AV263" i="43"/>
  <c r="AZ228" i="43"/>
  <c r="BN228" i="43" s="1"/>
  <c r="AZ167" i="43"/>
  <c r="BN167" i="43" s="1"/>
  <c r="AZ444" i="43"/>
  <c r="BN444" i="43" s="1"/>
  <c r="AZ338" i="43"/>
  <c r="BN338" i="43" s="1"/>
  <c r="AT110" i="43"/>
  <c r="AT113" i="43" s="1"/>
  <c r="AV201" i="43"/>
  <c r="AV181" i="43"/>
  <c r="BU181" i="43"/>
  <c r="BU375" i="43"/>
  <c r="BU376" i="43" s="1"/>
  <c r="AV375" i="43"/>
  <c r="AV376" i="43" s="1"/>
  <c r="AZ385" i="43"/>
  <c r="BN385" i="43" s="1"/>
  <c r="AV394" i="43"/>
  <c r="AZ242" i="43"/>
  <c r="BN242" i="43" s="1"/>
  <c r="AV390" i="43"/>
  <c r="AT297" i="43"/>
  <c r="AT298" i="43" s="1"/>
  <c r="AZ413" i="43"/>
  <c r="BN413" i="43" s="1"/>
  <c r="AZ229" i="43"/>
  <c r="BN229" i="43" s="1"/>
  <c r="AZ41" i="43"/>
  <c r="BN41" i="43" s="1"/>
  <c r="AZ402" i="43"/>
  <c r="BN402" i="43" s="1"/>
  <c r="AZ287" i="43"/>
  <c r="BN287" i="43" s="1"/>
  <c r="AZ85" i="43"/>
  <c r="BN85" i="43" s="1"/>
  <c r="AZ381" i="43"/>
  <c r="BN381" i="43" s="1"/>
  <c r="AZ321" i="43"/>
  <c r="BN321" i="43" s="1"/>
  <c r="AT277" i="43"/>
  <c r="AV32" i="43"/>
  <c r="BV32" i="43" s="1"/>
  <c r="AZ108" i="43"/>
  <c r="BN108" i="43" s="1"/>
  <c r="AZ446" i="43"/>
  <c r="BN446" i="43" s="1"/>
  <c r="AV114" i="43"/>
  <c r="AV116" i="43" s="1"/>
  <c r="AV163" i="43"/>
  <c r="AV50" i="43"/>
  <c r="AV52" i="43" s="1"/>
  <c r="BU50" i="43"/>
  <c r="BU52" i="43" s="1"/>
  <c r="AV23" i="43"/>
  <c r="BU371" i="43"/>
  <c r="AV371" i="43"/>
  <c r="BU399" i="43"/>
  <c r="BU19" i="43"/>
  <c r="BU382" i="43"/>
  <c r="BV265" i="43"/>
  <c r="BU184" i="43"/>
  <c r="BQ132" i="43"/>
  <c r="AZ246" i="43"/>
  <c r="BN246" i="43" s="1"/>
  <c r="AV28" i="43"/>
  <c r="AV384" i="43"/>
  <c r="AV195" i="43"/>
  <c r="AZ217" i="43"/>
  <c r="BN217" i="43" s="1"/>
  <c r="AZ396" i="43"/>
  <c r="BN396" i="43" s="1"/>
  <c r="AZ261" i="43"/>
  <c r="BN261" i="43" s="1"/>
  <c r="AU63" i="43"/>
  <c r="AV60" i="43"/>
  <c r="AV63" i="43" s="1"/>
  <c r="AV68" i="43"/>
  <c r="AV70" i="43" s="1"/>
  <c r="BU68" i="43"/>
  <c r="BU70" i="43" s="1"/>
  <c r="AZ61" i="43"/>
  <c r="BN61" i="43" s="1"/>
  <c r="AZ462" i="43"/>
  <c r="BN462" i="43" s="1"/>
  <c r="AV337" i="43"/>
  <c r="AZ186" i="43"/>
  <c r="BN186" i="43" s="1"/>
  <c r="BU127" i="43"/>
  <c r="AV127" i="43"/>
  <c r="BV127" i="43" s="1"/>
  <c r="AU90" i="43"/>
  <c r="AV87" i="43"/>
  <c r="AV90" i="43" s="1"/>
  <c r="AV207" i="43"/>
  <c r="AV401" i="43"/>
  <c r="AV407" i="43" s="1"/>
  <c r="BU401" i="43"/>
  <c r="BU407" i="43" s="1"/>
  <c r="AU459" i="43"/>
  <c r="AV457" i="43"/>
  <c r="AV459" i="43" s="1"/>
  <c r="AZ30" i="43"/>
  <c r="BN30" i="43" s="1"/>
  <c r="AZ309" i="43"/>
  <c r="BN309" i="43" s="1"/>
  <c r="AZ81" i="43"/>
  <c r="BN81" i="43" s="1"/>
  <c r="AZ397" i="43"/>
  <c r="BN397" i="43" s="1"/>
  <c r="AZ454" i="43"/>
  <c r="BN454" i="43" s="1"/>
  <c r="AV36" i="43"/>
  <c r="AV169" i="43"/>
  <c r="BU64" i="43"/>
  <c r="AV64" i="43"/>
  <c r="AZ72" i="43"/>
  <c r="BN72" i="43" s="1"/>
  <c r="AZ236" i="43"/>
  <c r="BN236" i="43" s="1"/>
  <c r="AZ420" i="43"/>
  <c r="BN420" i="43" s="1"/>
  <c r="AZ74" i="43"/>
  <c r="BN74" i="43" s="1"/>
  <c r="AZ166" i="43"/>
  <c r="BN166" i="43" s="1"/>
  <c r="AZ451" i="43"/>
  <c r="BN451" i="43" s="1"/>
  <c r="AZ182" i="43"/>
  <c r="BN182" i="43" s="1"/>
  <c r="AZ197" i="43"/>
  <c r="BN197" i="43" s="1"/>
  <c r="AT127" i="43"/>
  <c r="AV133" i="43"/>
  <c r="AV139" i="43" s="1"/>
  <c r="AV364" i="43"/>
  <c r="AV443" i="43"/>
  <c r="AV449" i="43" s="1"/>
  <c r="AV244" i="43"/>
  <c r="AV317" i="43"/>
  <c r="AU42" i="43"/>
  <c r="AV40" i="43"/>
  <c r="AV42" i="43" s="1"/>
  <c r="AV306" i="43"/>
  <c r="AV312" i="43" s="1"/>
  <c r="AZ448" i="43"/>
  <c r="BN448" i="43" s="1"/>
  <c r="AZ275" i="43"/>
  <c r="BN275" i="43" s="1"/>
  <c r="AZ224" i="43"/>
  <c r="BN224" i="43" s="1"/>
  <c r="AZ343" i="43"/>
  <c r="BN343" i="43" s="1"/>
  <c r="AZ403" i="43"/>
  <c r="BN403" i="43" s="1"/>
  <c r="AZ234" i="43"/>
  <c r="BN234" i="43" s="1"/>
  <c r="BU117" i="43"/>
  <c r="AV117" i="43"/>
  <c r="AV158" i="43"/>
  <c r="AV313" i="43"/>
  <c r="AV289" i="43"/>
  <c r="AU288" i="43"/>
  <c r="AV284" i="43"/>
  <c r="AV288" i="43" s="1"/>
  <c r="BU429" i="43"/>
  <c r="BU435" i="43" s="1"/>
  <c r="AV429" i="43"/>
  <c r="AV435" i="43" s="1"/>
  <c r="AV333" i="43"/>
  <c r="AZ135" i="43"/>
  <c r="BN135" i="43" s="1"/>
  <c r="AZ252" i="43"/>
  <c r="BN252" i="43" s="1"/>
  <c r="AZ447" i="43"/>
  <c r="BN447" i="43" s="1"/>
  <c r="AZ254" i="43"/>
  <c r="BN254" i="43" s="1"/>
  <c r="AZ404" i="43"/>
  <c r="BN404" i="43" s="1"/>
  <c r="AV140" i="43"/>
  <c r="AV53" i="43"/>
  <c r="AZ192" i="43"/>
  <c r="BN192" i="43" s="1"/>
  <c r="AZ171" i="43"/>
  <c r="BN171" i="43" s="1"/>
  <c r="AZ251" i="43"/>
  <c r="BN251" i="43" s="1"/>
  <c r="AZ223" i="43"/>
  <c r="BN223" i="43" s="1"/>
  <c r="AZ458" i="43"/>
  <c r="BN458" i="43" s="1"/>
  <c r="AZ269" i="43"/>
  <c r="BN269" i="43" s="1"/>
  <c r="AZ373" i="43"/>
  <c r="BN373" i="43" s="1"/>
  <c r="AZ210" i="43"/>
  <c r="BN210" i="43" s="1"/>
  <c r="BU220" i="43"/>
  <c r="AV220" i="43"/>
  <c r="AV250" i="43"/>
  <c r="BU121" i="43"/>
  <c r="AV121" i="43"/>
  <c r="AV125" i="43" s="1"/>
  <c r="BU352" i="43"/>
  <c r="AV352" i="43"/>
  <c r="AV226" i="43"/>
  <c r="AV231" i="43" s="1"/>
  <c r="BU226" i="43"/>
  <c r="AZ177" i="43"/>
  <c r="BN177" i="43" s="1"/>
  <c r="BP470" i="43"/>
  <c r="BI29" i="47" s="1"/>
  <c r="AV17" i="43"/>
  <c r="BV17" i="43" s="1"/>
  <c r="AZ230" i="43"/>
  <c r="BN230" i="43" s="1"/>
  <c r="BU175" i="43"/>
  <c r="AV175" i="43"/>
  <c r="AV71" i="43"/>
  <c r="AV460" i="43"/>
  <c r="AV267" i="43"/>
  <c r="AZ350" i="43"/>
  <c r="BN350" i="43" s="1"/>
  <c r="AV146" i="43"/>
  <c r="AZ315" i="43"/>
  <c r="BN315" i="43" s="1"/>
  <c r="BU238" i="43"/>
  <c r="AV238" i="43"/>
  <c r="AZ178" i="43"/>
  <c r="BN178" i="43" s="1"/>
  <c r="BU126" i="43"/>
  <c r="AV126" i="43"/>
  <c r="AV56" i="43"/>
  <c r="AV299" i="43"/>
  <c r="AV305" i="43" s="1"/>
  <c r="AZ218" i="43"/>
  <c r="BN218" i="43" s="1"/>
  <c r="AV323" i="43"/>
  <c r="AV324" i="43" s="1"/>
  <c r="AV415" i="43"/>
  <c r="AV422" i="43"/>
  <c r="BU103" i="43"/>
  <c r="BU105" i="43" s="1"/>
  <c r="AV103" i="43"/>
  <c r="AV105" i="43" s="1"/>
  <c r="AV450" i="43"/>
  <c r="AZ416" i="43"/>
  <c r="BN416" i="43" s="1"/>
  <c r="AZ255" i="43"/>
  <c r="BN255" i="43" s="1"/>
  <c r="AZ112" i="43"/>
  <c r="BN112" i="43" s="1"/>
  <c r="AZ111" i="43"/>
  <c r="BN111" i="43" s="1"/>
  <c r="AZ387" i="43"/>
  <c r="BN387" i="43" s="1"/>
  <c r="AV188" i="43"/>
  <c r="BU188" i="43"/>
  <c r="BU377" i="43"/>
  <c r="AV377" i="43"/>
  <c r="AV232" i="43"/>
  <c r="BV232" i="43" s="1"/>
  <c r="AR476" i="43"/>
  <c r="AR470" i="43"/>
  <c r="AK29" i="47" s="1"/>
  <c r="AR471" i="43"/>
  <c r="BP476" i="43"/>
  <c r="AZ25" i="44"/>
  <c r="BN25" i="44" s="1"/>
  <c r="AZ118" i="44"/>
  <c r="BN118" i="44" s="1"/>
  <c r="AT99" i="44"/>
  <c r="AT102" i="44" s="1"/>
  <c r="AR102" i="44"/>
  <c r="AZ29" i="44"/>
  <c r="BN29" i="44" s="1"/>
  <c r="AT35" i="44"/>
  <c r="AZ54" i="44"/>
  <c r="BN54" i="44" s="1"/>
  <c r="AZ14" i="44"/>
  <c r="BN14" i="44" s="1"/>
  <c r="AT78" i="44"/>
  <c r="AT84" i="44" s="1"/>
  <c r="AR84" i="44"/>
  <c r="AT49" i="44"/>
  <c r="BO122" i="44"/>
  <c r="BO128" i="44" s="1"/>
  <c r="BV96" i="44"/>
  <c r="AT89" i="44"/>
  <c r="AT92" i="44" s="1"/>
  <c r="AR92" i="44"/>
  <c r="AT77" i="44"/>
  <c r="AZ114" i="44"/>
  <c r="BN114" i="44" s="1"/>
  <c r="AZ81" i="44"/>
  <c r="BN81" i="44" s="1"/>
  <c r="AZ125" i="44"/>
  <c r="BN125" i="44" s="1"/>
  <c r="AT103" i="44"/>
  <c r="AT104" i="44" s="1"/>
  <c r="AR104" i="44"/>
  <c r="AT63" i="44"/>
  <c r="AZ57" i="44"/>
  <c r="BN57" i="44" s="1"/>
  <c r="BV43" i="44"/>
  <c r="AT122" i="44"/>
  <c r="AT128" i="44" s="1"/>
  <c r="AR128" i="44"/>
  <c r="AT85" i="44"/>
  <c r="AT88" i="44" s="1"/>
  <c r="AR88" i="44"/>
  <c r="AZ74" i="44"/>
  <c r="BN74" i="44" s="1"/>
  <c r="AT50" i="44"/>
  <c r="AT56" i="44" s="1"/>
  <c r="AR56" i="44"/>
  <c r="AZ36" i="44"/>
  <c r="BN36" i="44" s="1"/>
  <c r="AT42" i="44"/>
  <c r="AT105" i="44"/>
  <c r="AT110" i="44" s="1"/>
  <c r="AR110" i="44"/>
  <c r="AT111" i="44"/>
  <c r="AT112" i="44" s="1"/>
  <c r="AR112" i="44"/>
  <c r="AZ68" i="44"/>
  <c r="BN68" i="44" s="1"/>
  <c r="BU57" i="44"/>
  <c r="BV69" i="44"/>
  <c r="AZ41" i="44"/>
  <c r="BN41" i="44" s="1"/>
  <c r="AT64" i="44"/>
  <c r="AT70" i="44" s="1"/>
  <c r="AR70" i="44"/>
  <c r="AT113" i="44"/>
  <c r="AR121" i="44"/>
  <c r="AZ15" i="44"/>
  <c r="BN15" i="44" s="1"/>
  <c r="AT93" i="44"/>
  <c r="AT98" i="44" s="1"/>
  <c r="AR98" i="44"/>
  <c r="BU36" i="44"/>
  <c r="BU42" i="44" s="1"/>
  <c r="AT28" i="44"/>
  <c r="BV48" i="44"/>
  <c r="AZ67" i="44"/>
  <c r="BN67" i="44" s="1"/>
  <c r="AZ94" i="44"/>
  <c r="BN94" i="44" s="1"/>
  <c r="AZ91" i="44"/>
  <c r="BN91" i="44" s="1"/>
  <c r="BU113" i="44"/>
  <c r="AV113" i="44"/>
  <c r="AZ109" i="44"/>
  <c r="BN109" i="44" s="1"/>
  <c r="AZ62" i="44"/>
  <c r="BN62" i="44" s="1"/>
  <c r="AZ43" i="44"/>
  <c r="BN43" i="44" s="1"/>
  <c r="AZ27" i="44"/>
  <c r="BN27" i="44" s="1"/>
  <c r="BU114" i="44"/>
  <c r="AV50" i="44"/>
  <c r="AZ55" i="44"/>
  <c r="BN55" i="44" s="1"/>
  <c r="BU99" i="44"/>
  <c r="AV99" i="44"/>
  <c r="BU71" i="44"/>
  <c r="AV71" i="44"/>
  <c r="BU78" i="44"/>
  <c r="AV78" i="44"/>
  <c r="AZ82" i="44"/>
  <c r="BN82" i="44" s="1"/>
  <c r="AZ126" i="44"/>
  <c r="BN126" i="44" s="1"/>
  <c r="AZ97" i="44"/>
  <c r="BN97" i="44" s="1"/>
  <c r="AZ123" i="44"/>
  <c r="BN123" i="44" s="1"/>
  <c r="AZ44" i="44"/>
  <c r="BN44" i="44" s="1"/>
  <c r="BU64" i="44"/>
  <c r="AV64" i="44"/>
  <c r="AZ61" i="44"/>
  <c r="BN61" i="44" s="1"/>
  <c r="AZ108" i="44"/>
  <c r="BN108" i="44" s="1"/>
  <c r="AZ117" i="44"/>
  <c r="BN117" i="44" s="1"/>
  <c r="AZ51" i="44"/>
  <c r="BN51" i="44" s="1"/>
  <c r="AZ47" i="44"/>
  <c r="BN47" i="44" s="1"/>
  <c r="AZ32" i="44"/>
  <c r="BN32" i="44" s="1"/>
  <c r="AZ87" i="44"/>
  <c r="BN87" i="44" s="1"/>
  <c r="BU33" i="44"/>
  <c r="AZ65" i="44"/>
  <c r="BN65" i="44" s="1"/>
  <c r="AV89" i="44"/>
  <c r="AZ115" i="44"/>
  <c r="BN115" i="44" s="1"/>
  <c r="AZ21" i="44"/>
  <c r="AZ127" i="44"/>
  <c r="BN127" i="44" s="1"/>
  <c r="BQ19" i="44"/>
  <c r="AV105" i="44"/>
  <c r="AV110" i="44" s="1"/>
  <c r="BU105" i="44"/>
  <c r="AZ60" i="44"/>
  <c r="BN60" i="44" s="1"/>
  <c r="AV111" i="44"/>
  <c r="AV112" i="44" s="1"/>
  <c r="AU112" i="44"/>
  <c r="AV122" i="44"/>
  <c r="BU85" i="44"/>
  <c r="BU88" i="44" s="1"/>
  <c r="AV85" i="44"/>
  <c r="AV88" i="44" s="1"/>
  <c r="BU93" i="44"/>
  <c r="AV93" i="44"/>
  <c r="AV98" i="44" s="1"/>
  <c r="AZ39" i="44"/>
  <c r="BN39" i="44" s="1"/>
  <c r="AV17" i="44"/>
  <c r="AU19" i="44"/>
  <c r="AZ24" i="44"/>
  <c r="BN24" i="44" s="1"/>
  <c r="AZ40" i="44"/>
  <c r="BN40" i="44" s="1"/>
  <c r="AZ79" i="44"/>
  <c r="BN79" i="44" s="1"/>
  <c r="AV103" i="44"/>
  <c r="AU104" i="44"/>
  <c r="BV46" i="43"/>
  <c r="BQ141" i="44"/>
  <c r="BO105" i="44"/>
  <c r="BO113" i="44"/>
  <c r="BO50" i="44"/>
  <c r="BO56" i="44" s="1"/>
  <c r="AH142" i="44"/>
  <c r="BO103" i="44"/>
  <c r="BO104" i="44" s="1"/>
  <c r="BO71" i="44"/>
  <c r="BO89" i="44"/>
  <c r="BO92" i="44" s="1"/>
  <c r="BO17" i="44"/>
  <c r="BO111" i="44"/>
  <c r="BO112" i="44" s="1"/>
  <c r="BO64" i="44"/>
  <c r="BO70" i="44" s="1"/>
  <c r="BV363" i="43"/>
  <c r="BQ471" i="43"/>
  <c r="BO220" i="43"/>
  <c r="BO225" i="43" s="1"/>
  <c r="BO76" i="43"/>
  <c r="BO79" i="43" s="1"/>
  <c r="BO371" i="43"/>
  <c r="BO374" i="43" s="1"/>
  <c r="BO333" i="43"/>
  <c r="BO336" i="43" s="1"/>
  <c r="BO375" i="43"/>
  <c r="BO376" i="43" s="1"/>
  <c r="BO257" i="43"/>
  <c r="BO258" i="43" s="1"/>
  <c r="BO346" i="43"/>
  <c r="BO201" i="43"/>
  <c r="BO206" i="43" s="1"/>
  <c r="BO289" i="43"/>
  <c r="BO50" i="43"/>
  <c r="BO52" i="43" s="1"/>
  <c r="BO267" i="43"/>
  <c r="AY464" i="43"/>
  <c r="BO71" i="43"/>
  <c r="BO75" i="43" s="1"/>
  <c r="BO299" i="43"/>
  <c r="AO464" i="43"/>
  <c r="AH13" i="47" s="1"/>
  <c r="BO14" i="43"/>
  <c r="BO99" i="43"/>
  <c r="BO102" i="43" s="1"/>
  <c r="BO273" i="43"/>
  <c r="BO80" i="43"/>
  <c r="BO82" i="43" s="1"/>
  <c r="BO106" i="43"/>
  <c r="BO109" i="43" s="1"/>
  <c r="BO158" i="43"/>
  <c r="BO162" i="43" s="1"/>
  <c r="BO457" i="43"/>
  <c r="BO459" i="43" s="1"/>
  <c r="BO259" i="43"/>
  <c r="BO23" i="43"/>
  <c r="BO103" i="43"/>
  <c r="BO105" i="43" s="1"/>
  <c r="BO352" i="43"/>
  <c r="BO146" i="43"/>
  <c r="AH475" i="43"/>
  <c r="BO130" i="43"/>
  <c r="BO475" i="43" s="1"/>
  <c r="BO390" i="43"/>
  <c r="BO152" i="43"/>
  <c r="AP464" i="43"/>
  <c r="BO323" i="43"/>
  <c r="BO324" i="43" s="1"/>
  <c r="BO325" i="43"/>
  <c r="BO263" i="43"/>
  <c r="BO450" i="43"/>
  <c r="BO337" i="43"/>
  <c r="BO329" i="43"/>
  <c r="BO114" i="43"/>
  <c r="BO116" i="43" s="1"/>
  <c r="BO68" i="43"/>
  <c r="BO70" i="43" s="1"/>
  <c r="BO377" i="43"/>
  <c r="BO226" i="43"/>
  <c r="BO394" i="43"/>
  <c r="BO188" i="43"/>
  <c r="BO32" i="43"/>
  <c r="BO35" i="43" s="1"/>
  <c r="BO140" i="43"/>
  <c r="BO443" i="43"/>
  <c r="BO460" i="43"/>
  <c r="BO238" i="43"/>
  <c r="BO56" i="43"/>
  <c r="BO214" i="43"/>
  <c r="BO64" i="43"/>
  <c r="BO87" i="43"/>
  <c r="BO90" i="43" s="1"/>
  <c r="BO53" i="43"/>
  <c r="BO55" i="43" s="1"/>
  <c r="BO60" i="43"/>
  <c r="BO63" i="43" s="1"/>
  <c r="BO17" i="43"/>
  <c r="BO277" i="43"/>
  <c r="BO47" i="43"/>
  <c r="BO49" i="43" s="1"/>
  <c r="BO384" i="43"/>
  <c r="BO389" i="43" s="1"/>
  <c r="BO422" i="43"/>
  <c r="BO126" i="43"/>
  <c r="AH470" i="43"/>
  <c r="AA29" i="47" s="1"/>
  <c r="BO401" i="43"/>
  <c r="BO407" i="43" s="1"/>
  <c r="BO317" i="43"/>
  <c r="BO322" i="43" s="1"/>
  <c r="BO83" i="43"/>
  <c r="BO86" i="43" s="1"/>
  <c r="BO95" i="43"/>
  <c r="BO28" i="43"/>
  <c r="AS474" i="43"/>
  <c r="AL33" i="47" s="1"/>
  <c r="AS470" i="43"/>
  <c r="I465" i="43"/>
  <c r="BP474" i="43"/>
  <c r="BI33" i="47" s="1"/>
  <c r="I464" i="43"/>
  <c r="B13" i="47" s="1"/>
  <c r="AS471" i="43"/>
  <c r="AL30" i="47" s="1"/>
  <c r="BM466" i="43"/>
  <c r="AS475" i="43"/>
  <c r="AH471" i="43"/>
  <c r="BQ470" i="43"/>
  <c r="BJ29" i="47" s="1"/>
  <c r="BQ474" i="43"/>
  <c r="BJ33" i="47" s="1"/>
  <c r="M23" i="47"/>
  <c r="L23" i="47"/>
  <c r="AQ131" i="44"/>
  <c r="AH140" i="44"/>
  <c r="BX141" i="44"/>
  <c r="AR141" i="44"/>
  <c r="I129" i="44"/>
  <c r="B14" i="47" s="1"/>
  <c r="Q129" i="44"/>
  <c r="J14" i="47" s="1"/>
  <c r="P129" i="44"/>
  <c r="I14" i="47" s="1"/>
  <c r="AS140" i="44"/>
  <c r="F26" i="47"/>
  <c r="C26" i="47"/>
  <c r="BP142" i="44"/>
  <c r="AS141" i="44"/>
  <c r="AC23" i="47"/>
  <c r="P24" i="47" s="1"/>
  <c r="AR142" i="44"/>
  <c r="AH26" i="47"/>
  <c r="AO467" i="43"/>
  <c r="L26" i="47"/>
  <c r="F23" i="47"/>
  <c r="BE26" i="47"/>
  <c r="AR26" i="47"/>
  <c r="AH469" i="43"/>
  <c r="BZ467" i="43"/>
  <c r="AH474" i="43"/>
  <c r="AA33" i="47" s="1"/>
  <c r="BY467" i="43"/>
  <c r="AH476" i="43"/>
  <c r="BP469" i="43"/>
  <c r="BD26" i="47"/>
  <c r="W13" i="43"/>
  <c r="W477" i="43"/>
  <c r="P36" i="47" s="1"/>
  <c r="BS464" i="43"/>
  <c r="BS477" i="43"/>
  <c r="BX474" i="43"/>
  <c r="BQ33" i="47" s="1"/>
  <c r="AH468" i="43"/>
  <c r="BR474" i="43"/>
  <c r="AR469" i="43"/>
  <c r="AS476" i="43"/>
  <c r="BX469" i="43"/>
  <c r="AT475" i="43"/>
  <c r="AS469" i="43"/>
  <c r="BT464" i="43"/>
  <c r="BM13" i="47" s="1"/>
  <c r="BT477" i="43"/>
  <c r="BX470" i="43"/>
  <c r="BQ29" i="47" s="1"/>
  <c r="BR468" i="43"/>
  <c r="BW464" i="43"/>
  <c r="BP13" i="47" s="1"/>
  <c r="BW477" i="43"/>
  <c r="BP36" i="47" s="1"/>
  <c r="BR469" i="43"/>
  <c r="BP468" i="43"/>
  <c r="BX471" i="43"/>
  <c r="BQ30" i="47" s="1"/>
  <c r="BQ476" i="43"/>
  <c r="BX468" i="43"/>
  <c r="AS468" i="43"/>
  <c r="BR470" i="43"/>
  <c r="BK29" i="47" s="1"/>
  <c r="BQ468" i="43"/>
  <c r="BX476" i="43"/>
  <c r="BR476" i="43"/>
  <c r="AR468" i="43"/>
  <c r="BQ469" i="43"/>
  <c r="V467" i="43"/>
  <c r="AR134" i="44"/>
  <c r="BW129" i="44"/>
  <c r="BP14" i="47" s="1"/>
  <c r="E23" i="47"/>
  <c r="H23" i="47"/>
  <c r="F24" i="47" s="1"/>
  <c r="I131" i="44"/>
  <c r="AH134" i="44"/>
  <c r="AH141" i="44"/>
  <c r="AR133" i="44"/>
  <c r="BR141" i="44"/>
  <c r="AV135" i="44"/>
  <c r="BQ134" i="44"/>
  <c r="BM131" i="44"/>
  <c r="AT23" i="47"/>
  <c r="BD24" i="47" s="1"/>
  <c r="D23" i="47"/>
  <c r="AB23" i="47"/>
  <c r="O24" i="47" s="1"/>
  <c r="BO135" i="44"/>
  <c r="BR139" i="44"/>
  <c r="AI130" i="44"/>
  <c r="AJ130" i="44"/>
  <c r="BY132" i="44"/>
  <c r="AH133" i="44"/>
  <c r="BP133" i="44"/>
  <c r="BM132" i="44"/>
  <c r="BX134" i="44"/>
  <c r="BQ133" i="44"/>
  <c r="AG132" i="44"/>
  <c r="AT136" i="44"/>
  <c r="AT139" i="44"/>
  <c r="BO139" i="44"/>
  <c r="BW132" i="44"/>
  <c r="BP134" i="44"/>
  <c r="AV139" i="44"/>
  <c r="BR133" i="44"/>
  <c r="AS133" i="44"/>
  <c r="BZ130" i="44"/>
  <c r="BR134" i="44"/>
  <c r="BW130" i="44"/>
  <c r="BR142" i="44"/>
  <c r="BT132" i="44"/>
  <c r="AQ130" i="44"/>
  <c r="AU135" i="44"/>
  <c r="AU139" i="44"/>
  <c r="AF132" i="44"/>
  <c r="BS130" i="44"/>
  <c r="BZ132" i="44"/>
  <c r="AQ132" i="44"/>
  <c r="BT130" i="44"/>
  <c r="AS134" i="44"/>
  <c r="BS132" i="44"/>
  <c r="BX133" i="44"/>
  <c r="BM130" i="44"/>
  <c r="BQ142" i="44"/>
  <c r="BX142" i="44"/>
  <c r="BY465" i="43"/>
  <c r="BM467" i="43"/>
  <c r="BZ465" i="43"/>
  <c r="BM465" i="43"/>
  <c r="BE23" i="47"/>
  <c r="BS24" i="47" s="1"/>
  <c r="P467" i="43"/>
  <c r="Q467" i="43"/>
  <c r="BT129" i="44"/>
  <c r="BM14" i="47" s="1"/>
  <c r="AG129" i="44"/>
  <c r="Z14" i="47" s="1"/>
  <c r="BZ464" i="43"/>
  <c r="BS13" i="47" s="1"/>
  <c r="BS129" i="44"/>
  <c r="BL14" i="47" s="1"/>
  <c r="BM129" i="44"/>
  <c r="BF14" i="47" s="1"/>
  <c r="AQ129" i="44"/>
  <c r="AJ14" i="47" s="1"/>
  <c r="BM464" i="43"/>
  <c r="BF13" i="47" s="1"/>
  <c r="BY464" i="43"/>
  <c r="BR13" i="47" s="1"/>
  <c r="AF129" i="44"/>
  <c r="Y14" i="47" s="1"/>
  <c r="BY129" i="44"/>
  <c r="BR14" i="47" s="1"/>
  <c r="AZ12" i="44"/>
  <c r="AZ13" i="44" s="1"/>
  <c r="BU12" i="44"/>
  <c r="BU13" i="44" s="1"/>
  <c r="BV12" i="44"/>
  <c r="BV13" i="44" s="1"/>
  <c r="V13" i="43"/>
  <c r="BR12" i="43"/>
  <c r="BR13" i="43" s="1"/>
  <c r="BX12" i="43"/>
  <c r="BX13" i="43" s="1"/>
  <c r="I133" i="44"/>
  <c r="I134" i="44"/>
  <c r="I135" i="44"/>
  <c r="I136" i="44"/>
  <c r="I137" i="44"/>
  <c r="I138" i="44"/>
  <c r="I139" i="44"/>
  <c r="I140" i="44"/>
  <c r="I141" i="44"/>
  <c r="I142" i="44"/>
  <c r="AU35" i="44" l="1"/>
  <c r="BU70" i="44"/>
  <c r="AT121" i="44"/>
  <c r="AV102" i="44"/>
  <c r="AU42" i="44"/>
  <c r="AV187" i="43"/>
  <c r="BU374" i="43"/>
  <c r="BU358" i="43"/>
  <c r="AV180" i="43"/>
  <c r="BJ30" i="47"/>
  <c r="AV28" i="44"/>
  <c r="BO77" i="44"/>
  <c r="AH509" i="44"/>
  <c r="BI30" i="47"/>
  <c r="AV374" i="43"/>
  <c r="AU35" i="43"/>
  <c r="BU225" i="43"/>
  <c r="BO400" i="43"/>
  <c r="BO345" i="43"/>
  <c r="AV109" i="43"/>
  <c r="BO98" i="43"/>
  <c r="BO231" i="43"/>
  <c r="AU272" i="43"/>
  <c r="AV174" i="43"/>
  <c r="AU213" i="43"/>
  <c r="AU94" i="43"/>
  <c r="AU393" i="43"/>
  <c r="BO332" i="43"/>
  <c r="AV322" i="43"/>
  <c r="BO351" i="43"/>
  <c r="AU237" i="43"/>
  <c r="AU139" i="43"/>
  <c r="BU22" i="43"/>
  <c r="BU109" i="43"/>
  <c r="AU22" i="43"/>
  <c r="BF25" i="47"/>
  <c r="AJ25" i="47"/>
  <c r="B25" i="47"/>
  <c r="C24" i="47"/>
  <c r="L24" i="47"/>
  <c r="AV102" i="43"/>
  <c r="AV389" i="43"/>
  <c r="AV67" i="43"/>
  <c r="BO442" i="43"/>
  <c r="BO200" i="43"/>
  <c r="BO316" i="43"/>
  <c r="AU316" i="43"/>
  <c r="BO262" i="43"/>
  <c r="AV219" i="43"/>
  <c r="AU151" i="43"/>
  <c r="AU463" i="43"/>
  <c r="AU345" i="43"/>
  <c r="AV168" i="43"/>
  <c r="BO120" i="43"/>
  <c r="BO296" i="43"/>
  <c r="AV328" i="43"/>
  <c r="AU428" i="43"/>
  <c r="AU305" i="43"/>
  <c r="AV27" i="43"/>
  <c r="BO213" i="43"/>
  <c r="AV296" i="43"/>
  <c r="AU262" i="43"/>
  <c r="AV98" i="43"/>
  <c r="BU98" i="44"/>
  <c r="AZ22" i="44"/>
  <c r="BN22" i="44" s="1"/>
  <c r="BU102" i="44"/>
  <c r="BP509" i="44"/>
  <c r="AU92" i="44"/>
  <c r="AU49" i="44"/>
  <c r="AZ38" i="44"/>
  <c r="BN38" i="44" s="1"/>
  <c r="BN42" i="44" s="1"/>
  <c r="AA30" i="47"/>
  <c r="BO98" i="44"/>
  <c r="BU110" i="44"/>
  <c r="AZ18" i="44"/>
  <c r="BN18" i="44" s="1"/>
  <c r="AV63" i="44"/>
  <c r="AV19" i="44"/>
  <c r="AU59" i="43"/>
  <c r="AV200" i="43"/>
  <c r="AU414" i="43"/>
  <c r="AU102" i="43"/>
  <c r="BO421" i="43"/>
  <c r="BO94" i="43"/>
  <c r="AZ314" i="43"/>
  <c r="BN314" i="43" s="1"/>
  <c r="AZ92" i="43"/>
  <c r="BN92" i="43" s="1"/>
  <c r="BO145" i="43"/>
  <c r="AV383" i="43"/>
  <c r="AU449" i="43"/>
  <c r="AV22" i="43"/>
  <c r="BO219" i="43"/>
  <c r="AV120" i="43"/>
  <c r="BO370" i="43"/>
  <c r="AZ118" i="43"/>
  <c r="BN118" i="43" s="1"/>
  <c r="AZ341" i="43"/>
  <c r="BN341" i="43" s="1"/>
  <c r="BO59" i="43"/>
  <c r="AU389" i="43"/>
  <c r="BO31" i="43"/>
  <c r="AU332" i="43"/>
  <c r="AV59" i="43"/>
  <c r="BU180" i="43"/>
  <c r="BU231" i="43"/>
  <c r="AU31" i="43"/>
  <c r="AU442" i="43"/>
  <c r="BO414" i="43"/>
  <c r="BO187" i="43"/>
  <c r="AZ431" i="43"/>
  <c r="BN431" i="43" s="1"/>
  <c r="BO272" i="43"/>
  <c r="BV237" i="43"/>
  <c r="AV94" i="43"/>
  <c r="AV157" i="43"/>
  <c r="AV358" i="43"/>
  <c r="BU266" i="43"/>
  <c r="AU98" i="43"/>
  <c r="BO249" i="43"/>
  <c r="AU145" i="43"/>
  <c r="AV39" i="43"/>
  <c r="AU168" i="43"/>
  <c r="AZ107" i="43"/>
  <c r="BN107" i="43" s="1"/>
  <c r="AZ227" i="43"/>
  <c r="BN227" i="43" s="1"/>
  <c r="AU296" i="43"/>
  <c r="BU120" i="43"/>
  <c r="AZ57" i="43"/>
  <c r="BN57" i="43" s="1"/>
  <c r="BP12" i="43"/>
  <c r="BP13" i="43" s="1"/>
  <c r="BO428" i="43"/>
  <c r="BO463" i="43"/>
  <c r="BO456" i="43"/>
  <c r="BO27" i="43"/>
  <c r="BU125" i="43"/>
  <c r="AU363" i="43"/>
  <c r="BO39" i="43"/>
  <c r="BO168" i="43"/>
  <c r="AZ153" i="43"/>
  <c r="BN153" i="43" s="1"/>
  <c r="AZ379" i="43"/>
  <c r="BN379" i="43" s="1"/>
  <c r="AZ170" i="43"/>
  <c r="BN170" i="43" s="1"/>
  <c r="BO449" i="43"/>
  <c r="BO266" i="43"/>
  <c r="BU243" i="43"/>
  <c r="AU249" i="43"/>
  <c r="AV206" i="43"/>
  <c r="AU351" i="43"/>
  <c r="BU46" i="43"/>
  <c r="AZ239" i="43"/>
  <c r="BN239" i="43" s="1"/>
  <c r="BO67" i="43"/>
  <c r="BO328" i="43"/>
  <c r="AV276" i="43"/>
  <c r="AZ215" i="43"/>
  <c r="BN215" i="43" s="1"/>
  <c r="BO151" i="43"/>
  <c r="AU162" i="43"/>
  <c r="BO194" i="43"/>
  <c r="BO358" i="43"/>
  <c r="BO305" i="43"/>
  <c r="AV75" i="43"/>
  <c r="BV35" i="43"/>
  <c r="AZ395" i="43"/>
  <c r="BN395" i="43" s="1"/>
  <c r="AZ274" i="43"/>
  <c r="BN274" i="43" s="1"/>
  <c r="AZ176" i="43"/>
  <c r="BN176" i="43" s="1"/>
  <c r="W464" i="43"/>
  <c r="AJ465" i="43" s="1"/>
  <c r="AU174" i="43"/>
  <c r="AV266" i="43"/>
  <c r="AZ221" i="43"/>
  <c r="BN221" i="43" s="1"/>
  <c r="AZ25" i="43"/>
  <c r="BN25" i="43" s="1"/>
  <c r="AZ301" i="43"/>
  <c r="BN301" i="43" s="1"/>
  <c r="AV225" i="43"/>
  <c r="AV262" i="43"/>
  <c r="BO435" i="43"/>
  <c r="AZ347" i="43"/>
  <c r="BN347" i="43" s="1"/>
  <c r="AZ360" i="43"/>
  <c r="BN360" i="43" s="1"/>
  <c r="BN363" i="43" s="1"/>
  <c r="AZ96" i="43"/>
  <c r="BN96" i="43" s="1"/>
  <c r="AZ164" i="43"/>
  <c r="BN164" i="43" s="1"/>
  <c r="AZ159" i="43"/>
  <c r="BN159" i="43" s="1"/>
  <c r="AZ438" i="43"/>
  <c r="BN438" i="43" s="1"/>
  <c r="AZ128" i="43"/>
  <c r="BN128" i="43" s="1"/>
  <c r="AZ183" i="43"/>
  <c r="BN183" i="43" s="1"/>
  <c r="AZ279" i="43"/>
  <c r="BN279" i="43" s="1"/>
  <c r="BO243" i="43"/>
  <c r="BO157" i="43"/>
  <c r="AV336" i="43"/>
  <c r="AV370" i="43"/>
  <c r="AV345" i="43"/>
  <c r="AZ330" i="43"/>
  <c r="BN330" i="43" s="1"/>
  <c r="AZ353" i="43"/>
  <c r="BN353" i="43" s="1"/>
  <c r="AZ452" i="43"/>
  <c r="BN452" i="43" s="1"/>
  <c r="AZ424" i="43"/>
  <c r="BN424" i="43" s="1"/>
  <c r="AZ318" i="43"/>
  <c r="BN318" i="43" s="1"/>
  <c r="AZ386" i="43"/>
  <c r="BN386" i="43" s="1"/>
  <c r="AZ410" i="43"/>
  <c r="BN410" i="43" s="1"/>
  <c r="AZ417" i="43"/>
  <c r="BN417" i="43" s="1"/>
  <c r="AZ141" i="43"/>
  <c r="BN141" i="43" s="1"/>
  <c r="AZ147" i="43"/>
  <c r="BN147" i="43" s="1"/>
  <c r="AZ391" i="43"/>
  <c r="BN391" i="43" s="1"/>
  <c r="AZ326" i="43"/>
  <c r="BN326" i="43" s="1"/>
  <c r="AZ16" i="43"/>
  <c r="BN16" i="43" s="1"/>
  <c r="AZ233" i="43"/>
  <c r="BN233" i="43" s="1"/>
  <c r="AZ445" i="43"/>
  <c r="BN445" i="43" s="1"/>
  <c r="BO393" i="43"/>
  <c r="BO276" i="43"/>
  <c r="BU194" i="43"/>
  <c r="AU328" i="43"/>
  <c r="AV332" i="43"/>
  <c r="AU46" i="43"/>
  <c r="AZ65" i="43"/>
  <c r="BN65" i="43" s="1"/>
  <c r="AZ134" i="43"/>
  <c r="BN134" i="43" s="1"/>
  <c r="AZ202" i="43"/>
  <c r="BN202" i="43" s="1"/>
  <c r="AZ123" i="43"/>
  <c r="BN123" i="43" s="1"/>
  <c r="AZ334" i="43"/>
  <c r="BN334" i="43" s="1"/>
  <c r="AZ44" i="43"/>
  <c r="BN44" i="43" s="1"/>
  <c r="BN46" i="43" s="1"/>
  <c r="AZ33" i="43"/>
  <c r="BN33" i="43" s="1"/>
  <c r="AZ37" i="43"/>
  <c r="BN37" i="43" s="1"/>
  <c r="AZ29" i="43"/>
  <c r="BN29" i="43" s="1"/>
  <c r="AZ208" i="43"/>
  <c r="BN208" i="43" s="1"/>
  <c r="AZ245" i="43"/>
  <c r="BN245" i="43" s="1"/>
  <c r="V464" i="43"/>
  <c r="O13" i="47" s="1"/>
  <c r="O23" i="47" s="1"/>
  <c r="AB24" i="47" s="1"/>
  <c r="BO383" i="43"/>
  <c r="AV456" i="43"/>
  <c r="AU27" i="43"/>
  <c r="AV400" i="43"/>
  <c r="BO125" i="43"/>
  <c r="BO180" i="43"/>
  <c r="AZ291" i="43"/>
  <c r="BN291" i="43" s="1"/>
  <c r="AZ264" i="43"/>
  <c r="BN264" i="43" s="1"/>
  <c r="AZ100" i="43"/>
  <c r="BN100" i="43" s="1"/>
  <c r="AZ260" i="43"/>
  <c r="BN260" i="43" s="1"/>
  <c r="AZ268" i="43"/>
  <c r="BN268" i="43" s="1"/>
  <c r="AZ196" i="43"/>
  <c r="BN196" i="43" s="1"/>
  <c r="AZ372" i="43"/>
  <c r="BN372" i="43" s="1"/>
  <c r="AZ20" i="43"/>
  <c r="BN20" i="43" s="1"/>
  <c r="AZ461" i="43"/>
  <c r="BN461" i="43" s="1"/>
  <c r="AZ189" i="43"/>
  <c r="BN189" i="43" s="1"/>
  <c r="AZ73" i="43"/>
  <c r="BN73" i="43" s="1"/>
  <c r="AZ366" i="43"/>
  <c r="BN366" i="43" s="1"/>
  <c r="AV128" i="44"/>
  <c r="AZ31" i="44"/>
  <c r="BN31" i="44" s="1"/>
  <c r="BN35" i="44" s="1"/>
  <c r="AV56" i="44"/>
  <c r="AZ66" i="44"/>
  <c r="BN66" i="44" s="1"/>
  <c r="AZ124" i="44"/>
  <c r="BN124" i="44" s="1"/>
  <c r="AZ95" i="44"/>
  <c r="BN95" i="44" s="1"/>
  <c r="BO110" i="44"/>
  <c r="AV77" i="44"/>
  <c r="BU63" i="44"/>
  <c r="AZ59" i="44"/>
  <c r="BN59" i="44" s="1"/>
  <c r="BN63" i="44" s="1"/>
  <c r="AV42" i="44"/>
  <c r="AU63" i="44"/>
  <c r="AK30" i="47"/>
  <c r="AZ100" i="44"/>
  <c r="BN100" i="44" s="1"/>
  <c r="AV136" i="44"/>
  <c r="AU136" i="44"/>
  <c r="BO136" i="44"/>
  <c r="AV121" i="44"/>
  <c r="AU28" i="44"/>
  <c r="AV35" i="44"/>
  <c r="AZ90" i="44"/>
  <c r="BN90" i="44" s="1"/>
  <c r="AZ107" i="44"/>
  <c r="BN107" i="44" s="1"/>
  <c r="AZ45" i="44"/>
  <c r="BN45" i="44" s="1"/>
  <c r="BN49" i="44" s="1"/>
  <c r="AZ80" i="44"/>
  <c r="BN80" i="44" s="1"/>
  <c r="BV80" i="44"/>
  <c r="BV136" i="44" s="1"/>
  <c r="AV84" i="44"/>
  <c r="BU84" i="44"/>
  <c r="AV49" i="44"/>
  <c r="BO102" i="44"/>
  <c r="AZ52" i="44"/>
  <c r="BN52" i="44" s="1"/>
  <c r="AZ73" i="44"/>
  <c r="BN73" i="44" s="1"/>
  <c r="AZ116" i="44"/>
  <c r="BN116" i="44" s="1"/>
  <c r="AK34" i="47"/>
  <c r="BP129" i="44"/>
  <c r="BI14" i="47" s="1"/>
  <c r="AZ120" i="44"/>
  <c r="BN120" i="44" s="1"/>
  <c r="BO19" i="44"/>
  <c r="AQ466" i="43"/>
  <c r="BK33" i="47"/>
  <c r="BJ28" i="47"/>
  <c r="AL27" i="47"/>
  <c r="AL28" i="47"/>
  <c r="AA28" i="47"/>
  <c r="AL29" i="47"/>
  <c r="AK27" i="47"/>
  <c r="BQ27" i="47"/>
  <c r="BI28" i="47"/>
  <c r="BK28" i="47"/>
  <c r="AM34" i="47"/>
  <c r="BK35" i="47"/>
  <c r="BJ35" i="47"/>
  <c r="BK27" i="47"/>
  <c r="BQ28" i="47"/>
  <c r="AA35" i="47"/>
  <c r="AL34" i="47"/>
  <c r="BI35" i="47"/>
  <c r="AA27" i="47"/>
  <c r="BQ35" i="47"/>
  <c r="AL35" i="47"/>
  <c r="AA34" i="47"/>
  <c r="BJ27" i="47"/>
  <c r="BI27" i="47"/>
  <c r="AK28" i="47"/>
  <c r="AR509" i="44"/>
  <c r="AK35" i="47"/>
  <c r="BV175" i="43"/>
  <c r="BV180" i="43" s="1"/>
  <c r="AI13" i="47"/>
  <c r="AI23" i="47" s="1"/>
  <c r="BM24" i="47" s="1"/>
  <c r="BT467" i="43"/>
  <c r="BM36" i="47"/>
  <c r="BM26" i="47" s="1"/>
  <c r="BS467" i="43"/>
  <c r="BL36" i="47"/>
  <c r="BL26" i="47" s="1"/>
  <c r="BL13" i="47"/>
  <c r="AR13" i="47"/>
  <c r="AR23" i="47" s="1"/>
  <c r="BP24" i="47" s="1"/>
  <c r="AQ467" i="43"/>
  <c r="AJ36" i="47"/>
  <c r="AJ26" i="47" s="1"/>
  <c r="BU56" i="43"/>
  <c r="BU59" i="43" s="1"/>
  <c r="BU60" i="43"/>
  <c r="BU63" i="43" s="1"/>
  <c r="BV457" i="43"/>
  <c r="BV459" i="43" s="1"/>
  <c r="BV325" i="43"/>
  <c r="BV328" i="43" s="1"/>
  <c r="BU40" i="43"/>
  <c r="BU42" i="43" s="1"/>
  <c r="BU32" i="43"/>
  <c r="BU35" i="43" s="1"/>
  <c r="BV371" i="43"/>
  <c r="BV374" i="43" s="1"/>
  <c r="BV226" i="43"/>
  <c r="BV231" i="43" s="1"/>
  <c r="BV259" i="43"/>
  <c r="BV262" i="43" s="1"/>
  <c r="BV220" i="43"/>
  <c r="BV225" i="43" s="1"/>
  <c r="BQ129" i="44"/>
  <c r="BJ14" i="47" s="1"/>
  <c r="BQ509" i="44"/>
  <c r="BO121" i="44"/>
  <c r="AT142" i="44"/>
  <c r="BV121" i="43"/>
  <c r="BV125" i="43" s="1"/>
  <c r="BU384" i="43"/>
  <c r="BU389" i="43" s="1"/>
  <c r="BV64" i="43"/>
  <c r="BV67" i="43" s="1"/>
  <c r="BU87" i="43"/>
  <c r="BU90" i="43" s="1"/>
  <c r="BO283" i="43"/>
  <c r="BU299" i="43"/>
  <c r="BU305" i="43" s="1"/>
  <c r="BV80" i="43"/>
  <c r="BV82" i="43" s="1"/>
  <c r="BV36" i="43"/>
  <c r="BV39" i="43" s="1"/>
  <c r="BV71" i="43"/>
  <c r="BV75" i="43" s="1"/>
  <c r="BV110" i="43"/>
  <c r="BV113" i="43" s="1"/>
  <c r="BU83" i="43"/>
  <c r="BU86" i="43" s="1"/>
  <c r="BV337" i="43"/>
  <c r="BV345" i="43" s="1"/>
  <c r="BV364" i="43"/>
  <c r="BV370" i="43" s="1"/>
  <c r="BV117" i="43"/>
  <c r="BV120" i="43" s="1"/>
  <c r="BV333" i="43"/>
  <c r="BV336" i="43" s="1"/>
  <c r="BV95" i="43"/>
  <c r="BV98" i="43" s="1"/>
  <c r="BU187" i="43"/>
  <c r="BV384" i="43"/>
  <c r="BV389" i="43" s="1"/>
  <c r="AZ17" i="43"/>
  <c r="BN17" i="43" s="1"/>
  <c r="BU337" i="43"/>
  <c r="BU345" i="43" s="1"/>
  <c r="BV111" i="44"/>
  <c r="BV112" i="44" s="1"/>
  <c r="BV133" i="43"/>
  <c r="BV139" i="43" s="1"/>
  <c r="BV394" i="43"/>
  <c r="BV400" i="43" s="1"/>
  <c r="BU23" i="43"/>
  <c r="BU27" i="43" s="1"/>
  <c r="BU297" i="43"/>
  <c r="BU298" i="43" s="1"/>
  <c r="BU329" i="43"/>
  <c r="BU332" i="43" s="1"/>
  <c r="BV181" i="43"/>
  <c r="BV187" i="43" s="1"/>
  <c r="BV429" i="43"/>
  <c r="BV435" i="43" s="1"/>
  <c r="BU383" i="43"/>
  <c r="BM23" i="47"/>
  <c r="BU284" i="43"/>
  <c r="BU288" i="43" s="1"/>
  <c r="AZ130" i="43"/>
  <c r="BV375" i="43"/>
  <c r="BV376" i="43" s="1"/>
  <c r="BV163" i="43"/>
  <c r="BV168" i="43" s="1"/>
  <c r="BU443" i="43"/>
  <c r="BU449" i="43" s="1"/>
  <c r="BU257" i="43"/>
  <c r="BU258" i="43" s="1"/>
  <c r="BU95" i="43"/>
  <c r="BU98" i="43" s="1"/>
  <c r="BU207" i="43"/>
  <c r="BU213" i="43" s="1"/>
  <c r="BV99" i="43"/>
  <c r="BV102" i="43" s="1"/>
  <c r="BU136" i="44"/>
  <c r="BV169" i="43"/>
  <c r="BV174" i="43" s="1"/>
  <c r="BU133" i="43"/>
  <c r="BU139" i="43" s="1"/>
  <c r="BU363" i="43"/>
  <c r="BU283" i="43"/>
  <c r="BV401" i="43"/>
  <c r="BV407" i="43" s="1"/>
  <c r="BV306" i="43"/>
  <c r="BV312" i="43" s="1"/>
  <c r="BV56" i="43"/>
  <c r="BV59" i="43" s="1"/>
  <c r="BU267" i="43"/>
  <c r="BU272" i="43" s="1"/>
  <c r="AZ443" i="43"/>
  <c r="AZ158" i="43"/>
  <c r="BN19" i="43"/>
  <c r="BU422" i="43"/>
  <c r="BU428" i="43" s="1"/>
  <c r="BV195" i="43"/>
  <c r="BV200" i="43" s="1"/>
  <c r="BU99" i="43"/>
  <c r="BU102" i="43" s="1"/>
  <c r="BU460" i="43"/>
  <c r="BU463" i="43" s="1"/>
  <c r="BU77" i="44"/>
  <c r="BU289" i="43"/>
  <c r="BU296" i="43" s="1"/>
  <c r="BU244" i="43"/>
  <c r="BU249" i="43" s="1"/>
  <c r="BU169" i="43"/>
  <c r="BU174" i="43" s="1"/>
  <c r="BU158" i="43"/>
  <c r="BU162" i="43" s="1"/>
  <c r="BU408" i="43"/>
  <c r="BU414" i="43" s="1"/>
  <c r="BU67" i="43"/>
  <c r="BV87" i="43"/>
  <c r="BV90" i="43" s="1"/>
  <c r="BU390" i="43"/>
  <c r="BU393" i="43" s="1"/>
  <c r="BV257" i="43"/>
  <c r="BV258" i="43" s="1"/>
  <c r="BV263" i="43"/>
  <c r="BV266" i="43" s="1"/>
  <c r="BV377" i="43"/>
  <c r="BV383" i="43" s="1"/>
  <c r="BV214" i="43"/>
  <c r="BV219" i="43" s="1"/>
  <c r="BV91" i="43"/>
  <c r="BV94" i="43" s="1"/>
  <c r="BV152" i="43"/>
  <c r="BV157" i="43" s="1"/>
  <c r="BV40" i="43"/>
  <c r="BV42" i="43" s="1"/>
  <c r="BU53" i="43"/>
  <c r="BU55" i="43" s="1"/>
  <c r="BV273" i="43"/>
  <c r="BV276" i="43" s="1"/>
  <c r="BU146" i="43"/>
  <c r="BU151" i="43" s="1"/>
  <c r="BV201" i="43"/>
  <c r="BV206" i="43" s="1"/>
  <c r="BU28" i="43"/>
  <c r="BU31" i="43" s="1"/>
  <c r="BV443" i="43"/>
  <c r="BV449" i="43" s="1"/>
  <c r="BV106" i="43"/>
  <c r="BV109" i="43" s="1"/>
  <c r="BU17" i="43"/>
  <c r="BU18" i="43" s="1"/>
  <c r="BU346" i="43"/>
  <c r="BU351" i="43" s="1"/>
  <c r="AZ337" i="43"/>
  <c r="AZ259" i="43"/>
  <c r="AU283" i="43"/>
  <c r="AZ99" i="43"/>
  <c r="AZ325" i="43"/>
  <c r="AZ95" i="43"/>
  <c r="AZ278" i="43"/>
  <c r="BN278" i="43" s="1"/>
  <c r="BU163" i="43"/>
  <c r="BU168" i="43" s="1"/>
  <c r="BV408" i="43"/>
  <c r="BV414" i="43" s="1"/>
  <c r="AZ40" i="43"/>
  <c r="AZ42" i="43" s="1"/>
  <c r="AZ408" i="43"/>
  <c r="BU436" i="43"/>
  <c r="BU442" i="43" s="1"/>
  <c r="AZ169" i="43"/>
  <c r="BU89" i="44"/>
  <c r="BU92" i="44" s="1"/>
  <c r="BV105" i="44"/>
  <c r="BV110" i="44" s="1"/>
  <c r="BV99" i="44"/>
  <c r="BV102" i="44" s="1"/>
  <c r="BV93" i="44"/>
  <c r="BV98" i="44" s="1"/>
  <c r="AT19" i="44"/>
  <c r="AT509" i="44" s="1"/>
  <c r="BV78" i="44"/>
  <c r="BV50" i="44"/>
  <c r="BV56" i="44" s="1"/>
  <c r="BU35" i="44"/>
  <c r="BV122" i="44"/>
  <c r="BV128" i="44" s="1"/>
  <c r="BU121" i="44"/>
  <c r="BU201" i="43"/>
  <c r="BU206" i="43" s="1"/>
  <c r="AU206" i="43"/>
  <c r="BU457" i="43"/>
  <c r="BU459" i="43" s="1"/>
  <c r="BU232" i="43"/>
  <c r="BU237" i="43" s="1"/>
  <c r="BV450" i="43"/>
  <c r="BV456" i="43" s="1"/>
  <c r="BU140" i="43"/>
  <c r="BU145" i="43" s="1"/>
  <c r="AZ232" i="43"/>
  <c r="AV237" i="43"/>
  <c r="AZ450" i="43"/>
  <c r="AU456" i="43"/>
  <c r="BU415" i="43"/>
  <c r="BU421" i="43" s="1"/>
  <c r="AU421" i="43"/>
  <c r="BV238" i="43"/>
  <c r="BV243" i="43" s="1"/>
  <c r="AV243" i="43"/>
  <c r="BU250" i="43"/>
  <c r="BU256" i="43" s="1"/>
  <c r="AU256" i="43"/>
  <c r="BV158" i="43"/>
  <c r="BV162" i="43" s="1"/>
  <c r="AV162" i="43"/>
  <c r="AZ64" i="43"/>
  <c r="AU67" i="43"/>
  <c r="AZ401" i="43"/>
  <c r="AZ407" i="43" s="1"/>
  <c r="AU407" i="43"/>
  <c r="AZ56" i="43"/>
  <c r="AZ114" i="43"/>
  <c r="AZ116" i="43" s="1"/>
  <c r="AU116" i="43"/>
  <c r="AT283" i="43"/>
  <c r="AZ76" i="43"/>
  <c r="AZ79" i="43" s="1"/>
  <c r="AU79" i="43"/>
  <c r="AZ80" i="43"/>
  <c r="AZ82" i="43" s="1"/>
  <c r="AU82" i="43"/>
  <c r="BV346" i="43"/>
  <c r="BV351" i="43" s="1"/>
  <c r="AV351" i="43"/>
  <c r="AZ14" i="43"/>
  <c r="AU18" i="43"/>
  <c r="AZ214" i="43"/>
  <c r="AU219" i="43"/>
  <c r="AZ306" i="43"/>
  <c r="AZ312" i="43" s="1"/>
  <c r="AU312" i="43"/>
  <c r="AZ436" i="43"/>
  <c r="AV442" i="43"/>
  <c r="BV436" i="43"/>
  <c r="BV442" i="43" s="1"/>
  <c r="BV114" i="43"/>
  <c r="BV116" i="43" s="1"/>
  <c r="AZ238" i="43"/>
  <c r="AU243" i="43"/>
  <c r="AZ146" i="43"/>
  <c r="AV151" i="43"/>
  <c r="AZ333" i="43"/>
  <c r="AU336" i="43"/>
  <c r="AZ299" i="43"/>
  <c r="AZ68" i="43"/>
  <c r="AZ70" i="43" s="1"/>
  <c r="AU70" i="43"/>
  <c r="AZ371" i="43"/>
  <c r="AU374" i="43"/>
  <c r="AZ375" i="43"/>
  <c r="AZ376" i="43" s="1"/>
  <c r="AU376" i="43"/>
  <c r="AZ263" i="43"/>
  <c r="AU266" i="43"/>
  <c r="AZ152" i="43"/>
  <c r="BV277" i="43"/>
  <c r="BV283" i="43" s="1"/>
  <c r="AV283" i="43"/>
  <c r="BU110" i="43"/>
  <c r="BU113" i="43" s="1"/>
  <c r="AU113" i="43"/>
  <c r="AV18" i="43"/>
  <c r="AZ384" i="43"/>
  <c r="BV415" i="43"/>
  <c r="BV421" i="43" s="1"/>
  <c r="AV421" i="43"/>
  <c r="AZ460" i="43"/>
  <c r="AV463" i="43"/>
  <c r="BV250" i="43"/>
  <c r="BV256" i="43" s="1"/>
  <c r="AV256" i="43"/>
  <c r="AZ364" i="43"/>
  <c r="AU370" i="43"/>
  <c r="AZ195" i="43"/>
  <c r="AU200" i="43"/>
  <c r="BV390" i="43"/>
  <c r="BV393" i="43" s="1"/>
  <c r="AV393" i="43"/>
  <c r="BU364" i="43"/>
  <c r="BU370" i="43" s="1"/>
  <c r="BU91" i="43"/>
  <c r="BU94" i="43" s="1"/>
  <c r="BV299" i="43"/>
  <c r="BV305" i="43" s="1"/>
  <c r="BV329" i="43"/>
  <c r="BV332" i="43" s="1"/>
  <c r="BV284" i="43"/>
  <c r="BV288" i="43" s="1"/>
  <c r="BU313" i="43"/>
  <c r="BU316" i="43" s="1"/>
  <c r="AZ377" i="43"/>
  <c r="AU383" i="43"/>
  <c r="AZ103" i="43"/>
  <c r="AZ105" i="43" s="1"/>
  <c r="AU105" i="43"/>
  <c r="AZ323" i="43"/>
  <c r="AZ324" i="43" s="1"/>
  <c r="AU324" i="43"/>
  <c r="BV126" i="43"/>
  <c r="AV132" i="43"/>
  <c r="AZ71" i="43"/>
  <c r="AU75" i="43"/>
  <c r="AZ352" i="43"/>
  <c r="AU358" i="43"/>
  <c r="AZ53" i="43"/>
  <c r="AZ55" i="43" s="1"/>
  <c r="AV55" i="43"/>
  <c r="AZ60" i="43"/>
  <c r="AZ63" i="43" s="1"/>
  <c r="BV207" i="43"/>
  <c r="BV213" i="43" s="1"/>
  <c r="AV213" i="43"/>
  <c r="BV28" i="43"/>
  <c r="BV31" i="43" s="1"/>
  <c r="AV31" i="43"/>
  <c r="AZ181" i="43"/>
  <c r="AU187" i="43"/>
  <c r="AZ91" i="43"/>
  <c r="AZ226" i="43"/>
  <c r="AU231" i="43"/>
  <c r="AZ244" i="43"/>
  <c r="AV249" i="43"/>
  <c r="AZ87" i="43"/>
  <c r="AZ90" i="43" s="1"/>
  <c r="BU152" i="43"/>
  <c r="BU157" i="43" s="1"/>
  <c r="AU157" i="43"/>
  <c r="BU195" i="43"/>
  <c r="BU200" i="43" s="1"/>
  <c r="BV297" i="43"/>
  <c r="BV298" i="43" s="1"/>
  <c r="BV60" i="43"/>
  <c r="BV63" i="43" s="1"/>
  <c r="BU273" i="43"/>
  <c r="BU276" i="43" s="1"/>
  <c r="BV76" i="43"/>
  <c r="BV79" i="43" s="1"/>
  <c r="BV244" i="43"/>
  <c r="BV249" i="43" s="1"/>
  <c r="AZ188" i="43"/>
  <c r="AU194" i="43"/>
  <c r="AZ140" i="43"/>
  <c r="AZ422" i="43"/>
  <c r="AV428" i="43"/>
  <c r="AZ126" i="43"/>
  <c r="BN126" i="43" s="1"/>
  <c r="AU132" i="43"/>
  <c r="BV267" i="43"/>
  <c r="BV272" i="43" s="1"/>
  <c r="AV272" i="43"/>
  <c r="AZ220" i="43"/>
  <c r="AU225" i="43"/>
  <c r="AZ429" i="43"/>
  <c r="AU435" i="43"/>
  <c r="BU317" i="43"/>
  <c r="BU322" i="43" s="1"/>
  <c r="AU322" i="43"/>
  <c r="AZ163" i="43"/>
  <c r="AZ36" i="43"/>
  <c r="AU39" i="43"/>
  <c r="AZ273" i="43"/>
  <c r="AZ83" i="43"/>
  <c r="AZ86" i="43" s="1"/>
  <c r="AV86" i="43"/>
  <c r="AZ47" i="43"/>
  <c r="AZ49" i="43" s="1"/>
  <c r="AV49" i="43"/>
  <c r="AZ106" i="43"/>
  <c r="AU109" i="43"/>
  <c r="BV188" i="43"/>
  <c r="BV194" i="43" s="1"/>
  <c r="AV194" i="43"/>
  <c r="AZ284" i="43"/>
  <c r="AZ288" i="43" s="1"/>
  <c r="AZ289" i="43"/>
  <c r="AZ175" i="43"/>
  <c r="AU180" i="43"/>
  <c r="AZ121" i="43"/>
  <c r="AU125" i="43"/>
  <c r="AZ133" i="43"/>
  <c r="BV140" i="43"/>
  <c r="BV145" i="43" s="1"/>
  <c r="AV145" i="43"/>
  <c r="AZ457" i="43"/>
  <c r="AZ459" i="43" s="1"/>
  <c r="AZ313" i="43"/>
  <c r="AV316" i="43"/>
  <c r="AZ117" i="43"/>
  <c r="AU120" i="43"/>
  <c r="AZ257" i="43"/>
  <c r="AZ258" i="43" s="1"/>
  <c r="AZ50" i="43"/>
  <c r="AZ52" i="43" s="1"/>
  <c r="AU52" i="43"/>
  <c r="AZ329" i="43"/>
  <c r="AZ32" i="43"/>
  <c r="AV35" i="43"/>
  <c r="AZ394" i="43"/>
  <c r="AU400" i="43"/>
  <c r="AZ23" i="43"/>
  <c r="AT132" i="43"/>
  <c r="BV460" i="43"/>
  <c r="BV463" i="43" s="1"/>
  <c r="AZ415" i="43"/>
  <c r="AZ110" i="43"/>
  <c r="AZ113" i="43" s="1"/>
  <c r="AZ201" i="43"/>
  <c r="AZ317" i="43"/>
  <c r="AZ322" i="43" s="1"/>
  <c r="BU80" i="43"/>
  <c r="BU82" i="43" s="1"/>
  <c r="AZ28" i="43"/>
  <c r="AZ207" i="43"/>
  <c r="BV422" i="43"/>
  <c r="BV428" i="43" s="1"/>
  <c r="BU36" i="43"/>
  <c r="BU39" i="43" s="1"/>
  <c r="AZ346" i="43"/>
  <c r="AZ250" i="43"/>
  <c r="AZ390" i="43"/>
  <c r="BV47" i="43"/>
  <c r="BV49" i="43" s="1"/>
  <c r="BU323" i="43"/>
  <c r="BU324" i="43" s="1"/>
  <c r="AZ138" i="43"/>
  <c r="BN138" i="43" s="1"/>
  <c r="AZ127" i="43"/>
  <c r="BN127" i="43" s="1"/>
  <c r="BU333" i="43"/>
  <c r="BU336" i="43" s="1"/>
  <c r="AZ267" i="43"/>
  <c r="AZ277" i="43"/>
  <c r="AZ297" i="43"/>
  <c r="AZ298" i="43" s="1"/>
  <c r="AU471" i="43"/>
  <c r="BO471" i="43"/>
  <c r="AT476" i="43"/>
  <c r="BS465" i="43"/>
  <c r="BO132" i="43"/>
  <c r="AZ50" i="44"/>
  <c r="AZ56" i="44" s="1"/>
  <c r="AU56" i="44"/>
  <c r="BV85" i="44"/>
  <c r="BV88" i="44" s="1"/>
  <c r="BV113" i="44"/>
  <c r="BV121" i="44" s="1"/>
  <c r="AZ17" i="44"/>
  <c r="AZ85" i="44"/>
  <c r="AZ88" i="44" s="1"/>
  <c r="AU88" i="44"/>
  <c r="AZ105" i="44"/>
  <c r="AU110" i="44"/>
  <c r="BV64" i="44"/>
  <c r="BV70" i="44" s="1"/>
  <c r="AV70" i="44"/>
  <c r="AZ71" i="44"/>
  <c r="AU77" i="44"/>
  <c r="BV49" i="44"/>
  <c r="BV71" i="44"/>
  <c r="BV77" i="44" s="1"/>
  <c r="AZ64" i="44"/>
  <c r="AU70" i="44"/>
  <c r="AZ111" i="44"/>
  <c r="AZ112" i="44" s="1"/>
  <c r="BN21" i="44"/>
  <c r="AZ103" i="44"/>
  <c r="AZ104" i="44" s="1"/>
  <c r="AV104" i="44"/>
  <c r="BU122" i="44"/>
  <c r="BU128" i="44" s="1"/>
  <c r="AU128" i="44"/>
  <c r="BV89" i="44"/>
  <c r="BV92" i="44" s="1"/>
  <c r="AV92" i="44"/>
  <c r="AZ89" i="44"/>
  <c r="AZ99" i="44"/>
  <c r="AU102" i="44"/>
  <c r="AZ113" i="44"/>
  <c r="AU121" i="44"/>
  <c r="AZ93" i="44"/>
  <c r="AU98" i="44"/>
  <c r="AZ78" i="44"/>
  <c r="AU84" i="44"/>
  <c r="BU50" i="44"/>
  <c r="BU56" i="44" s="1"/>
  <c r="AZ122" i="44"/>
  <c r="BO140" i="44"/>
  <c r="BH34" i="47" s="1"/>
  <c r="AT135" i="44"/>
  <c r="C23" i="47"/>
  <c r="BP23" i="47"/>
  <c r="AU142" i="44"/>
  <c r="BU103" i="44"/>
  <c r="BU104" i="44" s="1"/>
  <c r="AV142" i="44"/>
  <c r="BV103" i="44"/>
  <c r="BV104" i="44" s="1"/>
  <c r="BV17" i="44"/>
  <c r="AU141" i="44"/>
  <c r="BU111" i="44"/>
  <c r="BU112" i="44" s="1"/>
  <c r="AU140" i="44"/>
  <c r="BU17" i="44"/>
  <c r="BU19" i="44" s="1"/>
  <c r="BP26" i="47"/>
  <c r="AQ465" i="43"/>
  <c r="BO470" i="43"/>
  <c r="BH29" i="47" s="1"/>
  <c r="BV18" i="43"/>
  <c r="BT465" i="43"/>
  <c r="BW465" i="43"/>
  <c r="BU132" i="43"/>
  <c r="BO18" i="43"/>
  <c r="BV130" i="43"/>
  <c r="BV475" i="43" s="1"/>
  <c r="BV53" i="43"/>
  <c r="BV55" i="43" s="1"/>
  <c r="BU114" i="43"/>
  <c r="BU116" i="43" s="1"/>
  <c r="BV146" i="43"/>
  <c r="BV151" i="43" s="1"/>
  <c r="BV103" i="43"/>
  <c r="BV105" i="43" s="1"/>
  <c r="BV83" i="43"/>
  <c r="BV86" i="43" s="1"/>
  <c r="BV313" i="43"/>
  <c r="BV316" i="43" s="1"/>
  <c r="BU47" i="43"/>
  <c r="BU49" i="43" s="1"/>
  <c r="BX466" i="43"/>
  <c r="BU394" i="43"/>
  <c r="BU400" i="43" s="1"/>
  <c r="BV317" i="43"/>
  <c r="BV322" i="43" s="1"/>
  <c r="AQ464" i="43"/>
  <c r="BU259" i="43"/>
  <c r="BU262" i="43" s="1"/>
  <c r="BV352" i="43"/>
  <c r="BV358" i="43" s="1"/>
  <c r="BU306" i="43"/>
  <c r="BU312" i="43" s="1"/>
  <c r="BV50" i="43"/>
  <c r="BV52" i="43" s="1"/>
  <c r="BV323" i="43"/>
  <c r="BV324" i="43" s="1"/>
  <c r="BU325" i="43"/>
  <c r="BU328" i="43" s="1"/>
  <c r="BV23" i="43"/>
  <c r="BV27" i="43" s="1"/>
  <c r="BV289" i="43"/>
  <c r="BV296" i="43" s="1"/>
  <c r="BU450" i="43"/>
  <c r="BU456" i="43" s="1"/>
  <c r="BV68" i="43"/>
  <c r="BV70" i="43" s="1"/>
  <c r="BW467" i="43"/>
  <c r="AV476" i="43"/>
  <c r="AU476" i="43"/>
  <c r="AT474" i="43"/>
  <c r="AM33" i="47" s="1"/>
  <c r="I466" i="43"/>
  <c r="AU474" i="43"/>
  <c r="AN33" i="47" s="1"/>
  <c r="AV475" i="43"/>
  <c r="AT471" i="43"/>
  <c r="AM30" i="47" s="1"/>
  <c r="I23" i="47"/>
  <c r="AT470" i="43"/>
  <c r="BO474" i="43"/>
  <c r="BH33" i="47" s="1"/>
  <c r="AV474" i="43"/>
  <c r="AO33" i="47" s="1"/>
  <c r="AV471" i="43"/>
  <c r="AU475" i="43"/>
  <c r="AT134" i="44"/>
  <c r="BN16" i="44"/>
  <c r="AV141" i="44"/>
  <c r="AV140" i="44"/>
  <c r="J23" i="47"/>
  <c r="I130" i="44"/>
  <c r="BO141" i="44"/>
  <c r="AT141" i="44"/>
  <c r="AS129" i="44"/>
  <c r="AL14" i="47" s="1"/>
  <c r="AV134" i="44"/>
  <c r="AR129" i="44"/>
  <c r="AK14" i="47" s="1"/>
  <c r="BS26" i="47"/>
  <c r="AU134" i="44"/>
  <c r="BX129" i="44"/>
  <c r="BQ14" i="47" s="1"/>
  <c r="BR26" i="47"/>
  <c r="AV469" i="43"/>
  <c r="AV468" i="43"/>
  <c r="AR12" i="43"/>
  <c r="AR13" i="43" s="1"/>
  <c r="BO468" i="43"/>
  <c r="AU469" i="43"/>
  <c r="AU468" i="43"/>
  <c r="AF477" i="43"/>
  <c r="Y36" i="47" s="1"/>
  <c r="AT468" i="43"/>
  <c r="BO469" i="43"/>
  <c r="AG477" i="43"/>
  <c r="Z36" i="47" s="1"/>
  <c r="W467" i="43"/>
  <c r="P26" i="47"/>
  <c r="AT469" i="43"/>
  <c r="AV470" i="43"/>
  <c r="AO29" i="47" s="1"/>
  <c r="BX464" i="43"/>
  <c r="BQ13" i="47" s="1"/>
  <c r="BX477" i="43"/>
  <c r="BR464" i="43"/>
  <c r="BK13" i="47" s="1"/>
  <c r="BR477" i="43"/>
  <c r="BK36" i="47" s="1"/>
  <c r="BO476" i="43"/>
  <c r="AU470" i="43"/>
  <c r="AN29" i="47" s="1"/>
  <c r="BR129" i="44"/>
  <c r="BK14" i="47" s="1"/>
  <c r="BO142" i="44"/>
  <c r="AR132" i="44"/>
  <c r="BR131" i="44"/>
  <c r="AV133" i="44"/>
  <c r="AU133" i="44"/>
  <c r="BF23" i="47"/>
  <c r="BF26" i="47"/>
  <c r="AH131" i="44"/>
  <c r="AH23" i="47"/>
  <c r="BD23" i="47"/>
  <c r="BF24" i="47" s="1"/>
  <c r="AH130" i="44"/>
  <c r="BP130" i="44"/>
  <c r="AZ139" i="44"/>
  <c r="BX130" i="44"/>
  <c r="BR23" i="47"/>
  <c r="BX132" i="44"/>
  <c r="AS132" i="44"/>
  <c r="BP132" i="44"/>
  <c r="BV135" i="44"/>
  <c r="BQ130" i="44"/>
  <c r="AT133" i="44"/>
  <c r="BO133" i="44"/>
  <c r="AH132" i="44"/>
  <c r="BV139" i="44"/>
  <c r="BU135" i="44"/>
  <c r="BR132" i="44"/>
  <c r="BQ132" i="44"/>
  <c r="BR130" i="44"/>
  <c r="BX131" i="44"/>
  <c r="BU139" i="44"/>
  <c r="BO134" i="44"/>
  <c r="BS23" i="47"/>
  <c r="BX465" i="43"/>
  <c r="AI465" i="43"/>
  <c r="BR465" i="43"/>
  <c r="AH129" i="44"/>
  <c r="AA14" i="47" s="1"/>
  <c r="BN12" i="44"/>
  <c r="BN13" i="44" s="1"/>
  <c r="BQ12" i="43"/>
  <c r="BQ13" i="43" s="1"/>
  <c r="AS12" i="43"/>
  <c r="AH12" i="43"/>
  <c r="I132" i="44"/>
  <c r="AZ35" i="44" l="1"/>
  <c r="AZ63" i="44"/>
  <c r="AZ42" i="44"/>
  <c r="AZ225" i="43"/>
  <c r="AZ351" i="43"/>
  <c r="AZ345" i="43"/>
  <c r="AZ31" i="43"/>
  <c r="AH13" i="43"/>
  <c r="AU12" i="43"/>
  <c r="AZ28" i="44"/>
  <c r="BN28" i="44"/>
  <c r="AZ19" i="44"/>
  <c r="BV84" i="44"/>
  <c r="AZ92" i="44"/>
  <c r="AZ128" i="44"/>
  <c r="BP477" i="43"/>
  <c r="BI36" i="47" s="1"/>
  <c r="BI26" i="47" s="1"/>
  <c r="AZ35" i="43"/>
  <c r="AZ120" i="43"/>
  <c r="AZ316" i="43"/>
  <c r="AZ272" i="43"/>
  <c r="BK25" i="47"/>
  <c r="BQ24" i="47"/>
  <c r="B24" i="47"/>
  <c r="AJ24" i="47"/>
  <c r="BL24" i="47"/>
  <c r="BQ25" i="47"/>
  <c r="BR24" i="47"/>
  <c r="AZ243" i="43"/>
  <c r="AZ194" i="43"/>
  <c r="AZ157" i="43"/>
  <c r="AZ414" i="43"/>
  <c r="AZ374" i="43"/>
  <c r="AZ125" i="43"/>
  <c r="AZ98" i="43"/>
  <c r="AZ332" i="43"/>
  <c r="AZ94" i="43"/>
  <c r="AZ180" i="43"/>
  <c r="AZ109" i="43"/>
  <c r="AZ435" i="43"/>
  <c r="AZ70" i="44"/>
  <c r="AZ110" i="44"/>
  <c r="AN30" i="47"/>
  <c r="AZ84" i="44"/>
  <c r="AZ102" i="44"/>
  <c r="BH30" i="47"/>
  <c r="BN136" i="44"/>
  <c r="AZ77" i="44"/>
  <c r="AZ276" i="43"/>
  <c r="AZ231" i="43"/>
  <c r="AZ151" i="43"/>
  <c r="AZ442" i="43"/>
  <c r="AZ213" i="43"/>
  <c r="AZ296" i="43"/>
  <c r="AZ39" i="43"/>
  <c r="AZ266" i="43"/>
  <c r="AZ46" i="43"/>
  <c r="AZ145" i="43"/>
  <c r="AZ174" i="43"/>
  <c r="AZ370" i="43"/>
  <c r="AZ219" i="43"/>
  <c r="AZ59" i="43"/>
  <c r="AZ162" i="43"/>
  <c r="AZ249" i="43"/>
  <c r="AZ383" i="43"/>
  <c r="AZ336" i="43"/>
  <c r="AZ400" i="43"/>
  <c r="AZ358" i="43"/>
  <c r="AZ456" i="43"/>
  <c r="AZ102" i="43"/>
  <c r="AZ449" i="43"/>
  <c r="P13" i="47"/>
  <c r="P23" i="47" s="1"/>
  <c r="AC24" i="47" s="1"/>
  <c r="AZ168" i="43"/>
  <c r="AZ428" i="43"/>
  <c r="AZ75" i="43"/>
  <c r="AZ200" i="43"/>
  <c r="AZ463" i="43"/>
  <c r="AZ305" i="43"/>
  <c r="AZ67" i="43"/>
  <c r="AZ237" i="43"/>
  <c r="AZ262" i="43"/>
  <c r="AZ27" i="43"/>
  <c r="AZ187" i="43"/>
  <c r="AZ363" i="43"/>
  <c r="BN22" i="43"/>
  <c r="AZ389" i="43"/>
  <c r="AZ328" i="43"/>
  <c r="AZ22" i="43"/>
  <c r="AZ98" i="44"/>
  <c r="AZ136" i="44"/>
  <c r="AO30" i="47"/>
  <c r="AZ49" i="44"/>
  <c r="AZ121" i="44"/>
  <c r="BO509" i="44"/>
  <c r="AM28" i="47"/>
  <c r="BO129" i="44"/>
  <c r="BH14" i="47" s="1"/>
  <c r="AN27" i="47"/>
  <c r="AO27" i="47"/>
  <c r="AO35" i="47"/>
  <c r="AO28" i="47"/>
  <c r="AO34" i="47"/>
  <c r="AV509" i="44"/>
  <c r="AN28" i="47"/>
  <c r="BO130" i="44"/>
  <c r="AM35" i="47"/>
  <c r="BH35" i="47"/>
  <c r="BH28" i="47"/>
  <c r="BH27" i="47"/>
  <c r="AM27" i="47"/>
  <c r="AM29" i="47"/>
  <c r="BU509" i="44"/>
  <c r="AU509" i="44"/>
  <c r="AN35" i="47"/>
  <c r="AN34" i="47"/>
  <c r="BR466" i="43"/>
  <c r="AJ13" i="47"/>
  <c r="AJ23" i="47" s="1"/>
  <c r="BX467" i="43"/>
  <c r="BQ36" i="47"/>
  <c r="BQ26" i="47" s="1"/>
  <c r="BN207" i="43"/>
  <c r="BN213" i="43" s="1"/>
  <c r="BN384" i="43"/>
  <c r="BN389" i="43" s="1"/>
  <c r="BN110" i="43"/>
  <c r="BN113" i="43" s="1"/>
  <c r="BN364" i="43"/>
  <c r="BN370" i="43" s="1"/>
  <c r="BV470" i="43"/>
  <c r="BO29" i="47" s="1"/>
  <c r="BU471" i="43"/>
  <c r="BN30" i="47" s="1"/>
  <c r="BN99" i="44"/>
  <c r="BN102" i="44" s="1"/>
  <c r="BN122" i="44"/>
  <c r="BN128" i="44" s="1"/>
  <c r="BV141" i="44"/>
  <c r="BU474" i="43"/>
  <c r="BN33" i="47" s="1"/>
  <c r="AZ18" i="43"/>
  <c r="BN429" i="43"/>
  <c r="BN435" i="43" s="1"/>
  <c r="BN158" i="43"/>
  <c r="BN162" i="43" s="1"/>
  <c r="BN443" i="43"/>
  <c r="BN449" i="43" s="1"/>
  <c r="BN267" i="43"/>
  <c r="BN272" i="43" s="1"/>
  <c r="BN263" i="43"/>
  <c r="BN266" i="43" s="1"/>
  <c r="BN103" i="43"/>
  <c r="BN105" i="43" s="1"/>
  <c r="BN238" i="43"/>
  <c r="BN243" i="43" s="1"/>
  <c r="BN163" i="43"/>
  <c r="BN168" i="43" s="1"/>
  <c r="BU470" i="43"/>
  <c r="BN29" i="47" s="1"/>
  <c r="BN460" i="43"/>
  <c r="BN463" i="43" s="1"/>
  <c r="BN71" i="43"/>
  <c r="BN75" i="43" s="1"/>
  <c r="BN14" i="43"/>
  <c r="BN18" i="43" s="1"/>
  <c r="BN76" i="43"/>
  <c r="BN79" i="43" s="1"/>
  <c r="BN117" i="43"/>
  <c r="BN120" i="43" s="1"/>
  <c r="BN106" i="43"/>
  <c r="BN109" i="43" s="1"/>
  <c r="BN289" i="43"/>
  <c r="BN296" i="43" s="1"/>
  <c r="BN195" i="43"/>
  <c r="BN200" i="43" s="1"/>
  <c r="BN32" i="43"/>
  <c r="BN35" i="43" s="1"/>
  <c r="BN60" i="43"/>
  <c r="BN63" i="43" s="1"/>
  <c r="BN87" i="43"/>
  <c r="BN90" i="43" s="1"/>
  <c r="BN436" i="43"/>
  <c r="BN442" i="43" s="1"/>
  <c r="BN299" i="43"/>
  <c r="BN305" i="43" s="1"/>
  <c r="BN181" i="43"/>
  <c r="BN187" i="43" s="1"/>
  <c r="BN140" i="43"/>
  <c r="BN145" i="43" s="1"/>
  <c r="BN259" i="43"/>
  <c r="BN262" i="43" s="1"/>
  <c r="BN377" i="43"/>
  <c r="BN383" i="43" s="1"/>
  <c r="AZ283" i="43"/>
  <c r="BN408" i="43"/>
  <c r="BN414" i="43" s="1"/>
  <c r="BN232" i="43"/>
  <c r="BN237" i="43" s="1"/>
  <c r="BN95" i="43"/>
  <c r="BN98" i="43" s="1"/>
  <c r="BN325" i="43"/>
  <c r="BN328" i="43" s="1"/>
  <c r="BN83" i="43"/>
  <c r="BN86" i="43" s="1"/>
  <c r="BN333" i="43"/>
  <c r="BN336" i="43" s="1"/>
  <c r="BN64" i="43"/>
  <c r="BN67" i="43" s="1"/>
  <c r="BN121" i="43"/>
  <c r="BN125" i="43" s="1"/>
  <c r="BN53" i="43"/>
  <c r="BN55" i="43" s="1"/>
  <c r="BN375" i="43"/>
  <c r="BN376" i="43" s="1"/>
  <c r="BN152" i="43"/>
  <c r="BN157" i="43" s="1"/>
  <c r="BN175" i="43"/>
  <c r="BN180" i="43" s="1"/>
  <c r="BN337" i="43"/>
  <c r="BN345" i="43" s="1"/>
  <c r="BN114" i="43"/>
  <c r="BN116" i="43" s="1"/>
  <c r="BN40" i="43"/>
  <c r="BN42" i="43" s="1"/>
  <c r="BN244" i="43"/>
  <c r="BN249" i="43" s="1"/>
  <c r="BN188" i="43"/>
  <c r="BN194" i="43" s="1"/>
  <c r="BN28" i="43"/>
  <c r="BN31" i="43" s="1"/>
  <c r="BN220" i="43"/>
  <c r="BN225" i="43" s="1"/>
  <c r="BN47" i="43"/>
  <c r="BN49" i="43" s="1"/>
  <c r="BN68" i="43"/>
  <c r="BN70" i="43" s="1"/>
  <c r="BN317" i="43"/>
  <c r="BN322" i="43" s="1"/>
  <c r="BN99" i="43"/>
  <c r="BN102" i="43" s="1"/>
  <c r="BN146" i="43"/>
  <c r="BN151" i="43" s="1"/>
  <c r="BN23" i="43"/>
  <c r="BN27" i="43" s="1"/>
  <c r="BN346" i="43"/>
  <c r="BN351" i="43" s="1"/>
  <c r="AZ139" i="43"/>
  <c r="BN93" i="44"/>
  <c r="BN98" i="44" s="1"/>
  <c r="BN50" i="44"/>
  <c r="BN56" i="44" s="1"/>
  <c r="BN64" i="44"/>
  <c r="BN70" i="44" s="1"/>
  <c r="BN250" i="43"/>
  <c r="BN256" i="43" s="1"/>
  <c r="AZ256" i="43"/>
  <c r="AZ132" i="43"/>
  <c r="BN36" i="43"/>
  <c r="BN39" i="43" s="1"/>
  <c r="BN352" i="43"/>
  <c r="BN358" i="43" s="1"/>
  <c r="AH477" i="43"/>
  <c r="BN323" i="43"/>
  <c r="BN324" i="43" s="1"/>
  <c r="BN201" i="43"/>
  <c r="BN206" i="43" s="1"/>
  <c r="AZ206" i="43"/>
  <c r="BN133" i="43"/>
  <c r="BN139" i="43" s="1"/>
  <c r="BN80" i="43"/>
  <c r="BN82" i="43" s="1"/>
  <c r="BN226" i="43"/>
  <c r="BN231" i="43" s="1"/>
  <c r="BN329" i="43"/>
  <c r="BN332" i="43" s="1"/>
  <c r="AS477" i="43"/>
  <c r="AS13" i="43"/>
  <c r="AS464" i="43" s="1"/>
  <c r="AL13" i="47" s="1"/>
  <c r="BN50" i="43"/>
  <c r="BN52" i="43" s="1"/>
  <c r="BN214" i="43"/>
  <c r="BN219" i="43" s="1"/>
  <c r="BN415" i="43"/>
  <c r="BN421" i="43" s="1"/>
  <c r="AZ421" i="43"/>
  <c r="BN257" i="43"/>
  <c r="BN258" i="43" s="1"/>
  <c r="BN394" i="43"/>
  <c r="BN400" i="43" s="1"/>
  <c r="BN390" i="43"/>
  <c r="BN393" i="43" s="1"/>
  <c r="AZ393" i="43"/>
  <c r="AR464" i="43"/>
  <c r="AK13" i="47" s="1"/>
  <c r="AZ471" i="43"/>
  <c r="BN113" i="44"/>
  <c r="BN121" i="44" s="1"/>
  <c r="BN85" i="44"/>
  <c r="BN88" i="44" s="1"/>
  <c r="BN71" i="44"/>
  <c r="BN77" i="44" s="1"/>
  <c r="BU140" i="44"/>
  <c r="BV140" i="44"/>
  <c r="BO34" i="47" s="1"/>
  <c r="BV19" i="44"/>
  <c r="BQ23" i="47"/>
  <c r="BN78" i="44"/>
  <c r="BN84" i="44" s="1"/>
  <c r="BN89" i="44"/>
  <c r="BN92" i="44" s="1"/>
  <c r="AZ141" i="44"/>
  <c r="BN111" i="44"/>
  <c r="BN112" i="44" s="1"/>
  <c r="AZ140" i="44"/>
  <c r="BN17" i="44"/>
  <c r="BN19" i="44" s="1"/>
  <c r="BN105" i="44"/>
  <c r="BN110" i="44" s="1"/>
  <c r="AZ142" i="44"/>
  <c r="BN103" i="44"/>
  <c r="BN104" i="44" s="1"/>
  <c r="BV132" i="43"/>
  <c r="BN371" i="43"/>
  <c r="BN374" i="43" s="1"/>
  <c r="BN284" i="43"/>
  <c r="BN288" i="43" s="1"/>
  <c r="BN450" i="43"/>
  <c r="BN456" i="43" s="1"/>
  <c r="BN277" i="43"/>
  <c r="BN283" i="43" s="1"/>
  <c r="AZ470" i="43"/>
  <c r="BN401" i="43"/>
  <c r="BN407" i="43" s="1"/>
  <c r="BN130" i="43"/>
  <c r="BN475" i="43" s="1"/>
  <c r="BN457" i="43"/>
  <c r="BN459" i="43" s="1"/>
  <c r="BN422" i="43"/>
  <c r="BN428" i="43" s="1"/>
  <c r="BN56" i="43"/>
  <c r="BN59" i="43" s="1"/>
  <c r="BN306" i="43"/>
  <c r="BN312" i="43" s="1"/>
  <c r="AZ476" i="43"/>
  <c r="BN297" i="43"/>
  <c r="BN298" i="43" s="1"/>
  <c r="BN313" i="43"/>
  <c r="BN316" i="43" s="1"/>
  <c r="AF464" i="43"/>
  <c r="BP464" i="43"/>
  <c r="BN91" i="43"/>
  <c r="BN94" i="43" s="1"/>
  <c r="BN273" i="43"/>
  <c r="BN276" i="43" s="1"/>
  <c r="AG464" i="43"/>
  <c r="BN169" i="43"/>
  <c r="BN174" i="43" s="1"/>
  <c r="AZ474" i="43"/>
  <c r="AS33" i="47" s="1"/>
  <c r="AZ475" i="43"/>
  <c r="BV474" i="43"/>
  <c r="BO33" i="47" s="1"/>
  <c r="BV471" i="43"/>
  <c r="BO30" i="47" s="1"/>
  <c r="AZ135" i="44"/>
  <c r="AZ134" i="44"/>
  <c r="AT130" i="44"/>
  <c r="BU141" i="44"/>
  <c r="AT129" i="44"/>
  <c r="AM14" i="47" s="1"/>
  <c r="BP467" i="43"/>
  <c r="BU475" i="43"/>
  <c r="AZ469" i="43"/>
  <c r="AR477" i="43"/>
  <c r="AZ468" i="43"/>
  <c r="BK23" i="47"/>
  <c r="BU468" i="43"/>
  <c r="BU476" i="43"/>
  <c r="AF467" i="43"/>
  <c r="Y26" i="47"/>
  <c r="BV468" i="43"/>
  <c r="BR467" i="43"/>
  <c r="BV476" i="43"/>
  <c r="Z26" i="47"/>
  <c r="AG467" i="43"/>
  <c r="BQ464" i="43"/>
  <c r="BJ13" i="47" s="1"/>
  <c r="BQ477" i="43"/>
  <c r="BJ36" i="47" s="1"/>
  <c r="BK26" i="47"/>
  <c r="BU469" i="43"/>
  <c r="BV469" i="43"/>
  <c r="BU142" i="44"/>
  <c r="BV142" i="44"/>
  <c r="AT131" i="44"/>
  <c r="BO131" i="44"/>
  <c r="AZ133" i="44"/>
  <c r="AV132" i="44"/>
  <c r="AU132" i="44"/>
  <c r="BV134" i="44"/>
  <c r="BL23" i="47"/>
  <c r="BK24" i="47" s="1"/>
  <c r="BU133" i="44"/>
  <c r="BV133" i="44"/>
  <c r="BO132" i="44"/>
  <c r="BN139" i="44"/>
  <c r="BN135" i="44"/>
  <c r="BU134" i="44"/>
  <c r="AT132" i="44"/>
  <c r="AU129" i="44"/>
  <c r="AN14" i="47" s="1"/>
  <c r="BU129" i="44"/>
  <c r="BN14" i="47" s="1"/>
  <c r="AV129" i="44"/>
  <c r="AO14" i="47" s="1"/>
  <c r="AT12" i="43"/>
  <c r="AT13" i="43" s="1"/>
  <c r="BO12" i="43"/>
  <c r="BO13" i="43" s="1"/>
  <c r="AV12" i="43"/>
  <c r="AA25" i="47" l="1"/>
  <c r="AS30" i="47"/>
  <c r="AZ509" i="44"/>
  <c r="BO35" i="47"/>
  <c r="AS29" i="47"/>
  <c r="AS27" i="47"/>
  <c r="AS34" i="47"/>
  <c r="BO28" i="47"/>
  <c r="AS28" i="47"/>
  <c r="BN28" i="47"/>
  <c r="BN35" i="47"/>
  <c r="BN34" i="47"/>
  <c r="BN27" i="47"/>
  <c r="BO27" i="47"/>
  <c r="AS35" i="47"/>
  <c r="BI13" i="47"/>
  <c r="BI23" i="47" s="1"/>
  <c r="Y13" i="47"/>
  <c r="Y23" i="47" s="1"/>
  <c r="AR467" i="43"/>
  <c r="AK36" i="47"/>
  <c r="AK26" i="47" s="1"/>
  <c r="AL36" i="47"/>
  <c r="AL26" i="47" s="1"/>
  <c r="BQ465" i="43"/>
  <c r="Z13" i="47"/>
  <c r="Z23" i="47" s="1"/>
  <c r="BJ24" i="47" s="1"/>
  <c r="AA36" i="47"/>
  <c r="AA26" i="47" s="1"/>
  <c r="BN509" i="44"/>
  <c r="BV129" i="44"/>
  <c r="BO14" i="47" s="1"/>
  <c r="BV509" i="44"/>
  <c r="AT465" i="43"/>
  <c r="AS467" i="43"/>
  <c r="BN471" i="43"/>
  <c r="BG30" i="47" s="1"/>
  <c r="AV477" i="43"/>
  <c r="AV13" i="43"/>
  <c r="AU477" i="43"/>
  <c r="AU13" i="43"/>
  <c r="AH467" i="43"/>
  <c r="BO465" i="43"/>
  <c r="BN140" i="44"/>
  <c r="BG34" i="47" s="1"/>
  <c r="AH465" i="43"/>
  <c r="BP465" i="43"/>
  <c r="BN132" i="43"/>
  <c r="AH464" i="43"/>
  <c r="BN470" i="43"/>
  <c r="BG29" i="47" s="1"/>
  <c r="BN474" i="43"/>
  <c r="BG33" i="47" s="1"/>
  <c r="BN141" i="44"/>
  <c r="BN142" i="44"/>
  <c r="AK23" i="47"/>
  <c r="BJ23" i="47"/>
  <c r="BJ26" i="47"/>
  <c r="BH25" i="47" s="1"/>
  <c r="BQ467" i="43"/>
  <c r="BO466" i="43" s="1"/>
  <c r="BN476" i="43"/>
  <c r="BN469" i="43"/>
  <c r="AT464" i="43"/>
  <c r="AT477" i="43"/>
  <c r="AM36" i="47" s="1"/>
  <c r="AH466" i="43"/>
  <c r="BO464" i="43"/>
  <c r="BO477" i="43"/>
  <c r="BH36" i="47" s="1"/>
  <c r="BN468" i="43"/>
  <c r="BN134" i="44"/>
  <c r="AZ131" i="44"/>
  <c r="AZ132" i="44"/>
  <c r="AZ130" i="44"/>
  <c r="BU132" i="44"/>
  <c r="BN133" i="44"/>
  <c r="BV130" i="44"/>
  <c r="BV132" i="44"/>
  <c r="BU130" i="44"/>
  <c r="AZ129" i="44"/>
  <c r="AS14" i="47" s="1"/>
  <c r="AL23" i="47"/>
  <c r="BN129" i="44"/>
  <c r="BG14" i="47" s="1"/>
  <c r="BU12" i="43"/>
  <c r="BU13" i="43" s="1"/>
  <c r="BV12" i="43"/>
  <c r="BV13" i="43" s="1"/>
  <c r="AZ12" i="43"/>
  <c r="AA24" i="47" l="1"/>
  <c r="BI24" i="47"/>
  <c r="BH24" i="47"/>
  <c r="AM24" i="47"/>
  <c r="AM25" i="47"/>
  <c r="AT466" i="43"/>
  <c r="BG27" i="47"/>
  <c r="BG28" i="47"/>
  <c r="BG35" i="47"/>
  <c r="BN130" i="44"/>
  <c r="BH13" i="47"/>
  <c r="BH23" i="47" s="1"/>
  <c r="AN36" i="47"/>
  <c r="AN26" i="47" s="1"/>
  <c r="AM13" i="47"/>
  <c r="AM23" i="47" s="1"/>
  <c r="AA13" i="47"/>
  <c r="AA23" i="47" s="1"/>
  <c r="AO36" i="47"/>
  <c r="AO26" i="47" s="1"/>
  <c r="AV467" i="43"/>
  <c r="AU467" i="43"/>
  <c r="AZ477" i="43"/>
  <c r="AZ13" i="43"/>
  <c r="AV464" i="43"/>
  <c r="AU464" i="43"/>
  <c r="AM26" i="47"/>
  <c r="AT467" i="43"/>
  <c r="BO467" i="43"/>
  <c r="BH26" i="47"/>
  <c r="BU464" i="43"/>
  <c r="BU477" i="43"/>
  <c r="BN36" i="47" s="1"/>
  <c r="BV464" i="43"/>
  <c r="BV477" i="43"/>
  <c r="BO36" i="47" s="1"/>
  <c r="BN131" i="44"/>
  <c r="BN132" i="44"/>
  <c r="BN12" i="43"/>
  <c r="BN13" i="43" s="1"/>
  <c r="AS25" i="47" l="1"/>
  <c r="AS36" i="47"/>
  <c r="AS26" i="47" s="1"/>
  <c r="BN13" i="47"/>
  <c r="BN23" i="47" s="1"/>
  <c r="BO13" i="47"/>
  <c r="BO23" i="47" s="1"/>
  <c r="AN13" i="47"/>
  <c r="AN23" i="47" s="1"/>
  <c r="AO13" i="47"/>
  <c r="AO23" i="47" s="1"/>
  <c r="BO24" i="47" s="1"/>
  <c r="AZ466" i="43"/>
  <c r="AZ467" i="43"/>
  <c r="BV465" i="43"/>
  <c r="AZ465" i="43"/>
  <c r="BU465" i="43"/>
  <c r="AZ464" i="43"/>
  <c r="BN464" i="43"/>
  <c r="BN477" i="43"/>
  <c r="BG36" i="47" s="1"/>
  <c r="BU467" i="43"/>
  <c r="BN26" i="47"/>
  <c r="BN465" i="43"/>
  <c r="BV467" i="43"/>
  <c r="BO26" i="47"/>
  <c r="I468" i="43"/>
  <c r="B27" i="47" s="1"/>
  <c r="I469" i="43"/>
  <c r="B28" i="47" s="1"/>
  <c r="I470" i="43"/>
  <c r="B29" i="47" s="1"/>
  <c r="I471" i="43"/>
  <c r="B30" i="47" s="1"/>
  <c r="I472" i="43"/>
  <c r="B31" i="47" s="1"/>
  <c r="I473" i="43"/>
  <c r="B32" i="47" s="1"/>
  <c r="I474" i="43"/>
  <c r="B33" i="47" s="1"/>
  <c r="I475" i="43"/>
  <c r="B34" i="47" s="1"/>
  <c r="I476" i="43"/>
  <c r="B35" i="47" s="1"/>
  <c r="I477" i="43"/>
  <c r="B36" i="47" s="1"/>
  <c r="BN24" i="47" l="1"/>
  <c r="BG24" i="47"/>
  <c r="BG25" i="47"/>
  <c r="AS24" i="47"/>
  <c r="BG13" i="47"/>
  <c r="BG23" i="47" s="1"/>
  <c r="AS13" i="47"/>
  <c r="AS23" i="47" s="1"/>
  <c r="BN466" i="43"/>
  <c r="BG26" i="47"/>
  <c r="BN467" i="43"/>
  <c r="I467" i="43"/>
  <c r="B23" i="47" l="1"/>
  <c r="B26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Y204" authorId="0" shapeId="0" xr:uid="{1B5B219C-CA8D-40B7-B13F-0FAC418439BD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 1. 2. 2025 úbytek 1 odd. ŠD</t>
        </r>
      </text>
    </comment>
    <comment ref="BF204" authorId="0" shapeId="0" xr:uid="{B783D48F-5C1A-4506-BA4C-0D5BB349F5B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od 1. 2. úbytek 1 odd. ŠD</t>
        </r>
      </text>
    </comment>
    <comment ref="AE375" authorId="0" shapeId="0" xr:uid="{43588FC4-45D8-4C82-8772-0A4FE814329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samostatných ŠJ</t>
        </r>
      </text>
    </comment>
    <comment ref="BJ375" authorId="0" shapeId="0" xr:uid="{B6484A0A-80C8-46AA-BDE0-504A29CB81F2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samostatných ŠJ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AE12" authorId="0" shapeId="0" xr:uid="{C4851F8C-6FCD-4E5D-8B00-92195A69C2A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samostatných ŠJ</t>
        </r>
      </text>
    </comment>
    <comment ref="BJ12" authorId="0" shapeId="0" xr:uid="{53EF386D-DAB7-4AE5-9406-CE15A0AFDBE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samostatných ŠJ</t>
        </r>
      </text>
    </comment>
    <comment ref="AD14" authorId="0" shapeId="0" xr:uid="{62A7D067-BD91-4BDC-B793-262BBDD865A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</t>
        </r>
      </text>
    </comment>
    <comment ref="BI14" authorId="0" shapeId="0" xr:uid="{E420E62E-B9E3-4F85-8A5D-88B941A5B43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</t>
        </r>
      </text>
    </comment>
    <comment ref="AD75" authorId="0" shapeId="0" xr:uid="{826EC2EB-B3E6-47F3-ABF9-D906C2024BD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překračování kapacity o 4 žáky (úprava normativu nadtarifních složek) </t>
        </r>
      </text>
    </comment>
    <comment ref="V130" authorId="0" shapeId="0" xr:uid="{47AC708A-C8E8-4D7F-AEB3-BA0A09B48D4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185 199 Kč odstupné převodem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A84" authorId="0" shapeId="0" xr:uid="{2A56CFB4-5A75-44A4-A517-6BC9AD4B831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144 hodin</t>
        </r>
      </text>
    </comment>
    <comment ref="AA96" authorId="0" shapeId="0" xr:uid="{F5484F30-BEF1-4EE0-9914-D85B7E6C7B7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115 hodin</t>
        </r>
      </text>
    </comment>
    <comment ref="AA114" authorId="0" shapeId="0" xr:uid="{883FC3E4-A2A3-495D-AF4B-1B96CBFC6FC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57 hodin
</t>
        </r>
      </text>
    </comment>
    <comment ref="AA120" authorId="0" shapeId="0" xr:uid="{137FDB2F-F4EE-483F-9EC1-7DCFE2B3AC1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70 hodin</t>
        </r>
      </text>
    </comment>
    <comment ref="AA141" authorId="0" shapeId="0" xr:uid="{D65FCB81-6AFF-471F-B390-B7DC1EE81F4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227 hodin
</t>
        </r>
      </text>
    </comment>
    <comment ref="AA149" authorId="0" shapeId="0" xr:uid="{F4813C17-65C6-4B79-9763-80658D801CE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120 hodin</t>
        </r>
      </text>
    </comment>
    <comment ref="AA159" authorId="0" shapeId="0" xr:uid="{4EC385B2-292D-40D9-ABF2-97C22A65C48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40 hodin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A39" authorId="0" shapeId="0" xr:uid="{7A924473-5597-42DF-BDD8-0392D14F2CB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26 hodin
</t>
        </r>
      </text>
    </comment>
    <comment ref="AA49" authorId="0" shapeId="0" xr:uid="{8D0F768A-006E-4701-AD8C-60D5953D6BE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34 hodin
</t>
        </r>
      </text>
    </comment>
    <comment ref="AD82" authorId="0" shapeId="0" xr:uid="{078C222F-5730-4129-801F-924DC1451D6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třídy MŠ ze ZŠ Velkké Hamry
</t>
        </r>
      </text>
    </comment>
    <comment ref="AD86" authorId="0" shapeId="0" xr:uid="{DEC08A3E-499B-4BCC-8AAE-30C4462DE09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třídy do MŠ Velké Hamry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AE44" authorId="0" shapeId="0" xr:uid="{A537E659-1E07-4B17-B554-00C102FA2C4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zvýšení - samostatná ŠJ</t>
        </r>
      </text>
    </comment>
    <comment ref="AA53" authorId="0" shapeId="0" xr:uid="{CD6F3064-1E3A-49E4-AB07-76B1D4596E2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403 hodin</t>
        </r>
      </text>
    </comment>
    <comment ref="AA59" authorId="0" shapeId="0" xr:uid="{59E6887B-0E36-45F7-B651-2FACF20D027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210 hodin
</t>
        </r>
      </text>
    </comment>
    <comment ref="AA66" authorId="0" shapeId="0" xr:uid="{F3A812D8-2247-4E97-BA38-1DC2A19E092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231 hodin</t>
        </r>
      </text>
    </comment>
    <comment ref="AA78" authorId="0" shapeId="0" xr:uid="{978D2325-D7AF-436A-8B98-11856A6D876C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100 hodin
</t>
        </r>
      </text>
    </comment>
    <comment ref="AA85" authorId="0" shapeId="0" xr:uid="{EA84352F-3CF9-43D2-AFF1-CE5DAE2ACFB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119 hodin
</t>
        </r>
      </text>
    </comment>
    <comment ref="AA91" authorId="0" shapeId="0" xr:uid="{E43EBC13-30C5-42B5-AB4E-E359F409793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120 hodin
</t>
        </r>
      </text>
    </comment>
    <comment ref="AD99" authorId="0" shapeId="0" xr:uid="{B81BC492-C135-46AD-B415-A7580BADBB0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§ 42 1-6/25</t>
        </r>
      </text>
    </comment>
    <comment ref="AA138" authorId="0" shapeId="0" xr:uid="{C02143B1-FAD4-45CD-85F7-BACF055A7BD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90 hodin
</t>
        </r>
      </text>
    </comment>
    <comment ref="AA200" authorId="0" shapeId="0" xr:uid="{A0219F79-2D8C-43F1-ABD8-F462D8A3438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69 hodin</t>
        </r>
      </text>
    </comment>
    <comment ref="AD207" authorId="0" shapeId="0" xr:uid="{14E7BB4B-546F-488E-A64A-4279C1CCCDFD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sloučení tříd k 1.2.2025, PHškoly -11 hodin</t>
        </r>
      </text>
    </comment>
    <comment ref="AA229" authorId="0" shapeId="0" xr:uid="{4FBEFC4F-3F69-4D88-ACC6-3077E3F7823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100 hodin</t>
        </r>
      </text>
    </comment>
    <comment ref="AA250" authorId="0" shapeId="0" xr:uid="{1E9D3222-FBA7-4E67-896C-27B249F8365C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1-6/25, 44 hodin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AE94" authorId="0" shapeId="0" xr:uid="{75331261-7948-4AC8-BDA4-A8D1BDECE80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Na základě sloučeni s Mš Dolní Rokytnice dofinacocváni odloučeného pracoviště.</t>
        </r>
      </text>
    </comment>
    <comment ref="AE123" authorId="0" shapeId="0" xr:uid="{3594827C-D44D-4BC8-A73A-1C6096EA866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změna z vaří vydává na pouze vaří</t>
        </r>
      </text>
    </comment>
    <comment ref="AE129" authorId="0" shapeId="0" xr:uid="{5AD3C4C2-DF26-457D-BCA2-942929A6A7B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od 1.2.2025 zapsaná výdejna ZŠ kapacita 20</t>
        </r>
      </text>
    </comment>
  </commentList>
</comments>
</file>

<file path=xl/sharedStrings.xml><?xml version="1.0" encoding="utf-8"?>
<sst xmlns="http://schemas.openxmlformats.org/spreadsheetml/2006/main" count="6921" uniqueCount="915">
  <si>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</si>
  <si>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</si>
  <si>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</si>
  <si>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</si>
  <si>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</si>
  <si>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</si>
  <si>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</si>
  <si>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</si>
  <si>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</si>
  <si>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</si>
  <si>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</si>
  <si>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</si>
  <si>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</si>
  <si>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</si>
  <si>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</si>
  <si>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</si>
  <si>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</si>
  <si>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</si>
  <si>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</si>
  <si>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</si>
  <si>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</si>
  <si>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</si>
  <si>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</si>
  <si>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</si>
  <si>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</si>
  <si>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</si>
  <si>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</si>
  <si>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</si>
  <si>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</si>
  <si>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</si>
  <si>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</si>
  <si>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</si>
  <si>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</si>
  <si>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</si>
  <si>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</si>
  <si>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</si>
  <si>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</si>
  <si>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</si>
  <si>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</si>
  <si>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</si>
  <si>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</si>
  <si>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</si>
  <si>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</si>
  <si>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</si>
  <si>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</si>
  <si>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</si>
  <si>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</si>
  <si>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</si>
  <si>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</si>
  <si>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</si>
  <si>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</si>
  <si>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</si>
  <si>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</si>
  <si>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</si>
  <si>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</si>
  <si>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</si>
  <si>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</si>
  <si>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</si>
  <si>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</si>
  <si>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</si>
  <si>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</si>
  <si>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</si>
  <si>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</si>
  <si>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</si>
  <si>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</si>
  <si>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</si>
  <si>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</si>
  <si>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</si>
  <si>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</si>
  <si>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</si>
  <si>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</si>
  <si>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</si>
  <si>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</si>
  <si>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</si>
  <si>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</si>
  <si>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</si>
  <si>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</si>
  <si>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</si>
  <si>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</si>
  <si>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</si>
  <si>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</si>
  <si>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</si>
  <si>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</si>
  <si>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</si>
  <si>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</si>
  <si>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</si>
  <si>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</si>
  <si>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</si>
  <si>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</si>
  <si>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</si>
  <si>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</si>
  <si>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</si>
  <si>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</si>
  <si>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</si>
  <si>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</si>
  <si>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</si>
  <si>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</si>
  <si>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</si>
  <si>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</si>
  <si>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</si>
  <si>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</si>
  <si>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</si>
  <si>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</si>
  <si>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</si>
  <si>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</si>
  <si>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</si>
  <si>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</si>
  <si>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</si>
  <si>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</si>
  <si>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</si>
  <si>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</si>
  <si>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</si>
  <si>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</si>
  <si>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I.621 Celkem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</si>
  <si>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</si>
  <si>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</si>
  <si>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</si>
  <si>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</si>
  <si>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</si>
  <si>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</si>
  <si>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</si>
  <si>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</si>
  <si>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</si>
  <si>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</si>
  <si>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</si>
  <si>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</si>
  <si>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</si>
  <si>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</si>
  <si>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</si>
  <si>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</si>
  <si>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</si>
  <si>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</si>
  <si>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</si>
  <si>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</si>
  <si>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</si>
  <si>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</si>
  <si>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</si>
  <si>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</si>
  <si>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</si>
  <si>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</si>
  <si>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</si>
  <si>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</si>
  <si>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</si>
  <si>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</si>
  <si>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</si>
  <si>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</si>
  <si>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</si>
  <si>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</si>
  <si>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</si>
  <si>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</si>
  <si>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</si>
  <si>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</si>
  <si>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</si>
  <si>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</si>
  <si>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</si>
  <si>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</si>
  <si>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</si>
  <si>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</si>
  <si>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</si>
  <si>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</si>
  <si>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</si>
  <si>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</si>
  <si>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</si>
  <si>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</si>
  <si>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</si>
  <si>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</si>
  <si>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</si>
  <si>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</si>
  <si>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</si>
  <si>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</si>
  <si>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</si>
  <si>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</si>
  <si>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</si>
  <si>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</si>
  <si>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</si>
  <si>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</si>
  <si>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</si>
  <si>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</si>
  <si>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</si>
  <si>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</si>
  <si>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</si>
  <si>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</si>
  <si>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</si>
  <si>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</si>
  <si>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</si>
  <si>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</si>
  <si>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</si>
  <si>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</si>
  <si>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</si>
  <si>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</si>
  <si>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</si>
  <si>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</si>
  <si>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</si>
  <si>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</si>
  <si>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</si>
  <si>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</si>
  <si>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</si>
  <si>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</si>
  <si>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</si>
  <si>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</si>
  <si>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</si>
  <si>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</si>
  <si>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</si>
  <si>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</si>
  <si>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</si>
  <si>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</si>
  <si>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</si>
  <si>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</si>
  <si>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</si>
  <si>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</si>
  <si>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</si>
  <si>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</si>
  <si>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</si>
  <si>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</si>
  <si>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</si>
  <si>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</si>
  <si>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</si>
  <si>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</si>
  <si>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</si>
  <si>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</si>
  <si>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</si>
  <si>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</si>
  <si>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</si>
  <si>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</si>
  <si>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</si>
  <si>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</si>
  <si>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</si>
  <si>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</si>
  <si>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</si>
  <si>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</si>
  <si>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</si>
  <si>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</si>
  <si>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</si>
  <si>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</si>
  <si>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</si>
  <si>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</si>
  <si>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</si>
  <si>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</si>
  <si>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</si>
  <si>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</si>
  <si>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</si>
  <si>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</si>
  <si>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</si>
  <si>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</si>
  <si>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</si>
  <si>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</si>
  <si>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</si>
  <si>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</si>
  <si>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</si>
  <si>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</si>
  <si>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</si>
  <si>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</si>
  <si>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</si>
  <si>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</si>
  <si>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</si>
  <si>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</si>
  <si>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</si>
  <si>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</si>
  <si>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</si>
  <si>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</si>
  <si>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</si>
  <si>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</si>
  <si>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</si>
  <si>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</si>
  <si>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</si>
  <si>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</si>
  <si>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</si>
  <si>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</si>
  <si>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</si>
  <si>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</si>
  <si>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</si>
  <si>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</si>
  <si>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</si>
  <si>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</si>
  <si>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OON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</si>
  <si>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</si>
  <si>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</si>
  <si>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</si>
  <si>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</si>
  <si>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</si>
  <si>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</si>
  <si>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</si>
  <si>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</si>
  <si>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ODV_UPR</t>
  </si>
  <si>
    <t>FKSP_UPR</t>
  </si>
  <si>
    <t>ONIV_UPR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</si>
  <si>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</si>
  <si>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</si>
  <si>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</si>
  <si>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</si>
  <si>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</si>
  <si>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</si>
  <si>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</si>
  <si>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</si>
  <si>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</si>
  <si>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</si>
  <si>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</si>
  <si>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</si>
  <si>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</si>
  <si>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</si>
  <si>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</si>
  <si>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</si>
  <si>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</si>
  <si>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</si>
  <si>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</si>
  <si>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</si>
  <si>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</si>
  <si>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</si>
  <si>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</si>
  <si>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</si>
  <si>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</si>
  <si>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</si>
  <si>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</si>
  <si>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</si>
  <si>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</si>
  <si>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</si>
  <si>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</si>
  <si>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</si>
  <si>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</si>
  <si>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</si>
  <si>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</si>
  <si>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</si>
  <si>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</si>
  <si>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</si>
  <si>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</si>
  <si>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</si>
  <si>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</si>
  <si>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</si>
  <si>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</si>
  <si>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</si>
  <si>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</si>
  <si>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</si>
  <si>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</si>
  <si>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</si>
  <si>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</si>
  <si>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</si>
  <si>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</si>
  <si>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</si>
  <si>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</si>
  <si>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</si>
  <si>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</si>
  <si>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</si>
  <si>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</si>
  <si>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</si>
  <si>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</si>
  <si>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</si>
  <si>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</si>
  <si>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</si>
  <si>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</si>
  <si>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</si>
  <si>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</si>
  <si>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</si>
  <si>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</si>
  <si>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</si>
  <si>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</si>
  <si>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</si>
  <si>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</si>
  <si>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</si>
  <si>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</si>
  <si>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</si>
  <si>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</si>
  <si>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</si>
  <si>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</si>
  <si>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</si>
  <si>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</si>
  <si>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</si>
  <si>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</si>
  <si>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</si>
  <si>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</si>
  <si>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</si>
  <si>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</si>
  <si>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</si>
  <si>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</si>
  <si>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</si>
  <si>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</si>
  <si>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</si>
  <si>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</si>
  <si>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</si>
  <si>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</si>
  <si>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</si>
  <si>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</si>
  <si>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</si>
  <si>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</si>
  <si>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</si>
  <si>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</si>
  <si>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</si>
  <si>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</si>
  <si>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</si>
  <si>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</si>
  <si>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</si>
  <si>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</si>
  <si>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</si>
  <si>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</si>
  <si>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</si>
  <si>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</si>
  <si>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</si>
  <si>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</si>
  <si>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</si>
  <si>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</si>
  <si>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</si>
  <si>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</si>
  <si>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</si>
  <si>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</si>
  <si>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</si>
  <si>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</si>
  <si>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</si>
  <si>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</si>
  <si>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</si>
  <si>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</si>
  <si>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</si>
  <si>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</si>
  <si>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</si>
  <si>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</si>
  <si>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</si>
  <si>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</si>
  <si>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</si>
  <si>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</si>
  <si>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</si>
  <si>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</si>
  <si>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</si>
  <si>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</si>
  <si>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</si>
  <si>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</si>
  <si>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</si>
  <si>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</si>
  <si>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</si>
  <si>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</si>
  <si>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</si>
  <si>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</si>
  <si>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</si>
  <si>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</si>
  <si>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</si>
  <si>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</si>
  <si>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</si>
  <si>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</si>
  <si>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</si>
  <si>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</si>
  <si>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</si>
  <si>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</si>
  <si>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</si>
  <si>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</si>
  <si>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</si>
  <si>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</si>
  <si>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</si>
  <si>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</si>
  <si>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</si>
  <si>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</si>
  <si>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</si>
  <si>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</si>
  <si>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</si>
  <si>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</si>
  <si>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</si>
  <si>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</si>
  <si>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</si>
  <si>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</si>
  <si>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</si>
  <si>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</si>
  <si>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</si>
  <si>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</si>
  <si>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</si>
  <si>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</si>
  <si>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</si>
  <si>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</si>
  <si>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</si>
  <si>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</si>
  <si>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</si>
  <si>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</si>
  <si>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</si>
  <si>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</si>
  <si>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</si>
  <si>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</si>
  <si>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</si>
  <si>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</si>
  <si>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</si>
  <si>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</si>
  <si>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</si>
  <si>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</si>
  <si>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</si>
  <si>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</si>
  <si>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</si>
  <si>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</si>
  <si>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</si>
  <si>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</si>
  <si>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</si>
  <si>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</si>
  <si>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</si>
  <si>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</si>
  <si>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</si>
  <si>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</si>
  <si>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</si>
  <si>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</si>
  <si>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</si>
  <si>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</si>
  <si>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</si>
  <si>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</si>
  <si>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</si>
  <si>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</si>
  <si>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</si>
  <si>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</si>
  <si>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</si>
  <si>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</si>
  <si>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</si>
  <si>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</si>
  <si>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</si>
  <si>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</si>
  <si>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</si>
  <si>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</si>
  <si>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</si>
  <si>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</si>
  <si>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</si>
  <si>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</si>
  <si>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</si>
  <si>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</si>
  <si>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</si>
  <si>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</si>
  <si>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</si>
  <si>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</si>
  <si>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</si>
  <si>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</si>
  <si>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</si>
  <si>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</si>
  <si>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</si>
  <si>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</si>
  <si>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</si>
  <si>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</si>
  <si>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</si>
  <si>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</si>
  <si>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</si>
  <si>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</si>
  <si>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</si>
  <si>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</si>
  <si>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</si>
  <si>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</si>
  <si>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</si>
  <si>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</si>
  <si>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</si>
  <si>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</si>
  <si>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</si>
  <si>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</si>
  <si>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</si>
  <si>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</si>
  <si>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</si>
  <si>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</si>
  <si>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</si>
  <si>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</si>
  <si>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</si>
  <si>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</si>
  <si>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</si>
  <si>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</si>
  <si>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</si>
  <si>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</si>
  <si>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</si>
  <si>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</si>
  <si>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</si>
  <si>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</si>
  <si>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</si>
  <si>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</si>
  <si>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</si>
  <si>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</si>
  <si>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</si>
  <si>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</si>
  <si>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</si>
  <si>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</si>
  <si>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</si>
  <si>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</si>
  <si>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</si>
  <si>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</si>
  <si>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</si>
  <si>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</si>
  <si>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</si>
  <si>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</si>
  <si>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</si>
  <si>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</si>
  <si>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</si>
  <si>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</si>
  <si>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</si>
  <si>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</si>
  <si>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</si>
  <si>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</si>
  <si>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</si>
  <si>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</si>
  <si>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</si>
  <si>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</si>
  <si>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</si>
  <si>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</si>
  <si>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</si>
  <si>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</si>
  <si>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</si>
  <si>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</si>
  <si>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</si>
  <si>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</si>
  <si>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</si>
  <si>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</si>
  <si>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</si>
  <si>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</si>
  <si>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</si>
  <si>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</si>
  <si>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</si>
  <si>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</si>
  <si>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</si>
  <si>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</si>
  <si>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</si>
  <si>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</si>
  <si>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</si>
  <si>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</si>
  <si>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</si>
  <si>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</si>
  <si>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</si>
  <si>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</si>
  <si>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</si>
  <si>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</si>
  <si>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</si>
  <si>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</si>
  <si>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</si>
  <si>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</si>
  <si>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</si>
  <si>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</si>
  <si>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</si>
  <si>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</si>
  <si>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</si>
  <si>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</si>
  <si>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</si>
  <si>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</si>
  <si>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</si>
  <si>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</si>
  <si>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</si>
  <si>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</si>
  <si>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</si>
  <si>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</si>
  <si>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</si>
  <si>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</si>
  <si>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</si>
  <si>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</si>
  <si>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</si>
  <si>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</si>
  <si>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</si>
  <si>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</si>
  <si>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</si>
  <si>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</si>
  <si>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</si>
  <si>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</si>
  <si>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</si>
  <si>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</si>
  <si>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</si>
  <si>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</si>
  <si>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</si>
  <si>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</si>
  <si>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</si>
  <si>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</si>
  <si>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</si>
  <si>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</si>
  <si>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</si>
  <si>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</si>
  <si>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</si>
  <si>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</si>
  <si>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</si>
  <si>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</si>
  <si>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</si>
  <si>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</si>
  <si>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</si>
  <si>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</si>
  <si>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</si>
  <si>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</si>
  <si>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</si>
  <si>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</si>
  <si>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</si>
  <si>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</si>
  <si>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</si>
  <si>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</si>
  <si>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</si>
  <si>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</si>
  <si>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</si>
  <si>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</si>
  <si>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</si>
  <si>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</si>
  <si>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</si>
  <si>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</si>
  <si>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</si>
  <si>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</si>
  <si>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</si>
  <si>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</si>
  <si>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</si>
  <si>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</si>
  <si>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</si>
  <si>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</si>
  <si>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</si>
  <si>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</si>
  <si>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</si>
  <si>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</si>
  <si>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</si>
  <si>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</si>
  <si>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</si>
  <si>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</si>
  <si>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</si>
  <si>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</si>
  <si>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</si>
  <si>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</si>
  <si>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</si>
  <si>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</si>
  <si>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</si>
  <si>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</si>
  <si>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</si>
  <si>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</si>
  <si>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</si>
  <si>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</si>
  <si>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</si>
  <si>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</si>
  <si>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</si>
  <si>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</si>
  <si>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</si>
  <si>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</si>
  <si>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</si>
  <si>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</si>
  <si>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</si>
  <si>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</si>
  <si>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</si>
  <si>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</si>
  <si>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</si>
  <si>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</si>
  <si>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</si>
  <si>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</si>
  <si>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</si>
  <si>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</si>
  <si>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</si>
  <si>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</si>
  <si>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</si>
  <si>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</si>
  <si>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</si>
  <si>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</si>
  <si>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</si>
  <si>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</si>
  <si>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</si>
  <si>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</si>
  <si>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</si>
  <si>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</si>
  <si>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</si>
  <si>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</si>
  <si>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</si>
  <si>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</si>
  <si>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</si>
  <si>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</si>
  <si>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</si>
  <si>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</si>
  <si>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</si>
  <si>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</si>
  <si>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</si>
  <si>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</si>
  <si>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</si>
  <si>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</si>
  <si>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</si>
  <si>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</si>
  <si>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</si>
  <si>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</si>
  <si>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</si>
  <si>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</si>
  <si>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</si>
  <si>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</si>
  <si>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</si>
  <si>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</si>
  <si>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</si>
  <si>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</si>
  <si>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</si>
  <si>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</si>
  <si>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</si>
  <si>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</si>
  <si>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</si>
  <si>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</si>
  <si>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</si>
  <si>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</si>
  <si>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</si>
  <si>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</si>
  <si>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</si>
  <si>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</si>
  <si>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</si>
  <si>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</si>
  <si>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</si>
  <si>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</si>
  <si>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</si>
  <si>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</si>
  <si>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</si>
  <si>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z toho v Kč: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</si>
  <si>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</si>
  <si>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</si>
  <si>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</si>
  <si>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</si>
  <si>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</si>
  <si>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</si>
  <si>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</si>
  <si>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</si>
  <si>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</si>
  <si>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Jazyková příprava cizinců</t>
  </si>
  <si>
    <t>PLATY úprava celkem</t>
  </si>
  <si>
    <t>ZŠ a MŠ Benecko 150</t>
  </si>
  <si>
    <t>ZŠ a MŠ Benecko 150 Celkem</t>
  </si>
  <si>
    <t xml:space="preserve"> </t>
  </si>
  <si>
    <t>ZŠ a MŠ Křižany, Žibřidice 271</t>
  </si>
  <si>
    <t>ZŠ a MŠ Křižany, Žibřidice 271 Celkem</t>
  </si>
  <si>
    <t>Základní škola a Středisko volného času, Rokytnice nad Jizerou, příspěvková organizace</t>
  </si>
  <si>
    <t>Základní škola a Středisko volného času, Rokytnice nad Jizerou, celkem</t>
  </si>
  <si>
    <t>ONIV</t>
  </si>
  <si>
    <t>PHškoly</t>
  </si>
  <si>
    <t>výkonů</t>
  </si>
  <si>
    <t>ŠD AP.spec</t>
  </si>
  <si>
    <r>
      <t xml:space="preserve">MŠ a ZŠ Turnov, Kosmonautů 1641 </t>
    </r>
    <r>
      <rPr>
        <sz val="8"/>
        <color rgb="FFFF0000"/>
        <rFont val="Arial CE"/>
        <charset val="238"/>
      </rPr>
      <t>nově od.1.9.2024</t>
    </r>
  </si>
  <si>
    <t>ZŠ a MŠ Mimoň</t>
  </si>
  <si>
    <t>Počet zaměstnanců celkem (ped. i neped.) je ukazatel orientační.</t>
  </si>
  <si>
    <t>Rozpis rozpočtu přímých NIV na rok 2025</t>
  </si>
  <si>
    <t xml:space="preserve">Normativní rozpis rozpočtu na rok 2025	</t>
  </si>
  <si>
    <t>Platy_PED</t>
  </si>
  <si>
    <t>Platy_NEPED</t>
  </si>
  <si>
    <t>OON_PED</t>
  </si>
  <si>
    <t>OON_NEPED</t>
  </si>
  <si>
    <t>PED.</t>
  </si>
  <si>
    <t>NEPED.</t>
  </si>
  <si>
    <t>ÚPRAVA PLATY</t>
  </si>
  <si>
    <t>ÚPRAVA OON</t>
  </si>
  <si>
    <t>Změna od 1.9.2025</t>
  </si>
  <si>
    <t>ÚPRAVA ZAMĚSTNANCI</t>
  </si>
  <si>
    <t>Úprava březen</t>
  </si>
  <si>
    <t>OON do Phmax (PED.)</t>
  </si>
  <si>
    <t>Jazyková příprava cizinců (PED.)</t>
  </si>
  <si>
    <t>Podpůrná opatření (PED.)</t>
  </si>
  <si>
    <t>Zaměst. celkem</t>
  </si>
  <si>
    <t>Z toho:</t>
  </si>
  <si>
    <t>Platy_Upr_PED.</t>
  </si>
  <si>
    <t>Platy_Upr_NEPED.</t>
  </si>
  <si>
    <t xml:space="preserve">Změna PHškoly/výkonů </t>
  </si>
  <si>
    <t>OON_Upr_PED.</t>
  </si>
  <si>
    <t>OON_Upr_NEPED.</t>
  </si>
  <si>
    <t>Upr_MP_PED.</t>
  </si>
  <si>
    <t>Upr_MP_NEPED.</t>
  </si>
  <si>
    <t>Upr_MP_Celkem</t>
  </si>
  <si>
    <t>Mzdové prostředky                   úprava celkem</t>
  </si>
  <si>
    <t>Zaměstnanci úprava celkem</t>
  </si>
  <si>
    <t>Platy_Upr</t>
  </si>
  <si>
    <t>OON_Upr</t>
  </si>
  <si>
    <t>Zam. úprava Celkem</t>
  </si>
  <si>
    <t>OON z toho orientační:</t>
  </si>
  <si>
    <t xml:space="preserve">z toho orientačně:           </t>
  </si>
  <si>
    <t>Platy z toho orientačně:</t>
  </si>
  <si>
    <t>Z toho orientačně:</t>
  </si>
  <si>
    <r>
      <t xml:space="preserve">MŠ Velké Hamry + </t>
    </r>
    <r>
      <rPr>
        <sz val="8"/>
        <color rgb="FFFF0000"/>
        <rFont val="Arial CE"/>
        <charset val="238"/>
      </rPr>
      <t>převod MŠ ze ZŠ Velké Hamry</t>
    </r>
  </si>
  <si>
    <t>MŠ Velké Hamry</t>
  </si>
  <si>
    <r>
      <t xml:space="preserve">ZŠ Velké Hamry - </t>
    </r>
    <r>
      <rPr>
        <sz val="8"/>
        <color rgb="FFFF0000"/>
        <rFont val="Arial CE"/>
        <charset val="238"/>
      </rPr>
      <t>převod MŠ na MŠ Velké Hamry k 1.1.2025</t>
    </r>
  </si>
  <si>
    <t xml:space="preserve">ZŠ Velké Hamry </t>
  </si>
  <si>
    <r>
      <t xml:space="preserve">MŠ Dubá, Luční 28 - </t>
    </r>
    <r>
      <rPr>
        <sz val="8"/>
        <color rgb="FFFF0000"/>
        <rFont val="Arial CE"/>
        <charset val="238"/>
      </rPr>
      <t>od 1.1.2025 vaří i vydává ZŠ Dubá</t>
    </r>
  </si>
  <si>
    <t xml:space="preserve">ZŠ Horní Police, 9. května 2 </t>
  </si>
  <si>
    <t>OON z toho orientačně:</t>
  </si>
  <si>
    <t>Vážená paní ředitelko, vážený pane řediteli,</t>
  </si>
  <si>
    <t>Dále Vám předkládáme úpravu rozpisu rozpočtu přímých NIV, která obsahuje:</t>
  </si>
  <si>
    <t>1)</t>
  </si>
  <si>
    <t>přidělení 100% požadavku na odstupné (OON), pokud škola prokázala oprávněnost výpovědi z pracovního poměru s nárokem na výplatu odstupného;</t>
  </si>
  <si>
    <t>2)</t>
  </si>
  <si>
    <t>3)</t>
  </si>
  <si>
    <t>Pozn.:</t>
  </si>
  <si>
    <t>4)</t>
  </si>
  <si>
    <t>5)</t>
  </si>
  <si>
    <t>6)</t>
  </si>
  <si>
    <t xml:space="preserve">zvýšení rozpočtu na bezplatnou jazykovou přípravu organizovanou podle § 10 a § 11 vyhlášky 48/2005 Sb. dle předložených požadavků </t>
  </si>
  <si>
    <t>7)</t>
  </si>
  <si>
    <t xml:space="preserve">a v „Krajské metodice rozpisu přímých výdajů právnických osob vykonávajících činnost škol a školských zařízení zřizovaných obcemi </t>
  </si>
  <si>
    <t>Zpracoval: OŠMTS KÚ LK, oddělení financování přímých nákladů</t>
  </si>
  <si>
    <t>předkládáme Vám roční výši rozpočtu přímých nákladů pro školy a školní družiny stanovených MŠMT na rok 2025</t>
  </si>
  <si>
    <t>a rozpis dalších finančních prostředků stanovených krajským úřadem na rok 2025.</t>
  </si>
  <si>
    <t>100 % OON (dohody) na hodiny do PHMax - hodiny vykázané v odd. VIII. výkazu P1c-01 k 30. 9. 2024, prostředky jsou přiděleny na celorok (počítáno na 10 měsíců)</t>
  </si>
  <si>
    <t>s hodinovou dotací ZŠ - 662 Kč/hod, MŠ - 390 Kč/hod a ŠD - 348 Kč/hod, SŠ - 709 Kč/hod;</t>
  </si>
  <si>
    <t>přesuny z prostředků na platy do OON (dohody) na základě požadavků ze škol k termínu sběru 19. 2. 2025;</t>
  </si>
  <si>
    <t xml:space="preserve">Vzhledem k výši rezervy na OON bylo nutno krátit požadavky na OON (dohody) na 64% jejich výše. </t>
  </si>
  <si>
    <t>navýšení rozpočtu o prostředky na podpůrná opatření (PO) podle stavu personálních PO k 1. 1. 2025 a násl. za sběr měsíců leden, únor a případně korekce vykázaných PO;</t>
  </si>
  <si>
    <t>na počet hodin od tzv. "určených škol" na období leden - červen 2025 s hodinovou dotací 662 Kč/hod;</t>
  </si>
  <si>
    <t>8)</t>
  </si>
  <si>
    <t>9)</t>
  </si>
  <si>
    <t>individuální úpravy - rešení rejstříkových změn</t>
  </si>
  <si>
    <t>10)</t>
  </si>
  <si>
    <t xml:space="preserve">úprava (snížení) rozpočtu stanoveného z MŠMT v případě překračováni rejstříkové kapacity školy </t>
  </si>
  <si>
    <t>úprava (snížení) rozpočtu na základě úbytku jednotek rozhodných pro rozpis finančních prostředků</t>
  </si>
  <si>
    <t xml:space="preserve">Upozornění: </t>
  </si>
  <si>
    <t>navýšení počtu neped. pracovníků a prostředků na platy u samostatných školních jídelen za základnu je považováno 850 žáků strávníků (na 8 měsíců)</t>
  </si>
  <si>
    <r>
      <t>ZŠ a MŠ Benecko 150</t>
    </r>
    <r>
      <rPr>
        <sz val="8"/>
        <color indexed="10"/>
        <rFont val="Arial"/>
        <family val="2"/>
        <charset val="238"/>
      </rPr>
      <t xml:space="preserve"> </t>
    </r>
  </si>
  <si>
    <t>MŠ Rokytnice n. J., Horní Rokytnice 555 od 1.1. 2025</t>
  </si>
  <si>
    <t>Psycholog. a spec. ped.</t>
  </si>
  <si>
    <t>Psycholog.   a spec. ped.</t>
  </si>
  <si>
    <t>Platy_PSYaSPEC</t>
  </si>
  <si>
    <t>OON_PSYaSPEC</t>
  </si>
  <si>
    <t>ZAM_PSYaSPEC</t>
  </si>
  <si>
    <t xml:space="preserve">Odvody </t>
  </si>
  <si>
    <t>NIV celkem</t>
  </si>
  <si>
    <t>Počet zam.</t>
  </si>
  <si>
    <t>Finanční prostředky na financování psychologů a speciálních pedagogů č.j. MSMT-12316/2024-6, VĚSTNÍK MŠMT 1/2025,</t>
  </si>
  <si>
    <t>NIV_PSYaSPEC</t>
  </si>
  <si>
    <t>Odvody_PSYaSPEC</t>
  </si>
  <si>
    <t>FKSP_PSYaSPEC</t>
  </si>
  <si>
    <t>Finanční prostředky na financování psychologů a speciálních pedagogů č.j. MSMT-12316/2024-6, VĚSTNÍK MŠMT 1/2025</t>
  </si>
  <si>
    <t>V legislativním procesu je návrh na převod odpovědnosti za financování nepedagogické práce ve školách a školských zařízeních zřizovaných krajem, obcí</t>
  </si>
  <si>
    <t>nebo dobrovolným svazkem obcí na jejich zřizovatele, tj. na kraje a obce, od 1. září 2025.</t>
  </si>
  <si>
    <t>Na základě dotace přidělené z MŠMT do rozpočtu Libereckého kraje jsou aktuálně kryty u nepedagogických pracovníků platy, související odvody,</t>
  </si>
  <si>
    <t>Psychologové a speciální pedagogové jako součást rozpočtu přímých NIV (UZ 33353)</t>
  </si>
  <si>
    <t>Součástí rozpisu rozpočtu je i zahrnutí dalších finančních prostředků na financování psychologů a speciálních pedagogů č.j. MSMT-12316/2024-6,</t>
  </si>
  <si>
    <t>zvýšení rozpočtu - řešení § 42 ŠZ, prostředky přiděleny na 8 na aktuální školní rok - do 31.8.2025</t>
  </si>
  <si>
    <t>zaměstnanců (normativní úvazky nepedagogických pracovníků jsou přepočteny na 8/12). Blíže viz "Metodika k rozpisu rozpočtu na rok 2025"</t>
  </si>
  <si>
    <t xml:space="preserve">příspěvek na FKSP a dále ostatní neinvestiční výdaje na období 8 měsíců roku 2025, (tj. od ledna do srpna). Tomu odpovídají i rozepisované limity počtu </t>
  </si>
  <si>
    <t>Závazné ukazatele jsou neinvestiční výdaje (NIV) celkem, z toho prostředky na platy a ostatní osobní náklady (OON)</t>
  </si>
  <si>
    <t xml:space="preserve">Pozn: Rozpis rozpočtu obsahuje rozdělení mzdových prostředků (Platy a OON) na pedagogické a nepedagogické zaměstnance. </t>
  </si>
  <si>
    <t>Závazným ukazatelem však i nadále zůstává jejich součet, tj. platy celkem a OON celkem.</t>
  </si>
  <si>
    <t>Orientační ukazatele: Odvody (pojistné a FKSP), ostatní neinvestiční výdaje (ONIV) a počet zaměstnanců</t>
  </si>
  <si>
    <t>Škola musí tyto prostředky v rámci rozpočtu UZ 33353 evidovat odděleně, aby bylo možné dotaci vyúčtovat na základě skutečného použití a případně nevyužité prostředky vrátit.</t>
  </si>
  <si>
    <t xml:space="preserve">VĚSTNÍK MŠMT 1/2025. Tyto prostředky jsou účelově vázané, ale budou vedeny jako součást rozpočtu (UZ 33353). </t>
  </si>
  <si>
    <r>
      <t xml:space="preserve">Jejich čerpání musí být v souladu s rozhodnutím, které bude rozesláno pod </t>
    </r>
    <r>
      <rPr>
        <b/>
        <u/>
        <sz val="10"/>
        <rFont val="Arial"/>
        <family val="2"/>
        <charset val="238"/>
      </rPr>
      <t>KULK 18074/2025 z 20. 3. 2025,</t>
    </r>
    <r>
      <rPr>
        <sz val="10"/>
        <rFont val="Arial"/>
        <family val="2"/>
        <charset val="238"/>
      </rPr>
      <t xml:space="preserve"> a dále také v souladu se zmíněným Věstníkem. </t>
    </r>
  </si>
  <si>
    <t>Komentář k rozpisu rozpočtu přímých NIV k 19. 3. 2025  (obecní školství)</t>
  </si>
  <si>
    <t>Rozdíl požadavku bude dorovnán po obdržení zvýšených závazných úkazatelů ze strany MŠMT.</t>
  </si>
  <si>
    <t>a krajem pro rok 2025" (č. j. KULK  17093/2025)  dostupné na www.edulk.cz</t>
  </si>
  <si>
    <t>Další podrobnosti k normativnímu rozpisu rozpočtu jsou uvedeny v "Informaci k rozpisu rozpočtu přímých NIV na rok 2025" (Č.j. KULK 18363/2025)</t>
  </si>
  <si>
    <t>V Liberci dne 19. 3. 2025</t>
  </si>
  <si>
    <t>Rozpočet přímých nákladů k 19. 3. 2025</t>
  </si>
  <si>
    <t>Z rozpočtu přímých NIV k 19. 3.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</si>
</sst>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sz val="8"/>
      <color rgb="FFFF0000"/>
      <name val="Arial CE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u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15">
    <xf numFmtId="0" fontId="0" fillId="0" borderId="0"/>
    <xf numFmtId="164" fontId="15" fillId="0" borderId="0" applyFont="0" applyFill="0" applyBorder="0" applyAlignment="0" applyProtection="0"/>
    <xf numFmtId="0" fontId="15" fillId="0" borderId="0"/>
    <xf numFmtId="0" fontId="5" fillId="0" borderId="0"/>
    <xf numFmtId="0" fontId="10" fillId="0" borderId="0"/>
    <xf numFmtId="0" fontId="4" fillId="0" borderId="0"/>
    <xf numFmtId="0" fontId="37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</cellStyleXfs>
  <cellXfs count="1087">
    <xf numFmtId="0" fontId="0" fillId="0" borderId="0" xfId="0"/>
    <xf numFmtId="0" fontId="13" fillId="0" borderId="2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6" fillId="0" borderId="0" xfId="0" applyFont="1"/>
    <xf numFmtId="4" fontId="7" fillId="0" borderId="0" xfId="0" applyNumberFormat="1" applyFont="1"/>
    <xf numFmtId="0" fontId="7" fillId="0" borderId="0" xfId="0" applyFont="1"/>
    <xf numFmtId="0" fontId="9" fillId="0" borderId="0" xfId="0" applyFont="1"/>
    <xf numFmtId="4" fontId="0" fillId="0" borderId="0" xfId="0" applyNumberFormat="1"/>
    <xf numFmtId="3" fontId="0" fillId="0" borderId="0" xfId="0" applyNumberFormat="1"/>
    <xf numFmtId="0" fontId="7" fillId="0" borderId="0" xfId="0" applyFont="1" applyAlignment="1">
      <alignment horizontal="center"/>
    </xf>
    <xf numFmtId="0" fontId="18" fillId="0" borderId="0" xfId="0" applyFont="1"/>
    <xf numFmtId="4" fontId="8" fillId="0" borderId="0" xfId="0" applyNumberFormat="1" applyFont="1"/>
    <xf numFmtId="0" fontId="19" fillId="0" borderId="0" xfId="0" applyFont="1"/>
    <xf numFmtId="4" fontId="7" fillId="0" borderId="1" xfId="0" applyNumberFormat="1" applyFont="1" applyBorder="1"/>
    <xf numFmtId="0" fontId="11" fillId="3" borderId="1" xfId="2" applyFont="1" applyFill="1" applyBorder="1" applyAlignment="1">
      <alignment horizontal="center"/>
    </xf>
    <xf numFmtId="3" fontId="7" fillId="0" borderId="0" xfId="0" applyNumberFormat="1" applyFont="1"/>
    <xf numFmtId="3" fontId="7" fillId="0" borderId="1" xfId="0" applyNumberFormat="1" applyFont="1" applyBorder="1"/>
    <xf numFmtId="4" fontId="7" fillId="0" borderId="10" xfId="0" applyNumberFormat="1" applyFont="1" applyBorder="1"/>
    <xf numFmtId="0" fontId="12" fillId="3" borderId="1" xfId="0" applyFont="1" applyFill="1" applyBorder="1" applyAlignment="1">
      <alignment horizontal="center"/>
    </xf>
    <xf numFmtId="0" fontId="13" fillId="0" borderId="15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3" fillId="0" borderId="40" xfId="0" applyFont="1" applyBorder="1" applyAlignment="1">
      <alignment horizontal="left"/>
    </xf>
    <xf numFmtId="0" fontId="20" fillId="0" borderId="0" xfId="0" applyFont="1" applyAlignment="1">
      <alignment horizontal="center"/>
    </xf>
    <xf numFmtId="0" fontId="20" fillId="0" borderId="0" xfId="0" applyFont="1"/>
    <xf numFmtId="3" fontId="20" fillId="0" borderId="8" xfId="0" applyNumberFormat="1" applyFont="1" applyBorder="1"/>
    <xf numFmtId="3" fontId="20" fillId="0" borderId="1" xfId="0" applyNumberFormat="1" applyFont="1" applyBorder="1"/>
    <xf numFmtId="4" fontId="20" fillId="0" borderId="1" xfId="0" applyNumberFormat="1" applyFont="1" applyBorder="1"/>
    <xf numFmtId="3" fontId="20" fillId="0" borderId="11" xfId="0" applyNumberFormat="1" applyFont="1" applyBorder="1"/>
    <xf numFmtId="3" fontId="20" fillId="0" borderId="12" xfId="0" applyNumberFormat="1" applyFont="1" applyBorder="1"/>
    <xf numFmtId="0" fontId="12" fillId="4" borderId="18" xfId="0" applyFont="1" applyFill="1" applyBorder="1" applyAlignment="1">
      <alignment horizontal="center"/>
    </xf>
    <xf numFmtId="3" fontId="20" fillId="0" borderId="4" xfId="0" applyNumberFormat="1" applyFont="1" applyBorder="1"/>
    <xf numFmtId="3" fontId="20" fillId="0" borderId="37" xfId="0" applyNumberFormat="1" applyFont="1" applyBorder="1"/>
    <xf numFmtId="0" fontId="12" fillId="3" borderId="21" xfId="0" applyFont="1" applyFill="1" applyBorder="1" applyAlignment="1">
      <alignment horizontal="center"/>
    </xf>
    <xf numFmtId="3" fontId="14" fillId="4" borderId="18" xfId="0" applyNumberFormat="1" applyFont="1" applyFill="1" applyBorder="1"/>
    <xf numFmtId="4" fontId="14" fillId="4" borderId="18" xfId="0" applyNumberFormat="1" applyFont="1" applyFill="1" applyBorder="1"/>
    <xf numFmtId="4" fontId="14" fillId="4" borderId="19" xfId="0" applyNumberFormat="1" applyFont="1" applyFill="1" applyBorder="1"/>
    <xf numFmtId="0" fontId="11" fillId="2" borderId="20" xfId="2" applyFont="1" applyFill="1" applyBorder="1" applyAlignment="1">
      <alignment horizontal="center" vertical="center" wrapText="1"/>
    </xf>
    <xf numFmtId="3" fontId="20" fillId="0" borderId="28" xfId="0" applyNumberFormat="1" applyFont="1" applyBorder="1"/>
    <xf numFmtId="4" fontId="12" fillId="3" borderId="10" xfId="0" applyNumberFormat="1" applyFont="1" applyFill="1" applyBorder="1"/>
    <xf numFmtId="4" fontId="12" fillId="3" borderId="10" xfId="0" applyNumberFormat="1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9" xfId="0" applyFont="1" applyBorder="1" applyAlignment="1">
      <alignment horizontal="left"/>
    </xf>
    <xf numFmtId="0" fontId="17" fillId="0" borderId="0" xfId="0" applyFont="1"/>
    <xf numFmtId="0" fontId="31" fillId="3" borderId="1" xfId="4" applyFont="1" applyFill="1" applyBorder="1" applyAlignment="1">
      <alignment horizontal="center"/>
    </xf>
    <xf numFmtId="0" fontId="12" fillId="3" borderId="1" xfId="4" applyFont="1" applyFill="1" applyBorder="1" applyAlignment="1">
      <alignment horizontal="center"/>
    </xf>
    <xf numFmtId="0" fontId="33" fillId="3" borderId="1" xfId="4" applyFont="1" applyFill="1" applyBorder="1" applyAlignment="1">
      <alignment horizontal="center"/>
    </xf>
    <xf numFmtId="0" fontId="30" fillId="3" borderId="1" xfId="4" applyFont="1" applyFill="1" applyBorder="1" applyAlignment="1">
      <alignment horizontal="center"/>
    </xf>
    <xf numFmtId="0" fontId="31" fillId="3" borderId="21" xfId="4" applyFont="1" applyFill="1" applyBorder="1" applyAlignment="1">
      <alignment horizontal="center"/>
    </xf>
    <xf numFmtId="0" fontId="17" fillId="0" borderId="0" xfId="0" applyFont="1" applyAlignment="1">
      <alignment horizontal="left"/>
    </xf>
    <xf numFmtId="0" fontId="35" fillId="0" borderId="0" xfId="5" applyFont="1" applyAlignment="1">
      <alignment horizontal="right"/>
    </xf>
    <xf numFmtId="0" fontId="35" fillId="0" borderId="0" xfId="5" applyFont="1" applyAlignment="1">
      <alignment horizontal="center"/>
    </xf>
    <xf numFmtId="3" fontId="35" fillId="0" borderId="0" xfId="5" applyNumberFormat="1" applyFont="1"/>
    <xf numFmtId="3" fontId="4" fillId="0" borderId="0" xfId="5" applyNumberFormat="1"/>
    <xf numFmtId="4" fontId="4" fillId="0" borderId="0" xfId="5" applyNumberFormat="1"/>
    <xf numFmtId="0" fontId="35" fillId="0" borderId="0" xfId="5" applyFont="1"/>
    <xf numFmtId="0" fontId="36" fillId="0" borderId="0" xfId="5" applyFont="1" applyAlignment="1">
      <alignment horizontal="right"/>
    </xf>
    <xf numFmtId="0" fontId="36" fillId="0" borderId="0" xfId="5" applyFont="1"/>
    <xf numFmtId="0" fontId="35" fillId="0" borderId="0" xfId="5" applyFont="1" applyAlignment="1">
      <alignment horizontal="center" vertical="center"/>
    </xf>
    <xf numFmtId="0" fontId="36" fillId="0" borderId="0" xfId="5" applyFont="1" applyAlignment="1">
      <alignment vertical="center"/>
    </xf>
    <xf numFmtId="0" fontId="36" fillId="0" borderId="17" xfId="5" applyFont="1" applyBorder="1" applyAlignment="1">
      <alignment horizontal="center" vertical="center"/>
    </xf>
    <xf numFmtId="0" fontId="36" fillId="0" borderId="18" xfId="5" applyFont="1" applyBorder="1" applyAlignment="1">
      <alignment horizontal="center" vertical="center"/>
    </xf>
    <xf numFmtId="0" fontId="6" fillId="0" borderId="1" xfId="5" applyFont="1" applyBorder="1" applyAlignment="1">
      <alignment horizontal="right"/>
    </xf>
    <xf numFmtId="0" fontId="6" fillId="0" borderId="1" xfId="5" applyFont="1" applyBorder="1" applyAlignment="1" applyProtection="1">
      <alignment horizontal="right"/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3" fontId="6" fillId="0" borderId="1" xfId="5" applyNumberFormat="1" applyFont="1" applyBorder="1"/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 applyProtection="1">
      <alignment horizontal="right"/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12" fillId="3" borderId="9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7" fillId="0" borderId="1" xfId="5" applyFont="1" applyBorder="1"/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6" fillId="0" borderId="1" xfId="5" applyFont="1" applyBorder="1" applyAlignment="1">
      <alignment wrapText="1"/>
    </xf>
    <xf numFmtId="3" fontId="36" fillId="3" borderId="1" xfId="5" applyNumberFormat="1" applyFont="1" applyFill="1" applyBorder="1"/>
    <xf numFmtId="4" fontId="36" fillId="3" borderId="1" xfId="5" applyNumberFormat="1" applyFont="1" applyFill="1" applyBorder="1"/>
    <xf numFmtId="4" fontId="36" fillId="3" borderId="10" xfId="5" applyNumberFormat="1" applyFont="1" applyFill="1" applyBorder="1"/>
    <xf numFmtId="3" fontId="12" fillId="7" borderId="18" xfId="5" applyNumberFormat="1" applyFont="1" applyFill="1" applyBorder="1"/>
    <xf numFmtId="3" fontId="36" fillId="0" borderId="0" xfId="5" applyNumberFormat="1" applyFont="1" applyAlignment="1">
      <alignment horizontal="right"/>
    </xf>
    <xf numFmtId="4" fontId="35" fillId="0" borderId="0" xfId="5" applyNumberFormat="1" applyFont="1"/>
    <xf numFmtId="0" fontId="35" fillId="0" borderId="0" xfId="5" applyFont="1" applyAlignment="1">
      <alignment horizontal="left"/>
    </xf>
    <xf numFmtId="0" fontId="4" fillId="0" borderId="0" xfId="5"/>
    <xf numFmtId="0" fontId="4" fillId="0" borderId="0" xfId="5" applyAlignment="1">
      <alignment horizontal="center"/>
    </xf>
    <xf numFmtId="0" fontId="24" fillId="0" borderId="0" xfId="5" applyFont="1"/>
    <xf numFmtId="0" fontId="24" fillId="0" borderId="0" xfId="5" applyFont="1" applyAlignment="1">
      <alignment horizontal="center" vertical="center" wrapText="1"/>
    </xf>
    <xf numFmtId="0" fontId="7" fillId="0" borderId="1" xfId="5" applyFont="1" applyBorder="1" applyProtection="1">
      <protection locked="0"/>
    </xf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0" fontId="26" fillId="0" borderId="0" xfId="5" applyFont="1"/>
    <xf numFmtId="0" fontId="13" fillId="3" borderId="1" xfId="5" applyFont="1" applyFill="1" applyBorder="1"/>
    <xf numFmtId="0" fontId="13" fillId="3" borderId="1" xfId="5" applyFont="1" applyFill="1" applyBorder="1" applyProtection="1">
      <protection locked="0"/>
    </xf>
    <xf numFmtId="0" fontId="13" fillId="3" borderId="1" xfId="5" applyFont="1" applyFill="1" applyBorder="1" applyAlignment="1">
      <alignment horizontal="center"/>
    </xf>
    <xf numFmtId="0" fontId="7" fillId="3" borderId="1" xfId="5" applyFont="1" applyFill="1" applyBorder="1"/>
    <xf numFmtId="0" fontId="7" fillId="3" borderId="9" xfId="5" applyFont="1" applyFill="1" applyBorder="1"/>
    <xf numFmtId="0" fontId="7" fillId="2" borderId="1" xfId="5" applyFont="1" applyFill="1" applyBorder="1"/>
    <xf numFmtId="4" fontId="13" fillId="3" borderId="10" xfId="5" applyNumberFormat="1" applyFont="1" applyFill="1" applyBorder="1"/>
    <xf numFmtId="0" fontId="7" fillId="0" borderId="1" xfId="5" applyFont="1" applyBorder="1" applyAlignment="1">
      <alignment wrapText="1"/>
    </xf>
    <xf numFmtId="0" fontId="7" fillId="0" borderId="1" xfId="5" applyFont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4" fontId="13" fillId="3" borderId="10" xfId="5" applyNumberFormat="1" applyFont="1" applyFill="1" applyBorder="1" applyAlignment="1">
      <alignment horizontal="right"/>
    </xf>
    <xf numFmtId="0" fontId="13" fillId="3" borderId="21" xfId="5" applyFont="1" applyFill="1" applyBorder="1"/>
    <xf numFmtId="0" fontId="13" fillId="3" borderId="21" xfId="5" applyFont="1" applyFill="1" applyBorder="1" applyProtection="1">
      <protection locked="0"/>
    </xf>
    <xf numFmtId="0" fontId="13" fillId="3" borderId="21" xfId="5" applyFont="1" applyFill="1" applyBorder="1" applyAlignment="1">
      <alignment horizontal="center" wrapText="1"/>
    </xf>
    <xf numFmtId="0" fontId="7" fillId="3" borderId="21" xfId="5" applyFont="1" applyFill="1" applyBorder="1"/>
    <xf numFmtId="0" fontId="7" fillId="3" borderId="30" xfId="5" applyFont="1" applyFill="1" applyBorder="1"/>
    <xf numFmtId="0" fontId="26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6" fillId="0" borderId="0" xfId="5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5" applyFont="1" applyAlignment="1">
      <alignment horizontal="center"/>
    </xf>
    <xf numFmtId="3" fontId="7" fillId="0" borderId="8" xfId="5" applyNumberFormat="1" applyFont="1" applyBorder="1" applyAlignment="1">
      <alignment horizontal="center"/>
    </xf>
    <xf numFmtId="3" fontId="13" fillId="3" borderId="8" xfId="5" applyNumberFormat="1" applyFont="1" applyFill="1" applyBorder="1" applyAlignment="1">
      <alignment horizontal="center"/>
    </xf>
    <xf numFmtId="3" fontId="13" fillId="3" borderId="26" xfId="5" applyNumberFormat="1" applyFont="1" applyFill="1" applyBorder="1" applyAlignment="1">
      <alignment horizontal="center"/>
    </xf>
    <xf numFmtId="0" fontId="36" fillId="0" borderId="18" xfId="5" applyFont="1" applyBorder="1" applyAlignment="1">
      <alignment horizontal="center" vertical="center" wrapText="1"/>
    </xf>
    <xf numFmtId="0" fontId="21" fillId="0" borderId="0" xfId="5" applyFont="1"/>
    <xf numFmtId="0" fontId="6" fillId="0" borderId="5" xfId="5" applyFont="1" applyBorder="1" applyAlignment="1">
      <alignment horizontal="center"/>
    </xf>
    <xf numFmtId="0" fontId="6" fillId="0" borderId="5" xfId="5" applyFont="1" applyBorder="1" applyAlignment="1">
      <alignment horizontal="right"/>
    </xf>
    <xf numFmtId="0" fontId="6" fillId="0" borderId="5" xfId="5" applyFont="1" applyBorder="1" applyAlignment="1" applyProtection="1">
      <alignment horizontal="right"/>
      <protection locked="0"/>
    </xf>
    <xf numFmtId="0" fontId="6" fillId="0" borderId="5" xfId="5" applyFont="1" applyBorder="1"/>
    <xf numFmtId="0" fontId="6" fillId="0" borderId="6" xfId="5" applyFont="1" applyBorder="1"/>
    <xf numFmtId="3" fontId="7" fillId="0" borderId="4" xfId="5" applyNumberFormat="1" applyFont="1" applyBorder="1" applyAlignment="1">
      <alignment horizontal="center"/>
    </xf>
    <xf numFmtId="0" fontId="7" fillId="0" borderId="5" xfId="5" applyFont="1" applyBorder="1"/>
    <xf numFmtId="0" fontId="7" fillId="0" borderId="5" xfId="5" applyFont="1" applyBorder="1" applyProtection="1">
      <protection locked="0"/>
    </xf>
    <xf numFmtId="0" fontId="7" fillId="0" borderId="5" xfId="5" applyFont="1" applyBorder="1" applyAlignment="1">
      <alignment horizontal="center"/>
    </xf>
    <xf numFmtId="0" fontId="7" fillId="0" borderId="6" xfId="5" applyFont="1" applyBorder="1"/>
    <xf numFmtId="0" fontId="21" fillId="8" borderId="17" xfId="5" applyFont="1" applyFill="1" applyBorder="1" applyAlignment="1">
      <alignment horizontal="center"/>
    </xf>
    <xf numFmtId="0" fontId="21" fillId="8" borderId="18" xfId="5" applyFont="1" applyFill="1" applyBorder="1" applyAlignment="1">
      <alignment horizontal="center"/>
    </xf>
    <xf numFmtId="0" fontId="21" fillId="8" borderId="20" xfId="5" applyFont="1" applyFill="1" applyBorder="1" applyAlignment="1">
      <alignment horizontal="center"/>
    </xf>
    <xf numFmtId="3" fontId="21" fillId="8" borderId="17" xfId="5" applyNumberFormat="1" applyFont="1" applyFill="1" applyBorder="1" applyAlignment="1">
      <alignment horizontal="center"/>
    </xf>
    <xf numFmtId="3" fontId="21" fillId="8" borderId="18" xfId="5" applyNumberFormat="1" applyFont="1" applyFill="1" applyBorder="1" applyAlignment="1">
      <alignment horizontal="center"/>
    </xf>
    <xf numFmtId="0" fontId="13" fillId="0" borderId="43" xfId="0" applyFont="1" applyBorder="1" applyAlignment="1">
      <alignment horizontal="left"/>
    </xf>
    <xf numFmtId="3" fontId="14" fillId="4" borderId="17" xfId="0" applyNumberFormat="1" applyFont="1" applyFill="1" applyBorder="1"/>
    <xf numFmtId="3" fontId="21" fillId="8" borderId="33" xfId="5" applyNumberFormat="1" applyFont="1" applyFill="1" applyBorder="1" applyAlignment="1">
      <alignment horizontal="center"/>
    </xf>
    <xf numFmtId="3" fontId="21" fillId="8" borderId="34" xfId="5" applyNumberFormat="1" applyFont="1" applyFill="1" applyBorder="1" applyAlignment="1">
      <alignment horizontal="center"/>
    </xf>
    <xf numFmtId="4" fontId="21" fillId="8" borderId="34" xfId="5" applyNumberFormat="1" applyFont="1" applyFill="1" applyBorder="1" applyAlignment="1">
      <alignment horizontal="center"/>
    </xf>
    <xf numFmtId="4" fontId="21" fillId="8" borderId="36" xfId="5" applyNumberFormat="1" applyFont="1" applyFill="1" applyBorder="1" applyAlignment="1">
      <alignment horizontal="center"/>
    </xf>
    <xf numFmtId="3" fontId="6" fillId="0" borderId="24" xfId="5" applyNumberFormat="1" applyFont="1" applyBorder="1"/>
    <xf numFmtId="4" fontId="20" fillId="0" borderId="12" xfId="0" applyNumberFormat="1" applyFont="1" applyBorder="1"/>
    <xf numFmtId="3" fontId="20" fillId="0" borderId="5" xfId="0" applyNumberFormat="1" applyFont="1" applyBorder="1"/>
    <xf numFmtId="4" fontId="20" fillId="0" borderId="5" xfId="0" applyNumberFormat="1" applyFont="1" applyBorder="1"/>
    <xf numFmtId="4" fontId="14" fillId="4" borderId="20" xfId="0" applyNumberFormat="1" applyFont="1" applyFill="1" applyBorder="1"/>
    <xf numFmtId="3" fontId="14" fillId="4" borderId="22" xfId="0" applyNumberFormat="1" applyFont="1" applyFill="1" applyBorder="1"/>
    <xf numFmtId="3" fontId="20" fillId="0" borderId="41" xfId="0" applyNumberFormat="1" applyFont="1" applyBorder="1"/>
    <xf numFmtId="0" fontId="13" fillId="0" borderId="16" xfId="0" applyFont="1" applyBorder="1" applyAlignment="1">
      <alignment horizontal="left"/>
    </xf>
    <xf numFmtId="0" fontId="12" fillId="3" borderId="1" xfId="2" applyFont="1" applyFill="1" applyBorder="1" applyAlignment="1">
      <alignment horizontal="center"/>
    </xf>
    <xf numFmtId="0" fontId="11" fillId="3" borderId="8" xfId="2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0" fontId="12" fillId="3" borderId="8" xfId="0" applyFont="1" applyFill="1" applyBorder="1" applyAlignment="1">
      <alignment horizontal="center"/>
    </xf>
    <xf numFmtId="0" fontId="11" fillId="3" borderId="26" xfId="2" applyFont="1" applyFill="1" applyBorder="1" applyAlignment="1">
      <alignment horizontal="center"/>
    </xf>
    <xf numFmtId="0" fontId="11" fillId="3" borderId="21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21" xfId="0" applyFont="1" applyFill="1" applyBorder="1" applyAlignment="1">
      <alignment horizontal="left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left"/>
    </xf>
    <xf numFmtId="0" fontId="11" fillId="2" borderId="34" xfId="2" applyFont="1" applyFill="1" applyBorder="1" applyAlignment="1">
      <alignment horizontal="center" vertical="center"/>
    </xf>
    <xf numFmtId="0" fontId="12" fillId="3" borderId="1" xfId="0" applyFont="1" applyFill="1" applyBorder="1"/>
    <xf numFmtId="0" fontId="8" fillId="0" borderId="1" xfId="0" applyFont="1" applyBorder="1" applyAlignment="1">
      <alignment horizontal="left"/>
    </xf>
    <xf numFmtId="0" fontId="12" fillId="3" borderId="21" xfId="4" applyFont="1" applyFill="1" applyBorder="1" applyAlignment="1">
      <alignment horizontal="center"/>
    </xf>
    <xf numFmtId="3" fontId="7" fillId="0" borderId="8" xfId="0" applyNumberFormat="1" applyFont="1" applyBorder="1"/>
    <xf numFmtId="3" fontId="7" fillId="0" borderId="28" xfId="0" applyNumberFormat="1" applyFont="1" applyBorder="1"/>
    <xf numFmtId="4" fontId="7" fillId="0" borderId="9" xfId="0" applyNumberFormat="1" applyFont="1" applyBorder="1"/>
    <xf numFmtId="3" fontId="7" fillId="0" borderId="11" xfId="0" applyNumberFormat="1" applyFont="1" applyBorder="1"/>
    <xf numFmtId="3" fontId="7" fillId="0" borderId="12" xfId="0" applyNumberFormat="1" applyFont="1" applyBorder="1"/>
    <xf numFmtId="4" fontId="7" fillId="0" borderId="12" xfId="0" applyNumberFormat="1" applyFont="1" applyBorder="1"/>
    <xf numFmtId="4" fontId="7" fillId="0" borderId="14" xfId="0" applyNumberFormat="1" applyFont="1" applyBorder="1"/>
    <xf numFmtId="3" fontId="7" fillId="0" borderId="41" xfId="0" applyNumberFormat="1" applyFont="1" applyBorder="1"/>
    <xf numFmtId="4" fontId="7" fillId="0" borderId="13" xfId="0" applyNumberFormat="1" applyFont="1" applyBorder="1"/>
    <xf numFmtId="4" fontId="35" fillId="0" borderId="0" xfId="5" applyNumberFormat="1" applyFont="1" applyAlignment="1">
      <alignment horizontal="right"/>
    </xf>
    <xf numFmtId="0" fontId="14" fillId="0" borderId="62" xfId="0" applyFont="1" applyBorder="1"/>
    <xf numFmtId="0" fontId="14" fillId="0" borderId="3" xfId="0" applyFont="1" applyBorder="1"/>
    <xf numFmtId="0" fontId="14" fillId="0" borderId="40" xfId="0" applyFont="1" applyBorder="1"/>
    <xf numFmtId="4" fontId="21" fillId="8" borderId="35" xfId="5" applyNumberFormat="1" applyFont="1" applyFill="1" applyBorder="1" applyAlignment="1">
      <alignment horizontal="center"/>
    </xf>
    <xf numFmtId="4" fontId="35" fillId="0" borderId="0" xfId="5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31" fillId="3" borderId="9" xfId="4" applyFont="1" applyFill="1" applyBorder="1" applyAlignment="1">
      <alignment horizontal="left"/>
    </xf>
    <xf numFmtId="0" fontId="12" fillId="3" borderId="9" xfId="4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30" fillId="3" borderId="9" xfId="4" applyFont="1" applyFill="1" applyBorder="1" applyAlignment="1">
      <alignment horizontal="left"/>
    </xf>
    <xf numFmtId="0" fontId="31" fillId="3" borderId="30" xfId="4" applyFont="1" applyFill="1" applyBorder="1" applyAlignment="1">
      <alignment horizontal="left"/>
    </xf>
    <xf numFmtId="4" fontId="21" fillId="8" borderId="18" xfId="5" applyNumberFormat="1" applyFont="1" applyFill="1" applyBorder="1" applyAlignment="1">
      <alignment horizontal="center"/>
    </xf>
    <xf numFmtId="4" fontId="21" fillId="8" borderId="19" xfId="5" applyNumberFormat="1" applyFont="1" applyFill="1" applyBorder="1" applyAlignment="1">
      <alignment horizontal="center"/>
    </xf>
    <xf numFmtId="0" fontId="6" fillId="0" borderId="1" xfId="5" applyFont="1" applyBorder="1" applyAlignment="1">
      <alignment horizontal="left"/>
    </xf>
    <xf numFmtId="0" fontId="12" fillId="3" borderId="12" xfId="5" applyFont="1" applyFill="1" applyBorder="1" applyAlignment="1">
      <alignment horizontal="left"/>
    </xf>
    <xf numFmtId="1" fontId="6" fillId="0" borderId="1" xfId="5" applyNumberFormat="1" applyFont="1" applyBorder="1" applyAlignment="1">
      <alignment horizontal="right"/>
    </xf>
    <xf numFmtId="49" fontId="6" fillId="0" borderId="1" xfId="5" applyNumberFormat="1" applyFont="1" applyBorder="1" applyAlignment="1">
      <alignment horizontal="right"/>
    </xf>
    <xf numFmtId="1" fontId="6" fillId="0" borderId="53" xfId="5" applyNumberFormat="1" applyFont="1" applyBorder="1" applyAlignment="1">
      <alignment horizontal="right"/>
    </xf>
    <xf numFmtId="0" fontId="6" fillId="0" borderId="28" xfId="5" applyFont="1" applyBorder="1" applyAlignment="1" applyProtection="1">
      <alignment horizontal="center"/>
      <protection locked="0"/>
    </xf>
    <xf numFmtId="0" fontId="6" fillId="0" borderId="9" xfId="5" applyFont="1" applyBorder="1" applyProtection="1">
      <protection locked="0"/>
    </xf>
    <xf numFmtId="0" fontId="12" fillId="3" borderId="8" xfId="5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49" fontId="12" fillId="3" borderId="1" xfId="5" applyNumberFormat="1" applyFont="1" applyFill="1" applyBorder="1" applyAlignment="1">
      <alignment horizontal="right"/>
    </xf>
    <xf numFmtId="0" fontId="12" fillId="3" borderId="41" xfId="0" applyFont="1" applyFill="1" applyBorder="1" applyAlignment="1" applyProtection="1">
      <alignment horizontal="center"/>
      <protection locked="0"/>
    </xf>
    <xf numFmtId="0" fontId="12" fillId="3" borderId="13" xfId="0" applyFont="1" applyFill="1" applyBorder="1" applyProtection="1">
      <protection locked="0"/>
    </xf>
    <xf numFmtId="0" fontId="6" fillId="3" borderId="1" xfId="5" applyFont="1" applyFill="1" applyBorder="1" applyAlignment="1">
      <alignment horizontal="center"/>
    </xf>
    <xf numFmtId="0" fontId="6" fillId="0" borderId="1" xfId="5" applyFont="1" applyBorder="1" applyAlignment="1" applyProtection="1">
      <alignment horizontal="center"/>
      <protection locked="0"/>
    </xf>
    <xf numFmtId="0" fontId="6" fillId="0" borderId="1" xfId="5" applyFont="1" applyBorder="1" applyProtection="1">
      <protection locked="0"/>
    </xf>
    <xf numFmtId="0" fontId="6" fillId="0" borderId="1" xfId="0" applyFont="1" applyBorder="1"/>
    <xf numFmtId="0" fontId="6" fillId="0" borderId="8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8" fillId="0" borderId="1" xfId="0" applyFont="1" applyBorder="1"/>
    <xf numFmtId="0" fontId="8" fillId="0" borderId="8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6" fillId="0" borderId="1" xfId="4" applyFont="1" applyBorder="1"/>
    <xf numFmtId="0" fontId="30" fillId="0" borderId="1" xfId="4" applyFont="1" applyBorder="1" applyAlignment="1">
      <alignment horizontal="center"/>
    </xf>
    <xf numFmtId="0" fontId="13" fillId="3" borderId="8" xfId="4" applyFont="1" applyFill="1" applyBorder="1" applyAlignment="1">
      <alignment horizontal="center"/>
    </xf>
    <xf numFmtId="0" fontId="7" fillId="3" borderId="8" xfId="4" applyFont="1" applyFill="1" applyBorder="1" applyAlignment="1">
      <alignment horizontal="center"/>
    </xf>
    <xf numFmtId="0" fontId="7" fillId="3" borderId="26" xfId="4" applyFont="1" applyFill="1" applyBorder="1" applyAlignment="1">
      <alignment horizontal="center"/>
    </xf>
    <xf numFmtId="0" fontId="36" fillId="0" borderId="18" xfId="5" applyFont="1" applyBorder="1" applyAlignment="1">
      <alignment vertical="center" wrapText="1"/>
    </xf>
    <xf numFmtId="0" fontId="21" fillId="8" borderId="18" xfId="5" applyFont="1" applyFill="1" applyBorder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center"/>
    </xf>
    <xf numFmtId="0" fontId="8" fillId="0" borderId="5" xfId="2" applyFont="1" applyBorder="1"/>
    <xf numFmtId="0" fontId="10" fillId="0" borderId="0" xfId="0" applyFont="1"/>
    <xf numFmtId="0" fontId="11" fillId="3" borderId="1" xfId="2" applyFont="1" applyFill="1" applyBorder="1"/>
    <xf numFmtId="0" fontId="8" fillId="0" borderId="8" xfId="2" applyFont="1" applyBorder="1" applyAlignment="1">
      <alignment horizontal="center"/>
    </xf>
    <xf numFmtId="0" fontId="8" fillId="0" borderId="1" xfId="2" applyFont="1" applyBorder="1" applyAlignment="1">
      <alignment horizontal="center"/>
    </xf>
    <xf numFmtId="0" fontId="8" fillId="0" borderId="1" xfId="2" applyFont="1" applyBorder="1"/>
    <xf numFmtId="0" fontId="8" fillId="0" borderId="9" xfId="2" applyFont="1" applyBorder="1"/>
    <xf numFmtId="0" fontId="11" fillId="3" borderId="21" xfId="2" applyFont="1" applyFill="1" applyBorder="1"/>
    <xf numFmtId="0" fontId="11" fillId="4" borderId="17" xfId="2" applyFont="1" applyFill="1" applyBorder="1"/>
    <xf numFmtId="0" fontId="11" fillId="4" borderId="18" xfId="2" applyFont="1" applyFill="1" applyBorder="1"/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5" xfId="0" applyFont="1" applyBorder="1"/>
    <xf numFmtId="0" fontId="6" fillId="0" borderId="5" xfId="0" applyFont="1" applyBorder="1" applyAlignment="1">
      <alignment horizontal="left"/>
    </xf>
    <xf numFmtId="0" fontId="12" fillId="3" borderId="21" xfId="0" applyFont="1" applyFill="1" applyBorder="1"/>
    <xf numFmtId="3" fontId="13" fillId="0" borderId="0" xfId="0" applyNumberFormat="1" applyFont="1"/>
    <xf numFmtId="1" fontId="7" fillId="0" borderId="0" xfId="0" applyNumberFormat="1" applyFont="1"/>
    <xf numFmtId="3" fontId="26" fillId="0" borderId="0" xfId="5" applyNumberFormat="1" applyFont="1"/>
    <xf numFmtId="4" fontId="26" fillId="0" borderId="0" xfId="5" applyNumberFormat="1" applyFont="1"/>
    <xf numFmtId="4" fontId="20" fillId="0" borderId="7" xfId="0" applyNumberFormat="1" applyFont="1" applyBorder="1"/>
    <xf numFmtId="4" fontId="20" fillId="0" borderId="10" xfId="0" applyNumberFormat="1" applyFont="1" applyBorder="1"/>
    <xf numFmtId="4" fontId="20" fillId="0" borderId="14" xfId="0" applyNumberFormat="1" applyFont="1" applyBorder="1"/>
    <xf numFmtId="3" fontId="38" fillId="4" borderId="40" xfId="5" applyNumberFormat="1" applyFont="1" applyFill="1" applyBorder="1" applyAlignment="1">
      <alignment horizontal="center"/>
    </xf>
    <xf numFmtId="3" fontId="38" fillId="4" borderId="20" xfId="5" applyNumberFormat="1" applyFont="1" applyFill="1" applyBorder="1"/>
    <xf numFmtId="3" fontId="12" fillId="4" borderId="18" xfId="5" applyNumberFormat="1" applyFont="1" applyFill="1" applyBorder="1"/>
    <xf numFmtId="3" fontId="13" fillId="4" borderId="17" xfId="5" applyNumberFormat="1" applyFont="1" applyFill="1" applyBorder="1" applyAlignment="1">
      <alignment horizontal="center"/>
    </xf>
    <xf numFmtId="3" fontId="13" fillId="4" borderId="18" xfId="5" applyNumberFormat="1" applyFont="1" applyFill="1" applyBorder="1"/>
    <xf numFmtId="3" fontId="13" fillId="4" borderId="20" xfId="5" applyNumberFormat="1" applyFont="1" applyFill="1" applyBorder="1"/>
    <xf numFmtId="0" fontId="21" fillId="8" borderId="19" xfId="5" applyFont="1" applyFill="1" applyBorder="1" applyAlignment="1">
      <alignment horizontal="center"/>
    </xf>
    <xf numFmtId="0" fontId="4" fillId="0" borderId="0" xfId="5" applyAlignment="1">
      <alignment horizontal="left"/>
    </xf>
    <xf numFmtId="0" fontId="3" fillId="0" borderId="0" xfId="8" applyAlignment="1">
      <alignment horizontal="center"/>
    </xf>
    <xf numFmtId="0" fontId="3" fillId="0" borderId="0" xfId="9"/>
    <xf numFmtId="0" fontId="3" fillId="0" borderId="0" xfId="8"/>
    <xf numFmtId="0" fontId="35" fillId="0" borderId="0" xfId="8" applyFont="1" applyAlignment="1">
      <alignment horizontal="center"/>
    </xf>
    <xf numFmtId="0" fontId="9" fillId="0" borderId="0" xfId="5" applyFont="1"/>
    <xf numFmtId="0" fontId="18" fillId="0" borderId="0" xfId="5" applyFont="1"/>
    <xf numFmtId="0" fontId="24" fillId="0" borderId="0" xfId="8" applyFont="1" applyAlignment="1">
      <alignment horizontal="center"/>
    </xf>
    <xf numFmtId="0" fontId="24" fillId="0" borderId="0" xfId="8" applyFont="1"/>
    <xf numFmtId="0" fontId="19" fillId="0" borderId="0" xfId="5" applyFont="1" applyAlignment="1">
      <alignment horizontal="left"/>
    </xf>
    <xf numFmtId="0" fontId="19" fillId="0" borderId="0" xfId="5" applyFont="1"/>
    <xf numFmtId="0" fontId="35" fillId="0" borderId="0" xfId="8" applyFont="1" applyAlignment="1">
      <alignment horizontal="center" vertical="center"/>
    </xf>
    <xf numFmtId="0" fontId="36" fillId="0" borderId="0" xfId="8" applyFont="1" applyAlignment="1">
      <alignment vertical="center"/>
    </xf>
    <xf numFmtId="0" fontId="36" fillId="0" borderId="17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/>
    </xf>
    <xf numFmtId="0" fontId="36" fillId="0" borderId="18" xfId="8" applyFont="1" applyBorder="1" applyAlignment="1">
      <alignment horizontal="center" vertical="center" wrapText="1"/>
    </xf>
    <xf numFmtId="0" fontId="21" fillId="8" borderId="17" xfId="8" applyFont="1" applyFill="1" applyBorder="1" applyAlignment="1">
      <alignment horizontal="center"/>
    </xf>
    <xf numFmtId="0" fontId="21" fillId="8" borderId="18" xfId="8" applyFont="1" applyFill="1" applyBorder="1" applyAlignment="1">
      <alignment horizontal="center"/>
    </xf>
    <xf numFmtId="0" fontId="21" fillId="8" borderId="20" xfId="8" applyFont="1" applyFill="1" applyBorder="1" applyAlignment="1">
      <alignment horizontal="center"/>
    </xf>
    <xf numFmtId="0" fontId="21" fillId="0" borderId="0" xfId="8" applyFont="1"/>
    <xf numFmtId="0" fontId="26" fillId="0" borderId="4" xfId="9" applyFont="1" applyBorder="1" applyAlignment="1">
      <alignment horizontal="center"/>
    </xf>
    <xf numFmtId="0" fontId="8" fillId="0" borderId="5" xfId="9" applyFont="1" applyBorder="1" applyAlignment="1">
      <alignment horizontal="center"/>
    </xf>
    <xf numFmtId="0" fontId="26" fillId="0" borderId="5" xfId="9" applyFont="1" applyBorder="1" applyAlignment="1">
      <alignment horizontal="center"/>
    </xf>
    <xf numFmtId="0" fontId="6" fillId="0" borderId="37" xfId="9" applyFont="1" applyBorder="1"/>
    <xf numFmtId="0" fontId="8" fillId="0" borderId="6" xfId="9" applyFont="1" applyBorder="1"/>
    <xf numFmtId="0" fontId="23" fillId="3" borderId="8" xfId="9" applyFont="1" applyFill="1" applyBorder="1" applyAlignment="1">
      <alignment horizontal="center"/>
    </xf>
    <xf numFmtId="0" fontId="11" fillId="3" borderId="1" xfId="9" applyFont="1" applyFill="1" applyBorder="1" applyAlignment="1">
      <alignment horizontal="center"/>
    </xf>
    <xf numFmtId="0" fontId="23" fillId="3" borderId="1" xfId="9" applyFont="1" applyFill="1" applyBorder="1" applyAlignment="1">
      <alignment horizontal="center"/>
    </xf>
    <xf numFmtId="0" fontId="11" fillId="3" borderId="28" xfId="9" applyFont="1" applyFill="1" applyBorder="1"/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4" fontId="12" fillId="3" borderId="10" xfId="9" applyNumberFormat="1" applyFont="1" applyFill="1" applyBorder="1"/>
    <xf numFmtId="0" fontId="26" fillId="0" borderId="8" xfId="9" applyFont="1" applyBorder="1" applyAlignment="1">
      <alignment horizontal="center"/>
    </xf>
    <xf numFmtId="0" fontId="26" fillId="0" borderId="1" xfId="9" applyFont="1" applyBorder="1" applyAlignment="1">
      <alignment horizontal="center"/>
    </xf>
    <xf numFmtId="0" fontId="25" fillId="0" borderId="59" xfId="9" applyFont="1" applyBorder="1" applyAlignment="1">
      <alignment horizontal="center"/>
    </xf>
    <xf numFmtId="0" fontId="26" fillId="0" borderId="28" xfId="9" applyFont="1" applyBorder="1"/>
    <xf numFmtId="0" fontId="26" fillId="0" borderId="9" xfId="9" applyFont="1" applyBorder="1"/>
    <xf numFmtId="0" fontId="26" fillId="0" borderId="9" xfId="9" applyFont="1" applyBorder="1" applyAlignment="1">
      <alignment horizontal="left"/>
    </xf>
    <xf numFmtId="0" fontId="8" fillId="0" borderId="9" xfId="5" applyFont="1" applyBorder="1" applyAlignment="1">
      <alignment horizontal="left"/>
    </xf>
    <xf numFmtId="0" fontId="27" fillId="3" borderId="59" xfId="9" applyFont="1" applyFill="1" applyBorder="1" applyAlignment="1">
      <alignment horizontal="center"/>
    </xf>
    <xf numFmtId="0" fontId="23" fillId="3" borderId="28" xfId="9" applyFont="1" applyFill="1" applyBorder="1"/>
    <xf numFmtId="0" fontId="23" fillId="3" borderId="9" xfId="9" applyFont="1" applyFill="1" applyBorder="1"/>
    <xf numFmtId="4" fontId="23" fillId="3" borderId="10" xfId="9" applyNumberFormat="1" applyFont="1" applyFill="1" applyBorder="1"/>
    <xf numFmtId="0" fontId="26" fillId="3" borderId="1" xfId="9" applyFont="1" applyFill="1" applyBorder="1" applyAlignment="1">
      <alignment horizontal="center"/>
    </xf>
    <xf numFmtId="0" fontId="26" fillId="3" borderId="9" xfId="9" applyFont="1" applyFill="1" applyBorder="1"/>
    <xf numFmtId="0" fontId="8" fillId="0" borderId="9" xfId="9" applyFont="1" applyBorder="1"/>
    <xf numFmtId="0" fontId="23" fillId="3" borderId="29" xfId="9" applyFont="1" applyFill="1" applyBorder="1"/>
    <xf numFmtId="0" fontId="26" fillId="3" borderId="21" xfId="9" applyFont="1" applyFill="1" applyBorder="1" applyAlignment="1">
      <alignment horizontal="center"/>
    </xf>
    <xf numFmtId="0" fontId="26" fillId="3" borderId="30" xfId="9" applyFont="1" applyFill="1" applyBorder="1"/>
    <xf numFmtId="0" fontId="26" fillId="0" borderId="29" xfId="9" applyFont="1" applyBorder="1"/>
    <xf numFmtId="0" fontId="26" fillId="0" borderId="21" xfId="9" applyFont="1" applyBorder="1" applyAlignment="1">
      <alignment horizontal="center"/>
    </xf>
    <xf numFmtId="0" fontId="26" fillId="0" borderId="30" xfId="9" applyFont="1" applyBorder="1"/>
    <xf numFmtId="0" fontId="23" fillId="3" borderId="26" xfId="9" applyFont="1" applyFill="1" applyBorder="1" applyAlignment="1">
      <alignment horizontal="center"/>
    </xf>
    <xf numFmtId="0" fontId="23" fillId="3" borderId="21" xfId="9" applyFont="1" applyFill="1" applyBorder="1" applyAlignment="1">
      <alignment horizontal="center"/>
    </xf>
    <xf numFmtId="0" fontId="28" fillId="5" borderId="17" xfId="9" applyFont="1" applyFill="1" applyBorder="1" applyAlignment="1">
      <alignment horizontal="center"/>
    </xf>
    <xf numFmtId="0" fontId="3" fillId="5" borderId="18" xfId="9" applyFill="1" applyBorder="1"/>
    <xf numFmtId="0" fontId="3" fillId="5" borderId="18" xfId="9" applyFill="1" applyBorder="1" applyAlignment="1">
      <alignment horizontal="center"/>
    </xf>
    <xf numFmtId="3" fontId="12" fillId="7" borderId="18" xfId="8" applyNumberFormat="1" applyFont="1" applyFill="1" applyBorder="1"/>
    <xf numFmtId="0" fontId="3" fillId="5" borderId="20" xfId="9" applyFill="1" applyBorder="1"/>
    <xf numFmtId="0" fontId="3" fillId="5" borderId="42" xfId="9" applyFill="1" applyBorder="1"/>
    <xf numFmtId="0" fontId="25" fillId="0" borderId="0" xfId="9" applyFont="1" applyAlignment="1">
      <alignment horizontal="center"/>
    </xf>
    <xf numFmtId="0" fontId="3" fillId="0" borderId="0" xfId="9" applyAlignment="1">
      <alignment horizontal="center"/>
    </xf>
    <xf numFmtId="0" fontId="13" fillId="0" borderId="0" xfId="9" applyFont="1"/>
    <xf numFmtId="0" fontId="7" fillId="0" borderId="0" xfId="5" applyFont="1" applyAlignment="1">
      <alignment horizontal="center"/>
    </xf>
    <xf numFmtId="0" fontId="7" fillId="0" borderId="0" xfId="5" applyFont="1"/>
    <xf numFmtId="0" fontId="7" fillId="0" borderId="0" xfId="5" applyFont="1" applyAlignment="1">
      <alignment horizontal="left"/>
    </xf>
    <xf numFmtId="3" fontId="3" fillId="0" borderId="0" xfId="9" applyNumberFormat="1"/>
    <xf numFmtId="4" fontId="3" fillId="0" borderId="0" xfId="9" applyNumberFormat="1"/>
    <xf numFmtId="0" fontId="24" fillId="0" borderId="0" xfId="9" applyFont="1"/>
    <xf numFmtId="0" fontId="7" fillId="0" borderId="5" xfId="9" applyFont="1" applyBorder="1" applyAlignment="1">
      <alignment horizontal="center"/>
    </xf>
    <xf numFmtId="1" fontId="7" fillId="0" borderId="5" xfId="9" applyNumberFormat="1" applyFont="1" applyBorder="1" applyAlignment="1">
      <alignment horizontal="center"/>
    </xf>
    <xf numFmtId="0" fontId="26" fillId="0" borderId="5" xfId="9" applyFont="1" applyBorder="1"/>
    <xf numFmtId="0" fontId="26" fillId="0" borderId="6" xfId="9" applyFont="1" applyBorder="1"/>
    <xf numFmtId="0" fontId="7" fillId="0" borderId="1" xfId="9" applyFont="1" applyBorder="1" applyAlignment="1">
      <alignment horizontal="center"/>
    </xf>
    <xf numFmtId="1" fontId="7" fillId="0" borderId="1" xfId="9" applyNumberFormat="1" applyFont="1" applyBorder="1" applyAlignment="1">
      <alignment horizontal="center"/>
    </xf>
    <xf numFmtId="0" fontId="26" fillId="0" borderId="1" xfId="9" applyFont="1" applyBorder="1"/>
    <xf numFmtId="0" fontId="13" fillId="3" borderId="8" xfId="9" applyFont="1" applyFill="1" applyBorder="1" applyAlignment="1">
      <alignment horizontal="center"/>
    </xf>
    <xf numFmtId="0" fontId="13" fillId="3" borderId="1" xfId="9" applyFont="1" applyFill="1" applyBorder="1" applyAlignment="1">
      <alignment horizontal="center"/>
    </xf>
    <xf numFmtId="1" fontId="13" fillId="3" borderId="1" xfId="9" applyNumberFormat="1" applyFont="1" applyFill="1" applyBorder="1" applyAlignment="1">
      <alignment horizontal="center"/>
    </xf>
    <xf numFmtId="0" fontId="23" fillId="3" borderId="1" xfId="9" applyFont="1" applyFill="1" applyBorder="1"/>
    <xf numFmtId="4" fontId="13" fillId="3" borderId="10" xfId="9" applyNumberFormat="1" applyFont="1" applyFill="1" applyBorder="1"/>
    <xf numFmtId="0" fontId="26" fillId="3" borderId="1" xfId="9" applyFont="1" applyFill="1" applyBorder="1"/>
    <xf numFmtId="1" fontId="26" fillId="0" borderId="1" xfId="9" applyNumberFormat="1" applyFont="1" applyBorder="1" applyAlignment="1">
      <alignment horizontal="center"/>
    </xf>
    <xf numFmtId="0" fontId="8" fillId="0" borderId="1" xfId="5" applyFont="1" applyBorder="1" applyAlignment="1">
      <alignment horizontal="left"/>
    </xf>
    <xf numFmtId="1" fontId="7" fillId="3" borderId="1" xfId="9" applyNumberFormat="1" applyFont="1" applyFill="1" applyBorder="1" applyAlignment="1">
      <alignment horizontal="center"/>
    </xf>
    <xf numFmtId="4" fontId="13" fillId="3" borderId="10" xfId="9" applyNumberFormat="1" applyFont="1" applyFill="1" applyBorder="1" applyAlignment="1">
      <alignment horizontal="right"/>
    </xf>
    <xf numFmtId="1" fontId="25" fillId="0" borderId="1" xfId="9" applyNumberFormat="1" applyFont="1" applyBorder="1" applyAlignment="1">
      <alignment horizontal="center"/>
    </xf>
    <xf numFmtId="0" fontId="13" fillId="3" borderId="26" xfId="9" applyFont="1" applyFill="1" applyBorder="1" applyAlignment="1">
      <alignment horizontal="center"/>
    </xf>
    <xf numFmtId="0" fontId="13" fillId="3" borderId="21" xfId="9" applyFont="1" applyFill="1" applyBorder="1" applyAlignment="1">
      <alignment horizontal="center"/>
    </xf>
    <xf numFmtId="1" fontId="13" fillId="3" borderId="21" xfId="9" applyNumberFormat="1" applyFont="1" applyFill="1" applyBorder="1" applyAlignment="1">
      <alignment horizontal="center"/>
    </xf>
    <xf numFmtId="0" fontId="23" fillId="3" borderId="21" xfId="9" applyFont="1" applyFill="1" applyBorder="1"/>
    <xf numFmtId="0" fontId="26" fillId="3" borderId="21" xfId="9" applyFont="1" applyFill="1" applyBorder="1"/>
    <xf numFmtId="0" fontId="25" fillId="5" borderId="17" xfId="9" applyFont="1" applyFill="1" applyBorder="1" applyAlignment="1">
      <alignment horizontal="center"/>
    </xf>
    <xf numFmtId="1" fontId="3" fillId="5" borderId="18" xfId="9" applyNumberFormat="1" applyFill="1" applyBorder="1" applyAlignment="1">
      <alignment horizontal="center"/>
    </xf>
    <xf numFmtId="1" fontId="3" fillId="0" borderId="0" xfId="9" applyNumberFormat="1" applyAlignment="1">
      <alignment horizontal="center"/>
    </xf>
    <xf numFmtId="0" fontId="7" fillId="0" borderId="37" xfId="9" applyFont="1" applyBorder="1"/>
    <xf numFmtId="0" fontId="7" fillId="0" borderId="6" xfId="9" applyFont="1" applyBorder="1"/>
    <xf numFmtId="0" fontId="7" fillId="0" borderId="9" xfId="9" applyFont="1" applyBorder="1"/>
    <xf numFmtId="1" fontId="23" fillId="3" borderId="1" xfId="9" applyNumberFormat="1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7" fillId="0" borderId="28" xfId="9" applyFont="1" applyBorder="1"/>
    <xf numFmtId="0" fontId="13" fillId="3" borderId="28" xfId="9" applyFont="1" applyFill="1" applyBorder="1"/>
    <xf numFmtId="0" fontId="13" fillId="3" borderId="9" xfId="9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0" fontId="7" fillId="0" borderId="29" xfId="9" applyFont="1" applyBorder="1"/>
    <xf numFmtId="0" fontId="7" fillId="0" borderId="21" xfId="9" applyFont="1" applyBorder="1" applyAlignment="1">
      <alignment horizontal="center"/>
    </xf>
    <xf numFmtId="0" fontId="13" fillId="3" borderId="29" xfId="9" applyFont="1" applyFill="1" applyBorder="1"/>
    <xf numFmtId="0" fontId="29" fillId="7" borderId="17" xfId="9" applyFont="1" applyFill="1" applyBorder="1" applyAlignment="1">
      <alignment horizontal="center"/>
    </xf>
    <xf numFmtId="0" fontId="12" fillId="7" borderId="18" xfId="9" applyFont="1" applyFill="1" applyBorder="1" applyAlignment="1">
      <alignment horizontal="center"/>
    </xf>
    <xf numFmtId="1" fontId="12" fillId="7" borderId="18" xfId="9" applyNumberFormat="1" applyFont="1" applyFill="1" applyBorder="1" applyAlignment="1">
      <alignment horizontal="center"/>
    </xf>
    <xf numFmtId="1" fontId="21" fillId="0" borderId="0" xfId="9" applyNumberFormat="1" applyFont="1" applyAlignment="1">
      <alignment horizontal="center"/>
    </xf>
    <xf numFmtId="1" fontId="21" fillId="0" borderId="0" xfId="9" applyNumberFormat="1" applyFont="1"/>
    <xf numFmtId="0" fontId="13" fillId="0" borderId="0" xfId="5" applyFont="1" applyAlignment="1">
      <alignment horizontal="center"/>
    </xf>
    <xf numFmtId="0" fontId="26" fillId="0" borderId="0" xfId="8" applyFont="1" applyAlignment="1">
      <alignment horizontal="center"/>
    </xf>
    <xf numFmtId="0" fontId="23" fillId="0" borderId="0" xfId="8" applyFont="1" applyAlignment="1">
      <alignment horizontal="center"/>
    </xf>
    <xf numFmtId="0" fontId="23" fillId="0" borderId="17" xfId="8" applyFont="1" applyBorder="1" applyAlignment="1">
      <alignment horizontal="center" vertical="center"/>
    </xf>
    <xf numFmtId="0" fontId="26" fillId="8" borderId="17" xfId="8" applyFont="1" applyFill="1" applyBorder="1" applyAlignment="1">
      <alignment horizontal="center"/>
    </xf>
    <xf numFmtId="0" fontId="6" fillId="0" borderId="5" xfId="9" applyFont="1" applyBorder="1"/>
    <xf numFmtId="0" fontId="8" fillId="0" borderId="5" xfId="9" applyFont="1" applyBorder="1"/>
    <xf numFmtId="0" fontId="26" fillId="0" borderId="6" xfId="9" applyFont="1" applyBorder="1" applyAlignment="1">
      <alignment horizontal="left"/>
    </xf>
    <xf numFmtId="0" fontId="8" fillId="0" borderId="1" xfId="9" applyFont="1" applyBorder="1" applyAlignment="1">
      <alignment horizontal="center"/>
    </xf>
    <xf numFmtId="0" fontId="6" fillId="0" borderId="1" xfId="9" applyFont="1" applyBorder="1"/>
    <xf numFmtId="0" fontId="30" fillId="0" borderId="1" xfId="4" applyFont="1" applyBorder="1"/>
    <xf numFmtId="0" fontId="8" fillId="0" borderId="1" xfId="9" applyFont="1" applyBorder="1"/>
    <xf numFmtId="0" fontId="31" fillId="3" borderId="1" xfId="4" applyFont="1" applyFill="1" applyBorder="1"/>
    <xf numFmtId="4" fontId="11" fillId="3" borderId="10" xfId="9" applyNumberFormat="1" applyFont="1" applyFill="1" applyBorder="1" applyAlignment="1">
      <alignment horizontal="right"/>
    </xf>
    <xf numFmtId="0" fontId="6" fillId="0" borderId="1" xfId="4" applyFont="1" applyBorder="1" applyAlignment="1">
      <alignment horizontal="center"/>
    </xf>
    <xf numFmtId="0" fontId="6" fillId="0" borderId="9" xfId="4" applyFont="1" applyBorder="1" applyAlignment="1">
      <alignment horizontal="left"/>
    </xf>
    <xf numFmtId="0" fontId="12" fillId="3" borderId="1" xfId="4" applyFont="1" applyFill="1" applyBorder="1"/>
    <xf numFmtId="4" fontId="11" fillId="3" borderId="10" xfId="9" applyNumberFormat="1" applyFont="1" applyFill="1" applyBorder="1"/>
    <xf numFmtId="0" fontId="32" fillId="0" borderId="1" xfId="4" applyFont="1" applyBorder="1"/>
    <xf numFmtId="0" fontId="32" fillId="0" borderId="1" xfId="4" applyFont="1" applyBorder="1" applyAlignment="1">
      <alignment horizontal="center"/>
    </xf>
    <xf numFmtId="0" fontId="6" fillId="0" borderId="1" xfId="9" applyFont="1" applyBorder="1" applyAlignment="1">
      <alignment horizontal="center"/>
    </xf>
    <xf numFmtId="0" fontId="12" fillId="3" borderId="1" xfId="9" applyFont="1" applyFill="1" applyBorder="1"/>
    <xf numFmtId="0" fontId="12" fillId="3" borderId="1" xfId="9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33" fillId="3" borderId="1" xfId="4" applyFont="1" applyFill="1" applyBorder="1"/>
    <xf numFmtId="0" fontId="30" fillId="3" borderId="1" xfId="4" applyFont="1" applyFill="1" applyBorder="1"/>
    <xf numFmtId="0" fontId="6" fillId="3" borderId="1" xfId="9" applyFont="1" applyFill="1" applyBorder="1" applyAlignment="1">
      <alignment horizontal="center"/>
    </xf>
    <xf numFmtId="0" fontId="34" fillId="0" borderId="1" xfId="4" applyFont="1" applyBorder="1"/>
    <xf numFmtId="0" fontId="31" fillId="3" borderId="21" xfId="4" applyFont="1" applyFill="1" applyBorder="1"/>
    <xf numFmtId="0" fontId="7" fillId="7" borderId="17" xfId="9" applyFont="1" applyFill="1" applyBorder="1" applyAlignment="1">
      <alignment horizontal="center"/>
    </xf>
    <xf numFmtId="0" fontId="6" fillId="7" borderId="18" xfId="9" applyFont="1" applyFill="1" applyBorder="1" applyAlignment="1">
      <alignment horizontal="center"/>
    </xf>
    <xf numFmtId="0" fontId="6" fillId="7" borderId="18" xfId="9" applyFont="1" applyFill="1" applyBorder="1"/>
    <xf numFmtId="0" fontId="6" fillId="7" borderId="20" xfId="9" applyFont="1" applyFill="1" applyBorder="1" applyAlignment="1">
      <alignment horizontal="left"/>
    </xf>
    <xf numFmtId="0" fontId="26" fillId="0" borderId="0" xfId="9" applyFont="1" applyAlignment="1">
      <alignment horizontal="center"/>
    </xf>
    <xf numFmtId="0" fontId="3" fillId="0" borderId="0" xfId="9" applyAlignment="1">
      <alignment horizontal="left"/>
    </xf>
    <xf numFmtId="0" fontId="13" fillId="0" borderId="0" xfId="5" applyFont="1" applyAlignment="1">
      <alignment horizontal="left"/>
    </xf>
    <xf numFmtId="0" fontId="17" fillId="0" borderId="0" xfId="5" applyFont="1" applyAlignment="1">
      <alignment horizontal="left"/>
    </xf>
    <xf numFmtId="3" fontId="35" fillId="0" borderId="0" xfId="5" applyNumberFormat="1" applyFont="1" applyAlignment="1">
      <alignment horizontal="center"/>
    </xf>
    <xf numFmtId="0" fontId="14" fillId="0" borderId="66" xfId="0" applyFont="1" applyBorder="1"/>
    <xf numFmtId="4" fontId="11" fillId="3" borderId="9" xfId="2" applyNumberFormat="1" applyFont="1" applyFill="1" applyBorder="1"/>
    <xf numFmtId="4" fontId="21" fillId="8" borderId="56" xfId="5" applyNumberFormat="1" applyFont="1" applyFill="1" applyBorder="1" applyAlignment="1">
      <alignment horizontal="center"/>
    </xf>
    <xf numFmtId="0" fontId="7" fillId="3" borderId="37" xfId="9" applyFont="1" applyFill="1" applyBorder="1"/>
    <xf numFmtId="3" fontId="13" fillId="0" borderId="21" xfId="0" applyNumberFormat="1" applyFont="1" applyBorder="1" applyAlignment="1">
      <alignment horizontal="center" vertical="center" wrapText="1"/>
    </xf>
    <xf numFmtId="4" fontId="23" fillId="0" borderId="27" xfId="0" applyNumberFormat="1" applyFont="1" applyBorder="1" applyAlignment="1">
      <alignment horizontal="center" vertical="center" wrapText="1"/>
    </xf>
    <xf numFmtId="3" fontId="35" fillId="0" borderId="23" xfId="5" applyNumberFormat="1" applyFont="1" applyBorder="1"/>
    <xf numFmtId="3" fontId="35" fillId="0" borderId="24" xfId="5" applyNumberFormat="1" applyFont="1" applyBorder="1"/>
    <xf numFmtId="4" fontId="35" fillId="0" borderId="24" xfId="5" applyNumberFormat="1" applyFont="1" applyBorder="1"/>
    <xf numFmtId="4" fontId="26" fillId="0" borderId="24" xfId="5" applyNumberFormat="1" applyFont="1" applyBorder="1"/>
    <xf numFmtId="3" fontId="7" fillId="0" borderId="46" xfId="5" applyNumberFormat="1" applyFont="1" applyBorder="1"/>
    <xf numFmtId="3" fontId="7" fillId="0" borderId="24" xfId="5" applyNumberFormat="1" applyFont="1" applyBorder="1"/>
    <xf numFmtId="4" fontId="7" fillId="0" borderId="24" xfId="5" applyNumberFormat="1" applyFont="1" applyBorder="1"/>
    <xf numFmtId="3" fontId="7" fillId="0" borderId="23" xfId="5" applyNumberFormat="1" applyFont="1" applyBorder="1"/>
    <xf numFmtId="4" fontId="7" fillId="0" borderId="25" xfId="5" applyNumberFormat="1" applyFont="1" applyBorder="1"/>
    <xf numFmtId="0" fontId="11" fillId="0" borderId="58" xfId="0" applyFont="1" applyBorder="1" applyAlignment="1">
      <alignment vertical="center" wrapText="1"/>
    </xf>
    <xf numFmtId="3" fontId="35" fillId="0" borderId="1" xfId="5" applyNumberFormat="1" applyFont="1" applyBorder="1"/>
    <xf numFmtId="4" fontId="35" fillId="0" borderId="1" xfId="5" applyNumberFormat="1" applyFont="1" applyBorder="1"/>
    <xf numFmtId="4" fontId="26" fillId="0" borderId="1" xfId="5" applyNumberFormat="1" applyFont="1" applyBorder="1"/>
    <xf numFmtId="3" fontId="7" fillId="0" borderId="1" xfId="5" applyNumberFormat="1" applyFont="1" applyBorder="1"/>
    <xf numFmtId="4" fontId="7" fillId="0" borderId="1" xfId="5" applyNumberFormat="1" applyFont="1" applyBorder="1"/>
    <xf numFmtId="3" fontId="35" fillId="0" borderId="8" xfId="5" applyNumberFormat="1" applyFont="1" applyBorder="1"/>
    <xf numFmtId="4" fontId="7" fillId="0" borderId="10" xfId="5" applyNumberFormat="1" applyFont="1" applyBorder="1"/>
    <xf numFmtId="4" fontId="35" fillId="0" borderId="32" xfId="5" applyNumberFormat="1" applyFont="1" applyBorder="1"/>
    <xf numFmtId="4" fontId="35" fillId="0" borderId="9" xfId="5" applyNumberFormat="1" applyFont="1" applyBorder="1"/>
    <xf numFmtId="3" fontId="7" fillId="0" borderId="28" xfId="5" applyNumberFormat="1" applyFont="1" applyBorder="1"/>
    <xf numFmtId="3" fontId="7" fillId="0" borderId="8" xfId="5" applyNumberFormat="1" applyFont="1" applyBorder="1"/>
    <xf numFmtId="4" fontId="20" fillId="0" borderId="6" xfId="0" applyNumberFormat="1" applyFont="1" applyBorder="1"/>
    <xf numFmtId="4" fontId="20" fillId="0" borderId="9" xfId="0" applyNumberFormat="1" applyFont="1" applyBorder="1"/>
    <xf numFmtId="4" fontId="20" fillId="0" borderId="13" xfId="0" applyNumberFormat="1" applyFont="1" applyBorder="1"/>
    <xf numFmtId="3" fontId="36" fillId="0" borderId="0" xfId="5" applyNumberFormat="1" applyFont="1"/>
    <xf numFmtId="4" fontId="36" fillId="0" borderId="0" xfId="5" applyNumberFormat="1" applyFont="1"/>
    <xf numFmtId="3" fontId="13" fillId="0" borderId="0" xfId="5" applyNumberFormat="1" applyFont="1"/>
    <xf numFmtId="3" fontId="7" fillId="0" borderId="0" xfId="5" applyNumberFormat="1" applyFont="1"/>
    <xf numFmtId="3" fontId="6" fillId="0" borderId="0" xfId="5" applyNumberFormat="1" applyFont="1"/>
    <xf numFmtId="4" fontId="7" fillId="0" borderId="0" xfId="5" applyNumberFormat="1" applyFont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3" fontId="13" fillId="3" borderId="8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0" fontId="13" fillId="0" borderId="58" xfId="0" applyFont="1" applyBorder="1" applyAlignment="1">
      <alignment horizontal="left"/>
    </xf>
    <xf numFmtId="0" fontId="13" fillId="0" borderId="62" xfId="0" applyFont="1" applyBorder="1" applyAlignment="1">
      <alignment horizontal="left"/>
    </xf>
    <xf numFmtId="4" fontId="11" fillId="3" borderId="10" xfId="2" applyNumberFormat="1" applyFont="1" applyFill="1" applyBorder="1"/>
    <xf numFmtId="3" fontId="12" fillId="3" borderId="1" xfId="0" applyNumberFormat="1" applyFont="1" applyFill="1" applyBorder="1" applyAlignment="1">
      <alignment horizontal="right"/>
    </xf>
    <xf numFmtId="4" fontId="12" fillId="3" borderId="1" xfId="0" applyNumberFormat="1" applyFont="1" applyFill="1" applyBorder="1" applyAlignment="1">
      <alignment horizontal="right"/>
    </xf>
    <xf numFmtId="3" fontId="12" fillId="3" borderId="1" xfId="0" applyNumberFormat="1" applyFont="1" applyFill="1" applyBorder="1"/>
    <xf numFmtId="4" fontId="12" fillId="3" borderId="1" xfId="0" applyNumberFormat="1" applyFont="1" applyFill="1" applyBorder="1"/>
    <xf numFmtId="3" fontId="12" fillId="3" borderId="8" xfId="0" applyNumberFormat="1" applyFont="1" applyFill="1" applyBorder="1" applyAlignment="1">
      <alignment horizontal="right"/>
    </xf>
    <xf numFmtId="3" fontId="12" fillId="3" borderId="8" xfId="0" applyNumberFormat="1" applyFont="1" applyFill="1" applyBorder="1"/>
    <xf numFmtId="4" fontId="12" fillId="3" borderId="9" xfId="0" applyNumberFormat="1" applyFont="1" applyFill="1" applyBorder="1" applyAlignment="1">
      <alignment horizontal="right"/>
    </xf>
    <xf numFmtId="4" fontId="12" fillId="3" borderId="9" xfId="0" applyNumberFormat="1" applyFont="1" applyFill="1" applyBorder="1"/>
    <xf numFmtId="3" fontId="12" fillId="3" borderId="28" xfId="0" applyNumberFormat="1" applyFont="1" applyFill="1" applyBorder="1" applyAlignment="1">
      <alignment horizontal="right"/>
    </xf>
    <xf numFmtId="3" fontId="12" fillId="3" borderId="28" xfId="0" applyNumberFormat="1" applyFont="1" applyFill="1" applyBorder="1"/>
    <xf numFmtId="3" fontId="12" fillId="3" borderId="26" xfId="0" applyNumberFormat="1" applyFont="1" applyFill="1" applyBorder="1" applyAlignment="1">
      <alignment horizontal="right"/>
    </xf>
    <xf numFmtId="3" fontId="12" fillId="3" borderId="21" xfId="0" applyNumberFormat="1" applyFont="1" applyFill="1" applyBorder="1" applyAlignment="1">
      <alignment horizontal="right"/>
    </xf>
    <xf numFmtId="4" fontId="12" fillId="3" borderId="21" xfId="0" applyNumberFormat="1" applyFont="1" applyFill="1" applyBorder="1" applyAlignment="1">
      <alignment horizontal="right"/>
    </xf>
    <xf numFmtId="4" fontId="12" fillId="3" borderId="27" xfId="0" applyNumberFormat="1" applyFont="1" applyFill="1" applyBorder="1" applyAlignment="1">
      <alignment horizontal="right"/>
    </xf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23" fillId="3" borderId="1" xfId="9" applyNumberFormat="1" applyFont="1" applyFill="1" applyBorder="1"/>
    <xf numFmtId="4" fontId="23" fillId="3" borderId="1" xfId="9" applyNumberFormat="1" applyFont="1" applyFill="1" applyBorder="1"/>
    <xf numFmtId="3" fontId="12" fillId="3" borderId="8" xfId="9" applyNumberFormat="1" applyFont="1" applyFill="1" applyBorder="1"/>
    <xf numFmtId="3" fontId="23" fillId="3" borderId="8" xfId="9" applyNumberFormat="1" applyFont="1" applyFill="1" applyBorder="1"/>
    <xf numFmtId="3" fontId="12" fillId="3" borderId="28" xfId="9" applyNumberFormat="1" applyFont="1" applyFill="1" applyBorder="1"/>
    <xf numFmtId="3" fontId="23" fillId="3" borderId="28" xfId="9" applyNumberFormat="1" applyFont="1" applyFill="1" applyBorder="1"/>
    <xf numFmtId="3" fontId="23" fillId="5" borderId="22" xfId="9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/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/>
    <xf numFmtId="3" fontId="13" fillId="3" borderId="28" xfId="9" applyNumberFormat="1" applyFont="1" applyFill="1" applyBorder="1" applyAlignment="1">
      <alignment horizontal="right"/>
    </xf>
    <xf numFmtId="0" fontId="13" fillId="0" borderId="69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8" xfId="9" applyNumberFormat="1" applyFont="1" applyFill="1" applyBorder="1" applyAlignment="1">
      <alignment horizontal="right"/>
    </xf>
    <xf numFmtId="3" fontId="12" fillId="3" borderId="28" xfId="9" applyNumberFormat="1" applyFont="1" applyFill="1" applyBorder="1" applyAlignment="1">
      <alignment horizontal="right"/>
    </xf>
    <xf numFmtId="3" fontId="12" fillId="7" borderId="17" xfId="9" applyNumberFormat="1" applyFont="1" applyFill="1" applyBorder="1"/>
    <xf numFmtId="3" fontId="12" fillId="7" borderId="18" xfId="9" applyNumberFormat="1" applyFont="1" applyFill="1" applyBorder="1"/>
    <xf numFmtId="4" fontId="12" fillId="7" borderId="18" xfId="9" applyNumberFormat="1" applyFont="1" applyFill="1" applyBorder="1"/>
    <xf numFmtId="4" fontId="12" fillId="7" borderId="19" xfId="9" applyNumberFormat="1" applyFont="1" applyFill="1" applyBorder="1"/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8" xfId="9" applyNumberFormat="1" applyFont="1" applyFill="1" applyBorder="1"/>
    <xf numFmtId="3" fontId="11" fillId="3" borderId="28" xfId="9" applyNumberFormat="1" applyFont="1" applyFill="1" applyBorder="1" applyAlignment="1">
      <alignment horizontal="right"/>
    </xf>
    <xf numFmtId="3" fontId="11" fillId="3" borderId="28" xfId="9" applyNumberFormat="1" applyFont="1" applyFill="1" applyBorder="1"/>
    <xf numFmtId="3" fontId="7" fillId="0" borderId="4" xfId="0" applyNumberFormat="1" applyFont="1" applyBorder="1"/>
    <xf numFmtId="3" fontId="7" fillId="0" borderId="5" xfId="0" applyNumberFormat="1" applyFont="1" applyBorder="1"/>
    <xf numFmtId="3" fontId="7" fillId="0" borderId="37" xfId="0" applyNumberFormat="1" applyFont="1" applyBorder="1"/>
    <xf numFmtId="4" fontId="35" fillId="0" borderId="0" xfId="8" applyNumberFormat="1" applyFont="1" applyAlignment="1">
      <alignment horizontal="center"/>
    </xf>
    <xf numFmtId="4" fontId="7" fillId="0" borderId="5" xfId="0" applyNumberFormat="1" applyFont="1" applyBorder="1"/>
    <xf numFmtId="4" fontId="7" fillId="0" borderId="6" xfId="0" applyNumberFormat="1" applyFont="1" applyBorder="1"/>
    <xf numFmtId="4" fontId="35" fillId="0" borderId="25" xfId="5" applyNumberFormat="1" applyFont="1" applyBorder="1"/>
    <xf numFmtId="4" fontId="7" fillId="0" borderId="7" xfId="0" applyNumberFormat="1" applyFont="1" applyBorder="1"/>
    <xf numFmtId="0" fontId="4" fillId="0" borderId="0" xfId="5" applyAlignment="1">
      <alignment horizontal="right"/>
    </xf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3" fontId="4" fillId="0" borderId="0" xfId="5" applyNumberFormat="1" applyAlignment="1">
      <alignment horizontal="right"/>
    </xf>
    <xf numFmtId="0" fontId="26" fillId="0" borderId="0" xfId="5" applyFont="1" applyAlignment="1">
      <alignment horizontal="right"/>
    </xf>
    <xf numFmtId="0" fontId="26" fillId="9" borderId="1" xfId="9" applyFont="1" applyFill="1" applyBorder="1"/>
    <xf numFmtId="3" fontId="23" fillId="3" borderId="11" xfId="9" applyNumberFormat="1" applyFont="1" applyFill="1" applyBorder="1"/>
    <xf numFmtId="3" fontId="23" fillId="3" borderId="12" xfId="9" applyNumberFormat="1" applyFont="1" applyFill="1" applyBorder="1"/>
    <xf numFmtId="4" fontId="23" fillId="3" borderId="12" xfId="9" applyNumberFormat="1" applyFont="1" applyFill="1" applyBorder="1"/>
    <xf numFmtId="4" fontId="21" fillId="8" borderId="22" xfId="5" applyNumberFormat="1" applyFont="1" applyFill="1" applyBorder="1" applyAlignment="1">
      <alignment horizontal="center"/>
    </xf>
    <xf numFmtId="3" fontId="11" fillId="3" borderId="1" xfId="2" applyNumberFormat="1" applyFont="1" applyFill="1" applyBorder="1"/>
    <xf numFmtId="3" fontId="11" fillId="3" borderId="8" xfId="2" applyNumberFormat="1" applyFont="1" applyFill="1" applyBorder="1"/>
    <xf numFmtId="3" fontId="13" fillId="0" borderId="0" xfId="0" applyNumberFormat="1" applyFont="1" applyAlignment="1">
      <alignment horizontal="left" vertical="center" wrapText="1"/>
    </xf>
    <xf numFmtId="3" fontId="39" fillId="0" borderId="0" xfId="0" applyNumberFormat="1" applyFont="1" applyAlignment="1">
      <alignment horizontal="left" vertical="center" wrapText="1"/>
    </xf>
    <xf numFmtId="4" fontId="13" fillId="0" borderId="0" xfId="5" applyNumberFormat="1" applyFont="1"/>
    <xf numFmtId="3" fontId="21" fillId="8" borderId="56" xfId="5" applyNumberFormat="1" applyFont="1" applyFill="1" applyBorder="1" applyAlignment="1">
      <alignment horizontal="center"/>
    </xf>
    <xf numFmtId="4" fontId="35" fillId="0" borderId="10" xfId="5" applyNumberFormat="1" applyFont="1" applyBorder="1"/>
    <xf numFmtId="3" fontId="35" fillId="0" borderId="28" xfId="5" applyNumberFormat="1" applyFont="1" applyBorder="1"/>
    <xf numFmtId="3" fontId="12" fillId="3" borderId="11" xfId="0" applyNumberFormat="1" applyFont="1" applyFill="1" applyBorder="1"/>
    <xf numFmtId="3" fontId="12" fillId="3" borderId="12" xfId="0" applyNumberFormat="1" applyFont="1" applyFill="1" applyBorder="1"/>
    <xf numFmtId="4" fontId="12" fillId="3" borderId="12" xfId="0" applyNumberFormat="1" applyFont="1" applyFill="1" applyBorder="1"/>
    <xf numFmtId="4" fontId="12" fillId="3" borderId="14" xfId="0" applyNumberFormat="1" applyFont="1" applyFill="1" applyBorder="1"/>
    <xf numFmtId="4" fontId="23" fillId="3" borderId="14" xfId="9" applyNumberFormat="1" applyFont="1" applyFill="1" applyBorder="1"/>
    <xf numFmtId="3" fontId="12" fillId="3" borderId="11" xfId="9" applyNumberFormat="1" applyFont="1" applyFill="1" applyBorder="1"/>
    <xf numFmtId="3" fontId="12" fillId="3" borderId="12" xfId="9" applyNumberFormat="1" applyFont="1" applyFill="1" applyBorder="1"/>
    <xf numFmtId="4" fontId="12" fillId="3" borderId="12" xfId="9" applyNumberFormat="1" applyFont="1" applyFill="1" applyBorder="1"/>
    <xf numFmtId="4" fontId="12" fillId="3" borderId="14" xfId="9" applyNumberFormat="1" applyFont="1" applyFill="1" applyBorder="1"/>
    <xf numFmtId="3" fontId="12" fillId="3" borderId="8" xfId="5" applyNumberFormat="1" applyFont="1" applyFill="1" applyBorder="1"/>
    <xf numFmtId="3" fontId="12" fillId="3" borderId="8" xfId="5" applyNumberFormat="1" applyFont="1" applyFill="1" applyBorder="1" applyAlignment="1">
      <alignment horizontal="right"/>
    </xf>
    <xf numFmtId="3" fontId="36" fillId="3" borderId="8" xfId="5" applyNumberFormat="1" applyFont="1" applyFill="1" applyBorder="1"/>
    <xf numFmtId="3" fontId="12" fillId="3" borderId="11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0" fontId="26" fillId="0" borderId="0" xfId="5" applyFont="1" applyAlignment="1">
      <alignment horizontal="left"/>
    </xf>
    <xf numFmtId="1" fontId="7" fillId="0" borderId="0" xfId="0" applyNumberFormat="1" applyFont="1" applyAlignment="1">
      <alignment horizontal="right"/>
    </xf>
    <xf numFmtId="3" fontId="26" fillId="0" borderId="0" xfId="5" applyNumberFormat="1" applyFont="1" applyAlignment="1">
      <alignment horizontal="center"/>
    </xf>
    <xf numFmtId="3" fontId="38" fillId="7" borderId="38" xfId="5" applyNumberFormat="1" applyFont="1" applyFill="1" applyBorder="1"/>
    <xf numFmtId="3" fontId="12" fillId="3" borderId="28" xfId="5" applyNumberFormat="1" applyFont="1" applyFill="1" applyBorder="1"/>
    <xf numFmtId="3" fontId="12" fillId="3" borderId="28" xfId="5" applyNumberFormat="1" applyFont="1" applyFill="1" applyBorder="1" applyAlignment="1">
      <alignment horizontal="right"/>
    </xf>
    <xf numFmtId="3" fontId="36" fillId="3" borderId="28" xfId="5" applyNumberFormat="1" applyFont="1" applyFill="1" applyBorder="1"/>
    <xf numFmtId="3" fontId="12" fillId="4" borderId="70" xfId="0" applyNumberFormat="1" applyFont="1" applyFill="1" applyBorder="1"/>
    <xf numFmtId="0" fontId="7" fillId="0" borderId="1" xfId="0" applyFont="1" applyBorder="1" applyProtection="1">
      <protection locked="0"/>
    </xf>
    <xf numFmtId="0" fontId="13" fillId="3" borderId="1" xfId="0" applyFont="1" applyFill="1" applyBorder="1" applyProtection="1">
      <protection locked="0"/>
    </xf>
    <xf numFmtId="0" fontId="42" fillId="0" borderId="0" xfId="5" applyFont="1" applyAlignment="1">
      <alignment horizontal="left"/>
    </xf>
    <xf numFmtId="0" fontId="42" fillId="0" borderId="0" xfId="5" applyFont="1" applyAlignment="1">
      <alignment horizontal="center"/>
    </xf>
    <xf numFmtId="0" fontId="42" fillId="0" borderId="0" xfId="5" applyFont="1" applyAlignment="1">
      <alignment horizontal="right"/>
    </xf>
    <xf numFmtId="3" fontId="35" fillId="0" borderId="46" xfId="5" applyNumberFormat="1" applyFont="1" applyBorder="1"/>
    <xf numFmtId="4" fontId="13" fillId="3" borderId="9" xfId="9" applyNumberFormat="1" applyFont="1" applyFill="1" applyBorder="1"/>
    <xf numFmtId="4" fontId="13" fillId="3" borderId="9" xfId="9" applyNumberFormat="1" applyFont="1" applyFill="1" applyBorder="1" applyAlignment="1">
      <alignment horizontal="right"/>
    </xf>
    <xf numFmtId="4" fontId="23" fillId="3" borderId="9" xfId="9" applyNumberFormat="1" applyFont="1" applyFill="1" applyBorder="1"/>
    <xf numFmtId="4" fontId="12" fillId="3" borderId="9" xfId="9" applyNumberFormat="1" applyFont="1" applyFill="1" applyBorder="1"/>
    <xf numFmtId="4" fontId="12" fillId="3" borderId="9" xfId="9" applyNumberFormat="1" applyFont="1" applyFill="1" applyBorder="1" applyAlignment="1">
      <alignment horizontal="right"/>
    </xf>
    <xf numFmtId="0" fontId="25" fillId="0" borderId="1" xfId="9" applyFont="1" applyBorder="1" applyAlignment="1">
      <alignment horizontal="center"/>
    </xf>
    <xf numFmtId="0" fontId="23" fillId="3" borderId="4" xfId="9" applyFont="1" applyFill="1" applyBorder="1" applyAlignment="1">
      <alignment horizontal="center"/>
    </xf>
    <xf numFmtId="0" fontId="23" fillId="3" borderId="5" xfId="9" applyFont="1" applyFill="1" applyBorder="1" applyAlignment="1">
      <alignment horizontal="center"/>
    </xf>
    <xf numFmtId="0" fontId="27" fillId="3" borderId="71" xfId="9" applyFont="1" applyFill="1" applyBorder="1" applyAlignment="1">
      <alignment horizontal="center"/>
    </xf>
    <xf numFmtId="0" fontId="23" fillId="3" borderId="37" xfId="9" applyFont="1" applyFill="1" applyBorder="1"/>
    <xf numFmtId="4" fontId="35" fillId="0" borderId="5" xfId="5" applyNumberFormat="1" applyFont="1" applyBorder="1"/>
    <xf numFmtId="4" fontId="13" fillId="5" borderId="1" xfId="0" applyNumberFormat="1" applyFont="1" applyFill="1" applyBorder="1" applyAlignment="1">
      <alignment horizontal="center" vertical="center" wrapText="1"/>
    </xf>
    <xf numFmtId="4" fontId="13" fillId="6" borderId="70" xfId="5" applyNumberFormat="1" applyFont="1" applyFill="1" applyBorder="1"/>
    <xf numFmtId="4" fontId="11" fillId="3" borderId="1" xfId="2" applyNumberFormat="1" applyFont="1" applyFill="1" applyBorder="1"/>
    <xf numFmtId="4" fontId="26" fillId="0" borderId="5" xfId="5" applyNumberFormat="1" applyFont="1" applyBorder="1"/>
    <xf numFmtId="0" fontId="7" fillId="0" borderId="1" xfId="5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3" fontId="23" fillId="5" borderId="17" xfId="9" applyNumberFormat="1" applyFont="1" applyFill="1" applyBorder="1"/>
    <xf numFmtId="3" fontId="38" fillId="7" borderId="70" xfId="5" applyNumberFormat="1" applyFont="1" applyFill="1" applyBorder="1"/>
    <xf numFmtId="3" fontId="13" fillId="3" borderId="41" xfId="5" applyNumberFormat="1" applyFont="1" applyFill="1" applyBorder="1"/>
    <xf numFmtId="3" fontId="12" fillId="3" borderId="11" xfId="0" applyNumberFormat="1" applyFont="1" applyFill="1" applyBorder="1" applyAlignment="1">
      <alignment horizontal="right"/>
    </xf>
    <xf numFmtId="3" fontId="12" fillId="3" borderId="12" xfId="0" applyNumberFormat="1" applyFont="1" applyFill="1" applyBorder="1" applyAlignment="1">
      <alignment horizontal="right"/>
    </xf>
    <xf numFmtId="4" fontId="12" fillId="3" borderId="12" xfId="0" applyNumberFormat="1" applyFont="1" applyFill="1" applyBorder="1" applyAlignment="1">
      <alignment horizontal="right"/>
    </xf>
    <xf numFmtId="3" fontId="13" fillId="6" borderId="70" xfId="5" applyNumberFormat="1" applyFont="1" applyFill="1" applyBorder="1"/>
    <xf numFmtId="4" fontId="11" fillId="3" borderId="30" xfId="2" applyNumberFormat="1" applyFont="1" applyFill="1" applyBorder="1"/>
    <xf numFmtId="4" fontId="11" fillId="4" borderId="18" xfId="2" applyNumberFormat="1" applyFont="1" applyFill="1" applyBorder="1"/>
    <xf numFmtId="4" fontId="11" fillId="4" borderId="19" xfId="2" applyNumberFormat="1" applyFont="1" applyFill="1" applyBorder="1"/>
    <xf numFmtId="0" fontId="11" fillId="4" borderId="20" xfId="2" applyFont="1" applyFill="1" applyBorder="1"/>
    <xf numFmtId="3" fontId="11" fillId="4" borderId="17" xfId="2" applyNumberFormat="1" applyFont="1" applyFill="1" applyBorder="1"/>
    <xf numFmtId="3" fontId="11" fillId="4" borderId="18" xfId="2" applyNumberFormat="1" applyFont="1" applyFill="1" applyBorder="1"/>
    <xf numFmtId="3" fontId="23" fillId="5" borderId="70" xfId="9" applyNumberFormat="1" applyFont="1" applyFill="1" applyBorder="1"/>
    <xf numFmtId="3" fontId="12" fillId="0" borderId="47" xfId="2" applyNumberFormat="1" applyFont="1" applyBorder="1" applyAlignment="1">
      <alignment horizontal="center" vertical="center" wrapText="1"/>
    </xf>
    <xf numFmtId="3" fontId="12" fillId="0" borderId="12" xfId="2" applyNumberFormat="1" applyFont="1" applyBorder="1" applyAlignment="1">
      <alignment horizontal="center" vertical="center" wrapText="1"/>
    </xf>
    <xf numFmtId="0" fontId="11" fillId="3" borderId="9" xfId="2" applyFont="1" applyFill="1" applyBorder="1"/>
    <xf numFmtId="0" fontId="11" fillId="3" borderId="30" xfId="2" applyFont="1" applyFill="1" applyBorder="1"/>
    <xf numFmtId="3" fontId="11" fillId="4" borderId="22" xfId="2" applyNumberFormat="1" applyFont="1" applyFill="1" applyBorder="1"/>
    <xf numFmtId="3" fontId="12" fillId="7" borderId="22" xfId="9" applyNumberFormat="1" applyFont="1" applyFill="1" applyBorder="1"/>
    <xf numFmtId="3" fontId="12" fillId="0" borderId="61" xfId="2" applyNumberFormat="1" applyFont="1" applyBorder="1" applyAlignment="1">
      <alignment horizontal="center" vertical="center" wrapText="1"/>
    </xf>
    <xf numFmtId="3" fontId="12" fillId="0" borderId="70" xfId="2" applyNumberFormat="1" applyFont="1" applyBorder="1" applyAlignment="1">
      <alignment horizontal="center" vertical="center" wrapText="1"/>
    </xf>
    <xf numFmtId="3" fontId="35" fillId="0" borderId="4" xfId="5" applyNumberFormat="1" applyFont="1" applyBorder="1"/>
    <xf numFmtId="3" fontId="35" fillId="0" borderId="5" xfId="5" applyNumberFormat="1" applyFont="1" applyBorder="1"/>
    <xf numFmtId="4" fontId="35" fillId="0" borderId="7" xfId="5" applyNumberFormat="1" applyFont="1" applyBorder="1"/>
    <xf numFmtId="4" fontId="12" fillId="0" borderId="47" xfId="2" applyNumberFormat="1" applyFont="1" applyBorder="1" applyAlignment="1">
      <alignment horizontal="center" vertical="center" wrapText="1"/>
    </xf>
    <xf numFmtId="4" fontId="12" fillId="0" borderId="63" xfId="2" applyNumberFormat="1" applyFont="1" applyBorder="1" applyAlignment="1">
      <alignment horizontal="center" vertical="center" wrapText="1"/>
    </xf>
    <xf numFmtId="4" fontId="23" fillId="5" borderId="22" xfId="9" applyNumberFormat="1" applyFont="1" applyFill="1" applyBorder="1"/>
    <xf numFmtId="4" fontId="23" fillId="5" borderId="70" xfId="9" applyNumberFormat="1" applyFont="1" applyFill="1" applyBorder="1"/>
    <xf numFmtId="4" fontId="12" fillId="4" borderId="70" xfId="0" applyNumberFormat="1" applyFont="1" applyFill="1" applyBorder="1"/>
    <xf numFmtId="4" fontId="39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4" fontId="12" fillId="0" borderId="61" xfId="2" applyNumberFormat="1" applyFont="1" applyBorder="1" applyAlignment="1">
      <alignment horizontal="center" vertical="center" wrapText="1"/>
    </xf>
    <xf numFmtId="3" fontId="12" fillId="0" borderId="38" xfId="2" applyNumberFormat="1" applyFont="1" applyBorder="1" applyAlignment="1">
      <alignment horizontal="center" vertical="center" wrapText="1"/>
    </xf>
    <xf numFmtId="4" fontId="7" fillId="0" borderId="32" xfId="5" applyNumberFormat="1" applyFont="1" applyBorder="1"/>
    <xf numFmtId="4" fontId="7" fillId="0" borderId="9" xfId="5" applyNumberFormat="1" applyFont="1" applyBorder="1"/>
    <xf numFmtId="4" fontId="13" fillId="6" borderId="45" xfId="5" applyNumberFormat="1" applyFont="1" applyFill="1" applyBorder="1"/>
    <xf numFmtId="0" fontId="8" fillId="0" borderId="6" xfId="2" applyFont="1" applyBorder="1"/>
    <xf numFmtId="3" fontId="11" fillId="3" borderId="28" xfId="2" applyNumberFormat="1" applyFont="1" applyFill="1" applyBorder="1"/>
    <xf numFmtId="3" fontId="11" fillId="3" borderId="26" xfId="2" applyNumberFormat="1" applyFont="1" applyFill="1" applyBorder="1"/>
    <xf numFmtId="3" fontId="11" fillId="3" borderId="21" xfId="2" applyNumberFormat="1" applyFont="1" applyFill="1" applyBorder="1"/>
    <xf numFmtId="4" fontId="11" fillId="3" borderId="21" xfId="2" applyNumberFormat="1" applyFont="1" applyFill="1" applyBorder="1"/>
    <xf numFmtId="4" fontId="11" fillId="3" borderId="27" xfId="2" applyNumberFormat="1" applyFont="1" applyFill="1" applyBorder="1"/>
    <xf numFmtId="3" fontId="11" fillId="3" borderId="29" xfId="2" applyNumberFormat="1" applyFont="1" applyFill="1" applyBorder="1"/>
    <xf numFmtId="3" fontId="12" fillId="3" borderId="41" xfId="0" applyNumberFormat="1" applyFont="1" applyFill="1" applyBorder="1" applyAlignment="1">
      <alignment horizontal="right"/>
    </xf>
    <xf numFmtId="4" fontId="12" fillId="3" borderId="13" xfId="0" applyNumberFormat="1" applyFont="1" applyFill="1" applyBorder="1" applyAlignment="1">
      <alignment horizontal="right"/>
    </xf>
    <xf numFmtId="3" fontId="12" fillId="3" borderId="41" xfId="0" applyNumberFormat="1" applyFont="1" applyFill="1" applyBorder="1"/>
    <xf numFmtId="4" fontId="12" fillId="3" borderId="13" xfId="0" applyNumberFormat="1" applyFont="1" applyFill="1" applyBorder="1"/>
    <xf numFmtId="3" fontId="12" fillId="4" borderId="38" xfId="0" applyNumberFormat="1" applyFont="1" applyFill="1" applyBorder="1"/>
    <xf numFmtId="3" fontId="23" fillId="3" borderId="41" xfId="9" applyNumberFormat="1" applyFont="1" applyFill="1" applyBorder="1"/>
    <xf numFmtId="3" fontId="23" fillId="5" borderId="38" xfId="9" applyNumberFormat="1" applyFont="1" applyFill="1" applyBorder="1"/>
    <xf numFmtId="4" fontId="23" fillId="3" borderId="13" xfId="9" applyNumberFormat="1" applyFont="1" applyFill="1" applyBorder="1"/>
    <xf numFmtId="4" fontId="23" fillId="5" borderId="45" xfId="9" applyNumberFormat="1" applyFont="1" applyFill="1" applyBorder="1"/>
    <xf numFmtId="3" fontId="12" fillId="7" borderId="38" xfId="9" applyNumberFormat="1" applyFont="1" applyFill="1" applyBorder="1"/>
    <xf numFmtId="3" fontId="12" fillId="3" borderId="5" xfId="0" applyNumberFormat="1" applyFont="1" applyFill="1" applyBorder="1"/>
    <xf numFmtId="4" fontId="12" fillId="3" borderId="5" xfId="0" applyNumberFormat="1" applyFont="1" applyFill="1" applyBorder="1"/>
    <xf numFmtId="4" fontId="12" fillId="3" borderId="7" xfId="0" applyNumberFormat="1" applyFont="1" applyFill="1" applyBorder="1"/>
    <xf numFmtId="3" fontId="11" fillId="3" borderId="4" xfId="2" applyNumberFormat="1" applyFont="1" applyFill="1" applyBorder="1"/>
    <xf numFmtId="3" fontId="11" fillId="3" borderId="5" xfId="2" applyNumberFormat="1" applyFont="1" applyFill="1" applyBorder="1"/>
    <xf numFmtId="4" fontId="11" fillId="4" borderId="20" xfId="2" applyNumberFormat="1" applyFont="1" applyFill="1" applyBorder="1"/>
    <xf numFmtId="4" fontId="12" fillId="4" borderId="22" xfId="0" applyNumberFormat="1" applyFont="1" applyFill="1" applyBorder="1" applyAlignment="1">
      <alignment horizontal="right"/>
    </xf>
    <xf numFmtId="4" fontId="12" fillId="4" borderId="42" xfId="0" applyNumberFormat="1" applyFont="1" applyFill="1" applyBorder="1" applyAlignment="1">
      <alignment horizontal="right"/>
    </xf>
    <xf numFmtId="4" fontId="12" fillId="4" borderId="72" xfId="0" applyNumberFormat="1" applyFont="1" applyFill="1" applyBorder="1" applyAlignment="1">
      <alignment horizontal="right"/>
    </xf>
    <xf numFmtId="0" fontId="12" fillId="7" borderId="61" xfId="9" applyFont="1" applyFill="1" applyBorder="1"/>
    <xf numFmtId="0" fontId="13" fillId="3" borderId="12" xfId="9" applyFont="1" applyFill="1" applyBorder="1"/>
    <xf numFmtId="4" fontId="23" fillId="5" borderId="42" xfId="9" applyNumberFormat="1" applyFont="1" applyFill="1" applyBorder="1"/>
    <xf numFmtId="4" fontId="12" fillId="7" borderId="20" xfId="9" applyNumberFormat="1" applyFont="1" applyFill="1" applyBorder="1"/>
    <xf numFmtId="3" fontId="35" fillId="0" borderId="26" xfId="5" applyNumberFormat="1" applyFont="1" applyBorder="1"/>
    <xf numFmtId="3" fontId="35" fillId="0" borderId="21" xfId="5" applyNumberFormat="1" applyFont="1" applyBorder="1"/>
    <xf numFmtId="3" fontId="11" fillId="4" borderId="17" xfId="0" applyNumberFormat="1" applyFont="1" applyFill="1" applyBorder="1" applyAlignment="1">
      <alignment horizontal="right"/>
    </xf>
    <xf numFmtId="3" fontId="11" fillId="4" borderId="18" xfId="0" applyNumberFormat="1" applyFont="1" applyFill="1" applyBorder="1" applyAlignment="1">
      <alignment horizontal="right"/>
    </xf>
    <xf numFmtId="4" fontId="35" fillId="0" borderId="21" xfId="5" applyNumberFormat="1" applyFont="1" applyBorder="1"/>
    <xf numFmtId="4" fontId="11" fillId="4" borderId="18" xfId="0" applyNumberFormat="1" applyFont="1" applyFill="1" applyBorder="1" applyAlignment="1">
      <alignment horizontal="right"/>
    </xf>
    <xf numFmtId="4" fontId="35" fillId="0" borderId="27" xfId="5" applyNumberFormat="1" applyFont="1" applyBorder="1"/>
    <xf numFmtId="4" fontId="11" fillId="4" borderId="19" xfId="0" applyNumberFormat="1" applyFont="1" applyFill="1" applyBorder="1" applyAlignment="1">
      <alignment horizontal="right"/>
    </xf>
    <xf numFmtId="4" fontId="35" fillId="0" borderId="30" xfId="5" applyNumberFormat="1" applyFont="1" applyBorder="1"/>
    <xf numFmtId="4" fontId="11" fillId="4" borderId="20" xfId="0" applyNumberFormat="1" applyFont="1" applyFill="1" applyBorder="1" applyAlignment="1">
      <alignment horizontal="right"/>
    </xf>
    <xf numFmtId="3" fontId="35" fillId="0" borderId="29" xfId="5" applyNumberFormat="1" applyFont="1" applyBorder="1"/>
    <xf numFmtId="3" fontId="11" fillId="4" borderId="22" xfId="0" applyNumberFormat="1" applyFont="1" applyFill="1" applyBorder="1" applyAlignment="1">
      <alignment horizontal="right"/>
    </xf>
    <xf numFmtId="4" fontId="26" fillId="0" borderId="0" xfId="5" applyNumberFormat="1" applyFont="1" applyAlignment="1">
      <alignment horizontal="center"/>
    </xf>
    <xf numFmtId="3" fontId="13" fillId="0" borderId="47" xfId="2" applyNumberFormat="1" applyFont="1" applyBorder="1" applyAlignment="1">
      <alignment horizontal="center" vertical="center" wrapText="1"/>
    </xf>
    <xf numFmtId="4" fontId="13" fillId="0" borderId="47" xfId="2" applyNumberFormat="1" applyFont="1" applyBorder="1" applyAlignment="1">
      <alignment horizontal="center" vertical="center" wrapText="1"/>
    </xf>
    <xf numFmtId="3" fontId="26" fillId="0" borderId="23" xfId="5" applyNumberFormat="1" applyFont="1" applyBorder="1"/>
    <xf numFmtId="3" fontId="26" fillId="0" borderId="24" xfId="5" applyNumberFormat="1" applyFont="1" applyBorder="1"/>
    <xf numFmtId="3" fontId="23" fillId="0" borderId="0" xfId="5" applyNumberFormat="1" applyFont="1"/>
    <xf numFmtId="4" fontId="23" fillId="0" borderId="0" xfId="5" applyNumberFormat="1" applyFont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26" fillId="0" borderId="0" xfId="5" applyNumberFormat="1" applyFont="1" applyAlignment="1">
      <alignment horizontal="right"/>
    </xf>
    <xf numFmtId="4" fontId="26" fillId="0" borderId="0" xfId="5" applyNumberFormat="1" applyFont="1" applyAlignment="1">
      <alignment horizontal="right"/>
    </xf>
    <xf numFmtId="3" fontId="26" fillId="0" borderId="1" xfId="5" applyNumberFormat="1" applyFont="1" applyBorder="1"/>
    <xf numFmtId="3" fontId="26" fillId="0" borderId="8" xfId="5" applyNumberFormat="1" applyFont="1" applyBorder="1"/>
    <xf numFmtId="3" fontId="38" fillId="7" borderId="47" xfId="5" applyNumberFormat="1" applyFont="1" applyFill="1" applyBorder="1"/>
    <xf numFmtId="4" fontId="38" fillId="7" borderId="47" xfId="5" applyNumberFormat="1" applyFont="1" applyFill="1" applyBorder="1"/>
    <xf numFmtId="4" fontId="38" fillId="7" borderId="63" xfId="5" applyNumberFormat="1" applyFont="1" applyFill="1" applyBorder="1"/>
    <xf numFmtId="3" fontId="21" fillId="8" borderId="22" xfId="5" applyNumberFormat="1" applyFont="1" applyFill="1" applyBorder="1" applyAlignment="1">
      <alignment horizontal="center"/>
    </xf>
    <xf numFmtId="3" fontId="6" fillId="0" borderId="1" xfId="0" applyNumberFormat="1" applyFont="1" applyBorder="1"/>
    <xf numFmtId="3" fontId="8" fillId="0" borderId="1" xfId="0" applyNumberFormat="1" applyFont="1" applyBorder="1"/>
    <xf numFmtId="4" fontId="6" fillId="0" borderId="1" xfId="0" applyNumberFormat="1" applyFont="1" applyBorder="1"/>
    <xf numFmtId="4" fontId="13" fillId="0" borderId="63" xfId="2" applyNumberFormat="1" applyFont="1" applyBorder="1" applyAlignment="1">
      <alignment horizontal="center" vertical="center" wrapText="1"/>
    </xf>
    <xf numFmtId="3" fontId="12" fillId="3" borderId="41" xfId="5" applyNumberFormat="1" applyFont="1" applyFill="1" applyBorder="1"/>
    <xf numFmtId="4" fontId="8" fillId="0" borderId="1" xfId="0" applyNumberFormat="1" applyFont="1" applyBorder="1"/>
    <xf numFmtId="3" fontId="11" fillId="3" borderId="53" xfId="2" applyNumberFormat="1" applyFont="1" applyFill="1" applyBorder="1"/>
    <xf numFmtId="0" fontId="1" fillId="0" borderId="0" xfId="5" applyFont="1" applyAlignment="1">
      <alignment horizontal="center"/>
    </xf>
    <xf numFmtId="3" fontId="35" fillId="0" borderId="33" xfId="5" applyNumberFormat="1" applyFont="1" applyBorder="1"/>
    <xf numFmtId="0" fontId="6" fillId="0" borderId="7" xfId="0" applyFont="1" applyBorder="1"/>
    <xf numFmtId="0" fontId="6" fillId="0" borderId="10" xfId="0" applyFont="1" applyBorder="1"/>
    <xf numFmtId="0" fontId="12" fillId="3" borderId="10" xfId="0" applyFont="1" applyFill="1" applyBorder="1"/>
    <xf numFmtId="0" fontId="8" fillId="0" borderId="10" xfId="2" applyFont="1" applyBorder="1"/>
    <xf numFmtId="0" fontId="12" fillId="3" borderId="27" xfId="0" applyFont="1" applyFill="1" applyBorder="1"/>
    <xf numFmtId="0" fontId="12" fillId="4" borderId="19" xfId="0" applyFont="1" applyFill="1" applyBorder="1"/>
    <xf numFmtId="3" fontId="35" fillId="0" borderId="56" xfId="5" applyNumberFormat="1" applyFont="1" applyBorder="1"/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4" xfId="0" applyFont="1" applyBorder="1"/>
    <xf numFmtId="0" fontId="6" fillId="0" borderId="24" xfId="0" applyFont="1" applyBorder="1" applyAlignment="1">
      <alignment horizontal="left"/>
    </xf>
    <xf numFmtId="0" fontId="6" fillId="0" borderId="25" xfId="0" applyFont="1" applyBorder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>
      <alignment horizontal="left"/>
    </xf>
    <xf numFmtId="0" fontId="8" fillId="0" borderId="25" xfId="0" applyFont="1" applyBorder="1"/>
    <xf numFmtId="0" fontId="8" fillId="0" borderId="10" xfId="0" applyFont="1" applyBorder="1"/>
    <xf numFmtId="3" fontId="6" fillId="0" borderId="5" xfId="5" applyNumberFormat="1" applyFont="1" applyBorder="1"/>
    <xf numFmtId="0" fontId="51" fillId="0" borderId="0" xfId="0" applyFont="1"/>
    <xf numFmtId="0" fontId="52" fillId="0" borderId="0" xfId="0" applyFont="1"/>
    <xf numFmtId="2" fontId="3" fillId="0" borderId="0" xfId="9" applyNumberFormat="1"/>
    <xf numFmtId="4" fontId="1" fillId="0" borderId="0" xfId="9" applyNumberFormat="1" applyFont="1"/>
    <xf numFmtId="3" fontId="1" fillId="0" borderId="0" xfId="9" applyNumberFormat="1" applyFont="1"/>
    <xf numFmtId="2" fontId="1" fillId="0" borderId="0" xfId="9" applyNumberFormat="1" applyFont="1"/>
    <xf numFmtId="2" fontId="35" fillId="0" borderId="10" xfId="5" applyNumberFormat="1" applyFont="1" applyBorder="1"/>
    <xf numFmtId="2" fontId="35" fillId="0" borderId="7" xfId="5" applyNumberFormat="1" applyFont="1" applyBorder="1"/>
    <xf numFmtId="2" fontId="23" fillId="5" borderId="72" xfId="9" applyNumberFormat="1" applyFont="1" applyFill="1" applyBorder="1"/>
    <xf numFmtId="2" fontId="36" fillId="0" borderId="0" xfId="5" applyNumberFormat="1" applyFont="1"/>
    <xf numFmtId="2" fontId="14" fillId="4" borderId="19" xfId="0" applyNumberFormat="1" applyFont="1" applyFill="1" applyBorder="1"/>
    <xf numFmtId="2" fontId="7" fillId="0" borderId="7" xfId="0" applyNumberFormat="1" applyFont="1" applyBorder="1"/>
    <xf numFmtId="2" fontId="7" fillId="0" borderId="10" xfId="0" applyNumberFormat="1" applyFont="1" applyBorder="1"/>
    <xf numFmtId="2" fontId="7" fillId="0" borderId="14" xfId="0" applyNumberFormat="1" applyFont="1" applyBorder="1"/>
    <xf numFmtId="3" fontId="35" fillId="9" borderId="1" xfId="5" applyNumberFormat="1" applyFont="1" applyFill="1" applyBorder="1"/>
    <xf numFmtId="3" fontId="6" fillId="9" borderId="1" xfId="5" applyNumberFormat="1" applyFont="1" applyFill="1" applyBorder="1"/>
    <xf numFmtId="4" fontId="35" fillId="9" borderId="1" xfId="5" applyNumberFormat="1" applyFont="1" applyFill="1" applyBorder="1"/>
    <xf numFmtId="4" fontId="26" fillId="9" borderId="1" xfId="5" applyNumberFormat="1" applyFont="1" applyFill="1" applyBorder="1"/>
    <xf numFmtId="4" fontId="35" fillId="9" borderId="10" xfId="5" applyNumberFormat="1" applyFont="1" applyFill="1" applyBorder="1"/>
    <xf numFmtId="0" fontId="7" fillId="10" borderId="28" xfId="9" applyFont="1" applyFill="1" applyBorder="1"/>
    <xf numFmtId="0" fontId="26" fillId="10" borderId="28" xfId="9" applyFont="1" applyFill="1" applyBorder="1"/>
    <xf numFmtId="3" fontId="1" fillId="0" borderId="0" xfId="9" applyNumberFormat="1" applyFont="1" applyAlignment="1">
      <alignment horizontal="right"/>
    </xf>
    <xf numFmtId="4" fontId="1" fillId="0" borderId="0" xfId="9" applyNumberFormat="1" applyFont="1" applyAlignment="1">
      <alignment horizontal="right"/>
    </xf>
    <xf numFmtId="3" fontId="12" fillId="3" borderId="26" xfId="9" applyNumberFormat="1" applyFont="1" applyFill="1" applyBorder="1"/>
    <xf numFmtId="3" fontId="12" fillId="3" borderId="21" xfId="9" applyNumberFormat="1" applyFont="1" applyFill="1" applyBorder="1"/>
    <xf numFmtId="4" fontId="12" fillId="3" borderId="21" xfId="9" applyNumberFormat="1" applyFont="1" applyFill="1" applyBorder="1"/>
    <xf numFmtId="4" fontId="12" fillId="3" borderId="27" xfId="9" applyNumberFormat="1" applyFont="1" applyFill="1" applyBorder="1"/>
    <xf numFmtId="2" fontId="35" fillId="0" borderId="25" xfId="5" applyNumberFormat="1" applyFont="1" applyBorder="1"/>
    <xf numFmtId="3" fontId="12" fillId="7" borderId="47" xfId="9" applyNumberFormat="1" applyFont="1" applyFill="1" applyBorder="1"/>
    <xf numFmtId="4" fontId="12" fillId="7" borderId="47" xfId="9" applyNumberFormat="1" applyFont="1" applyFill="1" applyBorder="1"/>
    <xf numFmtId="0" fontId="21" fillId="8" borderId="19" xfId="8" applyFont="1" applyFill="1" applyBorder="1" applyAlignment="1">
      <alignment horizontal="center"/>
    </xf>
    <xf numFmtId="0" fontId="26" fillId="0" borderId="7" xfId="9" applyFont="1" applyBorder="1"/>
    <xf numFmtId="0" fontId="26" fillId="0" borderId="10" xfId="9" applyFont="1" applyBorder="1"/>
    <xf numFmtId="0" fontId="26" fillId="3" borderId="8" xfId="9" applyFont="1" applyFill="1" applyBorder="1" applyAlignment="1">
      <alignment horizontal="center"/>
    </xf>
    <xf numFmtId="0" fontId="13" fillId="3" borderId="67" xfId="9" applyFont="1" applyFill="1" applyBorder="1" applyAlignment="1">
      <alignment horizontal="left"/>
    </xf>
    <xf numFmtId="0" fontId="13" fillId="3" borderId="67" xfId="9" applyFont="1" applyFill="1" applyBorder="1"/>
    <xf numFmtId="0" fontId="7" fillId="3" borderId="67" xfId="9" applyFont="1" applyFill="1" applyBorder="1"/>
    <xf numFmtId="0" fontId="7" fillId="3" borderId="8" xfId="9" applyFont="1" applyFill="1" applyBorder="1" applyAlignment="1">
      <alignment horizontal="center"/>
    </xf>
    <xf numFmtId="0" fontId="26" fillId="3" borderId="26" xfId="9" applyFont="1" applyFill="1" applyBorder="1" applyAlignment="1">
      <alignment horizontal="center"/>
    </xf>
    <xf numFmtId="0" fontId="13" fillId="3" borderId="54" xfId="9" applyFont="1" applyFill="1" applyBorder="1"/>
    <xf numFmtId="0" fontId="12" fillId="7" borderId="19" xfId="9" applyFont="1" applyFill="1" applyBorder="1"/>
    <xf numFmtId="3" fontId="12" fillId="3" borderId="29" xfId="9" applyNumberFormat="1" applyFont="1" applyFill="1" applyBorder="1"/>
    <xf numFmtId="4" fontId="12" fillId="3" borderId="30" xfId="9" applyNumberFormat="1" applyFont="1" applyFill="1" applyBorder="1"/>
    <xf numFmtId="4" fontId="12" fillId="7" borderId="61" xfId="9" applyNumberFormat="1" applyFont="1" applyFill="1" applyBorder="1"/>
    <xf numFmtId="4" fontId="11" fillId="3" borderId="9" xfId="9" applyNumberFormat="1" applyFont="1" applyFill="1" applyBorder="1" applyAlignment="1">
      <alignment horizontal="right"/>
    </xf>
    <xf numFmtId="4" fontId="11" fillId="3" borderId="9" xfId="9" applyNumberFormat="1" applyFont="1" applyFill="1" applyBorder="1"/>
    <xf numFmtId="3" fontId="7" fillId="0" borderId="37" xfId="5" applyNumberFormat="1" applyFont="1" applyBorder="1"/>
    <xf numFmtId="3" fontId="7" fillId="0" borderId="5" xfId="5" applyNumberFormat="1" applyFont="1" applyBorder="1"/>
    <xf numFmtId="4" fontId="7" fillId="0" borderId="5" xfId="5" applyNumberFormat="1" applyFont="1" applyBorder="1"/>
    <xf numFmtId="4" fontId="7" fillId="0" borderId="6" xfId="5" applyNumberFormat="1" applyFont="1" applyBorder="1"/>
    <xf numFmtId="3" fontId="7" fillId="0" borderId="4" xfId="5" applyNumberFormat="1" applyFont="1" applyBorder="1"/>
    <xf numFmtId="4" fontId="21" fillId="8" borderId="20" xfId="5" applyNumberFormat="1" applyFont="1" applyFill="1" applyBorder="1" applyAlignment="1">
      <alignment horizontal="center"/>
    </xf>
    <xf numFmtId="4" fontId="12" fillId="3" borderId="9" xfId="5" applyNumberFormat="1" applyFont="1" applyFill="1" applyBorder="1"/>
    <xf numFmtId="4" fontId="12" fillId="3" borderId="9" xfId="5" applyNumberFormat="1" applyFont="1" applyFill="1" applyBorder="1" applyAlignment="1">
      <alignment horizontal="right"/>
    </xf>
    <xf numFmtId="4" fontId="36" fillId="3" borderId="9" xfId="5" applyNumberFormat="1" applyFont="1" applyFill="1" applyBorder="1"/>
    <xf numFmtId="4" fontId="12" fillId="3" borderId="13" xfId="5" applyNumberFormat="1" applyFont="1" applyFill="1" applyBorder="1"/>
    <xf numFmtId="3" fontId="21" fillId="11" borderId="34" xfId="5" applyNumberFormat="1" applyFont="1" applyFill="1" applyBorder="1" applyAlignment="1">
      <alignment horizontal="center"/>
    </xf>
    <xf numFmtId="3" fontId="21" fillId="11" borderId="18" xfId="5" applyNumberFormat="1" applyFont="1" applyFill="1" applyBorder="1" applyAlignment="1">
      <alignment horizontal="center"/>
    </xf>
    <xf numFmtId="3" fontId="12" fillId="7" borderId="33" xfId="9" applyNumberFormat="1" applyFont="1" applyFill="1" applyBorder="1"/>
    <xf numFmtId="3" fontId="12" fillId="7" borderId="34" xfId="9" applyNumberFormat="1" applyFont="1" applyFill="1" applyBorder="1"/>
    <xf numFmtId="4" fontId="12" fillId="7" borderId="34" xfId="9" applyNumberFormat="1" applyFont="1" applyFill="1" applyBorder="1"/>
    <xf numFmtId="4" fontId="12" fillId="7" borderId="35" xfId="9" applyNumberFormat="1" applyFont="1" applyFill="1" applyBorder="1"/>
    <xf numFmtId="3" fontId="7" fillId="0" borderId="23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7" fillId="0" borderId="25" xfId="0" applyNumberFormat="1" applyFont="1" applyBorder="1"/>
    <xf numFmtId="3" fontId="11" fillId="11" borderId="18" xfId="0" applyNumberFormat="1" applyFont="1" applyFill="1" applyBorder="1" applyAlignment="1">
      <alignment horizontal="right"/>
    </xf>
    <xf numFmtId="3" fontId="14" fillId="11" borderId="18" xfId="0" applyNumberFormat="1" applyFont="1" applyFill="1" applyBorder="1"/>
    <xf numFmtId="3" fontId="11" fillId="11" borderId="18" xfId="2" applyNumberFormat="1" applyFont="1" applyFill="1" applyBorder="1"/>
    <xf numFmtId="3" fontId="12" fillId="11" borderId="22" xfId="0" applyNumberFormat="1" applyFont="1" applyFill="1" applyBorder="1" applyAlignment="1">
      <alignment horizontal="right"/>
    </xf>
    <xf numFmtId="3" fontId="12" fillId="11" borderId="70" xfId="0" applyNumberFormat="1" applyFont="1" applyFill="1" applyBorder="1"/>
    <xf numFmtId="3" fontId="23" fillId="11" borderId="22" xfId="9" applyNumberFormat="1" applyFont="1" applyFill="1" applyBorder="1"/>
    <xf numFmtId="3" fontId="23" fillId="11" borderId="70" xfId="9" applyNumberFormat="1" applyFont="1" applyFill="1" applyBorder="1"/>
    <xf numFmtId="3" fontId="12" fillId="11" borderId="18" xfId="9" applyNumberFormat="1" applyFont="1" applyFill="1" applyBorder="1"/>
    <xf numFmtId="4" fontId="11" fillId="11" borderId="18" xfId="0" applyNumberFormat="1" applyFont="1" applyFill="1" applyBorder="1" applyAlignment="1">
      <alignment horizontal="right"/>
    </xf>
    <xf numFmtId="4" fontId="14" fillId="11" borderId="18" xfId="0" applyNumberFormat="1" applyFont="1" applyFill="1" applyBorder="1"/>
    <xf numFmtId="3" fontId="35" fillId="0" borderId="10" xfId="5" applyNumberFormat="1" applyFont="1" applyBorder="1"/>
    <xf numFmtId="3" fontId="11" fillId="11" borderId="17" xfId="0" applyNumberFormat="1" applyFont="1" applyFill="1" applyBorder="1" applyAlignment="1">
      <alignment horizontal="right"/>
    </xf>
    <xf numFmtId="3" fontId="14" fillId="11" borderId="17" xfId="0" applyNumberFormat="1" applyFont="1" applyFill="1" applyBorder="1"/>
    <xf numFmtId="4" fontId="11" fillId="11" borderId="19" xfId="0" applyNumberFormat="1" applyFont="1" applyFill="1" applyBorder="1" applyAlignment="1">
      <alignment horizontal="right"/>
    </xf>
    <xf numFmtId="4" fontId="14" fillId="11" borderId="19" xfId="0" applyNumberFormat="1" applyFont="1" applyFill="1" applyBorder="1"/>
    <xf numFmtId="3" fontId="0" fillId="0" borderId="1" xfId="0" applyNumberFormat="1" applyBorder="1"/>
    <xf numFmtId="4" fontId="38" fillId="7" borderId="61" xfId="5" applyNumberFormat="1" applyFont="1" applyFill="1" applyBorder="1"/>
    <xf numFmtId="4" fontId="38" fillId="11" borderId="19" xfId="5" applyNumberFormat="1" applyFont="1" applyFill="1" applyBorder="1"/>
    <xf numFmtId="4" fontId="36" fillId="11" borderId="10" xfId="5" applyNumberFormat="1" applyFont="1" applyFill="1" applyBorder="1"/>
    <xf numFmtId="3" fontId="13" fillId="11" borderId="23" xfId="14" applyNumberFormat="1" applyFont="1" applyFill="1" applyBorder="1" applyAlignment="1">
      <alignment horizontal="center" wrapText="1"/>
    </xf>
    <xf numFmtId="3" fontId="13" fillId="11" borderId="24" xfId="14" applyNumberFormat="1" applyFont="1" applyFill="1" applyBorder="1" applyAlignment="1">
      <alignment horizontal="center"/>
    </xf>
    <xf numFmtId="4" fontId="13" fillId="11" borderId="25" xfId="14" applyNumberFormat="1" applyFont="1" applyFill="1" applyBorder="1" applyAlignment="1">
      <alignment horizontal="center" wrapText="1"/>
    </xf>
    <xf numFmtId="3" fontId="12" fillId="11" borderId="9" xfId="5" applyNumberFormat="1" applyFont="1" applyFill="1" applyBorder="1"/>
    <xf numFmtId="3" fontId="12" fillId="11" borderId="9" xfId="5" applyNumberFormat="1" applyFont="1" applyFill="1" applyBorder="1" applyAlignment="1">
      <alignment horizontal="right"/>
    </xf>
    <xf numFmtId="3" fontId="36" fillId="11" borderId="9" xfId="5" applyNumberFormat="1" applyFont="1" applyFill="1" applyBorder="1"/>
    <xf numFmtId="3" fontId="12" fillId="11" borderId="13" xfId="5" applyNumberFormat="1" applyFont="1" applyFill="1" applyBorder="1"/>
    <xf numFmtId="4" fontId="12" fillId="11" borderId="10" xfId="5" applyNumberFormat="1" applyFont="1" applyFill="1" applyBorder="1"/>
    <xf numFmtId="4" fontId="12" fillId="11" borderId="10" xfId="5" applyNumberFormat="1" applyFont="1" applyFill="1" applyBorder="1" applyAlignment="1">
      <alignment horizontal="right"/>
    </xf>
    <xf numFmtId="3" fontId="21" fillId="11" borderId="33" xfId="5" applyNumberFormat="1" applyFont="1" applyFill="1" applyBorder="1" applyAlignment="1">
      <alignment horizontal="center"/>
    </xf>
    <xf numFmtId="3" fontId="12" fillId="11" borderId="3" xfId="5" applyNumberFormat="1" applyFont="1" applyFill="1" applyBorder="1"/>
    <xf numFmtId="3" fontId="12" fillId="11" borderId="3" xfId="5" applyNumberFormat="1" applyFont="1" applyFill="1" applyBorder="1" applyAlignment="1">
      <alignment horizontal="right"/>
    </xf>
    <xf numFmtId="3" fontId="36" fillId="11" borderId="3" xfId="5" applyNumberFormat="1" applyFont="1" applyFill="1" applyBorder="1"/>
    <xf numFmtId="3" fontId="12" fillId="11" borderId="16" xfId="5" applyNumberFormat="1" applyFont="1" applyFill="1" applyBorder="1"/>
    <xf numFmtId="4" fontId="12" fillId="11" borderId="14" xfId="5" applyNumberFormat="1" applyFont="1" applyFill="1" applyBorder="1"/>
    <xf numFmtId="4" fontId="21" fillId="11" borderId="35" xfId="5" applyNumberFormat="1" applyFont="1" applyFill="1" applyBorder="1" applyAlignment="1">
      <alignment horizontal="center"/>
    </xf>
    <xf numFmtId="4" fontId="13" fillId="11" borderId="10" xfId="5" applyNumberFormat="1" applyFont="1" applyFill="1" applyBorder="1"/>
    <xf numFmtId="4" fontId="13" fillId="11" borderId="10" xfId="5" applyNumberFormat="1" applyFont="1" applyFill="1" applyBorder="1" applyAlignment="1">
      <alignment horizontal="right"/>
    </xf>
    <xf numFmtId="3" fontId="38" fillId="11" borderId="40" xfId="5" applyNumberFormat="1" applyFont="1" applyFill="1" applyBorder="1"/>
    <xf numFmtId="3" fontId="38" fillId="11" borderId="20" xfId="5" applyNumberFormat="1" applyFont="1" applyFill="1" applyBorder="1"/>
    <xf numFmtId="3" fontId="20" fillId="0" borderId="6" xfId="0" applyNumberFormat="1" applyFont="1" applyBorder="1"/>
    <xf numFmtId="3" fontId="20" fillId="0" borderId="9" xfId="0" applyNumberFormat="1" applyFont="1" applyBorder="1"/>
    <xf numFmtId="3" fontId="20" fillId="0" borderId="13" xfId="0" applyNumberFormat="1" applyFont="1" applyBorder="1"/>
    <xf numFmtId="3" fontId="14" fillId="11" borderId="20" xfId="0" applyNumberFormat="1" applyFont="1" applyFill="1" applyBorder="1"/>
    <xf numFmtId="3" fontId="14" fillId="11" borderId="40" xfId="0" applyNumberFormat="1" applyFont="1" applyFill="1" applyBorder="1"/>
    <xf numFmtId="3" fontId="20" fillId="0" borderId="2" xfId="0" applyNumberFormat="1" applyFont="1" applyBorder="1"/>
    <xf numFmtId="3" fontId="20" fillId="0" borderId="3" xfId="0" applyNumberFormat="1" applyFont="1" applyBorder="1"/>
    <xf numFmtId="3" fontId="20" fillId="0" borderId="16" xfId="0" applyNumberFormat="1" applyFont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13" fillId="3" borderId="13" xfId="5" applyNumberFormat="1" applyFont="1" applyFill="1" applyBorder="1"/>
    <xf numFmtId="3" fontId="13" fillId="11" borderId="1" xfId="5" applyNumberFormat="1" applyFont="1" applyFill="1" applyBorder="1"/>
    <xf numFmtId="3" fontId="13" fillId="11" borderId="1" xfId="5" applyNumberFormat="1" applyFont="1" applyFill="1" applyBorder="1" applyAlignment="1">
      <alignment horizontal="right"/>
    </xf>
    <xf numFmtId="3" fontId="13" fillId="11" borderId="8" xfId="5" applyNumberFormat="1" applyFont="1" applyFill="1" applyBorder="1"/>
    <xf numFmtId="3" fontId="13" fillId="11" borderId="8" xfId="5" applyNumberFormat="1" applyFont="1" applyFill="1" applyBorder="1" applyAlignment="1">
      <alignment horizontal="right"/>
    </xf>
    <xf numFmtId="3" fontId="21" fillId="11" borderId="17" xfId="5" applyNumberFormat="1" applyFont="1" applyFill="1" applyBorder="1" applyAlignment="1">
      <alignment horizontal="center"/>
    </xf>
    <xf numFmtId="3" fontId="13" fillId="11" borderId="26" xfId="5" applyNumberFormat="1" applyFont="1" applyFill="1" applyBorder="1"/>
    <xf numFmtId="3" fontId="13" fillId="11" borderId="21" xfId="5" applyNumberFormat="1" applyFont="1" applyFill="1" applyBorder="1"/>
    <xf numFmtId="4" fontId="13" fillId="11" borderId="27" xfId="5" applyNumberFormat="1" applyFont="1" applyFill="1" applyBorder="1"/>
    <xf numFmtId="3" fontId="13" fillId="11" borderId="17" xfId="5" applyNumberFormat="1" applyFont="1" applyFill="1" applyBorder="1"/>
    <xf numFmtId="3" fontId="13" fillId="11" borderId="18" xfId="5" applyNumberFormat="1" applyFont="1" applyFill="1" applyBorder="1"/>
    <xf numFmtId="4" fontId="13" fillId="11" borderId="19" xfId="5" applyNumberFormat="1" applyFont="1" applyFill="1" applyBorder="1"/>
    <xf numFmtId="4" fontId="21" fillId="11" borderId="19" xfId="5" applyNumberFormat="1" applyFont="1" applyFill="1" applyBorder="1" applyAlignment="1">
      <alignment horizontal="center"/>
    </xf>
    <xf numFmtId="4" fontId="11" fillId="11" borderId="10" xfId="2" applyNumberFormat="1" applyFont="1" applyFill="1" applyBorder="1"/>
    <xf numFmtId="4" fontId="11" fillId="11" borderId="27" xfId="2" applyNumberFormat="1" applyFont="1" applyFill="1" applyBorder="1"/>
    <xf numFmtId="3" fontId="13" fillId="0" borderId="8" xfId="0" applyNumberFormat="1" applyFont="1" applyBorder="1"/>
    <xf numFmtId="4" fontId="0" fillId="0" borderId="10" xfId="0" applyNumberFormat="1" applyBorder="1"/>
    <xf numFmtId="3" fontId="11" fillId="11" borderId="8" xfId="2" applyNumberFormat="1" applyFont="1" applyFill="1" applyBorder="1"/>
    <xf numFmtId="3" fontId="11" fillId="11" borderId="1" xfId="2" applyNumberFormat="1" applyFont="1" applyFill="1" applyBorder="1"/>
    <xf numFmtId="3" fontId="11" fillId="11" borderId="26" xfId="2" applyNumberFormat="1" applyFont="1" applyFill="1" applyBorder="1"/>
    <xf numFmtId="3" fontId="11" fillId="11" borderId="21" xfId="2" applyNumberFormat="1" applyFont="1" applyFill="1" applyBorder="1"/>
    <xf numFmtId="3" fontId="11" fillId="11" borderId="17" xfId="2" applyNumberFormat="1" applyFont="1" applyFill="1" applyBorder="1"/>
    <xf numFmtId="4" fontId="11" fillId="11" borderId="19" xfId="2" applyNumberFormat="1" applyFont="1" applyFill="1" applyBorder="1"/>
    <xf numFmtId="4" fontId="21" fillId="11" borderId="34" xfId="5" applyNumberFormat="1" applyFont="1" applyFill="1" applyBorder="1" applyAlignment="1">
      <alignment horizontal="center"/>
    </xf>
    <xf numFmtId="4" fontId="11" fillId="11" borderId="10" xfId="9" applyNumberFormat="1" applyFont="1" applyFill="1" applyBorder="1" applyAlignment="1">
      <alignment horizontal="right"/>
    </xf>
    <xf numFmtId="4" fontId="12" fillId="11" borderId="10" xfId="9" applyNumberFormat="1" applyFont="1" applyFill="1" applyBorder="1"/>
    <xf numFmtId="4" fontId="11" fillId="11" borderId="10" xfId="9" applyNumberFormat="1" applyFont="1" applyFill="1" applyBorder="1"/>
    <xf numFmtId="4" fontId="12" fillId="11" borderId="10" xfId="9" applyNumberFormat="1" applyFont="1" applyFill="1" applyBorder="1" applyAlignment="1">
      <alignment horizontal="right"/>
    </xf>
    <xf numFmtId="4" fontId="12" fillId="11" borderId="27" xfId="9" applyNumberFormat="1" applyFont="1" applyFill="1" applyBorder="1"/>
    <xf numFmtId="4" fontId="13" fillId="11" borderId="10" xfId="9" applyNumberFormat="1" applyFont="1" applyFill="1" applyBorder="1"/>
    <xf numFmtId="4" fontId="13" fillId="11" borderId="10" xfId="9" applyNumberFormat="1" applyFont="1" applyFill="1" applyBorder="1" applyAlignment="1">
      <alignment horizontal="right"/>
    </xf>
    <xf numFmtId="4" fontId="23" fillId="11" borderId="10" xfId="9" applyNumberFormat="1" applyFont="1" applyFill="1" applyBorder="1"/>
    <xf numFmtId="4" fontId="12" fillId="11" borderId="10" xfId="0" applyNumberFormat="1" applyFont="1" applyFill="1" applyBorder="1"/>
    <xf numFmtId="4" fontId="12" fillId="11" borderId="10" xfId="0" applyNumberFormat="1" applyFont="1" applyFill="1" applyBorder="1" applyAlignment="1">
      <alignment horizontal="right"/>
    </xf>
    <xf numFmtId="3" fontId="12" fillId="11" borderId="1" xfId="9" applyNumberFormat="1" applyFont="1" applyFill="1" applyBorder="1"/>
    <xf numFmtId="3" fontId="12" fillId="11" borderId="1" xfId="0" applyNumberFormat="1" applyFont="1" applyFill="1" applyBorder="1" applyAlignment="1">
      <alignment horizontal="right"/>
    </xf>
    <xf numFmtId="3" fontId="12" fillId="11" borderId="1" xfId="0" applyNumberFormat="1" applyFont="1" applyFill="1" applyBorder="1"/>
    <xf numFmtId="3" fontId="12" fillId="11" borderId="8" xfId="0" applyNumberFormat="1" applyFont="1" applyFill="1" applyBorder="1" applyAlignment="1">
      <alignment horizontal="right"/>
    </xf>
    <xf numFmtId="3" fontId="12" fillId="11" borderId="8" xfId="0" applyNumberFormat="1" applyFont="1" applyFill="1" applyBorder="1"/>
    <xf numFmtId="3" fontId="12" fillId="11" borderId="26" xfId="0" applyNumberFormat="1" applyFont="1" applyFill="1" applyBorder="1" applyAlignment="1">
      <alignment horizontal="right"/>
    </xf>
    <xf numFmtId="3" fontId="12" fillId="11" borderId="21" xfId="0" applyNumberFormat="1" applyFont="1" applyFill="1" applyBorder="1" applyAlignment="1">
      <alignment horizontal="right"/>
    </xf>
    <xf numFmtId="4" fontId="12" fillId="11" borderId="27" xfId="0" applyNumberFormat="1" applyFont="1" applyFill="1" applyBorder="1" applyAlignment="1">
      <alignment horizontal="right"/>
    </xf>
    <xf numFmtId="3" fontId="12" fillId="11" borderId="17" xfId="0" applyNumberFormat="1" applyFont="1" applyFill="1" applyBorder="1" applyAlignment="1">
      <alignment horizontal="right"/>
    </xf>
    <xf numFmtId="3" fontId="12" fillId="11" borderId="18" xfId="0" applyNumberFormat="1" applyFont="1" applyFill="1" applyBorder="1" applyAlignment="1">
      <alignment horizontal="right"/>
    </xf>
    <xf numFmtId="4" fontId="12" fillId="11" borderId="19" xfId="0" applyNumberFormat="1" applyFont="1" applyFill="1" applyBorder="1" applyAlignment="1">
      <alignment horizontal="right"/>
    </xf>
    <xf numFmtId="3" fontId="12" fillId="11" borderId="26" xfId="0" applyNumberFormat="1" applyFont="1" applyFill="1" applyBorder="1"/>
    <xf numFmtId="3" fontId="12" fillId="11" borderId="21" xfId="0" applyNumberFormat="1" applyFont="1" applyFill="1" applyBorder="1"/>
    <xf numFmtId="4" fontId="12" fillId="11" borderId="27" xfId="0" applyNumberFormat="1" applyFont="1" applyFill="1" applyBorder="1"/>
    <xf numFmtId="4" fontId="12" fillId="4" borderId="45" xfId="0" applyNumberFormat="1" applyFont="1" applyFill="1" applyBorder="1"/>
    <xf numFmtId="3" fontId="12" fillId="11" borderId="33" xfId="0" applyNumberFormat="1" applyFont="1" applyFill="1" applyBorder="1"/>
    <xf numFmtId="3" fontId="12" fillId="11" borderId="34" xfId="0" applyNumberFormat="1" applyFont="1" applyFill="1" applyBorder="1"/>
    <xf numFmtId="4" fontId="12" fillId="11" borderId="35" xfId="0" applyNumberFormat="1" applyFont="1" applyFill="1" applyBorder="1"/>
    <xf numFmtId="3" fontId="12" fillId="11" borderId="17" xfId="0" applyNumberFormat="1" applyFont="1" applyFill="1" applyBorder="1"/>
    <xf numFmtId="3" fontId="12" fillId="11" borderId="18" xfId="0" applyNumberFormat="1" applyFont="1" applyFill="1" applyBorder="1"/>
    <xf numFmtId="4" fontId="12" fillId="11" borderId="19" xfId="0" applyNumberFormat="1" applyFont="1" applyFill="1" applyBorder="1"/>
    <xf numFmtId="3" fontId="23" fillId="11" borderId="1" xfId="9" applyNumberFormat="1" applyFont="1" applyFill="1" applyBorder="1"/>
    <xf numFmtId="3" fontId="3" fillId="0" borderId="1" xfId="9" applyNumberFormat="1" applyBorder="1"/>
    <xf numFmtId="3" fontId="12" fillId="11" borderId="8" xfId="9" applyNumberFormat="1" applyFont="1" applyFill="1" applyBorder="1"/>
    <xf numFmtId="3" fontId="23" fillId="11" borderId="8" xfId="9" applyNumberFormat="1" applyFont="1" applyFill="1" applyBorder="1"/>
    <xf numFmtId="3" fontId="3" fillId="0" borderId="8" xfId="9" applyNumberFormat="1" applyBorder="1"/>
    <xf numFmtId="4" fontId="3" fillId="0" borderId="10" xfId="9" applyNumberFormat="1" applyBorder="1"/>
    <xf numFmtId="3" fontId="23" fillId="11" borderId="26" xfId="9" applyNumberFormat="1" applyFont="1" applyFill="1" applyBorder="1"/>
    <xf numFmtId="3" fontId="23" fillId="11" borderId="21" xfId="9" applyNumberFormat="1" applyFont="1" applyFill="1" applyBorder="1"/>
    <xf numFmtId="4" fontId="23" fillId="11" borderId="27" xfId="9" applyNumberFormat="1" applyFont="1" applyFill="1" applyBorder="1"/>
    <xf numFmtId="3" fontId="23" fillId="11" borderId="17" xfId="9" applyNumberFormat="1" applyFont="1" applyFill="1" applyBorder="1"/>
    <xf numFmtId="3" fontId="23" fillId="11" borderId="18" xfId="9" applyNumberFormat="1" applyFont="1" applyFill="1" applyBorder="1"/>
    <xf numFmtId="4" fontId="23" fillId="11" borderId="19" xfId="9" applyNumberFormat="1" applyFont="1" applyFill="1" applyBorder="1"/>
    <xf numFmtId="3" fontId="13" fillId="11" borderId="1" xfId="9" applyNumberFormat="1" applyFont="1" applyFill="1" applyBorder="1"/>
    <xf numFmtId="3" fontId="13" fillId="11" borderId="1" xfId="9" applyNumberFormat="1" applyFont="1" applyFill="1" applyBorder="1" applyAlignment="1">
      <alignment horizontal="right"/>
    </xf>
    <xf numFmtId="3" fontId="13" fillId="11" borderId="8" xfId="9" applyNumberFormat="1" applyFont="1" applyFill="1" applyBorder="1"/>
    <xf numFmtId="3" fontId="13" fillId="11" borderId="8" xfId="9" applyNumberFormat="1" applyFont="1" applyFill="1" applyBorder="1" applyAlignment="1">
      <alignment horizontal="right"/>
    </xf>
    <xf numFmtId="3" fontId="12" fillId="11" borderId="1" xfId="9" applyNumberFormat="1" applyFont="1" applyFill="1" applyBorder="1" applyAlignment="1">
      <alignment horizontal="right"/>
    </xf>
    <xf numFmtId="3" fontId="12" fillId="11" borderId="8" xfId="9" applyNumberFormat="1" applyFont="1" applyFill="1" applyBorder="1" applyAlignment="1">
      <alignment horizontal="right"/>
    </xf>
    <xf numFmtId="3" fontId="12" fillId="11" borderId="26" xfId="9" applyNumberFormat="1" applyFont="1" applyFill="1" applyBorder="1"/>
    <xf numFmtId="3" fontId="12" fillId="11" borderId="21" xfId="9" applyNumberFormat="1" applyFont="1" applyFill="1" applyBorder="1"/>
    <xf numFmtId="3" fontId="12" fillId="11" borderId="17" xfId="9" applyNumberFormat="1" applyFont="1" applyFill="1" applyBorder="1"/>
    <xf numFmtId="4" fontId="12" fillId="11" borderId="19" xfId="9" applyNumberFormat="1" applyFont="1" applyFill="1" applyBorder="1"/>
    <xf numFmtId="3" fontId="13" fillId="11" borderId="33" xfId="14" applyNumberFormat="1" applyFont="1" applyFill="1" applyBorder="1" applyAlignment="1">
      <alignment horizontal="center" wrapText="1"/>
    </xf>
    <xf numFmtId="3" fontId="13" fillId="11" borderId="34" xfId="14" applyNumberFormat="1" applyFont="1" applyFill="1" applyBorder="1" applyAlignment="1">
      <alignment horizontal="center"/>
    </xf>
    <xf numFmtId="4" fontId="13" fillId="11" borderId="35" xfId="14" applyNumberFormat="1" applyFont="1" applyFill="1" applyBorder="1" applyAlignment="1">
      <alignment horizontal="center" wrapText="1"/>
    </xf>
    <xf numFmtId="3" fontId="11" fillId="11" borderId="1" xfId="9" applyNumberFormat="1" applyFont="1" applyFill="1" applyBorder="1" applyAlignment="1">
      <alignment horizontal="right"/>
    </xf>
    <xf numFmtId="3" fontId="11" fillId="11" borderId="1" xfId="9" applyNumberFormat="1" applyFont="1" applyFill="1" applyBorder="1"/>
    <xf numFmtId="3" fontId="21" fillId="11" borderId="23" xfId="5" applyNumberFormat="1" applyFont="1" applyFill="1" applyBorder="1" applyAlignment="1">
      <alignment horizontal="center"/>
    </xf>
    <xf numFmtId="3" fontId="21" fillId="11" borderId="24" xfId="5" applyNumberFormat="1" applyFont="1" applyFill="1" applyBorder="1" applyAlignment="1">
      <alignment horizontal="center"/>
    </xf>
    <xf numFmtId="4" fontId="21" fillId="11" borderId="25" xfId="5" applyNumberFormat="1" applyFont="1" applyFill="1" applyBorder="1" applyAlignment="1">
      <alignment horizontal="center"/>
    </xf>
    <xf numFmtId="3" fontId="11" fillId="11" borderId="8" xfId="9" applyNumberFormat="1" applyFont="1" applyFill="1" applyBorder="1" applyAlignment="1">
      <alignment horizontal="right"/>
    </xf>
    <xf numFmtId="3" fontId="11" fillId="11" borderId="8" xfId="9" applyNumberFormat="1" applyFont="1" applyFill="1" applyBorder="1"/>
    <xf numFmtId="3" fontId="26" fillId="0" borderId="1" xfId="9" applyNumberFormat="1" applyFont="1" applyBorder="1"/>
    <xf numFmtId="3" fontId="26" fillId="0" borderId="8" xfId="9" applyNumberFormat="1" applyFont="1" applyBorder="1"/>
    <xf numFmtId="4" fontId="26" fillId="0" borderId="10" xfId="9" applyNumberFormat="1" applyFont="1" applyBorder="1"/>
    <xf numFmtId="3" fontId="23" fillId="11" borderId="38" xfId="9" applyNumberFormat="1" applyFont="1" applyFill="1" applyBorder="1"/>
    <xf numFmtId="3" fontId="23" fillId="11" borderId="47" xfId="9" applyNumberFormat="1" applyFont="1" applyFill="1" applyBorder="1"/>
    <xf numFmtId="4" fontId="23" fillId="11" borderId="63" xfId="9" applyNumberFormat="1" applyFont="1" applyFill="1" applyBorder="1"/>
    <xf numFmtId="4" fontId="6" fillId="0" borderId="9" xfId="0" applyNumberFormat="1" applyFont="1" applyBorder="1"/>
    <xf numFmtId="3" fontId="38" fillId="11" borderId="47" xfId="5" applyNumberFormat="1" applyFont="1" applyFill="1" applyBorder="1"/>
    <xf numFmtId="3" fontId="26" fillId="8" borderId="33" xfId="5" applyNumberFormat="1" applyFont="1" applyFill="1" applyBorder="1" applyAlignment="1">
      <alignment horizontal="center"/>
    </xf>
    <xf numFmtId="3" fontId="26" fillId="8" borderId="34" xfId="5" applyNumberFormat="1" applyFont="1" applyFill="1" applyBorder="1" applyAlignment="1">
      <alignment horizontal="center"/>
    </xf>
    <xf numFmtId="4" fontId="26" fillId="8" borderId="56" xfId="5" applyNumberFormat="1" applyFont="1" applyFill="1" applyBorder="1" applyAlignment="1">
      <alignment horizontal="center"/>
    </xf>
    <xf numFmtId="4" fontId="26" fillId="8" borderId="34" xfId="5" applyNumberFormat="1" applyFont="1" applyFill="1" applyBorder="1" applyAlignment="1">
      <alignment horizontal="center"/>
    </xf>
    <xf numFmtId="4" fontId="26" fillId="8" borderId="35" xfId="5" applyNumberFormat="1" applyFont="1" applyFill="1" applyBorder="1" applyAlignment="1">
      <alignment horizontal="center"/>
    </xf>
    <xf numFmtId="3" fontId="13" fillId="6" borderId="38" xfId="5" applyNumberFormat="1" applyFont="1" applyFill="1" applyBorder="1"/>
    <xf numFmtId="3" fontId="13" fillId="6" borderId="47" xfId="5" applyNumberFormat="1" applyFont="1" applyFill="1" applyBorder="1"/>
    <xf numFmtId="4" fontId="13" fillId="6" borderId="47" xfId="5" applyNumberFormat="1" applyFont="1" applyFill="1" applyBorder="1"/>
    <xf numFmtId="4" fontId="13" fillId="6" borderId="61" xfId="5" applyNumberFormat="1" applyFont="1" applyFill="1" applyBorder="1"/>
    <xf numFmtId="3" fontId="6" fillId="0" borderId="24" xfId="0" applyNumberFormat="1" applyFont="1" applyBorder="1"/>
    <xf numFmtId="3" fontId="13" fillId="3" borderId="11" xfId="5" applyNumberFormat="1" applyFont="1" applyFill="1" applyBorder="1"/>
    <xf numFmtId="4" fontId="13" fillId="3" borderId="14" xfId="5" applyNumberFormat="1" applyFont="1" applyFill="1" applyBorder="1"/>
    <xf numFmtId="0" fontId="6" fillId="0" borderId="0" xfId="0" applyFont="1"/>
    <xf numFmtId="3" fontId="6" fillId="0" borderId="0" xfId="0" applyNumberFormat="1" applyFont="1"/>
    <xf numFmtId="0" fontId="54" fillId="0" borderId="0" xfId="0" applyFont="1" applyAlignment="1">
      <alignment horizontal="justify" vertical="center"/>
    </xf>
    <xf numFmtId="0" fontId="10" fillId="0" borderId="0" xfId="0" applyFont="1" applyAlignment="1">
      <alignment vertical="center"/>
    </xf>
    <xf numFmtId="0" fontId="55" fillId="0" borderId="0" xfId="0" applyFont="1" applyAlignment="1">
      <alignment horizontal="left" vertical="center"/>
    </xf>
    <xf numFmtId="3" fontId="23" fillId="5" borderId="47" xfId="9" applyNumberFormat="1" applyFont="1" applyFill="1" applyBorder="1"/>
    <xf numFmtId="4" fontId="23" fillId="5" borderId="47" xfId="9" applyNumberFormat="1" applyFont="1" applyFill="1" applyBorder="1"/>
    <xf numFmtId="4" fontId="23" fillId="5" borderId="63" xfId="9" applyNumberFormat="1" applyFont="1" applyFill="1" applyBorder="1"/>
    <xf numFmtId="0" fontId="53" fillId="0" borderId="73" xfId="0" applyFont="1" applyBorder="1"/>
    <xf numFmtId="0" fontId="10" fillId="0" borderId="74" xfId="0" applyFont="1" applyBorder="1"/>
    <xf numFmtId="0" fontId="10" fillId="0" borderId="75" xfId="0" applyFont="1" applyBorder="1"/>
    <xf numFmtId="0" fontId="16" fillId="0" borderId="76" xfId="0" applyFont="1" applyBorder="1"/>
    <xf numFmtId="0" fontId="10" fillId="0" borderId="77" xfId="0" applyFont="1" applyBorder="1"/>
    <xf numFmtId="0" fontId="16" fillId="0" borderId="76" xfId="0" applyFont="1" applyBorder="1" applyAlignment="1">
      <alignment horizontal="left" vertical="center"/>
    </xf>
    <xf numFmtId="0" fontId="16" fillId="0" borderId="77" xfId="0" applyFont="1" applyBorder="1"/>
    <xf numFmtId="0" fontId="16" fillId="0" borderId="78" xfId="0" applyFont="1" applyBorder="1" applyAlignment="1">
      <alignment horizontal="left" vertical="center"/>
    </xf>
    <xf numFmtId="0" fontId="16" fillId="0" borderId="79" xfId="0" applyFont="1" applyBorder="1"/>
    <xf numFmtId="0" fontId="16" fillId="0" borderId="80" xfId="0" applyFont="1" applyBorder="1"/>
    <xf numFmtId="0" fontId="10" fillId="0" borderId="0" xfId="0" applyFont="1" applyAlignment="1">
      <alignment horizontal="left" vertical="center"/>
    </xf>
    <xf numFmtId="4" fontId="38" fillId="11" borderId="47" xfId="5" applyNumberFormat="1" applyFont="1" applyFill="1" applyBorder="1"/>
    <xf numFmtId="0" fontId="13" fillId="0" borderId="0" xfId="0" applyFont="1"/>
    <xf numFmtId="4" fontId="13" fillId="0" borderId="0" xfId="0" applyNumberFormat="1" applyFont="1"/>
    <xf numFmtId="4" fontId="26" fillId="0" borderId="32" xfId="5" applyNumberFormat="1" applyFont="1" applyBorder="1"/>
    <xf numFmtId="4" fontId="26" fillId="0" borderId="9" xfId="5" applyNumberFormat="1" applyFont="1" applyBorder="1"/>
    <xf numFmtId="3" fontId="13" fillId="11" borderId="47" xfId="5" applyNumberFormat="1" applyFont="1" applyFill="1" applyBorder="1"/>
    <xf numFmtId="4" fontId="13" fillId="6" borderId="63" xfId="5" applyNumberFormat="1" applyFont="1" applyFill="1" applyBorder="1"/>
    <xf numFmtId="3" fontId="13" fillId="3" borderId="21" xfId="5" applyNumberFormat="1" applyFont="1" applyFill="1" applyBorder="1"/>
    <xf numFmtId="3" fontId="23" fillId="11" borderId="30" xfId="0" applyNumberFormat="1" applyFont="1" applyFill="1" applyBorder="1" applyAlignment="1">
      <alignment horizontal="center" vertical="center" wrapText="1"/>
    </xf>
    <xf numFmtId="3" fontId="23" fillId="11" borderId="29" xfId="0" applyNumberFormat="1" applyFont="1" applyFill="1" applyBorder="1" applyAlignment="1">
      <alignment horizontal="center" vertical="center" wrapText="1"/>
    </xf>
    <xf numFmtId="3" fontId="23" fillId="11" borderId="61" xfId="0" applyNumberFormat="1" applyFont="1" applyFill="1" applyBorder="1" applyAlignment="1">
      <alignment horizontal="center" vertical="center" wrapText="1"/>
    </xf>
    <xf numFmtId="3" fontId="23" fillId="11" borderId="70" xfId="0" applyNumberFormat="1" applyFont="1" applyFill="1" applyBorder="1" applyAlignment="1">
      <alignment horizontal="center" vertical="center" wrapText="1"/>
    </xf>
    <xf numFmtId="3" fontId="13" fillId="0" borderId="51" xfId="0" applyNumberFormat="1" applyFont="1" applyBorder="1" applyAlignment="1">
      <alignment horizontal="center" vertical="center" wrapText="1"/>
    </xf>
    <xf numFmtId="3" fontId="13" fillId="0" borderId="21" xfId="0" applyNumberFormat="1" applyFont="1" applyBorder="1" applyAlignment="1">
      <alignment horizontal="center" vertical="center" wrapText="1"/>
    </xf>
    <xf numFmtId="3" fontId="13" fillId="0" borderId="47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3" fontId="23" fillId="0" borderId="5" xfId="0" applyNumberFormat="1" applyFont="1" applyBorder="1" applyAlignment="1">
      <alignment horizontal="center" vertical="center" wrapText="1"/>
    </xf>
    <xf numFmtId="3" fontId="13" fillId="4" borderId="1" xfId="2" applyNumberFormat="1" applyFont="1" applyFill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13" fillId="0" borderId="9" xfId="0" applyNumberFormat="1" applyFont="1" applyBorder="1" applyAlignment="1">
      <alignment horizontal="left"/>
    </xf>
    <xf numFmtId="3" fontId="13" fillId="0" borderId="28" xfId="0" applyNumberFormat="1" applyFont="1" applyBorder="1" applyAlignment="1">
      <alignment horizontal="left"/>
    </xf>
    <xf numFmtId="3" fontId="23" fillId="0" borderId="48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3" fontId="13" fillId="5" borderId="21" xfId="0" applyNumberFormat="1" applyFont="1" applyFill="1" applyBorder="1" applyAlignment="1">
      <alignment horizontal="center" vertical="center" wrapText="1"/>
    </xf>
    <xf numFmtId="3" fontId="13" fillId="5" borderId="53" xfId="0" applyNumberFormat="1" applyFont="1" applyFill="1" applyBorder="1" applyAlignment="1">
      <alignment horizontal="center" vertical="center" wrapText="1"/>
    </xf>
    <xf numFmtId="3" fontId="13" fillId="5" borderId="47" xfId="0" applyNumberFormat="1" applyFont="1" applyFill="1" applyBorder="1" applyAlignment="1">
      <alignment horizontal="center" vertical="center" wrapText="1"/>
    </xf>
    <xf numFmtId="3" fontId="44" fillId="4" borderId="58" xfId="0" applyNumberFormat="1" applyFont="1" applyFill="1" applyBorder="1" applyAlignment="1">
      <alignment horizontal="center" wrapText="1"/>
    </xf>
    <xf numFmtId="3" fontId="44" fillId="4" borderId="55" xfId="0" applyNumberFormat="1" applyFont="1" applyFill="1" applyBorder="1" applyAlignment="1">
      <alignment horizontal="center"/>
    </xf>
    <xf numFmtId="3" fontId="44" fillId="4" borderId="57" xfId="0" applyNumberFormat="1" applyFont="1" applyFill="1" applyBorder="1" applyAlignment="1">
      <alignment horizontal="center"/>
    </xf>
    <xf numFmtId="3" fontId="44" fillId="4" borderId="60" xfId="0" applyNumberFormat="1" applyFont="1" applyFill="1" applyBorder="1" applyAlignment="1">
      <alignment horizontal="center"/>
    </xf>
    <xf numFmtId="3" fontId="44" fillId="4" borderId="45" xfId="0" applyNumberFormat="1" applyFont="1" applyFill="1" applyBorder="1" applyAlignment="1">
      <alignment horizontal="center"/>
    </xf>
    <xf numFmtId="3" fontId="44" fillId="4" borderId="44" xfId="0" applyNumberFormat="1" applyFont="1" applyFill="1" applyBorder="1" applyAlignment="1">
      <alignment horizontal="center"/>
    </xf>
    <xf numFmtId="3" fontId="22" fillId="5" borderId="64" xfId="0" applyNumberFormat="1" applyFont="1" applyFill="1" applyBorder="1" applyAlignment="1">
      <alignment horizontal="center" vertical="center"/>
    </xf>
    <xf numFmtId="3" fontId="22" fillId="5" borderId="65" xfId="0" applyNumberFormat="1" applyFont="1" applyFill="1" applyBorder="1" applyAlignment="1">
      <alignment horizontal="center" vertical="center"/>
    </xf>
    <xf numFmtId="3" fontId="13" fillId="0" borderId="36" xfId="0" applyNumberFormat="1" applyFont="1" applyBorder="1" applyAlignment="1">
      <alignment horizontal="left"/>
    </xf>
    <xf numFmtId="3" fontId="13" fillId="0" borderId="55" xfId="0" applyNumberFormat="1" applyFont="1" applyBorder="1" applyAlignment="1">
      <alignment horizontal="left"/>
    </xf>
    <xf numFmtId="3" fontId="13" fillId="0" borderId="56" xfId="0" applyNumberFormat="1" applyFont="1" applyBorder="1" applyAlignment="1">
      <alignment horizontal="left"/>
    </xf>
    <xf numFmtId="3" fontId="13" fillId="4" borderId="33" xfId="2" applyNumberFormat="1" applyFont="1" applyFill="1" applyBorder="1" applyAlignment="1">
      <alignment horizontal="center" vertical="center" wrapText="1"/>
    </xf>
    <xf numFmtId="3" fontId="13" fillId="4" borderId="50" xfId="2" applyNumberFormat="1" applyFont="1" applyFill="1" applyBorder="1" applyAlignment="1">
      <alignment horizontal="center" vertical="center" wrapText="1"/>
    </xf>
    <xf numFmtId="3" fontId="13" fillId="4" borderId="38" xfId="2" applyNumberFormat="1" applyFont="1" applyFill="1" applyBorder="1" applyAlignment="1">
      <alignment horizontal="center" vertical="center" wrapText="1"/>
    </xf>
    <xf numFmtId="4" fontId="13" fillId="4" borderId="5" xfId="0" applyNumberFormat="1" applyFont="1" applyFill="1" applyBorder="1" applyAlignment="1">
      <alignment horizontal="center" vertical="center" wrapText="1"/>
    </xf>
    <xf numFmtId="4" fontId="13" fillId="4" borderId="1" xfId="0" applyNumberFormat="1" applyFont="1" applyFill="1" applyBorder="1" applyAlignment="1">
      <alignment horizontal="center" vertical="center" wrapText="1"/>
    </xf>
    <xf numFmtId="4" fontId="13" fillId="4" borderId="12" xfId="0" applyNumberFormat="1" applyFont="1" applyFill="1" applyBorder="1" applyAlignment="1">
      <alignment horizontal="center" vertical="center" wrapText="1"/>
    </xf>
    <xf numFmtId="4" fontId="13" fillId="0" borderId="36" xfId="0" applyNumberFormat="1" applyFont="1" applyBorder="1" applyAlignment="1">
      <alignment horizontal="left"/>
    </xf>
    <xf numFmtId="4" fontId="13" fillId="0" borderId="57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3" fillId="0" borderId="31" xfId="0" applyNumberFormat="1" applyFont="1" applyBorder="1" applyAlignment="1">
      <alignment horizontal="left"/>
    </xf>
    <xf numFmtId="3" fontId="13" fillId="5" borderId="1" xfId="2" applyNumberFormat="1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12" fillId="0" borderId="21" xfId="2" applyNumberFormat="1" applyFont="1" applyBorder="1" applyAlignment="1">
      <alignment horizontal="center" vertical="center" wrapText="1"/>
    </xf>
    <xf numFmtId="3" fontId="12" fillId="0" borderId="47" xfId="2" applyNumberFormat="1" applyFont="1" applyBorder="1" applyAlignment="1">
      <alignment horizontal="center" vertical="center" wrapText="1"/>
    </xf>
    <xf numFmtId="3" fontId="46" fillId="5" borderId="30" xfId="0" applyNumberFormat="1" applyFont="1" applyFill="1" applyBorder="1" applyAlignment="1">
      <alignment horizontal="center" vertical="center" wrapText="1"/>
    </xf>
    <xf numFmtId="3" fontId="46" fillId="5" borderId="49" xfId="0" applyNumberFormat="1" applyFont="1" applyFill="1" applyBorder="1" applyAlignment="1">
      <alignment horizontal="center" vertical="center" wrapText="1"/>
    </xf>
    <xf numFmtId="3" fontId="46" fillId="5" borderId="29" xfId="0" applyNumberFormat="1" applyFont="1" applyFill="1" applyBorder="1" applyAlignment="1">
      <alignment horizontal="center" vertical="center" wrapText="1"/>
    </xf>
    <xf numFmtId="3" fontId="46" fillId="5" borderId="6" xfId="0" applyNumberFormat="1" applyFont="1" applyFill="1" applyBorder="1" applyAlignment="1">
      <alignment horizontal="center" vertical="center" wrapText="1"/>
    </xf>
    <xf numFmtId="3" fontId="46" fillId="5" borderId="39" xfId="0" applyNumberFormat="1" applyFont="1" applyFill="1" applyBorder="1" applyAlignment="1">
      <alignment horizontal="center" vertical="center" wrapText="1"/>
    </xf>
    <xf numFmtId="3" fontId="46" fillId="5" borderId="37" xfId="0" applyNumberFormat="1" applyFont="1" applyFill="1" applyBorder="1" applyAlignment="1">
      <alignment horizontal="center" vertical="center" wrapText="1"/>
    </xf>
    <xf numFmtId="4" fontId="13" fillId="5" borderId="30" xfId="0" applyNumberFormat="1" applyFont="1" applyFill="1" applyBorder="1" applyAlignment="1">
      <alignment horizontal="center" vertical="center"/>
    </xf>
    <xf numFmtId="4" fontId="13" fillId="5" borderId="49" xfId="0" applyNumberFormat="1" applyFont="1" applyFill="1" applyBorder="1" applyAlignment="1">
      <alignment horizontal="center" vertical="center"/>
    </xf>
    <xf numFmtId="4" fontId="13" fillId="5" borderId="54" xfId="0" applyNumberFormat="1" applyFont="1" applyFill="1" applyBorder="1" applyAlignment="1">
      <alignment horizontal="center" vertical="center"/>
    </xf>
    <xf numFmtId="4" fontId="13" fillId="5" borderId="6" xfId="0" applyNumberFormat="1" applyFont="1" applyFill="1" applyBorder="1" applyAlignment="1">
      <alignment horizontal="center" vertical="center"/>
    </xf>
    <xf numFmtId="4" fontId="13" fillId="5" borderId="39" xfId="0" applyNumberFormat="1" applyFont="1" applyFill="1" applyBorder="1" applyAlignment="1">
      <alignment horizontal="center" vertical="center"/>
    </xf>
    <xf numFmtId="4" fontId="13" fillId="5" borderId="31" xfId="0" applyNumberFormat="1" applyFont="1" applyFill="1" applyBorder="1" applyAlignment="1">
      <alignment horizontal="center" vertical="center"/>
    </xf>
    <xf numFmtId="4" fontId="13" fillId="5" borderId="9" xfId="0" applyNumberFormat="1" applyFont="1" applyFill="1" applyBorder="1" applyAlignment="1">
      <alignment horizontal="center" vertical="center" wrapText="1"/>
    </xf>
    <xf numFmtId="4" fontId="13" fillId="5" borderId="28" xfId="0" applyNumberFormat="1" applyFont="1" applyFill="1" applyBorder="1" applyAlignment="1">
      <alignment horizontal="center" vertical="center" wrapText="1"/>
    </xf>
    <xf numFmtId="3" fontId="44" fillId="11" borderId="23" xfId="0" applyNumberFormat="1" applyFont="1" applyFill="1" applyBorder="1" applyAlignment="1">
      <alignment horizontal="center" wrapText="1"/>
    </xf>
    <xf numFmtId="3" fontId="44" fillId="11" borderId="24" xfId="0" applyNumberFormat="1" applyFont="1" applyFill="1" applyBorder="1" applyAlignment="1">
      <alignment horizontal="center"/>
    </xf>
    <xf numFmtId="3" fontId="44" fillId="11" borderId="25" xfId="0" applyNumberFormat="1" applyFont="1" applyFill="1" applyBorder="1" applyAlignment="1">
      <alignment horizontal="center"/>
    </xf>
    <xf numFmtId="3" fontId="44" fillId="11" borderId="11" xfId="0" applyNumberFormat="1" applyFont="1" applyFill="1" applyBorder="1" applyAlignment="1">
      <alignment horizontal="center"/>
    </xf>
    <xf numFmtId="3" fontId="44" fillId="11" borderId="12" xfId="0" applyNumberFormat="1" applyFont="1" applyFill="1" applyBorder="1" applyAlignment="1">
      <alignment horizontal="center"/>
    </xf>
    <xf numFmtId="3" fontId="44" fillId="11" borderId="14" xfId="0" applyNumberFormat="1" applyFont="1" applyFill="1" applyBorder="1" applyAlignment="1">
      <alignment horizontal="center"/>
    </xf>
    <xf numFmtId="0" fontId="13" fillId="0" borderId="58" xfId="0" applyFont="1" applyBorder="1" applyAlignment="1">
      <alignment horizontal="center" wrapText="1"/>
    </xf>
    <xf numFmtId="0" fontId="13" fillId="0" borderId="55" xfId="0" applyFont="1" applyBorder="1" applyAlignment="1">
      <alignment horizontal="center" wrapText="1"/>
    </xf>
    <xf numFmtId="0" fontId="13" fillId="0" borderId="57" xfId="0" applyFont="1" applyBorder="1" applyAlignment="1">
      <alignment horizontal="center" wrapText="1"/>
    </xf>
    <xf numFmtId="0" fontId="13" fillId="0" borderId="60" xfId="0" applyFont="1" applyBorder="1" applyAlignment="1">
      <alignment horizontal="center" wrapText="1"/>
    </xf>
    <xf numFmtId="0" fontId="13" fillId="0" borderId="45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3" fontId="23" fillId="11" borderId="21" xfId="0" applyNumberFormat="1" applyFont="1" applyFill="1" applyBorder="1" applyAlignment="1">
      <alignment horizontal="center" vertical="center" wrapText="1"/>
    </xf>
    <xf numFmtId="3" fontId="23" fillId="11" borderId="47" xfId="0" applyNumberFormat="1" applyFont="1" applyFill="1" applyBorder="1" applyAlignment="1">
      <alignment horizontal="center" vertical="center" wrapText="1"/>
    </xf>
    <xf numFmtId="3" fontId="44" fillId="4" borderId="23" xfId="0" applyNumberFormat="1" applyFont="1" applyFill="1" applyBorder="1" applyAlignment="1">
      <alignment horizontal="center" wrapText="1"/>
    </xf>
    <xf numFmtId="3" fontId="44" fillId="4" borderId="24" xfId="0" applyNumberFormat="1" applyFont="1" applyFill="1" applyBorder="1" applyAlignment="1">
      <alignment horizontal="center"/>
    </xf>
    <xf numFmtId="3" fontId="44" fillId="4" borderId="25" xfId="0" applyNumberFormat="1" applyFont="1" applyFill="1" applyBorder="1" applyAlignment="1">
      <alignment horizontal="center"/>
    </xf>
    <xf numFmtId="3" fontId="44" fillId="4" borderId="11" xfId="0" applyNumberFormat="1" applyFont="1" applyFill="1" applyBorder="1" applyAlignment="1">
      <alignment horizontal="center"/>
    </xf>
    <xf numFmtId="3" fontId="44" fillId="4" borderId="12" xfId="0" applyNumberFormat="1" applyFont="1" applyFill="1" applyBorder="1" applyAlignment="1">
      <alignment horizontal="center"/>
    </xf>
    <xf numFmtId="3" fontId="44" fillId="4" borderId="14" xfId="0" applyNumberFormat="1" applyFont="1" applyFill="1" applyBorder="1" applyAlignment="1">
      <alignment horizontal="center"/>
    </xf>
    <xf numFmtId="3" fontId="12" fillId="5" borderId="1" xfId="2" applyNumberFormat="1" applyFont="1" applyFill="1" applyBorder="1" applyAlignment="1">
      <alignment horizontal="center" vertical="center" wrapText="1"/>
    </xf>
    <xf numFmtId="3" fontId="12" fillId="5" borderId="12" xfId="2" applyNumberFormat="1" applyFont="1" applyFill="1" applyBorder="1" applyAlignment="1">
      <alignment horizontal="center" vertical="center" wrapText="1"/>
    </xf>
    <xf numFmtId="3" fontId="12" fillId="4" borderId="1" xfId="2" applyNumberFormat="1" applyFont="1" applyFill="1" applyBorder="1" applyAlignment="1">
      <alignment horizontal="center" vertical="center" wrapText="1"/>
    </xf>
    <xf numFmtId="3" fontId="12" fillId="4" borderId="12" xfId="2" applyNumberFormat="1" applyFont="1" applyFill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left"/>
    </xf>
    <xf numFmtId="3" fontId="13" fillId="0" borderId="1" xfId="0" applyNumberFormat="1" applyFont="1" applyBorder="1" applyAlignment="1">
      <alignment horizontal="left"/>
    </xf>
    <xf numFmtId="3" fontId="11" fillId="4" borderId="1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1" fillId="4" borderId="4" xfId="2" applyNumberFormat="1" applyFont="1" applyFill="1" applyBorder="1" applyAlignment="1">
      <alignment horizontal="center" vertical="center" wrapText="1"/>
    </xf>
    <xf numFmtId="3" fontId="11" fillId="4" borderId="8" xfId="2" applyNumberFormat="1" applyFont="1" applyFill="1" applyBorder="1" applyAlignment="1">
      <alignment horizontal="center" vertical="center" wrapText="1"/>
    </xf>
    <xf numFmtId="3" fontId="11" fillId="4" borderId="11" xfId="2" applyNumberFormat="1" applyFont="1" applyFill="1" applyBorder="1" applyAlignment="1">
      <alignment horizontal="center" vertical="center" wrapText="1"/>
    </xf>
    <xf numFmtId="3" fontId="46" fillId="4" borderId="1" xfId="0" applyNumberFormat="1" applyFont="1" applyFill="1" applyBorder="1" applyAlignment="1">
      <alignment horizontal="center" vertical="center" wrapText="1"/>
    </xf>
    <xf numFmtId="3" fontId="21" fillId="11" borderId="36" xfId="5" applyNumberFormat="1" applyFont="1" applyFill="1" applyBorder="1" applyAlignment="1">
      <alignment horizontal="center"/>
    </xf>
    <xf numFmtId="3" fontId="21" fillId="11" borderId="56" xfId="5" applyNumberFormat="1" applyFont="1" applyFill="1" applyBorder="1" applyAlignment="1">
      <alignment horizontal="center"/>
    </xf>
    <xf numFmtId="4" fontId="13" fillId="11" borderId="30" xfId="0" applyNumberFormat="1" applyFont="1" applyFill="1" applyBorder="1" applyAlignment="1">
      <alignment horizontal="center" vertical="center" wrapText="1"/>
    </xf>
    <xf numFmtId="4" fontId="13" fillId="11" borderId="29" xfId="0" applyNumberFormat="1" applyFont="1" applyFill="1" applyBorder="1" applyAlignment="1">
      <alignment horizontal="center" vertical="center" wrapText="1"/>
    </xf>
    <xf numFmtId="4" fontId="13" fillId="11" borderId="51" xfId="0" applyNumberFormat="1" applyFont="1" applyFill="1" applyBorder="1" applyAlignment="1">
      <alignment horizontal="center" vertical="center" wrapText="1"/>
    </xf>
    <xf numFmtId="4" fontId="13" fillId="11" borderId="52" xfId="0" applyNumberFormat="1" applyFont="1" applyFill="1" applyBorder="1" applyAlignment="1">
      <alignment horizontal="center" vertical="center" wrapText="1"/>
    </xf>
    <xf numFmtId="4" fontId="13" fillId="11" borderId="61" xfId="0" applyNumberFormat="1" applyFont="1" applyFill="1" applyBorder="1" applyAlignment="1">
      <alignment horizontal="center" vertical="center" wrapText="1"/>
    </xf>
    <xf numFmtId="4" fontId="13" fillId="11" borderId="70" xfId="0" applyNumberFormat="1" applyFont="1" applyFill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left"/>
    </xf>
    <xf numFmtId="4" fontId="13" fillId="0" borderId="7" xfId="0" applyNumberFormat="1" applyFont="1" applyBorder="1" applyAlignment="1">
      <alignment horizontal="left"/>
    </xf>
    <xf numFmtId="4" fontId="13" fillId="0" borderId="1" xfId="0" applyNumberFormat="1" applyFont="1" applyBorder="1" applyAlignment="1">
      <alignment horizontal="left"/>
    </xf>
    <xf numFmtId="4" fontId="13" fillId="0" borderId="10" xfId="0" applyNumberFormat="1" applyFont="1" applyBorder="1" applyAlignment="1">
      <alignment horizontal="left"/>
    </xf>
    <xf numFmtId="4" fontId="13" fillId="5" borderId="29" xfId="0" applyNumberFormat="1" applyFont="1" applyFill="1" applyBorder="1" applyAlignment="1">
      <alignment horizontal="center" vertical="center"/>
    </xf>
    <xf numFmtId="4" fontId="13" fillId="5" borderId="37" xfId="0" applyNumberFormat="1" applyFont="1" applyFill="1" applyBorder="1" applyAlignment="1">
      <alignment horizontal="center" vertical="center"/>
    </xf>
    <xf numFmtId="3" fontId="45" fillId="5" borderId="49" xfId="0" applyNumberFormat="1" applyFont="1" applyFill="1" applyBorder="1" applyAlignment="1">
      <alignment horizontal="center" vertical="center"/>
    </xf>
    <xf numFmtId="3" fontId="45" fillId="5" borderId="29" xfId="0" applyNumberFormat="1" applyFont="1" applyFill="1" applyBorder="1" applyAlignment="1">
      <alignment horizontal="center" vertical="center"/>
    </xf>
    <xf numFmtId="3" fontId="45" fillId="5" borderId="0" xfId="0" applyNumberFormat="1" applyFont="1" applyFill="1" applyAlignment="1">
      <alignment horizontal="center" vertical="center"/>
    </xf>
    <xf numFmtId="3" fontId="45" fillId="5" borderId="52" xfId="0" applyNumberFormat="1" applyFont="1" applyFill="1" applyBorder="1" applyAlignment="1">
      <alignment horizontal="center" vertical="center"/>
    </xf>
    <xf numFmtId="3" fontId="45" fillId="5" borderId="39" xfId="0" applyNumberFormat="1" applyFont="1" applyFill="1" applyBorder="1" applyAlignment="1">
      <alignment horizontal="center" vertical="center"/>
    </xf>
    <xf numFmtId="3" fontId="45" fillId="5" borderId="37" xfId="0" applyNumberFormat="1" applyFont="1" applyFill="1" applyBorder="1" applyAlignment="1">
      <alignment horizontal="center" vertical="center"/>
    </xf>
    <xf numFmtId="3" fontId="45" fillId="5" borderId="21" xfId="0" applyNumberFormat="1" applyFont="1" applyFill="1" applyBorder="1" applyAlignment="1">
      <alignment horizontal="center" vertical="center" wrapText="1"/>
    </xf>
    <xf numFmtId="3" fontId="45" fillId="5" borderId="53" xfId="0" applyNumberFormat="1" applyFont="1" applyFill="1" applyBorder="1" applyAlignment="1">
      <alignment horizontal="center" vertical="center" wrapText="1"/>
    </xf>
    <xf numFmtId="3" fontId="45" fillId="5" borderId="47" xfId="0" applyNumberFormat="1" applyFont="1" applyFill="1" applyBorder="1" applyAlignment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48" xfId="0" applyNumberFormat="1" applyFont="1" applyFill="1" applyBorder="1" applyAlignment="1">
      <alignment horizontal="center" vertical="center"/>
    </xf>
    <xf numFmtId="4" fontId="45" fillId="5" borderId="67" xfId="0" applyNumberFormat="1" applyFont="1" applyFill="1" applyBorder="1" applyAlignment="1">
      <alignment horizontal="center" vertical="center"/>
    </xf>
    <xf numFmtId="4" fontId="13" fillId="5" borderId="21" xfId="0" applyNumberFormat="1" applyFont="1" applyFill="1" applyBorder="1" applyAlignment="1">
      <alignment horizontal="center" vertical="center" wrapText="1"/>
    </xf>
    <xf numFmtId="4" fontId="13" fillId="5" borderId="5" xfId="0" applyNumberFormat="1" applyFont="1" applyFill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3" fontId="23" fillId="0" borderId="3" xfId="0" applyNumberFormat="1" applyFont="1" applyBorder="1" applyAlignment="1">
      <alignment horizontal="center" vertical="center" wrapText="1"/>
    </xf>
    <xf numFmtId="3" fontId="11" fillId="4" borderId="37" xfId="2" applyNumberFormat="1" applyFont="1" applyFill="1" applyBorder="1" applyAlignment="1">
      <alignment horizontal="center" vertical="center" wrapText="1"/>
    </xf>
    <xf numFmtId="3" fontId="11" fillId="4" borderId="28" xfId="2" applyNumberFormat="1" applyFont="1" applyFill="1" applyBorder="1" applyAlignment="1">
      <alignment horizontal="center" vertical="center" wrapText="1"/>
    </xf>
    <xf numFmtId="3" fontId="11" fillId="4" borderId="41" xfId="2" applyNumberFormat="1" applyFont="1" applyFill="1" applyBorder="1" applyAlignment="1">
      <alignment horizontal="center" vertical="center" wrapText="1"/>
    </xf>
    <xf numFmtId="3" fontId="22" fillId="5" borderId="62" xfId="0" applyNumberFormat="1" applyFont="1" applyFill="1" applyBorder="1" applyAlignment="1">
      <alignment horizontal="center" vertical="center"/>
    </xf>
    <xf numFmtId="3" fontId="46" fillId="5" borderId="66" xfId="0" applyNumberFormat="1" applyFont="1" applyFill="1" applyBorder="1" applyAlignment="1">
      <alignment horizontal="center" vertical="center" wrapText="1"/>
    </xf>
    <xf numFmtId="3" fontId="46" fillId="5" borderId="2" xfId="0" applyNumberFormat="1" applyFont="1" applyFill="1" applyBorder="1" applyAlignment="1">
      <alignment horizontal="center" vertical="center" wrapText="1"/>
    </xf>
    <xf numFmtId="3" fontId="11" fillId="4" borderId="33" xfId="2" applyNumberFormat="1" applyFont="1" applyFill="1" applyBorder="1" applyAlignment="1">
      <alignment horizontal="center" vertical="center" wrapText="1"/>
    </xf>
    <xf numFmtId="3" fontId="11" fillId="4" borderId="50" xfId="2" applyNumberFormat="1" applyFont="1" applyFill="1" applyBorder="1" applyAlignment="1">
      <alignment horizontal="center" vertical="center" wrapText="1"/>
    </xf>
    <xf numFmtId="3" fontId="11" fillId="4" borderId="38" xfId="2" applyNumberFormat="1" applyFont="1" applyFill="1" applyBorder="1" applyAlignment="1">
      <alignment horizontal="center" vertical="center" wrapText="1"/>
    </xf>
    <xf numFmtId="4" fontId="13" fillId="0" borderId="55" xfId="0" applyNumberFormat="1" applyFont="1" applyBorder="1" applyAlignment="1">
      <alignment horizontal="left"/>
    </xf>
    <xf numFmtId="4" fontId="13" fillId="0" borderId="39" xfId="0" applyNumberFormat="1" applyFont="1" applyBorder="1" applyAlignment="1">
      <alignment horizontal="left"/>
    </xf>
    <xf numFmtId="3" fontId="21" fillId="11" borderId="20" xfId="5" applyNumberFormat="1" applyFont="1" applyFill="1" applyBorder="1" applyAlignment="1">
      <alignment horizontal="center"/>
    </xf>
    <xf numFmtId="3" fontId="21" fillId="11" borderId="22" xfId="5" applyNumberFormat="1" applyFont="1" applyFill="1" applyBorder="1" applyAlignment="1">
      <alignment horizontal="center"/>
    </xf>
    <xf numFmtId="0" fontId="17" fillId="0" borderId="0" xfId="5" applyFont="1" applyAlignment="1">
      <alignment horizontal="left"/>
    </xf>
    <xf numFmtId="4" fontId="17" fillId="0" borderId="0" xfId="0" applyNumberFormat="1" applyFont="1" applyAlignment="1">
      <alignment horizontal="left" wrapText="1"/>
    </xf>
    <xf numFmtId="0" fontId="52" fillId="0" borderId="0" xfId="0" applyFont="1" applyFill="1"/>
    <xf numFmtId="0" fontId="10" fillId="0" borderId="0" xfId="0" applyFont="1" applyFill="1"/>
  </cellXfs>
  <cellStyles count="15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  <cellStyle name="normální_Tabč4" xfId="14" xr:uid="{D1E893F2-3E16-4CBD-BBF1-BA162986F69C}"/>
  </cellStyles>
  <dxfs count="0"/>
  <tableStyles count="0" defaultTableStyle="TableStyleMedium2" defaultPivotStyle="PivotStyleLight16"/>
  <colors>
    <mruColors>
      <color rgb="FF99FF99"/>
      <color rgb="FF99CCFF"/>
      <color rgb="FFCCFF66"/>
      <color rgb="FFFABF8F"/>
      <color rgb="FFFF66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Y45"/>
  <sheetViews>
    <sheetView zoomScaleNormal="100" workbookViewId="0">
      <selection activeCell="J46" sqref="J46"/>
    </sheetView>
  </sheetViews>
  <sheetFormatPr defaultColWidth="9.140625" defaultRowHeight="15" customHeight="1" x14ac:dyDescent="0.2"/>
  <cols>
    <col min="1" max="1" width="6.7109375" style="222" customWidth="1"/>
    <col min="2" max="15" width="9.140625" style="222"/>
    <col min="16" max="16" width="13.7109375" style="222" customWidth="1"/>
    <col min="17" max="16384" width="9.140625" style="222"/>
  </cols>
  <sheetData>
    <row r="1" spans="1:25" ht="15" customHeight="1" x14ac:dyDescent="0.2">
      <c r="A1" s="701" t="s">
        <v>908</v>
      </c>
    </row>
    <row r="3" spans="1:25" ht="15" customHeight="1" x14ac:dyDescent="0.2">
      <c r="A3" s="222" t="s">
        <v>848</v>
      </c>
    </row>
    <row r="4" spans="1:25" ht="15" customHeight="1" x14ac:dyDescent="0.2">
      <c r="A4" s="222" t="s">
        <v>862</v>
      </c>
    </row>
    <row r="5" spans="1:25" ht="15" customHeight="1" x14ac:dyDescent="0.2">
      <c r="A5" s="222" t="s">
        <v>863</v>
      </c>
    </row>
    <row r="7" spans="1:25" ht="15" customHeight="1" x14ac:dyDescent="0.2">
      <c r="A7" s="222" t="s">
        <v>849</v>
      </c>
    </row>
    <row r="8" spans="1:25" ht="15" customHeight="1" x14ac:dyDescent="0.2">
      <c r="A8" s="222" t="s">
        <v>850</v>
      </c>
      <c r="B8" s="222" t="s">
        <v>851</v>
      </c>
    </row>
    <row r="9" spans="1:25" ht="15" customHeight="1" x14ac:dyDescent="0.2">
      <c r="A9" s="222" t="s">
        <v>852</v>
      </c>
      <c r="B9" s="222" t="s">
        <v>864</v>
      </c>
    </row>
    <row r="10" spans="1:25" ht="15" customHeight="1" x14ac:dyDescent="0.2">
      <c r="B10" s="222" t="s">
        <v>865</v>
      </c>
    </row>
    <row r="11" spans="1:25" ht="15" customHeight="1" x14ac:dyDescent="0.2">
      <c r="A11" s="222" t="s">
        <v>853</v>
      </c>
      <c r="B11" s="222" t="s">
        <v>866</v>
      </c>
    </row>
    <row r="12" spans="1:25" ht="15" customHeight="1" x14ac:dyDescent="0.2">
      <c r="A12" s="3" t="s">
        <v>854</v>
      </c>
      <c r="B12" s="702" t="s">
        <v>867</v>
      </c>
    </row>
    <row r="13" spans="1:25" ht="15" customHeight="1" x14ac:dyDescent="0.2">
      <c r="B13" s="702" t="s">
        <v>909</v>
      </c>
      <c r="Q13" s="3"/>
      <c r="R13" s="3"/>
      <c r="S13" s="3"/>
      <c r="T13" s="3"/>
      <c r="U13" s="3"/>
      <c r="V13" s="3"/>
      <c r="W13" s="3"/>
      <c r="X13" s="3"/>
      <c r="Y13" s="3"/>
    </row>
    <row r="14" spans="1:25" ht="15" customHeight="1" x14ac:dyDescent="0.2">
      <c r="A14" s="222" t="s">
        <v>855</v>
      </c>
      <c r="B14" s="222" t="s">
        <v>868</v>
      </c>
      <c r="Q14" s="3"/>
      <c r="R14" s="3"/>
      <c r="S14" s="3"/>
      <c r="T14" s="3"/>
      <c r="U14" s="3"/>
      <c r="V14" s="3"/>
      <c r="W14" s="3"/>
      <c r="X14" s="3"/>
      <c r="Y14" s="3"/>
    </row>
    <row r="15" spans="1:25" ht="15" customHeight="1" x14ac:dyDescent="0.2">
      <c r="A15" s="222" t="s">
        <v>856</v>
      </c>
      <c r="B15" s="222" t="s">
        <v>898</v>
      </c>
    </row>
    <row r="16" spans="1:25" ht="15" customHeight="1" x14ac:dyDescent="0.2">
      <c r="A16" s="222" t="s">
        <v>857</v>
      </c>
      <c r="B16" s="222" t="s">
        <v>858</v>
      </c>
    </row>
    <row r="17" spans="1:16" ht="15" customHeight="1" x14ac:dyDescent="0.2">
      <c r="B17" s="222" t="s">
        <v>869</v>
      </c>
    </row>
    <row r="18" spans="1:16" ht="15" customHeight="1" x14ac:dyDescent="0.2">
      <c r="A18" s="222" t="s">
        <v>859</v>
      </c>
      <c r="B18" s="222" t="s">
        <v>874</v>
      </c>
    </row>
    <row r="19" spans="1:16" ht="15" customHeight="1" x14ac:dyDescent="0.2">
      <c r="A19" s="222" t="s">
        <v>870</v>
      </c>
      <c r="B19" s="222" t="s">
        <v>875</v>
      </c>
    </row>
    <row r="20" spans="1:16" ht="15" customHeight="1" x14ac:dyDescent="0.2">
      <c r="A20" s="222" t="s">
        <v>871</v>
      </c>
      <c r="B20" s="222" t="s">
        <v>877</v>
      </c>
    </row>
    <row r="21" spans="1:16" ht="15" customHeight="1" thickBot="1" x14ac:dyDescent="0.25">
      <c r="A21" s="222" t="s">
        <v>873</v>
      </c>
      <c r="B21" s="222" t="s">
        <v>872</v>
      </c>
    </row>
    <row r="22" spans="1:16" ht="15" customHeight="1" thickTop="1" x14ac:dyDescent="0.2">
      <c r="A22" s="931" t="s">
        <v>876</v>
      </c>
      <c r="B22" s="932"/>
      <c r="C22" s="932"/>
      <c r="D22" s="932"/>
      <c r="E22" s="932"/>
      <c r="F22" s="932"/>
      <c r="G22" s="932"/>
      <c r="H22" s="932"/>
      <c r="I22" s="932"/>
      <c r="J22" s="932"/>
      <c r="K22" s="932"/>
      <c r="L22" s="932"/>
      <c r="M22" s="932"/>
      <c r="N22" s="932"/>
      <c r="O22" s="932"/>
      <c r="P22" s="933"/>
    </row>
    <row r="23" spans="1:16" ht="15" customHeight="1" x14ac:dyDescent="0.2">
      <c r="A23" s="934" t="s">
        <v>893</v>
      </c>
      <c r="P23" s="935"/>
    </row>
    <row r="24" spans="1:16" ht="15" customHeight="1" x14ac:dyDescent="0.2">
      <c r="A24" s="934" t="s">
        <v>894</v>
      </c>
      <c r="P24" s="935"/>
    </row>
    <row r="25" spans="1:16" s="3" customFormat="1" ht="15" customHeight="1" x14ac:dyDescent="0.2">
      <c r="A25" s="936" t="s">
        <v>895</v>
      </c>
      <c r="P25" s="937"/>
    </row>
    <row r="26" spans="1:16" s="3" customFormat="1" ht="15" customHeight="1" x14ac:dyDescent="0.2">
      <c r="A26" s="936" t="s">
        <v>900</v>
      </c>
      <c r="P26" s="937"/>
    </row>
    <row r="27" spans="1:16" s="3" customFormat="1" ht="15" customHeight="1" x14ac:dyDescent="0.2">
      <c r="A27" s="936" t="s">
        <v>899</v>
      </c>
      <c r="P27" s="937"/>
    </row>
    <row r="28" spans="1:16" s="3" customFormat="1" ht="15" customHeight="1" x14ac:dyDescent="0.2">
      <c r="A28" s="936" t="s">
        <v>901</v>
      </c>
      <c r="P28" s="937"/>
    </row>
    <row r="29" spans="1:16" s="3" customFormat="1" ht="15" customHeight="1" x14ac:dyDescent="0.2">
      <c r="A29" s="936" t="s">
        <v>902</v>
      </c>
      <c r="P29" s="937"/>
    </row>
    <row r="30" spans="1:16" s="3" customFormat="1" ht="15" customHeight="1" x14ac:dyDescent="0.2">
      <c r="A30" s="936" t="s">
        <v>903</v>
      </c>
      <c r="P30" s="937"/>
    </row>
    <row r="31" spans="1:16" s="3" customFormat="1" ht="15" customHeight="1" thickBot="1" x14ac:dyDescent="0.25">
      <c r="A31" s="938" t="s">
        <v>904</v>
      </c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40"/>
    </row>
    <row r="32" spans="1:16" ht="15" customHeight="1" thickTop="1" x14ac:dyDescent="0.2">
      <c r="A32" s="925"/>
    </row>
    <row r="33" spans="1:16" ht="15" customHeight="1" x14ac:dyDescent="0.2">
      <c r="A33" s="927" t="s">
        <v>896</v>
      </c>
    </row>
    <row r="34" spans="1:16" ht="15" customHeight="1" x14ac:dyDescent="0.2">
      <c r="A34" s="926" t="s">
        <v>897</v>
      </c>
    </row>
    <row r="35" spans="1:16" ht="15" customHeight="1" x14ac:dyDescent="0.2">
      <c r="A35" s="926" t="s">
        <v>906</v>
      </c>
    </row>
    <row r="36" spans="1:16" ht="15" customHeight="1" x14ac:dyDescent="0.2">
      <c r="A36" s="941" t="s">
        <v>907</v>
      </c>
    </row>
    <row r="37" spans="1:16" ht="15" customHeight="1" x14ac:dyDescent="0.2">
      <c r="A37" s="941" t="s">
        <v>905</v>
      </c>
    </row>
    <row r="39" spans="1:16" ht="15" customHeight="1" x14ac:dyDescent="0.2">
      <c r="A39" s="1085" t="s">
        <v>911</v>
      </c>
      <c r="B39" s="1086"/>
      <c r="C39" s="1085"/>
      <c r="D39" s="1085"/>
      <c r="E39" s="1085"/>
      <c r="F39" s="1085"/>
      <c r="G39" s="1085"/>
      <c r="H39" s="1085"/>
      <c r="I39" s="1085"/>
      <c r="J39" s="1085"/>
      <c r="K39" s="1085"/>
      <c r="L39" s="1085"/>
      <c r="M39" s="1086"/>
      <c r="N39" s="1086"/>
      <c r="O39" s="1086"/>
      <c r="P39" s="1086"/>
    </row>
    <row r="40" spans="1:16" ht="15" customHeight="1" x14ac:dyDescent="0.2">
      <c r="A40" s="1085" t="s">
        <v>860</v>
      </c>
      <c r="B40" s="1086"/>
      <c r="C40" s="1085"/>
      <c r="D40" s="1085"/>
      <c r="E40" s="1085"/>
      <c r="F40" s="1085"/>
      <c r="G40" s="1085"/>
      <c r="H40" s="1085"/>
      <c r="I40" s="1085"/>
      <c r="J40" s="1085"/>
      <c r="K40" s="1085"/>
      <c r="L40" s="1085"/>
      <c r="M40" s="1085"/>
      <c r="N40" s="1085"/>
      <c r="O40" s="1085"/>
      <c r="P40" s="1086"/>
    </row>
    <row r="41" spans="1:16" ht="15" customHeight="1" x14ac:dyDescent="0.2">
      <c r="A41" s="1085" t="s">
        <v>910</v>
      </c>
      <c r="B41" s="1086"/>
      <c r="C41" s="1085"/>
      <c r="D41" s="1085"/>
      <c r="E41" s="1085"/>
      <c r="F41" s="1085"/>
      <c r="G41" s="1085"/>
      <c r="H41" s="1085"/>
      <c r="I41" s="1085"/>
      <c r="J41" s="1085"/>
      <c r="K41" s="1085"/>
      <c r="L41" s="1085"/>
      <c r="M41" s="1085"/>
      <c r="N41" s="1085"/>
      <c r="O41" s="1085"/>
      <c r="P41" s="1086"/>
    </row>
    <row r="42" spans="1:16" ht="15" customHeight="1" x14ac:dyDescent="0.2">
      <c r="A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</row>
    <row r="43" spans="1:16" ht="15" customHeight="1" x14ac:dyDescent="0.2"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</row>
    <row r="44" spans="1:16" ht="15" customHeight="1" x14ac:dyDescent="0.2">
      <c r="A44" s="222" t="s">
        <v>912</v>
      </c>
    </row>
    <row r="45" spans="1:16" ht="15" customHeight="1" x14ac:dyDescent="0.2">
      <c r="A45" s="222" t="s">
        <v>861</v>
      </c>
    </row>
  </sheetData>
  <pageMargins left="0.39370078740157483" right="0.39370078740157483" top="0.59055118110236227" bottom="0.39370078740157483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CF159"/>
  <sheetViews>
    <sheetView zoomScaleNormal="100" workbookViewId="0">
      <pane xSplit="8" ySplit="11" topLeftCell="BP125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ColWidth="9.140625" defaultRowHeight="15" x14ac:dyDescent="0.25"/>
  <cols>
    <col min="1" max="1" width="5" style="310" customWidth="1"/>
    <col min="2" max="2" width="6.140625" style="252" bestFit="1" customWidth="1"/>
    <col min="3" max="3" width="10.7109375" style="363" customWidth="1"/>
    <col min="4" max="4" width="7.85546875" style="252" bestFit="1" customWidth="1"/>
    <col min="5" max="5" width="41.42578125" style="252" customWidth="1"/>
    <col min="6" max="6" width="5.7109375" style="252" customWidth="1"/>
    <col min="7" max="7" width="10.28515625" style="252" customWidth="1"/>
    <col min="8" max="8" width="8" style="252" customWidth="1"/>
    <col min="9" max="9" width="13.85546875" style="316" customWidth="1"/>
    <col min="10" max="10" width="13.28515625" style="316" customWidth="1"/>
    <col min="11" max="12" width="10.85546875" style="316" customWidth="1"/>
    <col min="13" max="15" width="10.85546875" style="316" hidden="1" customWidth="1"/>
    <col min="16" max="16" width="11.7109375" style="316" customWidth="1"/>
    <col min="17" max="17" width="10.5703125" style="316" customWidth="1"/>
    <col min="18" max="18" width="10.85546875" style="316" customWidth="1"/>
    <col min="19" max="21" width="9.28515625" style="317" customWidth="1"/>
    <col min="22" max="27" width="10.28515625" style="316" customWidth="1"/>
    <col min="28" max="28" width="10.5703125" style="316" customWidth="1"/>
    <col min="29" max="29" width="10.28515625" style="316" hidden="1" customWidth="1"/>
    <col min="30" max="40" width="10.28515625" style="316" customWidth="1"/>
    <col min="41" max="41" width="10.28515625" style="317" customWidth="1"/>
    <col min="42" max="43" width="10.42578125" style="317" customWidth="1"/>
    <col min="44" max="44" width="9.140625" style="316" customWidth="1"/>
    <col min="45" max="45" width="9.7109375" style="316" customWidth="1"/>
    <col min="46" max="46" width="10.140625" style="316" customWidth="1"/>
    <col min="47" max="47" width="9.140625" style="316" customWidth="1"/>
    <col min="48" max="48" width="9.7109375" style="316" customWidth="1"/>
    <col min="49" max="52" width="9.140625" style="316" customWidth="1"/>
    <col min="53" max="53" width="9.140625" style="317" customWidth="1"/>
    <col min="54" max="54" width="9.85546875" style="317" customWidth="1"/>
    <col min="55" max="56" width="9.140625" style="317" customWidth="1"/>
    <col min="57" max="57" width="9.140625" style="317" hidden="1" customWidth="1"/>
    <col min="58" max="65" width="9.140625" style="317" customWidth="1"/>
    <col min="66" max="75" width="10.85546875" style="317" customWidth="1"/>
    <col min="76" max="78" width="9.28515625" style="317" customWidth="1"/>
    <col min="79" max="83" width="9.7109375" style="316" customWidth="1"/>
    <col min="84" max="84" width="9.7109375" style="317" customWidth="1"/>
    <col min="85" max="86" width="9.140625" style="252" customWidth="1"/>
    <col min="87" max="16384" width="9.140625" style="252"/>
  </cols>
  <sheetData>
    <row r="1" spans="1:84" ht="12" customHeight="1" x14ac:dyDescent="0.25">
      <c r="A1" s="400" t="s">
        <v>2</v>
      </c>
      <c r="B1" s="400"/>
      <c r="C1" s="250"/>
      <c r="D1" s="400"/>
      <c r="E1" s="400"/>
      <c r="F1" s="251"/>
      <c r="G1" s="251"/>
      <c r="H1" s="251"/>
      <c r="AO1" s="316"/>
      <c r="AR1" s="53"/>
      <c r="AS1" s="53"/>
      <c r="AT1" s="53"/>
      <c r="AU1" s="53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2" customHeight="1" x14ac:dyDescent="0.25">
      <c r="A2" s="400" t="s">
        <v>3</v>
      </c>
      <c r="B2" s="400"/>
      <c r="C2" s="250"/>
      <c r="D2" s="400"/>
      <c r="E2" s="400"/>
      <c r="F2" s="251"/>
      <c r="G2" s="251"/>
      <c r="H2" s="251"/>
    </row>
    <row r="3" spans="1:84" ht="12" customHeight="1" x14ac:dyDescent="0.25">
      <c r="A3" s="1083" t="s">
        <v>4</v>
      </c>
      <c r="B3" s="1083"/>
      <c r="C3" s="1083"/>
      <c r="D3" s="1083"/>
      <c r="E3" s="1083"/>
      <c r="F3" s="251"/>
      <c r="G3" s="251"/>
      <c r="H3" s="251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4"/>
      <c r="T3" s="704"/>
      <c r="U3" s="704"/>
      <c r="V3" s="705"/>
      <c r="W3" s="705"/>
      <c r="X3" s="705"/>
      <c r="Y3" s="705"/>
      <c r="Z3" s="705"/>
      <c r="AA3" s="705"/>
      <c r="AB3" s="705"/>
      <c r="AC3" s="705"/>
      <c r="AD3" s="705"/>
      <c r="AS3" s="524"/>
      <c r="AT3" s="524"/>
      <c r="AU3" s="524"/>
    </row>
    <row r="4" spans="1:84" ht="12" customHeight="1" x14ac:dyDescent="0.25">
      <c r="A4" s="253"/>
      <c r="B4" s="400"/>
      <c r="C4" s="400"/>
      <c r="D4" s="400"/>
      <c r="E4" s="400"/>
      <c r="F4" s="251"/>
      <c r="G4" s="251"/>
      <c r="H4" s="251"/>
      <c r="AT4" s="523"/>
      <c r="AU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254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4"/>
      <c r="T5" s="704"/>
      <c r="U5" s="704"/>
      <c r="V5" s="705"/>
      <c r="W5" s="705"/>
      <c r="X5" s="705"/>
      <c r="Y5" s="705"/>
      <c r="Z5" s="705"/>
      <c r="AA5" s="705"/>
      <c r="AB5" s="705"/>
      <c r="AC5" s="705"/>
      <c r="AD5" s="705"/>
      <c r="AT5" s="523"/>
      <c r="AU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251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253"/>
      <c r="B7" s="255"/>
      <c r="C7" s="89"/>
      <c r="D7" s="256"/>
      <c r="E7" s="255"/>
      <c r="F7" s="251"/>
      <c r="G7" s="251"/>
      <c r="H7" s="251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257"/>
      <c r="B8" s="258"/>
      <c r="C8" s="258"/>
      <c r="D8" s="258"/>
      <c r="E8" s="258"/>
      <c r="F8" s="258"/>
      <c r="G8" s="258"/>
      <c r="H8" s="258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3">
      <c r="A9" s="259" t="s">
        <v>778</v>
      </c>
      <c r="B9" s="89"/>
      <c r="C9" s="89"/>
      <c r="D9" s="260"/>
      <c r="E9" s="89"/>
      <c r="F9" s="261"/>
      <c r="G9" s="262"/>
      <c r="H9" s="262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3">
      <c r="A10" s="263" t="s">
        <v>756</v>
      </c>
      <c r="B10" s="264" t="s">
        <v>527</v>
      </c>
      <c r="C10" s="264" t="s">
        <v>528</v>
      </c>
      <c r="D10" s="264" t="s">
        <v>258</v>
      </c>
      <c r="E10" s="163" t="s">
        <v>758</v>
      </c>
      <c r="F10" s="264" t="s">
        <v>0</v>
      </c>
      <c r="G10" s="265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269" customFormat="1" ht="11.25" customHeight="1" thickBot="1" x14ac:dyDescent="0.25">
      <c r="A11" s="266" t="s">
        <v>529</v>
      </c>
      <c r="B11" s="267" t="s">
        <v>530</v>
      </c>
      <c r="C11" s="267" t="s">
        <v>260</v>
      </c>
      <c r="D11" s="267" t="s">
        <v>261</v>
      </c>
      <c r="E11" s="267" t="s">
        <v>531</v>
      </c>
      <c r="F11" s="267" t="s">
        <v>0</v>
      </c>
      <c r="G11" s="267" t="s">
        <v>532</v>
      </c>
      <c r="H11" s="731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757" t="s">
        <v>889</v>
      </c>
      <c r="CB11" s="757" t="s">
        <v>882</v>
      </c>
      <c r="CC11" s="757" t="s">
        <v>883</v>
      </c>
      <c r="CD11" s="757" t="s">
        <v>890</v>
      </c>
      <c r="CE11" s="757" t="s">
        <v>891</v>
      </c>
      <c r="CF11" s="839" t="s">
        <v>884</v>
      </c>
    </row>
    <row r="12" spans="1:84" ht="14.1" customHeight="1" x14ac:dyDescent="0.25">
      <c r="A12" s="270">
        <v>1</v>
      </c>
      <c r="B12" s="319">
        <v>5415</v>
      </c>
      <c r="C12" s="320">
        <v>667000135</v>
      </c>
      <c r="D12" s="319">
        <v>71011170</v>
      </c>
      <c r="E12" s="345" t="s">
        <v>769</v>
      </c>
      <c r="F12" s="319">
        <v>3111</v>
      </c>
      <c r="G12" s="346" t="s">
        <v>305</v>
      </c>
      <c r="H12" s="732" t="s">
        <v>271</v>
      </c>
      <c r="I12" s="408">
        <f>J12+P12+Q12+R12</f>
        <v>19305915</v>
      </c>
      <c r="J12" s="409">
        <f>K12+L12</f>
        <v>14279063</v>
      </c>
      <c r="K12" s="409">
        <v>12994989</v>
      </c>
      <c r="L12" s="409">
        <v>1284074</v>
      </c>
      <c r="M12" s="409">
        <f>N12+O12</f>
        <v>0</v>
      </c>
      <c r="N12" s="409">
        <v>0</v>
      </c>
      <c r="O12" s="409">
        <v>0</v>
      </c>
      <c r="P12" s="144">
        <f>ROUND((J12+M12)*33.8%,0)</f>
        <v>4826323</v>
      </c>
      <c r="Q12" s="144">
        <f>ROUND(J12*1%,0)</f>
        <v>142791</v>
      </c>
      <c r="R12" s="409">
        <v>57738</v>
      </c>
      <c r="S12" s="410">
        <f>T12+U12</f>
        <v>26.704599999999999</v>
      </c>
      <c r="T12" s="411">
        <v>22.188099999999999</v>
      </c>
      <c r="U12" s="509">
        <v>4.5164999999999997</v>
      </c>
      <c r="V12" s="412">
        <f t="shared" ref="V12:W15" si="0">AI12*-1</f>
        <v>-19200</v>
      </c>
      <c r="W12" s="413">
        <f t="shared" si="0"/>
        <v>-60800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-19200</v>
      </c>
      <c r="AG12" s="413">
        <f>W12+Z12+AC12+AE12</f>
        <v>-60800</v>
      </c>
      <c r="AH12" s="413">
        <f>SUM(AF12:AG12)</f>
        <v>-80000</v>
      </c>
      <c r="AI12" s="413">
        <v>19200</v>
      </c>
      <c r="AJ12" s="413">
        <v>60800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19200</v>
      </c>
      <c r="AP12" s="413">
        <f>AJ12+AN12</f>
        <v>60800</v>
      </c>
      <c r="AQ12" s="413">
        <f>SUM(AO12:AP12)</f>
        <v>80000</v>
      </c>
      <c r="AR12" s="413">
        <f t="shared" ref="AR12:AS15" si="1">AF12+AO12</f>
        <v>0</v>
      </c>
      <c r="AS12" s="413">
        <f t="shared" si="1"/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-800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-800</v>
      </c>
      <c r="BA12" s="414">
        <v>0</v>
      </c>
      <c r="BB12" s="414">
        <v>-0.21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0</v>
      </c>
      <c r="BL12" s="414">
        <f>BB12+BE12+BG12+BJ12</f>
        <v>-0.21</v>
      </c>
      <c r="BM12" s="610">
        <f>SUM(BK12:BL12)</f>
        <v>-0.21</v>
      </c>
      <c r="BN12" s="415">
        <f>I12+AZ12</f>
        <v>19305115</v>
      </c>
      <c r="BO12" s="413">
        <f>J12+AH12</f>
        <v>14199063</v>
      </c>
      <c r="BP12" s="413">
        <f t="shared" ref="BP12:BQ15" si="2">K12+AF12</f>
        <v>12975789</v>
      </c>
      <c r="BQ12" s="413">
        <f t="shared" si="2"/>
        <v>1223274</v>
      </c>
      <c r="BR12" s="413">
        <f>M12+AQ12</f>
        <v>80000</v>
      </c>
      <c r="BS12" s="413">
        <f t="shared" ref="BS12:BT15" si="3">N12+AO12</f>
        <v>19200</v>
      </c>
      <c r="BT12" s="413">
        <f t="shared" si="3"/>
        <v>60800</v>
      </c>
      <c r="BU12" s="413">
        <f t="shared" ref="BU12:BV15" si="4">P12+AU12</f>
        <v>4826323</v>
      </c>
      <c r="BV12" s="413">
        <f t="shared" si="4"/>
        <v>141991</v>
      </c>
      <c r="BW12" s="413">
        <f>R12+AY12</f>
        <v>57738</v>
      </c>
      <c r="BX12" s="414">
        <f>S12+BM12</f>
        <v>26.494599999999998</v>
      </c>
      <c r="BY12" s="414">
        <f t="shared" ref="BY12:BZ15" si="5">T12+BK12</f>
        <v>22.188099999999999</v>
      </c>
      <c r="BZ12" s="610">
        <f t="shared" si="5"/>
        <v>4.3064999999999998</v>
      </c>
      <c r="CA12" s="408"/>
      <c r="CB12" s="409"/>
      <c r="CC12" s="409"/>
      <c r="CD12" s="409"/>
      <c r="CE12" s="409"/>
      <c r="CF12" s="509"/>
    </row>
    <row r="13" spans="1:84" ht="13.5" customHeight="1" x14ac:dyDescent="0.25">
      <c r="A13" s="282">
        <v>1</v>
      </c>
      <c r="B13" s="323">
        <v>5415</v>
      </c>
      <c r="C13" s="324">
        <v>667000135</v>
      </c>
      <c r="D13" s="323">
        <v>71011170</v>
      </c>
      <c r="E13" s="345" t="s">
        <v>769</v>
      </c>
      <c r="F13" s="323">
        <v>3111</v>
      </c>
      <c r="G13" s="286" t="s">
        <v>292</v>
      </c>
      <c r="H13" s="733" t="s">
        <v>272</v>
      </c>
      <c r="I13" s="423">
        <f t="shared" ref="I13:I15" si="6">J13+P13+Q13+R13</f>
        <v>0</v>
      </c>
      <c r="J13" s="418">
        <f>K13+L13</f>
        <v>0</v>
      </c>
      <c r="K13" s="418">
        <v>0</v>
      </c>
      <c r="L13" s="418">
        <v>0</v>
      </c>
      <c r="M13" s="418">
        <f>N13+O13</f>
        <v>0</v>
      </c>
      <c r="N13" s="418">
        <v>0</v>
      </c>
      <c r="O13" s="418">
        <v>0</v>
      </c>
      <c r="P13" s="68">
        <f t="shared" ref="P13:P15" si="7">ROUND((J13+M13)*33.8%,0)</f>
        <v>0</v>
      </c>
      <c r="Q13" s="68">
        <f t="shared" ref="Q13:Q15" si="8">ROUND(J13*1%,0)</f>
        <v>0</v>
      </c>
      <c r="R13" s="418">
        <v>0</v>
      </c>
      <c r="S13" s="419">
        <f>T13+U13</f>
        <v>0</v>
      </c>
      <c r="T13" s="420">
        <v>0</v>
      </c>
      <c r="U13" s="527">
        <v>0</v>
      </c>
      <c r="V13" s="427">
        <f t="shared" si="0"/>
        <v>0</v>
      </c>
      <c r="W13" s="421">
        <f t="shared" si="0"/>
        <v>0</v>
      </c>
      <c r="X13" s="421">
        <v>630474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f>V13+X13+Y13+AA13+AB13+AD13</f>
        <v>630474</v>
      </c>
      <c r="AG13" s="421">
        <f>W13+Z13+AC13+AE13</f>
        <v>0</v>
      </c>
      <c r="AH13" s="421">
        <f>SUM(AF13:AG13)</f>
        <v>630474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f>AI13+AK13+AL13+AM13</f>
        <v>0</v>
      </c>
      <c r="AP13" s="421">
        <f>AJ13+AN13</f>
        <v>0</v>
      </c>
      <c r="AQ13" s="421">
        <f>SUM(AO13:AP13)</f>
        <v>0</v>
      </c>
      <c r="AR13" s="421">
        <f t="shared" si="1"/>
        <v>630474</v>
      </c>
      <c r="AS13" s="421">
        <f t="shared" si="1"/>
        <v>0</v>
      </c>
      <c r="AT13" s="421">
        <f>SUM(AR13:AS13)</f>
        <v>630474</v>
      </c>
      <c r="AU13" s="68">
        <f>ROUND((AH13+AI13+AJ13+AK13+AL13)*33.8%,0)</f>
        <v>213100</v>
      </c>
      <c r="AV13" s="68">
        <f>ROUND(AH13*1%,0)</f>
        <v>6305</v>
      </c>
      <c r="AW13" s="421">
        <v>0</v>
      </c>
      <c r="AX13" s="421">
        <v>0</v>
      </c>
      <c r="AY13" s="421">
        <f>AW13+AX13</f>
        <v>0</v>
      </c>
      <c r="AZ13" s="421">
        <f>AT13+AU13+AV13+AY13</f>
        <v>849879</v>
      </c>
      <c r="BA13" s="422">
        <v>0</v>
      </c>
      <c r="BB13" s="422">
        <v>0</v>
      </c>
      <c r="BC13" s="422">
        <v>1.65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f>BA13+BC13+BD13+BF13+BH13+BI13</f>
        <v>1.65</v>
      </c>
      <c r="BL13" s="422">
        <f>BB13+BE13+BG13+BJ13</f>
        <v>0</v>
      </c>
      <c r="BM13" s="611">
        <f>SUM(BK13:BL13)</f>
        <v>1.65</v>
      </c>
      <c r="BN13" s="428">
        <f>I13+AZ13</f>
        <v>849879</v>
      </c>
      <c r="BO13" s="421">
        <f>J13+AH13</f>
        <v>630474</v>
      </c>
      <c r="BP13" s="421">
        <f t="shared" si="2"/>
        <v>630474</v>
      </c>
      <c r="BQ13" s="421">
        <f t="shared" si="2"/>
        <v>0</v>
      </c>
      <c r="BR13" s="421">
        <f>M13+AQ13</f>
        <v>0</v>
      </c>
      <c r="BS13" s="421">
        <f t="shared" si="3"/>
        <v>0</v>
      </c>
      <c r="BT13" s="421">
        <f t="shared" si="3"/>
        <v>0</v>
      </c>
      <c r="BU13" s="421">
        <f t="shared" si="4"/>
        <v>213100</v>
      </c>
      <c r="BV13" s="421">
        <f t="shared" si="4"/>
        <v>6305</v>
      </c>
      <c r="BW13" s="421">
        <f>R13+AY13</f>
        <v>0</v>
      </c>
      <c r="BX13" s="422">
        <f>S13+BM13</f>
        <v>1.65</v>
      </c>
      <c r="BY13" s="422">
        <f t="shared" si="5"/>
        <v>1.65</v>
      </c>
      <c r="BZ13" s="611">
        <f t="shared" si="5"/>
        <v>0</v>
      </c>
      <c r="CA13" s="423"/>
      <c r="CB13" s="418"/>
      <c r="CC13" s="418"/>
      <c r="CD13" s="418"/>
      <c r="CE13" s="418"/>
      <c r="CF13" s="527"/>
    </row>
    <row r="14" spans="1:84" ht="12.95" customHeight="1" x14ac:dyDescent="0.25">
      <c r="A14" s="282">
        <v>1</v>
      </c>
      <c r="B14" s="323">
        <v>5415</v>
      </c>
      <c r="C14" s="324">
        <v>667000135</v>
      </c>
      <c r="D14" s="323">
        <v>71011170</v>
      </c>
      <c r="E14" s="345" t="s">
        <v>769</v>
      </c>
      <c r="F14" s="323">
        <v>3111</v>
      </c>
      <c r="G14" s="288" t="s">
        <v>293</v>
      </c>
      <c r="H14" s="733" t="s">
        <v>271</v>
      </c>
      <c r="I14" s="423">
        <f t="shared" si="6"/>
        <v>1068441</v>
      </c>
      <c r="J14" s="418">
        <f>K14+L14</f>
        <v>792612</v>
      </c>
      <c r="K14" s="418">
        <v>792612</v>
      </c>
      <c r="L14" s="418">
        <v>0</v>
      </c>
      <c r="M14" s="418">
        <f t="shared" ref="M14:M15" si="9">N14+O14</f>
        <v>0</v>
      </c>
      <c r="N14" s="418">
        <v>0</v>
      </c>
      <c r="O14" s="418">
        <v>0</v>
      </c>
      <c r="P14" s="68">
        <f t="shared" si="7"/>
        <v>267903</v>
      </c>
      <c r="Q14" s="68">
        <f t="shared" si="8"/>
        <v>7926</v>
      </c>
      <c r="R14" s="418">
        <v>0</v>
      </c>
      <c r="S14" s="419">
        <f>T14+U14</f>
        <v>1.8</v>
      </c>
      <c r="T14" s="420">
        <v>1.8</v>
      </c>
      <c r="U14" s="527">
        <v>0</v>
      </c>
      <c r="V14" s="427">
        <f t="shared" si="0"/>
        <v>0</v>
      </c>
      <c r="W14" s="421">
        <f t="shared" si="0"/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0</v>
      </c>
      <c r="AH14" s="421">
        <f>SUM(AF14:AG14)</f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 t="shared" ref="AO14:AO15" si="10">AI14+AK14+AL14+AM14</f>
        <v>0</v>
      </c>
      <c r="AP14" s="421">
        <f>AJ14+AN14</f>
        <v>0</v>
      </c>
      <c r="AQ14" s="421">
        <f>SUM(AO14:AP14)</f>
        <v>0</v>
      </c>
      <c r="AR14" s="421">
        <f t="shared" si="1"/>
        <v>0</v>
      </c>
      <c r="AS14" s="421">
        <f t="shared" si="1"/>
        <v>0</v>
      </c>
      <c r="AT14" s="421">
        <f>SUM(AR14:AS14)</f>
        <v>0</v>
      </c>
      <c r="AU14" s="68">
        <f t="shared" ref="AU14:AU15" si="11">ROUND((AH14+AI14+AJ14+AK14+AL14)*33.8%,0)</f>
        <v>0</v>
      </c>
      <c r="AV14" s="68">
        <f>ROUND(AH14*1%,0)</f>
        <v>0</v>
      </c>
      <c r="AW14" s="421">
        <v>0</v>
      </c>
      <c r="AX14" s="421">
        <v>0</v>
      </c>
      <c r="AY14" s="421">
        <f>AW14+AX14</f>
        <v>0</v>
      </c>
      <c r="AZ14" s="421">
        <f>AT14+AU14+AV14+AY14</f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0</v>
      </c>
      <c r="BM14" s="611">
        <f>SUM(BK14:BL14)</f>
        <v>0</v>
      </c>
      <c r="BN14" s="428">
        <f>I14+AZ14</f>
        <v>1068441</v>
      </c>
      <c r="BO14" s="421">
        <f>J14+AH14</f>
        <v>792612</v>
      </c>
      <c r="BP14" s="421">
        <f t="shared" si="2"/>
        <v>792612</v>
      </c>
      <c r="BQ14" s="421">
        <f t="shared" si="2"/>
        <v>0</v>
      </c>
      <c r="BR14" s="421">
        <f>M14+AQ14</f>
        <v>0</v>
      </c>
      <c r="BS14" s="421">
        <f t="shared" si="3"/>
        <v>0</v>
      </c>
      <c r="BT14" s="421">
        <f t="shared" si="3"/>
        <v>0</v>
      </c>
      <c r="BU14" s="421">
        <f t="shared" si="4"/>
        <v>267903</v>
      </c>
      <c r="BV14" s="421">
        <f t="shared" si="4"/>
        <v>7926</v>
      </c>
      <c r="BW14" s="421">
        <f>R14+AY14</f>
        <v>0</v>
      </c>
      <c r="BX14" s="422">
        <f>S14+BM14</f>
        <v>1.8</v>
      </c>
      <c r="BY14" s="422">
        <f t="shared" si="5"/>
        <v>1.8</v>
      </c>
      <c r="BZ14" s="611">
        <f t="shared" si="5"/>
        <v>0</v>
      </c>
      <c r="CA14" s="423"/>
      <c r="CB14" s="418"/>
      <c r="CC14" s="418"/>
      <c r="CD14" s="418"/>
      <c r="CE14" s="418"/>
      <c r="CF14" s="527"/>
    </row>
    <row r="15" spans="1:84" ht="12.95" customHeight="1" x14ac:dyDescent="0.25">
      <c r="A15" s="282">
        <v>1</v>
      </c>
      <c r="B15" s="323">
        <v>5415</v>
      </c>
      <c r="C15" s="324">
        <v>667000135</v>
      </c>
      <c r="D15" s="323">
        <v>71011170</v>
      </c>
      <c r="E15" s="345" t="s">
        <v>769</v>
      </c>
      <c r="F15" s="323">
        <v>3141</v>
      </c>
      <c r="G15" s="347" t="s">
        <v>295</v>
      </c>
      <c r="H15" s="733" t="s">
        <v>272</v>
      </c>
      <c r="I15" s="423">
        <f t="shared" si="6"/>
        <v>1712566</v>
      </c>
      <c r="J15" s="418">
        <f>K15+L15</f>
        <v>1265023</v>
      </c>
      <c r="K15" s="418">
        <v>0</v>
      </c>
      <c r="L15" s="418">
        <v>1265023</v>
      </c>
      <c r="M15" s="418">
        <f t="shared" si="9"/>
        <v>0</v>
      </c>
      <c r="N15" s="418">
        <v>0</v>
      </c>
      <c r="O15" s="418">
        <v>0</v>
      </c>
      <c r="P15" s="68">
        <f t="shared" si="7"/>
        <v>427578</v>
      </c>
      <c r="Q15" s="68">
        <f t="shared" si="8"/>
        <v>12650</v>
      </c>
      <c r="R15" s="418">
        <v>7315</v>
      </c>
      <c r="S15" s="419">
        <f>T15+U15</f>
        <v>3.7934000000000001</v>
      </c>
      <c r="T15" s="420">
        <v>0</v>
      </c>
      <c r="U15" s="527">
        <v>3.7934000000000001</v>
      </c>
      <c r="V15" s="427">
        <f t="shared" si="0"/>
        <v>0</v>
      </c>
      <c r="W15" s="421">
        <f t="shared" si="0"/>
        <v>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>V15+X15+Y15+AA15+AB15+AD15</f>
        <v>0</v>
      </c>
      <c r="AG15" s="421">
        <f>W15+Z15+AC15+AE15</f>
        <v>0</v>
      </c>
      <c r="AH15" s="421">
        <f>SUM(AF15:AG15)</f>
        <v>0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si="10"/>
        <v>0</v>
      </c>
      <c r="AP15" s="421">
        <f>AJ15+AN15</f>
        <v>0</v>
      </c>
      <c r="AQ15" s="421">
        <f>SUM(AO15:AP15)</f>
        <v>0</v>
      </c>
      <c r="AR15" s="421">
        <f t="shared" si="1"/>
        <v>0</v>
      </c>
      <c r="AS15" s="421">
        <f t="shared" si="1"/>
        <v>0</v>
      </c>
      <c r="AT15" s="421">
        <f>SUM(AR15:AS15)</f>
        <v>0</v>
      </c>
      <c r="AU15" s="68">
        <f t="shared" si="11"/>
        <v>0</v>
      </c>
      <c r="AV15" s="68">
        <f>ROUND(AH15*1%,0)</f>
        <v>0</v>
      </c>
      <c r="AW15" s="421">
        <v>0</v>
      </c>
      <c r="AX15" s="421">
        <v>0</v>
      </c>
      <c r="AY15" s="421">
        <f>AW15+AX15</f>
        <v>0</v>
      </c>
      <c r="AZ15" s="421">
        <f>AT15+AU15+AV15+AY15</f>
        <v>0</v>
      </c>
      <c r="BA15" s="422">
        <v>0</v>
      </c>
      <c r="BB15" s="422">
        <v>0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0</v>
      </c>
      <c r="BL15" s="422">
        <f>BB15+BE15+BG15+BJ15</f>
        <v>0</v>
      </c>
      <c r="BM15" s="611">
        <f>SUM(BK15:BL15)</f>
        <v>0</v>
      </c>
      <c r="BN15" s="428">
        <f>I15+AZ15</f>
        <v>1712566</v>
      </c>
      <c r="BO15" s="421">
        <f>J15+AH15</f>
        <v>1265023</v>
      </c>
      <c r="BP15" s="421">
        <f t="shared" si="2"/>
        <v>0</v>
      </c>
      <c r="BQ15" s="421">
        <f t="shared" si="2"/>
        <v>1265023</v>
      </c>
      <c r="BR15" s="421">
        <f>M15+AQ15</f>
        <v>0</v>
      </c>
      <c r="BS15" s="421">
        <f t="shared" si="3"/>
        <v>0</v>
      </c>
      <c r="BT15" s="421">
        <f t="shared" si="3"/>
        <v>0</v>
      </c>
      <c r="BU15" s="421">
        <f t="shared" si="4"/>
        <v>427578</v>
      </c>
      <c r="BV15" s="421">
        <f t="shared" si="4"/>
        <v>12650</v>
      </c>
      <c r="BW15" s="421">
        <f>R15+AY15</f>
        <v>7315</v>
      </c>
      <c r="BX15" s="422">
        <f>S15+BM15</f>
        <v>3.7934000000000001</v>
      </c>
      <c r="BY15" s="422">
        <f t="shared" si="5"/>
        <v>0</v>
      </c>
      <c r="BZ15" s="611">
        <f t="shared" si="5"/>
        <v>3.7934000000000001</v>
      </c>
      <c r="CA15" s="423"/>
      <c r="CB15" s="418"/>
      <c r="CC15" s="418"/>
      <c r="CD15" s="418"/>
      <c r="CE15" s="418"/>
      <c r="CF15" s="527"/>
    </row>
    <row r="16" spans="1:84" ht="12.95" customHeight="1" x14ac:dyDescent="0.25">
      <c r="A16" s="734">
        <v>1</v>
      </c>
      <c r="B16" s="277">
        <v>5415</v>
      </c>
      <c r="C16" s="348">
        <v>667000135</v>
      </c>
      <c r="D16" s="277">
        <v>71011170</v>
      </c>
      <c r="E16" s="405" t="s">
        <v>769</v>
      </c>
      <c r="F16" s="277"/>
      <c r="G16" s="349"/>
      <c r="H16" s="735"/>
      <c r="I16" s="472">
        <f t="shared" ref="I16:BU16" si="12">SUM(I12:I15)</f>
        <v>22086922</v>
      </c>
      <c r="J16" s="468">
        <f t="shared" si="12"/>
        <v>16336698</v>
      </c>
      <c r="K16" s="468">
        <f t="shared" si="12"/>
        <v>13787601</v>
      </c>
      <c r="L16" s="468">
        <f t="shared" si="12"/>
        <v>2549097</v>
      </c>
      <c r="M16" s="468">
        <f t="shared" si="12"/>
        <v>0</v>
      </c>
      <c r="N16" s="468">
        <f t="shared" si="12"/>
        <v>0</v>
      </c>
      <c r="O16" s="468">
        <f t="shared" si="12"/>
        <v>0</v>
      </c>
      <c r="P16" s="468">
        <f t="shared" si="12"/>
        <v>5521804</v>
      </c>
      <c r="Q16" s="468">
        <f t="shared" si="12"/>
        <v>163367</v>
      </c>
      <c r="R16" s="468">
        <f t="shared" si="12"/>
        <v>65053</v>
      </c>
      <c r="S16" s="469">
        <f t="shared" si="12"/>
        <v>32.298000000000002</v>
      </c>
      <c r="T16" s="469">
        <f t="shared" si="12"/>
        <v>23.988099999999999</v>
      </c>
      <c r="U16" s="281">
        <f t="shared" si="12"/>
        <v>8.309899999999999</v>
      </c>
      <c r="V16" s="474">
        <f t="shared" si="12"/>
        <v>-19200</v>
      </c>
      <c r="W16" s="468">
        <f t="shared" si="12"/>
        <v>-60800</v>
      </c>
      <c r="X16" s="468">
        <f t="shared" si="12"/>
        <v>630474</v>
      </c>
      <c r="Y16" s="468">
        <f t="shared" si="12"/>
        <v>0</v>
      </c>
      <c r="Z16" s="468">
        <f t="shared" si="12"/>
        <v>0</v>
      </c>
      <c r="AA16" s="468">
        <f t="shared" si="12"/>
        <v>0</v>
      </c>
      <c r="AB16" s="468">
        <f t="shared" si="12"/>
        <v>0</v>
      </c>
      <c r="AC16" s="468">
        <f t="shared" si="12"/>
        <v>0</v>
      </c>
      <c r="AD16" s="468">
        <f t="shared" si="12"/>
        <v>0</v>
      </c>
      <c r="AE16" s="468">
        <f t="shared" si="12"/>
        <v>0</v>
      </c>
      <c r="AF16" s="468">
        <f t="shared" si="12"/>
        <v>611274</v>
      </c>
      <c r="AG16" s="468">
        <f t="shared" si="12"/>
        <v>-60800</v>
      </c>
      <c r="AH16" s="468">
        <f t="shared" si="12"/>
        <v>550474</v>
      </c>
      <c r="AI16" s="468">
        <f t="shared" si="12"/>
        <v>19200</v>
      </c>
      <c r="AJ16" s="468">
        <f t="shared" si="12"/>
        <v>60800</v>
      </c>
      <c r="AK16" s="468">
        <f t="shared" ref="AK16" si="13">SUM(AK12:AK15)</f>
        <v>0</v>
      </c>
      <c r="AL16" s="468">
        <f t="shared" si="12"/>
        <v>0</v>
      </c>
      <c r="AM16" s="468">
        <f t="shared" si="12"/>
        <v>0</v>
      </c>
      <c r="AN16" s="468">
        <f t="shared" si="12"/>
        <v>0</v>
      </c>
      <c r="AO16" s="468">
        <f t="shared" si="12"/>
        <v>19200</v>
      </c>
      <c r="AP16" s="468">
        <f t="shared" si="12"/>
        <v>60800</v>
      </c>
      <c r="AQ16" s="468">
        <f t="shared" si="12"/>
        <v>80000</v>
      </c>
      <c r="AR16" s="468">
        <f t="shared" si="12"/>
        <v>630474</v>
      </c>
      <c r="AS16" s="468">
        <f t="shared" si="12"/>
        <v>0</v>
      </c>
      <c r="AT16" s="468">
        <f t="shared" si="12"/>
        <v>630474</v>
      </c>
      <c r="AU16" s="468">
        <f t="shared" si="12"/>
        <v>213100</v>
      </c>
      <c r="AV16" s="468">
        <f t="shared" si="12"/>
        <v>5505</v>
      </c>
      <c r="AW16" s="468">
        <f t="shared" si="12"/>
        <v>0</v>
      </c>
      <c r="AX16" s="468">
        <f t="shared" si="12"/>
        <v>0</v>
      </c>
      <c r="AY16" s="468">
        <f t="shared" si="12"/>
        <v>0</v>
      </c>
      <c r="AZ16" s="468">
        <f t="shared" si="12"/>
        <v>849079</v>
      </c>
      <c r="BA16" s="469">
        <f t="shared" si="12"/>
        <v>0</v>
      </c>
      <c r="BB16" s="469">
        <f t="shared" si="12"/>
        <v>-0.21</v>
      </c>
      <c r="BC16" s="469">
        <f t="shared" si="12"/>
        <v>1.65</v>
      </c>
      <c r="BD16" s="469">
        <f t="shared" si="12"/>
        <v>0</v>
      </c>
      <c r="BE16" s="469">
        <f t="shared" si="12"/>
        <v>0</v>
      </c>
      <c r="BF16" s="469">
        <f t="shared" si="12"/>
        <v>0</v>
      </c>
      <c r="BG16" s="469">
        <f t="shared" si="12"/>
        <v>0</v>
      </c>
      <c r="BH16" s="469">
        <f t="shared" si="12"/>
        <v>0</v>
      </c>
      <c r="BI16" s="469">
        <f t="shared" si="12"/>
        <v>0</v>
      </c>
      <c r="BJ16" s="469">
        <f t="shared" si="12"/>
        <v>0</v>
      </c>
      <c r="BK16" s="469">
        <f t="shared" si="12"/>
        <v>1.65</v>
      </c>
      <c r="BL16" s="469">
        <f t="shared" si="12"/>
        <v>-0.21</v>
      </c>
      <c r="BM16" s="562">
        <f t="shared" si="12"/>
        <v>1.44</v>
      </c>
      <c r="BN16" s="472">
        <f t="shared" si="12"/>
        <v>22936001</v>
      </c>
      <c r="BO16" s="468">
        <f t="shared" si="12"/>
        <v>16887172</v>
      </c>
      <c r="BP16" s="468">
        <f t="shared" si="12"/>
        <v>14398875</v>
      </c>
      <c r="BQ16" s="468">
        <f t="shared" si="12"/>
        <v>2488297</v>
      </c>
      <c r="BR16" s="468">
        <f t="shared" si="12"/>
        <v>80000</v>
      </c>
      <c r="BS16" s="468">
        <f t="shared" si="12"/>
        <v>19200</v>
      </c>
      <c r="BT16" s="468">
        <f t="shared" si="12"/>
        <v>60800</v>
      </c>
      <c r="BU16" s="468">
        <f t="shared" si="12"/>
        <v>5734904</v>
      </c>
      <c r="BV16" s="468">
        <f t="shared" ref="BV16:CF16" si="14">SUM(BV12:BV15)</f>
        <v>168872</v>
      </c>
      <c r="BW16" s="468">
        <f t="shared" si="14"/>
        <v>65053</v>
      </c>
      <c r="BX16" s="469">
        <f t="shared" si="14"/>
        <v>33.738</v>
      </c>
      <c r="BY16" s="469">
        <f t="shared" si="14"/>
        <v>25.638099999999998</v>
      </c>
      <c r="BZ16" s="562">
        <f t="shared" si="14"/>
        <v>8.0998999999999999</v>
      </c>
      <c r="CA16" s="873">
        <f t="shared" si="14"/>
        <v>0</v>
      </c>
      <c r="CB16" s="850">
        <f t="shared" si="14"/>
        <v>0</v>
      </c>
      <c r="CC16" s="850">
        <f t="shared" si="14"/>
        <v>0</v>
      </c>
      <c r="CD16" s="850">
        <f t="shared" si="14"/>
        <v>0</v>
      </c>
      <c r="CE16" s="850">
        <f t="shared" si="14"/>
        <v>0</v>
      </c>
      <c r="CF16" s="841">
        <f t="shared" si="14"/>
        <v>0</v>
      </c>
    </row>
    <row r="17" spans="1:84" ht="12.95" customHeight="1" x14ac:dyDescent="0.25">
      <c r="A17" s="282">
        <v>2</v>
      </c>
      <c r="B17" s="323">
        <v>5416</v>
      </c>
      <c r="C17" s="324">
        <v>600099342</v>
      </c>
      <c r="D17" s="323">
        <v>854719</v>
      </c>
      <c r="E17" s="350" t="s">
        <v>412</v>
      </c>
      <c r="F17" s="323">
        <v>3113</v>
      </c>
      <c r="G17" s="347" t="s">
        <v>309</v>
      </c>
      <c r="H17" s="733" t="s">
        <v>271</v>
      </c>
      <c r="I17" s="423">
        <f t="shared" ref="I17:I20" si="15">J17+P17+Q17+R17</f>
        <v>20830235</v>
      </c>
      <c r="J17" s="418">
        <f>K17+L17</f>
        <v>15254092</v>
      </c>
      <c r="K17" s="418">
        <v>13979384</v>
      </c>
      <c r="L17" s="418">
        <v>1274708</v>
      </c>
      <c r="M17" s="418">
        <f t="shared" ref="M17:M20" si="16">N17+O17</f>
        <v>0</v>
      </c>
      <c r="N17" s="418">
        <v>0</v>
      </c>
      <c r="O17" s="418">
        <v>0</v>
      </c>
      <c r="P17" s="68">
        <f t="shared" ref="P17:P20" si="17">ROUND((J17+M17)*33.8%,0)</f>
        <v>5155883</v>
      </c>
      <c r="Q17" s="68">
        <f t="shared" ref="Q17:Q20" si="18">ROUND(J17*1%,0)</f>
        <v>152541</v>
      </c>
      <c r="R17" s="418">
        <v>267719</v>
      </c>
      <c r="S17" s="419">
        <f>T17+U17</f>
        <v>24.004099999999998</v>
      </c>
      <c r="T17" s="420">
        <v>20.244499999999999</v>
      </c>
      <c r="U17" s="527">
        <v>3.7595999999999998</v>
      </c>
      <c r="V17" s="427">
        <f t="shared" ref="V17:W20" si="19">AI17*-1</f>
        <v>-38400</v>
      </c>
      <c r="W17" s="421">
        <f t="shared" si="19"/>
        <v>-38400</v>
      </c>
      <c r="X17" s="421">
        <v>0</v>
      </c>
      <c r="Y17" s="421">
        <v>0</v>
      </c>
      <c r="Z17" s="421">
        <v>0</v>
      </c>
      <c r="AA17" s="421">
        <v>29128</v>
      </c>
      <c r="AB17" s="421">
        <v>451200</v>
      </c>
      <c r="AC17" s="421">
        <v>0</v>
      </c>
      <c r="AD17" s="421">
        <v>0</v>
      </c>
      <c r="AE17" s="421">
        <v>0</v>
      </c>
      <c r="AF17" s="421">
        <f>V17+X17+Y17+AA17+AB17+AD17</f>
        <v>441928</v>
      </c>
      <c r="AG17" s="421">
        <f>W17+Z17+AC17+AE17</f>
        <v>-38400</v>
      </c>
      <c r="AH17" s="421">
        <f>SUM(AF17:AG17)</f>
        <v>403528</v>
      </c>
      <c r="AI17" s="421">
        <v>38400</v>
      </c>
      <c r="AJ17" s="421">
        <v>38400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ref="AO17:AO20" si="20">AI17+AK17+AL17+AM17</f>
        <v>38400</v>
      </c>
      <c r="AP17" s="421">
        <f>AJ17+AN17</f>
        <v>38400</v>
      </c>
      <c r="AQ17" s="421">
        <f>SUM(AO17:AP17)</f>
        <v>76800</v>
      </c>
      <c r="AR17" s="421">
        <f t="shared" ref="AR17:AS20" si="21">AF17+AO17</f>
        <v>480328</v>
      </c>
      <c r="AS17" s="421">
        <f t="shared" si="21"/>
        <v>0</v>
      </c>
      <c r="AT17" s="421">
        <f>SUM(AR17:AS17)</f>
        <v>480328</v>
      </c>
      <c r="AU17" s="68">
        <f t="shared" ref="AU17:AU20" si="22">ROUND((AH17+AI17+AJ17+AK17+AL17)*33.8%,0)</f>
        <v>162351</v>
      </c>
      <c r="AV17" s="68">
        <f>ROUND(AH17*1%,0)</f>
        <v>4035</v>
      </c>
      <c r="AW17" s="421">
        <v>0</v>
      </c>
      <c r="AX17" s="421">
        <v>0</v>
      </c>
      <c r="AY17" s="421">
        <f>AW17+AX17</f>
        <v>0</v>
      </c>
      <c r="AZ17" s="421">
        <f>AT17+AU17+AV17+AY17</f>
        <v>646714</v>
      </c>
      <c r="BA17" s="422">
        <v>0</v>
      </c>
      <c r="BB17" s="422">
        <v>-0.12</v>
      </c>
      <c r="BC17" s="422">
        <v>0</v>
      </c>
      <c r="BD17" s="422">
        <v>0.8</v>
      </c>
      <c r="BE17" s="422">
        <v>0</v>
      </c>
      <c r="BF17" s="422">
        <v>0</v>
      </c>
      <c r="BG17" s="422">
        <v>0</v>
      </c>
      <c r="BH17" s="422">
        <v>0.04</v>
      </c>
      <c r="BI17" s="422">
        <v>0</v>
      </c>
      <c r="BJ17" s="422">
        <v>0</v>
      </c>
      <c r="BK17" s="422">
        <f>BA17+BC17+BD17+BF17+BH17+BI17</f>
        <v>0.84000000000000008</v>
      </c>
      <c r="BL17" s="422">
        <f>BB17+BE17+BG17+BJ17</f>
        <v>-0.12</v>
      </c>
      <c r="BM17" s="611">
        <f>SUM(BK17:BL17)</f>
        <v>0.72000000000000008</v>
      </c>
      <c r="BN17" s="428">
        <f>I17+AZ17</f>
        <v>21476949</v>
      </c>
      <c r="BO17" s="421">
        <f>J17+AH17</f>
        <v>15657620</v>
      </c>
      <c r="BP17" s="421">
        <f t="shared" ref="BP17:BQ20" si="23">K17+AF17</f>
        <v>14421312</v>
      </c>
      <c r="BQ17" s="421">
        <f t="shared" si="23"/>
        <v>1236308</v>
      </c>
      <c r="BR17" s="421">
        <f>M17+AQ17</f>
        <v>76800</v>
      </c>
      <c r="BS17" s="421">
        <f t="shared" ref="BS17:BT20" si="24">N17+AO17</f>
        <v>38400</v>
      </c>
      <c r="BT17" s="421">
        <f t="shared" si="24"/>
        <v>38400</v>
      </c>
      <c r="BU17" s="421">
        <f t="shared" ref="BU17:BV20" si="25">P17+AU17</f>
        <v>5318234</v>
      </c>
      <c r="BV17" s="421">
        <f t="shared" si="25"/>
        <v>156576</v>
      </c>
      <c r="BW17" s="421">
        <f>R17+AY17</f>
        <v>267719</v>
      </c>
      <c r="BX17" s="422">
        <f>S17+BM17</f>
        <v>24.724099999999996</v>
      </c>
      <c r="BY17" s="422">
        <f t="shared" ref="BY17:BZ20" si="26">T17+BK17</f>
        <v>21.084499999999998</v>
      </c>
      <c r="BZ17" s="611">
        <f t="shared" si="26"/>
        <v>3.6395999999999997</v>
      </c>
      <c r="CA17" s="423">
        <v>608218</v>
      </c>
      <c r="CB17" s="418">
        <v>451200</v>
      </c>
      <c r="CC17" s="418">
        <v>0</v>
      </c>
      <c r="CD17" s="418">
        <v>152506</v>
      </c>
      <c r="CE17" s="418">
        <v>4512</v>
      </c>
      <c r="CF17" s="527">
        <v>0.8</v>
      </c>
    </row>
    <row r="18" spans="1:84" ht="12.95" customHeight="1" x14ac:dyDescent="0.25">
      <c r="A18" s="282">
        <v>2</v>
      </c>
      <c r="B18" s="323">
        <v>5416</v>
      </c>
      <c r="C18" s="324">
        <v>600099342</v>
      </c>
      <c r="D18" s="323">
        <v>854719</v>
      </c>
      <c r="E18" s="350" t="s">
        <v>412</v>
      </c>
      <c r="F18" s="323">
        <v>3113</v>
      </c>
      <c r="G18" s="286" t="s">
        <v>292</v>
      </c>
      <c r="H18" s="733" t="s">
        <v>272</v>
      </c>
      <c r="I18" s="423">
        <f t="shared" si="15"/>
        <v>0</v>
      </c>
      <c r="J18" s="418">
        <f>K18+L18</f>
        <v>0</v>
      </c>
      <c r="K18" s="418">
        <v>0</v>
      </c>
      <c r="L18" s="418">
        <v>0</v>
      </c>
      <c r="M18" s="418">
        <f>N18+O18</f>
        <v>0</v>
      </c>
      <c r="N18" s="418">
        <v>0</v>
      </c>
      <c r="O18" s="418">
        <v>0</v>
      </c>
      <c r="P18" s="68">
        <f t="shared" si="17"/>
        <v>0</v>
      </c>
      <c r="Q18" s="68">
        <f t="shared" si="18"/>
        <v>0</v>
      </c>
      <c r="R18" s="418">
        <v>0</v>
      </c>
      <c r="S18" s="419">
        <f>T18+U18</f>
        <v>0</v>
      </c>
      <c r="T18" s="420">
        <v>0</v>
      </c>
      <c r="U18" s="527">
        <v>0</v>
      </c>
      <c r="V18" s="427">
        <f t="shared" si="19"/>
        <v>0</v>
      </c>
      <c r="W18" s="421">
        <f t="shared" si="19"/>
        <v>0</v>
      </c>
      <c r="X18" s="421">
        <f>1440215+42920</f>
        <v>1483135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>V18+X18+Y18+AA18+AB18+AD18</f>
        <v>1483135</v>
      </c>
      <c r="AG18" s="421">
        <f>W18+Z18+AC18+AE18</f>
        <v>0</v>
      </c>
      <c r="AH18" s="421">
        <f>SUM(AF18:AG18)</f>
        <v>1483135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si="20"/>
        <v>0</v>
      </c>
      <c r="AP18" s="421">
        <f>AJ18+AN18</f>
        <v>0</v>
      </c>
      <c r="AQ18" s="421">
        <f>SUM(AO18:AP18)</f>
        <v>0</v>
      </c>
      <c r="AR18" s="421">
        <f t="shared" si="21"/>
        <v>1483135</v>
      </c>
      <c r="AS18" s="421">
        <f t="shared" si="21"/>
        <v>0</v>
      </c>
      <c r="AT18" s="421">
        <f>SUM(AR18:AS18)</f>
        <v>1483135</v>
      </c>
      <c r="AU18" s="68">
        <f t="shared" si="22"/>
        <v>501300</v>
      </c>
      <c r="AV18" s="68">
        <f>ROUND(AH18*1%,0)</f>
        <v>14831</v>
      </c>
      <c r="AW18" s="421">
        <v>0</v>
      </c>
      <c r="AX18" s="421">
        <v>0</v>
      </c>
      <c r="AY18" s="421">
        <f>AW18+AX18</f>
        <v>0</v>
      </c>
      <c r="AZ18" s="421">
        <f>AT18+AU18+AV18+AY18</f>
        <v>1999266</v>
      </c>
      <c r="BA18" s="422">
        <v>0</v>
      </c>
      <c r="BB18" s="422">
        <v>0</v>
      </c>
      <c r="BC18" s="422">
        <f>3.77+0.11</f>
        <v>3.88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3.88</v>
      </c>
      <c r="BL18" s="422">
        <f>BB18+BE18+BG18+BJ18</f>
        <v>0</v>
      </c>
      <c r="BM18" s="611">
        <f>SUM(BK18:BL18)</f>
        <v>3.88</v>
      </c>
      <c r="BN18" s="428">
        <f>I18+AZ18</f>
        <v>1999266</v>
      </c>
      <c r="BO18" s="421">
        <f>J18+AH18</f>
        <v>1483135</v>
      </c>
      <c r="BP18" s="421">
        <f t="shared" si="23"/>
        <v>1483135</v>
      </c>
      <c r="BQ18" s="421">
        <f t="shared" si="23"/>
        <v>0</v>
      </c>
      <c r="BR18" s="421">
        <f>M18+AQ18</f>
        <v>0</v>
      </c>
      <c r="BS18" s="421">
        <f t="shared" si="24"/>
        <v>0</v>
      </c>
      <c r="BT18" s="421">
        <f t="shared" si="24"/>
        <v>0</v>
      </c>
      <c r="BU18" s="421">
        <f t="shared" si="25"/>
        <v>501300</v>
      </c>
      <c r="BV18" s="421">
        <f t="shared" si="25"/>
        <v>14831</v>
      </c>
      <c r="BW18" s="421">
        <f>R18+AY18</f>
        <v>0</v>
      </c>
      <c r="BX18" s="422">
        <f>S18+BM18</f>
        <v>3.88</v>
      </c>
      <c r="BY18" s="422">
        <f t="shared" si="26"/>
        <v>3.88</v>
      </c>
      <c r="BZ18" s="611">
        <f t="shared" si="26"/>
        <v>0</v>
      </c>
      <c r="CA18" s="423"/>
      <c r="CB18" s="418"/>
      <c r="CC18" s="418"/>
      <c r="CD18" s="418"/>
      <c r="CE18" s="418"/>
      <c r="CF18" s="527"/>
    </row>
    <row r="19" spans="1:84" ht="12.95" customHeight="1" x14ac:dyDescent="0.25">
      <c r="A19" s="282">
        <v>2</v>
      </c>
      <c r="B19" s="323">
        <v>5416</v>
      </c>
      <c r="C19" s="324">
        <v>600099342</v>
      </c>
      <c r="D19" s="323">
        <v>854719</v>
      </c>
      <c r="E19" s="350" t="s">
        <v>412</v>
      </c>
      <c r="F19" s="323">
        <v>3143</v>
      </c>
      <c r="G19" s="286" t="s">
        <v>596</v>
      </c>
      <c r="H19" s="733" t="s">
        <v>271</v>
      </c>
      <c r="I19" s="423">
        <f t="shared" si="15"/>
        <v>2062656</v>
      </c>
      <c r="J19" s="418">
        <f>K19+L19</f>
        <v>1530160</v>
      </c>
      <c r="K19" s="418">
        <v>1530160</v>
      </c>
      <c r="L19" s="418">
        <v>0</v>
      </c>
      <c r="M19" s="418">
        <f t="shared" si="16"/>
        <v>0</v>
      </c>
      <c r="N19" s="418">
        <v>0</v>
      </c>
      <c r="O19" s="418">
        <v>0</v>
      </c>
      <c r="P19" s="68">
        <f t="shared" si="17"/>
        <v>517194</v>
      </c>
      <c r="Q19" s="68">
        <f t="shared" si="18"/>
        <v>15302</v>
      </c>
      <c r="R19" s="418">
        <v>0</v>
      </c>
      <c r="S19" s="419">
        <f>T19+U19</f>
        <v>2.8571</v>
      </c>
      <c r="T19" s="420">
        <v>2.8571</v>
      </c>
      <c r="U19" s="527">
        <v>0</v>
      </c>
      <c r="V19" s="427">
        <f t="shared" si="19"/>
        <v>0</v>
      </c>
      <c r="W19" s="421">
        <f t="shared" si="19"/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>V19+X19+Y19+AA19+AB19+AD19</f>
        <v>0</v>
      </c>
      <c r="AG19" s="421">
        <f>W19+Z19+AC19+AE19</f>
        <v>0</v>
      </c>
      <c r="AH19" s="421">
        <f>SUM(AF19:AG19)</f>
        <v>0</v>
      </c>
      <c r="AI19" s="421">
        <v>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20"/>
        <v>0</v>
      </c>
      <c r="AP19" s="421">
        <f>AJ19+AN19</f>
        <v>0</v>
      </c>
      <c r="AQ19" s="421">
        <f>SUM(AO19:AP19)</f>
        <v>0</v>
      </c>
      <c r="AR19" s="421">
        <f t="shared" si="21"/>
        <v>0</v>
      </c>
      <c r="AS19" s="421">
        <f t="shared" si="21"/>
        <v>0</v>
      </c>
      <c r="AT19" s="421">
        <f>SUM(AR19:AS19)</f>
        <v>0</v>
      </c>
      <c r="AU19" s="68">
        <f t="shared" si="22"/>
        <v>0</v>
      </c>
      <c r="AV19" s="68">
        <f>ROUND(AH19*1%,0)</f>
        <v>0</v>
      </c>
      <c r="AW19" s="421">
        <v>0</v>
      </c>
      <c r="AX19" s="421">
        <v>0</v>
      </c>
      <c r="AY19" s="421">
        <f>AW19+AX19</f>
        <v>0</v>
      </c>
      <c r="AZ19" s="421">
        <f>AT19+AU19+AV19+AY19</f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0</v>
      </c>
      <c r="BL19" s="422">
        <f>BB19+BE19+BG19+BJ19</f>
        <v>0</v>
      </c>
      <c r="BM19" s="611">
        <f>SUM(BK19:BL19)</f>
        <v>0</v>
      </c>
      <c r="BN19" s="428">
        <f>I19+AZ19</f>
        <v>2062656</v>
      </c>
      <c r="BO19" s="421">
        <f>J19+AH19</f>
        <v>1530160</v>
      </c>
      <c r="BP19" s="421">
        <f t="shared" si="23"/>
        <v>1530160</v>
      </c>
      <c r="BQ19" s="421">
        <f t="shared" si="23"/>
        <v>0</v>
      </c>
      <c r="BR19" s="421">
        <f>M19+AQ19</f>
        <v>0</v>
      </c>
      <c r="BS19" s="421">
        <f t="shared" si="24"/>
        <v>0</v>
      </c>
      <c r="BT19" s="421">
        <f t="shared" si="24"/>
        <v>0</v>
      </c>
      <c r="BU19" s="421">
        <f t="shared" si="25"/>
        <v>517194</v>
      </c>
      <c r="BV19" s="421">
        <f t="shared" si="25"/>
        <v>15302</v>
      </c>
      <c r="BW19" s="421">
        <f>R19+AY19</f>
        <v>0</v>
      </c>
      <c r="BX19" s="422">
        <f>S19+BM19</f>
        <v>2.8571</v>
      </c>
      <c r="BY19" s="422">
        <f t="shared" si="26"/>
        <v>2.8571</v>
      </c>
      <c r="BZ19" s="611">
        <f t="shared" si="26"/>
        <v>0</v>
      </c>
      <c r="CA19" s="423"/>
      <c r="CB19" s="418"/>
      <c r="CC19" s="418"/>
      <c r="CD19" s="418"/>
      <c r="CE19" s="418"/>
      <c r="CF19" s="527"/>
    </row>
    <row r="20" spans="1:84" ht="12.95" customHeight="1" x14ac:dyDescent="0.25">
      <c r="A20" s="282">
        <v>2</v>
      </c>
      <c r="B20" s="323">
        <v>5416</v>
      </c>
      <c r="C20" s="324">
        <v>600099342</v>
      </c>
      <c r="D20" s="323">
        <v>854719</v>
      </c>
      <c r="E20" s="350" t="s">
        <v>412</v>
      </c>
      <c r="F20" s="323">
        <v>3143</v>
      </c>
      <c r="G20" s="286" t="s">
        <v>597</v>
      </c>
      <c r="H20" s="733" t="s">
        <v>272</v>
      </c>
      <c r="I20" s="423">
        <f t="shared" si="15"/>
        <v>42011</v>
      </c>
      <c r="J20" s="418">
        <f>K20+L20</f>
        <v>30070</v>
      </c>
      <c r="K20" s="418">
        <v>0</v>
      </c>
      <c r="L20" s="418">
        <v>30070</v>
      </c>
      <c r="M20" s="418">
        <f t="shared" si="16"/>
        <v>0</v>
      </c>
      <c r="N20" s="418">
        <v>0</v>
      </c>
      <c r="O20" s="418">
        <v>0</v>
      </c>
      <c r="P20" s="68">
        <f t="shared" si="17"/>
        <v>10164</v>
      </c>
      <c r="Q20" s="68">
        <f t="shared" si="18"/>
        <v>301</v>
      </c>
      <c r="R20" s="418">
        <v>1476</v>
      </c>
      <c r="S20" s="419">
        <f>T20+U20</f>
        <v>0.1139</v>
      </c>
      <c r="T20" s="420">
        <v>0</v>
      </c>
      <c r="U20" s="527">
        <v>0.1139</v>
      </c>
      <c r="V20" s="427">
        <f t="shared" si="19"/>
        <v>0</v>
      </c>
      <c r="W20" s="421">
        <f t="shared" si="19"/>
        <v>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0</v>
      </c>
      <c r="AG20" s="421">
        <f>W20+Z20+AC20+AE20</f>
        <v>0</v>
      </c>
      <c r="AH20" s="421">
        <f>SUM(AF20:AG20)</f>
        <v>0</v>
      </c>
      <c r="AI20" s="421">
        <v>0</v>
      </c>
      <c r="AJ20" s="421">
        <v>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si="20"/>
        <v>0</v>
      </c>
      <c r="AP20" s="421">
        <f>AJ20+AN20</f>
        <v>0</v>
      </c>
      <c r="AQ20" s="421">
        <f>SUM(AO20:AP20)</f>
        <v>0</v>
      </c>
      <c r="AR20" s="421">
        <f t="shared" si="21"/>
        <v>0</v>
      </c>
      <c r="AS20" s="421">
        <f t="shared" si="21"/>
        <v>0</v>
      </c>
      <c r="AT20" s="421">
        <f>SUM(AR20:AS20)</f>
        <v>0</v>
      </c>
      <c r="AU20" s="68">
        <f t="shared" si="22"/>
        <v>0</v>
      </c>
      <c r="AV20" s="68">
        <f>ROUND(AH20*1%,0)</f>
        <v>0</v>
      </c>
      <c r="AW20" s="421">
        <v>0</v>
      </c>
      <c r="AX20" s="421">
        <v>0</v>
      </c>
      <c r="AY20" s="421">
        <f>AW20+AX20</f>
        <v>0</v>
      </c>
      <c r="AZ20" s="421">
        <f>AT20+AU20+AV20+AY20</f>
        <v>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0</v>
      </c>
      <c r="BL20" s="422">
        <f>BB20+BE20+BG20+BJ20</f>
        <v>0</v>
      </c>
      <c r="BM20" s="611">
        <f>SUM(BK20:BL20)</f>
        <v>0</v>
      </c>
      <c r="BN20" s="428">
        <f>I20+AZ20</f>
        <v>42011</v>
      </c>
      <c r="BO20" s="421">
        <f>J20+AH20</f>
        <v>30070</v>
      </c>
      <c r="BP20" s="421">
        <f t="shared" si="23"/>
        <v>0</v>
      </c>
      <c r="BQ20" s="421">
        <f t="shared" si="23"/>
        <v>30070</v>
      </c>
      <c r="BR20" s="421">
        <f>M20+AQ20</f>
        <v>0</v>
      </c>
      <c r="BS20" s="421">
        <f t="shared" si="24"/>
        <v>0</v>
      </c>
      <c r="BT20" s="421">
        <f t="shared" si="24"/>
        <v>0</v>
      </c>
      <c r="BU20" s="421">
        <f t="shared" si="25"/>
        <v>10164</v>
      </c>
      <c r="BV20" s="421">
        <f t="shared" si="25"/>
        <v>301</v>
      </c>
      <c r="BW20" s="421">
        <f>R20+AY20</f>
        <v>1476</v>
      </c>
      <c r="BX20" s="422">
        <f>S20+BM20</f>
        <v>0.1139</v>
      </c>
      <c r="BY20" s="422">
        <f t="shared" si="26"/>
        <v>0</v>
      </c>
      <c r="BZ20" s="611">
        <f t="shared" si="26"/>
        <v>0.1139</v>
      </c>
      <c r="CA20" s="423"/>
      <c r="CB20" s="418"/>
      <c r="CC20" s="418"/>
      <c r="CD20" s="418"/>
      <c r="CE20" s="418"/>
      <c r="CF20" s="527"/>
    </row>
    <row r="21" spans="1:84" ht="12.95" customHeight="1" x14ac:dyDescent="0.25">
      <c r="A21" s="734">
        <v>2</v>
      </c>
      <c r="B21" s="327">
        <v>5416</v>
      </c>
      <c r="C21" s="328">
        <v>600099342</v>
      </c>
      <c r="D21" s="327">
        <v>854719</v>
      </c>
      <c r="E21" s="351" t="s">
        <v>413</v>
      </c>
      <c r="F21" s="327"/>
      <c r="G21" s="352"/>
      <c r="H21" s="736"/>
      <c r="I21" s="472">
        <f t="shared" ref="I21:BU21" si="27">SUM(I17:I20)</f>
        <v>22934902</v>
      </c>
      <c r="J21" s="468">
        <f t="shared" si="27"/>
        <v>16814322</v>
      </c>
      <c r="K21" s="468">
        <f t="shared" si="27"/>
        <v>15509544</v>
      </c>
      <c r="L21" s="468">
        <f t="shared" si="27"/>
        <v>1304778</v>
      </c>
      <c r="M21" s="468">
        <f t="shared" si="27"/>
        <v>0</v>
      </c>
      <c r="N21" s="468">
        <f t="shared" si="27"/>
        <v>0</v>
      </c>
      <c r="O21" s="468">
        <f t="shared" si="27"/>
        <v>0</v>
      </c>
      <c r="P21" s="468">
        <f t="shared" si="27"/>
        <v>5683241</v>
      </c>
      <c r="Q21" s="468">
        <f t="shared" si="27"/>
        <v>168144</v>
      </c>
      <c r="R21" s="468">
        <f t="shared" si="27"/>
        <v>269195</v>
      </c>
      <c r="S21" s="469">
        <f t="shared" si="27"/>
        <v>26.975099999999998</v>
      </c>
      <c r="T21" s="469">
        <f t="shared" si="27"/>
        <v>23.101599999999998</v>
      </c>
      <c r="U21" s="281">
        <f t="shared" si="27"/>
        <v>3.8734999999999999</v>
      </c>
      <c r="V21" s="474">
        <f t="shared" si="27"/>
        <v>-38400</v>
      </c>
      <c r="W21" s="468">
        <f t="shared" si="27"/>
        <v>-38400</v>
      </c>
      <c r="X21" s="468">
        <f t="shared" si="27"/>
        <v>1483135</v>
      </c>
      <c r="Y21" s="468">
        <f t="shared" si="27"/>
        <v>0</v>
      </c>
      <c r="Z21" s="468">
        <f t="shared" si="27"/>
        <v>0</v>
      </c>
      <c r="AA21" s="468">
        <f t="shared" si="27"/>
        <v>29128</v>
      </c>
      <c r="AB21" s="468">
        <f t="shared" si="27"/>
        <v>451200</v>
      </c>
      <c r="AC21" s="468">
        <f t="shared" si="27"/>
        <v>0</v>
      </c>
      <c r="AD21" s="468">
        <f t="shared" si="27"/>
        <v>0</v>
      </c>
      <c r="AE21" s="468">
        <f t="shared" si="27"/>
        <v>0</v>
      </c>
      <c r="AF21" s="468">
        <f t="shared" si="27"/>
        <v>1925063</v>
      </c>
      <c r="AG21" s="468">
        <f t="shared" si="27"/>
        <v>-38400</v>
      </c>
      <c r="AH21" s="468">
        <f t="shared" si="27"/>
        <v>1886663</v>
      </c>
      <c r="AI21" s="468">
        <f t="shared" si="27"/>
        <v>38400</v>
      </c>
      <c r="AJ21" s="468">
        <f t="shared" si="27"/>
        <v>38400</v>
      </c>
      <c r="AK21" s="468">
        <f t="shared" ref="AK21" si="28">SUM(AK17:AK20)</f>
        <v>0</v>
      </c>
      <c r="AL21" s="468">
        <f t="shared" si="27"/>
        <v>0</v>
      </c>
      <c r="AM21" s="468">
        <f t="shared" si="27"/>
        <v>0</v>
      </c>
      <c r="AN21" s="468">
        <f t="shared" si="27"/>
        <v>0</v>
      </c>
      <c r="AO21" s="468">
        <f t="shared" si="27"/>
        <v>38400</v>
      </c>
      <c r="AP21" s="468">
        <f t="shared" si="27"/>
        <v>38400</v>
      </c>
      <c r="AQ21" s="468">
        <f t="shared" si="27"/>
        <v>76800</v>
      </c>
      <c r="AR21" s="468">
        <f t="shared" si="27"/>
        <v>1963463</v>
      </c>
      <c r="AS21" s="468">
        <f t="shared" si="27"/>
        <v>0</v>
      </c>
      <c r="AT21" s="468">
        <f t="shared" si="27"/>
        <v>1963463</v>
      </c>
      <c r="AU21" s="468">
        <f t="shared" si="27"/>
        <v>663651</v>
      </c>
      <c r="AV21" s="468">
        <f t="shared" si="27"/>
        <v>18866</v>
      </c>
      <c r="AW21" s="468">
        <f t="shared" si="27"/>
        <v>0</v>
      </c>
      <c r="AX21" s="468">
        <f t="shared" si="27"/>
        <v>0</v>
      </c>
      <c r="AY21" s="468">
        <f t="shared" si="27"/>
        <v>0</v>
      </c>
      <c r="AZ21" s="468">
        <f t="shared" si="27"/>
        <v>2645980</v>
      </c>
      <c r="BA21" s="469">
        <f t="shared" si="27"/>
        <v>0</v>
      </c>
      <c r="BB21" s="469">
        <f t="shared" si="27"/>
        <v>-0.12</v>
      </c>
      <c r="BC21" s="469">
        <f t="shared" si="27"/>
        <v>3.88</v>
      </c>
      <c r="BD21" s="469">
        <f t="shared" si="27"/>
        <v>0.8</v>
      </c>
      <c r="BE21" s="469">
        <f t="shared" si="27"/>
        <v>0</v>
      </c>
      <c r="BF21" s="469">
        <f t="shared" si="27"/>
        <v>0</v>
      </c>
      <c r="BG21" s="469">
        <f t="shared" si="27"/>
        <v>0</v>
      </c>
      <c r="BH21" s="469">
        <f t="shared" si="27"/>
        <v>0.04</v>
      </c>
      <c r="BI21" s="469">
        <f t="shared" si="27"/>
        <v>0</v>
      </c>
      <c r="BJ21" s="469">
        <f t="shared" si="27"/>
        <v>0</v>
      </c>
      <c r="BK21" s="469">
        <f t="shared" si="27"/>
        <v>4.72</v>
      </c>
      <c r="BL21" s="469">
        <f t="shared" si="27"/>
        <v>-0.12</v>
      </c>
      <c r="BM21" s="562">
        <f t="shared" si="27"/>
        <v>4.5999999999999996</v>
      </c>
      <c r="BN21" s="472">
        <f t="shared" si="27"/>
        <v>25580882</v>
      </c>
      <c r="BO21" s="468">
        <f t="shared" si="27"/>
        <v>18700985</v>
      </c>
      <c r="BP21" s="468">
        <f t="shared" si="27"/>
        <v>17434607</v>
      </c>
      <c r="BQ21" s="468">
        <f t="shared" si="27"/>
        <v>1266378</v>
      </c>
      <c r="BR21" s="468">
        <f t="shared" si="27"/>
        <v>76800</v>
      </c>
      <c r="BS21" s="468">
        <f t="shared" si="27"/>
        <v>38400</v>
      </c>
      <c r="BT21" s="468">
        <f t="shared" si="27"/>
        <v>38400</v>
      </c>
      <c r="BU21" s="468">
        <f t="shared" si="27"/>
        <v>6346892</v>
      </c>
      <c r="BV21" s="468">
        <f t="shared" ref="BV21:CF21" si="29">SUM(BV17:BV20)</f>
        <v>187010</v>
      </c>
      <c r="BW21" s="468">
        <f t="shared" si="29"/>
        <v>269195</v>
      </c>
      <c r="BX21" s="469">
        <f t="shared" si="29"/>
        <v>31.575099999999996</v>
      </c>
      <c r="BY21" s="469">
        <f t="shared" si="29"/>
        <v>27.821599999999997</v>
      </c>
      <c r="BZ21" s="562">
        <f t="shared" si="29"/>
        <v>3.7534999999999998</v>
      </c>
      <c r="CA21" s="873">
        <f t="shared" si="29"/>
        <v>608218</v>
      </c>
      <c r="CB21" s="850">
        <f t="shared" si="29"/>
        <v>451200</v>
      </c>
      <c r="CC21" s="850">
        <f t="shared" si="29"/>
        <v>0</v>
      </c>
      <c r="CD21" s="850">
        <f t="shared" si="29"/>
        <v>152506</v>
      </c>
      <c r="CE21" s="850">
        <f t="shared" si="29"/>
        <v>4512</v>
      </c>
      <c r="CF21" s="841">
        <f t="shared" si="29"/>
        <v>0.8</v>
      </c>
    </row>
    <row r="22" spans="1:84" ht="12.95" customHeight="1" x14ac:dyDescent="0.25">
      <c r="A22" s="282">
        <v>3</v>
      </c>
      <c r="B22" s="323">
        <v>5413</v>
      </c>
      <c r="C22" s="324">
        <v>600099334</v>
      </c>
      <c r="D22" s="323">
        <v>854697</v>
      </c>
      <c r="E22" s="350" t="s">
        <v>414</v>
      </c>
      <c r="F22" s="323">
        <v>3113</v>
      </c>
      <c r="G22" s="347" t="s">
        <v>309</v>
      </c>
      <c r="H22" s="733" t="s">
        <v>271</v>
      </c>
      <c r="I22" s="423">
        <f t="shared" ref="I22:I26" si="30">J22+P22+Q22+R22</f>
        <v>26654355</v>
      </c>
      <c r="J22" s="418">
        <f>K22+L22</f>
        <v>19515075</v>
      </c>
      <c r="K22" s="418">
        <v>18063228</v>
      </c>
      <c r="L22" s="418">
        <v>1451847</v>
      </c>
      <c r="M22" s="418">
        <f t="shared" ref="M22:M26" si="31">N22+O22</f>
        <v>0</v>
      </c>
      <c r="N22" s="418">
        <v>0</v>
      </c>
      <c r="O22" s="418">
        <v>0</v>
      </c>
      <c r="P22" s="68">
        <f t="shared" ref="P22:P26" si="32">ROUND((J22+M22)*33.8%,0)</f>
        <v>6596095</v>
      </c>
      <c r="Q22" s="68">
        <f t="shared" ref="Q22:Q26" si="33">ROUND(J22*1%,0)</f>
        <v>195151</v>
      </c>
      <c r="R22" s="418">
        <v>348034</v>
      </c>
      <c r="S22" s="419">
        <f>T22+U22</f>
        <v>29.904</v>
      </c>
      <c r="T22" s="420">
        <v>25.591200000000001</v>
      </c>
      <c r="U22" s="527">
        <v>4.3128000000000002</v>
      </c>
      <c r="V22" s="427">
        <f t="shared" ref="V22:W26" si="34">AI22*-1</f>
        <v>-44800</v>
      </c>
      <c r="W22" s="421">
        <f t="shared" si="34"/>
        <v>-25600</v>
      </c>
      <c r="X22" s="421">
        <v>0</v>
      </c>
      <c r="Y22" s="421">
        <v>0</v>
      </c>
      <c r="Z22" s="421">
        <v>0</v>
      </c>
      <c r="AA22" s="421">
        <v>0</v>
      </c>
      <c r="AB22" s="421">
        <v>451200</v>
      </c>
      <c r="AC22" s="421">
        <v>0</v>
      </c>
      <c r="AD22" s="421">
        <v>0</v>
      </c>
      <c r="AE22" s="421">
        <v>0</v>
      </c>
      <c r="AF22" s="421">
        <f>V22+X22+Y22+AA22+AB22+AD22</f>
        <v>406400</v>
      </c>
      <c r="AG22" s="421">
        <f>W22+Z22+AC22+AE22</f>
        <v>-25600</v>
      </c>
      <c r="AH22" s="421">
        <f>SUM(AF22:AG22)</f>
        <v>380800</v>
      </c>
      <c r="AI22" s="421">
        <f>6400+38400</f>
        <v>44800</v>
      </c>
      <c r="AJ22" s="421">
        <f>6400+19200</f>
        <v>25600</v>
      </c>
      <c r="AK22" s="421">
        <v>0</v>
      </c>
      <c r="AL22" s="421">
        <v>105920</v>
      </c>
      <c r="AM22" s="421">
        <v>0</v>
      </c>
      <c r="AN22" s="421">
        <v>0</v>
      </c>
      <c r="AO22" s="421">
        <f t="shared" ref="AO22:AO26" si="35">AI22+AK22+AL22+AM22</f>
        <v>150720</v>
      </c>
      <c r="AP22" s="421">
        <f>AJ22+AN22</f>
        <v>25600</v>
      </c>
      <c r="AQ22" s="421">
        <f>SUM(AO22:AP22)</f>
        <v>176320</v>
      </c>
      <c r="AR22" s="421">
        <f t="shared" ref="AR22:AS26" si="36">AF22+AO22</f>
        <v>557120</v>
      </c>
      <c r="AS22" s="421">
        <f t="shared" si="36"/>
        <v>0</v>
      </c>
      <c r="AT22" s="421">
        <f>SUM(AR22:AS22)</f>
        <v>557120</v>
      </c>
      <c r="AU22" s="68">
        <f t="shared" ref="AU22:AU26" si="37">ROUND((AH22+AI22+AJ22+AK22+AL22)*33.8%,0)</f>
        <v>188307</v>
      </c>
      <c r="AV22" s="68">
        <f>ROUND(AH22*1%,0)</f>
        <v>3808</v>
      </c>
      <c r="AW22" s="421">
        <v>0</v>
      </c>
      <c r="AX22" s="421">
        <v>0</v>
      </c>
      <c r="AY22" s="421">
        <f>AW22+AX22</f>
        <v>0</v>
      </c>
      <c r="AZ22" s="421">
        <f>AT22+AU22+AV22+AY22</f>
        <v>749235</v>
      </c>
      <c r="BA22" s="422">
        <v>-0.05</v>
      </c>
      <c r="BB22" s="422">
        <v>-0.06</v>
      </c>
      <c r="BC22" s="422">
        <v>0</v>
      </c>
      <c r="BD22" s="422">
        <v>0.8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0.75</v>
      </c>
      <c r="BL22" s="422">
        <f>BB22+BE22+BG22+BJ22</f>
        <v>-0.06</v>
      </c>
      <c r="BM22" s="611">
        <f>SUM(BK22:BL22)</f>
        <v>0.69</v>
      </c>
      <c r="BN22" s="428">
        <f>I22+AZ22</f>
        <v>27403590</v>
      </c>
      <c r="BO22" s="421">
        <f>J22+AH22</f>
        <v>19895875</v>
      </c>
      <c r="BP22" s="421">
        <f t="shared" ref="BP22:BQ26" si="38">K22+AF22</f>
        <v>18469628</v>
      </c>
      <c r="BQ22" s="421">
        <f t="shared" si="38"/>
        <v>1426247</v>
      </c>
      <c r="BR22" s="421">
        <f>M22+AQ22</f>
        <v>176320</v>
      </c>
      <c r="BS22" s="421">
        <f t="shared" ref="BS22:BT26" si="39">N22+AO22</f>
        <v>150720</v>
      </c>
      <c r="BT22" s="421">
        <f t="shared" si="39"/>
        <v>25600</v>
      </c>
      <c r="BU22" s="421">
        <f t="shared" ref="BU22:BV26" si="40">P22+AU22</f>
        <v>6784402</v>
      </c>
      <c r="BV22" s="421">
        <f t="shared" si="40"/>
        <v>198959</v>
      </c>
      <c r="BW22" s="421">
        <f>R22+AY22</f>
        <v>348034</v>
      </c>
      <c r="BX22" s="422">
        <f>S22+BM22</f>
        <v>30.594000000000001</v>
      </c>
      <c r="BY22" s="422">
        <f t="shared" ref="BY22:BZ26" si="41">T22+BK22</f>
        <v>26.341200000000001</v>
      </c>
      <c r="BZ22" s="611">
        <f t="shared" si="41"/>
        <v>4.2528000000000006</v>
      </c>
      <c r="CA22" s="423">
        <v>608218</v>
      </c>
      <c r="CB22" s="418">
        <v>451200</v>
      </c>
      <c r="CC22" s="418">
        <v>0</v>
      </c>
      <c r="CD22" s="418">
        <v>152506</v>
      </c>
      <c r="CE22" s="418">
        <v>4512</v>
      </c>
      <c r="CF22" s="527">
        <v>0.8</v>
      </c>
    </row>
    <row r="23" spans="1:84" ht="12.95" customHeight="1" x14ac:dyDescent="0.25">
      <c r="A23" s="282">
        <v>3</v>
      </c>
      <c r="B23" s="323">
        <v>5413</v>
      </c>
      <c r="C23" s="324">
        <v>600099334</v>
      </c>
      <c r="D23" s="323">
        <v>854697</v>
      </c>
      <c r="E23" s="350" t="s">
        <v>414</v>
      </c>
      <c r="F23" s="323">
        <v>3113</v>
      </c>
      <c r="G23" s="286" t="s">
        <v>292</v>
      </c>
      <c r="H23" s="733" t="s">
        <v>272</v>
      </c>
      <c r="I23" s="423">
        <f t="shared" si="30"/>
        <v>0</v>
      </c>
      <c r="J23" s="418">
        <f>K23+L23</f>
        <v>0</v>
      </c>
      <c r="K23" s="418">
        <v>0</v>
      </c>
      <c r="L23" s="418">
        <v>0</v>
      </c>
      <c r="M23" s="418">
        <f>N23+O23</f>
        <v>0</v>
      </c>
      <c r="N23" s="418">
        <v>0</v>
      </c>
      <c r="O23" s="418">
        <v>0</v>
      </c>
      <c r="P23" s="68">
        <f t="shared" si="32"/>
        <v>0</v>
      </c>
      <c r="Q23" s="68">
        <f t="shared" si="33"/>
        <v>0</v>
      </c>
      <c r="R23" s="418">
        <v>0</v>
      </c>
      <c r="S23" s="419">
        <f>T23+U23</f>
        <v>0</v>
      </c>
      <c r="T23" s="420">
        <v>0</v>
      </c>
      <c r="U23" s="527">
        <v>0</v>
      </c>
      <c r="V23" s="427">
        <f t="shared" si="34"/>
        <v>0</v>
      </c>
      <c r="W23" s="421">
        <f t="shared" si="34"/>
        <v>0</v>
      </c>
      <c r="X23" s="421">
        <f>1947261+169951</f>
        <v>2117212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>V23+X23+Y23+AA23+AB23+AD23</f>
        <v>2117212</v>
      </c>
      <c r="AG23" s="421">
        <f>W23+Z23+AC23+AE23</f>
        <v>0</v>
      </c>
      <c r="AH23" s="421">
        <f>SUM(AF23:AG23)</f>
        <v>2117212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35"/>
        <v>0</v>
      </c>
      <c r="AP23" s="421">
        <f>AJ23+AN23</f>
        <v>0</v>
      </c>
      <c r="AQ23" s="421">
        <f>SUM(AO23:AP23)</f>
        <v>0</v>
      </c>
      <c r="AR23" s="421">
        <f t="shared" si="36"/>
        <v>2117212</v>
      </c>
      <c r="AS23" s="421">
        <f t="shared" si="36"/>
        <v>0</v>
      </c>
      <c r="AT23" s="421">
        <f>SUM(AR23:AS23)</f>
        <v>2117212</v>
      </c>
      <c r="AU23" s="68">
        <f t="shared" si="37"/>
        <v>715618</v>
      </c>
      <c r="AV23" s="68">
        <f>ROUND(AH23*1%,0)</f>
        <v>21172</v>
      </c>
      <c r="AW23" s="421">
        <v>2000</v>
      </c>
      <c r="AX23" s="421">
        <v>0</v>
      </c>
      <c r="AY23" s="421">
        <f>AW23+AX23</f>
        <v>2000</v>
      </c>
      <c r="AZ23" s="421">
        <f>AT23+AU23+AV23+AY23</f>
        <v>2856002</v>
      </c>
      <c r="BA23" s="422">
        <v>0</v>
      </c>
      <c r="BB23" s="422">
        <v>0</v>
      </c>
      <c r="BC23" s="422">
        <f>5+0.46</f>
        <v>5.46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5.46</v>
      </c>
      <c r="BL23" s="422">
        <f>BB23+BE23+BG23+BJ23</f>
        <v>0</v>
      </c>
      <c r="BM23" s="611">
        <f>SUM(BK23:BL23)</f>
        <v>5.46</v>
      </c>
      <c r="BN23" s="428">
        <f>I23+AZ23</f>
        <v>2856002</v>
      </c>
      <c r="BO23" s="421">
        <f>J23+AH23</f>
        <v>2117212</v>
      </c>
      <c r="BP23" s="421">
        <f t="shared" si="38"/>
        <v>2117212</v>
      </c>
      <c r="BQ23" s="421">
        <f t="shared" si="38"/>
        <v>0</v>
      </c>
      <c r="BR23" s="421">
        <f>M23+AQ23</f>
        <v>0</v>
      </c>
      <c r="BS23" s="421">
        <f t="shared" si="39"/>
        <v>0</v>
      </c>
      <c r="BT23" s="421">
        <f t="shared" si="39"/>
        <v>0</v>
      </c>
      <c r="BU23" s="421">
        <f t="shared" si="40"/>
        <v>715618</v>
      </c>
      <c r="BV23" s="421">
        <f t="shared" si="40"/>
        <v>21172</v>
      </c>
      <c r="BW23" s="421">
        <f>R23+AY23</f>
        <v>2000</v>
      </c>
      <c r="BX23" s="422">
        <f>S23+BM23</f>
        <v>5.46</v>
      </c>
      <c r="BY23" s="422">
        <f t="shared" si="41"/>
        <v>5.46</v>
      </c>
      <c r="BZ23" s="611">
        <f t="shared" si="41"/>
        <v>0</v>
      </c>
      <c r="CA23" s="423"/>
      <c r="CB23" s="418"/>
      <c r="CC23" s="418"/>
      <c r="CD23" s="418"/>
      <c r="CE23" s="418"/>
      <c r="CF23" s="527"/>
    </row>
    <row r="24" spans="1:84" ht="12.95" customHeight="1" x14ac:dyDescent="0.25">
      <c r="A24" s="282">
        <v>3</v>
      </c>
      <c r="B24" s="323">
        <v>5413</v>
      </c>
      <c r="C24" s="324">
        <v>600099334</v>
      </c>
      <c r="D24" s="323">
        <v>854697</v>
      </c>
      <c r="E24" s="350" t="s">
        <v>414</v>
      </c>
      <c r="F24" s="323">
        <v>3143</v>
      </c>
      <c r="G24" s="286" t="s">
        <v>596</v>
      </c>
      <c r="H24" s="733" t="s">
        <v>271</v>
      </c>
      <c r="I24" s="423">
        <f t="shared" si="30"/>
        <v>2045566</v>
      </c>
      <c r="J24" s="418">
        <f>K24+L24</f>
        <v>1517482</v>
      </c>
      <c r="K24" s="418">
        <v>1517482</v>
      </c>
      <c r="L24" s="418">
        <v>0</v>
      </c>
      <c r="M24" s="418">
        <f t="shared" si="31"/>
        <v>0</v>
      </c>
      <c r="N24" s="418">
        <v>0</v>
      </c>
      <c r="O24" s="418">
        <v>0</v>
      </c>
      <c r="P24" s="68">
        <f t="shared" si="32"/>
        <v>512909</v>
      </c>
      <c r="Q24" s="68">
        <f t="shared" si="33"/>
        <v>15175</v>
      </c>
      <c r="R24" s="418">
        <v>0</v>
      </c>
      <c r="S24" s="419">
        <f>T24+U24</f>
        <v>2.8</v>
      </c>
      <c r="T24" s="420">
        <v>2.8</v>
      </c>
      <c r="U24" s="527">
        <v>0</v>
      </c>
      <c r="V24" s="427">
        <f t="shared" si="34"/>
        <v>0</v>
      </c>
      <c r="W24" s="421">
        <f t="shared" si="34"/>
        <v>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>V24+X24+Y24+AA24+AB24+AD24</f>
        <v>0</v>
      </c>
      <c r="AG24" s="421">
        <f>W24+Z24+AC24+AE24</f>
        <v>0</v>
      </c>
      <c r="AH24" s="421">
        <f>SUM(AF24:AG24)</f>
        <v>0</v>
      </c>
      <c r="AI24" s="421">
        <v>0</v>
      </c>
      <c r="AJ24" s="421">
        <v>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si="35"/>
        <v>0</v>
      </c>
      <c r="AP24" s="421">
        <f>AJ24+AN24</f>
        <v>0</v>
      </c>
      <c r="AQ24" s="421">
        <f>SUM(AO24:AP24)</f>
        <v>0</v>
      </c>
      <c r="AR24" s="421">
        <f t="shared" si="36"/>
        <v>0</v>
      </c>
      <c r="AS24" s="421">
        <f t="shared" si="36"/>
        <v>0</v>
      </c>
      <c r="AT24" s="421">
        <f>SUM(AR24:AS24)</f>
        <v>0</v>
      </c>
      <c r="AU24" s="68">
        <f t="shared" si="37"/>
        <v>0</v>
      </c>
      <c r="AV24" s="68">
        <f>ROUND(AH24*1%,0)</f>
        <v>0</v>
      </c>
      <c r="AW24" s="421">
        <v>0</v>
      </c>
      <c r="AX24" s="421">
        <v>0</v>
      </c>
      <c r="AY24" s="421">
        <f>AW24+AX24</f>
        <v>0</v>
      </c>
      <c r="AZ24" s="421">
        <f>AT24+AU24+AV24+AY24</f>
        <v>0</v>
      </c>
      <c r="BA24" s="422">
        <v>0</v>
      </c>
      <c r="BB24" s="422">
        <v>0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0</v>
      </c>
      <c r="BL24" s="422">
        <f>BB24+BE24+BG24+BJ24</f>
        <v>0</v>
      </c>
      <c r="BM24" s="611">
        <f>SUM(BK24:BL24)</f>
        <v>0</v>
      </c>
      <c r="BN24" s="428">
        <f>I24+AZ24</f>
        <v>2045566</v>
      </c>
      <c r="BO24" s="421">
        <f>J24+AH24</f>
        <v>1517482</v>
      </c>
      <c r="BP24" s="421">
        <f t="shared" si="38"/>
        <v>1517482</v>
      </c>
      <c r="BQ24" s="421">
        <f t="shared" si="38"/>
        <v>0</v>
      </c>
      <c r="BR24" s="421">
        <f>M24+AQ24</f>
        <v>0</v>
      </c>
      <c r="BS24" s="421">
        <f t="shared" si="39"/>
        <v>0</v>
      </c>
      <c r="BT24" s="421">
        <f t="shared" si="39"/>
        <v>0</v>
      </c>
      <c r="BU24" s="421">
        <f t="shared" si="40"/>
        <v>512909</v>
      </c>
      <c r="BV24" s="421">
        <f t="shared" si="40"/>
        <v>15175</v>
      </c>
      <c r="BW24" s="421">
        <f>R24+AY24</f>
        <v>0</v>
      </c>
      <c r="BX24" s="422">
        <f>S24+BM24</f>
        <v>2.8</v>
      </c>
      <c r="BY24" s="422">
        <f t="shared" si="41"/>
        <v>2.8</v>
      </c>
      <c r="BZ24" s="611">
        <f t="shared" si="41"/>
        <v>0</v>
      </c>
      <c r="CA24" s="423"/>
      <c r="CB24" s="418"/>
      <c r="CC24" s="418"/>
      <c r="CD24" s="418"/>
      <c r="CE24" s="418"/>
      <c r="CF24" s="527"/>
    </row>
    <row r="25" spans="1:84" ht="12.95" customHeight="1" x14ac:dyDescent="0.25">
      <c r="A25" s="282">
        <v>3</v>
      </c>
      <c r="B25" s="323">
        <v>5413</v>
      </c>
      <c r="C25" s="324">
        <v>600099334</v>
      </c>
      <c r="D25" s="323">
        <v>854697</v>
      </c>
      <c r="E25" s="350" t="s">
        <v>414</v>
      </c>
      <c r="F25" s="323">
        <v>3143</v>
      </c>
      <c r="G25" s="286" t="s">
        <v>597</v>
      </c>
      <c r="H25" s="733" t="s">
        <v>272</v>
      </c>
      <c r="I25" s="423">
        <f t="shared" si="30"/>
        <v>46104</v>
      </c>
      <c r="J25" s="418">
        <f>K25+L25</f>
        <v>33000</v>
      </c>
      <c r="K25" s="418">
        <v>0</v>
      </c>
      <c r="L25" s="418">
        <v>33000</v>
      </c>
      <c r="M25" s="418">
        <f t="shared" si="31"/>
        <v>0</v>
      </c>
      <c r="N25" s="418">
        <v>0</v>
      </c>
      <c r="O25" s="418">
        <v>0</v>
      </c>
      <c r="P25" s="68">
        <f t="shared" si="32"/>
        <v>11154</v>
      </c>
      <c r="Q25" s="68">
        <f t="shared" si="33"/>
        <v>330</v>
      </c>
      <c r="R25" s="418">
        <v>1620</v>
      </c>
      <c r="S25" s="419">
        <f>T25+U25</f>
        <v>0.125</v>
      </c>
      <c r="T25" s="420">
        <v>0</v>
      </c>
      <c r="U25" s="527">
        <v>0.125</v>
      </c>
      <c r="V25" s="427">
        <f t="shared" si="34"/>
        <v>0</v>
      </c>
      <c r="W25" s="421">
        <f t="shared" si="34"/>
        <v>0</v>
      </c>
      <c r="X25" s="421">
        <v>0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>V25+X25+Y25+AA25+AB25+AD25</f>
        <v>0</v>
      </c>
      <c r="AG25" s="421">
        <f>W25+Z25+AC25+AE25</f>
        <v>0</v>
      </c>
      <c r="AH25" s="421">
        <f>SUM(AF25:AG25)</f>
        <v>0</v>
      </c>
      <c r="AI25" s="421">
        <v>0</v>
      </c>
      <c r="AJ25" s="421">
        <v>0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si="35"/>
        <v>0</v>
      </c>
      <c r="AP25" s="421">
        <f>AJ25+AN25</f>
        <v>0</v>
      </c>
      <c r="AQ25" s="421">
        <f>SUM(AO25:AP25)</f>
        <v>0</v>
      </c>
      <c r="AR25" s="421">
        <f t="shared" si="36"/>
        <v>0</v>
      </c>
      <c r="AS25" s="421">
        <f t="shared" si="36"/>
        <v>0</v>
      </c>
      <c r="AT25" s="421">
        <f>SUM(AR25:AS25)</f>
        <v>0</v>
      </c>
      <c r="AU25" s="68">
        <f t="shared" si="37"/>
        <v>0</v>
      </c>
      <c r="AV25" s="68">
        <f>ROUND(AH25*1%,0)</f>
        <v>0</v>
      </c>
      <c r="AW25" s="421">
        <v>0</v>
      </c>
      <c r="AX25" s="421">
        <v>0</v>
      </c>
      <c r="AY25" s="421">
        <f>AW25+AX25</f>
        <v>0</v>
      </c>
      <c r="AZ25" s="421">
        <f>AT25+AU25+AV25+AY25</f>
        <v>0</v>
      </c>
      <c r="BA25" s="422">
        <v>0</v>
      </c>
      <c r="BB25" s="422">
        <v>0</v>
      </c>
      <c r="BC25" s="422">
        <v>0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0</v>
      </c>
      <c r="BL25" s="422">
        <f>BB25+BE25+BG25+BJ25</f>
        <v>0</v>
      </c>
      <c r="BM25" s="611">
        <f>SUM(BK25:BL25)</f>
        <v>0</v>
      </c>
      <c r="BN25" s="428">
        <f>I25+AZ25</f>
        <v>46104</v>
      </c>
      <c r="BO25" s="421">
        <f>J25+AH25</f>
        <v>33000</v>
      </c>
      <c r="BP25" s="421">
        <f t="shared" si="38"/>
        <v>0</v>
      </c>
      <c r="BQ25" s="421">
        <f t="shared" si="38"/>
        <v>33000</v>
      </c>
      <c r="BR25" s="421">
        <f>M25+AQ25</f>
        <v>0</v>
      </c>
      <c r="BS25" s="421">
        <f t="shared" si="39"/>
        <v>0</v>
      </c>
      <c r="BT25" s="421">
        <f t="shared" si="39"/>
        <v>0</v>
      </c>
      <c r="BU25" s="421">
        <f t="shared" si="40"/>
        <v>11154</v>
      </c>
      <c r="BV25" s="421">
        <f t="shared" si="40"/>
        <v>330</v>
      </c>
      <c r="BW25" s="421">
        <f>R25+AY25</f>
        <v>1620</v>
      </c>
      <c r="BX25" s="422">
        <f>S25+BM25</f>
        <v>0.125</v>
      </c>
      <c r="BY25" s="422">
        <f t="shared" si="41"/>
        <v>0</v>
      </c>
      <c r="BZ25" s="611">
        <f t="shared" si="41"/>
        <v>0.125</v>
      </c>
      <c r="CA25" s="423"/>
      <c r="CB25" s="418"/>
      <c r="CC25" s="418"/>
      <c r="CD25" s="418"/>
      <c r="CE25" s="418"/>
      <c r="CF25" s="527"/>
    </row>
    <row r="26" spans="1:84" ht="12.95" customHeight="1" x14ac:dyDescent="0.25">
      <c r="A26" s="282">
        <v>3</v>
      </c>
      <c r="B26" s="323">
        <v>5413</v>
      </c>
      <c r="C26" s="324">
        <v>600099334</v>
      </c>
      <c r="D26" s="323">
        <v>854697</v>
      </c>
      <c r="E26" s="350" t="s">
        <v>414</v>
      </c>
      <c r="F26" s="323">
        <v>3143</v>
      </c>
      <c r="G26" s="347" t="s">
        <v>415</v>
      </c>
      <c r="H26" s="733" t="s">
        <v>272</v>
      </c>
      <c r="I26" s="423">
        <f t="shared" si="30"/>
        <v>378438</v>
      </c>
      <c r="J26" s="418">
        <f>K26+L26</f>
        <v>279850</v>
      </c>
      <c r="K26" s="418">
        <v>243180</v>
      </c>
      <c r="L26" s="715">
        <v>36670</v>
      </c>
      <c r="M26" s="418">
        <f t="shared" si="31"/>
        <v>0</v>
      </c>
      <c r="N26" s="418">
        <v>0</v>
      </c>
      <c r="O26" s="418">
        <v>0</v>
      </c>
      <c r="P26" s="716">
        <f t="shared" si="32"/>
        <v>94589</v>
      </c>
      <c r="Q26" s="716">
        <f t="shared" si="33"/>
        <v>2799</v>
      </c>
      <c r="R26" s="715">
        <v>1200</v>
      </c>
      <c r="S26" s="717">
        <f>T26+U26</f>
        <v>0.62</v>
      </c>
      <c r="T26" s="718">
        <v>0.48</v>
      </c>
      <c r="U26" s="719">
        <v>0.14000000000000001</v>
      </c>
      <c r="V26" s="427">
        <f t="shared" si="34"/>
        <v>0</v>
      </c>
      <c r="W26" s="421">
        <f t="shared" si="34"/>
        <v>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0</v>
      </c>
      <c r="AG26" s="421">
        <f>W26+Z26+AC26+AE26</f>
        <v>0</v>
      </c>
      <c r="AH26" s="421">
        <f>SUM(AF26:AG26)</f>
        <v>0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35"/>
        <v>0</v>
      </c>
      <c r="AP26" s="421">
        <f>AJ26+AN26</f>
        <v>0</v>
      </c>
      <c r="AQ26" s="421">
        <f>SUM(AO26:AP26)</f>
        <v>0</v>
      </c>
      <c r="AR26" s="421">
        <f t="shared" si="36"/>
        <v>0</v>
      </c>
      <c r="AS26" s="421">
        <f t="shared" si="36"/>
        <v>0</v>
      </c>
      <c r="AT26" s="421">
        <f>SUM(AR26:AS26)</f>
        <v>0</v>
      </c>
      <c r="AU26" s="68">
        <f t="shared" si="37"/>
        <v>0</v>
      </c>
      <c r="AV26" s="68">
        <f>ROUND(AH26*1%,0)</f>
        <v>0</v>
      </c>
      <c r="AW26" s="421">
        <v>0</v>
      </c>
      <c r="AX26" s="421">
        <v>0</v>
      </c>
      <c r="AY26" s="421">
        <f>AW26+AX26</f>
        <v>0</v>
      </c>
      <c r="AZ26" s="421">
        <f>AT26+AU26+AV26+AY26</f>
        <v>0</v>
      </c>
      <c r="BA26" s="422">
        <v>0</v>
      </c>
      <c r="BB26" s="422">
        <v>0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0</v>
      </c>
      <c r="BL26" s="422">
        <f>BB26+BE26+BG26+BJ26</f>
        <v>0</v>
      </c>
      <c r="BM26" s="611">
        <f>SUM(BK26:BL26)</f>
        <v>0</v>
      </c>
      <c r="BN26" s="428">
        <f>I26+AZ26</f>
        <v>378438</v>
      </c>
      <c r="BO26" s="421">
        <f>J26+AH26</f>
        <v>279850</v>
      </c>
      <c r="BP26" s="421">
        <f t="shared" si="38"/>
        <v>243180</v>
      </c>
      <c r="BQ26" s="421">
        <f t="shared" si="38"/>
        <v>36670</v>
      </c>
      <c r="BR26" s="421">
        <f>M26+AQ26</f>
        <v>0</v>
      </c>
      <c r="BS26" s="421">
        <f t="shared" si="39"/>
        <v>0</v>
      </c>
      <c r="BT26" s="421">
        <f t="shared" si="39"/>
        <v>0</v>
      </c>
      <c r="BU26" s="421">
        <f t="shared" si="40"/>
        <v>94589</v>
      </c>
      <c r="BV26" s="421">
        <f t="shared" si="40"/>
        <v>2799</v>
      </c>
      <c r="BW26" s="421">
        <f>R26+AY26</f>
        <v>1200</v>
      </c>
      <c r="BX26" s="422">
        <f>S26+BM26</f>
        <v>0.62</v>
      </c>
      <c r="BY26" s="422">
        <f t="shared" si="41"/>
        <v>0.48</v>
      </c>
      <c r="BZ26" s="611">
        <f t="shared" si="41"/>
        <v>0.14000000000000001</v>
      </c>
      <c r="CA26" s="423"/>
      <c r="CB26" s="418"/>
      <c r="CC26" s="418"/>
      <c r="CD26" s="418"/>
      <c r="CE26" s="418"/>
      <c r="CF26" s="527"/>
    </row>
    <row r="27" spans="1:84" ht="12.95" customHeight="1" x14ac:dyDescent="0.25">
      <c r="A27" s="734">
        <v>3</v>
      </c>
      <c r="B27" s="327">
        <v>5413</v>
      </c>
      <c r="C27" s="328">
        <v>600099334</v>
      </c>
      <c r="D27" s="327">
        <v>854697</v>
      </c>
      <c r="E27" s="351" t="s">
        <v>416</v>
      </c>
      <c r="F27" s="327"/>
      <c r="G27" s="352"/>
      <c r="H27" s="736"/>
      <c r="I27" s="472">
        <f t="shared" ref="I27:BU27" si="42">SUM(I22:I26)</f>
        <v>29124463</v>
      </c>
      <c r="J27" s="468">
        <f t="shared" si="42"/>
        <v>21345407</v>
      </c>
      <c r="K27" s="468">
        <f t="shared" si="42"/>
        <v>19823890</v>
      </c>
      <c r="L27" s="468">
        <f t="shared" si="42"/>
        <v>1521517</v>
      </c>
      <c r="M27" s="468">
        <f t="shared" si="42"/>
        <v>0</v>
      </c>
      <c r="N27" s="468">
        <f t="shared" si="42"/>
        <v>0</v>
      </c>
      <c r="O27" s="468">
        <f t="shared" si="42"/>
        <v>0</v>
      </c>
      <c r="P27" s="468">
        <f t="shared" si="42"/>
        <v>7214747</v>
      </c>
      <c r="Q27" s="468">
        <f t="shared" si="42"/>
        <v>213455</v>
      </c>
      <c r="R27" s="468">
        <f t="shared" si="42"/>
        <v>350854</v>
      </c>
      <c r="S27" s="469">
        <f t="shared" si="42"/>
        <v>33.448999999999998</v>
      </c>
      <c r="T27" s="469">
        <f t="shared" si="42"/>
        <v>28.871200000000002</v>
      </c>
      <c r="U27" s="281">
        <f t="shared" si="42"/>
        <v>4.5777999999999999</v>
      </c>
      <c r="V27" s="474">
        <f t="shared" si="42"/>
        <v>-44800</v>
      </c>
      <c r="W27" s="468">
        <f t="shared" si="42"/>
        <v>-25600</v>
      </c>
      <c r="X27" s="468">
        <f t="shared" si="42"/>
        <v>2117212</v>
      </c>
      <c r="Y27" s="468">
        <f t="shared" si="42"/>
        <v>0</v>
      </c>
      <c r="Z27" s="468">
        <f t="shared" si="42"/>
        <v>0</v>
      </c>
      <c r="AA27" s="468">
        <f t="shared" si="42"/>
        <v>0</v>
      </c>
      <c r="AB27" s="468">
        <f t="shared" si="42"/>
        <v>451200</v>
      </c>
      <c r="AC27" s="468">
        <f t="shared" si="42"/>
        <v>0</v>
      </c>
      <c r="AD27" s="468">
        <f t="shared" si="42"/>
        <v>0</v>
      </c>
      <c r="AE27" s="468">
        <f t="shared" si="42"/>
        <v>0</v>
      </c>
      <c r="AF27" s="468">
        <f t="shared" si="42"/>
        <v>2523612</v>
      </c>
      <c r="AG27" s="468">
        <f t="shared" si="42"/>
        <v>-25600</v>
      </c>
      <c r="AH27" s="468">
        <f t="shared" si="42"/>
        <v>2498012</v>
      </c>
      <c r="AI27" s="468">
        <f t="shared" si="42"/>
        <v>44800</v>
      </c>
      <c r="AJ27" s="468">
        <f t="shared" si="42"/>
        <v>25600</v>
      </c>
      <c r="AK27" s="468">
        <f t="shared" ref="AK27" si="43">SUM(AK22:AK26)</f>
        <v>0</v>
      </c>
      <c r="AL27" s="468">
        <f t="shared" si="42"/>
        <v>105920</v>
      </c>
      <c r="AM27" s="468">
        <f t="shared" si="42"/>
        <v>0</v>
      </c>
      <c r="AN27" s="468">
        <f t="shared" si="42"/>
        <v>0</v>
      </c>
      <c r="AO27" s="468">
        <f t="shared" si="42"/>
        <v>150720</v>
      </c>
      <c r="AP27" s="468">
        <f t="shared" si="42"/>
        <v>25600</v>
      </c>
      <c r="AQ27" s="468">
        <f t="shared" si="42"/>
        <v>176320</v>
      </c>
      <c r="AR27" s="468">
        <f t="shared" si="42"/>
        <v>2674332</v>
      </c>
      <c r="AS27" s="468">
        <f t="shared" si="42"/>
        <v>0</v>
      </c>
      <c r="AT27" s="468">
        <f t="shared" si="42"/>
        <v>2674332</v>
      </c>
      <c r="AU27" s="468">
        <f t="shared" si="42"/>
        <v>903925</v>
      </c>
      <c r="AV27" s="468">
        <f t="shared" si="42"/>
        <v>24980</v>
      </c>
      <c r="AW27" s="468">
        <f t="shared" si="42"/>
        <v>2000</v>
      </c>
      <c r="AX27" s="468">
        <f t="shared" si="42"/>
        <v>0</v>
      </c>
      <c r="AY27" s="468">
        <f t="shared" si="42"/>
        <v>2000</v>
      </c>
      <c r="AZ27" s="468">
        <f t="shared" si="42"/>
        <v>3605237</v>
      </c>
      <c r="BA27" s="469">
        <f t="shared" si="42"/>
        <v>-0.05</v>
      </c>
      <c r="BB27" s="469">
        <f t="shared" si="42"/>
        <v>-0.06</v>
      </c>
      <c r="BC27" s="469">
        <f t="shared" si="42"/>
        <v>5.46</v>
      </c>
      <c r="BD27" s="469">
        <f t="shared" si="42"/>
        <v>0.8</v>
      </c>
      <c r="BE27" s="469">
        <f t="shared" si="42"/>
        <v>0</v>
      </c>
      <c r="BF27" s="469">
        <f t="shared" si="42"/>
        <v>0</v>
      </c>
      <c r="BG27" s="469">
        <f t="shared" si="42"/>
        <v>0</v>
      </c>
      <c r="BH27" s="469">
        <f t="shared" si="42"/>
        <v>0</v>
      </c>
      <c r="BI27" s="469">
        <f t="shared" si="42"/>
        <v>0</v>
      </c>
      <c r="BJ27" s="469">
        <f t="shared" si="42"/>
        <v>0</v>
      </c>
      <c r="BK27" s="469">
        <f t="shared" si="42"/>
        <v>6.21</v>
      </c>
      <c r="BL27" s="469">
        <f t="shared" si="42"/>
        <v>-0.06</v>
      </c>
      <c r="BM27" s="562">
        <f t="shared" si="42"/>
        <v>6.15</v>
      </c>
      <c r="BN27" s="472">
        <f t="shared" si="42"/>
        <v>32729700</v>
      </c>
      <c r="BO27" s="468">
        <f t="shared" si="42"/>
        <v>23843419</v>
      </c>
      <c r="BP27" s="468">
        <f t="shared" si="42"/>
        <v>22347502</v>
      </c>
      <c r="BQ27" s="468">
        <f t="shared" si="42"/>
        <v>1495917</v>
      </c>
      <c r="BR27" s="468">
        <f t="shared" si="42"/>
        <v>176320</v>
      </c>
      <c r="BS27" s="468">
        <f t="shared" si="42"/>
        <v>150720</v>
      </c>
      <c r="BT27" s="468">
        <f t="shared" si="42"/>
        <v>25600</v>
      </c>
      <c r="BU27" s="468">
        <f t="shared" si="42"/>
        <v>8118672</v>
      </c>
      <c r="BV27" s="468">
        <f t="shared" ref="BV27:CF27" si="44">SUM(BV22:BV26)</f>
        <v>238435</v>
      </c>
      <c r="BW27" s="468">
        <f t="shared" si="44"/>
        <v>352854</v>
      </c>
      <c r="BX27" s="469">
        <f t="shared" si="44"/>
        <v>39.598999999999997</v>
      </c>
      <c r="BY27" s="469">
        <f t="shared" si="44"/>
        <v>35.081199999999995</v>
      </c>
      <c r="BZ27" s="562">
        <f t="shared" si="44"/>
        <v>4.5178000000000003</v>
      </c>
      <c r="CA27" s="873">
        <f t="shared" si="44"/>
        <v>608218</v>
      </c>
      <c r="CB27" s="850">
        <f t="shared" si="44"/>
        <v>451200</v>
      </c>
      <c r="CC27" s="850">
        <f t="shared" si="44"/>
        <v>0</v>
      </c>
      <c r="CD27" s="850">
        <f t="shared" si="44"/>
        <v>152506</v>
      </c>
      <c r="CE27" s="850">
        <f t="shared" si="44"/>
        <v>4512</v>
      </c>
      <c r="CF27" s="841">
        <f t="shared" si="44"/>
        <v>0.8</v>
      </c>
    </row>
    <row r="28" spans="1:84" ht="12.95" customHeight="1" x14ac:dyDescent="0.25">
      <c r="A28" s="282">
        <v>4</v>
      </c>
      <c r="B28" s="323">
        <v>5475</v>
      </c>
      <c r="C28" s="324">
        <v>600099385</v>
      </c>
      <c r="D28" s="323">
        <v>854735</v>
      </c>
      <c r="E28" s="350" t="s">
        <v>417</v>
      </c>
      <c r="F28" s="323">
        <v>3231</v>
      </c>
      <c r="G28" s="347" t="s">
        <v>398</v>
      </c>
      <c r="H28" s="733" t="s">
        <v>271</v>
      </c>
      <c r="I28" s="423">
        <f>J28+P28+Q28+R28</f>
        <v>15127237</v>
      </c>
      <c r="J28" s="418">
        <f>K28+L28</f>
        <v>11206472</v>
      </c>
      <c r="K28" s="418">
        <v>10790430</v>
      </c>
      <c r="L28" s="418">
        <v>416042</v>
      </c>
      <c r="M28" s="418">
        <f>N28+O28</f>
        <v>0</v>
      </c>
      <c r="N28" s="418">
        <v>0</v>
      </c>
      <c r="O28" s="418">
        <v>0</v>
      </c>
      <c r="P28" s="68">
        <f>ROUND((J28+M28)*33.8%,0)</f>
        <v>3787788</v>
      </c>
      <c r="Q28" s="68">
        <f>ROUND(J28*1%,0)</f>
        <v>112065</v>
      </c>
      <c r="R28" s="418">
        <v>20912</v>
      </c>
      <c r="S28" s="419">
        <f>T28+U28</f>
        <v>18.212900000000001</v>
      </c>
      <c r="T28" s="420">
        <v>17.045500000000001</v>
      </c>
      <c r="U28" s="527">
        <v>1.1674</v>
      </c>
      <c r="V28" s="427">
        <f>AI28*-1</f>
        <v>-5376</v>
      </c>
      <c r="W28" s="421">
        <f>AJ28*-1</f>
        <v>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>V28+X28+Y28+AA28+AB28+AD28</f>
        <v>-5376</v>
      </c>
      <c r="AG28" s="421">
        <f>W28+Z28+AC28+AE28</f>
        <v>0</v>
      </c>
      <c r="AH28" s="421">
        <f>SUM(AF28:AG28)</f>
        <v>-5376</v>
      </c>
      <c r="AI28" s="421">
        <v>5376</v>
      </c>
      <c r="AJ28" s="421">
        <v>0</v>
      </c>
      <c r="AK28" s="421">
        <v>0</v>
      </c>
      <c r="AL28" s="421">
        <v>0</v>
      </c>
      <c r="AM28" s="421">
        <v>0</v>
      </c>
      <c r="AN28" s="421">
        <v>0</v>
      </c>
      <c r="AO28" s="421">
        <f>AI28+AK28+AL28+AM28</f>
        <v>5376</v>
      </c>
      <c r="AP28" s="421">
        <f>AJ28+AN28</f>
        <v>0</v>
      </c>
      <c r="AQ28" s="421">
        <f>SUM(AO28:AP28)</f>
        <v>5376</v>
      </c>
      <c r="AR28" s="421">
        <f>AF28+AO28</f>
        <v>0</v>
      </c>
      <c r="AS28" s="421">
        <f>AG28+AP28</f>
        <v>0</v>
      </c>
      <c r="AT28" s="421">
        <f>SUM(AR28:AS28)</f>
        <v>0</v>
      </c>
      <c r="AU28" s="68">
        <f>ROUND((AH28+AI28+AJ28+AK28+AL28)*33.8%,0)</f>
        <v>0</v>
      </c>
      <c r="AV28" s="68">
        <f>ROUND(AH28*1%,0)</f>
        <v>-54</v>
      </c>
      <c r="AW28" s="421">
        <v>0</v>
      </c>
      <c r="AX28" s="421">
        <v>0</v>
      </c>
      <c r="AY28" s="421">
        <f>AW28+AX28</f>
        <v>0</v>
      </c>
      <c r="AZ28" s="421">
        <f>AT28+AU28+AV28+AY28</f>
        <v>-54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>BA28+BC28+BD28+BF28+BH28+BI28</f>
        <v>0</v>
      </c>
      <c r="BL28" s="422">
        <f>BB28+BE28+BG28+BJ28</f>
        <v>0</v>
      </c>
      <c r="BM28" s="611">
        <f>SUM(BK28:BL28)</f>
        <v>0</v>
      </c>
      <c r="BN28" s="428">
        <f>I28+AZ28</f>
        <v>15127183</v>
      </c>
      <c r="BO28" s="421">
        <f>J28+AH28</f>
        <v>11201096</v>
      </c>
      <c r="BP28" s="421">
        <f>K28+AF28</f>
        <v>10785054</v>
      </c>
      <c r="BQ28" s="421">
        <f>L28+AG28</f>
        <v>416042</v>
      </c>
      <c r="BR28" s="421">
        <f>M28+AQ28</f>
        <v>5376</v>
      </c>
      <c r="BS28" s="421">
        <f>N28+AO28</f>
        <v>5376</v>
      </c>
      <c r="BT28" s="421">
        <f>O28+AP28</f>
        <v>0</v>
      </c>
      <c r="BU28" s="421">
        <f>P28+AU28</f>
        <v>3787788</v>
      </c>
      <c r="BV28" s="421">
        <f>Q28+AV28</f>
        <v>112011</v>
      </c>
      <c r="BW28" s="421">
        <f>R28+AY28</f>
        <v>20912</v>
      </c>
      <c r="BX28" s="422">
        <f>S28+BM28</f>
        <v>18.212900000000001</v>
      </c>
      <c r="BY28" s="422">
        <f>T28+BK28</f>
        <v>17.045500000000001</v>
      </c>
      <c r="BZ28" s="611">
        <f>U28+BL28</f>
        <v>1.1674</v>
      </c>
      <c r="CA28" s="423"/>
      <c r="CB28" s="418"/>
      <c r="CC28" s="418"/>
      <c r="CD28" s="418"/>
      <c r="CE28" s="418"/>
      <c r="CF28" s="527"/>
    </row>
    <row r="29" spans="1:84" ht="12.95" customHeight="1" x14ac:dyDescent="0.25">
      <c r="A29" s="734">
        <v>4</v>
      </c>
      <c r="B29" s="327">
        <v>5475</v>
      </c>
      <c r="C29" s="328">
        <v>600099385</v>
      </c>
      <c r="D29" s="327">
        <v>854735</v>
      </c>
      <c r="E29" s="351" t="s">
        <v>418</v>
      </c>
      <c r="F29" s="327"/>
      <c r="G29" s="352"/>
      <c r="H29" s="736"/>
      <c r="I29" s="472">
        <f t="shared" ref="I29:BU29" si="45">SUM(I28)</f>
        <v>15127237</v>
      </c>
      <c r="J29" s="468">
        <f t="shared" si="45"/>
        <v>11206472</v>
      </c>
      <c r="K29" s="468">
        <f t="shared" si="45"/>
        <v>10790430</v>
      </c>
      <c r="L29" s="468">
        <f t="shared" si="45"/>
        <v>416042</v>
      </c>
      <c r="M29" s="468">
        <f t="shared" si="45"/>
        <v>0</v>
      </c>
      <c r="N29" s="468">
        <f t="shared" si="45"/>
        <v>0</v>
      </c>
      <c r="O29" s="468">
        <f t="shared" si="45"/>
        <v>0</v>
      </c>
      <c r="P29" s="468">
        <f t="shared" si="45"/>
        <v>3787788</v>
      </c>
      <c r="Q29" s="468">
        <f t="shared" si="45"/>
        <v>112065</v>
      </c>
      <c r="R29" s="468">
        <f t="shared" si="45"/>
        <v>20912</v>
      </c>
      <c r="S29" s="469">
        <f t="shared" si="45"/>
        <v>18.212900000000001</v>
      </c>
      <c r="T29" s="469">
        <f t="shared" si="45"/>
        <v>17.045500000000001</v>
      </c>
      <c r="U29" s="281">
        <f t="shared" si="45"/>
        <v>1.1674</v>
      </c>
      <c r="V29" s="474">
        <f t="shared" si="45"/>
        <v>-5376</v>
      </c>
      <c r="W29" s="468">
        <f t="shared" si="45"/>
        <v>0</v>
      </c>
      <c r="X29" s="468">
        <f t="shared" si="45"/>
        <v>0</v>
      </c>
      <c r="Y29" s="468">
        <f t="shared" si="45"/>
        <v>0</v>
      </c>
      <c r="Z29" s="468">
        <f t="shared" si="45"/>
        <v>0</v>
      </c>
      <c r="AA29" s="468">
        <f t="shared" si="45"/>
        <v>0</v>
      </c>
      <c r="AB29" s="468">
        <f t="shared" si="45"/>
        <v>0</v>
      </c>
      <c r="AC29" s="468">
        <f t="shared" si="45"/>
        <v>0</v>
      </c>
      <c r="AD29" s="468">
        <f t="shared" si="45"/>
        <v>0</v>
      </c>
      <c r="AE29" s="468">
        <f t="shared" si="45"/>
        <v>0</v>
      </c>
      <c r="AF29" s="468">
        <f t="shared" si="45"/>
        <v>-5376</v>
      </c>
      <c r="AG29" s="468">
        <f t="shared" si="45"/>
        <v>0</v>
      </c>
      <c r="AH29" s="468">
        <f t="shared" si="45"/>
        <v>-5376</v>
      </c>
      <c r="AI29" s="468">
        <f t="shared" si="45"/>
        <v>5376</v>
      </c>
      <c r="AJ29" s="468">
        <f t="shared" si="45"/>
        <v>0</v>
      </c>
      <c r="AK29" s="468">
        <f t="shared" ref="AK29" si="46">SUM(AK28)</f>
        <v>0</v>
      </c>
      <c r="AL29" s="468">
        <f t="shared" si="45"/>
        <v>0</v>
      </c>
      <c r="AM29" s="468">
        <f t="shared" si="45"/>
        <v>0</v>
      </c>
      <c r="AN29" s="468">
        <f t="shared" si="45"/>
        <v>0</v>
      </c>
      <c r="AO29" s="468">
        <f t="shared" si="45"/>
        <v>5376</v>
      </c>
      <c r="AP29" s="468">
        <f t="shared" si="45"/>
        <v>0</v>
      </c>
      <c r="AQ29" s="468">
        <f t="shared" si="45"/>
        <v>5376</v>
      </c>
      <c r="AR29" s="468">
        <f t="shared" si="45"/>
        <v>0</v>
      </c>
      <c r="AS29" s="468">
        <f t="shared" si="45"/>
        <v>0</v>
      </c>
      <c r="AT29" s="468">
        <f t="shared" si="45"/>
        <v>0</v>
      </c>
      <c r="AU29" s="468">
        <f t="shared" si="45"/>
        <v>0</v>
      </c>
      <c r="AV29" s="468">
        <f t="shared" si="45"/>
        <v>-54</v>
      </c>
      <c r="AW29" s="468">
        <f t="shared" si="45"/>
        <v>0</v>
      </c>
      <c r="AX29" s="468">
        <f t="shared" si="45"/>
        <v>0</v>
      </c>
      <c r="AY29" s="468">
        <f t="shared" si="45"/>
        <v>0</v>
      </c>
      <c r="AZ29" s="468">
        <f t="shared" si="45"/>
        <v>-54</v>
      </c>
      <c r="BA29" s="469">
        <f t="shared" si="45"/>
        <v>0</v>
      </c>
      <c r="BB29" s="469">
        <f t="shared" si="45"/>
        <v>0</v>
      </c>
      <c r="BC29" s="469">
        <f t="shared" si="45"/>
        <v>0</v>
      </c>
      <c r="BD29" s="469">
        <f t="shared" si="45"/>
        <v>0</v>
      </c>
      <c r="BE29" s="469">
        <f t="shared" si="45"/>
        <v>0</v>
      </c>
      <c r="BF29" s="469">
        <f t="shared" si="45"/>
        <v>0</v>
      </c>
      <c r="BG29" s="469">
        <f t="shared" si="45"/>
        <v>0</v>
      </c>
      <c r="BH29" s="469">
        <f t="shared" si="45"/>
        <v>0</v>
      </c>
      <c r="BI29" s="469">
        <f t="shared" si="45"/>
        <v>0</v>
      </c>
      <c r="BJ29" s="469">
        <f t="shared" si="45"/>
        <v>0</v>
      </c>
      <c r="BK29" s="469">
        <f t="shared" si="45"/>
        <v>0</v>
      </c>
      <c r="BL29" s="469">
        <f t="shared" si="45"/>
        <v>0</v>
      </c>
      <c r="BM29" s="562">
        <f t="shared" si="45"/>
        <v>0</v>
      </c>
      <c r="BN29" s="472">
        <f t="shared" si="45"/>
        <v>15127183</v>
      </c>
      <c r="BO29" s="468">
        <f t="shared" si="45"/>
        <v>11201096</v>
      </c>
      <c r="BP29" s="468">
        <f t="shared" si="45"/>
        <v>10785054</v>
      </c>
      <c r="BQ29" s="468">
        <f t="shared" si="45"/>
        <v>416042</v>
      </c>
      <c r="BR29" s="468">
        <f t="shared" si="45"/>
        <v>5376</v>
      </c>
      <c r="BS29" s="468">
        <f t="shared" si="45"/>
        <v>5376</v>
      </c>
      <c r="BT29" s="468">
        <f t="shared" si="45"/>
        <v>0</v>
      </c>
      <c r="BU29" s="468">
        <f t="shared" si="45"/>
        <v>3787788</v>
      </c>
      <c r="BV29" s="468">
        <f t="shared" ref="BV29:CF29" si="47">SUM(BV28)</f>
        <v>112011</v>
      </c>
      <c r="BW29" s="468">
        <f t="shared" si="47"/>
        <v>20912</v>
      </c>
      <c r="BX29" s="469">
        <f t="shared" si="47"/>
        <v>18.212900000000001</v>
      </c>
      <c r="BY29" s="469">
        <f t="shared" si="47"/>
        <v>17.045500000000001</v>
      </c>
      <c r="BZ29" s="562">
        <f t="shared" si="47"/>
        <v>1.1674</v>
      </c>
      <c r="CA29" s="873">
        <f t="shared" si="47"/>
        <v>0</v>
      </c>
      <c r="CB29" s="850">
        <f t="shared" si="47"/>
        <v>0</v>
      </c>
      <c r="CC29" s="850">
        <f t="shared" si="47"/>
        <v>0</v>
      </c>
      <c r="CD29" s="850">
        <f t="shared" si="47"/>
        <v>0</v>
      </c>
      <c r="CE29" s="850">
        <f t="shared" si="47"/>
        <v>0</v>
      </c>
      <c r="CF29" s="841">
        <f t="shared" si="47"/>
        <v>0</v>
      </c>
    </row>
    <row r="30" spans="1:84" x14ac:dyDescent="0.25">
      <c r="A30" s="282">
        <v>5</v>
      </c>
      <c r="B30" s="323">
        <v>5402</v>
      </c>
      <c r="C30" s="324">
        <v>600098958</v>
      </c>
      <c r="D30" s="323">
        <v>70983623</v>
      </c>
      <c r="E30" s="350" t="s">
        <v>878</v>
      </c>
      <c r="F30" s="323">
        <v>3111</v>
      </c>
      <c r="G30" s="347" t="s">
        <v>305</v>
      </c>
      <c r="H30" s="733" t="s">
        <v>271</v>
      </c>
      <c r="I30" s="423">
        <f t="shared" ref="I30:I35" si="48">J30+P30+Q30+R30</f>
        <v>1722148</v>
      </c>
      <c r="J30" s="418">
        <f t="shared" ref="J30:J35" si="49">K30+L30</f>
        <v>1272804</v>
      </c>
      <c r="K30" s="418">
        <v>1206236</v>
      </c>
      <c r="L30" s="418">
        <v>66568</v>
      </c>
      <c r="M30" s="418">
        <f t="shared" ref="M30:M35" si="50">N30+O30</f>
        <v>0</v>
      </c>
      <c r="N30" s="418">
        <v>0</v>
      </c>
      <c r="O30" s="418">
        <v>0</v>
      </c>
      <c r="P30" s="68">
        <f t="shared" ref="P30:P35" si="51">ROUND((J30+M30)*33.8%,0)</f>
        <v>430208</v>
      </c>
      <c r="Q30" s="68">
        <f t="shared" ref="Q30:Q35" si="52">ROUND(J30*1%,0)</f>
        <v>12728</v>
      </c>
      <c r="R30" s="418">
        <v>6408</v>
      </c>
      <c r="S30" s="419">
        <f t="shared" ref="S30:S35" si="53">T30+U30</f>
        <v>2.2667000000000002</v>
      </c>
      <c r="T30" s="420">
        <v>2</v>
      </c>
      <c r="U30" s="527">
        <v>0.26669999999999999</v>
      </c>
      <c r="V30" s="427">
        <f t="shared" ref="V30:W35" si="54">AI30*-1</f>
        <v>0</v>
      </c>
      <c r="W30" s="421">
        <f t="shared" si="54"/>
        <v>-12800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 t="shared" ref="AF30:AF35" si="55">V30+X30+Y30+AA30+AB30+AD30</f>
        <v>0</v>
      </c>
      <c r="AG30" s="421">
        <f t="shared" ref="AG30:AG35" si="56">W30+Z30+AC30+AE30</f>
        <v>-12800</v>
      </c>
      <c r="AH30" s="421">
        <f t="shared" ref="AH30:AH35" si="57">SUM(AF30:AG30)</f>
        <v>-12800</v>
      </c>
      <c r="AI30" s="421">
        <v>0</v>
      </c>
      <c r="AJ30" s="421">
        <v>12800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ref="AO30:AO35" si="58">AI30+AK30+AL30+AM30</f>
        <v>0</v>
      </c>
      <c r="AP30" s="421">
        <f t="shared" ref="AP30:AP35" si="59">AJ30+AN30</f>
        <v>12800</v>
      </c>
      <c r="AQ30" s="421">
        <f t="shared" ref="AQ30:AQ35" si="60">SUM(AO30:AP30)</f>
        <v>12800</v>
      </c>
      <c r="AR30" s="421">
        <f t="shared" ref="AR30:AS35" si="61">AF30+AO30</f>
        <v>0</v>
      </c>
      <c r="AS30" s="421">
        <f t="shared" si="61"/>
        <v>0</v>
      </c>
      <c r="AT30" s="421">
        <f t="shared" ref="AT30:AT35" si="62">SUM(AR30:AS30)</f>
        <v>0</v>
      </c>
      <c r="AU30" s="68">
        <f t="shared" ref="AU30:AU35" si="63">ROUND((AH30+AI30+AJ30+AK30+AL30)*33.8%,0)</f>
        <v>0</v>
      </c>
      <c r="AV30" s="68">
        <f t="shared" ref="AV30:AV35" si="64">ROUND(AH30*1%,0)</f>
        <v>-128</v>
      </c>
      <c r="AW30" s="421">
        <v>0</v>
      </c>
      <c r="AX30" s="421">
        <v>0</v>
      </c>
      <c r="AY30" s="421">
        <f t="shared" ref="AY30:AY35" si="65">AW30+AX30</f>
        <v>0</v>
      </c>
      <c r="AZ30" s="421">
        <f t="shared" ref="AZ30:AZ35" si="66">AT30+AU30+AV30+AY30</f>
        <v>-128</v>
      </c>
      <c r="BA30" s="422">
        <v>0</v>
      </c>
      <c r="BB30" s="422">
        <v>-0.04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 t="shared" ref="BK30:BK35" si="67">BA30+BC30+BD30+BF30+BH30+BI30</f>
        <v>0</v>
      </c>
      <c r="BL30" s="422">
        <f t="shared" ref="BL30:BL35" si="68">BB30+BE30+BG30+BJ30</f>
        <v>-0.04</v>
      </c>
      <c r="BM30" s="611">
        <f t="shared" ref="BM30:BM35" si="69">SUM(BK30:BL30)</f>
        <v>-0.04</v>
      </c>
      <c r="BN30" s="428">
        <f t="shared" ref="BN30:BN35" si="70">I30+AZ30</f>
        <v>1722020</v>
      </c>
      <c r="BO30" s="421">
        <f t="shared" ref="BO30:BO35" si="71">J30+AH30</f>
        <v>1260004</v>
      </c>
      <c r="BP30" s="421">
        <f t="shared" ref="BP30:BQ35" si="72">K30+AF30</f>
        <v>1206236</v>
      </c>
      <c r="BQ30" s="421">
        <f t="shared" si="72"/>
        <v>53768</v>
      </c>
      <c r="BR30" s="421">
        <f t="shared" ref="BR30:BR35" si="73">M30+AQ30</f>
        <v>12800</v>
      </c>
      <c r="BS30" s="421">
        <f t="shared" ref="BS30:BT35" si="74">N30+AO30</f>
        <v>0</v>
      </c>
      <c r="BT30" s="421">
        <f t="shared" si="74"/>
        <v>12800</v>
      </c>
      <c r="BU30" s="421">
        <f t="shared" ref="BU30:BV35" si="75">P30+AU30</f>
        <v>430208</v>
      </c>
      <c r="BV30" s="421">
        <f t="shared" si="75"/>
        <v>12600</v>
      </c>
      <c r="BW30" s="421">
        <f t="shared" ref="BW30:BW35" si="76">R30+AY30</f>
        <v>6408</v>
      </c>
      <c r="BX30" s="422">
        <f t="shared" ref="BX30:BX35" si="77">S30+BM30</f>
        <v>2.2267000000000001</v>
      </c>
      <c r="BY30" s="422">
        <f t="shared" ref="BY30:BZ35" si="78">T30+BK30</f>
        <v>2</v>
      </c>
      <c r="BZ30" s="611">
        <f t="shared" si="78"/>
        <v>0.22669999999999998</v>
      </c>
      <c r="CA30" s="423"/>
      <c r="CB30" s="418"/>
      <c r="CC30" s="418"/>
      <c r="CD30" s="418"/>
      <c r="CE30" s="418"/>
      <c r="CF30" s="527"/>
    </row>
    <row r="31" spans="1:84" ht="12.95" customHeight="1" x14ac:dyDescent="0.25">
      <c r="A31" s="282">
        <v>5</v>
      </c>
      <c r="B31" s="323">
        <v>5402</v>
      </c>
      <c r="C31" s="324">
        <v>600098958</v>
      </c>
      <c r="D31" s="323">
        <v>70983623</v>
      </c>
      <c r="E31" s="350" t="s">
        <v>792</v>
      </c>
      <c r="F31" s="323">
        <v>3117</v>
      </c>
      <c r="G31" s="347" t="s">
        <v>309</v>
      </c>
      <c r="H31" s="733" t="s">
        <v>271</v>
      </c>
      <c r="I31" s="423">
        <f t="shared" si="48"/>
        <v>4820419</v>
      </c>
      <c r="J31" s="418">
        <f t="shared" si="49"/>
        <v>3532644</v>
      </c>
      <c r="K31" s="418">
        <v>3034277</v>
      </c>
      <c r="L31" s="418">
        <v>498367</v>
      </c>
      <c r="M31" s="418">
        <f t="shared" si="50"/>
        <v>0</v>
      </c>
      <c r="N31" s="418">
        <v>0</v>
      </c>
      <c r="O31" s="418">
        <v>0</v>
      </c>
      <c r="P31" s="68">
        <f>ROUND((J31+M31)*33.8%,0)-1</f>
        <v>1194033</v>
      </c>
      <c r="Q31" s="68">
        <f t="shared" si="52"/>
        <v>35326</v>
      </c>
      <c r="R31" s="418">
        <v>58416</v>
      </c>
      <c r="S31" s="419">
        <f t="shared" si="53"/>
        <v>6.3424999999999994</v>
      </c>
      <c r="T31" s="420">
        <v>4.9090999999999996</v>
      </c>
      <c r="U31" s="527">
        <v>1.4334</v>
      </c>
      <c r="V31" s="427">
        <f t="shared" si="54"/>
        <v>0</v>
      </c>
      <c r="W31" s="421">
        <f t="shared" si="54"/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f t="shared" si="55"/>
        <v>0</v>
      </c>
      <c r="AG31" s="421">
        <f t="shared" si="56"/>
        <v>0</v>
      </c>
      <c r="AH31" s="421">
        <f t="shared" si="57"/>
        <v>0</v>
      </c>
      <c r="AI31" s="421">
        <v>0</v>
      </c>
      <c r="AJ31" s="421">
        <v>0</v>
      </c>
      <c r="AK31" s="421">
        <v>0</v>
      </c>
      <c r="AL31" s="421">
        <v>0</v>
      </c>
      <c r="AM31" s="421">
        <v>0</v>
      </c>
      <c r="AN31" s="421">
        <v>0</v>
      </c>
      <c r="AO31" s="421">
        <f t="shared" si="58"/>
        <v>0</v>
      </c>
      <c r="AP31" s="421">
        <f t="shared" si="59"/>
        <v>0</v>
      </c>
      <c r="AQ31" s="421">
        <f t="shared" si="60"/>
        <v>0</v>
      </c>
      <c r="AR31" s="421">
        <f t="shared" si="61"/>
        <v>0</v>
      </c>
      <c r="AS31" s="421">
        <f t="shared" si="61"/>
        <v>0</v>
      </c>
      <c r="AT31" s="421">
        <f t="shared" si="62"/>
        <v>0</v>
      </c>
      <c r="AU31" s="68">
        <f t="shared" si="63"/>
        <v>0</v>
      </c>
      <c r="AV31" s="68">
        <f t="shared" si="64"/>
        <v>0</v>
      </c>
      <c r="AW31" s="421">
        <v>0</v>
      </c>
      <c r="AX31" s="421">
        <v>0</v>
      </c>
      <c r="AY31" s="421">
        <f t="shared" si="65"/>
        <v>0</v>
      </c>
      <c r="AZ31" s="421">
        <f t="shared" si="66"/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 t="shared" si="67"/>
        <v>0</v>
      </c>
      <c r="BL31" s="422">
        <f t="shared" si="68"/>
        <v>0</v>
      </c>
      <c r="BM31" s="611">
        <f t="shared" si="69"/>
        <v>0</v>
      </c>
      <c r="BN31" s="428">
        <f t="shared" si="70"/>
        <v>4820419</v>
      </c>
      <c r="BO31" s="421">
        <f t="shared" si="71"/>
        <v>3532644</v>
      </c>
      <c r="BP31" s="421">
        <f t="shared" si="72"/>
        <v>3034277</v>
      </c>
      <c r="BQ31" s="421">
        <f t="shared" si="72"/>
        <v>498367</v>
      </c>
      <c r="BR31" s="421">
        <f t="shared" si="73"/>
        <v>0</v>
      </c>
      <c r="BS31" s="421">
        <f t="shared" si="74"/>
        <v>0</v>
      </c>
      <c r="BT31" s="421">
        <f t="shared" si="74"/>
        <v>0</v>
      </c>
      <c r="BU31" s="421">
        <f t="shared" si="75"/>
        <v>1194033</v>
      </c>
      <c r="BV31" s="421">
        <f t="shared" si="75"/>
        <v>35326</v>
      </c>
      <c r="BW31" s="421">
        <f t="shared" si="76"/>
        <v>58416</v>
      </c>
      <c r="BX31" s="422">
        <f t="shared" si="77"/>
        <v>6.3424999999999994</v>
      </c>
      <c r="BY31" s="422">
        <f t="shared" si="78"/>
        <v>4.9090999999999996</v>
      </c>
      <c r="BZ31" s="611">
        <f t="shared" si="78"/>
        <v>1.4334</v>
      </c>
      <c r="CA31" s="423"/>
      <c r="CB31" s="418"/>
      <c r="CC31" s="418"/>
      <c r="CD31" s="418"/>
      <c r="CE31" s="418"/>
      <c r="CF31" s="527"/>
    </row>
    <row r="32" spans="1:84" ht="12.95" customHeight="1" x14ac:dyDescent="0.25">
      <c r="A32" s="282">
        <v>5</v>
      </c>
      <c r="B32" s="323">
        <v>5402</v>
      </c>
      <c r="C32" s="324">
        <v>600098958</v>
      </c>
      <c r="D32" s="323">
        <v>70983623</v>
      </c>
      <c r="E32" s="350" t="s">
        <v>792</v>
      </c>
      <c r="F32" s="323">
        <v>3117</v>
      </c>
      <c r="G32" s="286" t="s">
        <v>292</v>
      </c>
      <c r="H32" s="733" t="s">
        <v>272</v>
      </c>
      <c r="I32" s="423">
        <f t="shared" si="48"/>
        <v>0</v>
      </c>
      <c r="J32" s="418">
        <f t="shared" si="49"/>
        <v>0</v>
      </c>
      <c r="K32" s="418">
        <v>0</v>
      </c>
      <c r="L32" s="418">
        <v>0</v>
      </c>
      <c r="M32" s="418">
        <f>N32+O32</f>
        <v>0</v>
      </c>
      <c r="N32" s="418">
        <v>0</v>
      </c>
      <c r="O32" s="418">
        <v>0</v>
      </c>
      <c r="P32" s="68">
        <f t="shared" ref="P32" si="79">ROUND((J32+M32)*33.8%,0)</f>
        <v>0</v>
      </c>
      <c r="Q32" s="68">
        <f t="shared" si="52"/>
        <v>0</v>
      </c>
      <c r="R32" s="418">
        <v>0</v>
      </c>
      <c r="S32" s="419">
        <f>T32+U32</f>
        <v>0</v>
      </c>
      <c r="T32" s="420">
        <v>0</v>
      </c>
      <c r="U32" s="527">
        <v>0</v>
      </c>
      <c r="V32" s="427">
        <f t="shared" si="54"/>
        <v>0</v>
      </c>
      <c r="W32" s="421">
        <f t="shared" si="54"/>
        <v>0</v>
      </c>
      <c r="X32" s="421">
        <v>546596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 t="shared" si="55"/>
        <v>546596</v>
      </c>
      <c r="AG32" s="421">
        <f t="shared" si="56"/>
        <v>0</v>
      </c>
      <c r="AH32" s="421">
        <f t="shared" si="57"/>
        <v>546596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58"/>
        <v>0</v>
      </c>
      <c r="AP32" s="421">
        <f t="shared" si="59"/>
        <v>0</v>
      </c>
      <c r="AQ32" s="421">
        <f t="shared" si="60"/>
        <v>0</v>
      </c>
      <c r="AR32" s="421">
        <f t="shared" si="61"/>
        <v>546596</v>
      </c>
      <c r="AS32" s="421">
        <f t="shared" si="61"/>
        <v>0</v>
      </c>
      <c r="AT32" s="421">
        <f t="shared" si="62"/>
        <v>546596</v>
      </c>
      <c r="AU32" s="68">
        <f t="shared" si="63"/>
        <v>184749</v>
      </c>
      <c r="AV32" s="68">
        <f t="shared" si="64"/>
        <v>5466</v>
      </c>
      <c r="AW32" s="421">
        <v>0</v>
      </c>
      <c r="AX32" s="421">
        <v>0</v>
      </c>
      <c r="AY32" s="421">
        <f t="shared" si="65"/>
        <v>0</v>
      </c>
      <c r="AZ32" s="421">
        <f t="shared" si="66"/>
        <v>736811</v>
      </c>
      <c r="BA32" s="422">
        <v>0</v>
      </c>
      <c r="BB32" s="422">
        <v>0</v>
      </c>
      <c r="BC32" s="422">
        <v>1.78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 t="shared" si="67"/>
        <v>1.78</v>
      </c>
      <c r="BL32" s="422">
        <f t="shared" si="68"/>
        <v>0</v>
      </c>
      <c r="BM32" s="611">
        <f t="shared" si="69"/>
        <v>1.78</v>
      </c>
      <c r="BN32" s="428">
        <f t="shared" si="70"/>
        <v>736811</v>
      </c>
      <c r="BO32" s="421">
        <f t="shared" si="71"/>
        <v>546596</v>
      </c>
      <c r="BP32" s="421">
        <f t="shared" si="72"/>
        <v>546596</v>
      </c>
      <c r="BQ32" s="421">
        <f t="shared" si="72"/>
        <v>0</v>
      </c>
      <c r="BR32" s="421">
        <f t="shared" si="73"/>
        <v>0</v>
      </c>
      <c r="BS32" s="421">
        <f t="shared" si="74"/>
        <v>0</v>
      </c>
      <c r="BT32" s="421">
        <f t="shared" si="74"/>
        <v>0</v>
      </c>
      <c r="BU32" s="421">
        <f t="shared" si="75"/>
        <v>184749</v>
      </c>
      <c r="BV32" s="421">
        <f t="shared" si="75"/>
        <v>5466</v>
      </c>
      <c r="BW32" s="421">
        <f t="shared" si="76"/>
        <v>0</v>
      </c>
      <c r="BX32" s="422">
        <f t="shared" si="77"/>
        <v>1.78</v>
      </c>
      <c r="BY32" s="422">
        <f t="shared" si="78"/>
        <v>1.78</v>
      </c>
      <c r="BZ32" s="611">
        <f t="shared" si="78"/>
        <v>0</v>
      </c>
      <c r="CA32" s="423"/>
      <c r="CB32" s="418"/>
      <c r="CC32" s="418"/>
      <c r="CD32" s="418"/>
      <c r="CE32" s="418"/>
      <c r="CF32" s="527"/>
    </row>
    <row r="33" spans="1:84" ht="12.95" customHeight="1" x14ac:dyDescent="0.25">
      <c r="A33" s="282">
        <v>5</v>
      </c>
      <c r="B33" s="323">
        <v>5402</v>
      </c>
      <c r="C33" s="324">
        <v>600098958</v>
      </c>
      <c r="D33" s="323">
        <v>70983623</v>
      </c>
      <c r="E33" s="350" t="s">
        <v>792</v>
      </c>
      <c r="F33" s="323">
        <v>3141</v>
      </c>
      <c r="G33" s="347" t="s">
        <v>295</v>
      </c>
      <c r="H33" s="733" t="s">
        <v>272</v>
      </c>
      <c r="I33" s="423">
        <f t="shared" si="48"/>
        <v>656051</v>
      </c>
      <c r="J33" s="418">
        <f t="shared" si="49"/>
        <v>484646</v>
      </c>
      <c r="K33" s="418">
        <v>0</v>
      </c>
      <c r="L33" s="418">
        <v>484646</v>
      </c>
      <c r="M33" s="418">
        <f t="shared" si="50"/>
        <v>0</v>
      </c>
      <c r="N33" s="418">
        <v>0</v>
      </c>
      <c r="O33" s="418">
        <v>0</v>
      </c>
      <c r="P33" s="68">
        <f t="shared" si="51"/>
        <v>163810</v>
      </c>
      <c r="Q33" s="68">
        <f t="shared" si="52"/>
        <v>4846</v>
      </c>
      <c r="R33" s="418">
        <v>2749</v>
      </c>
      <c r="S33" s="419">
        <f t="shared" si="53"/>
        <v>1.4533</v>
      </c>
      <c r="T33" s="420">
        <v>0</v>
      </c>
      <c r="U33" s="527">
        <v>1.4533</v>
      </c>
      <c r="V33" s="427">
        <f t="shared" si="54"/>
        <v>0</v>
      </c>
      <c r="W33" s="421">
        <f t="shared" si="54"/>
        <v>-3200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 t="shared" si="55"/>
        <v>0</v>
      </c>
      <c r="AG33" s="421">
        <f t="shared" si="56"/>
        <v>-3200</v>
      </c>
      <c r="AH33" s="421">
        <f t="shared" si="57"/>
        <v>-3200</v>
      </c>
      <c r="AI33" s="421">
        <v>0</v>
      </c>
      <c r="AJ33" s="421">
        <v>3200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58"/>
        <v>0</v>
      </c>
      <c r="AP33" s="421">
        <f t="shared" si="59"/>
        <v>3200</v>
      </c>
      <c r="AQ33" s="421">
        <f t="shared" si="60"/>
        <v>3200</v>
      </c>
      <c r="AR33" s="421">
        <f t="shared" si="61"/>
        <v>0</v>
      </c>
      <c r="AS33" s="421">
        <f t="shared" si="61"/>
        <v>0</v>
      </c>
      <c r="AT33" s="421">
        <f t="shared" si="62"/>
        <v>0</v>
      </c>
      <c r="AU33" s="68">
        <f t="shared" si="63"/>
        <v>0</v>
      </c>
      <c r="AV33" s="68">
        <f t="shared" si="64"/>
        <v>-32</v>
      </c>
      <c r="AW33" s="421">
        <v>0</v>
      </c>
      <c r="AX33" s="421">
        <v>0</v>
      </c>
      <c r="AY33" s="421">
        <f t="shared" si="65"/>
        <v>0</v>
      </c>
      <c r="AZ33" s="421">
        <f t="shared" si="66"/>
        <v>-32</v>
      </c>
      <c r="BA33" s="422">
        <v>0</v>
      </c>
      <c r="BB33" s="422">
        <v>-0.01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 t="shared" si="67"/>
        <v>0</v>
      </c>
      <c r="BL33" s="422">
        <f t="shared" si="68"/>
        <v>-0.01</v>
      </c>
      <c r="BM33" s="611">
        <f t="shared" si="69"/>
        <v>-0.01</v>
      </c>
      <c r="BN33" s="428">
        <f t="shared" si="70"/>
        <v>656019</v>
      </c>
      <c r="BO33" s="421">
        <f t="shared" si="71"/>
        <v>481446</v>
      </c>
      <c r="BP33" s="421">
        <f t="shared" si="72"/>
        <v>0</v>
      </c>
      <c r="BQ33" s="421">
        <f t="shared" si="72"/>
        <v>481446</v>
      </c>
      <c r="BR33" s="421">
        <f t="shared" si="73"/>
        <v>3200</v>
      </c>
      <c r="BS33" s="421">
        <f t="shared" si="74"/>
        <v>0</v>
      </c>
      <c r="BT33" s="421">
        <f t="shared" si="74"/>
        <v>3200</v>
      </c>
      <c r="BU33" s="421">
        <f t="shared" si="75"/>
        <v>163810</v>
      </c>
      <c r="BV33" s="421">
        <f t="shared" si="75"/>
        <v>4814</v>
      </c>
      <c r="BW33" s="421">
        <f t="shared" si="76"/>
        <v>2749</v>
      </c>
      <c r="BX33" s="422">
        <f t="shared" si="77"/>
        <v>1.4433</v>
      </c>
      <c r="BY33" s="422">
        <f t="shared" si="78"/>
        <v>0</v>
      </c>
      <c r="BZ33" s="611">
        <f t="shared" si="78"/>
        <v>1.4433</v>
      </c>
      <c r="CA33" s="423"/>
      <c r="CB33" s="418"/>
      <c r="CC33" s="418"/>
      <c r="CD33" s="418"/>
      <c r="CE33" s="418"/>
      <c r="CF33" s="527"/>
    </row>
    <row r="34" spans="1:84" ht="12.95" customHeight="1" x14ac:dyDescent="0.25">
      <c r="A34" s="282">
        <v>5</v>
      </c>
      <c r="B34" s="323">
        <v>5402</v>
      </c>
      <c r="C34" s="324">
        <v>600098958</v>
      </c>
      <c r="D34" s="323">
        <v>70983623</v>
      </c>
      <c r="E34" s="350" t="s">
        <v>792</v>
      </c>
      <c r="F34" s="323">
        <v>3143</v>
      </c>
      <c r="G34" s="286" t="s">
        <v>596</v>
      </c>
      <c r="H34" s="733" t="s">
        <v>271</v>
      </c>
      <c r="I34" s="423">
        <f t="shared" si="48"/>
        <v>1324900</v>
      </c>
      <c r="J34" s="418">
        <f t="shared" si="49"/>
        <v>982863</v>
      </c>
      <c r="K34" s="418">
        <v>982863</v>
      </c>
      <c r="L34" s="418">
        <v>0</v>
      </c>
      <c r="M34" s="418">
        <f t="shared" si="50"/>
        <v>0</v>
      </c>
      <c r="N34" s="418">
        <v>0</v>
      </c>
      <c r="O34" s="418">
        <v>0</v>
      </c>
      <c r="P34" s="68">
        <f t="shared" si="51"/>
        <v>332208</v>
      </c>
      <c r="Q34" s="68">
        <f t="shared" si="52"/>
        <v>9829</v>
      </c>
      <c r="R34" s="418">
        <v>0</v>
      </c>
      <c r="S34" s="419">
        <f t="shared" si="53"/>
        <v>2.0177</v>
      </c>
      <c r="T34" s="420">
        <v>2.0177</v>
      </c>
      <c r="U34" s="527">
        <v>0</v>
      </c>
      <c r="V34" s="427">
        <f t="shared" si="54"/>
        <v>0</v>
      </c>
      <c r="W34" s="421">
        <f t="shared" si="54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 t="shared" si="55"/>
        <v>0</v>
      </c>
      <c r="AG34" s="421">
        <f t="shared" si="56"/>
        <v>0</v>
      </c>
      <c r="AH34" s="421">
        <f t="shared" si="57"/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58"/>
        <v>0</v>
      </c>
      <c r="AP34" s="421">
        <f t="shared" si="59"/>
        <v>0</v>
      </c>
      <c r="AQ34" s="421">
        <f t="shared" si="60"/>
        <v>0</v>
      </c>
      <c r="AR34" s="421">
        <f t="shared" si="61"/>
        <v>0</v>
      </c>
      <c r="AS34" s="421">
        <f t="shared" si="61"/>
        <v>0</v>
      </c>
      <c r="AT34" s="421">
        <f t="shared" si="62"/>
        <v>0</v>
      </c>
      <c r="AU34" s="68">
        <f t="shared" si="63"/>
        <v>0</v>
      </c>
      <c r="AV34" s="68">
        <f t="shared" si="64"/>
        <v>0</v>
      </c>
      <c r="AW34" s="421">
        <v>0</v>
      </c>
      <c r="AX34" s="421">
        <v>0</v>
      </c>
      <c r="AY34" s="421">
        <f t="shared" si="65"/>
        <v>0</v>
      </c>
      <c r="AZ34" s="421">
        <f t="shared" si="66"/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 t="shared" si="67"/>
        <v>0</v>
      </c>
      <c r="BL34" s="422">
        <f t="shared" si="68"/>
        <v>0</v>
      </c>
      <c r="BM34" s="611">
        <f t="shared" si="69"/>
        <v>0</v>
      </c>
      <c r="BN34" s="428">
        <f t="shared" si="70"/>
        <v>1324900</v>
      </c>
      <c r="BO34" s="421">
        <f t="shared" si="71"/>
        <v>982863</v>
      </c>
      <c r="BP34" s="421">
        <f t="shared" si="72"/>
        <v>982863</v>
      </c>
      <c r="BQ34" s="421">
        <f t="shared" si="72"/>
        <v>0</v>
      </c>
      <c r="BR34" s="421">
        <f t="shared" si="73"/>
        <v>0</v>
      </c>
      <c r="BS34" s="421">
        <f t="shared" si="74"/>
        <v>0</v>
      </c>
      <c r="BT34" s="421">
        <f t="shared" si="74"/>
        <v>0</v>
      </c>
      <c r="BU34" s="421">
        <f t="shared" si="75"/>
        <v>332208</v>
      </c>
      <c r="BV34" s="421">
        <f t="shared" si="75"/>
        <v>9829</v>
      </c>
      <c r="BW34" s="421">
        <f t="shared" si="76"/>
        <v>0</v>
      </c>
      <c r="BX34" s="422">
        <f t="shared" si="77"/>
        <v>2.0177</v>
      </c>
      <c r="BY34" s="422">
        <f t="shared" si="78"/>
        <v>2.0177</v>
      </c>
      <c r="BZ34" s="611">
        <f t="shared" si="78"/>
        <v>0</v>
      </c>
      <c r="CA34" s="423"/>
      <c r="CB34" s="418"/>
      <c r="CC34" s="418"/>
      <c r="CD34" s="418"/>
      <c r="CE34" s="418"/>
      <c r="CF34" s="527"/>
    </row>
    <row r="35" spans="1:84" ht="12.95" customHeight="1" x14ac:dyDescent="0.25">
      <c r="A35" s="282">
        <v>5</v>
      </c>
      <c r="B35" s="323">
        <v>5402</v>
      </c>
      <c r="C35" s="324">
        <v>600098958</v>
      </c>
      <c r="D35" s="323">
        <v>70983623</v>
      </c>
      <c r="E35" s="350" t="s">
        <v>792</v>
      </c>
      <c r="F35" s="323">
        <v>3143</v>
      </c>
      <c r="G35" s="286" t="s">
        <v>597</v>
      </c>
      <c r="H35" s="733" t="s">
        <v>272</v>
      </c>
      <c r="I35" s="423">
        <f t="shared" si="48"/>
        <v>24084</v>
      </c>
      <c r="J35" s="418">
        <f t="shared" si="49"/>
        <v>17239</v>
      </c>
      <c r="K35" s="418">
        <v>0</v>
      </c>
      <c r="L35" s="418">
        <v>17239</v>
      </c>
      <c r="M35" s="418">
        <f t="shared" si="50"/>
        <v>0</v>
      </c>
      <c r="N35" s="418">
        <v>0</v>
      </c>
      <c r="O35" s="418">
        <v>0</v>
      </c>
      <c r="P35" s="68">
        <f t="shared" si="51"/>
        <v>5827</v>
      </c>
      <c r="Q35" s="68">
        <f t="shared" si="52"/>
        <v>172</v>
      </c>
      <c r="R35" s="418">
        <v>846</v>
      </c>
      <c r="S35" s="419">
        <f t="shared" si="53"/>
        <v>6.5299999999999997E-2</v>
      </c>
      <c r="T35" s="420">
        <v>0</v>
      </c>
      <c r="U35" s="527">
        <v>6.5299999999999997E-2</v>
      </c>
      <c r="V35" s="427">
        <f t="shared" si="54"/>
        <v>0</v>
      </c>
      <c r="W35" s="421">
        <f t="shared" si="54"/>
        <v>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 t="shared" si="55"/>
        <v>0</v>
      </c>
      <c r="AG35" s="421">
        <f t="shared" si="56"/>
        <v>0</v>
      </c>
      <c r="AH35" s="421">
        <f t="shared" si="57"/>
        <v>0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58"/>
        <v>0</v>
      </c>
      <c r="AP35" s="421">
        <f t="shared" si="59"/>
        <v>0</v>
      </c>
      <c r="AQ35" s="421">
        <f t="shared" si="60"/>
        <v>0</v>
      </c>
      <c r="AR35" s="421">
        <f t="shared" si="61"/>
        <v>0</v>
      </c>
      <c r="AS35" s="421">
        <f t="shared" si="61"/>
        <v>0</v>
      </c>
      <c r="AT35" s="421">
        <f t="shared" si="62"/>
        <v>0</v>
      </c>
      <c r="AU35" s="68">
        <f t="shared" si="63"/>
        <v>0</v>
      </c>
      <c r="AV35" s="68">
        <f t="shared" si="64"/>
        <v>0</v>
      </c>
      <c r="AW35" s="421">
        <v>0</v>
      </c>
      <c r="AX35" s="421">
        <v>0</v>
      </c>
      <c r="AY35" s="421">
        <f t="shared" si="65"/>
        <v>0</v>
      </c>
      <c r="AZ35" s="421">
        <f t="shared" si="66"/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 t="shared" si="67"/>
        <v>0</v>
      </c>
      <c r="BL35" s="422">
        <f t="shared" si="68"/>
        <v>0</v>
      </c>
      <c r="BM35" s="611">
        <f t="shared" si="69"/>
        <v>0</v>
      </c>
      <c r="BN35" s="428">
        <f t="shared" si="70"/>
        <v>24084</v>
      </c>
      <c r="BO35" s="421">
        <f t="shared" si="71"/>
        <v>17239</v>
      </c>
      <c r="BP35" s="421">
        <f t="shared" si="72"/>
        <v>0</v>
      </c>
      <c r="BQ35" s="421">
        <f t="shared" si="72"/>
        <v>17239</v>
      </c>
      <c r="BR35" s="421">
        <f t="shared" si="73"/>
        <v>0</v>
      </c>
      <c r="BS35" s="421">
        <f t="shared" si="74"/>
        <v>0</v>
      </c>
      <c r="BT35" s="421">
        <f t="shared" si="74"/>
        <v>0</v>
      </c>
      <c r="BU35" s="421">
        <f t="shared" si="75"/>
        <v>5827</v>
      </c>
      <c r="BV35" s="421">
        <f t="shared" si="75"/>
        <v>172</v>
      </c>
      <c r="BW35" s="421">
        <f t="shared" si="76"/>
        <v>846</v>
      </c>
      <c r="BX35" s="422">
        <f t="shared" si="77"/>
        <v>6.5299999999999997E-2</v>
      </c>
      <c r="BY35" s="422">
        <f t="shared" si="78"/>
        <v>0</v>
      </c>
      <c r="BZ35" s="611">
        <f t="shared" si="78"/>
        <v>6.5299999999999997E-2</v>
      </c>
      <c r="CA35" s="423"/>
      <c r="CB35" s="418"/>
      <c r="CC35" s="418"/>
      <c r="CD35" s="418"/>
      <c r="CE35" s="418"/>
      <c r="CF35" s="527"/>
    </row>
    <row r="36" spans="1:84" ht="12.95" customHeight="1" x14ac:dyDescent="0.25">
      <c r="A36" s="734">
        <v>5</v>
      </c>
      <c r="B36" s="327">
        <v>5402</v>
      </c>
      <c r="C36" s="328">
        <v>600098958</v>
      </c>
      <c r="D36" s="327">
        <v>70983623</v>
      </c>
      <c r="E36" s="351" t="s">
        <v>793</v>
      </c>
      <c r="F36" s="327"/>
      <c r="G36" s="352"/>
      <c r="H36" s="736"/>
      <c r="I36" s="489">
        <f t="shared" ref="I36:BT36" si="80">SUM(I30:I35)</f>
        <v>8547602</v>
      </c>
      <c r="J36" s="487">
        <f t="shared" si="80"/>
        <v>6290196</v>
      </c>
      <c r="K36" s="487">
        <f t="shared" si="80"/>
        <v>5223376</v>
      </c>
      <c r="L36" s="487">
        <f t="shared" si="80"/>
        <v>1066820</v>
      </c>
      <c r="M36" s="487">
        <f t="shared" si="80"/>
        <v>0</v>
      </c>
      <c r="N36" s="487">
        <f t="shared" si="80"/>
        <v>0</v>
      </c>
      <c r="O36" s="487">
        <f t="shared" si="80"/>
        <v>0</v>
      </c>
      <c r="P36" s="487">
        <f t="shared" si="80"/>
        <v>2126086</v>
      </c>
      <c r="Q36" s="487">
        <f t="shared" si="80"/>
        <v>62901</v>
      </c>
      <c r="R36" s="487">
        <f t="shared" si="80"/>
        <v>68419</v>
      </c>
      <c r="S36" s="488">
        <f t="shared" si="80"/>
        <v>12.1455</v>
      </c>
      <c r="T36" s="488">
        <f t="shared" si="80"/>
        <v>8.9268000000000001</v>
      </c>
      <c r="U36" s="353">
        <f t="shared" si="80"/>
        <v>3.2187000000000001</v>
      </c>
      <c r="V36" s="490">
        <f t="shared" si="80"/>
        <v>0</v>
      </c>
      <c r="W36" s="487">
        <f t="shared" si="80"/>
        <v>-16000</v>
      </c>
      <c r="X36" s="487">
        <f t="shared" si="80"/>
        <v>546596</v>
      </c>
      <c r="Y36" s="487">
        <f t="shared" si="80"/>
        <v>0</v>
      </c>
      <c r="Z36" s="487">
        <f t="shared" si="80"/>
        <v>0</v>
      </c>
      <c r="AA36" s="487">
        <f t="shared" si="80"/>
        <v>0</v>
      </c>
      <c r="AB36" s="487">
        <f t="shared" si="80"/>
        <v>0</v>
      </c>
      <c r="AC36" s="487">
        <f t="shared" si="80"/>
        <v>0</v>
      </c>
      <c r="AD36" s="487">
        <f t="shared" si="80"/>
        <v>0</v>
      </c>
      <c r="AE36" s="487">
        <f t="shared" si="80"/>
        <v>0</v>
      </c>
      <c r="AF36" s="487">
        <f t="shared" si="80"/>
        <v>546596</v>
      </c>
      <c r="AG36" s="487">
        <f t="shared" si="80"/>
        <v>-16000</v>
      </c>
      <c r="AH36" s="487">
        <f t="shared" si="80"/>
        <v>530596</v>
      </c>
      <c r="AI36" s="487">
        <f t="shared" si="80"/>
        <v>0</v>
      </c>
      <c r="AJ36" s="487">
        <f t="shared" si="80"/>
        <v>16000</v>
      </c>
      <c r="AK36" s="487">
        <f t="shared" ref="AK36" si="81">SUM(AK30:AK35)</f>
        <v>0</v>
      </c>
      <c r="AL36" s="487">
        <f t="shared" si="80"/>
        <v>0</v>
      </c>
      <c r="AM36" s="487">
        <f t="shared" si="80"/>
        <v>0</v>
      </c>
      <c r="AN36" s="487">
        <f t="shared" si="80"/>
        <v>0</v>
      </c>
      <c r="AO36" s="487">
        <f t="shared" si="80"/>
        <v>0</v>
      </c>
      <c r="AP36" s="487">
        <f t="shared" si="80"/>
        <v>16000</v>
      </c>
      <c r="AQ36" s="487">
        <f t="shared" si="80"/>
        <v>16000</v>
      </c>
      <c r="AR36" s="487">
        <f t="shared" si="80"/>
        <v>546596</v>
      </c>
      <c r="AS36" s="487">
        <f t="shared" si="80"/>
        <v>0</v>
      </c>
      <c r="AT36" s="487">
        <f t="shared" si="80"/>
        <v>546596</v>
      </c>
      <c r="AU36" s="487">
        <f t="shared" si="80"/>
        <v>184749</v>
      </c>
      <c r="AV36" s="487">
        <f t="shared" si="80"/>
        <v>5306</v>
      </c>
      <c r="AW36" s="487">
        <f t="shared" si="80"/>
        <v>0</v>
      </c>
      <c r="AX36" s="487">
        <f t="shared" si="80"/>
        <v>0</v>
      </c>
      <c r="AY36" s="487">
        <f t="shared" si="80"/>
        <v>0</v>
      </c>
      <c r="AZ36" s="487">
        <f t="shared" si="80"/>
        <v>736651</v>
      </c>
      <c r="BA36" s="488">
        <f t="shared" si="80"/>
        <v>0</v>
      </c>
      <c r="BB36" s="488">
        <f t="shared" si="80"/>
        <v>-0.05</v>
      </c>
      <c r="BC36" s="488">
        <f t="shared" si="80"/>
        <v>1.78</v>
      </c>
      <c r="BD36" s="488">
        <f t="shared" si="80"/>
        <v>0</v>
      </c>
      <c r="BE36" s="488">
        <f t="shared" si="80"/>
        <v>0</v>
      </c>
      <c r="BF36" s="488">
        <f t="shared" si="80"/>
        <v>0</v>
      </c>
      <c r="BG36" s="488">
        <f t="shared" si="80"/>
        <v>0</v>
      </c>
      <c r="BH36" s="488">
        <f t="shared" si="80"/>
        <v>0</v>
      </c>
      <c r="BI36" s="488">
        <f t="shared" si="80"/>
        <v>0</v>
      </c>
      <c r="BJ36" s="488">
        <f t="shared" si="80"/>
        <v>0</v>
      </c>
      <c r="BK36" s="488">
        <f t="shared" si="80"/>
        <v>1.78</v>
      </c>
      <c r="BL36" s="488">
        <f t="shared" si="80"/>
        <v>-0.05</v>
      </c>
      <c r="BM36" s="563">
        <f t="shared" si="80"/>
        <v>1.73</v>
      </c>
      <c r="BN36" s="489">
        <f t="shared" si="80"/>
        <v>9284253</v>
      </c>
      <c r="BO36" s="487">
        <f t="shared" si="80"/>
        <v>6820792</v>
      </c>
      <c r="BP36" s="487">
        <f t="shared" si="80"/>
        <v>5769972</v>
      </c>
      <c r="BQ36" s="487">
        <f t="shared" si="80"/>
        <v>1050820</v>
      </c>
      <c r="BR36" s="487">
        <f t="shared" si="80"/>
        <v>16000</v>
      </c>
      <c r="BS36" s="487">
        <f t="shared" si="80"/>
        <v>0</v>
      </c>
      <c r="BT36" s="487">
        <f t="shared" si="80"/>
        <v>16000</v>
      </c>
      <c r="BU36" s="487">
        <f t="shared" ref="BU36:CF36" si="82">SUM(BU30:BU35)</f>
        <v>2310835</v>
      </c>
      <c r="BV36" s="487">
        <f t="shared" si="82"/>
        <v>68207</v>
      </c>
      <c r="BW36" s="487">
        <f t="shared" si="82"/>
        <v>68419</v>
      </c>
      <c r="BX36" s="488">
        <f t="shared" si="82"/>
        <v>13.875499999999999</v>
      </c>
      <c r="BY36" s="488">
        <f t="shared" si="82"/>
        <v>10.706799999999999</v>
      </c>
      <c r="BZ36" s="563">
        <f t="shared" si="82"/>
        <v>3.1686999999999999</v>
      </c>
      <c r="CA36" s="888">
        <f t="shared" si="82"/>
        <v>0</v>
      </c>
      <c r="CB36" s="887">
        <f t="shared" si="82"/>
        <v>0</v>
      </c>
      <c r="CC36" s="887">
        <f t="shared" si="82"/>
        <v>0</v>
      </c>
      <c r="CD36" s="887">
        <f t="shared" si="82"/>
        <v>0</v>
      </c>
      <c r="CE36" s="887">
        <f t="shared" si="82"/>
        <v>0</v>
      </c>
      <c r="CF36" s="843">
        <f t="shared" si="82"/>
        <v>0</v>
      </c>
    </row>
    <row r="37" spans="1:84" ht="12.95" customHeight="1" x14ac:dyDescent="0.25">
      <c r="A37" s="282">
        <v>6</v>
      </c>
      <c r="B37" s="283">
        <v>5405</v>
      </c>
      <c r="C37" s="332">
        <v>600099121</v>
      </c>
      <c r="D37" s="283">
        <v>70695521</v>
      </c>
      <c r="E37" s="285" t="s">
        <v>419</v>
      </c>
      <c r="F37" s="283">
        <v>3111</v>
      </c>
      <c r="G37" s="347" t="s">
        <v>305</v>
      </c>
      <c r="H37" s="733" t="s">
        <v>271</v>
      </c>
      <c r="I37" s="423">
        <f t="shared" ref="I37:I42" si="83">J37+P37+Q37+R37</f>
        <v>1605205</v>
      </c>
      <c r="J37" s="418">
        <f t="shared" ref="J37:J42" si="84">K37+L37</f>
        <v>1186844</v>
      </c>
      <c r="K37" s="418">
        <v>1126940</v>
      </c>
      <c r="L37" s="418">
        <v>59904</v>
      </c>
      <c r="M37" s="418">
        <f t="shared" ref="M37:M42" si="85">N37+O37</f>
        <v>0</v>
      </c>
      <c r="N37" s="418">
        <v>0</v>
      </c>
      <c r="O37" s="418">
        <v>0</v>
      </c>
      <c r="P37" s="68">
        <f t="shared" ref="P37:P42" si="86">ROUND((J37+M37)*33.8%,0)</f>
        <v>401153</v>
      </c>
      <c r="Q37" s="68">
        <f t="shared" ref="Q37:Q42" si="87">ROUND(J37*1%,0)</f>
        <v>11868</v>
      </c>
      <c r="R37" s="418">
        <v>5340</v>
      </c>
      <c r="S37" s="419">
        <f t="shared" ref="S37:S42" si="88">T37+U37</f>
        <v>2.1755</v>
      </c>
      <c r="T37" s="420">
        <v>1.9355</v>
      </c>
      <c r="U37" s="527">
        <v>0.24</v>
      </c>
      <c r="V37" s="427">
        <f t="shared" ref="V37:W42" si="89">AI37*-1</f>
        <v>0</v>
      </c>
      <c r="W37" s="421">
        <f t="shared" si="89"/>
        <v>0</v>
      </c>
      <c r="X37" s="421">
        <v>0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 t="shared" ref="AF37:AF42" si="90">V37+X37+Y37+AA37+AB37+AD37</f>
        <v>0</v>
      </c>
      <c r="AG37" s="421">
        <f t="shared" ref="AG37:AG42" si="91">W37+Z37+AC37+AE37</f>
        <v>0</v>
      </c>
      <c r="AH37" s="421">
        <f t="shared" ref="AH37:AH42" si="92">SUM(AF37:AG37)</f>
        <v>0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ref="AO37:AO42" si="93">AI37+AK37+AL37+AM37</f>
        <v>0</v>
      </c>
      <c r="AP37" s="421">
        <f t="shared" ref="AP37:AP42" si="94">AJ37+AN37</f>
        <v>0</v>
      </c>
      <c r="AQ37" s="421">
        <f t="shared" ref="AQ37:AQ42" si="95">SUM(AO37:AP37)</f>
        <v>0</v>
      </c>
      <c r="AR37" s="421">
        <f t="shared" ref="AR37:AS42" si="96">AF37+AO37</f>
        <v>0</v>
      </c>
      <c r="AS37" s="421">
        <f t="shared" si="96"/>
        <v>0</v>
      </c>
      <c r="AT37" s="421">
        <f t="shared" ref="AT37:AT42" si="97">SUM(AR37:AS37)</f>
        <v>0</v>
      </c>
      <c r="AU37" s="68">
        <f t="shared" ref="AU37:AU42" si="98">ROUND((AH37+AI37+AJ37+AK37+AL37)*33.8%,0)</f>
        <v>0</v>
      </c>
      <c r="AV37" s="68">
        <f t="shared" ref="AV37:AV42" si="99">ROUND(AH37*1%,0)</f>
        <v>0</v>
      </c>
      <c r="AW37" s="421">
        <v>0</v>
      </c>
      <c r="AX37" s="421">
        <v>0</v>
      </c>
      <c r="AY37" s="421">
        <f t="shared" ref="AY37:AY42" si="100">AW37+AX37</f>
        <v>0</v>
      </c>
      <c r="AZ37" s="421">
        <f t="shared" ref="AZ37:AZ42" si="101">AT37+AU37+AV37+AY37</f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 t="shared" ref="BK37:BK42" si="102">BA37+BC37+BD37+BF37+BH37+BI37</f>
        <v>0</v>
      </c>
      <c r="BL37" s="422">
        <f t="shared" ref="BL37:BL42" si="103">BB37+BE37+BG37+BJ37</f>
        <v>0</v>
      </c>
      <c r="BM37" s="611">
        <f t="shared" ref="BM37:BM42" si="104">SUM(BK37:BL37)</f>
        <v>0</v>
      </c>
      <c r="BN37" s="428">
        <f t="shared" ref="BN37:BN42" si="105">I37+AZ37</f>
        <v>1605205</v>
      </c>
      <c r="BO37" s="421">
        <f t="shared" ref="BO37:BO42" si="106">J37+AH37</f>
        <v>1186844</v>
      </c>
      <c r="BP37" s="421">
        <f t="shared" ref="BP37:BQ42" si="107">K37+AF37</f>
        <v>1126940</v>
      </c>
      <c r="BQ37" s="421">
        <f t="shared" si="107"/>
        <v>59904</v>
      </c>
      <c r="BR37" s="421">
        <f t="shared" ref="BR37:BR42" si="108">M37+AQ37</f>
        <v>0</v>
      </c>
      <c r="BS37" s="421">
        <f t="shared" ref="BS37:BT42" si="109">N37+AO37</f>
        <v>0</v>
      </c>
      <c r="BT37" s="421">
        <f t="shared" si="109"/>
        <v>0</v>
      </c>
      <c r="BU37" s="421">
        <f t="shared" ref="BU37:BV42" si="110">P37+AU37</f>
        <v>401153</v>
      </c>
      <c r="BV37" s="421">
        <f t="shared" si="110"/>
        <v>11868</v>
      </c>
      <c r="BW37" s="421">
        <f t="shared" ref="BW37:BW42" si="111">R37+AY37</f>
        <v>5340</v>
      </c>
      <c r="BX37" s="422">
        <f t="shared" ref="BX37:BX42" si="112">S37+BM37</f>
        <v>2.1755</v>
      </c>
      <c r="BY37" s="422">
        <f t="shared" ref="BY37:BZ42" si="113">T37+BK37</f>
        <v>1.9355</v>
      </c>
      <c r="BZ37" s="611">
        <f t="shared" si="113"/>
        <v>0.24</v>
      </c>
      <c r="CA37" s="423"/>
      <c r="CB37" s="418"/>
      <c r="CC37" s="418"/>
      <c r="CD37" s="418"/>
      <c r="CE37" s="418"/>
      <c r="CF37" s="527"/>
    </row>
    <row r="38" spans="1:84" ht="12.95" customHeight="1" x14ac:dyDescent="0.25">
      <c r="A38" s="282">
        <v>6</v>
      </c>
      <c r="B38" s="323">
        <v>5405</v>
      </c>
      <c r="C38" s="324">
        <v>600099121</v>
      </c>
      <c r="D38" s="283">
        <v>70695521</v>
      </c>
      <c r="E38" s="350" t="s">
        <v>419</v>
      </c>
      <c r="F38" s="323">
        <v>3113</v>
      </c>
      <c r="G38" s="347" t="s">
        <v>309</v>
      </c>
      <c r="H38" s="733" t="s">
        <v>271</v>
      </c>
      <c r="I38" s="423">
        <f t="shared" si="83"/>
        <v>8963738</v>
      </c>
      <c r="J38" s="418">
        <f t="shared" si="84"/>
        <v>6542592</v>
      </c>
      <c r="K38" s="418">
        <v>5987211</v>
      </c>
      <c r="L38" s="418">
        <v>555381</v>
      </c>
      <c r="M38" s="418">
        <f t="shared" si="85"/>
        <v>0</v>
      </c>
      <c r="N38" s="418">
        <v>0</v>
      </c>
      <c r="O38" s="418">
        <v>0</v>
      </c>
      <c r="P38" s="68">
        <f t="shared" si="86"/>
        <v>2211396</v>
      </c>
      <c r="Q38" s="68">
        <f>ROUND(J38*1%,0)+1</f>
        <v>65427</v>
      </c>
      <c r="R38" s="418">
        <v>144323</v>
      </c>
      <c r="S38" s="419">
        <f t="shared" si="88"/>
        <v>11.488200000000001</v>
      </c>
      <c r="T38" s="420">
        <v>10.063800000000001</v>
      </c>
      <c r="U38" s="527">
        <v>1.4243999999999999</v>
      </c>
      <c r="V38" s="427">
        <f t="shared" si="89"/>
        <v>0</v>
      </c>
      <c r="W38" s="421">
        <f t="shared" si="89"/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 t="shared" si="90"/>
        <v>0</v>
      </c>
      <c r="AG38" s="421">
        <f t="shared" si="91"/>
        <v>0</v>
      </c>
      <c r="AH38" s="421">
        <f t="shared" si="92"/>
        <v>0</v>
      </c>
      <c r="AI38" s="421">
        <v>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si="93"/>
        <v>0</v>
      </c>
      <c r="AP38" s="421">
        <f t="shared" si="94"/>
        <v>0</v>
      </c>
      <c r="AQ38" s="421">
        <f t="shared" si="95"/>
        <v>0</v>
      </c>
      <c r="AR38" s="421">
        <f t="shared" si="96"/>
        <v>0</v>
      </c>
      <c r="AS38" s="421">
        <f t="shared" si="96"/>
        <v>0</v>
      </c>
      <c r="AT38" s="421">
        <f t="shared" si="97"/>
        <v>0</v>
      </c>
      <c r="AU38" s="68">
        <f t="shared" si="98"/>
        <v>0</v>
      </c>
      <c r="AV38" s="68">
        <f t="shared" si="99"/>
        <v>0</v>
      </c>
      <c r="AW38" s="421">
        <v>0</v>
      </c>
      <c r="AX38" s="421">
        <v>0</v>
      </c>
      <c r="AY38" s="421">
        <f t="shared" si="100"/>
        <v>0</v>
      </c>
      <c r="AZ38" s="421">
        <f t="shared" si="101"/>
        <v>0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 t="shared" si="102"/>
        <v>0</v>
      </c>
      <c r="BL38" s="422">
        <f t="shared" si="103"/>
        <v>0</v>
      </c>
      <c r="BM38" s="611">
        <f t="shared" si="104"/>
        <v>0</v>
      </c>
      <c r="BN38" s="428">
        <f t="shared" si="105"/>
        <v>8963738</v>
      </c>
      <c r="BO38" s="421">
        <f t="shared" si="106"/>
        <v>6542592</v>
      </c>
      <c r="BP38" s="421">
        <f t="shared" si="107"/>
        <v>5987211</v>
      </c>
      <c r="BQ38" s="421">
        <f t="shared" si="107"/>
        <v>555381</v>
      </c>
      <c r="BR38" s="421">
        <f t="shared" si="108"/>
        <v>0</v>
      </c>
      <c r="BS38" s="421">
        <f t="shared" si="109"/>
        <v>0</v>
      </c>
      <c r="BT38" s="421">
        <f t="shared" si="109"/>
        <v>0</v>
      </c>
      <c r="BU38" s="421">
        <f t="shared" si="110"/>
        <v>2211396</v>
      </c>
      <c r="BV38" s="421">
        <f t="shared" si="110"/>
        <v>65427</v>
      </c>
      <c r="BW38" s="421">
        <f t="shared" si="111"/>
        <v>144323</v>
      </c>
      <c r="BX38" s="422">
        <f t="shared" si="112"/>
        <v>11.488200000000001</v>
      </c>
      <c r="BY38" s="422">
        <f t="shared" si="113"/>
        <v>10.063800000000001</v>
      </c>
      <c r="BZ38" s="611">
        <f t="shared" si="113"/>
        <v>1.4243999999999999</v>
      </c>
      <c r="CA38" s="423"/>
      <c r="CB38" s="418"/>
      <c r="CC38" s="418"/>
      <c r="CD38" s="418"/>
      <c r="CE38" s="418"/>
      <c r="CF38" s="527"/>
    </row>
    <row r="39" spans="1:84" ht="12.95" customHeight="1" x14ac:dyDescent="0.25">
      <c r="A39" s="282">
        <v>6</v>
      </c>
      <c r="B39" s="323">
        <v>5405</v>
      </c>
      <c r="C39" s="324">
        <v>600099121</v>
      </c>
      <c r="D39" s="283">
        <v>70695521</v>
      </c>
      <c r="E39" s="350" t="s">
        <v>419</v>
      </c>
      <c r="F39" s="323">
        <v>3113</v>
      </c>
      <c r="G39" s="286" t="s">
        <v>292</v>
      </c>
      <c r="H39" s="733" t="s">
        <v>272</v>
      </c>
      <c r="I39" s="423">
        <f t="shared" si="83"/>
        <v>0</v>
      </c>
      <c r="J39" s="418">
        <f t="shared" si="84"/>
        <v>0</v>
      </c>
      <c r="K39" s="418">
        <v>0</v>
      </c>
      <c r="L39" s="418">
        <v>0</v>
      </c>
      <c r="M39" s="418">
        <f>N39+O39</f>
        <v>0</v>
      </c>
      <c r="N39" s="418">
        <v>0</v>
      </c>
      <c r="O39" s="418">
        <v>0</v>
      </c>
      <c r="P39" s="68">
        <f t="shared" si="86"/>
        <v>0</v>
      </c>
      <c r="Q39" s="68">
        <f t="shared" ref="Q39" si="114">ROUND(J39*1%,0)</f>
        <v>0</v>
      </c>
      <c r="R39" s="418">
        <v>0</v>
      </c>
      <c r="S39" s="419">
        <f>T39+U39</f>
        <v>0</v>
      </c>
      <c r="T39" s="420">
        <v>0</v>
      </c>
      <c r="U39" s="527">
        <v>0</v>
      </c>
      <c r="V39" s="427">
        <f t="shared" si="89"/>
        <v>0</v>
      </c>
      <c r="W39" s="421">
        <f t="shared" si="89"/>
        <v>0</v>
      </c>
      <c r="X39" s="421">
        <v>2068292</v>
      </c>
      <c r="Y39" s="421">
        <v>0</v>
      </c>
      <c r="Z39" s="421">
        <v>0</v>
      </c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f t="shared" si="90"/>
        <v>2068292</v>
      </c>
      <c r="AG39" s="421">
        <f t="shared" si="91"/>
        <v>0</v>
      </c>
      <c r="AH39" s="421">
        <f t="shared" si="92"/>
        <v>2068292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 t="shared" si="93"/>
        <v>0</v>
      </c>
      <c r="AP39" s="421">
        <f t="shared" si="94"/>
        <v>0</v>
      </c>
      <c r="AQ39" s="421">
        <f t="shared" si="95"/>
        <v>0</v>
      </c>
      <c r="AR39" s="421">
        <f t="shared" si="96"/>
        <v>2068292</v>
      </c>
      <c r="AS39" s="421">
        <f t="shared" si="96"/>
        <v>0</v>
      </c>
      <c r="AT39" s="421">
        <f t="shared" si="97"/>
        <v>2068292</v>
      </c>
      <c r="AU39" s="68">
        <f t="shared" si="98"/>
        <v>699083</v>
      </c>
      <c r="AV39" s="68">
        <f t="shared" si="99"/>
        <v>20683</v>
      </c>
      <c r="AW39" s="421">
        <v>0</v>
      </c>
      <c r="AX39" s="421">
        <v>0</v>
      </c>
      <c r="AY39" s="421">
        <f t="shared" si="100"/>
        <v>0</v>
      </c>
      <c r="AZ39" s="421">
        <f t="shared" si="101"/>
        <v>2788058</v>
      </c>
      <c r="BA39" s="422">
        <v>0</v>
      </c>
      <c r="BB39" s="422">
        <v>0</v>
      </c>
      <c r="BC39" s="422">
        <v>5.83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 t="shared" si="102"/>
        <v>5.83</v>
      </c>
      <c r="BL39" s="422">
        <f t="shared" si="103"/>
        <v>0</v>
      </c>
      <c r="BM39" s="611">
        <f t="shared" si="104"/>
        <v>5.83</v>
      </c>
      <c r="BN39" s="428">
        <f t="shared" si="105"/>
        <v>2788058</v>
      </c>
      <c r="BO39" s="421">
        <f t="shared" si="106"/>
        <v>2068292</v>
      </c>
      <c r="BP39" s="421">
        <f t="shared" si="107"/>
        <v>2068292</v>
      </c>
      <c r="BQ39" s="421">
        <f t="shared" si="107"/>
        <v>0</v>
      </c>
      <c r="BR39" s="421">
        <f t="shared" si="108"/>
        <v>0</v>
      </c>
      <c r="BS39" s="421">
        <f t="shared" si="109"/>
        <v>0</v>
      </c>
      <c r="BT39" s="421">
        <f t="shared" si="109"/>
        <v>0</v>
      </c>
      <c r="BU39" s="421">
        <f t="shared" si="110"/>
        <v>699083</v>
      </c>
      <c r="BV39" s="421">
        <f t="shared" si="110"/>
        <v>20683</v>
      </c>
      <c r="BW39" s="421">
        <f t="shared" si="111"/>
        <v>0</v>
      </c>
      <c r="BX39" s="422">
        <f t="shared" si="112"/>
        <v>5.83</v>
      </c>
      <c r="BY39" s="422">
        <f t="shared" si="113"/>
        <v>5.83</v>
      </c>
      <c r="BZ39" s="611">
        <f t="shared" si="113"/>
        <v>0</v>
      </c>
      <c r="CA39" s="423"/>
      <c r="CB39" s="418"/>
      <c r="CC39" s="418"/>
      <c r="CD39" s="418"/>
      <c r="CE39" s="418"/>
      <c r="CF39" s="527"/>
    </row>
    <row r="40" spans="1:84" ht="12.95" customHeight="1" x14ac:dyDescent="0.25">
      <c r="A40" s="282">
        <v>6</v>
      </c>
      <c r="B40" s="323">
        <v>5405</v>
      </c>
      <c r="C40" s="324">
        <v>600099121</v>
      </c>
      <c r="D40" s="283">
        <v>70695521</v>
      </c>
      <c r="E40" s="350" t="s">
        <v>419</v>
      </c>
      <c r="F40" s="323">
        <v>3141</v>
      </c>
      <c r="G40" s="347" t="s">
        <v>295</v>
      </c>
      <c r="H40" s="733" t="s">
        <v>272</v>
      </c>
      <c r="I40" s="423">
        <f t="shared" si="83"/>
        <v>758816</v>
      </c>
      <c r="J40" s="418">
        <f t="shared" si="84"/>
        <v>560246</v>
      </c>
      <c r="K40" s="418">
        <v>0</v>
      </c>
      <c r="L40" s="418">
        <v>560246</v>
      </c>
      <c r="M40" s="418">
        <f t="shared" si="85"/>
        <v>0</v>
      </c>
      <c r="N40" s="418">
        <v>0</v>
      </c>
      <c r="O40" s="418">
        <v>0</v>
      </c>
      <c r="P40" s="68">
        <f t="shared" si="86"/>
        <v>189363</v>
      </c>
      <c r="Q40" s="68">
        <f t="shared" si="87"/>
        <v>5602</v>
      </c>
      <c r="R40" s="418">
        <v>3605</v>
      </c>
      <c r="S40" s="419">
        <f t="shared" si="88"/>
        <v>1.68</v>
      </c>
      <c r="T40" s="420">
        <v>0</v>
      </c>
      <c r="U40" s="527">
        <v>1.68</v>
      </c>
      <c r="V40" s="427">
        <f t="shared" si="89"/>
        <v>0</v>
      </c>
      <c r="W40" s="421">
        <f t="shared" si="89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 t="shared" si="90"/>
        <v>0</v>
      </c>
      <c r="AG40" s="421">
        <f t="shared" si="91"/>
        <v>0</v>
      </c>
      <c r="AH40" s="421">
        <f t="shared" si="92"/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93"/>
        <v>0</v>
      </c>
      <c r="AP40" s="421">
        <f t="shared" si="94"/>
        <v>0</v>
      </c>
      <c r="AQ40" s="421">
        <f t="shared" si="95"/>
        <v>0</v>
      </c>
      <c r="AR40" s="421">
        <f t="shared" si="96"/>
        <v>0</v>
      </c>
      <c r="AS40" s="421">
        <f t="shared" si="96"/>
        <v>0</v>
      </c>
      <c r="AT40" s="421">
        <f t="shared" si="97"/>
        <v>0</v>
      </c>
      <c r="AU40" s="68">
        <f t="shared" si="98"/>
        <v>0</v>
      </c>
      <c r="AV40" s="68">
        <f t="shared" si="99"/>
        <v>0</v>
      </c>
      <c r="AW40" s="421">
        <v>0</v>
      </c>
      <c r="AX40" s="421">
        <v>0</v>
      </c>
      <c r="AY40" s="421">
        <f t="shared" si="100"/>
        <v>0</v>
      </c>
      <c r="AZ40" s="421">
        <f t="shared" si="101"/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 t="shared" si="102"/>
        <v>0</v>
      </c>
      <c r="BL40" s="422">
        <f t="shared" si="103"/>
        <v>0</v>
      </c>
      <c r="BM40" s="611">
        <f t="shared" si="104"/>
        <v>0</v>
      </c>
      <c r="BN40" s="428">
        <f t="shared" si="105"/>
        <v>758816</v>
      </c>
      <c r="BO40" s="421">
        <f t="shared" si="106"/>
        <v>560246</v>
      </c>
      <c r="BP40" s="421">
        <f t="shared" si="107"/>
        <v>0</v>
      </c>
      <c r="BQ40" s="421">
        <f t="shared" si="107"/>
        <v>560246</v>
      </c>
      <c r="BR40" s="421">
        <f t="shared" si="108"/>
        <v>0</v>
      </c>
      <c r="BS40" s="421">
        <f t="shared" si="109"/>
        <v>0</v>
      </c>
      <c r="BT40" s="421">
        <f t="shared" si="109"/>
        <v>0</v>
      </c>
      <c r="BU40" s="421">
        <f t="shared" si="110"/>
        <v>189363</v>
      </c>
      <c r="BV40" s="421">
        <f t="shared" si="110"/>
        <v>5602</v>
      </c>
      <c r="BW40" s="421">
        <f t="shared" si="111"/>
        <v>3605</v>
      </c>
      <c r="BX40" s="422">
        <f t="shared" si="112"/>
        <v>1.68</v>
      </c>
      <c r="BY40" s="422">
        <f t="shared" si="113"/>
        <v>0</v>
      </c>
      <c r="BZ40" s="611">
        <f t="shared" si="113"/>
        <v>1.68</v>
      </c>
      <c r="CA40" s="423"/>
      <c r="CB40" s="418"/>
      <c r="CC40" s="418"/>
      <c r="CD40" s="418"/>
      <c r="CE40" s="418"/>
      <c r="CF40" s="527"/>
    </row>
    <row r="41" spans="1:84" ht="12.95" customHeight="1" x14ac:dyDescent="0.25">
      <c r="A41" s="282">
        <v>6</v>
      </c>
      <c r="B41" s="323">
        <v>5405</v>
      </c>
      <c r="C41" s="324">
        <v>600099121</v>
      </c>
      <c r="D41" s="283">
        <v>70695521</v>
      </c>
      <c r="E41" s="350" t="s">
        <v>419</v>
      </c>
      <c r="F41" s="323">
        <v>3143</v>
      </c>
      <c r="G41" s="286" t="s">
        <v>596</v>
      </c>
      <c r="H41" s="733" t="s">
        <v>271</v>
      </c>
      <c r="I41" s="423">
        <f t="shared" si="83"/>
        <v>717992</v>
      </c>
      <c r="J41" s="418">
        <f t="shared" si="84"/>
        <v>532635</v>
      </c>
      <c r="K41" s="418">
        <v>532635</v>
      </c>
      <c r="L41" s="418">
        <v>0</v>
      </c>
      <c r="M41" s="418">
        <f t="shared" si="85"/>
        <v>0</v>
      </c>
      <c r="N41" s="418">
        <v>0</v>
      </c>
      <c r="O41" s="418">
        <v>0</v>
      </c>
      <c r="P41" s="68">
        <f t="shared" si="86"/>
        <v>180031</v>
      </c>
      <c r="Q41" s="68">
        <f t="shared" si="87"/>
        <v>5326</v>
      </c>
      <c r="R41" s="418">
        <v>0</v>
      </c>
      <c r="S41" s="419">
        <f t="shared" si="88"/>
        <v>1</v>
      </c>
      <c r="T41" s="420">
        <v>1</v>
      </c>
      <c r="U41" s="527">
        <v>0</v>
      </c>
      <c r="V41" s="427">
        <f t="shared" si="89"/>
        <v>0</v>
      </c>
      <c r="W41" s="421">
        <f t="shared" si="89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 t="shared" si="90"/>
        <v>0</v>
      </c>
      <c r="AG41" s="421">
        <f t="shared" si="91"/>
        <v>0</v>
      </c>
      <c r="AH41" s="421">
        <f t="shared" si="92"/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93"/>
        <v>0</v>
      </c>
      <c r="AP41" s="421">
        <f t="shared" si="94"/>
        <v>0</v>
      </c>
      <c r="AQ41" s="421">
        <f t="shared" si="95"/>
        <v>0</v>
      </c>
      <c r="AR41" s="421">
        <f t="shared" si="96"/>
        <v>0</v>
      </c>
      <c r="AS41" s="421">
        <f t="shared" si="96"/>
        <v>0</v>
      </c>
      <c r="AT41" s="421">
        <f t="shared" si="97"/>
        <v>0</v>
      </c>
      <c r="AU41" s="68">
        <f t="shared" si="98"/>
        <v>0</v>
      </c>
      <c r="AV41" s="68">
        <f t="shared" si="99"/>
        <v>0</v>
      </c>
      <c r="AW41" s="421">
        <v>0</v>
      </c>
      <c r="AX41" s="421">
        <v>0</v>
      </c>
      <c r="AY41" s="421">
        <f t="shared" si="100"/>
        <v>0</v>
      </c>
      <c r="AZ41" s="421">
        <f t="shared" si="101"/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 t="shared" si="102"/>
        <v>0</v>
      </c>
      <c r="BL41" s="422">
        <f t="shared" si="103"/>
        <v>0</v>
      </c>
      <c r="BM41" s="611">
        <f t="shared" si="104"/>
        <v>0</v>
      </c>
      <c r="BN41" s="428">
        <f t="shared" si="105"/>
        <v>717992</v>
      </c>
      <c r="BO41" s="421">
        <f t="shared" si="106"/>
        <v>532635</v>
      </c>
      <c r="BP41" s="421">
        <f t="shared" si="107"/>
        <v>532635</v>
      </c>
      <c r="BQ41" s="421">
        <f t="shared" si="107"/>
        <v>0</v>
      </c>
      <c r="BR41" s="421">
        <f t="shared" si="108"/>
        <v>0</v>
      </c>
      <c r="BS41" s="421">
        <f t="shared" si="109"/>
        <v>0</v>
      </c>
      <c r="BT41" s="421">
        <f t="shared" si="109"/>
        <v>0</v>
      </c>
      <c r="BU41" s="421">
        <f t="shared" si="110"/>
        <v>180031</v>
      </c>
      <c r="BV41" s="421">
        <f t="shared" si="110"/>
        <v>5326</v>
      </c>
      <c r="BW41" s="421">
        <f t="shared" si="111"/>
        <v>0</v>
      </c>
      <c r="BX41" s="422">
        <f t="shared" si="112"/>
        <v>1</v>
      </c>
      <c r="BY41" s="422">
        <f t="shared" si="113"/>
        <v>1</v>
      </c>
      <c r="BZ41" s="611">
        <f t="shared" si="113"/>
        <v>0</v>
      </c>
      <c r="CA41" s="423"/>
      <c r="CB41" s="418"/>
      <c r="CC41" s="418"/>
      <c r="CD41" s="418"/>
      <c r="CE41" s="418"/>
      <c r="CF41" s="527"/>
    </row>
    <row r="42" spans="1:84" ht="12.95" customHeight="1" x14ac:dyDescent="0.25">
      <c r="A42" s="282">
        <v>6</v>
      </c>
      <c r="B42" s="323">
        <v>5405</v>
      </c>
      <c r="C42" s="324">
        <v>600099121</v>
      </c>
      <c r="D42" s="283">
        <v>70695521</v>
      </c>
      <c r="E42" s="350" t="s">
        <v>419</v>
      </c>
      <c r="F42" s="323">
        <v>3143</v>
      </c>
      <c r="G42" s="286" t="s">
        <v>597</v>
      </c>
      <c r="H42" s="733" t="s">
        <v>272</v>
      </c>
      <c r="I42" s="423">
        <f t="shared" si="83"/>
        <v>12799</v>
      </c>
      <c r="J42" s="418">
        <f t="shared" si="84"/>
        <v>9161</v>
      </c>
      <c r="K42" s="418">
        <v>0</v>
      </c>
      <c r="L42" s="418">
        <v>9161</v>
      </c>
      <c r="M42" s="418">
        <f t="shared" si="85"/>
        <v>0</v>
      </c>
      <c r="N42" s="418">
        <v>0</v>
      </c>
      <c r="O42" s="418">
        <v>0</v>
      </c>
      <c r="P42" s="68">
        <f t="shared" si="86"/>
        <v>3096</v>
      </c>
      <c r="Q42" s="68">
        <f t="shared" si="87"/>
        <v>92</v>
      </c>
      <c r="R42" s="418">
        <v>450</v>
      </c>
      <c r="S42" s="419">
        <f t="shared" si="88"/>
        <v>3.4700000000000002E-2</v>
      </c>
      <c r="T42" s="420">
        <v>0</v>
      </c>
      <c r="U42" s="527">
        <v>3.4700000000000002E-2</v>
      </c>
      <c r="V42" s="427">
        <f t="shared" si="89"/>
        <v>0</v>
      </c>
      <c r="W42" s="421">
        <f t="shared" si="89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 t="shared" si="90"/>
        <v>0</v>
      </c>
      <c r="AG42" s="421">
        <f t="shared" si="91"/>
        <v>0</v>
      </c>
      <c r="AH42" s="421">
        <f t="shared" si="92"/>
        <v>0</v>
      </c>
      <c r="AI42" s="421">
        <v>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93"/>
        <v>0</v>
      </c>
      <c r="AP42" s="421">
        <f t="shared" si="94"/>
        <v>0</v>
      </c>
      <c r="AQ42" s="421">
        <f t="shared" si="95"/>
        <v>0</v>
      </c>
      <c r="AR42" s="421">
        <f t="shared" si="96"/>
        <v>0</v>
      </c>
      <c r="AS42" s="421">
        <f t="shared" si="96"/>
        <v>0</v>
      </c>
      <c r="AT42" s="421">
        <f t="shared" si="97"/>
        <v>0</v>
      </c>
      <c r="AU42" s="68">
        <f t="shared" si="98"/>
        <v>0</v>
      </c>
      <c r="AV42" s="68">
        <f t="shared" si="99"/>
        <v>0</v>
      </c>
      <c r="AW42" s="421">
        <v>0</v>
      </c>
      <c r="AX42" s="421">
        <v>0</v>
      </c>
      <c r="AY42" s="421">
        <f t="shared" si="100"/>
        <v>0</v>
      </c>
      <c r="AZ42" s="421">
        <f t="shared" si="101"/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 t="shared" si="102"/>
        <v>0</v>
      </c>
      <c r="BL42" s="422">
        <f t="shared" si="103"/>
        <v>0</v>
      </c>
      <c r="BM42" s="611">
        <f t="shared" si="104"/>
        <v>0</v>
      </c>
      <c r="BN42" s="428">
        <f t="shared" si="105"/>
        <v>12799</v>
      </c>
      <c r="BO42" s="421">
        <f t="shared" si="106"/>
        <v>9161</v>
      </c>
      <c r="BP42" s="421">
        <f t="shared" si="107"/>
        <v>0</v>
      </c>
      <c r="BQ42" s="421">
        <f t="shared" si="107"/>
        <v>9161</v>
      </c>
      <c r="BR42" s="421">
        <f t="shared" si="108"/>
        <v>0</v>
      </c>
      <c r="BS42" s="421">
        <f t="shared" si="109"/>
        <v>0</v>
      </c>
      <c r="BT42" s="421">
        <f t="shared" si="109"/>
        <v>0</v>
      </c>
      <c r="BU42" s="421">
        <f t="shared" si="110"/>
        <v>3096</v>
      </c>
      <c r="BV42" s="421">
        <f t="shared" si="110"/>
        <v>92</v>
      </c>
      <c r="BW42" s="421">
        <f t="shared" si="111"/>
        <v>450</v>
      </c>
      <c r="BX42" s="422">
        <f t="shared" si="112"/>
        <v>3.4700000000000002E-2</v>
      </c>
      <c r="BY42" s="422">
        <f t="shared" si="113"/>
        <v>0</v>
      </c>
      <c r="BZ42" s="611">
        <f t="shared" si="113"/>
        <v>3.4700000000000002E-2</v>
      </c>
      <c r="CA42" s="423"/>
      <c r="CB42" s="418"/>
      <c r="CC42" s="418"/>
      <c r="CD42" s="418"/>
      <c r="CE42" s="418"/>
      <c r="CF42" s="527"/>
    </row>
    <row r="43" spans="1:84" ht="12.95" customHeight="1" x14ac:dyDescent="0.25">
      <c r="A43" s="734">
        <v>6</v>
      </c>
      <c r="B43" s="354">
        <v>5405</v>
      </c>
      <c r="C43" s="334">
        <v>600099121</v>
      </c>
      <c r="D43" s="354">
        <v>70695521</v>
      </c>
      <c r="E43" s="351" t="s">
        <v>420</v>
      </c>
      <c r="F43" s="354"/>
      <c r="G43" s="355"/>
      <c r="H43" s="737"/>
      <c r="I43" s="489">
        <f t="shared" ref="I43:BT43" si="115">SUM(I37:I42)</f>
        <v>12058550</v>
      </c>
      <c r="J43" s="487">
        <f t="shared" si="115"/>
        <v>8831478</v>
      </c>
      <c r="K43" s="487">
        <f t="shared" si="115"/>
        <v>7646786</v>
      </c>
      <c r="L43" s="487">
        <f t="shared" si="115"/>
        <v>1184692</v>
      </c>
      <c r="M43" s="487">
        <f t="shared" si="115"/>
        <v>0</v>
      </c>
      <c r="N43" s="487">
        <f t="shared" si="115"/>
        <v>0</v>
      </c>
      <c r="O43" s="487">
        <f t="shared" si="115"/>
        <v>0</v>
      </c>
      <c r="P43" s="487">
        <f t="shared" si="115"/>
        <v>2985039</v>
      </c>
      <c r="Q43" s="487">
        <f t="shared" si="115"/>
        <v>88315</v>
      </c>
      <c r="R43" s="487">
        <f t="shared" si="115"/>
        <v>153718</v>
      </c>
      <c r="S43" s="488">
        <f t="shared" si="115"/>
        <v>16.378399999999999</v>
      </c>
      <c r="T43" s="488">
        <f t="shared" si="115"/>
        <v>12.9993</v>
      </c>
      <c r="U43" s="353">
        <f t="shared" si="115"/>
        <v>3.3790999999999998</v>
      </c>
      <c r="V43" s="490">
        <f t="shared" si="115"/>
        <v>0</v>
      </c>
      <c r="W43" s="487">
        <f t="shared" si="115"/>
        <v>0</v>
      </c>
      <c r="X43" s="487">
        <f t="shared" si="115"/>
        <v>2068292</v>
      </c>
      <c r="Y43" s="487">
        <f t="shared" si="115"/>
        <v>0</v>
      </c>
      <c r="Z43" s="487">
        <f t="shared" si="115"/>
        <v>0</v>
      </c>
      <c r="AA43" s="487">
        <f t="shared" si="115"/>
        <v>0</v>
      </c>
      <c r="AB43" s="487">
        <f t="shared" si="115"/>
        <v>0</v>
      </c>
      <c r="AC43" s="487">
        <f t="shared" si="115"/>
        <v>0</v>
      </c>
      <c r="AD43" s="487">
        <f t="shared" si="115"/>
        <v>0</v>
      </c>
      <c r="AE43" s="487">
        <f t="shared" si="115"/>
        <v>0</v>
      </c>
      <c r="AF43" s="487">
        <f t="shared" si="115"/>
        <v>2068292</v>
      </c>
      <c r="AG43" s="487">
        <f t="shared" si="115"/>
        <v>0</v>
      </c>
      <c r="AH43" s="487">
        <f t="shared" si="115"/>
        <v>2068292</v>
      </c>
      <c r="AI43" s="487">
        <f t="shared" si="115"/>
        <v>0</v>
      </c>
      <c r="AJ43" s="487">
        <f t="shared" si="115"/>
        <v>0</v>
      </c>
      <c r="AK43" s="487">
        <f t="shared" ref="AK43" si="116">SUM(AK37:AK42)</f>
        <v>0</v>
      </c>
      <c r="AL43" s="487">
        <f t="shared" si="115"/>
        <v>0</v>
      </c>
      <c r="AM43" s="487">
        <f t="shared" si="115"/>
        <v>0</v>
      </c>
      <c r="AN43" s="487">
        <f t="shared" si="115"/>
        <v>0</v>
      </c>
      <c r="AO43" s="487">
        <f t="shared" si="115"/>
        <v>0</v>
      </c>
      <c r="AP43" s="487">
        <f t="shared" si="115"/>
        <v>0</v>
      </c>
      <c r="AQ43" s="487">
        <f t="shared" si="115"/>
        <v>0</v>
      </c>
      <c r="AR43" s="487">
        <f t="shared" si="115"/>
        <v>2068292</v>
      </c>
      <c r="AS43" s="487">
        <f t="shared" si="115"/>
        <v>0</v>
      </c>
      <c r="AT43" s="487">
        <f t="shared" si="115"/>
        <v>2068292</v>
      </c>
      <c r="AU43" s="487">
        <f t="shared" si="115"/>
        <v>699083</v>
      </c>
      <c r="AV43" s="487">
        <f t="shared" si="115"/>
        <v>20683</v>
      </c>
      <c r="AW43" s="487">
        <f t="shared" si="115"/>
        <v>0</v>
      </c>
      <c r="AX43" s="487">
        <f t="shared" si="115"/>
        <v>0</v>
      </c>
      <c r="AY43" s="487">
        <f t="shared" si="115"/>
        <v>0</v>
      </c>
      <c r="AZ43" s="487">
        <f t="shared" si="115"/>
        <v>2788058</v>
      </c>
      <c r="BA43" s="488">
        <f t="shared" si="115"/>
        <v>0</v>
      </c>
      <c r="BB43" s="488">
        <f t="shared" si="115"/>
        <v>0</v>
      </c>
      <c r="BC43" s="488">
        <f t="shared" si="115"/>
        <v>5.83</v>
      </c>
      <c r="BD43" s="488">
        <f t="shared" si="115"/>
        <v>0</v>
      </c>
      <c r="BE43" s="488">
        <f t="shared" si="115"/>
        <v>0</v>
      </c>
      <c r="BF43" s="488">
        <f t="shared" si="115"/>
        <v>0</v>
      </c>
      <c r="BG43" s="488">
        <f t="shared" si="115"/>
        <v>0</v>
      </c>
      <c r="BH43" s="488">
        <f t="shared" si="115"/>
        <v>0</v>
      </c>
      <c r="BI43" s="488">
        <f t="shared" si="115"/>
        <v>0</v>
      </c>
      <c r="BJ43" s="488">
        <f t="shared" si="115"/>
        <v>0</v>
      </c>
      <c r="BK43" s="488">
        <f t="shared" si="115"/>
        <v>5.83</v>
      </c>
      <c r="BL43" s="488">
        <f t="shared" si="115"/>
        <v>0</v>
      </c>
      <c r="BM43" s="563">
        <f t="shared" si="115"/>
        <v>5.83</v>
      </c>
      <c r="BN43" s="489">
        <f t="shared" si="115"/>
        <v>14846608</v>
      </c>
      <c r="BO43" s="487">
        <f t="shared" si="115"/>
        <v>10899770</v>
      </c>
      <c r="BP43" s="487">
        <f t="shared" si="115"/>
        <v>9715078</v>
      </c>
      <c r="BQ43" s="487">
        <f t="shared" si="115"/>
        <v>1184692</v>
      </c>
      <c r="BR43" s="487">
        <f t="shared" si="115"/>
        <v>0</v>
      </c>
      <c r="BS43" s="487">
        <f t="shared" si="115"/>
        <v>0</v>
      </c>
      <c r="BT43" s="487">
        <f t="shared" si="115"/>
        <v>0</v>
      </c>
      <c r="BU43" s="487">
        <f t="shared" ref="BU43:CF43" si="117">SUM(BU37:BU42)</f>
        <v>3684122</v>
      </c>
      <c r="BV43" s="487">
        <f t="shared" si="117"/>
        <v>108998</v>
      </c>
      <c r="BW43" s="487">
        <f t="shared" si="117"/>
        <v>153718</v>
      </c>
      <c r="BX43" s="488">
        <f t="shared" si="117"/>
        <v>22.208400000000001</v>
      </c>
      <c r="BY43" s="488">
        <f t="shared" si="117"/>
        <v>18.8293</v>
      </c>
      <c r="BZ43" s="563">
        <f t="shared" si="117"/>
        <v>3.3790999999999998</v>
      </c>
      <c r="CA43" s="888">
        <f t="shared" si="117"/>
        <v>0</v>
      </c>
      <c r="CB43" s="887">
        <f t="shared" si="117"/>
        <v>0</v>
      </c>
      <c r="CC43" s="887">
        <f t="shared" si="117"/>
        <v>0</v>
      </c>
      <c r="CD43" s="887">
        <f t="shared" si="117"/>
        <v>0</v>
      </c>
      <c r="CE43" s="887">
        <f t="shared" si="117"/>
        <v>0</v>
      </c>
      <c r="CF43" s="843">
        <f t="shared" si="117"/>
        <v>0</v>
      </c>
    </row>
    <row r="44" spans="1:84" ht="12.95" customHeight="1" x14ac:dyDescent="0.25">
      <c r="A44" s="282">
        <v>7</v>
      </c>
      <c r="B44" s="323">
        <v>5410</v>
      </c>
      <c r="C44" s="324">
        <v>600099318</v>
      </c>
      <c r="D44" s="283">
        <v>854778</v>
      </c>
      <c r="E44" s="350" t="s">
        <v>421</v>
      </c>
      <c r="F44" s="323">
        <v>3111</v>
      </c>
      <c r="G44" s="347" t="s">
        <v>305</v>
      </c>
      <c r="H44" s="733" t="s">
        <v>271</v>
      </c>
      <c r="I44" s="423">
        <f t="shared" ref="I44:I49" si="118">J44+P44+Q44+R44</f>
        <v>3628794</v>
      </c>
      <c r="J44" s="418">
        <f t="shared" ref="J44:J49" si="119">K44+L44</f>
        <v>2682080</v>
      </c>
      <c r="K44" s="418">
        <v>2502368</v>
      </c>
      <c r="L44" s="418">
        <v>179712</v>
      </c>
      <c r="M44" s="418">
        <f t="shared" ref="M44:M49" si="120">N44+O44</f>
        <v>0</v>
      </c>
      <c r="N44" s="418">
        <v>0</v>
      </c>
      <c r="O44" s="418">
        <v>0</v>
      </c>
      <c r="P44" s="68">
        <f t="shared" ref="P44:P49" si="121">ROUND((J44+M44)*33.8%,0)</f>
        <v>906543</v>
      </c>
      <c r="Q44" s="68">
        <f t="shared" ref="Q44:Q49" si="122">ROUND(J44*1%,0)</f>
        <v>26821</v>
      </c>
      <c r="R44" s="418">
        <v>13350</v>
      </c>
      <c r="S44" s="419">
        <f t="shared" ref="S44:S49" si="123">T44+U44</f>
        <v>5.45</v>
      </c>
      <c r="T44" s="420">
        <v>4.7300000000000004</v>
      </c>
      <c r="U44" s="527">
        <v>0.72</v>
      </c>
      <c r="V44" s="427">
        <f t="shared" ref="V44:W49" si="124">AI44*-1</f>
        <v>-9600</v>
      </c>
      <c r="W44" s="421">
        <f t="shared" si="124"/>
        <v>-9600</v>
      </c>
      <c r="X44" s="421">
        <v>0</v>
      </c>
      <c r="Y44" s="421">
        <v>0</v>
      </c>
      <c r="Z44" s="421">
        <v>0</v>
      </c>
      <c r="AA44" s="421">
        <v>0</v>
      </c>
      <c r="AB44" s="421">
        <v>0</v>
      </c>
      <c r="AC44" s="421">
        <v>0</v>
      </c>
      <c r="AD44" s="421">
        <v>0</v>
      </c>
      <c r="AE44" s="421">
        <v>0</v>
      </c>
      <c r="AF44" s="421">
        <f t="shared" ref="AF44:AF49" si="125">V44+X44+Y44+AA44+AB44+AD44</f>
        <v>-9600</v>
      </c>
      <c r="AG44" s="421">
        <f t="shared" ref="AG44:AG49" si="126">W44+Z44+AC44+AE44</f>
        <v>-9600</v>
      </c>
      <c r="AH44" s="421">
        <f t="shared" ref="AH44:AH49" si="127">SUM(AF44:AG44)</f>
        <v>-19200</v>
      </c>
      <c r="AI44" s="421">
        <v>9600</v>
      </c>
      <c r="AJ44" s="421">
        <v>9600</v>
      </c>
      <c r="AK44" s="421">
        <v>0</v>
      </c>
      <c r="AL44" s="421">
        <v>0</v>
      </c>
      <c r="AM44" s="421">
        <v>0</v>
      </c>
      <c r="AN44" s="421">
        <v>0</v>
      </c>
      <c r="AO44" s="421">
        <f t="shared" ref="AO44:AO49" si="128">AI44+AK44+AL44+AM44</f>
        <v>9600</v>
      </c>
      <c r="AP44" s="421">
        <f t="shared" ref="AP44:AP49" si="129">AJ44+AN44</f>
        <v>9600</v>
      </c>
      <c r="AQ44" s="421">
        <f t="shared" ref="AQ44:AQ49" si="130">SUM(AO44:AP44)</f>
        <v>19200</v>
      </c>
      <c r="AR44" s="421">
        <f t="shared" ref="AR44:AS49" si="131">AF44+AO44</f>
        <v>0</v>
      </c>
      <c r="AS44" s="421">
        <f t="shared" si="131"/>
        <v>0</v>
      </c>
      <c r="AT44" s="421">
        <f t="shared" ref="AT44:AT49" si="132">SUM(AR44:AS44)</f>
        <v>0</v>
      </c>
      <c r="AU44" s="68">
        <f t="shared" ref="AU44:AU49" si="133">ROUND((AH44+AI44+AJ44+AK44+AL44)*33.8%,0)</f>
        <v>0</v>
      </c>
      <c r="AV44" s="68">
        <f t="shared" ref="AV44:AV49" si="134">ROUND(AH44*1%,0)</f>
        <v>-192</v>
      </c>
      <c r="AW44" s="421">
        <v>0</v>
      </c>
      <c r="AX44" s="421">
        <v>0</v>
      </c>
      <c r="AY44" s="421">
        <f t="shared" ref="AY44:AY49" si="135">AW44+AX44</f>
        <v>0</v>
      </c>
      <c r="AZ44" s="421">
        <f t="shared" ref="AZ44:AZ49" si="136">AT44+AU44+AV44+AY44</f>
        <v>-192</v>
      </c>
      <c r="BA44" s="422">
        <v>0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</v>
      </c>
      <c r="BK44" s="422">
        <f t="shared" ref="BK44:BK49" si="137">BA44+BC44+BD44+BF44+BH44+BI44</f>
        <v>0</v>
      </c>
      <c r="BL44" s="422">
        <f t="shared" ref="BL44:BL49" si="138">BB44+BE44+BG44+BJ44</f>
        <v>0</v>
      </c>
      <c r="BM44" s="611">
        <f t="shared" ref="BM44:BM49" si="139">SUM(BK44:BL44)</f>
        <v>0</v>
      </c>
      <c r="BN44" s="428">
        <f t="shared" ref="BN44:BN49" si="140">I44+AZ44</f>
        <v>3628602</v>
      </c>
      <c r="BO44" s="421">
        <f t="shared" ref="BO44:BO49" si="141">J44+AH44</f>
        <v>2662880</v>
      </c>
      <c r="BP44" s="421">
        <f t="shared" ref="BP44:BQ49" si="142">K44+AF44</f>
        <v>2492768</v>
      </c>
      <c r="BQ44" s="421">
        <f t="shared" si="142"/>
        <v>170112</v>
      </c>
      <c r="BR44" s="421">
        <f t="shared" ref="BR44:BR49" si="143">M44+AQ44</f>
        <v>19200</v>
      </c>
      <c r="BS44" s="421">
        <f t="shared" ref="BS44:BT49" si="144">N44+AO44</f>
        <v>9600</v>
      </c>
      <c r="BT44" s="421">
        <f t="shared" si="144"/>
        <v>9600</v>
      </c>
      <c r="BU44" s="421">
        <f t="shared" ref="BU44:BV49" si="145">P44+AU44</f>
        <v>906543</v>
      </c>
      <c r="BV44" s="421">
        <f t="shared" si="145"/>
        <v>26629</v>
      </c>
      <c r="BW44" s="421">
        <f t="shared" ref="BW44:BW49" si="146">R44+AY44</f>
        <v>13350</v>
      </c>
      <c r="BX44" s="422">
        <f t="shared" ref="BX44:BX49" si="147">S44+BM44</f>
        <v>5.45</v>
      </c>
      <c r="BY44" s="422">
        <f t="shared" ref="BY44:BZ49" si="148">T44+BK44</f>
        <v>4.7300000000000004</v>
      </c>
      <c r="BZ44" s="611">
        <f t="shared" si="148"/>
        <v>0.72</v>
      </c>
      <c r="CA44" s="423"/>
      <c r="CB44" s="418"/>
      <c r="CC44" s="418"/>
      <c r="CD44" s="418"/>
      <c r="CE44" s="418"/>
      <c r="CF44" s="527"/>
    </row>
    <row r="45" spans="1:84" ht="12.95" customHeight="1" x14ac:dyDescent="0.25">
      <c r="A45" s="282">
        <v>7</v>
      </c>
      <c r="B45" s="323">
        <v>5410</v>
      </c>
      <c r="C45" s="324">
        <v>600099318</v>
      </c>
      <c r="D45" s="283">
        <v>854778</v>
      </c>
      <c r="E45" s="350" t="s">
        <v>421</v>
      </c>
      <c r="F45" s="323">
        <v>3113</v>
      </c>
      <c r="G45" s="347" t="s">
        <v>309</v>
      </c>
      <c r="H45" s="733" t="s">
        <v>271</v>
      </c>
      <c r="I45" s="423">
        <f t="shared" si="118"/>
        <v>13221467</v>
      </c>
      <c r="J45" s="418">
        <f t="shared" si="119"/>
        <v>9685976</v>
      </c>
      <c r="K45" s="418">
        <v>8616483</v>
      </c>
      <c r="L45" s="418">
        <v>1069493</v>
      </c>
      <c r="M45" s="418">
        <f t="shared" si="120"/>
        <v>0</v>
      </c>
      <c r="N45" s="418">
        <v>0</v>
      </c>
      <c r="O45" s="418">
        <v>0</v>
      </c>
      <c r="P45" s="68">
        <f t="shared" si="121"/>
        <v>3273860</v>
      </c>
      <c r="Q45" s="68">
        <f>ROUND(J45*1%,0)-1</f>
        <v>96859</v>
      </c>
      <c r="R45" s="418">
        <v>164772</v>
      </c>
      <c r="S45" s="419">
        <f t="shared" si="123"/>
        <v>15.9711</v>
      </c>
      <c r="T45" s="420">
        <v>12.818099999999999</v>
      </c>
      <c r="U45" s="527">
        <v>3.1530000000000005</v>
      </c>
      <c r="V45" s="427">
        <f t="shared" si="124"/>
        <v>-6400</v>
      </c>
      <c r="W45" s="421">
        <f t="shared" si="124"/>
        <v>-12800</v>
      </c>
      <c r="X45" s="421">
        <v>0</v>
      </c>
      <c r="Y45" s="421">
        <v>0</v>
      </c>
      <c r="Z45" s="421">
        <v>0</v>
      </c>
      <c r="AA45" s="421">
        <v>0</v>
      </c>
      <c r="AB45" s="421">
        <v>112800</v>
      </c>
      <c r="AC45" s="421">
        <v>0</v>
      </c>
      <c r="AD45" s="421">
        <v>0</v>
      </c>
      <c r="AE45" s="421">
        <v>0</v>
      </c>
      <c r="AF45" s="421">
        <f t="shared" si="125"/>
        <v>106400</v>
      </c>
      <c r="AG45" s="421">
        <f t="shared" si="126"/>
        <v>-12800</v>
      </c>
      <c r="AH45" s="421">
        <f t="shared" si="127"/>
        <v>93600</v>
      </c>
      <c r="AI45" s="421">
        <v>6400</v>
      </c>
      <c r="AJ45" s="421">
        <v>12800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si="128"/>
        <v>6400</v>
      </c>
      <c r="AP45" s="421">
        <f t="shared" si="129"/>
        <v>12800</v>
      </c>
      <c r="AQ45" s="421">
        <f t="shared" si="130"/>
        <v>19200</v>
      </c>
      <c r="AR45" s="421">
        <f t="shared" si="131"/>
        <v>112800</v>
      </c>
      <c r="AS45" s="421">
        <f t="shared" si="131"/>
        <v>0</v>
      </c>
      <c r="AT45" s="421">
        <f t="shared" si="132"/>
        <v>112800</v>
      </c>
      <c r="AU45" s="68">
        <f t="shared" si="133"/>
        <v>38126</v>
      </c>
      <c r="AV45" s="68">
        <f t="shared" si="134"/>
        <v>936</v>
      </c>
      <c r="AW45" s="421">
        <v>0</v>
      </c>
      <c r="AX45" s="421">
        <v>0</v>
      </c>
      <c r="AY45" s="421">
        <f t="shared" si="135"/>
        <v>0</v>
      </c>
      <c r="AZ45" s="421">
        <f t="shared" si="136"/>
        <v>151862</v>
      </c>
      <c r="BA45" s="422">
        <v>0</v>
      </c>
      <c r="BB45" s="422">
        <v>0</v>
      </c>
      <c r="BC45" s="422">
        <v>0</v>
      </c>
      <c r="BD45" s="422">
        <v>0.2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 t="shared" si="137"/>
        <v>0.2</v>
      </c>
      <c r="BL45" s="422">
        <f t="shared" si="138"/>
        <v>0</v>
      </c>
      <c r="BM45" s="611">
        <f t="shared" si="139"/>
        <v>0.2</v>
      </c>
      <c r="BN45" s="428">
        <f t="shared" si="140"/>
        <v>13373329</v>
      </c>
      <c r="BO45" s="421">
        <f t="shared" si="141"/>
        <v>9779576</v>
      </c>
      <c r="BP45" s="421">
        <f t="shared" si="142"/>
        <v>8722883</v>
      </c>
      <c r="BQ45" s="421">
        <f t="shared" si="142"/>
        <v>1056693</v>
      </c>
      <c r="BR45" s="421">
        <f t="shared" si="143"/>
        <v>19200</v>
      </c>
      <c r="BS45" s="421">
        <f t="shared" si="144"/>
        <v>6400</v>
      </c>
      <c r="BT45" s="421">
        <f t="shared" si="144"/>
        <v>12800</v>
      </c>
      <c r="BU45" s="421">
        <f t="shared" si="145"/>
        <v>3311986</v>
      </c>
      <c r="BV45" s="421">
        <f t="shared" si="145"/>
        <v>97795</v>
      </c>
      <c r="BW45" s="421">
        <f t="shared" si="146"/>
        <v>164772</v>
      </c>
      <c r="BX45" s="422">
        <f t="shared" si="147"/>
        <v>16.171099999999999</v>
      </c>
      <c r="BY45" s="422">
        <f t="shared" si="148"/>
        <v>13.018099999999999</v>
      </c>
      <c r="BZ45" s="611">
        <f t="shared" si="148"/>
        <v>3.1530000000000005</v>
      </c>
      <c r="CA45" s="423">
        <v>152054</v>
      </c>
      <c r="CB45" s="418">
        <v>112800</v>
      </c>
      <c r="CC45" s="418">
        <v>0</v>
      </c>
      <c r="CD45" s="418">
        <v>38126</v>
      </c>
      <c r="CE45" s="418">
        <v>1128</v>
      </c>
      <c r="CF45" s="527">
        <v>0.2</v>
      </c>
    </row>
    <row r="46" spans="1:84" ht="12.95" customHeight="1" x14ac:dyDescent="0.25">
      <c r="A46" s="282">
        <v>7</v>
      </c>
      <c r="B46" s="323">
        <v>5410</v>
      </c>
      <c r="C46" s="324">
        <v>600099318</v>
      </c>
      <c r="D46" s="283">
        <v>854778</v>
      </c>
      <c r="E46" s="350" t="s">
        <v>421</v>
      </c>
      <c r="F46" s="323">
        <v>3113</v>
      </c>
      <c r="G46" s="286" t="s">
        <v>292</v>
      </c>
      <c r="H46" s="733" t="s">
        <v>272</v>
      </c>
      <c r="I46" s="423">
        <f t="shared" si="118"/>
        <v>0</v>
      </c>
      <c r="J46" s="418">
        <f t="shared" si="119"/>
        <v>0</v>
      </c>
      <c r="K46" s="418">
        <v>0</v>
      </c>
      <c r="L46" s="418">
        <v>0</v>
      </c>
      <c r="M46" s="418">
        <f>N46+O46</f>
        <v>0</v>
      </c>
      <c r="N46" s="418">
        <v>0</v>
      </c>
      <c r="O46" s="418">
        <v>0</v>
      </c>
      <c r="P46" s="68">
        <f t="shared" si="121"/>
        <v>0</v>
      </c>
      <c r="Q46" s="68">
        <f t="shared" ref="Q46" si="149">ROUND(J46*1%,0)</f>
        <v>0</v>
      </c>
      <c r="R46" s="418">
        <v>0</v>
      </c>
      <c r="S46" s="419">
        <f>T46+U46</f>
        <v>0</v>
      </c>
      <c r="T46" s="420">
        <v>0</v>
      </c>
      <c r="U46" s="527">
        <v>0</v>
      </c>
      <c r="V46" s="427">
        <f t="shared" si="124"/>
        <v>0</v>
      </c>
      <c r="W46" s="421">
        <f t="shared" si="124"/>
        <v>0</v>
      </c>
      <c r="X46" s="421">
        <f>365422+169951</f>
        <v>535373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 t="shared" si="125"/>
        <v>535373</v>
      </c>
      <c r="AG46" s="421">
        <f t="shared" si="126"/>
        <v>0</v>
      </c>
      <c r="AH46" s="421">
        <f t="shared" si="127"/>
        <v>535373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128"/>
        <v>0</v>
      </c>
      <c r="AP46" s="421">
        <f t="shared" si="129"/>
        <v>0</v>
      </c>
      <c r="AQ46" s="421">
        <f t="shared" si="130"/>
        <v>0</v>
      </c>
      <c r="AR46" s="421">
        <f t="shared" si="131"/>
        <v>535373</v>
      </c>
      <c r="AS46" s="421">
        <f t="shared" si="131"/>
        <v>0</v>
      </c>
      <c r="AT46" s="421">
        <f t="shared" si="132"/>
        <v>535373</v>
      </c>
      <c r="AU46" s="68">
        <f t="shared" si="133"/>
        <v>180956</v>
      </c>
      <c r="AV46" s="68">
        <f t="shared" si="134"/>
        <v>5354</v>
      </c>
      <c r="AW46" s="421">
        <v>0</v>
      </c>
      <c r="AX46" s="421">
        <v>0</v>
      </c>
      <c r="AY46" s="421">
        <f t="shared" si="135"/>
        <v>0</v>
      </c>
      <c r="AZ46" s="421">
        <f t="shared" si="136"/>
        <v>721683</v>
      </c>
      <c r="BA46" s="422">
        <v>0</v>
      </c>
      <c r="BB46" s="422">
        <v>0</v>
      </c>
      <c r="BC46" s="422">
        <f>1.04+0.46</f>
        <v>1.5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 t="shared" si="137"/>
        <v>1.5</v>
      </c>
      <c r="BL46" s="422">
        <f t="shared" si="138"/>
        <v>0</v>
      </c>
      <c r="BM46" s="611">
        <f t="shared" si="139"/>
        <v>1.5</v>
      </c>
      <c r="BN46" s="428">
        <f t="shared" si="140"/>
        <v>721683</v>
      </c>
      <c r="BO46" s="421">
        <f t="shared" si="141"/>
        <v>535373</v>
      </c>
      <c r="BP46" s="421">
        <f t="shared" si="142"/>
        <v>535373</v>
      </c>
      <c r="BQ46" s="421">
        <f t="shared" si="142"/>
        <v>0</v>
      </c>
      <c r="BR46" s="421">
        <f t="shared" si="143"/>
        <v>0</v>
      </c>
      <c r="BS46" s="421">
        <f t="shared" si="144"/>
        <v>0</v>
      </c>
      <c r="BT46" s="421">
        <f t="shared" si="144"/>
        <v>0</v>
      </c>
      <c r="BU46" s="421">
        <f t="shared" si="145"/>
        <v>180956</v>
      </c>
      <c r="BV46" s="421">
        <f t="shared" si="145"/>
        <v>5354</v>
      </c>
      <c r="BW46" s="421">
        <f t="shared" si="146"/>
        <v>0</v>
      </c>
      <c r="BX46" s="422">
        <f t="shared" si="147"/>
        <v>1.5</v>
      </c>
      <c r="BY46" s="422">
        <f t="shared" si="148"/>
        <v>1.5</v>
      </c>
      <c r="BZ46" s="611">
        <f t="shared" si="148"/>
        <v>0</v>
      </c>
      <c r="CA46" s="423"/>
      <c r="CB46" s="418"/>
      <c r="CC46" s="418"/>
      <c r="CD46" s="418"/>
      <c r="CE46" s="418"/>
      <c r="CF46" s="527"/>
    </row>
    <row r="47" spans="1:84" ht="12.95" customHeight="1" x14ac:dyDescent="0.25">
      <c r="A47" s="282">
        <v>7</v>
      </c>
      <c r="B47" s="323">
        <v>5410</v>
      </c>
      <c r="C47" s="324">
        <v>600099318</v>
      </c>
      <c r="D47" s="283">
        <v>854778</v>
      </c>
      <c r="E47" s="350" t="s">
        <v>421</v>
      </c>
      <c r="F47" s="323">
        <v>3141</v>
      </c>
      <c r="G47" s="347" t="s">
        <v>295</v>
      </c>
      <c r="H47" s="733" t="s">
        <v>272</v>
      </c>
      <c r="I47" s="423">
        <f t="shared" si="118"/>
        <v>1326230</v>
      </c>
      <c r="J47" s="418">
        <f t="shared" si="119"/>
        <v>978197</v>
      </c>
      <c r="K47" s="418">
        <v>0</v>
      </c>
      <c r="L47" s="418">
        <v>978197</v>
      </c>
      <c r="M47" s="418">
        <f t="shared" si="120"/>
        <v>0</v>
      </c>
      <c r="N47" s="418">
        <v>0</v>
      </c>
      <c r="O47" s="418">
        <v>0</v>
      </c>
      <c r="P47" s="68">
        <f t="shared" si="121"/>
        <v>330631</v>
      </c>
      <c r="Q47" s="68">
        <f t="shared" si="122"/>
        <v>9782</v>
      </c>
      <c r="R47" s="418">
        <v>7620</v>
      </c>
      <c r="S47" s="419">
        <f t="shared" si="123"/>
        <v>2.9333000000000005</v>
      </c>
      <c r="T47" s="420">
        <v>0</v>
      </c>
      <c r="U47" s="527">
        <v>2.9333000000000005</v>
      </c>
      <c r="V47" s="427">
        <f t="shared" si="124"/>
        <v>0</v>
      </c>
      <c r="W47" s="421">
        <f t="shared" si="124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 t="shared" si="125"/>
        <v>0</v>
      </c>
      <c r="AG47" s="421">
        <f t="shared" si="126"/>
        <v>0</v>
      </c>
      <c r="AH47" s="421">
        <f t="shared" si="127"/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28"/>
        <v>0</v>
      </c>
      <c r="AP47" s="421">
        <f t="shared" si="129"/>
        <v>0</v>
      </c>
      <c r="AQ47" s="421">
        <f t="shared" si="130"/>
        <v>0</v>
      </c>
      <c r="AR47" s="421">
        <f t="shared" si="131"/>
        <v>0</v>
      </c>
      <c r="AS47" s="421">
        <f t="shared" si="131"/>
        <v>0</v>
      </c>
      <c r="AT47" s="421">
        <f t="shared" si="132"/>
        <v>0</v>
      </c>
      <c r="AU47" s="68">
        <f t="shared" si="133"/>
        <v>0</v>
      </c>
      <c r="AV47" s="68">
        <f t="shared" si="134"/>
        <v>0</v>
      </c>
      <c r="AW47" s="421">
        <v>0</v>
      </c>
      <c r="AX47" s="421">
        <v>0</v>
      </c>
      <c r="AY47" s="421">
        <f t="shared" si="135"/>
        <v>0</v>
      </c>
      <c r="AZ47" s="421">
        <f t="shared" si="136"/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 t="shared" si="137"/>
        <v>0</v>
      </c>
      <c r="BL47" s="422">
        <f t="shared" si="138"/>
        <v>0</v>
      </c>
      <c r="BM47" s="611">
        <f t="shared" si="139"/>
        <v>0</v>
      </c>
      <c r="BN47" s="428">
        <f t="shared" si="140"/>
        <v>1326230</v>
      </c>
      <c r="BO47" s="421">
        <f t="shared" si="141"/>
        <v>978197</v>
      </c>
      <c r="BP47" s="421">
        <f t="shared" si="142"/>
        <v>0</v>
      </c>
      <c r="BQ47" s="421">
        <f t="shared" si="142"/>
        <v>978197</v>
      </c>
      <c r="BR47" s="421">
        <f t="shared" si="143"/>
        <v>0</v>
      </c>
      <c r="BS47" s="421">
        <f t="shared" si="144"/>
        <v>0</v>
      </c>
      <c r="BT47" s="421">
        <f t="shared" si="144"/>
        <v>0</v>
      </c>
      <c r="BU47" s="421">
        <f t="shared" si="145"/>
        <v>330631</v>
      </c>
      <c r="BV47" s="421">
        <f t="shared" si="145"/>
        <v>9782</v>
      </c>
      <c r="BW47" s="421">
        <f t="shared" si="146"/>
        <v>7620</v>
      </c>
      <c r="BX47" s="422">
        <f t="shared" si="147"/>
        <v>2.9333000000000005</v>
      </c>
      <c r="BY47" s="422">
        <f t="shared" si="148"/>
        <v>0</v>
      </c>
      <c r="BZ47" s="611">
        <f t="shared" si="148"/>
        <v>2.9333000000000005</v>
      </c>
      <c r="CA47" s="423"/>
      <c r="CB47" s="418"/>
      <c r="CC47" s="418"/>
      <c r="CD47" s="418"/>
      <c r="CE47" s="418"/>
      <c r="CF47" s="527"/>
    </row>
    <row r="48" spans="1:84" ht="12.95" customHeight="1" x14ac:dyDescent="0.25">
      <c r="A48" s="282">
        <v>7</v>
      </c>
      <c r="B48" s="323">
        <v>5410</v>
      </c>
      <c r="C48" s="324">
        <v>600099318</v>
      </c>
      <c r="D48" s="283">
        <v>854778</v>
      </c>
      <c r="E48" s="350" t="s">
        <v>421</v>
      </c>
      <c r="F48" s="323">
        <v>3143</v>
      </c>
      <c r="G48" s="286" t="s">
        <v>596</v>
      </c>
      <c r="H48" s="733" t="s">
        <v>271</v>
      </c>
      <c r="I48" s="423">
        <f t="shared" si="118"/>
        <v>877268</v>
      </c>
      <c r="J48" s="418">
        <f t="shared" si="119"/>
        <v>650792</v>
      </c>
      <c r="K48" s="418">
        <v>650792</v>
      </c>
      <c r="L48" s="418">
        <v>0</v>
      </c>
      <c r="M48" s="418">
        <f t="shared" si="120"/>
        <v>0</v>
      </c>
      <c r="N48" s="418">
        <v>0</v>
      </c>
      <c r="O48" s="418">
        <v>0</v>
      </c>
      <c r="P48" s="68">
        <f t="shared" si="121"/>
        <v>219968</v>
      </c>
      <c r="Q48" s="68">
        <f t="shared" si="122"/>
        <v>6508</v>
      </c>
      <c r="R48" s="418">
        <v>0</v>
      </c>
      <c r="S48" s="419">
        <f t="shared" si="123"/>
        <v>1.2942</v>
      </c>
      <c r="T48" s="420">
        <v>1.2942</v>
      </c>
      <c r="U48" s="527">
        <v>0</v>
      </c>
      <c r="V48" s="427">
        <f t="shared" si="124"/>
        <v>0</v>
      </c>
      <c r="W48" s="421">
        <f t="shared" si="124"/>
        <v>0</v>
      </c>
      <c r="X48" s="421">
        <v>0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 t="shared" si="125"/>
        <v>0</v>
      </c>
      <c r="AG48" s="421">
        <f t="shared" si="126"/>
        <v>0</v>
      </c>
      <c r="AH48" s="421">
        <f t="shared" si="127"/>
        <v>0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128"/>
        <v>0</v>
      </c>
      <c r="AP48" s="421">
        <f t="shared" si="129"/>
        <v>0</v>
      </c>
      <c r="AQ48" s="421">
        <f t="shared" si="130"/>
        <v>0</v>
      </c>
      <c r="AR48" s="421">
        <f t="shared" si="131"/>
        <v>0</v>
      </c>
      <c r="AS48" s="421">
        <f t="shared" si="131"/>
        <v>0</v>
      </c>
      <c r="AT48" s="421">
        <f t="shared" si="132"/>
        <v>0</v>
      </c>
      <c r="AU48" s="68">
        <f t="shared" si="133"/>
        <v>0</v>
      </c>
      <c r="AV48" s="68">
        <f t="shared" si="134"/>
        <v>0</v>
      </c>
      <c r="AW48" s="421">
        <v>0</v>
      </c>
      <c r="AX48" s="421">
        <v>0</v>
      </c>
      <c r="AY48" s="421">
        <f t="shared" si="135"/>
        <v>0</v>
      </c>
      <c r="AZ48" s="421">
        <f t="shared" si="136"/>
        <v>0</v>
      </c>
      <c r="BA48" s="422">
        <v>0</v>
      </c>
      <c r="BB48" s="422">
        <v>0</v>
      </c>
      <c r="BC48" s="422">
        <v>0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 t="shared" si="137"/>
        <v>0</v>
      </c>
      <c r="BL48" s="422">
        <f t="shared" si="138"/>
        <v>0</v>
      </c>
      <c r="BM48" s="611">
        <f t="shared" si="139"/>
        <v>0</v>
      </c>
      <c r="BN48" s="428">
        <f t="shared" si="140"/>
        <v>877268</v>
      </c>
      <c r="BO48" s="421">
        <f t="shared" si="141"/>
        <v>650792</v>
      </c>
      <c r="BP48" s="421">
        <f t="shared" si="142"/>
        <v>650792</v>
      </c>
      <c r="BQ48" s="421">
        <f t="shared" si="142"/>
        <v>0</v>
      </c>
      <c r="BR48" s="421">
        <f t="shared" si="143"/>
        <v>0</v>
      </c>
      <c r="BS48" s="421">
        <f t="shared" si="144"/>
        <v>0</v>
      </c>
      <c r="BT48" s="421">
        <f t="shared" si="144"/>
        <v>0</v>
      </c>
      <c r="BU48" s="421">
        <f t="shared" si="145"/>
        <v>219968</v>
      </c>
      <c r="BV48" s="421">
        <f t="shared" si="145"/>
        <v>6508</v>
      </c>
      <c r="BW48" s="421">
        <f t="shared" si="146"/>
        <v>0</v>
      </c>
      <c r="BX48" s="422">
        <f t="shared" si="147"/>
        <v>1.2942</v>
      </c>
      <c r="BY48" s="422">
        <f t="shared" si="148"/>
        <v>1.2942</v>
      </c>
      <c r="BZ48" s="611">
        <f t="shared" si="148"/>
        <v>0</v>
      </c>
      <c r="CA48" s="423"/>
      <c r="CB48" s="418"/>
      <c r="CC48" s="418"/>
      <c r="CD48" s="418"/>
      <c r="CE48" s="418"/>
      <c r="CF48" s="527"/>
    </row>
    <row r="49" spans="1:84" ht="12.95" customHeight="1" x14ac:dyDescent="0.25">
      <c r="A49" s="282">
        <v>7</v>
      </c>
      <c r="B49" s="323">
        <v>5410</v>
      </c>
      <c r="C49" s="324">
        <v>600099318</v>
      </c>
      <c r="D49" s="283">
        <v>854778</v>
      </c>
      <c r="E49" s="350" t="s">
        <v>421</v>
      </c>
      <c r="F49" s="323">
        <v>3143</v>
      </c>
      <c r="G49" s="286" t="s">
        <v>597</v>
      </c>
      <c r="H49" s="733" t="s">
        <v>272</v>
      </c>
      <c r="I49" s="423">
        <f t="shared" si="118"/>
        <v>23052</v>
      </c>
      <c r="J49" s="418">
        <f t="shared" si="119"/>
        <v>16500</v>
      </c>
      <c r="K49" s="418">
        <v>0</v>
      </c>
      <c r="L49" s="418">
        <v>16500</v>
      </c>
      <c r="M49" s="418">
        <f t="shared" si="120"/>
        <v>0</v>
      </c>
      <c r="N49" s="418">
        <v>0</v>
      </c>
      <c r="O49" s="418">
        <v>0</v>
      </c>
      <c r="P49" s="68">
        <f t="shared" si="121"/>
        <v>5577</v>
      </c>
      <c r="Q49" s="68">
        <f t="shared" si="122"/>
        <v>165</v>
      </c>
      <c r="R49" s="418">
        <v>810</v>
      </c>
      <c r="S49" s="419">
        <f t="shared" si="123"/>
        <v>6.25E-2</v>
      </c>
      <c r="T49" s="420">
        <v>0</v>
      </c>
      <c r="U49" s="527">
        <v>6.25E-2</v>
      </c>
      <c r="V49" s="427">
        <f t="shared" si="124"/>
        <v>0</v>
      </c>
      <c r="W49" s="421">
        <f t="shared" si="124"/>
        <v>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 t="shared" si="125"/>
        <v>0</v>
      </c>
      <c r="AG49" s="421">
        <f t="shared" si="126"/>
        <v>0</v>
      </c>
      <c r="AH49" s="421">
        <f t="shared" si="127"/>
        <v>0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128"/>
        <v>0</v>
      </c>
      <c r="AP49" s="421">
        <f t="shared" si="129"/>
        <v>0</v>
      </c>
      <c r="AQ49" s="421">
        <f t="shared" si="130"/>
        <v>0</v>
      </c>
      <c r="AR49" s="421">
        <f t="shared" si="131"/>
        <v>0</v>
      </c>
      <c r="AS49" s="421">
        <f t="shared" si="131"/>
        <v>0</v>
      </c>
      <c r="AT49" s="421">
        <f t="shared" si="132"/>
        <v>0</v>
      </c>
      <c r="AU49" s="68">
        <f t="shared" si="133"/>
        <v>0</v>
      </c>
      <c r="AV49" s="68">
        <f t="shared" si="134"/>
        <v>0</v>
      </c>
      <c r="AW49" s="421">
        <v>0</v>
      </c>
      <c r="AX49" s="421">
        <v>0</v>
      </c>
      <c r="AY49" s="421">
        <f t="shared" si="135"/>
        <v>0</v>
      </c>
      <c r="AZ49" s="421">
        <f t="shared" si="136"/>
        <v>0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 t="shared" si="137"/>
        <v>0</v>
      </c>
      <c r="BL49" s="422">
        <f t="shared" si="138"/>
        <v>0</v>
      </c>
      <c r="BM49" s="611">
        <f t="shared" si="139"/>
        <v>0</v>
      </c>
      <c r="BN49" s="428">
        <f t="shared" si="140"/>
        <v>23052</v>
      </c>
      <c r="BO49" s="421">
        <f t="shared" si="141"/>
        <v>16500</v>
      </c>
      <c r="BP49" s="421">
        <f t="shared" si="142"/>
        <v>0</v>
      </c>
      <c r="BQ49" s="421">
        <f t="shared" si="142"/>
        <v>16500</v>
      </c>
      <c r="BR49" s="421">
        <f t="shared" si="143"/>
        <v>0</v>
      </c>
      <c r="BS49" s="421">
        <f t="shared" si="144"/>
        <v>0</v>
      </c>
      <c r="BT49" s="421">
        <f t="shared" si="144"/>
        <v>0</v>
      </c>
      <c r="BU49" s="421">
        <f t="shared" si="145"/>
        <v>5577</v>
      </c>
      <c r="BV49" s="421">
        <f t="shared" si="145"/>
        <v>165</v>
      </c>
      <c r="BW49" s="421">
        <f t="shared" si="146"/>
        <v>810</v>
      </c>
      <c r="BX49" s="422">
        <f t="shared" si="147"/>
        <v>6.25E-2</v>
      </c>
      <c r="BY49" s="422">
        <f t="shared" si="148"/>
        <v>0</v>
      </c>
      <c r="BZ49" s="611">
        <f t="shared" si="148"/>
        <v>6.25E-2</v>
      </c>
      <c r="CA49" s="423"/>
      <c r="CB49" s="418"/>
      <c r="CC49" s="418"/>
      <c r="CD49" s="418"/>
      <c r="CE49" s="418"/>
      <c r="CF49" s="527"/>
    </row>
    <row r="50" spans="1:84" ht="12.95" customHeight="1" x14ac:dyDescent="0.25">
      <c r="A50" s="734">
        <v>7</v>
      </c>
      <c r="B50" s="327">
        <v>5410</v>
      </c>
      <c r="C50" s="328">
        <v>600099318</v>
      </c>
      <c r="D50" s="327">
        <v>854778</v>
      </c>
      <c r="E50" s="351" t="s">
        <v>422</v>
      </c>
      <c r="F50" s="327"/>
      <c r="G50" s="352"/>
      <c r="H50" s="736"/>
      <c r="I50" s="472">
        <f t="shared" ref="I50:BT50" si="150">SUM(I44:I49)</f>
        <v>19076811</v>
      </c>
      <c r="J50" s="468">
        <f t="shared" si="150"/>
        <v>14013545</v>
      </c>
      <c r="K50" s="468">
        <f t="shared" si="150"/>
        <v>11769643</v>
      </c>
      <c r="L50" s="468">
        <f t="shared" si="150"/>
        <v>2243902</v>
      </c>
      <c r="M50" s="468">
        <f t="shared" si="150"/>
        <v>0</v>
      </c>
      <c r="N50" s="468">
        <f t="shared" si="150"/>
        <v>0</v>
      </c>
      <c r="O50" s="468">
        <f t="shared" si="150"/>
        <v>0</v>
      </c>
      <c r="P50" s="468">
        <f t="shared" si="150"/>
        <v>4736579</v>
      </c>
      <c r="Q50" s="468">
        <f t="shared" si="150"/>
        <v>140135</v>
      </c>
      <c r="R50" s="468">
        <f t="shared" si="150"/>
        <v>186552</v>
      </c>
      <c r="S50" s="469">
        <f t="shared" si="150"/>
        <v>25.711099999999998</v>
      </c>
      <c r="T50" s="469">
        <f t="shared" si="150"/>
        <v>18.842299999999998</v>
      </c>
      <c r="U50" s="281">
        <f t="shared" si="150"/>
        <v>6.8688000000000002</v>
      </c>
      <c r="V50" s="474">
        <f t="shared" si="150"/>
        <v>-16000</v>
      </c>
      <c r="W50" s="468">
        <f t="shared" si="150"/>
        <v>-22400</v>
      </c>
      <c r="X50" s="468">
        <f t="shared" si="150"/>
        <v>535373</v>
      </c>
      <c r="Y50" s="468">
        <f t="shared" si="150"/>
        <v>0</v>
      </c>
      <c r="Z50" s="468">
        <f t="shared" si="150"/>
        <v>0</v>
      </c>
      <c r="AA50" s="468">
        <f t="shared" si="150"/>
        <v>0</v>
      </c>
      <c r="AB50" s="468">
        <f t="shared" si="150"/>
        <v>112800</v>
      </c>
      <c r="AC50" s="468">
        <f t="shared" si="150"/>
        <v>0</v>
      </c>
      <c r="AD50" s="468">
        <f t="shared" si="150"/>
        <v>0</v>
      </c>
      <c r="AE50" s="468">
        <f t="shared" si="150"/>
        <v>0</v>
      </c>
      <c r="AF50" s="468">
        <f t="shared" si="150"/>
        <v>632173</v>
      </c>
      <c r="AG50" s="468">
        <f t="shared" si="150"/>
        <v>-22400</v>
      </c>
      <c r="AH50" s="468">
        <f t="shared" si="150"/>
        <v>609773</v>
      </c>
      <c r="AI50" s="468">
        <f t="shared" si="150"/>
        <v>16000</v>
      </c>
      <c r="AJ50" s="468">
        <f t="shared" si="150"/>
        <v>22400</v>
      </c>
      <c r="AK50" s="468">
        <f t="shared" ref="AK50" si="151">SUM(AK44:AK49)</f>
        <v>0</v>
      </c>
      <c r="AL50" s="468">
        <f t="shared" si="150"/>
        <v>0</v>
      </c>
      <c r="AM50" s="468">
        <f t="shared" si="150"/>
        <v>0</v>
      </c>
      <c r="AN50" s="468">
        <f t="shared" si="150"/>
        <v>0</v>
      </c>
      <c r="AO50" s="468">
        <f t="shared" si="150"/>
        <v>16000</v>
      </c>
      <c r="AP50" s="468">
        <f t="shared" si="150"/>
        <v>22400</v>
      </c>
      <c r="AQ50" s="468">
        <f t="shared" si="150"/>
        <v>38400</v>
      </c>
      <c r="AR50" s="468">
        <f t="shared" si="150"/>
        <v>648173</v>
      </c>
      <c r="AS50" s="468">
        <f t="shared" si="150"/>
        <v>0</v>
      </c>
      <c r="AT50" s="468">
        <f t="shared" si="150"/>
        <v>648173</v>
      </c>
      <c r="AU50" s="468">
        <f t="shared" si="150"/>
        <v>219082</v>
      </c>
      <c r="AV50" s="468">
        <f t="shared" si="150"/>
        <v>6098</v>
      </c>
      <c r="AW50" s="468">
        <f t="shared" si="150"/>
        <v>0</v>
      </c>
      <c r="AX50" s="468">
        <f t="shared" si="150"/>
        <v>0</v>
      </c>
      <c r="AY50" s="468">
        <f t="shared" si="150"/>
        <v>0</v>
      </c>
      <c r="AZ50" s="468">
        <f t="shared" si="150"/>
        <v>873353</v>
      </c>
      <c r="BA50" s="469">
        <f t="shared" si="150"/>
        <v>0</v>
      </c>
      <c r="BB50" s="469">
        <f t="shared" si="150"/>
        <v>0</v>
      </c>
      <c r="BC50" s="469">
        <f t="shared" si="150"/>
        <v>1.5</v>
      </c>
      <c r="BD50" s="469">
        <f t="shared" si="150"/>
        <v>0.2</v>
      </c>
      <c r="BE50" s="469">
        <f t="shared" si="150"/>
        <v>0</v>
      </c>
      <c r="BF50" s="469">
        <f t="shared" si="150"/>
        <v>0</v>
      </c>
      <c r="BG50" s="469">
        <f t="shared" si="150"/>
        <v>0</v>
      </c>
      <c r="BH50" s="469">
        <f t="shared" si="150"/>
        <v>0</v>
      </c>
      <c r="BI50" s="469">
        <f t="shared" si="150"/>
        <v>0</v>
      </c>
      <c r="BJ50" s="469">
        <f t="shared" si="150"/>
        <v>0</v>
      </c>
      <c r="BK50" s="469">
        <f t="shared" si="150"/>
        <v>1.7</v>
      </c>
      <c r="BL50" s="469">
        <f t="shared" si="150"/>
        <v>0</v>
      </c>
      <c r="BM50" s="562">
        <f t="shared" si="150"/>
        <v>1.7</v>
      </c>
      <c r="BN50" s="472">
        <f t="shared" si="150"/>
        <v>19950164</v>
      </c>
      <c r="BO50" s="468">
        <f t="shared" si="150"/>
        <v>14623318</v>
      </c>
      <c r="BP50" s="468">
        <f t="shared" si="150"/>
        <v>12401816</v>
      </c>
      <c r="BQ50" s="468">
        <f t="shared" si="150"/>
        <v>2221502</v>
      </c>
      <c r="BR50" s="468">
        <f t="shared" si="150"/>
        <v>38400</v>
      </c>
      <c r="BS50" s="468">
        <f t="shared" si="150"/>
        <v>16000</v>
      </c>
      <c r="BT50" s="468">
        <f t="shared" si="150"/>
        <v>22400</v>
      </c>
      <c r="BU50" s="468">
        <f t="shared" ref="BU50:CF50" si="152">SUM(BU44:BU49)</f>
        <v>4955661</v>
      </c>
      <c r="BV50" s="468">
        <f t="shared" si="152"/>
        <v>146233</v>
      </c>
      <c r="BW50" s="468">
        <f t="shared" si="152"/>
        <v>186552</v>
      </c>
      <c r="BX50" s="469">
        <f t="shared" si="152"/>
        <v>27.411099999999998</v>
      </c>
      <c r="BY50" s="469">
        <f t="shared" si="152"/>
        <v>20.542300000000001</v>
      </c>
      <c r="BZ50" s="562">
        <f t="shared" si="152"/>
        <v>6.8688000000000002</v>
      </c>
      <c r="CA50" s="873">
        <f t="shared" si="152"/>
        <v>152054</v>
      </c>
      <c r="CB50" s="850">
        <f t="shared" si="152"/>
        <v>112800</v>
      </c>
      <c r="CC50" s="850">
        <f t="shared" si="152"/>
        <v>0</v>
      </c>
      <c r="CD50" s="850">
        <f t="shared" si="152"/>
        <v>38126</v>
      </c>
      <c r="CE50" s="850">
        <f t="shared" si="152"/>
        <v>1128</v>
      </c>
      <c r="CF50" s="841">
        <f t="shared" si="152"/>
        <v>0.2</v>
      </c>
    </row>
    <row r="51" spans="1:84" ht="12.95" customHeight="1" x14ac:dyDescent="0.25">
      <c r="A51" s="282">
        <v>8</v>
      </c>
      <c r="B51" s="323">
        <v>5476</v>
      </c>
      <c r="C51" s="324">
        <v>650046072</v>
      </c>
      <c r="D51" s="283">
        <v>71002723</v>
      </c>
      <c r="E51" s="350" t="s">
        <v>423</v>
      </c>
      <c r="F51" s="323">
        <v>3111</v>
      </c>
      <c r="G51" s="347" t="s">
        <v>305</v>
      </c>
      <c r="H51" s="733" t="s">
        <v>271</v>
      </c>
      <c r="I51" s="423">
        <f t="shared" ref="I51:I57" si="153">J51+P51+Q51+R51</f>
        <v>2904852</v>
      </c>
      <c r="J51" s="418">
        <f t="shared" ref="J51:J57" si="154">K51+L51</f>
        <v>2146814</v>
      </c>
      <c r="K51" s="418">
        <v>2027006</v>
      </c>
      <c r="L51" s="418">
        <v>119808</v>
      </c>
      <c r="M51" s="418">
        <f t="shared" ref="M51:M57" si="155">N51+O51</f>
        <v>0</v>
      </c>
      <c r="N51" s="418">
        <v>0</v>
      </c>
      <c r="O51" s="418">
        <v>0</v>
      </c>
      <c r="P51" s="68">
        <f t="shared" ref="P51:P57" si="156">ROUND((J51+M51)*33.8%,0)</f>
        <v>725623</v>
      </c>
      <c r="Q51" s="68">
        <f t="shared" ref="Q51:Q57" si="157">ROUND(J51*1%,0)</f>
        <v>21468</v>
      </c>
      <c r="R51" s="418">
        <v>10947</v>
      </c>
      <c r="S51" s="419">
        <f t="shared" ref="S51:S57" si="158">T51+U51</f>
        <v>3.98</v>
      </c>
      <c r="T51" s="420">
        <v>3.5</v>
      </c>
      <c r="U51" s="527">
        <v>0.48</v>
      </c>
      <c r="V51" s="427">
        <f t="shared" ref="V51:W57" si="159">AI51*-1</f>
        <v>0</v>
      </c>
      <c r="W51" s="421">
        <f t="shared" si="159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 t="shared" ref="AF51:AF57" si="160">V51+X51+Y51+AA51+AB51+AD51</f>
        <v>0</v>
      </c>
      <c r="AG51" s="421">
        <f t="shared" ref="AG51:AG57" si="161">W51+Z51+AC51+AE51</f>
        <v>0</v>
      </c>
      <c r="AH51" s="421">
        <f t="shared" ref="AH51:AH57" si="162">SUM(AF51:AG51)</f>
        <v>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ref="AO51:AO57" si="163">AI51+AK51+AL51+AM51</f>
        <v>0</v>
      </c>
      <c r="AP51" s="421">
        <f t="shared" ref="AP51:AP57" si="164">AJ51+AN51</f>
        <v>0</v>
      </c>
      <c r="AQ51" s="421">
        <f t="shared" ref="AQ51:AQ57" si="165">SUM(AO51:AP51)</f>
        <v>0</v>
      </c>
      <c r="AR51" s="421">
        <f t="shared" ref="AR51:AS57" si="166">AF51+AO51</f>
        <v>0</v>
      </c>
      <c r="AS51" s="421">
        <f t="shared" si="166"/>
        <v>0</v>
      </c>
      <c r="AT51" s="421">
        <f t="shared" ref="AT51:AT57" si="167">SUM(AR51:AS51)</f>
        <v>0</v>
      </c>
      <c r="AU51" s="68">
        <f t="shared" ref="AU51:AU57" si="168">ROUND((AH51+AI51+AJ51+AK51+AL51)*33.8%,0)</f>
        <v>0</v>
      </c>
      <c r="AV51" s="68">
        <f t="shared" ref="AV51:AV57" si="169">ROUND(AH51*1%,0)</f>
        <v>0</v>
      </c>
      <c r="AW51" s="421">
        <v>0</v>
      </c>
      <c r="AX51" s="421">
        <v>0</v>
      </c>
      <c r="AY51" s="421">
        <f t="shared" ref="AY51:AY57" si="170">AW51+AX51</f>
        <v>0</v>
      </c>
      <c r="AZ51" s="421">
        <f t="shared" ref="AZ51:AZ57" si="171">AT51+AU51+AV51+AY51</f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 t="shared" ref="BK51:BK57" si="172">BA51+BC51+BD51+BF51+BH51+BI51</f>
        <v>0</v>
      </c>
      <c r="BL51" s="422">
        <f t="shared" ref="BL51:BL57" si="173">BB51+BE51+BG51+BJ51</f>
        <v>0</v>
      </c>
      <c r="BM51" s="611">
        <f t="shared" ref="BM51:BM57" si="174">SUM(BK51:BL51)</f>
        <v>0</v>
      </c>
      <c r="BN51" s="428">
        <f t="shared" ref="BN51:BN57" si="175">I51+AZ51</f>
        <v>2904852</v>
      </c>
      <c r="BO51" s="421">
        <f t="shared" ref="BO51:BO57" si="176">J51+AH51</f>
        <v>2146814</v>
      </c>
      <c r="BP51" s="421">
        <f t="shared" ref="BP51:BQ57" si="177">K51+AF51</f>
        <v>2027006</v>
      </c>
      <c r="BQ51" s="421">
        <f t="shared" si="177"/>
        <v>119808</v>
      </c>
      <c r="BR51" s="421">
        <f t="shared" ref="BR51:BR57" si="178">M51+AQ51</f>
        <v>0</v>
      </c>
      <c r="BS51" s="421">
        <f t="shared" ref="BS51:BT57" si="179">N51+AO51</f>
        <v>0</v>
      </c>
      <c r="BT51" s="421">
        <f t="shared" si="179"/>
        <v>0</v>
      </c>
      <c r="BU51" s="421">
        <f t="shared" ref="BU51:BV57" si="180">P51+AU51</f>
        <v>725623</v>
      </c>
      <c r="BV51" s="421">
        <f t="shared" si="180"/>
        <v>21468</v>
      </c>
      <c r="BW51" s="421">
        <f t="shared" ref="BW51:BW57" si="181">R51+AY51</f>
        <v>10947</v>
      </c>
      <c r="BX51" s="422">
        <f t="shared" ref="BX51:BX57" si="182">S51+BM51</f>
        <v>3.98</v>
      </c>
      <c r="BY51" s="422">
        <f t="shared" ref="BY51:BZ57" si="183">T51+BK51</f>
        <v>3.5</v>
      </c>
      <c r="BZ51" s="611">
        <f t="shared" si="183"/>
        <v>0.48</v>
      </c>
      <c r="CA51" s="423"/>
      <c r="CB51" s="418"/>
      <c r="CC51" s="418"/>
      <c r="CD51" s="418"/>
      <c r="CE51" s="418"/>
      <c r="CF51" s="527"/>
    </row>
    <row r="52" spans="1:84" ht="12.95" customHeight="1" x14ac:dyDescent="0.25">
      <c r="A52" s="282">
        <v>8</v>
      </c>
      <c r="B52" s="323">
        <v>5476</v>
      </c>
      <c r="C52" s="324">
        <v>650046072</v>
      </c>
      <c r="D52" s="283">
        <v>71002723</v>
      </c>
      <c r="E52" s="350" t="s">
        <v>423</v>
      </c>
      <c r="F52" s="323">
        <v>3113</v>
      </c>
      <c r="G52" s="347" t="s">
        <v>309</v>
      </c>
      <c r="H52" s="733" t="s">
        <v>271</v>
      </c>
      <c r="I52" s="423">
        <f t="shared" si="153"/>
        <v>12140355</v>
      </c>
      <c r="J52" s="418">
        <f t="shared" si="154"/>
        <v>8910005</v>
      </c>
      <c r="K52" s="418">
        <v>8044205</v>
      </c>
      <c r="L52" s="418">
        <v>865800</v>
      </c>
      <c r="M52" s="418">
        <f t="shared" si="155"/>
        <v>0</v>
      </c>
      <c r="N52" s="418">
        <v>0</v>
      </c>
      <c r="O52" s="418">
        <v>0</v>
      </c>
      <c r="P52" s="68">
        <f t="shared" si="156"/>
        <v>3011582</v>
      </c>
      <c r="Q52" s="68">
        <f t="shared" si="157"/>
        <v>89100</v>
      </c>
      <c r="R52" s="418">
        <v>129668</v>
      </c>
      <c r="S52" s="419">
        <f t="shared" si="158"/>
        <v>14.6432</v>
      </c>
      <c r="T52" s="420">
        <v>12.2273</v>
      </c>
      <c r="U52" s="527">
        <v>2.4158999999999997</v>
      </c>
      <c r="V52" s="427">
        <f t="shared" si="159"/>
        <v>-35200</v>
      </c>
      <c r="W52" s="421">
        <f t="shared" si="159"/>
        <v>-25600</v>
      </c>
      <c r="X52" s="421">
        <v>0</v>
      </c>
      <c r="Y52" s="421">
        <v>0</v>
      </c>
      <c r="Z52" s="421">
        <v>0</v>
      </c>
      <c r="AA52" s="421">
        <v>16550</v>
      </c>
      <c r="AB52" s="421">
        <v>225600</v>
      </c>
      <c r="AC52" s="421">
        <v>0</v>
      </c>
      <c r="AD52" s="421">
        <v>0</v>
      </c>
      <c r="AE52" s="421">
        <v>0</v>
      </c>
      <c r="AF52" s="421">
        <f t="shared" si="160"/>
        <v>206950</v>
      </c>
      <c r="AG52" s="421">
        <f t="shared" si="161"/>
        <v>-25600</v>
      </c>
      <c r="AH52" s="421">
        <f t="shared" si="162"/>
        <v>181350</v>
      </c>
      <c r="AI52" s="421">
        <v>35200</v>
      </c>
      <c r="AJ52" s="421">
        <v>25600</v>
      </c>
      <c r="AK52" s="421">
        <v>0</v>
      </c>
      <c r="AL52" s="421">
        <v>0</v>
      </c>
      <c r="AM52" s="421">
        <v>0</v>
      </c>
      <c r="AN52" s="421">
        <v>0</v>
      </c>
      <c r="AO52" s="421">
        <f t="shared" si="163"/>
        <v>35200</v>
      </c>
      <c r="AP52" s="421">
        <f t="shared" si="164"/>
        <v>25600</v>
      </c>
      <c r="AQ52" s="421">
        <f t="shared" si="165"/>
        <v>60800</v>
      </c>
      <c r="AR52" s="421">
        <f t="shared" si="166"/>
        <v>242150</v>
      </c>
      <c r="AS52" s="421">
        <f t="shared" si="166"/>
        <v>0</v>
      </c>
      <c r="AT52" s="421">
        <f t="shared" si="167"/>
        <v>242150</v>
      </c>
      <c r="AU52" s="68">
        <f t="shared" si="168"/>
        <v>81847</v>
      </c>
      <c r="AV52" s="68">
        <f t="shared" si="169"/>
        <v>1814</v>
      </c>
      <c r="AW52" s="421">
        <v>0</v>
      </c>
      <c r="AX52" s="421">
        <v>0</v>
      </c>
      <c r="AY52" s="421">
        <f t="shared" si="170"/>
        <v>0</v>
      </c>
      <c r="AZ52" s="421">
        <f t="shared" si="171"/>
        <v>325811</v>
      </c>
      <c r="BA52" s="422">
        <v>-0.05</v>
      </c>
      <c r="BB52" s="422">
        <v>-0.08</v>
      </c>
      <c r="BC52" s="422">
        <v>0</v>
      </c>
      <c r="BD52" s="422">
        <v>0.4</v>
      </c>
      <c r="BE52" s="422">
        <v>0</v>
      </c>
      <c r="BF52" s="422">
        <v>0</v>
      </c>
      <c r="BG52" s="422">
        <v>0</v>
      </c>
      <c r="BH52" s="422">
        <v>0.02</v>
      </c>
      <c r="BI52" s="422">
        <v>0</v>
      </c>
      <c r="BJ52" s="422">
        <v>0</v>
      </c>
      <c r="BK52" s="422">
        <f t="shared" si="172"/>
        <v>0.37000000000000005</v>
      </c>
      <c r="BL52" s="422">
        <f t="shared" si="173"/>
        <v>-0.08</v>
      </c>
      <c r="BM52" s="611">
        <f t="shared" si="174"/>
        <v>0.29000000000000004</v>
      </c>
      <c r="BN52" s="428">
        <f t="shared" si="175"/>
        <v>12466166</v>
      </c>
      <c r="BO52" s="421">
        <f t="shared" si="176"/>
        <v>9091355</v>
      </c>
      <c r="BP52" s="421">
        <f t="shared" si="177"/>
        <v>8251155</v>
      </c>
      <c r="BQ52" s="421">
        <f t="shared" si="177"/>
        <v>840200</v>
      </c>
      <c r="BR52" s="421">
        <f t="shared" si="178"/>
        <v>60800</v>
      </c>
      <c r="BS52" s="421">
        <f t="shared" si="179"/>
        <v>35200</v>
      </c>
      <c r="BT52" s="421">
        <f t="shared" si="179"/>
        <v>25600</v>
      </c>
      <c r="BU52" s="421">
        <f t="shared" si="180"/>
        <v>3093429</v>
      </c>
      <c r="BV52" s="421">
        <f t="shared" si="180"/>
        <v>90914</v>
      </c>
      <c r="BW52" s="421">
        <f t="shared" si="181"/>
        <v>129668</v>
      </c>
      <c r="BX52" s="422">
        <f t="shared" si="182"/>
        <v>14.933199999999999</v>
      </c>
      <c r="BY52" s="422">
        <f t="shared" si="183"/>
        <v>12.597299999999999</v>
      </c>
      <c r="BZ52" s="611">
        <f t="shared" si="183"/>
        <v>2.3358999999999996</v>
      </c>
      <c r="CA52" s="423">
        <v>304109</v>
      </c>
      <c r="CB52" s="418">
        <v>225600</v>
      </c>
      <c r="CC52" s="418">
        <v>0</v>
      </c>
      <c r="CD52" s="418">
        <v>76253</v>
      </c>
      <c r="CE52" s="418">
        <v>2256</v>
      </c>
      <c r="CF52" s="527">
        <v>0.4</v>
      </c>
    </row>
    <row r="53" spans="1:84" ht="12.95" customHeight="1" x14ac:dyDescent="0.25">
      <c r="A53" s="282">
        <v>8</v>
      </c>
      <c r="B53" s="323">
        <v>5476</v>
      </c>
      <c r="C53" s="324">
        <v>650046072</v>
      </c>
      <c r="D53" s="283">
        <v>71002723</v>
      </c>
      <c r="E53" s="350" t="s">
        <v>423</v>
      </c>
      <c r="F53" s="323">
        <v>3113</v>
      </c>
      <c r="G53" s="286" t="s">
        <v>292</v>
      </c>
      <c r="H53" s="733" t="s">
        <v>272</v>
      </c>
      <c r="I53" s="423">
        <f t="shared" si="153"/>
        <v>0</v>
      </c>
      <c r="J53" s="418">
        <f t="shared" si="154"/>
        <v>0</v>
      </c>
      <c r="K53" s="418">
        <v>0</v>
      </c>
      <c r="L53" s="418">
        <v>0</v>
      </c>
      <c r="M53" s="418">
        <f>N53+O53</f>
        <v>0</v>
      </c>
      <c r="N53" s="418">
        <v>0</v>
      </c>
      <c r="O53" s="418">
        <v>0</v>
      </c>
      <c r="P53" s="68">
        <f t="shared" si="156"/>
        <v>0</v>
      </c>
      <c r="Q53" s="68">
        <f t="shared" si="157"/>
        <v>0</v>
      </c>
      <c r="R53" s="418">
        <v>0</v>
      </c>
      <c r="S53" s="419">
        <f>T53+U53</f>
        <v>0</v>
      </c>
      <c r="T53" s="420">
        <v>0</v>
      </c>
      <c r="U53" s="527">
        <v>0</v>
      </c>
      <c r="V53" s="427">
        <f t="shared" si="159"/>
        <v>0</v>
      </c>
      <c r="W53" s="421">
        <f t="shared" si="159"/>
        <v>0</v>
      </c>
      <c r="X53" s="421">
        <v>496651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 t="shared" si="160"/>
        <v>496651</v>
      </c>
      <c r="AG53" s="421">
        <f t="shared" si="161"/>
        <v>0</v>
      </c>
      <c r="AH53" s="421">
        <f t="shared" si="162"/>
        <v>496651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63"/>
        <v>0</v>
      </c>
      <c r="AP53" s="421">
        <f t="shared" si="164"/>
        <v>0</v>
      </c>
      <c r="AQ53" s="421">
        <f t="shared" si="165"/>
        <v>0</v>
      </c>
      <c r="AR53" s="421">
        <f t="shared" si="166"/>
        <v>496651</v>
      </c>
      <c r="AS53" s="421">
        <f t="shared" si="166"/>
        <v>0</v>
      </c>
      <c r="AT53" s="421">
        <f t="shared" si="167"/>
        <v>496651</v>
      </c>
      <c r="AU53" s="68">
        <f t="shared" si="168"/>
        <v>167868</v>
      </c>
      <c r="AV53" s="68">
        <f t="shared" si="169"/>
        <v>4967</v>
      </c>
      <c r="AW53" s="421">
        <v>0</v>
      </c>
      <c r="AX53" s="421">
        <v>0</v>
      </c>
      <c r="AY53" s="421">
        <f t="shared" si="170"/>
        <v>0</v>
      </c>
      <c r="AZ53" s="421">
        <f t="shared" si="171"/>
        <v>669486</v>
      </c>
      <c r="BA53" s="422">
        <v>0</v>
      </c>
      <c r="BB53" s="422">
        <v>0</v>
      </c>
      <c r="BC53" s="422">
        <v>1.39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 t="shared" si="172"/>
        <v>1.39</v>
      </c>
      <c r="BL53" s="422">
        <f t="shared" si="173"/>
        <v>0</v>
      </c>
      <c r="BM53" s="611">
        <f t="shared" si="174"/>
        <v>1.39</v>
      </c>
      <c r="BN53" s="428">
        <f t="shared" si="175"/>
        <v>669486</v>
      </c>
      <c r="BO53" s="421">
        <f t="shared" si="176"/>
        <v>496651</v>
      </c>
      <c r="BP53" s="421">
        <f t="shared" si="177"/>
        <v>496651</v>
      </c>
      <c r="BQ53" s="421">
        <f t="shared" si="177"/>
        <v>0</v>
      </c>
      <c r="BR53" s="421">
        <f t="shared" si="178"/>
        <v>0</v>
      </c>
      <c r="BS53" s="421">
        <f t="shared" si="179"/>
        <v>0</v>
      </c>
      <c r="BT53" s="421">
        <f t="shared" si="179"/>
        <v>0</v>
      </c>
      <c r="BU53" s="421">
        <f t="shared" si="180"/>
        <v>167868</v>
      </c>
      <c r="BV53" s="421">
        <f t="shared" si="180"/>
        <v>4967</v>
      </c>
      <c r="BW53" s="421">
        <f t="shared" si="181"/>
        <v>0</v>
      </c>
      <c r="BX53" s="422">
        <f t="shared" si="182"/>
        <v>1.39</v>
      </c>
      <c r="BY53" s="422">
        <f t="shared" si="183"/>
        <v>1.39</v>
      </c>
      <c r="BZ53" s="611">
        <f t="shared" si="183"/>
        <v>0</v>
      </c>
      <c r="CA53" s="423"/>
      <c r="CB53" s="418"/>
      <c r="CC53" s="418"/>
      <c r="CD53" s="418"/>
      <c r="CE53" s="418"/>
      <c r="CF53" s="527"/>
    </row>
    <row r="54" spans="1:84" ht="12.95" customHeight="1" x14ac:dyDescent="0.25">
      <c r="A54" s="282">
        <v>8</v>
      </c>
      <c r="B54" s="323">
        <v>5476</v>
      </c>
      <c r="C54" s="324">
        <v>650046072</v>
      </c>
      <c r="D54" s="283">
        <v>71002723</v>
      </c>
      <c r="E54" s="350" t="s">
        <v>423</v>
      </c>
      <c r="F54" s="323">
        <v>3141</v>
      </c>
      <c r="G54" s="347" t="s">
        <v>295</v>
      </c>
      <c r="H54" s="733" t="s">
        <v>272</v>
      </c>
      <c r="I54" s="423">
        <f t="shared" si="153"/>
        <v>1156960</v>
      </c>
      <c r="J54" s="418">
        <f t="shared" si="154"/>
        <v>853709</v>
      </c>
      <c r="K54" s="418">
        <v>0</v>
      </c>
      <c r="L54" s="418">
        <v>853709</v>
      </c>
      <c r="M54" s="418">
        <f t="shared" si="155"/>
        <v>0</v>
      </c>
      <c r="N54" s="418">
        <v>0</v>
      </c>
      <c r="O54" s="418">
        <v>0</v>
      </c>
      <c r="P54" s="68">
        <f t="shared" si="156"/>
        <v>288554</v>
      </c>
      <c r="Q54" s="68">
        <f t="shared" si="157"/>
        <v>8537</v>
      </c>
      <c r="R54" s="418">
        <v>6160</v>
      </c>
      <c r="S54" s="419">
        <f t="shared" si="158"/>
        <v>2.56</v>
      </c>
      <c r="T54" s="420">
        <v>0</v>
      </c>
      <c r="U54" s="527">
        <v>2.56</v>
      </c>
      <c r="V54" s="427">
        <f t="shared" si="159"/>
        <v>0</v>
      </c>
      <c r="W54" s="421">
        <f t="shared" si="159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 t="shared" si="160"/>
        <v>0</v>
      </c>
      <c r="AG54" s="421">
        <f t="shared" si="161"/>
        <v>0</v>
      </c>
      <c r="AH54" s="421">
        <f t="shared" si="162"/>
        <v>0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63"/>
        <v>0</v>
      </c>
      <c r="AP54" s="421">
        <f t="shared" si="164"/>
        <v>0</v>
      </c>
      <c r="AQ54" s="421">
        <f t="shared" si="165"/>
        <v>0</v>
      </c>
      <c r="AR54" s="421">
        <f t="shared" si="166"/>
        <v>0</v>
      </c>
      <c r="AS54" s="421">
        <f t="shared" si="166"/>
        <v>0</v>
      </c>
      <c r="AT54" s="421">
        <f t="shared" si="167"/>
        <v>0</v>
      </c>
      <c r="AU54" s="68">
        <f t="shared" si="168"/>
        <v>0</v>
      </c>
      <c r="AV54" s="68">
        <f t="shared" si="169"/>
        <v>0</v>
      </c>
      <c r="AW54" s="421">
        <v>0</v>
      </c>
      <c r="AX54" s="421">
        <v>0</v>
      </c>
      <c r="AY54" s="421">
        <f t="shared" si="170"/>
        <v>0</v>
      </c>
      <c r="AZ54" s="421">
        <f t="shared" si="171"/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 t="shared" si="172"/>
        <v>0</v>
      </c>
      <c r="BL54" s="422">
        <f t="shared" si="173"/>
        <v>0</v>
      </c>
      <c r="BM54" s="611">
        <f t="shared" si="174"/>
        <v>0</v>
      </c>
      <c r="BN54" s="428">
        <f t="shared" si="175"/>
        <v>1156960</v>
      </c>
      <c r="BO54" s="421">
        <f t="shared" si="176"/>
        <v>853709</v>
      </c>
      <c r="BP54" s="421">
        <f t="shared" si="177"/>
        <v>0</v>
      </c>
      <c r="BQ54" s="421">
        <f t="shared" si="177"/>
        <v>853709</v>
      </c>
      <c r="BR54" s="421">
        <f t="shared" si="178"/>
        <v>0</v>
      </c>
      <c r="BS54" s="421">
        <f t="shared" si="179"/>
        <v>0</v>
      </c>
      <c r="BT54" s="421">
        <f t="shared" si="179"/>
        <v>0</v>
      </c>
      <c r="BU54" s="421">
        <f t="shared" si="180"/>
        <v>288554</v>
      </c>
      <c r="BV54" s="421">
        <f t="shared" si="180"/>
        <v>8537</v>
      </c>
      <c r="BW54" s="421">
        <f t="shared" si="181"/>
        <v>6160</v>
      </c>
      <c r="BX54" s="422">
        <f t="shared" si="182"/>
        <v>2.56</v>
      </c>
      <c r="BY54" s="422">
        <f t="shared" si="183"/>
        <v>0</v>
      </c>
      <c r="BZ54" s="611">
        <f t="shared" si="183"/>
        <v>2.56</v>
      </c>
      <c r="CA54" s="423"/>
      <c r="CB54" s="418"/>
      <c r="CC54" s="418"/>
      <c r="CD54" s="418"/>
      <c r="CE54" s="418"/>
      <c r="CF54" s="527"/>
    </row>
    <row r="55" spans="1:84" ht="12.95" customHeight="1" x14ac:dyDescent="0.25">
      <c r="A55" s="282">
        <v>8</v>
      </c>
      <c r="B55" s="323">
        <v>5476</v>
      </c>
      <c r="C55" s="324">
        <v>650046072</v>
      </c>
      <c r="D55" s="283">
        <v>71002723</v>
      </c>
      <c r="E55" s="350" t="s">
        <v>423</v>
      </c>
      <c r="F55" s="323">
        <v>3143</v>
      </c>
      <c r="G55" s="286" t="s">
        <v>596</v>
      </c>
      <c r="H55" s="733" t="s">
        <v>271</v>
      </c>
      <c r="I55" s="423">
        <f t="shared" si="153"/>
        <v>826634</v>
      </c>
      <c r="J55" s="418">
        <f t="shared" si="154"/>
        <v>613230</v>
      </c>
      <c r="K55" s="418">
        <v>613230</v>
      </c>
      <c r="L55" s="418">
        <v>0</v>
      </c>
      <c r="M55" s="418">
        <f t="shared" si="155"/>
        <v>0</v>
      </c>
      <c r="N55" s="418">
        <v>0</v>
      </c>
      <c r="O55" s="418">
        <v>0</v>
      </c>
      <c r="P55" s="68">
        <f t="shared" si="156"/>
        <v>207272</v>
      </c>
      <c r="Q55" s="68">
        <f t="shared" si="157"/>
        <v>6132</v>
      </c>
      <c r="R55" s="418">
        <v>0</v>
      </c>
      <c r="S55" s="419">
        <f t="shared" si="158"/>
        <v>1.3</v>
      </c>
      <c r="T55" s="420">
        <v>1.3</v>
      </c>
      <c r="U55" s="527">
        <v>0</v>
      </c>
      <c r="V55" s="427">
        <f t="shared" si="159"/>
        <v>0</v>
      </c>
      <c r="W55" s="421">
        <f t="shared" si="159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 t="shared" si="160"/>
        <v>0</v>
      </c>
      <c r="AG55" s="421">
        <f t="shared" si="161"/>
        <v>0</v>
      </c>
      <c r="AH55" s="421">
        <f t="shared" si="162"/>
        <v>0</v>
      </c>
      <c r="AI55" s="421">
        <v>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63"/>
        <v>0</v>
      </c>
      <c r="AP55" s="421">
        <f t="shared" si="164"/>
        <v>0</v>
      </c>
      <c r="AQ55" s="421">
        <f t="shared" si="165"/>
        <v>0</v>
      </c>
      <c r="AR55" s="421">
        <f t="shared" si="166"/>
        <v>0</v>
      </c>
      <c r="AS55" s="421">
        <f t="shared" si="166"/>
        <v>0</v>
      </c>
      <c r="AT55" s="421">
        <f t="shared" si="167"/>
        <v>0</v>
      </c>
      <c r="AU55" s="68">
        <f t="shared" si="168"/>
        <v>0</v>
      </c>
      <c r="AV55" s="68">
        <f t="shared" si="169"/>
        <v>0</v>
      </c>
      <c r="AW55" s="421">
        <v>0</v>
      </c>
      <c r="AX55" s="421">
        <v>0</v>
      </c>
      <c r="AY55" s="421">
        <f t="shared" si="170"/>
        <v>0</v>
      </c>
      <c r="AZ55" s="421">
        <f t="shared" si="171"/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 t="shared" si="172"/>
        <v>0</v>
      </c>
      <c r="BL55" s="422">
        <f t="shared" si="173"/>
        <v>0</v>
      </c>
      <c r="BM55" s="611">
        <f t="shared" si="174"/>
        <v>0</v>
      </c>
      <c r="BN55" s="428">
        <f t="shared" si="175"/>
        <v>826634</v>
      </c>
      <c r="BO55" s="421">
        <f t="shared" si="176"/>
        <v>613230</v>
      </c>
      <c r="BP55" s="421">
        <f t="shared" si="177"/>
        <v>613230</v>
      </c>
      <c r="BQ55" s="421">
        <f t="shared" si="177"/>
        <v>0</v>
      </c>
      <c r="BR55" s="421">
        <f t="shared" si="178"/>
        <v>0</v>
      </c>
      <c r="BS55" s="421">
        <f t="shared" si="179"/>
        <v>0</v>
      </c>
      <c r="BT55" s="421">
        <f t="shared" si="179"/>
        <v>0</v>
      </c>
      <c r="BU55" s="421">
        <f t="shared" si="180"/>
        <v>207272</v>
      </c>
      <c r="BV55" s="421">
        <f t="shared" si="180"/>
        <v>6132</v>
      </c>
      <c r="BW55" s="421">
        <f t="shared" si="181"/>
        <v>0</v>
      </c>
      <c r="BX55" s="422">
        <f t="shared" si="182"/>
        <v>1.3</v>
      </c>
      <c r="BY55" s="422">
        <f t="shared" si="183"/>
        <v>1.3</v>
      </c>
      <c r="BZ55" s="611">
        <f t="shared" si="183"/>
        <v>0</v>
      </c>
      <c r="CA55" s="423"/>
      <c r="CB55" s="418"/>
      <c r="CC55" s="418"/>
      <c r="CD55" s="418"/>
      <c r="CE55" s="418"/>
      <c r="CF55" s="527"/>
    </row>
    <row r="56" spans="1:84" ht="12.95" customHeight="1" x14ac:dyDescent="0.25">
      <c r="A56" s="282">
        <v>8</v>
      </c>
      <c r="B56" s="323">
        <v>5476</v>
      </c>
      <c r="C56" s="324">
        <v>650046072</v>
      </c>
      <c r="D56" s="283">
        <v>71002723</v>
      </c>
      <c r="E56" s="350" t="s">
        <v>423</v>
      </c>
      <c r="F56" s="323">
        <v>3143</v>
      </c>
      <c r="G56" s="286" t="s">
        <v>597</v>
      </c>
      <c r="H56" s="733" t="s">
        <v>272</v>
      </c>
      <c r="I56" s="423">
        <f t="shared" si="153"/>
        <v>24601</v>
      </c>
      <c r="J56" s="418">
        <f t="shared" si="154"/>
        <v>17609</v>
      </c>
      <c r="K56" s="418">
        <v>0</v>
      </c>
      <c r="L56" s="418">
        <v>17609</v>
      </c>
      <c r="M56" s="418">
        <f t="shared" si="155"/>
        <v>0</v>
      </c>
      <c r="N56" s="418">
        <v>0</v>
      </c>
      <c r="O56" s="418">
        <v>0</v>
      </c>
      <c r="P56" s="68">
        <f t="shared" si="156"/>
        <v>5952</v>
      </c>
      <c r="Q56" s="68">
        <f t="shared" si="157"/>
        <v>176</v>
      </c>
      <c r="R56" s="418">
        <v>864</v>
      </c>
      <c r="S56" s="419">
        <f t="shared" si="158"/>
        <v>6.6699999999999995E-2</v>
      </c>
      <c r="T56" s="420">
        <v>0</v>
      </c>
      <c r="U56" s="527">
        <v>6.6699999999999995E-2</v>
      </c>
      <c r="V56" s="427">
        <f t="shared" si="159"/>
        <v>0</v>
      </c>
      <c r="W56" s="421">
        <f t="shared" si="159"/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 t="shared" si="160"/>
        <v>0</v>
      </c>
      <c r="AG56" s="421">
        <f t="shared" si="161"/>
        <v>0</v>
      </c>
      <c r="AH56" s="421">
        <f t="shared" si="162"/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63"/>
        <v>0</v>
      </c>
      <c r="AP56" s="421">
        <f t="shared" si="164"/>
        <v>0</v>
      </c>
      <c r="AQ56" s="421">
        <f t="shared" si="165"/>
        <v>0</v>
      </c>
      <c r="AR56" s="421">
        <f t="shared" si="166"/>
        <v>0</v>
      </c>
      <c r="AS56" s="421">
        <f t="shared" si="166"/>
        <v>0</v>
      </c>
      <c r="AT56" s="421">
        <f t="shared" si="167"/>
        <v>0</v>
      </c>
      <c r="AU56" s="68">
        <f t="shared" si="168"/>
        <v>0</v>
      </c>
      <c r="AV56" s="68">
        <f t="shared" si="169"/>
        <v>0</v>
      </c>
      <c r="AW56" s="421">
        <v>0</v>
      </c>
      <c r="AX56" s="421">
        <v>0</v>
      </c>
      <c r="AY56" s="421">
        <f t="shared" si="170"/>
        <v>0</v>
      </c>
      <c r="AZ56" s="421">
        <f t="shared" si="171"/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 t="shared" si="172"/>
        <v>0</v>
      </c>
      <c r="BL56" s="422">
        <f t="shared" si="173"/>
        <v>0</v>
      </c>
      <c r="BM56" s="611">
        <f t="shared" si="174"/>
        <v>0</v>
      </c>
      <c r="BN56" s="428">
        <f t="shared" si="175"/>
        <v>24601</v>
      </c>
      <c r="BO56" s="421">
        <f t="shared" si="176"/>
        <v>17609</v>
      </c>
      <c r="BP56" s="421">
        <f t="shared" si="177"/>
        <v>0</v>
      </c>
      <c r="BQ56" s="421">
        <f t="shared" si="177"/>
        <v>17609</v>
      </c>
      <c r="BR56" s="421">
        <f t="shared" si="178"/>
        <v>0</v>
      </c>
      <c r="BS56" s="421">
        <f t="shared" si="179"/>
        <v>0</v>
      </c>
      <c r="BT56" s="421">
        <f t="shared" si="179"/>
        <v>0</v>
      </c>
      <c r="BU56" s="421">
        <f t="shared" si="180"/>
        <v>5952</v>
      </c>
      <c r="BV56" s="421">
        <f t="shared" si="180"/>
        <v>176</v>
      </c>
      <c r="BW56" s="421">
        <f t="shared" si="181"/>
        <v>864</v>
      </c>
      <c r="BX56" s="422">
        <f t="shared" si="182"/>
        <v>6.6699999999999995E-2</v>
      </c>
      <c r="BY56" s="422">
        <f t="shared" si="183"/>
        <v>0</v>
      </c>
      <c r="BZ56" s="611">
        <f t="shared" si="183"/>
        <v>6.6699999999999995E-2</v>
      </c>
      <c r="CA56" s="423"/>
      <c r="CB56" s="418"/>
      <c r="CC56" s="418"/>
      <c r="CD56" s="418"/>
      <c r="CE56" s="418"/>
      <c r="CF56" s="527"/>
    </row>
    <row r="57" spans="1:84" ht="12.95" customHeight="1" x14ac:dyDescent="0.25">
      <c r="A57" s="282">
        <v>8</v>
      </c>
      <c r="B57" s="323">
        <v>5476</v>
      </c>
      <c r="C57" s="324">
        <v>650046072</v>
      </c>
      <c r="D57" s="283">
        <v>71002723</v>
      </c>
      <c r="E57" s="350" t="s">
        <v>423</v>
      </c>
      <c r="F57" s="323">
        <v>3231</v>
      </c>
      <c r="G57" s="347" t="s">
        <v>296</v>
      </c>
      <c r="H57" s="733" t="s">
        <v>271</v>
      </c>
      <c r="I57" s="423">
        <f t="shared" si="153"/>
        <v>7378016</v>
      </c>
      <c r="J57" s="418">
        <f t="shared" si="154"/>
        <v>5466077</v>
      </c>
      <c r="K57" s="418">
        <v>5247323</v>
      </c>
      <c r="L57" s="418">
        <v>218754</v>
      </c>
      <c r="M57" s="418">
        <f t="shared" si="155"/>
        <v>0</v>
      </c>
      <c r="N57" s="418">
        <v>0</v>
      </c>
      <c r="O57" s="418">
        <v>0</v>
      </c>
      <c r="P57" s="68">
        <f t="shared" si="156"/>
        <v>1847534</v>
      </c>
      <c r="Q57" s="68">
        <f t="shared" si="157"/>
        <v>54661</v>
      </c>
      <c r="R57" s="418">
        <v>9744</v>
      </c>
      <c r="S57" s="419">
        <f t="shared" si="158"/>
        <v>8.9306999999999999</v>
      </c>
      <c r="T57" s="420">
        <v>8.3169000000000004</v>
      </c>
      <c r="U57" s="527">
        <v>0.61380000000000001</v>
      </c>
      <c r="V57" s="427">
        <f t="shared" si="159"/>
        <v>0</v>
      </c>
      <c r="W57" s="421">
        <f t="shared" si="159"/>
        <v>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 t="shared" si="160"/>
        <v>0</v>
      </c>
      <c r="AG57" s="421">
        <f t="shared" si="161"/>
        <v>0</v>
      </c>
      <c r="AH57" s="421">
        <f t="shared" si="162"/>
        <v>0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63"/>
        <v>0</v>
      </c>
      <c r="AP57" s="421">
        <f t="shared" si="164"/>
        <v>0</v>
      </c>
      <c r="AQ57" s="421">
        <f t="shared" si="165"/>
        <v>0</v>
      </c>
      <c r="AR57" s="421">
        <f t="shared" si="166"/>
        <v>0</v>
      </c>
      <c r="AS57" s="421">
        <f t="shared" si="166"/>
        <v>0</v>
      </c>
      <c r="AT57" s="421">
        <f t="shared" si="167"/>
        <v>0</v>
      </c>
      <c r="AU57" s="68">
        <f t="shared" si="168"/>
        <v>0</v>
      </c>
      <c r="AV57" s="68">
        <f t="shared" si="169"/>
        <v>0</v>
      </c>
      <c r="AW57" s="421">
        <v>0</v>
      </c>
      <c r="AX57" s="421">
        <v>0</v>
      </c>
      <c r="AY57" s="421">
        <f t="shared" si="170"/>
        <v>0</v>
      </c>
      <c r="AZ57" s="421">
        <f t="shared" si="171"/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 t="shared" si="172"/>
        <v>0</v>
      </c>
      <c r="BL57" s="422">
        <f t="shared" si="173"/>
        <v>0</v>
      </c>
      <c r="BM57" s="611">
        <f t="shared" si="174"/>
        <v>0</v>
      </c>
      <c r="BN57" s="428">
        <f t="shared" si="175"/>
        <v>7378016</v>
      </c>
      <c r="BO57" s="421">
        <f t="shared" si="176"/>
        <v>5466077</v>
      </c>
      <c r="BP57" s="421">
        <f t="shared" si="177"/>
        <v>5247323</v>
      </c>
      <c r="BQ57" s="421">
        <f t="shared" si="177"/>
        <v>218754</v>
      </c>
      <c r="BR57" s="421">
        <f t="shared" si="178"/>
        <v>0</v>
      </c>
      <c r="BS57" s="421">
        <f t="shared" si="179"/>
        <v>0</v>
      </c>
      <c r="BT57" s="421">
        <f t="shared" si="179"/>
        <v>0</v>
      </c>
      <c r="BU57" s="421">
        <f t="shared" si="180"/>
        <v>1847534</v>
      </c>
      <c r="BV57" s="421">
        <f t="shared" si="180"/>
        <v>54661</v>
      </c>
      <c r="BW57" s="421">
        <f t="shared" si="181"/>
        <v>9744</v>
      </c>
      <c r="BX57" s="422">
        <f t="shared" si="182"/>
        <v>8.9306999999999999</v>
      </c>
      <c r="BY57" s="422">
        <f t="shared" si="183"/>
        <v>8.3169000000000004</v>
      </c>
      <c r="BZ57" s="611">
        <f t="shared" si="183"/>
        <v>0.61380000000000001</v>
      </c>
      <c r="CA57" s="423"/>
      <c r="CB57" s="418"/>
      <c r="CC57" s="418"/>
      <c r="CD57" s="418"/>
      <c r="CE57" s="418"/>
      <c r="CF57" s="527"/>
    </row>
    <row r="58" spans="1:84" ht="12.95" customHeight="1" x14ac:dyDescent="0.25">
      <c r="A58" s="734">
        <v>8</v>
      </c>
      <c r="B58" s="327">
        <v>5476</v>
      </c>
      <c r="C58" s="328">
        <v>650046072</v>
      </c>
      <c r="D58" s="327">
        <v>71002723</v>
      </c>
      <c r="E58" s="351" t="s">
        <v>424</v>
      </c>
      <c r="F58" s="327"/>
      <c r="G58" s="352"/>
      <c r="H58" s="736"/>
      <c r="I58" s="472">
        <f t="shared" ref="I58:BU58" si="184">SUM(I51:I57)</f>
        <v>24431418</v>
      </c>
      <c r="J58" s="468">
        <f t="shared" si="184"/>
        <v>18007444</v>
      </c>
      <c r="K58" s="468">
        <f t="shared" si="184"/>
        <v>15931764</v>
      </c>
      <c r="L58" s="468">
        <f t="shared" si="184"/>
        <v>2075680</v>
      </c>
      <c r="M58" s="468">
        <f t="shared" si="184"/>
        <v>0</v>
      </c>
      <c r="N58" s="468">
        <f t="shared" si="184"/>
        <v>0</v>
      </c>
      <c r="O58" s="468">
        <f t="shared" si="184"/>
        <v>0</v>
      </c>
      <c r="P58" s="468">
        <f t="shared" si="184"/>
        <v>6086517</v>
      </c>
      <c r="Q58" s="468">
        <f t="shared" si="184"/>
        <v>180074</v>
      </c>
      <c r="R58" s="468">
        <f t="shared" si="184"/>
        <v>157383</v>
      </c>
      <c r="S58" s="469">
        <f t="shared" si="184"/>
        <v>31.480600000000003</v>
      </c>
      <c r="T58" s="469">
        <f t="shared" si="184"/>
        <v>25.344200000000001</v>
      </c>
      <c r="U58" s="281">
        <f t="shared" si="184"/>
        <v>6.1364000000000001</v>
      </c>
      <c r="V58" s="474">
        <f t="shared" si="184"/>
        <v>-35200</v>
      </c>
      <c r="W58" s="468">
        <f t="shared" si="184"/>
        <v>-25600</v>
      </c>
      <c r="X58" s="468">
        <f t="shared" si="184"/>
        <v>496651</v>
      </c>
      <c r="Y58" s="468">
        <f t="shared" si="184"/>
        <v>0</v>
      </c>
      <c r="Z58" s="468">
        <f t="shared" si="184"/>
        <v>0</v>
      </c>
      <c r="AA58" s="468">
        <f t="shared" si="184"/>
        <v>16550</v>
      </c>
      <c r="AB58" s="468">
        <f t="shared" si="184"/>
        <v>225600</v>
      </c>
      <c r="AC58" s="468">
        <f t="shared" si="184"/>
        <v>0</v>
      </c>
      <c r="AD58" s="468">
        <f t="shared" si="184"/>
        <v>0</v>
      </c>
      <c r="AE58" s="468">
        <f t="shared" si="184"/>
        <v>0</v>
      </c>
      <c r="AF58" s="468">
        <f t="shared" si="184"/>
        <v>703601</v>
      </c>
      <c r="AG58" s="468">
        <f t="shared" si="184"/>
        <v>-25600</v>
      </c>
      <c r="AH58" s="468">
        <f t="shared" si="184"/>
        <v>678001</v>
      </c>
      <c r="AI58" s="468">
        <f t="shared" si="184"/>
        <v>35200</v>
      </c>
      <c r="AJ58" s="468">
        <f t="shared" si="184"/>
        <v>25600</v>
      </c>
      <c r="AK58" s="468">
        <f t="shared" ref="AK58" si="185">SUM(AK51:AK57)</f>
        <v>0</v>
      </c>
      <c r="AL58" s="468">
        <f t="shared" si="184"/>
        <v>0</v>
      </c>
      <c r="AM58" s="468">
        <f t="shared" si="184"/>
        <v>0</v>
      </c>
      <c r="AN58" s="468">
        <f t="shared" si="184"/>
        <v>0</v>
      </c>
      <c r="AO58" s="468">
        <f t="shared" si="184"/>
        <v>35200</v>
      </c>
      <c r="AP58" s="468">
        <f t="shared" si="184"/>
        <v>25600</v>
      </c>
      <c r="AQ58" s="468">
        <f t="shared" si="184"/>
        <v>60800</v>
      </c>
      <c r="AR58" s="468">
        <f t="shared" si="184"/>
        <v>738801</v>
      </c>
      <c r="AS58" s="468">
        <f t="shared" si="184"/>
        <v>0</v>
      </c>
      <c r="AT58" s="468">
        <f t="shared" si="184"/>
        <v>738801</v>
      </c>
      <c r="AU58" s="468">
        <f t="shared" si="184"/>
        <v>249715</v>
      </c>
      <c r="AV58" s="468">
        <f t="shared" si="184"/>
        <v>6781</v>
      </c>
      <c r="AW58" s="468">
        <f t="shared" si="184"/>
        <v>0</v>
      </c>
      <c r="AX58" s="468">
        <f t="shared" si="184"/>
        <v>0</v>
      </c>
      <c r="AY58" s="468">
        <f t="shared" si="184"/>
        <v>0</v>
      </c>
      <c r="AZ58" s="468">
        <f t="shared" si="184"/>
        <v>995297</v>
      </c>
      <c r="BA58" s="469">
        <f t="shared" si="184"/>
        <v>-0.05</v>
      </c>
      <c r="BB58" s="469">
        <f t="shared" si="184"/>
        <v>-0.08</v>
      </c>
      <c r="BC58" s="469">
        <f t="shared" si="184"/>
        <v>1.39</v>
      </c>
      <c r="BD58" s="469">
        <f t="shared" si="184"/>
        <v>0.4</v>
      </c>
      <c r="BE58" s="469">
        <f t="shared" si="184"/>
        <v>0</v>
      </c>
      <c r="BF58" s="469">
        <f t="shared" si="184"/>
        <v>0</v>
      </c>
      <c r="BG58" s="469">
        <f t="shared" si="184"/>
        <v>0</v>
      </c>
      <c r="BH58" s="469">
        <f t="shared" si="184"/>
        <v>0.02</v>
      </c>
      <c r="BI58" s="469">
        <f t="shared" si="184"/>
        <v>0</v>
      </c>
      <c r="BJ58" s="469">
        <f t="shared" si="184"/>
        <v>0</v>
      </c>
      <c r="BK58" s="469">
        <f t="shared" si="184"/>
        <v>1.76</v>
      </c>
      <c r="BL58" s="469">
        <f t="shared" si="184"/>
        <v>-0.08</v>
      </c>
      <c r="BM58" s="562">
        <f t="shared" si="184"/>
        <v>1.68</v>
      </c>
      <c r="BN58" s="472">
        <f t="shared" si="184"/>
        <v>25426715</v>
      </c>
      <c r="BO58" s="468">
        <f t="shared" si="184"/>
        <v>18685445</v>
      </c>
      <c r="BP58" s="468">
        <f t="shared" si="184"/>
        <v>16635365</v>
      </c>
      <c r="BQ58" s="468">
        <f t="shared" si="184"/>
        <v>2050080</v>
      </c>
      <c r="BR58" s="468">
        <f t="shared" si="184"/>
        <v>60800</v>
      </c>
      <c r="BS58" s="468">
        <f t="shared" si="184"/>
        <v>35200</v>
      </c>
      <c r="BT58" s="468">
        <f t="shared" si="184"/>
        <v>25600</v>
      </c>
      <c r="BU58" s="468">
        <f t="shared" si="184"/>
        <v>6336232</v>
      </c>
      <c r="BV58" s="468">
        <f t="shared" ref="BV58:CF58" si="186">SUM(BV51:BV57)</f>
        <v>186855</v>
      </c>
      <c r="BW58" s="468">
        <f t="shared" si="186"/>
        <v>157383</v>
      </c>
      <c r="BX58" s="469">
        <f t="shared" si="186"/>
        <v>33.160600000000002</v>
      </c>
      <c r="BY58" s="469">
        <f t="shared" si="186"/>
        <v>27.104199999999999</v>
      </c>
      <c r="BZ58" s="562">
        <f t="shared" si="186"/>
        <v>6.0564</v>
      </c>
      <c r="CA58" s="873">
        <f t="shared" si="186"/>
        <v>304109</v>
      </c>
      <c r="CB58" s="850">
        <f t="shared" si="186"/>
        <v>225600</v>
      </c>
      <c r="CC58" s="850">
        <f t="shared" si="186"/>
        <v>0</v>
      </c>
      <c r="CD58" s="850">
        <f t="shared" si="186"/>
        <v>76253</v>
      </c>
      <c r="CE58" s="850">
        <f t="shared" si="186"/>
        <v>2256</v>
      </c>
      <c r="CF58" s="841">
        <f t="shared" si="186"/>
        <v>0.4</v>
      </c>
    </row>
    <row r="59" spans="1:84" ht="12.95" customHeight="1" x14ac:dyDescent="0.25">
      <c r="A59" s="282">
        <v>9</v>
      </c>
      <c r="B59" s="323">
        <v>5414</v>
      </c>
      <c r="C59" s="324">
        <v>600099008</v>
      </c>
      <c r="D59" s="283">
        <v>70695555</v>
      </c>
      <c r="E59" s="350" t="s">
        <v>425</v>
      </c>
      <c r="F59" s="323">
        <v>3111</v>
      </c>
      <c r="G59" s="347" t="s">
        <v>305</v>
      </c>
      <c r="H59" s="733" t="s">
        <v>271</v>
      </c>
      <c r="I59" s="423">
        <f t="shared" ref="I59:I60" si="187">J59+P59+Q59+R59</f>
        <v>1790914</v>
      </c>
      <c r="J59" s="418">
        <f>K59+L59</f>
        <v>1324214</v>
      </c>
      <c r="K59" s="418">
        <v>1206673</v>
      </c>
      <c r="L59" s="418">
        <v>117541</v>
      </c>
      <c r="M59" s="418">
        <f t="shared" ref="M59:M60" si="188">N59+O59</f>
        <v>0</v>
      </c>
      <c r="N59" s="418">
        <v>0</v>
      </c>
      <c r="O59" s="418">
        <v>0</v>
      </c>
      <c r="P59" s="68">
        <f t="shared" ref="P59:P60" si="189">ROUND((J59+M59)*33.8%,0)</f>
        <v>447584</v>
      </c>
      <c r="Q59" s="68">
        <f t="shared" ref="Q59:Q60" si="190">ROUND(J59*1%,0)</f>
        <v>13242</v>
      </c>
      <c r="R59" s="418">
        <v>5874</v>
      </c>
      <c r="S59" s="419">
        <f>T59+U59</f>
        <v>2.4</v>
      </c>
      <c r="T59" s="420">
        <v>2</v>
      </c>
      <c r="U59" s="527">
        <v>0.4</v>
      </c>
      <c r="V59" s="427">
        <f>AI59*-1</f>
        <v>0</v>
      </c>
      <c r="W59" s="421">
        <f>AJ59*-1</f>
        <v>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>V59+X59+Y59+AA59+AB59+AD59</f>
        <v>0</v>
      </c>
      <c r="AG59" s="421">
        <f>W59+Z59+AC59+AE59</f>
        <v>0</v>
      </c>
      <c r="AH59" s="421">
        <f>SUM(AF59:AG59)</f>
        <v>0</v>
      </c>
      <c r="AI59" s="421">
        <v>0</v>
      </c>
      <c r="AJ59" s="421">
        <v>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ref="AO59:AO60" si="191">AI59+AK59+AL59+AM59</f>
        <v>0</v>
      </c>
      <c r="AP59" s="421">
        <f>AJ59+AN59</f>
        <v>0</v>
      </c>
      <c r="AQ59" s="421">
        <f>SUM(AO59:AP59)</f>
        <v>0</v>
      </c>
      <c r="AR59" s="421">
        <f>AF59+AO59</f>
        <v>0</v>
      </c>
      <c r="AS59" s="421">
        <f>AG59+AP59</f>
        <v>0</v>
      </c>
      <c r="AT59" s="421">
        <f>SUM(AR59:AS59)</f>
        <v>0</v>
      </c>
      <c r="AU59" s="68">
        <f t="shared" ref="AU59:AU60" si="192">ROUND((AH59+AI59+AJ59+AK59+AL59)*33.8%,0)</f>
        <v>0</v>
      </c>
      <c r="AV59" s="68">
        <f>ROUND(AH59*1%,0)</f>
        <v>0</v>
      </c>
      <c r="AW59" s="421">
        <v>0</v>
      </c>
      <c r="AX59" s="421">
        <v>0</v>
      </c>
      <c r="AY59" s="421">
        <f>AW59+AX59</f>
        <v>0</v>
      </c>
      <c r="AZ59" s="421">
        <f>AT59+AU59+AV59+AY59</f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>BA59+BC59+BD59+BF59+BH59+BI59</f>
        <v>0</v>
      </c>
      <c r="BL59" s="422">
        <f>BB59+BE59+BG59+BJ59</f>
        <v>0</v>
      </c>
      <c r="BM59" s="611">
        <f>SUM(BK59:BL59)</f>
        <v>0</v>
      </c>
      <c r="BN59" s="428">
        <f>I59+AZ59</f>
        <v>1790914</v>
      </c>
      <c r="BO59" s="421">
        <f>J59+AH59</f>
        <v>1324214</v>
      </c>
      <c r="BP59" s="421">
        <f>K59+AF59</f>
        <v>1206673</v>
      </c>
      <c r="BQ59" s="421">
        <f>L59+AG59</f>
        <v>117541</v>
      </c>
      <c r="BR59" s="421">
        <f>M59+AQ59</f>
        <v>0</v>
      </c>
      <c r="BS59" s="421">
        <f>N59+AO59</f>
        <v>0</v>
      </c>
      <c r="BT59" s="421">
        <f>O59+AP59</f>
        <v>0</v>
      </c>
      <c r="BU59" s="421">
        <f>P59+AU59</f>
        <v>447584</v>
      </c>
      <c r="BV59" s="421">
        <f>Q59+AV59</f>
        <v>13242</v>
      </c>
      <c r="BW59" s="421">
        <f>R59+AY59</f>
        <v>5874</v>
      </c>
      <c r="BX59" s="422">
        <f>S59+BM59</f>
        <v>2.4</v>
      </c>
      <c r="BY59" s="422">
        <f>T59+BK59</f>
        <v>2</v>
      </c>
      <c r="BZ59" s="611">
        <f>U59+BL59</f>
        <v>0.4</v>
      </c>
      <c r="CA59" s="423"/>
      <c r="CB59" s="418"/>
      <c r="CC59" s="418"/>
      <c r="CD59" s="418"/>
      <c r="CE59" s="418"/>
      <c r="CF59" s="527"/>
    </row>
    <row r="60" spans="1:84" ht="12.95" customHeight="1" x14ac:dyDescent="0.25">
      <c r="A60" s="282">
        <v>9</v>
      </c>
      <c r="B60" s="323">
        <v>5414</v>
      </c>
      <c r="C60" s="324">
        <v>600099008</v>
      </c>
      <c r="D60" s="283">
        <v>70695555</v>
      </c>
      <c r="E60" s="350" t="s">
        <v>425</v>
      </c>
      <c r="F60" s="323">
        <v>3141</v>
      </c>
      <c r="G60" s="347" t="s">
        <v>295</v>
      </c>
      <c r="H60" s="733" t="s">
        <v>272</v>
      </c>
      <c r="I60" s="423">
        <f t="shared" si="187"/>
        <v>102415</v>
      </c>
      <c r="J60" s="418">
        <f>K60+L60</f>
        <v>75600</v>
      </c>
      <c r="K60" s="418">
        <v>0</v>
      </c>
      <c r="L60" s="418">
        <v>75600</v>
      </c>
      <c r="M60" s="418">
        <f t="shared" si="188"/>
        <v>0</v>
      </c>
      <c r="N60" s="418">
        <v>0</v>
      </c>
      <c r="O60" s="418">
        <v>0</v>
      </c>
      <c r="P60" s="68">
        <f t="shared" si="189"/>
        <v>25553</v>
      </c>
      <c r="Q60" s="68">
        <f t="shared" si="190"/>
        <v>756</v>
      </c>
      <c r="R60" s="418">
        <v>506</v>
      </c>
      <c r="S60" s="419">
        <f>T60+U60</f>
        <v>0.22670000000000001</v>
      </c>
      <c r="T60" s="420">
        <v>0</v>
      </c>
      <c r="U60" s="527">
        <v>0.22670000000000001</v>
      </c>
      <c r="V60" s="427">
        <f>AI60*-1</f>
        <v>0</v>
      </c>
      <c r="W60" s="421">
        <f>AJ60*-1</f>
        <v>0</v>
      </c>
      <c r="X60" s="421">
        <v>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>V60+X60+Y60+AA60+AB60+AD60</f>
        <v>0</v>
      </c>
      <c r="AG60" s="421">
        <f>W60+Z60+AC60+AE60</f>
        <v>0</v>
      </c>
      <c r="AH60" s="421">
        <f>SUM(AF60:AG60)</f>
        <v>0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91"/>
        <v>0</v>
      </c>
      <c r="AP60" s="421">
        <f>AJ60+AN60</f>
        <v>0</v>
      </c>
      <c r="AQ60" s="421">
        <f>SUM(AO60:AP60)</f>
        <v>0</v>
      </c>
      <c r="AR60" s="421">
        <f>AF60+AO60</f>
        <v>0</v>
      </c>
      <c r="AS60" s="421">
        <f>AG60+AP60</f>
        <v>0</v>
      </c>
      <c r="AT60" s="421">
        <f>SUM(AR60:AS60)</f>
        <v>0</v>
      </c>
      <c r="AU60" s="68">
        <f t="shared" si="192"/>
        <v>0</v>
      </c>
      <c r="AV60" s="68">
        <f>ROUND(AH60*1%,0)</f>
        <v>0</v>
      </c>
      <c r="AW60" s="421">
        <v>0</v>
      </c>
      <c r="AX60" s="421">
        <v>0</v>
      </c>
      <c r="AY60" s="421">
        <f>AW60+AX60</f>
        <v>0</v>
      </c>
      <c r="AZ60" s="421">
        <f>AT60+AU60+AV60+AY60</f>
        <v>0</v>
      </c>
      <c r="BA60" s="422">
        <v>0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>BA60+BC60+BD60+BF60+BH60+BI60</f>
        <v>0</v>
      </c>
      <c r="BL60" s="422">
        <f>BB60+BE60+BG60+BJ60</f>
        <v>0</v>
      </c>
      <c r="BM60" s="611">
        <f>SUM(BK60:BL60)</f>
        <v>0</v>
      </c>
      <c r="BN60" s="428">
        <f>I60+AZ60</f>
        <v>102415</v>
      </c>
      <c r="BO60" s="421">
        <f>J60+AH60</f>
        <v>75600</v>
      </c>
      <c r="BP60" s="421">
        <f>K60+AF60</f>
        <v>0</v>
      </c>
      <c r="BQ60" s="421">
        <f>L60+AG60</f>
        <v>75600</v>
      </c>
      <c r="BR60" s="421">
        <f>M60+AQ60</f>
        <v>0</v>
      </c>
      <c r="BS60" s="421">
        <f>N60+AO60</f>
        <v>0</v>
      </c>
      <c r="BT60" s="421">
        <f>O60+AP60</f>
        <v>0</v>
      </c>
      <c r="BU60" s="421">
        <f>P60+AU60</f>
        <v>25553</v>
      </c>
      <c r="BV60" s="421">
        <f>Q60+AV60</f>
        <v>756</v>
      </c>
      <c r="BW60" s="421">
        <f>R60+AY60</f>
        <v>506</v>
      </c>
      <c r="BX60" s="422">
        <f>S60+BM60</f>
        <v>0.22670000000000001</v>
      </c>
      <c r="BY60" s="422">
        <f>T60+BK60</f>
        <v>0</v>
      </c>
      <c r="BZ60" s="611">
        <f>U60+BL60</f>
        <v>0.22670000000000001</v>
      </c>
      <c r="CA60" s="423"/>
      <c r="CB60" s="418"/>
      <c r="CC60" s="418"/>
      <c r="CD60" s="418"/>
      <c r="CE60" s="418"/>
      <c r="CF60" s="527"/>
    </row>
    <row r="61" spans="1:84" ht="12.95" customHeight="1" x14ac:dyDescent="0.25">
      <c r="A61" s="738">
        <v>9</v>
      </c>
      <c r="B61" s="327">
        <v>5414</v>
      </c>
      <c r="C61" s="328">
        <v>600099008</v>
      </c>
      <c r="D61" s="327">
        <v>70695555</v>
      </c>
      <c r="E61" s="351" t="s">
        <v>426</v>
      </c>
      <c r="F61" s="327"/>
      <c r="G61" s="352"/>
      <c r="H61" s="736"/>
      <c r="I61" s="472">
        <f t="shared" ref="I61:BU61" si="193">SUM(I59:I60)</f>
        <v>1893329</v>
      </c>
      <c r="J61" s="468">
        <f t="shared" si="193"/>
        <v>1399814</v>
      </c>
      <c r="K61" s="468">
        <f t="shared" si="193"/>
        <v>1206673</v>
      </c>
      <c r="L61" s="468">
        <f t="shared" si="193"/>
        <v>193141</v>
      </c>
      <c r="M61" s="468">
        <f t="shared" si="193"/>
        <v>0</v>
      </c>
      <c r="N61" s="468">
        <f t="shared" si="193"/>
        <v>0</v>
      </c>
      <c r="O61" s="468">
        <f t="shared" si="193"/>
        <v>0</v>
      </c>
      <c r="P61" s="468">
        <f t="shared" si="193"/>
        <v>473137</v>
      </c>
      <c r="Q61" s="468">
        <f t="shared" si="193"/>
        <v>13998</v>
      </c>
      <c r="R61" s="468">
        <f t="shared" si="193"/>
        <v>6380</v>
      </c>
      <c r="S61" s="469">
        <f t="shared" si="193"/>
        <v>2.6267</v>
      </c>
      <c r="T61" s="469">
        <f t="shared" si="193"/>
        <v>2</v>
      </c>
      <c r="U61" s="281">
        <f t="shared" si="193"/>
        <v>0.62670000000000003</v>
      </c>
      <c r="V61" s="474">
        <f t="shared" si="193"/>
        <v>0</v>
      </c>
      <c r="W61" s="468">
        <f t="shared" si="193"/>
        <v>0</v>
      </c>
      <c r="X61" s="468">
        <f t="shared" si="193"/>
        <v>0</v>
      </c>
      <c r="Y61" s="468">
        <f t="shared" si="193"/>
        <v>0</v>
      </c>
      <c r="Z61" s="468">
        <f t="shared" si="193"/>
        <v>0</v>
      </c>
      <c r="AA61" s="468">
        <f t="shared" si="193"/>
        <v>0</v>
      </c>
      <c r="AB61" s="468">
        <f t="shared" si="193"/>
        <v>0</v>
      </c>
      <c r="AC61" s="468">
        <f t="shared" si="193"/>
        <v>0</v>
      </c>
      <c r="AD61" s="468">
        <f t="shared" si="193"/>
        <v>0</v>
      </c>
      <c r="AE61" s="468">
        <f t="shared" si="193"/>
        <v>0</v>
      </c>
      <c r="AF61" s="468">
        <f t="shared" si="193"/>
        <v>0</v>
      </c>
      <c r="AG61" s="468">
        <f t="shared" si="193"/>
        <v>0</v>
      </c>
      <c r="AH61" s="468">
        <f t="shared" si="193"/>
        <v>0</v>
      </c>
      <c r="AI61" s="468">
        <f t="shared" si="193"/>
        <v>0</v>
      </c>
      <c r="AJ61" s="468">
        <f t="shared" si="193"/>
        <v>0</v>
      </c>
      <c r="AK61" s="468">
        <f t="shared" ref="AK61" si="194">SUM(AK59:AK60)</f>
        <v>0</v>
      </c>
      <c r="AL61" s="468">
        <f t="shared" si="193"/>
        <v>0</v>
      </c>
      <c r="AM61" s="468">
        <f t="shared" si="193"/>
        <v>0</v>
      </c>
      <c r="AN61" s="468">
        <f t="shared" si="193"/>
        <v>0</v>
      </c>
      <c r="AO61" s="468">
        <f t="shared" si="193"/>
        <v>0</v>
      </c>
      <c r="AP61" s="468">
        <f t="shared" si="193"/>
        <v>0</v>
      </c>
      <c r="AQ61" s="468">
        <f t="shared" si="193"/>
        <v>0</v>
      </c>
      <c r="AR61" s="468">
        <f t="shared" si="193"/>
        <v>0</v>
      </c>
      <c r="AS61" s="468">
        <f t="shared" si="193"/>
        <v>0</v>
      </c>
      <c r="AT61" s="468">
        <f t="shared" si="193"/>
        <v>0</v>
      </c>
      <c r="AU61" s="468">
        <f t="shared" si="193"/>
        <v>0</v>
      </c>
      <c r="AV61" s="468">
        <f t="shared" si="193"/>
        <v>0</v>
      </c>
      <c r="AW61" s="468">
        <f t="shared" si="193"/>
        <v>0</v>
      </c>
      <c r="AX61" s="468">
        <f t="shared" si="193"/>
        <v>0</v>
      </c>
      <c r="AY61" s="468">
        <f t="shared" si="193"/>
        <v>0</v>
      </c>
      <c r="AZ61" s="468">
        <f t="shared" si="193"/>
        <v>0</v>
      </c>
      <c r="BA61" s="469">
        <f t="shared" si="193"/>
        <v>0</v>
      </c>
      <c r="BB61" s="469">
        <f t="shared" si="193"/>
        <v>0</v>
      </c>
      <c r="BC61" s="469">
        <f t="shared" si="193"/>
        <v>0</v>
      </c>
      <c r="BD61" s="469">
        <f t="shared" si="193"/>
        <v>0</v>
      </c>
      <c r="BE61" s="469">
        <f t="shared" si="193"/>
        <v>0</v>
      </c>
      <c r="BF61" s="469">
        <f t="shared" si="193"/>
        <v>0</v>
      </c>
      <c r="BG61" s="469">
        <f t="shared" si="193"/>
        <v>0</v>
      </c>
      <c r="BH61" s="469">
        <f t="shared" si="193"/>
        <v>0</v>
      </c>
      <c r="BI61" s="469">
        <f t="shared" si="193"/>
        <v>0</v>
      </c>
      <c r="BJ61" s="469">
        <f t="shared" si="193"/>
        <v>0</v>
      </c>
      <c r="BK61" s="469">
        <f t="shared" si="193"/>
        <v>0</v>
      </c>
      <c r="BL61" s="469">
        <f t="shared" si="193"/>
        <v>0</v>
      </c>
      <c r="BM61" s="562">
        <f t="shared" si="193"/>
        <v>0</v>
      </c>
      <c r="BN61" s="472">
        <f t="shared" si="193"/>
        <v>1893329</v>
      </c>
      <c r="BO61" s="468">
        <f t="shared" si="193"/>
        <v>1399814</v>
      </c>
      <c r="BP61" s="468">
        <f t="shared" si="193"/>
        <v>1206673</v>
      </c>
      <c r="BQ61" s="468">
        <f t="shared" si="193"/>
        <v>193141</v>
      </c>
      <c r="BR61" s="468">
        <f t="shared" si="193"/>
        <v>0</v>
      </c>
      <c r="BS61" s="468">
        <f t="shared" si="193"/>
        <v>0</v>
      </c>
      <c r="BT61" s="468">
        <f t="shared" si="193"/>
        <v>0</v>
      </c>
      <c r="BU61" s="468">
        <f t="shared" si="193"/>
        <v>473137</v>
      </c>
      <c r="BV61" s="468">
        <f t="shared" ref="BV61:CF61" si="195">SUM(BV59:BV60)</f>
        <v>13998</v>
      </c>
      <c r="BW61" s="468">
        <f t="shared" si="195"/>
        <v>6380</v>
      </c>
      <c r="BX61" s="469">
        <f t="shared" si="195"/>
        <v>2.6267</v>
      </c>
      <c r="BY61" s="469">
        <f t="shared" si="195"/>
        <v>2</v>
      </c>
      <c r="BZ61" s="562">
        <f t="shared" si="195"/>
        <v>0.62670000000000003</v>
      </c>
      <c r="CA61" s="873">
        <f t="shared" si="195"/>
        <v>0</v>
      </c>
      <c r="CB61" s="850">
        <f t="shared" si="195"/>
        <v>0</v>
      </c>
      <c r="CC61" s="850">
        <f t="shared" si="195"/>
        <v>0</v>
      </c>
      <c r="CD61" s="850">
        <f t="shared" si="195"/>
        <v>0</v>
      </c>
      <c r="CE61" s="850">
        <f t="shared" si="195"/>
        <v>0</v>
      </c>
      <c r="CF61" s="841">
        <f t="shared" si="195"/>
        <v>0</v>
      </c>
    </row>
    <row r="62" spans="1:84" ht="12.95" customHeight="1" x14ac:dyDescent="0.25">
      <c r="A62" s="282">
        <v>10</v>
      </c>
      <c r="B62" s="323">
        <v>5483</v>
      </c>
      <c r="C62" s="324">
        <v>600098460</v>
      </c>
      <c r="D62" s="283">
        <v>72745207</v>
      </c>
      <c r="E62" s="350" t="s">
        <v>427</v>
      </c>
      <c r="F62" s="323">
        <v>3111</v>
      </c>
      <c r="G62" s="347" t="s">
        <v>305</v>
      </c>
      <c r="H62" s="733" t="s">
        <v>271</v>
      </c>
      <c r="I62" s="423">
        <f t="shared" ref="I62:I64" si="196">J62+P62+Q62+R62</f>
        <v>1810624</v>
      </c>
      <c r="J62" s="418">
        <f>K62+L62</f>
        <v>1339232</v>
      </c>
      <c r="K62" s="418">
        <v>1228355</v>
      </c>
      <c r="L62" s="418">
        <v>110877</v>
      </c>
      <c r="M62" s="418">
        <f t="shared" ref="M62:M64" si="197">N62+O62</f>
        <v>0</v>
      </c>
      <c r="N62" s="418">
        <v>0</v>
      </c>
      <c r="O62" s="418">
        <v>0</v>
      </c>
      <c r="P62" s="68">
        <f t="shared" ref="P62:P64" si="198">ROUND((J62+M62)*33.8%,0)</f>
        <v>452660</v>
      </c>
      <c r="Q62" s="68">
        <f t="shared" ref="Q62:Q64" si="199">ROUND(J62*1%,0)</f>
        <v>13392</v>
      </c>
      <c r="R62" s="418">
        <v>5340</v>
      </c>
      <c r="S62" s="419">
        <f>T62+U62</f>
        <v>2.5451000000000001</v>
      </c>
      <c r="T62" s="420">
        <v>2.1718000000000002</v>
      </c>
      <c r="U62" s="527">
        <v>0.37329999999999997</v>
      </c>
      <c r="V62" s="427">
        <f t="shared" ref="V62:W64" si="200">AI62*-1</f>
        <v>-35840</v>
      </c>
      <c r="W62" s="421">
        <f t="shared" si="200"/>
        <v>-4608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>V62+X62+Y62+AA62+AB62+AD62</f>
        <v>-35840</v>
      </c>
      <c r="AG62" s="421">
        <f>W62+Z62+AC62+AE62</f>
        <v>-4608</v>
      </c>
      <c r="AH62" s="421">
        <f>SUM(AF62:AG62)</f>
        <v>-40448</v>
      </c>
      <c r="AI62" s="421">
        <v>35840</v>
      </c>
      <c r="AJ62" s="421">
        <v>4608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ref="AO62:AO64" si="201">AI62+AK62+AL62+AM62</f>
        <v>35840</v>
      </c>
      <c r="AP62" s="421">
        <f>AJ62+AN62</f>
        <v>4608</v>
      </c>
      <c r="AQ62" s="421">
        <f>SUM(AO62:AP62)</f>
        <v>40448</v>
      </c>
      <c r="AR62" s="421">
        <f t="shared" ref="AR62:AS64" si="202">AF62+AO62</f>
        <v>0</v>
      </c>
      <c r="AS62" s="421">
        <f t="shared" si="202"/>
        <v>0</v>
      </c>
      <c r="AT62" s="421">
        <f>SUM(AR62:AS62)</f>
        <v>0</v>
      </c>
      <c r="AU62" s="68">
        <f t="shared" ref="AU62:AU64" si="203">ROUND((AH62+AI62+AJ62+AK62+AL62)*33.8%,0)</f>
        <v>0</v>
      </c>
      <c r="AV62" s="68">
        <f>ROUND(AH62*1%,0)</f>
        <v>-404</v>
      </c>
      <c r="AW62" s="421">
        <v>0</v>
      </c>
      <c r="AX62" s="421">
        <v>0</v>
      </c>
      <c r="AY62" s="421">
        <f>AW62+AX62</f>
        <v>0</v>
      </c>
      <c r="AZ62" s="421">
        <f>AT62+AU62+AV62+AY62</f>
        <v>-404</v>
      </c>
      <c r="BA62" s="422">
        <v>0</v>
      </c>
      <c r="BB62" s="422">
        <v>-0.02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>BA62+BC62+BD62+BF62+BH62+BI62</f>
        <v>0</v>
      </c>
      <c r="BL62" s="422">
        <f>BB62+BE62+BG62+BJ62</f>
        <v>-0.02</v>
      </c>
      <c r="BM62" s="611">
        <f>SUM(BK62:BL62)</f>
        <v>-0.02</v>
      </c>
      <c r="BN62" s="428">
        <f>I62+AZ62</f>
        <v>1810220</v>
      </c>
      <c r="BO62" s="421">
        <f>J62+AH62</f>
        <v>1298784</v>
      </c>
      <c r="BP62" s="421">
        <f t="shared" ref="BP62:BQ64" si="204">K62+AF62</f>
        <v>1192515</v>
      </c>
      <c r="BQ62" s="421">
        <f t="shared" si="204"/>
        <v>106269</v>
      </c>
      <c r="BR62" s="421">
        <f>M62+AQ62</f>
        <v>40448</v>
      </c>
      <c r="BS62" s="421">
        <f t="shared" ref="BS62:BT64" si="205">N62+AO62</f>
        <v>35840</v>
      </c>
      <c r="BT62" s="421">
        <f t="shared" si="205"/>
        <v>4608</v>
      </c>
      <c r="BU62" s="421">
        <f t="shared" ref="BU62:BV64" si="206">P62+AU62</f>
        <v>452660</v>
      </c>
      <c r="BV62" s="421">
        <f t="shared" si="206"/>
        <v>12988</v>
      </c>
      <c r="BW62" s="421">
        <f>R62+AY62</f>
        <v>5340</v>
      </c>
      <c r="BX62" s="422">
        <f>S62+BM62</f>
        <v>2.5251000000000001</v>
      </c>
      <c r="BY62" s="422">
        <f t="shared" ref="BY62:BZ64" si="207">T62+BK62</f>
        <v>2.1718000000000002</v>
      </c>
      <c r="BZ62" s="611">
        <f t="shared" si="207"/>
        <v>0.35329999999999995</v>
      </c>
      <c r="CA62" s="423"/>
      <c r="CB62" s="418"/>
      <c r="CC62" s="418"/>
      <c r="CD62" s="418"/>
      <c r="CE62" s="418"/>
      <c r="CF62" s="527"/>
    </row>
    <row r="63" spans="1:84" ht="12.95" customHeight="1" x14ac:dyDescent="0.25">
      <c r="A63" s="282">
        <v>10</v>
      </c>
      <c r="B63" s="323">
        <v>5483</v>
      </c>
      <c r="C63" s="324">
        <v>600098460</v>
      </c>
      <c r="D63" s="283">
        <v>72745207</v>
      </c>
      <c r="E63" s="350" t="s">
        <v>427</v>
      </c>
      <c r="F63" s="323">
        <v>3111</v>
      </c>
      <c r="G63" s="286" t="s">
        <v>292</v>
      </c>
      <c r="H63" s="733" t="s">
        <v>272</v>
      </c>
      <c r="I63" s="423">
        <f t="shared" si="196"/>
        <v>0</v>
      </c>
      <c r="J63" s="418">
        <f>K63+L63</f>
        <v>0</v>
      </c>
      <c r="K63" s="418">
        <v>0</v>
      </c>
      <c r="L63" s="418">
        <v>0</v>
      </c>
      <c r="M63" s="418">
        <f>N63+O63</f>
        <v>0</v>
      </c>
      <c r="N63" s="418">
        <v>0</v>
      </c>
      <c r="O63" s="418">
        <v>0</v>
      </c>
      <c r="P63" s="68">
        <f t="shared" si="198"/>
        <v>0</v>
      </c>
      <c r="Q63" s="68">
        <f t="shared" si="199"/>
        <v>0</v>
      </c>
      <c r="R63" s="418">
        <v>0</v>
      </c>
      <c r="S63" s="419">
        <f>T63+U63</f>
        <v>0</v>
      </c>
      <c r="T63" s="420">
        <v>0</v>
      </c>
      <c r="U63" s="527">
        <v>0</v>
      </c>
      <c r="V63" s="427">
        <f t="shared" si="200"/>
        <v>0</v>
      </c>
      <c r="W63" s="421">
        <f t="shared" si="200"/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>V63+X63+Y63+AA63+AB63+AD63</f>
        <v>0</v>
      </c>
      <c r="AG63" s="421">
        <f>W63+Z63+AC63+AE63</f>
        <v>0</v>
      </c>
      <c r="AH63" s="421">
        <f>SUM(AF63:AG63)</f>
        <v>0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201"/>
        <v>0</v>
      </c>
      <c r="AP63" s="421">
        <f>AJ63+AN63</f>
        <v>0</v>
      </c>
      <c r="AQ63" s="421">
        <f>SUM(AO63:AP63)</f>
        <v>0</v>
      </c>
      <c r="AR63" s="421">
        <f t="shared" si="202"/>
        <v>0</v>
      </c>
      <c r="AS63" s="421">
        <f t="shared" si="202"/>
        <v>0</v>
      </c>
      <c r="AT63" s="421">
        <f>SUM(AR63:AS63)</f>
        <v>0</v>
      </c>
      <c r="AU63" s="68">
        <f t="shared" si="203"/>
        <v>0</v>
      </c>
      <c r="AV63" s="68">
        <f>ROUND(AH63*1%,0)</f>
        <v>0</v>
      </c>
      <c r="AW63" s="421">
        <v>0</v>
      </c>
      <c r="AX63" s="421">
        <v>0</v>
      </c>
      <c r="AY63" s="421">
        <f>AW63+AX63</f>
        <v>0</v>
      </c>
      <c r="AZ63" s="421">
        <f>AT63+AU63+AV63+AY63</f>
        <v>0</v>
      </c>
      <c r="BA63" s="422">
        <v>0</v>
      </c>
      <c r="BB63" s="422">
        <v>0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>BA63+BC63+BD63+BF63+BH63+BI63</f>
        <v>0</v>
      </c>
      <c r="BL63" s="422">
        <f>BB63+BE63+BG63+BJ63</f>
        <v>0</v>
      </c>
      <c r="BM63" s="611">
        <f>SUM(BK63:BL63)</f>
        <v>0</v>
      </c>
      <c r="BN63" s="428">
        <f>I63+AZ63</f>
        <v>0</v>
      </c>
      <c r="BO63" s="421">
        <f>J63+AH63</f>
        <v>0</v>
      </c>
      <c r="BP63" s="421">
        <f t="shared" si="204"/>
        <v>0</v>
      </c>
      <c r="BQ63" s="421">
        <f t="shared" si="204"/>
        <v>0</v>
      </c>
      <c r="BR63" s="421">
        <f>M63+AQ63</f>
        <v>0</v>
      </c>
      <c r="BS63" s="421">
        <f t="shared" si="205"/>
        <v>0</v>
      </c>
      <c r="BT63" s="421">
        <f t="shared" si="205"/>
        <v>0</v>
      </c>
      <c r="BU63" s="421">
        <f t="shared" si="206"/>
        <v>0</v>
      </c>
      <c r="BV63" s="421">
        <f t="shared" si="206"/>
        <v>0</v>
      </c>
      <c r="BW63" s="421">
        <f>R63+AY63</f>
        <v>0</v>
      </c>
      <c r="BX63" s="422">
        <f>S63+BM63</f>
        <v>0</v>
      </c>
      <c r="BY63" s="422">
        <f t="shared" si="207"/>
        <v>0</v>
      </c>
      <c r="BZ63" s="611">
        <f t="shared" si="207"/>
        <v>0</v>
      </c>
      <c r="CA63" s="423"/>
      <c r="CB63" s="418"/>
      <c r="CC63" s="418"/>
      <c r="CD63" s="418"/>
      <c r="CE63" s="418"/>
      <c r="CF63" s="527"/>
    </row>
    <row r="64" spans="1:84" ht="12.95" customHeight="1" x14ac:dyDescent="0.25">
      <c r="A64" s="282">
        <v>10</v>
      </c>
      <c r="B64" s="323">
        <v>5483</v>
      </c>
      <c r="C64" s="324">
        <v>600098460</v>
      </c>
      <c r="D64" s="283">
        <v>72745207</v>
      </c>
      <c r="E64" s="350" t="s">
        <v>427</v>
      </c>
      <c r="F64" s="323">
        <v>3141</v>
      </c>
      <c r="G64" s="347" t="s">
        <v>295</v>
      </c>
      <c r="H64" s="733" t="s">
        <v>272</v>
      </c>
      <c r="I64" s="423">
        <f t="shared" si="196"/>
        <v>237468</v>
      </c>
      <c r="J64" s="418">
        <f>K64+L64</f>
        <v>175644</v>
      </c>
      <c r="K64" s="418">
        <v>0</v>
      </c>
      <c r="L64" s="418">
        <v>175644</v>
      </c>
      <c r="M64" s="418">
        <f t="shared" si="197"/>
        <v>0</v>
      </c>
      <c r="N64" s="418">
        <v>0</v>
      </c>
      <c r="O64" s="418">
        <v>0</v>
      </c>
      <c r="P64" s="68">
        <f t="shared" si="198"/>
        <v>59368</v>
      </c>
      <c r="Q64" s="68">
        <f t="shared" si="199"/>
        <v>1756</v>
      </c>
      <c r="R64" s="418">
        <v>700</v>
      </c>
      <c r="S64" s="419">
        <f>T64+U64</f>
        <v>0.52669999999999995</v>
      </c>
      <c r="T64" s="420">
        <v>0</v>
      </c>
      <c r="U64" s="527">
        <v>0.52669999999999995</v>
      </c>
      <c r="V64" s="427">
        <f t="shared" si="200"/>
        <v>0</v>
      </c>
      <c r="W64" s="421">
        <f t="shared" si="200"/>
        <v>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>V64+X64+Y64+AA64+AB64+AD64</f>
        <v>0</v>
      </c>
      <c r="AG64" s="421">
        <f>W64+Z64+AC64+AE64</f>
        <v>0</v>
      </c>
      <c r="AH64" s="421">
        <f>SUM(AF64:AG64)</f>
        <v>0</v>
      </c>
      <c r="AI64" s="421">
        <v>0</v>
      </c>
      <c r="AJ64" s="421">
        <v>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201"/>
        <v>0</v>
      </c>
      <c r="AP64" s="421">
        <f>AJ64+AN64</f>
        <v>0</v>
      </c>
      <c r="AQ64" s="421">
        <f>SUM(AO64:AP64)</f>
        <v>0</v>
      </c>
      <c r="AR64" s="421">
        <f t="shared" si="202"/>
        <v>0</v>
      </c>
      <c r="AS64" s="421">
        <f t="shared" si="202"/>
        <v>0</v>
      </c>
      <c r="AT64" s="421">
        <f>SUM(AR64:AS64)</f>
        <v>0</v>
      </c>
      <c r="AU64" s="68">
        <f t="shared" si="203"/>
        <v>0</v>
      </c>
      <c r="AV64" s="68">
        <f>ROUND(AH64*1%,0)</f>
        <v>0</v>
      </c>
      <c r="AW64" s="421">
        <v>0</v>
      </c>
      <c r="AX64" s="421">
        <v>0</v>
      </c>
      <c r="AY64" s="421">
        <f>AW64+AX64</f>
        <v>0</v>
      </c>
      <c r="AZ64" s="421">
        <f>AT64+AU64+AV64+AY64</f>
        <v>0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>BA64+BC64+BD64+BF64+BH64+BI64</f>
        <v>0</v>
      </c>
      <c r="BL64" s="422">
        <f>BB64+BE64+BG64+BJ64</f>
        <v>0</v>
      </c>
      <c r="BM64" s="611">
        <f>SUM(BK64:BL64)</f>
        <v>0</v>
      </c>
      <c r="BN64" s="428">
        <f>I64+AZ64</f>
        <v>237468</v>
      </c>
      <c r="BO64" s="421">
        <f>J64+AH64</f>
        <v>175644</v>
      </c>
      <c r="BP64" s="421">
        <f t="shared" si="204"/>
        <v>0</v>
      </c>
      <c r="BQ64" s="421">
        <f t="shared" si="204"/>
        <v>175644</v>
      </c>
      <c r="BR64" s="421">
        <f>M64+AQ64</f>
        <v>0</v>
      </c>
      <c r="BS64" s="421">
        <f t="shared" si="205"/>
        <v>0</v>
      </c>
      <c r="BT64" s="421">
        <f t="shared" si="205"/>
        <v>0</v>
      </c>
      <c r="BU64" s="421">
        <f t="shared" si="206"/>
        <v>59368</v>
      </c>
      <c r="BV64" s="421">
        <f t="shared" si="206"/>
        <v>1756</v>
      </c>
      <c r="BW64" s="421">
        <f>R64+AY64</f>
        <v>700</v>
      </c>
      <c r="BX64" s="422">
        <f>S64+BM64</f>
        <v>0.52669999999999995</v>
      </c>
      <c r="BY64" s="422">
        <f t="shared" si="207"/>
        <v>0</v>
      </c>
      <c r="BZ64" s="611">
        <f t="shared" si="207"/>
        <v>0.52669999999999995</v>
      </c>
      <c r="CA64" s="423"/>
      <c r="CB64" s="418"/>
      <c r="CC64" s="418"/>
      <c r="CD64" s="418"/>
      <c r="CE64" s="418"/>
      <c r="CF64" s="527"/>
    </row>
    <row r="65" spans="1:84" ht="12.95" customHeight="1" x14ac:dyDescent="0.25">
      <c r="A65" s="734">
        <v>10</v>
      </c>
      <c r="B65" s="327">
        <v>5483</v>
      </c>
      <c r="C65" s="328">
        <v>600098460</v>
      </c>
      <c r="D65" s="327">
        <v>72745207</v>
      </c>
      <c r="E65" s="351" t="s">
        <v>428</v>
      </c>
      <c r="F65" s="327"/>
      <c r="G65" s="352"/>
      <c r="H65" s="736"/>
      <c r="I65" s="472">
        <f t="shared" ref="I65:BU65" si="208">SUM(I62:I64)</f>
        <v>2048092</v>
      </c>
      <c r="J65" s="468">
        <f t="shared" si="208"/>
        <v>1514876</v>
      </c>
      <c r="K65" s="468">
        <f t="shared" si="208"/>
        <v>1228355</v>
      </c>
      <c r="L65" s="468">
        <f t="shared" si="208"/>
        <v>286521</v>
      </c>
      <c r="M65" s="468">
        <f t="shared" si="208"/>
        <v>0</v>
      </c>
      <c r="N65" s="468">
        <f t="shared" si="208"/>
        <v>0</v>
      </c>
      <c r="O65" s="468">
        <f t="shared" si="208"/>
        <v>0</v>
      </c>
      <c r="P65" s="468">
        <f t="shared" si="208"/>
        <v>512028</v>
      </c>
      <c r="Q65" s="468">
        <f t="shared" si="208"/>
        <v>15148</v>
      </c>
      <c r="R65" s="468">
        <f t="shared" si="208"/>
        <v>6040</v>
      </c>
      <c r="S65" s="469">
        <f t="shared" si="208"/>
        <v>3.0718000000000001</v>
      </c>
      <c r="T65" s="469">
        <f t="shared" si="208"/>
        <v>2.1718000000000002</v>
      </c>
      <c r="U65" s="281">
        <f t="shared" si="208"/>
        <v>0.89999999999999991</v>
      </c>
      <c r="V65" s="474">
        <f t="shared" si="208"/>
        <v>-35840</v>
      </c>
      <c r="W65" s="468">
        <f t="shared" si="208"/>
        <v>-4608</v>
      </c>
      <c r="X65" s="468">
        <f t="shared" si="208"/>
        <v>0</v>
      </c>
      <c r="Y65" s="468">
        <f t="shared" si="208"/>
        <v>0</v>
      </c>
      <c r="Z65" s="468">
        <f t="shared" si="208"/>
        <v>0</v>
      </c>
      <c r="AA65" s="468">
        <f t="shared" si="208"/>
        <v>0</v>
      </c>
      <c r="AB65" s="468">
        <f t="shared" si="208"/>
        <v>0</v>
      </c>
      <c r="AC65" s="468">
        <f t="shared" si="208"/>
        <v>0</v>
      </c>
      <c r="AD65" s="468">
        <f t="shared" si="208"/>
        <v>0</v>
      </c>
      <c r="AE65" s="468">
        <f t="shared" si="208"/>
        <v>0</v>
      </c>
      <c r="AF65" s="468">
        <f t="shared" si="208"/>
        <v>-35840</v>
      </c>
      <c r="AG65" s="468">
        <f t="shared" si="208"/>
        <v>-4608</v>
      </c>
      <c r="AH65" s="468">
        <f t="shared" si="208"/>
        <v>-40448</v>
      </c>
      <c r="AI65" s="468">
        <f t="shared" si="208"/>
        <v>35840</v>
      </c>
      <c r="AJ65" s="468">
        <f t="shared" si="208"/>
        <v>4608</v>
      </c>
      <c r="AK65" s="468">
        <f t="shared" ref="AK65" si="209">SUM(AK62:AK64)</f>
        <v>0</v>
      </c>
      <c r="AL65" s="468">
        <f t="shared" si="208"/>
        <v>0</v>
      </c>
      <c r="AM65" s="468">
        <f t="shared" si="208"/>
        <v>0</v>
      </c>
      <c r="AN65" s="468">
        <f t="shared" si="208"/>
        <v>0</v>
      </c>
      <c r="AO65" s="468">
        <f t="shared" si="208"/>
        <v>35840</v>
      </c>
      <c r="AP65" s="468">
        <f t="shared" si="208"/>
        <v>4608</v>
      </c>
      <c r="AQ65" s="468">
        <f t="shared" si="208"/>
        <v>40448</v>
      </c>
      <c r="AR65" s="468">
        <f t="shared" si="208"/>
        <v>0</v>
      </c>
      <c r="AS65" s="468">
        <f t="shared" si="208"/>
        <v>0</v>
      </c>
      <c r="AT65" s="468">
        <f t="shared" si="208"/>
        <v>0</v>
      </c>
      <c r="AU65" s="468">
        <f t="shared" si="208"/>
        <v>0</v>
      </c>
      <c r="AV65" s="468">
        <f t="shared" si="208"/>
        <v>-404</v>
      </c>
      <c r="AW65" s="468">
        <f t="shared" si="208"/>
        <v>0</v>
      </c>
      <c r="AX65" s="468">
        <f t="shared" si="208"/>
        <v>0</v>
      </c>
      <c r="AY65" s="468">
        <f t="shared" si="208"/>
        <v>0</v>
      </c>
      <c r="AZ65" s="468">
        <f t="shared" si="208"/>
        <v>-404</v>
      </c>
      <c r="BA65" s="469">
        <f t="shared" si="208"/>
        <v>0</v>
      </c>
      <c r="BB65" s="469">
        <f t="shared" si="208"/>
        <v>-0.02</v>
      </c>
      <c r="BC65" s="469">
        <f t="shared" si="208"/>
        <v>0</v>
      </c>
      <c r="BD65" s="469">
        <f t="shared" si="208"/>
        <v>0</v>
      </c>
      <c r="BE65" s="469">
        <f t="shared" si="208"/>
        <v>0</v>
      </c>
      <c r="BF65" s="469">
        <f t="shared" si="208"/>
        <v>0</v>
      </c>
      <c r="BG65" s="469">
        <f t="shared" si="208"/>
        <v>0</v>
      </c>
      <c r="BH65" s="469">
        <f t="shared" si="208"/>
        <v>0</v>
      </c>
      <c r="BI65" s="469">
        <f t="shared" si="208"/>
        <v>0</v>
      </c>
      <c r="BJ65" s="469">
        <f t="shared" si="208"/>
        <v>0</v>
      </c>
      <c r="BK65" s="469">
        <f t="shared" si="208"/>
        <v>0</v>
      </c>
      <c r="BL65" s="469">
        <f t="shared" si="208"/>
        <v>-0.02</v>
      </c>
      <c r="BM65" s="562">
        <f t="shared" si="208"/>
        <v>-0.02</v>
      </c>
      <c r="BN65" s="472">
        <f t="shared" si="208"/>
        <v>2047688</v>
      </c>
      <c r="BO65" s="468">
        <f t="shared" si="208"/>
        <v>1474428</v>
      </c>
      <c r="BP65" s="468">
        <f t="shared" si="208"/>
        <v>1192515</v>
      </c>
      <c r="BQ65" s="468">
        <f t="shared" si="208"/>
        <v>281913</v>
      </c>
      <c r="BR65" s="468">
        <f t="shared" si="208"/>
        <v>40448</v>
      </c>
      <c r="BS65" s="468">
        <f t="shared" si="208"/>
        <v>35840</v>
      </c>
      <c r="BT65" s="468">
        <f t="shared" si="208"/>
        <v>4608</v>
      </c>
      <c r="BU65" s="468">
        <f t="shared" si="208"/>
        <v>512028</v>
      </c>
      <c r="BV65" s="468">
        <f t="shared" ref="BV65:CF65" si="210">SUM(BV62:BV64)</f>
        <v>14744</v>
      </c>
      <c r="BW65" s="468">
        <f t="shared" si="210"/>
        <v>6040</v>
      </c>
      <c r="BX65" s="469">
        <f t="shared" si="210"/>
        <v>3.0518000000000001</v>
      </c>
      <c r="BY65" s="469">
        <f t="shared" si="210"/>
        <v>2.1718000000000002</v>
      </c>
      <c r="BZ65" s="562">
        <f t="shared" si="210"/>
        <v>0.87999999999999989</v>
      </c>
      <c r="CA65" s="873">
        <f t="shared" si="210"/>
        <v>0</v>
      </c>
      <c r="CB65" s="850">
        <f t="shared" si="210"/>
        <v>0</v>
      </c>
      <c r="CC65" s="850">
        <f t="shared" si="210"/>
        <v>0</v>
      </c>
      <c r="CD65" s="850">
        <f t="shared" si="210"/>
        <v>0</v>
      </c>
      <c r="CE65" s="850">
        <f t="shared" si="210"/>
        <v>0</v>
      </c>
      <c r="CF65" s="841">
        <f t="shared" si="210"/>
        <v>0</v>
      </c>
    </row>
    <row r="66" spans="1:84" ht="12.95" customHeight="1" x14ac:dyDescent="0.25">
      <c r="A66" s="282">
        <v>11</v>
      </c>
      <c r="B66" s="323">
        <v>5430</v>
      </c>
      <c r="C66" s="324">
        <v>650026144</v>
      </c>
      <c r="D66" s="283">
        <v>70695148</v>
      </c>
      <c r="E66" s="350" t="s">
        <v>429</v>
      </c>
      <c r="F66" s="323">
        <v>3111</v>
      </c>
      <c r="G66" s="347" t="s">
        <v>305</v>
      </c>
      <c r="H66" s="733" t="s">
        <v>271</v>
      </c>
      <c r="I66" s="423">
        <f t="shared" ref="I66:I71" si="211">J66+P66+Q66+R66</f>
        <v>2332687</v>
      </c>
      <c r="J66" s="418">
        <f t="shared" ref="J66:J71" si="212">K66+L66</f>
        <v>1724340</v>
      </c>
      <c r="K66" s="418">
        <v>1604532</v>
      </c>
      <c r="L66" s="418">
        <v>119808</v>
      </c>
      <c r="M66" s="418">
        <f t="shared" ref="M66:M71" si="213">N66+O66</f>
        <v>0</v>
      </c>
      <c r="N66" s="418">
        <v>0</v>
      </c>
      <c r="O66" s="418">
        <v>0</v>
      </c>
      <c r="P66" s="68">
        <f t="shared" ref="P66:P71" si="214">ROUND((J66+M66)*33.8%,0)</f>
        <v>582827</v>
      </c>
      <c r="Q66" s="68">
        <f t="shared" ref="Q66:Q71" si="215">ROUND(J66*1%,0)</f>
        <v>17243</v>
      </c>
      <c r="R66" s="418">
        <v>8277</v>
      </c>
      <c r="S66" s="419">
        <f t="shared" ref="S66:S71" si="216">T66+U66</f>
        <v>3.48</v>
      </c>
      <c r="T66" s="420">
        <v>3</v>
      </c>
      <c r="U66" s="527">
        <v>0.48</v>
      </c>
      <c r="V66" s="427">
        <f t="shared" ref="V66:W71" si="217">AI66*-1</f>
        <v>-12800</v>
      </c>
      <c r="W66" s="421">
        <f t="shared" si="217"/>
        <v>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 t="shared" ref="AF66:AF71" si="218">V66+X66+Y66+AA66+AB66+AD66</f>
        <v>-12800</v>
      </c>
      <c r="AG66" s="421">
        <f t="shared" ref="AG66:AG71" si="219">W66+Z66+AC66+AE66</f>
        <v>0</v>
      </c>
      <c r="AH66" s="421">
        <f t="shared" ref="AH66:AH71" si="220">SUM(AF66:AG66)</f>
        <v>-12800</v>
      </c>
      <c r="AI66" s="421">
        <v>12800</v>
      </c>
      <c r="AJ66" s="421">
        <v>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ref="AO66:AO71" si="221">AI66+AK66+AL66+AM66</f>
        <v>12800</v>
      </c>
      <c r="AP66" s="421">
        <f t="shared" ref="AP66:AP71" si="222">AJ66+AN66</f>
        <v>0</v>
      </c>
      <c r="AQ66" s="421">
        <f t="shared" ref="AQ66:AQ71" si="223">SUM(AO66:AP66)</f>
        <v>12800</v>
      </c>
      <c r="AR66" s="421">
        <f t="shared" ref="AR66:AS71" si="224">AF66+AO66</f>
        <v>0</v>
      </c>
      <c r="AS66" s="421">
        <f t="shared" si="224"/>
        <v>0</v>
      </c>
      <c r="AT66" s="421">
        <f t="shared" ref="AT66:AT71" si="225">SUM(AR66:AS66)</f>
        <v>0</v>
      </c>
      <c r="AU66" s="68">
        <f t="shared" ref="AU66:AU71" si="226">ROUND((AH66+AI66+AJ66+AK66+AL66)*33.8%,0)</f>
        <v>0</v>
      </c>
      <c r="AV66" s="68">
        <f t="shared" ref="AV66:AV71" si="227">ROUND(AH66*1%,0)</f>
        <v>-128</v>
      </c>
      <c r="AW66" s="421">
        <v>0</v>
      </c>
      <c r="AX66" s="421">
        <v>0</v>
      </c>
      <c r="AY66" s="421">
        <f t="shared" ref="AY66:AY71" si="228">AW66+AX66</f>
        <v>0</v>
      </c>
      <c r="AZ66" s="421">
        <f t="shared" ref="AZ66:AZ71" si="229">AT66+AU66+AV66+AY66</f>
        <v>-128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 t="shared" ref="BK66:BK71" si="230">BA66+BC66+BD66+BF66+BH66+BI66</f>
        <v>0</v>
      </c>
      <c r="BL66" s="422">
        <f t="shared" ref="BL66:BL71" si="231">BB66+BE66+BG66+BJ66</f>
        <v>0</v>
      </c>
      <c r="BM66" s="611">
        <f t="shared" ref="BM66:BM71" si="232">SUM(BK66:BL66)</f>
        <v>0</v>
      </c>
      <c r="BN66" s="428">
        <f t="shared" ref="BN66:BN71" si="233">I66+AZ66</f>
        <v>2332559</v>
      </c>
      <c r="BO66" s="421">
        <f t="shared" ref="BO66:BO71" si="234">J66+AH66</f>
        <v>1711540</v>
      </c>
      <c r="BP66" s="421">
        <f t="shared" ref="BP66:BQ71" si="235">K66+AF66</f>
        <v>1591732</v>
      </c>
      <c r="BQ66" s="421">
        <f t="shared" si="235"/>
        <v>119808</v>
      </c>
      <c r="BR66" s="421">
        <f t="shared" ref="BR66:BR71" si="236">M66+AQ66</f>
        <v>12800</v>
      </c>
      <c r="BS66" s="421">
        <f t="shared" ref="BS66:BT71" si="237">N66+AO66</f>
        <v>12800</v>
      </c>
      <c r="BT66" s="421">
        <f t="shared" si="237"/>
        <v>0</v>
      </c>
      <c r="BU66" s="421">
        <f t="shared" ref="BU66:BV71" si="238">P66+AU66</f>
        <v>582827</v>
      </c>
      <c r="BV66" s="421">
        <f t="shared" si="238"/>
        <v>17115</v>
      </c>
      <c r="BW66" s="421">
        <f t="shared" ref="BW66:BW71" si="239">R66+AY66</f>
        <v>8277</v>
      </c>
      <c r="BX66" s="422">
        <f t="shared" ref="BX66:BX71" si="240">S66+BM66</f>
        <v>3.48</v>
      </c>
      <c r="BY66" s="422">
        <f t="shared" ref="BY66:BZ71" si="241">T66+BK66</f>
        <v>3</v>
      </c>
      <c r="BZ66" s="611">
        <f t="shared" si="241"/>
        <v>0.48</v>
      </c>
      <c r="CA66" s="423"/>
      <c r="CB66" s="418"/>
      <c r="CC66" s="418"/>
      <c r="CD66" s="418"/>
      <c r="CE66" s="418"/>
      <c r="CF66" s="527"/>
    </row>
    <row r="67" spans="1:84" ht="12.95" customHeight="1" x14ac:dyDescent="0.25">
      <c r="A67" s="282">
        <v>11</v>
      </c>
      <c r="B67" s="323">
        <v>5430</v>
      </c>
      <c r="C67" s="324">
        <v>650026144</v>
      </c>
      <c r="D67" s="283">
        <v>70695148</v>
      </c>
      <c r="E67" s="350" t="s">
        <v>429</v>
      </c>
      <c r="F67" s="323">
        <v>3117</v>
      </c>
      <c r="G67" s="347" t="s">
        <v>309</v>
      </c>
      <c r="H67" s="733" t="s">
        <v>271</v>
      </c>
      <c r="I67" s="423">
        <f t="shared" si="211"/>
        <v>3498993</v>
      </c>
      <c r="J67" s="418">
        <f t="shared" si="212"/>
        <v>2570413</v>
      </c>
      <c r="K67" s="418">
        <v>2174139</v>
      </c>
      <c r="L67" s="418">
        <v>396274</v>
      </c>
      <c r="M67" s="418">
        <f t="shared" si="213"/>
        <v>0</v>
      </c>
      <c r="N67" s="418">
        <v>0</v>
      </c>
      <c r="O67" s="418">
        <v>0</v>
      </c>
      <c r="P67" s="68">
        <f t="shared" si="214"/>
        <v>868800</v>
      </c>
      <c r="Q67" s="68">
        <f t="shared" si="215"/>
        <v>25704</v>
      </c>
      <c r="R67" s="418">
        <v>34076</v>
      </c>
      <c r="S67" s="419">
        <f t="shared" si="216"/>
        <v>4.4569000000000001</v>
      </c>
      <c r="T67" s="420">
        <v>3.3635999999999999</v>
      </c>
      <c r="U67" s="527">
        <v>1.0932999999999999</v>
      </c>
      <c r="V67" s="427">
        <f t="shared" si="217"/>
        <v>0</v>
      </c>
      <c r="W67" s="421">
        <f t="shared" si="217"/>
        <v>-6144</v>
      </c>
      <c r="X67" s="421">
        <v>0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 t="shared" si="218"/>
        <v>0</v>
      </c>
      <c r="AG67" s="421">
        <f t="shared" si="219"/>
        <v>-6144</v>
      </c>
      <c r="AH67" s="421">
        <f t="shared" si="220"/>
        <v>-6144</v>
      </c>
      <c r="AI67" s="421">
        <v>0</v>
      </c>
      <c r="AJ67" s="421">
        <v>6144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221"/>
        <v>0</v>
      </c>
      <c r="AP67" s="421">
        <f t="shared" si="222"/>
        <v>6144</v>
      </c>
      <c r="AQ67" s="421">
        <f t="shared" si="223"/>
        <v>6144</v>
      </c>
      <c r="AR67" s="421">
        <f t="shared" si="224"/>
        <v>0</v>
      </c>
      <c r="AS67" s="421">
        <f t="shared" si="224"/>
        <v>0</v>
      </c>
      <c r="AT67" s="421">
        <f t="shared" si="225"/>
        <v>0</v>
      </c>
      <c r="AU67" s="68">
        <f t="shared" si="226"/>
        <v>0</v>
      </c>
      <c r="AV67" s="68">
        <f t="shared" si="227"/>
        <v>-61</v>
      </c>
      <c r="AW67" s="421">
        <v>0</v>
      </c>
      <c r="AX67" s="421">
        <v>0</v>
      </c>
      <c r="AY67" s="421">
        <f t="shared" si="228"/>
        <v>0</v>
      </c>
      <c r="AZ67" s="421">
        <f t="shared" si="229"/>
        <v>-61</v>
      </c>
      <c r="BA67" s="422">
        <v>0</v>
      </c>
      <c r="BB67" s="422">
        <v>-0.02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 t="shared" si="230"/>
        <v>0</v>
      </c>
      <c r="BL67" s="422">
        <f t="shared" si="231"/>
        <v>-0.02</v>
      </c>
      <c r="BM67" s="611">
        <f t="shared" si="232"/>
        <v>-0.02</v>
      </c>
      <c r="BN67" s="428">
        <f t="shared" si="233"/>
        <v>3498932</v>
      </c>
      <c r="BO67" s="421">
        <f t="shared" si="234"/>
        <v>2564269</v>
      </c>
      <c r="BP67" s="421">
        <f t="shared" si="235"/>
        <v>2174139</v>
      </c>
      <c r="BQ67" s="421">
        <f t="shared" si="235"/>
        <v>390130</v>
      </c>
      <c r="BR67" s="421">
        <f t="shared" si="236"/>
        <v>6144</v>
      </c>
      <c r="BS67" s="421">
        <f t="shared" si="237"/>
        <v>0</v>
      </c>
      <c r="BT67" s="421">
        <f t="shared" si="237"/>
        <v>6144</v>
      </c>
      <c r="BU67" s="421">
        <f t="shared" si="238"/>
        <v>868800</v>
      </c>
      <c r="BV67" s="421">
        <f t="shared" si="238"/>
        <v>25643</v>
      </c>
      <c r="BW67" s="421">
        <f t="shared" si="239"/>
        <v>34076</v>
      </c>
      <c r="BX67" s="422">
        <f t="shared" si="240"/>
        <v>4.4369000000000005</v>
      </c>
      <c r="BY67" s="422">
        <f t="shared" si="241"/>
        <v>3.3635999999999999</v>
      </c>
      <c r="BZ67" s="611">
        <f t="shared" si="241"/>
        <v>1.0732999999999999</v>
      </c>
      <c r="CA67" s="423"/>
      <c r="CB67" s="418"/>
      <c r="CC67" s="418"/>
      <c r="CD67" s="418"/>
      <c r="CE67" s="418"/>
      <c r="CF67" s="527"/>
    </row>
    <row r="68" spans="1:84" ht="12.95" customHeight="1" x14ac:dyDescent="0.25">
      <c r="A68" s="282">
        <v>11</v>
      </c>
      <c r="B68" s="323">
        <v>5430</v>
      </c>
      <c r="C68" s="324">
        <v>650026144</v>
      </c>
      <c r="D68" s="283">
        <v>70695148</v>
      </c>
      <c r="E68" s="350" t="s">
        <v>429</v>
      </c>
      <c r="F68" s="323">
        <v>3117</v>
      </c>
      <c r="G68" s="286" t="s">
        <v>292</v>
      </c>
      <c r="H68" s="733" t="s">
        <v>272</v>
      </c>
      <c r="I68" s="423">
        <f t="shared" si="211"/>
        <v>0</v>
      </c>
      <c r="J68" s="418">
        <f t="shared" si="212"/>
        <v>0</v>
      </c>
      <c r="K68" s="418">
        <v>0</v>
      </c>
      <c r="L68" s="418">
        <v>0</v>
      </c>
      <c r="M68" s="418">
        <f>N68+O68</f>
        <v>0</v>
      </c>
      <c r="N68" s="418">
        <v>0</v>
      </c>
      <c r="O68" s="418">
        <v>0</v>
      </c>
      <c r="P68" s="68">
        <f t="shared" si="214"/>
        <v>0</v>
      </c>
      <c r="Q68" s="68">
        <f t="shared" si="215"/>
        <v>0</v>
      </c>
      <c r="R68" s="418">
        <v>0</v>
      </c>
      <c r="S68" s="419">
        <f>T68+U68</f>
        <v>0</v>
      </c>
      <c r="T68" s="420">
        <v>0</v>
      </c>
      <c r="U68" s="527">
        <v>0</v>
      </c>
      <c r="V68" s="427">
        <f t="shared" si="217"/>
        <v>0</v>
      </c>
      <c r="W68" s="421">
        <f t="shared" si="217"/>
        <v>0</v>
      </c>
      <c r="X68" s="421">
        <v>24757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si="218"/>
        <v>24757</v>
      </c>
      <c r="AG68" s="421">
        <f t="shared" si="219"/>
        <v>0</v>
      </c>
      <c r="AH68" s="421">
        <f t="shared" si="220"/>
        <v>24757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221"/>
        <v>0</v>
      </c>
      <c r="AP68" s="421">
        <f t="shared" si="222"/>
        <v>0</v>
      </c>
      <c r="AQ68" s="421">
        <f t="shared" si="223"/>
        <v>0</v>
      </c>
      <c r="AR68" s="421">
        <f t="shared" si="224"/>
        <v>24757</v>
      </c>
      <c r="AS68" s="421">
        <f t="shared" si="224"/>
        <v>0</v>
      </c>
      <c r="AT68" s="421">
        <f t="shared" si="225"/>
        <v>24757</v>
      </c>
      <c r="AU68" s="68">
        <f t="shared" si="226"/>
        <v>8368</v>
      </c>
      <c r="AV68" s="68">
        <f t="shared" si="227"/>
        <v>248</v>
      </c>
      <c r="AW68" s="421">
        <v>0</v>
      </c>
      <c r="AX68" s="421">
        <v>0</v>
      </c>
      <c r="AY68" s="421">
        <f t="shared" si="228"/>
        <v>0</v>
      </c>
      <c r="AZ68" s="421">
        <f t="shared" si="229"/>
        <v>33373</v>
      </c>
      <c r="BA68" s="422">
        <v>0</v>
      </c>
      <c r="BB68" s="422">
        <v>0</v>
      </c>
      <c r="BC68" s="422">
        <v>0.05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 t="shared" si="230"/>
        <v>0.05</v>
      </c>
      <c r="BL68" s="422">
        <f t="shared" si="231"/>
        <v>0</v>
      </c>
      <c r="BM68" s="611">
        <f t="shared" si="232"/>
        <v>0.05</v>
      </c>
      <c r="BN68" s="428">
        <f t="shared" si="233"/>
        <v>33373</v>
      </c>
      <c r="BO68" s="421">
        <f t="shared" si="234"/>
        <v>24757</v>
      </c>
      <c r="BP68" s="421">
        <f t="shared" si="235"/>
        <v>24757</v>
      </c>
      <c r="BQ68" s="421">
        <f t="shared" si="235"/>
        <v>0</v>
      </c>
      <c r="BR68" s="421">
        <f t="shared" si="236"/>
        <v>0</v>
      </c>
      <c r="BS68" s="421">
        <f t="shared" si="237"/>
        <v>0</v>
      </c>
      <c r="BT68" s="421">
        <f t="shared" si="237"/>
        <v>0</v>
      </c>
      <c r="BU68" s="421">
        <f t="shared" si="238"/>
        <v>8368</v>
      </c>
      <c r="BV68" s="421">
        <f t="shared" si="238"/>
        <v>248</v>
      </c>
      <c r="BW68" s="421">
        <f t="shared" si="239"/>
        <v>0</v>
      </c>
      <c r="BX68" s="422">
        <f t="shared" si="240"/>
        <v>0.05</v>
      </c>
      <c r="BY68" s="422">
        <f t="shared" si="241"/>
        <v>0.05</v>
      </c>
      <c r="BZ68" s="611">
        <f t="shared" si="241"/>
        <v>0</v>
      </c>
      <c r="CA68" s="423"/>
      <c r="CB68" s="418"/>
      <c r="CC68" s="418"/>
      <c r="CD68" s="418"/>
      <c r="CE68" s="418"/>
      <c r="CF68" s="527"/>
    </row>
    <row r="69" spans="1:84" ht="12.95" customHeight="1" x14ac:dyDescent="0.25">
      <c r="A69" s="282">
        <v>11</v>
      </c>
      <c r="B69" s="283">
        <v>5430</v>
      </c>
      <c r="C69" s="332">
        <v>650026144</v>
      </c>
      <c r="D69" s="283">
        <v>70695148</v>
      </c>
      <c r="E69" s="285" t="s">
        <v>429</v>
      </c>
      <c r="F69" s="283">
        <v>3141</v>
      </c>
      <c r="G69" s="347" t="s">
        <v>295</v>
      </c>
      <c r="H69" s="733" t="s">
        <v>272</v>
      </c>
      <c r="I69" s="423">
        <f t="shared" si="211"/>
        <v>559483</v>
      </c>
      <c r="J69" s="418">
        <f t="shared" si="212"/>
        <v>413515</v>
      </c>
      <c r="K69" s="418">
        <v>0</v>
      </c>
      <c r="L69" s="418">
        <v>413515</v>
      </c>
      <c r="M69" s="418">
        <f t="shared" si="213"/>
        <v>0</v>
      </c>
      <c r="N69" s="418">
        <v>0</v>
      </c>
      <c r="O69" s="418">
        <v>0</v>
      </c>
      <c r="P69" s="68">
        <f t="shared" si="214"/>
        <v>139768</v>
      </c>
      <c r="Q69" s="68">
        <f t="shared" si="215"/>
        <v>4135</v>
      </c>
      <c r="R69" s="418">
        <v>2065</v>
      </c>
      <c r="S69" s="419">
        <f t="shared" si="216"/>
        <v>1.24</v>
      </c>
      <c r="T69" s="420">
        <v>0</v>
      </c>
      <c r="U69" s="527">
        <v>1.24</v>
      </c>
      <c r="V69" s="427">
        <f t="shared" si="217"/>
        <v>0</v>
      </c>
      <c r="W69" s="421">
        <f t="shared" si="217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 t="shared" si="218"/>
        <v>0</v>
      </c>
      <c r="AG69" s="421">
        <f t="shared" si="219"/>
        <v>0</v>
      </c>
      <c r="AH69" s="421">
        <f t="shared" si="220"/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221"/>
        <v>0</v>
      </c>
      <c r="AP69" s="421">
        <f t="shared" si="222"/>
        <v>0</v>
      </c>
      <c r="AQ69" s="421">
        <f t="shared" si="223"/>
        <v>0</v>
      </c>
      <c r="AR69" s="421">
        <f t="shared" si="224"/>
        <v>0</v>
      </c>
      <c r="AS69" s="421">
        <f t="shared" si="224"/>
        <v>0</v>
      </c>
      <c r="AT69" s="421">
        <f t="shared" si="225"/>
        <v>0</v>
      </c>
      <c r="AU69" s="68">
        <f t="shared" si="226"/>
        <v>0</v>
      </c>
      <c r="AV69" s="68">
        <f t="shared" si="227"/>
        <v>0</v>
      </c>
      <c r="AW69" s="421">
        <v>0</v>
      </c>
      <c r="AX69" s="421">
        <v>0</v>
      </c>
      <c r="AY69" s="421">
        <f t="shared" si="228"/>
        <v>0</v>
      </c>
      <c r="AZ69" s="421">
        <f t="shared" si="229"/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 t="shared" si="230"/>
        <v>0</v>
      </c>
      <c r="BL69" s="422">
        <f t="shared" si="231"/>
        <v>0</v>
      </c>
      <c r="BM69" s="611">
        <f t="shared" si="232"/>
        <v>0</v>
      </c>
      <c r="BN69" s="428">
        <f t="shared" si="233"/>
        <v>559483</v>
      </c>
      <c r="BO69" s="421">
        <f t="shared" si="234"/>
        <v>413515</v>
      </c>
      <c r="BP69" s="421">
        <f t="shared" si="235"/>
        <v>0</v>
      </c>
      <c r="BQ69" s="421">
        <f t="shared" si="235"/>
        <v>413515</v>
      </c>
      <c r="BR69" s="421">
        <f t="shared" si="236"/>
        <v>0</v>
      </c>
      <c r="BS69" s="421">
        <f t="shared" si="237"/>
        <v>0</v>
      </c>
      <c r="BT69" s="421">
        <f t="shared" si="237"/>
        <v>0</v>
      </c>
      <c r="BU69" s="421">
        <f t="shared" si="238"/>
        <v>139768</v>
      </c>
      <c r="BV69" s="421">
        <f t="shared" si="238"/>
        <v>4135</v>
      </c>
      <c r="BW69" s="421">
        <f t="shared" si="239"/>
        <v>2065</v>
      </c>
      <c r="BX69" s="422">
        <f t="shared" si="240"/>
        <v>1.24</v>
      </c>
      <c r="BY69" s="422">
        <f t="shared" si="241"/>
        <v>0</v>
      </c>
      <c r="BZ69" s="611">
        <f t="shared" si="241"/>
        <v>1.24</v>
      </c>
      <c r="CA69" s="423"/>
      <c r="CB69" s="418"/>
      <c r="CC69" s="418"/>
      <c r="CD69" s="418"/>
      <c r="CE69" s="418"/>
      <c r="CF69" s="527"/>
    </row>
    <row r="70" spans="1:84" ht="12.95" customHeight="1" x14ac:dyDescent="0.25">
      <c r="A70" s="282">
        <v>11</v>
      </c>
      <c r="B70" s="323">
        <v>5430</v>
      </c>
      <c r="C70" s="324">
        <v>650026144</v>
      </c>
      <c r="D70" s="283">
        <v>70695148</v>
      </c>
      <c r="E70" s="350" t="s">
        <v>429</v>
      </c>
      <c r="F70" s="323">
        <v>3143</v>
      </c>
      <c r="G70" s="286" t="s">
        <v>596</v>
      </c>
      <c r="H70" s="733" t="s">
        <v>271</v>
      </c>
      <c r="I70" s="423">
        <f t="shared" si="211"/>
        <v>637155</v>
      </c>
      <c r="J70" s="418">
        <f t="shared" si="212"/>
        <v>472667</v>
      </c>
      <c r="K70" s="418">
        <v>472667</v>
      </c>
      <c r="L70" s="418">
        <v>0</v>
      </c>
      <c r="M70" s="418">
        <f t="shared" si="213"/>
        <v>0</v>
      </c>
      <c r="N70" s="418">
        <v>0</v>
      </c>
      <c r="O70" s="418">
        <v>0</v>
      </c>
      <c r="P70" s="68">
        <f t="shared" si="214"/>
        <v>159761</v>
      </c>
      <c r="Q70" s="68">
        <f t="shared" si="215"/>
        <v>4727</v>
      </c>
      <c r="R70" s="418">
        <v>0</v>
      </c>
      <c r="S70" s="419">
        <f t="shared" si="216"/>
        <v>0.88070000000000004</v>
      </c>
      <c r="T70" s="420">
        <v>0.88070000000000004</v>
      </c>
      <c r="U70" s="527">
        <v>0</v>
      </c>
      <c r="V70" s="427">
        <f t="shared" si="217"/>
        <v>0</v>
      </c>
      <c r="W70" s="421">
        <f t="shared" si="217"/>
        <v>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 t="shared" si="218"/>
        <v>0</v>
      </c>
      <c r="AG70" s="421">
        <f t="shared" si="219"/>
        <v>0</v>
      </c>
      <c r="AH70" s="421">
        <f t="shared" si="220"/>
        <v>0</v>
      </c>
      <c r="AI70" s="421">
        <v>0</v>
      </c>
      <c r="AJ70" s="421">
        <v>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221"/>
        <v>0</v>
      </c>
      <c r="AP70" s="421">
        <f t="shared" si="222"/>
        <v>0</v>
      </c>
      <c r="AQ70" s="421">
        <f t="shared" si="223"/>
        <v>0</v>
      </c>
      <c r="AR70" s="421">
        <f t="shared" si="224"/>
        <v>0</v>
      </c>
      <c r="AS70" s="421">
        <f t="shared" si="224"/>
        <v>0</v>
      </c>
      <c r="AT70" s="421">
        <f t="shared" si="225"/>
        <v>0</v>
      </c>
      <c r="AU70" s="68">
        <f t="shared" si="226"/>
        <v>0</v>
      </c>
      <c r="AV70" s="68">
        <f t="shared" si="227"/>
        <v>0</v>
      </c>
      <c r="AW70" s="421">
        <v>0</v>
      </c>
      <c r="AX70" s="421">
        <v>0</v>
      </c>
      <c r="AY70" s="421">
        <f t="shared" si="228"/>
        <v>0</v>
      </c>
      <c r="AZ70" s="421">
        <f t="shared" si="229"/>
        <v>0</v>
      </c>
      <c r="BA70" s="422">
        <v>0</v>
      </c>
      <c r="BB70" s="422">
        <v>0</v>
      </c>
      <c r="BC70" s="422">
        <v>0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 t="shared" si="230"/>
        <v>0</v>
      </c>
      <c r="BL70" s="422">
        <f t="shared" si="231"/>
        <v>0</v>
      </c>
      <c r="BM70" s="611">
        <f t="shared" si="232"/>
        <v>0</v>
      </c>
      <c r="BN70" s="428">
        <f t="shared" si="233"/>
        <v>637155</v>
      </c>
      <c r="BO70" s="421">
        <f t="shared" si="234"/>
        <v>472667</v>
      </c>
      <c r="BP70" s="421">
        <f t="shared" si="235"/>
        <v>472667</v>
      </c>
      <c r="BQ70" s="421">
        <f t="shared" si="235"/>
        <v>0</v>
      </c>
      <c r="BR70" s="421">
        <f t="shared" si="236"/>
        <v>0</v>
      </c>
      <c r="BS70" s="421">
        <f t="shared" si="237"/>
        <v>0</v>
      </c>
      <c r="BT70" s="421">
        <f t="shared" si="237"/>
        <v>0</v>
      </c>
      <c r="BU70" s="421">
        <f t="shared" si="238"/>
        <v>159761</v>
      </c>
      <c r="BV70" s="421">
        <f t="shared" si="238"/>
        <v>4727</v>
      </c>
      <c r="BW70" s="421">
        <f t="shared" si="239"/>
        <v>0</v>
      </c>
      <c r="BX70" s="422">
        <f t="shared" si="240"/>
        <v>0.88070000000000004</v>
      </c>
      <c r="BY70" s="422">
        <f t="shared" si="241"/>
        <v>0.88070000000000004</v>
      </c>
      <c r="BZ70" s="611">
        <f t="shared" si="241"/>
        <v>0</v>
      </c>
      <c r="CA70" s="423"/>
      <c r="CB70" s="418"/>
      <c r="CC70" s="418"/>
      <c r="CD70" s="418"/>
      <c r="CE70" s="418"/>
      <c r="CF70" s="527"/>
    </row>
    <row r="71" spans="1:84" ht="12.95" customHeight="1" x14ac:dyDescent="0.25">
      <c r="A71" s="282">
        <v>11</v>
      </c>
      <c r="B71" s="323">
        <v>5430</v>
      </c>
      <c r="C71" s="324">
        <v>650026144</v>
      </c>
      <c r="D71" s="283">
        <v>70695148</v>
      </c>
      <c r="E71" s="350" t="s">
        <v>429</v>
      </c>
      <c r="F71" s="323">
        <v>3143</v>
      </c>
      <c r="G71" s="286" t="s">
        <v>597</v>
      </c>
      <c r="H71" s="733" t="s">
        <v>272</v>
      </c>
      <c r="I71" s="423">
        <f t="shared" si="211"/>
        <v>13314</v>
      </c>
      <c r="J71" s="418">
        <f t="shared" si="212"/>
        <v>9530</v>
      </c>
      <c r="K71" s="418">
        <v>0</v>
      </c>
      <c r="L71" s="418">
        <v>9530</v>
      </c>
      <c r="M71" s="418">
        <f t="shared" si="213"/>
        <v>0</v>
      </c>
      <c r="N71" s="418">
        <v>0</v>
      </c>
      <c r="O71" s="418">
        <v>0</v>
      </c>
      <c r="P71" s="68">
        <f t="shared" si="214"/>
        <v>3221</v>
      </c>
      <c r="Q71" s="68">
        <f t="shared" si="215"/>
        <v>95</v>
      </c>
      <c r="R71" s="418">
        <v>468</v>
      </c>
      <c r="S71" s="419">
        <f t="shared" si="216"/>
        <v>3.61E-2</v>
      </c>
      <c r="T71" s="420">
        <v>0</v>
      </c>
      <c r="U71" s="527">
        <v>3.61E-2</v>
      </c>
      <c r="V71" s="427">
        <f t="shared" si="217"/>
        <v>0</v>
      </c>
      <c r="W71" s="421">
        <f t="shared" si="217"/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218"/>
        <v>0</v>
      </c>
      <c r="AG71" s="421">
        <f t="shared" si="219"/>
        <v>0</v>
      </c>
      <c r="AH71" s="421">
        <f t="shared" si="220"/>
        <v>0</v>
      </c>
      <c r="AI71" s="421">
        <v>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221"/>
        <v>0</v>
      </c>
      <c r="AP71" s="421">
        <f t="shared" si="222"/>
        <v>0</v>
      </c>
      <c r="AQ71" s="421">
        <f t="shared" si="223"/>
        <v>0</v>
      </c>
      <c r="AR71" s="421">
        <f t="shared" si="224"/>
        <v>0</v>
      </c>
      <c r="AS71" s="421">
        <f t="shared" si="224"/>
        <v>0</v>
      </c>
      <c r="AT71" s="421">
        <f t="shared" si="225"/>
        <v>0</v>
      </c>
      <c r="AU71" s="68">
        <f t="shared" si="226"/>
        <v>0</v>
      </c>
      <c r="AV71" s="68">
        <f t="shared" si="227"/>
        <v>0</v>
      </c>
      <c r="AW71" s="421">
        <v>0</v>
      </c>
      <c r="AX71" s="421">
        <v>0</v>
      </c>
      <c r="AY71" s="421">
        <f t="shared" si="228"/>
        <v>0</v>
      </c>
      <c r="AZ71" s="421">
        <f t="shared" si="229"/>
        <v>0</v>
      </c>
      <c r="BA71" s="422">
        <v>0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 t="shared" si="230"/>
        <v>0</v>
      </c>
      <c r="BL71" s="422">
        <f t="shared" si="231"/>
        <v>0</v>
      </c>
      <c r="BM71" s="611">
        <f t="shared" si="232"/>
        <v>0</v>
      </c>
      <c r="BN71" s="428">
        <f t="shared" si="233"/>
        <v>13314</v>
      </c>
      <c r="BO71" s="421">
        <f t="shared" si="234"/>
        <v>9530</v>
      </c>
      <c r="BP71" s="421">
        <f t="shared" si="235"/>
        <v>0</v>
      </c>
      <c r="BQ71" s="421">
        <f t="shared" si="235"/>
        <v>9530</v>
      </c>
      <c r="BR71" s="421">
        <f t="shared" si="236"/>
        <v>0</v>
      </c>
      <c r="BS71" s="421">
        <f t="shared" si="237"/>
        <v>0</v>
      </c>
      <c r="BT71" s="421">
        <f t="shared" si="237"/>
        <v>0</v>
      </c>
      <c r="BU71" s="421">
        <f t="shared" si="238"/>
        <v>3221</v>
      </c>
      <c r="BV71" s="421">
        <f t="shared" si="238"/>
        <v>95</v>
      </c>
      <c r="BW71" s="421">
        <f t="shared" si="239"/>
        <v>468</v>
      </c>
      <c r="BX71" s="422">
        <f t="shared" si="240"/>
        <v>3.61E-2</v>
      </c>
      <c r="BY71" s="422">
        <f t="shared" si="241"/>
        <v>0</v>
      </c>
      <c r="BZ71" s="611">
        <f t="shared" si="241"/>
        <v>3.61E-2</v>
      </c>
      <c r="CA71" s="423"/>
      <c r="CB71" s="418"/>
      <c r="CC71" s="418"/>
      <c r="CD71" s="418"/>
      <c r="CE71" s="418"/>
      <c r="CF71" s="527"/>
    </row>
    <row r="72" spans="1:84" ht="12.95" customHeight="1" x14ac:dyDescent="0.25">
      <c r="A72" s="734">
        <v>11</v>
      </c>
      <c r="B72" s="327">
        <v>5430</v>
      </c>
      <c r="C72" s="328">
        <v>650026144</v>
      </c>
      <c r="D72" s="327">
        <v>70695148</v>
      </c>
      <c r="E72" s="351" t="s">
        <v>430</v>
      </c>
      <c r="F72" s="327"/>
      <c r="G72" s="352"/>
      <c r="H72" s="736"/>
      <c r="I72" s="472">
        <f t="shared" ref="I72:BU72" si="242">SUM(I66:I71)</f>
        <v>7041632</v>
      </c>
      <c r="J72" s="468">
        <f t="shared" si="242"/>
        <v>5190465</v>
      </c>
      <c r="K72" s="468">
        <f t="shared" si="242"/>
        <v>4251338</v>
      </c>
      <c r="L72" s="468">
        <f t="shared" si="242"/>
        <v>939127</v>
      </c>
      <c r="M72" s="468">
        <f t="shared" si="242"/>
        <v>0</v>
      </c>
      <c r="N72" s="468">
        <f t="shared" si="242"/>
        <v>0</v>
      </c>
      <c r="O72" s="468">
        <f t="shared" si="242"/>
        <v>0</v>
      </c>
      <c r="P72" s="468">
        <f t="shared" si="242"/>
        <v>1754377</v>
      </c>
      <c r="Q72" s="468">
        <f t="shared" si="242"/>
        <v>51904</v>
      </c>
      <c r="R72" s="468">
        <f t="shared" si="242"/>
        <v>44886</v>
      </c>
      <c r="S72" s="469">
        <f t="shared" si="242"/>
        <v>10.0937</v>
      </c>
      <c r="T72" s="469">
        <f t="shared" si="242"/>
        <v>7.2443</v>
      </c>
      <c r="U72" s="281">
        <f t="shared" si="242"/>
        <v>2.8493999999999997</v>
      </c>
      <c r="V72" s="474">
        <f t="shared" si="242"/>
        <v>-12800</v>
      </c>
      <c r="W72" s="468">
        <f t="shared" si="242"/>
        <v>-6144</v>
      </c>
      <c r="X72" s="468">
        <f t="shared" si="242"/>
        <v>24757</v>
      </c>
      <c r="Y72" s="468">
        <f t="shared" si="242"/>
        <v>0</v>
      </c>
      <c r="Z72" s="468">
        <f t="shared" si="242"/>
        <v>0</v>
      </c>
      <c r="AA72" s="468">
        <f t="shared" si="242"/>
        <v>0</v>
      </c>
      <c r="AB72" s="468">
        <f t="shared" si="242"/>
        <v>0</v>
      </c>
      <c r="AC72" s="468">
        <f t="shared" si="242"/>
        <v>0</v>
      </c>
      <c r="AD72" s="468">
        <f t="shared" si="242"/>
        <v>0</v>
      </c>
      <c r="AE72" s="468">
        <f t="shared" si="242"/>
        <v>0</v>
      </c>
      <c r="AF72" s="468">
        <f t="shared" si="242"/>
        <v>11957</v>
      </c>
      <c r="AG72" s="468">
        <f t="shared" si="242"/>
        <v>-6144</v>
      </c>
      <c r="AH72" s="468">
        <f t="shared" si="242"/>
        <v>5813</v>
      </c>
      <c r="AI72" s="468">
        <f t="shared" si="242"/>
        <v>12800</v>
      </c>
      <c r="AJ72" s="468">
        <f t="shared" si="242"/>
        <v>6144</v>
      </c>
      <c r="AK72" s="468">
        <f t="shared" ref="AK72" si="243">SUM(AK66:AK71)</f>
        <v>0</v>
      </c>
      <c r="AL72" s="468">
        <f t="shared" si="242"/>
        <v>0</v>
      </c>
      <c r="AM72" s="468">
        <f t="shared" si="242"/>
        <v>0</v>
      </c>
      <c r="AN72" s="468">
        <f t="shared" si="242"/>
        <v>0</v>
      </c>
      <c r="AO72" s="468">
        <f t="shared" si="242"/>
        <v>12800</v>
      </c>
      <c r="AP72" s="468">
        <f t="shared" si="242"/>
        <v>6144</v>
      </c>
      <c r="AQ72" s="468">
        <f t="shared" si="242"/>
        <v>18944</v>
      </c>
      <c r="AR72" s="468">
        <f t="shared" si="242"/>
        <v>24757</v>
      </c>
      <c r="AS72" s="468">
        <f t="shared" si="242"/>
        <v>0</v>
      </c>
      <c r="AT72" s="468">
        <f t="shared" si="242"/>
        <v>24757</v>
      </c>
      <c r="AU72" s="468">
        <f t="shared" si="242"/>
        <v>8368</v>
      </c>
      <c r="AV72" s="468">
        <f t="shared" si="242"/>
        <v>59</v>
      </c>
      <c r="AW72" s="468">
        <f t="shared" si="242"/>
        <v>0</v>
      </c>
      <c r="AX72" s="468">
        <f t="shared" si="242"/>
        <v>0</v>
      </c>
      <c r="AY72" s="468">
        <f t="shared" si="242"/>
        <v>0</v>
      </c>
      <c r="AZ72" s="468">
        <f t="shared" si="242"/>
        <v>33184</v>
      </c>
      <c r="BA72" s="469">
        <f t="shared" si="242"/>
        <v>0</v>
      </c>
      <c r="BB72" s="469">
        <f t="shared" si="242"/>
        <v>-0.02</v>
      </c>
      <c r="BC72" s="469">
        <f t="shared" si="242"/>
        <v>0.05</v>
      </c>
      <c r="BD72" s="469">
        <f t="shared" si="242"/>
        <v>0</v>
      </c>
      <c r="BE72" s="469">
        <f t="shared" si="242"/>
        <v>0</v>
      </c>
      <c r="BF72" s="469">
        <f t="shared" si="242"/>
        <v>0</v>
      </c>
      <c r="BG72" s="469">
        <f t="shared" si="242"/>
        <v>0</v>
      </c>
      <c r="BH72" s="469">
        <f t="shared" si="242"/>
        <v>0</v>
      </c>
      <c r="BI72" s="469">
        <f t="shared" si="242"/>
        <v>0</v>
      </c>
      <c r="BJ72" s="469">
        <f t="shared" si="242"/>
        <v>0</v>
      </c>
      <c r="BK72" s="469">
        <f t="shared" si="242"/>
        <v>0.05</v>
      </c>
      <c r="BL72" s="469">
        <f t="shared" si="242"/>
        <v>-0.02</v>
      </c>
      <c r="BM72" s="562">
        <f t="shared" si="242"/>
        <v>3.0000000000000002E-2</v>
      </c>
      <c r="BN72" s="472">
        <f t="shared" si="242"/>
        <v>7074816</v>
      </c>
      <c r="BO72" s="468">
        <f t="shared" si="242"/>
        <v>5196278</v>
      </c>
      <c r="BP72" s="468">
        <f t="shared" si="242"/>
        <v>4263295</v>
      </c>
      <c r="BQ72" s="468">
        <f t="shared" si="242"/>
        <v>932983</v>
      </c>
      <c r="BR72" s="468">
        <f t="shared" si="242"/>
        <v>18944</v>
      </c>
      <c r="BS72" s="468">
        <f t="shared" si="242"/>
        <v>12800</v>
      </c>
      <c r="BT72" s="468">
        <f t="shared" si="242"/>
        <v>6144</v>
      </c>
      <c r="BU72" s="468">
        <f t="shared" si="242"/>
        <v>1762745</v>
      </c>
      <c r="BV72" s="468">
        <f t="shared" ref="BV72:CF72" si="244">SUM(BV66:BV71)</f>
        <v>51963</v>
      </c>
      <c r="BW72" s="468">
        <f t="shared" si="244"/>
        <v>44886</v>
      </c>
      <c r="BX72" s="469">
        <f t="shared" si="244"/>
        <v>10.123699999999998</v>
      </c>
      <c r="BY72" s="469">
        <f t="shared" si="244"/>
        <v>7.2942999999999998</v>
      </c>
      <c r="BZ72" s="562">
        <f t="shared" si="244"/>
        <v>2.8293999999999997</v>
      </c>
      <c r="CA72" s="873">
        <f t="shared" si="244"/>
        <v>0</v>
      </c>
      <c r="CB72" s="850">
        <f t="shared" si="244"/>
        <v>0</v>
      </c>
      <c r="CC72" s="850">
        <f t="shared" si="244"/>
        <v>0</v>
      </c>
      <c r="CD72" s="850">
        <f t="shared" si="244"/>
        <v>0</v>
      </c>
      <c r="CE72" s="850">
        <f t="shared" si="244"/>
        <v>0</v>
      </c>
      <c r="CF72" s="841">
        <f t="shared" si="244"/>
        <v>0</v>
      </c>
    </row>
    <row r="73" spans="1:84" ht="12.95" customHeight="1" x14ac:dyDescent="0.25">
      <c r="A73" s="282">
        <v>12</v>
      </c>
      <c r="B73" s="323">
        <v>5431</v>
      </c>
      <c r="C73" s="324">
        <v>600099016</v>
      </c>
      <c r="D73" s="283">
        <v>70698112</v>
      </c>
      <c r="E73" s="350" t="s">
        <v>431</v>
      </c>
      <c r="F73" s="323">
        <v>3111</v>
      </c>
      <c r="G73" s="347" t="s">
        <v>305</v>
      </c>
      <c r="H73" s="733" t="s">
        <v>271</v>
      </c>
      <c r="I73" s="423">
        <f t="shared" ref="I73:I78" si="245">J73+P73+Q73+R73</f>
        <v>1650899</v>
      </c>
      <c r="J73" s="418">
        <f t="shared" ref="J73:J78" si="246">K73+L73</f>
        <v>1219949</v>
      </c>
      <c r="K73" s="418">
        <v>1153381</v>
      </c>
      <c r="L73" s="418">
        <v>66568</v>
      </c>
      <c r="M73" s="418">
        <f t="shared" ref="M73:M78" si="247">N73+O73</f>
        <v>0</v>
      </c>
      <c r="N73" s="418">
        <v>0</v>
      </c>
      <c r="O73" s="418">
        <v>0</v>
      </c>
      <c r="P73" s="68">
        <f t="shared" ref="P73:P78" si="248">ROUND((J73+M73)*33.8%,0)</f>
        <v>412343</v>
      </c>
      <c r="Q73" s="68">
        <f t="shared" ref="Q73:Q78" si="249">ROUND(J73*1%,0)</f>
        <v>12199</v>
      </c>
      <c r="R73" s="418">
        <v>6408</v>
      </c>
      <c r="S73" s="419">
        <f t="shared" ref="S73:S78" si="250">T73+U73</f>
        <v>2.2667000000000002</v>
      </c>
      <c r="T73" s="420">
        <v>2</v>
      </c>
      <c r="U73" s="527">
        <v>0.26669999999999999</v>
      </c>
      <c r="V73" s="427">
        <f t="shared" ref="V73:W78" si="251">AI73*-1</f>
        <v>-3200</v>
      </c>
      <c r="W73" s="421">
        <f t="shared" si="251"/>
        <v>0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 t="shared" ref="AF73:AF78" si="252">V73+X73+Y73+AA73+AB73+AD73</f>
        <v>-3200</v>
      </c>
      <c r="AG73" s="421">
        <f t="shared" ref="AG73:AG78" si="253">W73+Z73+AC73+AE73</f>
        <v>0</v>
      </c>
      <c r="AH73" s="421">
        <f t="shared" ref="AH73:AH78" si="254">SUM(AF73:AG73)</f>
        <v>-3200</v>
      </c>
      <c r="AI73" s="421">
        <v>3200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ref="AO73:AO78" si="255">AI73+AK73+AL73+AM73</f>
        <v>3200</v>
      </c>
      <c r="AP73" s="421">
        <f t="shared" ref="AP73:AP78" si="256">AJ73+AN73</f>
        <v>0</v>
      </c>
      <c r="AQ73" s="421">
        <f t="shared" ref="AQ73:AQ78" si="257">SUM(AO73:AP73)</f>
        <v>3200</v>
      </c>
      <c r="AR73" s="421">
        <f t="shared" ref="AR73:AS78" si="258">AF73+AO73</f>
        <v>0</v>
      </c>
      <c r="AS73" s="421">
        <f t="shared" si="258"/>
        <v>0</v>
      </c>
      <c r="AT73" s="421">
        <f t="shared" ref="AT73:AT78" si="259">SUM(AR73:AS73)</f>
        <v>0</v>
      </c>
      <c r="AU73" s="68">
        <f t="shared" ref="AU73:AU78" si="260">ROUND((AH73+AI73+AJ73+AK73+AL73)*33.8%,0)</f>
        <v>0</v>
      </c>
      <c r="AV73" s="68">
        <f t="shared" ref="AV73:AV78" si="261">ROUND(AH73*1%,0)</f>
        <v>-32</v>
      </c>
      <c r="AW73" s="421">
        <v>0</v>
      </c>
      <c r="AX73" s="421">
        <v>0</v>
      </c>
      <c r="AY73" s="421">
        <f t="shared" ref="AY73:AY78" si="262">AW73+AX73</f>
        <v>0</v>
      </c>
      <c r="AZ73" s="421">
        <f t="shared" ref="AZ73:AZ78" si="263">AT73+AU73+AV73+AY73</f>
        <v>-32</v>
      </c>
      <c r="BA73" s="422">
        <v>0</v>
      </c>
      <c r="BB73" s="422">
        <v>0</v>
      </c>
      <c r="BC73" s="422">
        <v>0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 t="shared" ref="BK73:BK78" si="264">BA73+BC73+BD73+BF73+BH73+BI73</f>
        <v>0</v>
      </c>
      <c r="BL73" s="422">
        <f t="shared" ref="BL73:BL78" si="265">BB73+BE73+BG73+BJ73</f>
        <v>0</v>
      </c>
      <c r="BM73" s="611">
        <f t="shared" ref="BM73:BM78" si="266">SUM(BK73:BL73)</f>
        <v>0</v>
      </c>
      <c r="BN73" s="428">
        <f t="shared" ref="BN73:BN78" si="267">I73+AZ73</f>
        <v>1650867</v>
      </c>
      <c r="BO73" s="421">
        <f t="shared" ref="BO73:BO78" si="268">J73+AH73</f>
        <v>1216749</v>
      </c>
      <c r="BP73" s="421">
        <f t="shared" ref="BP73:BQ78" si="269">K73+AF73</f>
        <v>1150181</v>
      </c>
      <c r="BQ73" s="421">
        <f t="shared" si="269"/>
        <v>66568</v>
      </c>
      <c r="BR73" s="421">
        <f t="shared" ref="BR73:BR78" si="270">M73+AQ73</f>
        <v>3200</v>
      </c>
      <c r="BS73" s="421">
        <f t="shared" ref="BS73:BT78" si="271">N73+AO73</f>
        <v>3200</v>
      </c>
      <c r="BT73" s="421">
        <f t="shared" si="271"/>
        <v>0</v>
      </c>
      <c r="BU73" s="421">
        <f t="shared" ref="BU73:BV78" si="272">P73+AU73</f>
        <v>412343</v>
      </c>
      <c r="BV73" s="421">
        <f t="shared" si="272"/>
        <v>12167</v>
      </c>
      <c r="BW73" s="421">
        <f t="shared" ref="BW73:BW78" si="273">R73+AY73</f>
        <v>6408</v>
      </c>
      <c r="BX73" s="422">
        <f t="shared" ref="BX73:BX78" si="274">S73+BM73</f>
        <v>2.2667000000000002</v>
      </c>
      <c r="BY73" s="422">
        <f t="shared" ref="BY73:BZ78" si="275">T73+BK73</f>
        <v>2</v>
      </c>
      <c r="BZ73" s="611">
        <f t="shared" si="275"/>
        <v>0.26669999999999999</v>
      </c>
      <c r="CA73" s="423"/>
      <c r="CB73" s="418"/>
      <c r="CC73" s="418"/>
      <c r="CD73" s="418"/>
      <c r="CE73" s="418"/>
      <c r="CF73" s="527"/>
    </row>
    <row r="74" spans="1:84" ht="12.95" customHeight="1" x14ac:dyDescent="0.25">
      <c r="A74" s="282">
        <v>12</v>
      </c>
      <c r="B74" s="323">
        <v>5431</v>
      </c>
      <c r="C74" s="324">
        <v>600099016</v>
      </c>
      <c r="D74" s="283">
        <v>70698112</v>
      </c>
      <c r="E74" s="350" t="s">
        <v>431</v>
      </c>
      <c r="F74" s="323">
        <v>3117</v>
      </c>
      <c r="G74" s="347" t="s">
        <v>309</v>
      </c>
      <c r="H74" s="733" t="s">
        <v>271</v>
      </c>
      <c r="I74" s="423">
        <f t="shared" si="245"/>
        <v>3156311</v>
      </c>
      <c r="J74" s="418">
        <f t="shared" si="246"/>
        <v>2318907</v>
      </c>
      <c r="K74" s="418">
        <v>2047091</v>
      </c>
      <c r="L74" s="418">
        <v>271816</v>
      </c>
      <c r="M74" s="418">
        <f t="shared" si="247"/>
        <v>0</v>
      </c>
      <c r="N74" s="418">
        <v>0</v>
      </c>
      <c r="O74" s="418">
        <v>0</v>
      </c>
      <c r="P74" s="68">
        <f>ROUND((J74+M74)*33.8%,0)-1</f>
        <v>783790</v>
      </c>
      <c r="Q74" s="68">
        <f t="shared" si="249"/>
        <v>23189</v>
      </c>
      <c r="R74" s="418">
        <v>30425</v>
      </c>
      <c r="S74" s="419">
        <f t="shared" si="250"/>
        <v>4.1926999999999994</v>
      </c>
      <c r="T74" s="420">
        <v>3.4998999999999998</v>
      </c>
      <c r="U74" s="527">
        <v>0.69279999999999997</v>
      </c>
      <c r="V74" s="427">
        <f t="shared" si="251"/>
        <v>-3200</v>
      </c>
      <c r="W74" s="421">
        <f t="shared" si="251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 t="shared" si="252"/>
        <v>-3200</v>
      </c>
      <c r="AG74" s="421">
        <f t="shared" si="253"/>
        <v>0</v>
      </c>
      <c r="AH74" s="421">
        <f t="shared" si="254"/>
        <v>-3200</v>
      </c>
      <c r="AI74" s="421">
        <v>3200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255"/>
        <v>3200</v>
      </c>
      <c r="AP74" s="421">
        <f t="shared" si="256"/>
        <v>0</v>
      </c>
      <c r="AQ74" s="421">
        <f t="shared" si="257"/>
        <v>3200</v>
      </c>
      <c r="AR74" s="421">
        <f t="shared" si="258"/>
        <v>0</v>
      </c>
      <c r="AS74" s="421">
        <f t="shared" si="258"/>
        <v>0</v>
      </c>
      <c r="AT74" s="421">
        <f t="shared" si="259"/>
        <v>0</v>
      </c>
      <c r="AU74" s="68">
        <f t="shared" si="260"/>
        <v>0</v>
      </c>
      <c r="AV74" s="68">
        <f t="shared" si="261"/>
        <v>-32</v>
      </c>
      <c r="AW74" s="421">
        <v>0</v>
      </c>
      <c r="AX74" s="421">
        <v>0</v>
      </c>
      <c r="AY74" s="421">
        <f t="shared" si="262"/>
        <v>0</v>
      </c>
      <c r="AZ74" s="421">
        <f t="shared" si="263"/>
        <v>-32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 t="shared" si="264"/>
        <v>0</v>
      </c>
      <c r="BL74" s="422">
        <f t="shared" si="265"/>
        <v>0</v>
      </c>
      <c r="BM74" s="611">
        <f t="shared" si="266"/>
        <v>0</v>
      </c>
      <c r="BN74" s="428">
        <f t="shared" si="267"/>
        <v>3156279</v>
      </c>
      <c r="BO74" s="421">
        <f t="shared" si="268"/>
        <v>2315707</v>
      </c>
      <c r="BP74" s="421">
        <f t="shared" si="269"/>
        <v>2043891</v>
      </c>
      <c r="BQ74" s="421">
        <f t="shared" si="269"/>
        <v>271816</v>
      </c>
      <c r="BR74" s="421">
        <f t="shared" si="270"/>
        <v>3200</v>
      </c>
      <c r="BS74" s="421">
        <f t="shared" si="271"/>
        <v>3200</v>
      </c>
      <c r="BT74" s="421">
        <f t="shared" si="271"/>
        <v>0</v>
      </c>
      <c r="BU74" s="421">
        <f t="shared" si="272"/>
        <v>783790</v>
      </c>
      <c r="BV74" s="421">
        <f t="shared" si="272"/>
        <v>23157</v>
      </c>
      <c r="BW74" s="421">
        <f t="shared" si="273"/>
        <v>30425</v>
      </c>
      <c r="BX74" s="422">
        <f t="shared" si="274"/>
        <v>4.1926999999999994</v>
      </c>
      <c r="BY74" s="422">
        <f t="shared" si="275"/>
        <v>3.4998999999999998</v>
      </c>
      <c r="BZ74" s="611">
        <f t="shared" si="275"/>
        <v>0.69279999999999997</v>
      </c>
      <c r="CA74" s="423"/>
      <c r="CB74" s="418"/>
      <c r="CC74" s="418"/>
      <c r="CD74" s="418"/>
      <c r="CE74" s="418"/>
      <c r="CF74" s="527"/>
    </row>
    <row r="75" spans="1:84" ht="12.95" customHeight="1" x14ac:dyDescent="0.25">
      <c r="A75" s="282">
        <v>12</v>
      </c>
      <c r="B75" s="323">
        <v>5431</v>
      </c>
      <c r="C75" s="324">
        <v>600099016</v>
      </c>
      <c r="D75" s="283">
        <v>70698112</v>
      </c>
      <c r="E75" s="350" t="s">
        <v>431</v>
      </c>
      <c r="F75" s="323">
        <v>3117</v>
      </c>
      <c r="G75" s="286" t="s">
        <v>292</v>
      </c>
      <c r="H75" s="733" t="s">
        <v>272</v>
      </c>
      <c r="I75" s="423">
        <f t="shared" si="245"/>
        <v>0</v>
      </c>
      <c r="J75" s="418">
        <f t="shared" si="246"/>
        <v>0</v>
      </c>
      <c r="K75" s="418">
        <v>0</v>
      </c>
      <c r="L75" s="418">
        <v>0</v>
      </c>
      <c r="M75" s="418">
        <f>N75+O75</f>
        <v>0</v>
      </c>
      <c r="N75" s="418">
        <v>0</v>
      </c>
      <c r="O75" s="418">
        <v>0</v>
      </c>
      <c r="P75" s="68">
        <f t="shared" ref="P75" si="276">ROUND((J75+M75)*33.8%,0)</f>
        <v>0</v>
      </c>
      <c r="Q75" s="68">
        <f t="shared" si="249"/>
        <v>0</v>
      </c>
      <c r="R75" s="418">
        <v>0</v>
      </c>
      <c r="S75" s="419">
        <f>T75+U75</f>
        <v>0</v>
      </c>
      <c r="T75" s="420">
        <v>0</v>
      </c>
      <c r="U75" s="527">
        <v>0</v>
      </c>
      <c r="V75" s="427">
        <f t="shared" si="251"/>
        <v>0</v>
      </c>
      <c r="W75" s="421">
        <f t="shared" si="251"/>
        <v>0</v>
      </c>
      <c r="X75" s="421">
        <v>414062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 t="shared" si="252"/>
        <v>414062</v>
      </c>
      <c r="AG75" s="421">
        <f t="shared" si="253"/>
        <v>0</v>
      </c>
      <c r="AH75" s="421">
        <f t="shared" si="254"/>
        <v>414062</v>
      </c>
      <c r="AI75" s="421">
        <v>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si="255"/>
        <v>0</v>
      </c>
      <c r="AP75" s="421">
        <f t="shared" si="256"/>
        <v>0</v>
      </c>
      <c r="AQ75" s="421">
        <f t="shared" si="257"/>
        <v>0</v>
      </c>
      <c r="AR75" s="421">
        <f t="shared" si="258"/>
        <v>414062</v>
      </c>
      <c r="AS75" s="421">
        <f t="shared" si="258"/>
        <v>0</v>
      </c>
      <c r="AT75" s="421">
        <f t="shared" si="259"/>
        <v>414062</v>
      </c>
      <c r="AU75" s="68">
        <f t="shared" si="260"/>
        <v>139953</v>
      </c>
      <c r="AV75" s="68">
        <f t="shared" si="261"/>
        <v>4141</v>
      </c>
      <c r="AW75" s="421">
        <v>0</v>
      </c>
      <c r="AX75" s="421">
        <v>0</v>
      </c>
      <c r="AY75" s="421">
        <f t="shared" si="262"/>
        <v>0</v>
      </c>
      <c r="AZ75" s="421">
        <f t="shared" si="263"/>
        <v>558156</v>
      </c>
      <c r="BA75" s="422">
        <v>0</v>
      </c>
      <c r="BB75" s="422">
        <v>0</v>
      </c>
      <c r="BC75" s="422">
        <v>1.25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 t="shared" si="264"/>
        <v>1.25</v>
      </c>
      <c r="BL75" s="422">
        <f t="shared" si="265"/>
        <v>0</v>
      </c>
      <c r="BM75" s="611">
        <f t="shared" si="266"/>
        <v>1.25</v>
      </c>
      <c r="BN75" s="428">
        <f t="shared" si="267"/>
        <v>558156</v>
      </c>
      <c r="BO75" s="421">
        <f t="shared" si="268"/>
        <v>414062</v>
      </c>
      <c r="BP75" s="421">
        <f t="shared" si="269"/>
        <v>414062</v>
      </c>
      <c r="BQ75" s="421">
        <f t="shared" si="269"/>
        <v>0</v>
      </c>
      <c r="BR75" s="421">
        <f t="shared" si="270"/>
        <v>0</v>
      </c>
      <c r="BS75" s="421">
        <f t="shared" si="271"/>
        <v>0</v>
      </c>
      <c r="BT75" s="421">
        <f t="shared" si="271"/>
        <v>0</v>
      </c>
      <c r="BU75" s="421">
        <f t="shared" si="272"/>
        <v>139953</v>
      </c>
      <c r="BV75" s="421">
        <f t="shared" si="272"/>
        <v>4141</v>
      </c>
      <c r="BW75" s="421">
        <f t="shared" si="273"/>
        <v>0</v>
      </c>
      <c r="BX75" s="422">
        <f t="shared" si="274"/>
        <v>1.25</v>
      </c>
      <c r="BY75" s="422">
        <f t="shared" si="275"/>
        <v>1.25</v>
      </c>
      <c r="BZ75" s="611">
        <f t="shared" si="275"/>
        <v>0</v>
      </c>
      <c r="CA75" s="423"/>
      <c r="CB75" s="418"/>
      <c r="CC75" s="418"/>
      <c r="CD75" s="418"/>
      <c r="CE75" s="418"/>
      <c r="CF75" s="527"/>
    </row>
    <row r="76" spans="1:84" ht="12.95" customHeight="1" x14ac:dyDescent="0.25">
      <c r="A76" s="282">
        <v>12</v>
      </c>
      <c r="B76" s="323">
        <v>5431</v>
      </c>
      <c r="C76" s="324">
        <v>600099016</v>
      </c>
      <c r="D76" s="283">
        <v>70698112</v>
      </c>
      <c r="E76" s="350" t="s">
        <v>431</v>
      </c>
      <c r="F76" s="323">
        <v>3141</v>
      </c>
      <c r="G76" s="347" t="s">
        <v>295</v>
      </c>
      <c r="H76" s="733" t="s">
        <v>272</v>
      </c>
      <c r="I76" s="423">
        <f t="shared" si="245"/>
        <v>478218</v>
      </c>
      <c r="J76" s="418">
        <f t="shared" si="246"/>
        <v>353489</v>
      </c>
      <c r="K76" s="418">
        <v>0</v>
      </c>
      <c r="L76" s="418">
        <v>353489</v>
      </c>
      <c r="M76" s="418">
        <f t="shared" si="247"/>
        <v>0</v>
      </c>
      <c r="N76" s="418">
        <v>0</v>
      </c>
      <c r="O76" s="418">
        <v>0</v>
      </c>
      <c r="P76" s="68">
        <f t="shared" si="248"/>
        <v>119479</v>
      </c>
      <c r="Q76" s="68">
        <f t="shared" si="249"/>
        <v>3535</v>
      </c>
      <c r="R76" s="418">
        <v>1715</v>
      </c>
      <c r="S76" s="419">
        <f t="shared" si="250"/>
        <v>1.06</v>
      </c>
      <c r="T76" s="420">
        <v>0</v>
      </c>
      <c r="U76" s="527">
        <v>1.06</v>
      </c>
      <c r="V76" s="427">
        <f t="shared" si="251"/>
        <v>0</v>
      </c>
      <c r="W76" s="421">
        <f t="shared" si="251"/>
        <v>-6400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 t="shared" si="252"/>
        <v>0</v>
      </c>
      <c r="AG76" s="421">
        <f t="shared" si="253"/>
        <v>-6400</v>
      </c>
      <c r="AH76" s="421">
        <f t="shared" si="254"/>
        <v>-6400</v>
      </c>
      <c r="AI76" s="421">
        <v>0</v>
      </c>
      <c r="AJ76" s="421">
        <v>6400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255"/>
        <v>0</v>
      </c>
      <c r="AP76" s="421">
        <f t="shared" si="256"/>
        <v>6400</v>
      </c>
      <c r="AQ76" s="421">
        <f t="shared" si="257"/>
        <v>6400</v>
      </c>
      <c r="AR76" s="421">
        <f t="shared" si="258"/>
        <v>0</v>
      </c>
      <c r="AS76" s="421">
        <f t="shared" si="258"/>
        <v>0</v>
      </c>
      <c r="AT76" s="421">
        <f t="shared" si="259"/>
        <v>0</v>
      </c>
      <c r="AU76" s="68">
        <f t="shared" si="260"/>
        <v>0</v>
      </c>
      <c r="AV76" s="68">
        <f t="shared" si="261"/>
        <v>-64</v>
      </c>
      <c r="AW76" s="421">
        <v>0</v>
      </c>
      <c r="AX76" s="421">
        <v>0</v>
      </c>
      <c r="AY76" s="421">
        <f t="shared" si="262"/>
        <v>0</v>
      </c>
      <c r="AZ76" s="421">
        <f t="shared" si="263"/>
        <v>-64</v>
      </c>
      <c r="BA76" s="422">
        <v>0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 t="shared" si="264"/>
        <v>0</v>
      </c>
      <c r="BL76" s="422">
        <f t="shared" si="265"/>
        <v>0</v>
      </c>
      <c r="BM76" s="611">
        <f t="shared" si="266"/>
        <v>0</v>
      </c>
      <c r="BN76" s="428">
        <f t="shared" si="267"/>
        <v>478154</v>
      </c>
      <c r="BO76" s="421">
        <f t="shared" si="268"/>
        <v>347089</v>
      </c>
      <c r="BP76" s="421">
        <f t="shared" si="269"/>
        <v>0</v>
      </c>
      <c r="BQ76" s="421">
        <f t="shared" si="269"/>
        <v>347089</v>
      </c>
      <c r="BR76" s="421">
        <f t="shared" si="270"/>
        <v>6400</v>
      </c>
      <c r="BS76" s="421">
        <f t="shared" si="271"/>
        <v>0</v>
      </c>
      <c r="BT76" s="421">
        <f t="shared" si="271"/>
        <v>6400</v>
      </c>
      <c r="BU76" s="421">
        <f t="shared" si="272"/>
        <v>119479</v>
      </c>
      <c r="BV76" s="421">
        <f t="shared" si="272"/>
        <v>3471</v>
      </c>
      <c r="BW76" s="421">
        <f t="shared" si="273"/>
        <v>1715</v>
      </c>
      <c r="BX76" s="422">
        <f t="shared" si="274"/>
        <v>1.06</v>
      </c>
      <c r="BY76" s="422">
        <f t="shared" si="275"/>
        <v>0</v>
      </c>
      <c r="BZ76" s="611">
        <f t="shared" si="275"/>
        <v>1.06</v>
      </c>
      <c r="CA76" s="423"/>
      <c r="CB76" s="418"/>
      <c r="CC76" s="418"/>
      <c r="CD76" s="418"/>
      <c r="CE76" s="418"/>
      <c r="CF76" s="527"/>
    </row>
    <row r="77" spans="1:84" ht="12.95" customHeight="1" x14ac:dyDescent="0.25">
      <c r="A77" s="282">
        <v>12</v>
      </c>
      <c r="B77" s="323">
        <v>5431</v>
      </c>
      <c r="C77" s="324">
        <v>600099016</v>
      </c>
      <c r="D77" s="283">
        <v>70698112</v>
      </c>
      <c r="E77" s="350" t="s">
        <v>431</v>
      </c>
      <c r="F77" s="323">
        <v>3143</v>
      </c>
      <c r="G77" s="286" t="s">
        <v>596</v>
      </c>
      <c r="H77" s="733" t="s">
        <v>271</v>
      </c>
      <c r="I77" s="423">
        <f t="shared" si="245"/>
        <v>421186</v>
      </c>
      <c r="J77" s="418">
        <f t="shared" si="246"/>
        <v>312452</v>
      </c>
      <c r="K77" s="418">
        <v>312452</v>
      </c>
      <c r="L77" s="418">
        <v>0</v>
      </c>
      <c r="M77" s="418">
        <f t="shared" si="247"/>
        <v>0</v>
      </c>
      <c r="N77" s="418">
        <v>0</v>
      </c>
      <c r="O77" s="418">
        <v>0</v>
      </c>
      <c r="P77" s="68">
        <f t="shared" si="248"/>
        <v>105609</v>
      </c>
      <c r="Q77" s="68">
        <f t="shared" si="249"/>
        <v>3125</v>
      </c>
      <c r="R77" s="418">
        <v>0</v>
      </c>
      <c r="S77" s="419">
        <f t="shared" si="250"/>
        <v>0.67800000000000005</v>
      </c>
      <c r="T77" s="420">
        <v>0.67800000000000005</v>
      </c>
      <c r="U77" s="527">
        <v>0</v>
      </c>
      <c r="V77" s="427">
        <f t="shared" si="251"/>
        <v>0</v>
      </c>
      <c r="W77" s="421">
        <f t="shared" si="251"/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 t="shared" si="252"/>
        <v>0</v>
      </c>
      <c r="AG77" s="421">
        <f t="shared" si="253"/>
        <v>0</v>
      </c>
      <c r="AH77" s="421">
        <f t="shared" si="254"/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si="255"/>
        <v>0</v>
      </c>
      <c r="AP77" s="421">
        <f t="shared" si="256"/>
        <v>0</v>
      </c>
      <c r="AQ77" s="421">
        <f t="shared" si="257"/>
        <v>0</v>
      </c>
      <c r="AR77" s="421">
        <f t="shared" si="258"/>
        <v>0</v>
      </c>
      <c r="AS77" s="421">
        <f t="shared" si="258"/>
        <v>0</v>
      </c>
      <c r="AT77" s="421">
        <f t="shared" si="259"/>
        <v>0</v>
      </c>
      <c r="AU77" s="68">
        <f t="shared" si="260"/>
        <v>0</v>
      </c>
      <c r="AV77" s="68">
        <f t="shared" si="261"/>
        <v>0</v>
      </c>
      <c r="AW77" s="421">
        <v>0</v>
      </c>
      <c r="AX77" s="421">
        <v>0</v>
      </c>
      <c r="AY77" s="421">
        <f t="shared" si="262"/>
        <v>0</v>
      </c>
      <c r="AZ77" s="421">
        <f t="shared" si="263"/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 t="shared" si="264"/>
        <v>0</v>
      </c>
      <c r="BL77" s="422">
        <f t="shared" si="265"/>
        <v>0</v>
      </c>
      <c r="BM77" s="611">
        <f t="shared" si="266"/>
        <v>0</v>
      </c>
      <c r="BN77" s="428">
        <f t="shared" si="267"/>
        <v>421186</v>
      </c>
      <c r="BO77" s="421">
        <f t="shared" si="268"/>
        <v>312452</v>
      </c>
      <c r="BP77" s="421">
        <f t="shared" si="269"/>
        <v>312452</v>
      </c>
      <c r="BQ77" s="421">
        <f t="shared" si="269"/>
        <v>0</v>
      </c>
      <c r="BR77" s="421">
        <f t="shared" si="270"/>
        <v>0</v>
      </c>
      <c r="BS77" s="421">
        <f t="shared" si="271"/>
        <v>0</v>
      </c>
      <c r="BT77" s="421">
        <f t="shared" si="271"/>
        <v>0</v>
      </c>
      <c r="BU77" s="421">
        <f t="shared" si="272"/>
        <v>105609</v>
      </c>
      <c r="BV77" s="421">
        <f t="shared" si="272"/>
        <v>3125</v>
      </c>
      <c r="BW77" s="421">
        <f t="shared" si="273"/>
        <v>0</v>
      </c>
      <c r="BX77" s="422">
        <f t="shared" si="274"/>
        <v>0.67800000000000005</v>
      </c>
      <c r="BY77" s="422">
        <f t="shared" si="275"/>
        <v>0.67800000000000005</v>
      </c>
      <c r="BZ77" s="611">
        <f t="shared" si="275"/>
        <v>0</v>
      </c>
      <c r="CA77" s="423"/>
      <c r="CB77" s="418"/>
      <c r="CC77" s="418"/>
      <c r="CD77" s="418"/>
      <c r="CE77" s="418"/>
      <c r="CF77" s="527"/>
    </row>
    <row r="78" spans="1:84" ht="12.95" customHeight="1" x14ac:dyDescent="0.25">
      <c r="A78" s="282">
        <v>12</v>
      </c>
      <c r="B78" s="323">
        <v>5431</v>
      </c>
      <c r="C78" s="324">
        <v>600099016</v>
      </c>
      <c r="D78" s="283">
        <v>70698112</v>
      </c>
      <c r="E78" s="350" t="s">
        <v>431</v>
      </c>
      <c r="F78" s="323">
        <v>3143</v>
      </c>
      <c r="G78" s="286" t="s">
        <v>597</v>
      </c>
      <c r="H78" s="733" t="s">
        <v>272</v>
      </c>
      <c r="I78" s="423">
        <f t="shared" si="245"/>
        <v>10253</v>
      </c>
      <c r="J78" s="418">
        <f t="shared" si="246"/>
        <v>7339</v>
      </c>
      <c r="K78" s="418">
        <v>0</v>
      </c>
      <c r="L78" s="418">
        <v>7339</v>
      </c>
      <c r="M78" s="418">
        <f t="shared" si="247"/>
        <v>0</v>
      </c>
      <c r="N78" s="418">
        <v>0</v>
      </c>
      <c r="O78" s="418">
        <v>0</v>
      </c>
      <c r="P78" s="68">
        <f t="shared" si="248"/>
        <v>2481</v>
      </c>
      <c r="Q78" s="68">
        <f t="shared" si="249"/>
        <v>73</v>
      </c>
      <c r="R78" s="418">
        <v>360</v>
      </c>
      <c r="S78" s="419">
        <f t="shared" si="250"/>
        <v>2.7799999999999998E-2</v>
      </c>
      <c r="T78" s="420">
        <v>0</v>
      </c>
      <c r="U78" s="527">
        <v>2.7799999999999998E-2</v>
      </c>
      <c r="V78" s="427">
        <f t="shared" si="251"/>
        <v>0</v>
      </c>
      <c r="W78" s="421">
        <f t="shared" si="251"/>
        <v>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si="252"/>
        <v>0</v>
      </c>
      <c r="AG78" s="421">
        <f t="shared" si="253"/>
        <v>0</v>
      </c>
      <c r="AH78" s="421">
        <f t="shared" si="254"/>
        <v>0</v>
      </c>
      <c r="AI78" s="421">
        <v>0</v>
      </c>
      <c r="AJ78" s="421">
        <v>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si="255"/>
        <v>0</v>
      </c>
      <c r="AP78" s="421">
        <f t="shared" si="256"/>
        <v>0</v>
      </c>
      <c r="AQ78" s="421">
        <f t="shared" si="257"/>
        <v>0</v>
      </c>
      <c r="AR78" s="421">
        <f t="shared" si="258"/>
        <v>0</v>
      </c>
      <c r="AS78" s="421">
        <f t="shared" si="258"/>
        <v>0</v>
      </c>
      <c r="AT78" s="421">
        <f t="shared" si="259"/>
        <v>0</v>
      </c>
      <c r="AU78" s="68">
        <f t="shared" si="260"/>
        <v>0</v>
      </c>
      <c r="AV78" s="68">
        <f t="shared" si="261"/>
        <v>0</v>
      </c>
      <c r="AW78" s="421">
        <v>0</v>
      </c>
      <c r="AX78" s="421">
        <v>0</v>
      </c>
      <c r="AY78" s="421">
        <f t="shared" si="262"/>
        <v>0</v>
      </c>
      <c r="AZ78" s="421">
        <f t="shared" si="263"/>
        <v>0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 t="shared" si="264"/>
        <v>0</v>
      </c>
      <c r="BL78" s="422">
        <f t="shared" si="265"/>
        <v>0</v>
      </c>
      <c r="BM78" s="611">
        <f t="shared" si="266"/>
        <v>0</v>
      </c>
      <c r="BN78" s="428">
        <f t="shared" si="267"/>
        <v>10253</v>
      </c>
      <c r="BO78" s="421">
        <f t="shared" si="268"/>
        <v>7339</v>
      </c>
      <c r="BP78" s="421">
        <f t="shared" si="269"/>
        <v>0</v>
      </c>
      <c r="BQ78" s="421">
        <f t="shared" si="269"/>
        <v>7339</v>
      </c>
      <c r="BR78" s="421">
        <f t="shared" si="270"/>
        <v>0</v>
      </c>
      <c r="BS78" s="421">
        <f t="shared" si="271"/>
        <v>0</v>
      </c>
      <c r="BT78" s="421">
        <f t="shared" si="271"/>
        <v>0</v>
      </c>
      <c r="BU78" s="421">
        <f t="shared" si="272"/>
        <v>2481</v>
      </c>
      <c r="BV78" s="421">
        <f t="shared" si="272"/>
        <v>73</v>
      </c>
      <c r="BW78" s="421">
        <f t="shared" si="273"/>
        <v>360</v>
      </c>
      <c r="BX78" s="422">
        <f t="shared" si="274"/>
        <v>2.7799999999999998E-2</v>
      </c>
      <c r="BY78" s="422">
        <f t="shared" si="275"/>
        <v>0</v>
      </c>
      <c r="BZ78" s="611">
        <f t="shared" si="275"/>
        <v>2.7799999999999998E-2</v>
      </c>
      <c r="CA78" s="423"/>
      <c r="CB78" s="418"/>
      <c r="CC78" s="418"/>
      <c r="CD78" s="418"/>
      <c r="CE78" s="418"/>
      <c r="CF78" s="527"/>
    </row>
    <row r="79" spans="1:84" ht="12.95" customHeight="1" x14ac:dyDescent="0.25">
      <c r="A79" s="734">
        <v>12</v>
      </c>
      <c r="B79" s="327">
        <v>5431</v>
      </c>
      <c r="C79" s="328">
        <v>600099016</v>
      </c>
      <c r="D79" s="327">
        <v>70698112</v>
      </c>
      <c r="E79" s="351" t="s">
        <v>432</v>
      </c>
      <c r="F79" s="354"/>
      <c r="G79" s="355"/>
      <c r="H79" s="737"/>
      <c r="I79" s="489">
        <f t="shared" ref="I79:BT79" si="277">SUM(I73:I78)</f>
        <v>5716867</v>
      </c>
      <c r="J79" s="487">
        <f t="shared" si="277"/>
        <v>4212136</v>
      </c>
      <c r="K79" s="487">
        <f t="shared" si="277"/>
        <v>3512924</v>
      </c>
      <c r="L79" s="487">
        <f t="shared" si="277"/>
        <v>699212</v>
      </c>
      <c r="M79" s="487">
        <f t="shared" si="277"/>
        <v>0</v>
      </c>
      <c r="N79" s="487">
        <f t="shared" si="277"/>
        <v>0</v>
      </c>
      <c r="O79" s="487">
        <f t="shared" si="277"/>
        <v>0</v>
      </c>
      <c r="P79" s="487">
        <f t="shared" si="277"/>
        <v>1423702</v>
      </c>
      <c r="Q79" s="487">
        <f t="shared" si="277"/>
        <v>42121</v>
      </c>
      <c r="R79" s="487">
        <f t="shared" si="277"/>
        <v>38908</v>
      </c>
      <c r="S79" s="488">
        <f t="shared" si="277"/>
        <v>8.2251999999999992</v>
      </c>
      <c r="T79" s="488">
        <f t="shared" si="277"/>
        <v>6.1779000000000002</v>
      </c>
      <c r="U79" s="353">
        <f t="shared" si="277"/>
        <v>2.0472999999999999</v>
      </c>
      <c r="V79" s="490">
        <f t="shared" si="277"/>
        <v>-6400</v>
      </c>
      <c r="W79" s="487">
        <f t="shared" si="277"/>
        <v>-6400</v>
      </c>
      <c r="X79" s="487">
        <f t="shared" si="277"/>
        <v>414062</v>
      </c>
      <c r="Y79" s="487">
        <f t="shared" si="277"/>
        <v>0</v>
      </c>
      <c r="Z79" s="487">
        <f t="shared" si="277"/>
        <v>0</v>
      </c>
      <c r="AA79" s="487">
        <f t="shared" si="277"/>
        <v>0</v>
      </c>
      <c r="AB79" s="487">
        <f t="shared" si="277"/>
        <v>0</v>
      </c>
      <c r="AC79" s="487">
        <f t="shared" si="277"/>
        <v>0</v>
      </c>
      <c r="AD79" s="487">
        <f t="shared" si="277"/>
        <v>0</v>
      </c>
      <c r="AE79" s="487">
        <f t="shared" si="277"/>
        <v>0</v>
      </c>
      <c r="AF79" s="487">
        <f t="shared" si="277"/>
        <v>407662</v>
      </c>
      <c r="AG79" s="487">
        <f t="shared" si="277"/>
        <v>-6400</v>
      </c>
      <c r="AH79" s="487">
        <f t="shared" si="277"/>
        <v>401262</v>
      </c>
      <c r="AI79" s="487">
        <f t="shared" si="277"/>
        <v>6400</v>
      </c>
      <c r="AJ79" s="487">
        <f t="shared" si="277"/>
        <v>6400</v>
      </c>
      <c r="AK79" s="487">
        <f t="shared" ref="AK79" si="278">SUM(AK73:AK78)</f>
        <v>0</v>
      </c>
      <c r="AL79" s="487">
        <f t="shared" si="277"/>
        <v>0</v>
      </c>
      <c r="AM79" s="487">
        <f t="shared" si="277"/>
        <v>0</v>
      </c>
      <c r="AN79" s="487">
        <f t="shared" si="277"/>
        <v>0</v>
      </c>
      <c r="AO79" s="487">
        <f t="shared" si="277"/>
        <v>6400</v>
      </c>
      <c r="AP79" s="487">
        <f t="shared" si="277"/>
        <v>6400</v>
      </c>
      <c r="AQ79" s="487">
        <f t="shared" si="277"/>
        <v>12800</v>
      </c>
      <c r="AR79" s="487">
        <f t="shared" si="277"/>
        <v>414062</v>
      </c>
      <c r="AS79" s="487">
        <f t="shared" si="277"/>
        <v>0</v>
      </c>
      <c r="AT79" s="487">
        <f t="shared" si="277"/>
        <v>414062</v>
      </c>
      <c r="AU79" s="487">
        <f t="shared" si="277"/>
        <v>139953</v>
      </c>
      <c r="AV79" s="487">
        <f t="shared" si="277"/>
        <v>4013</v>
      </c>
      <c r="AW79" s="487">
        <f t="shared" si="277"/>
        <v>0</v>
      </c>
      <c r="AX79" s="487">
        <f t="shared" si="277"/>
        <v>0</v>
      </c>
      <c r="AY79" s="487">
        <f t="shared" si="277"/>
        <v>0</v>
      </c>
      <c r="AZ79" s="487">
        <f t="shared" si="277"/>
        <v>558028</v>
      </c>
      <c r="BA79" s="488">
        <f t="shared" si="277"/>
        <v>0</v>
      </c>
      <c r="BB79" s="488">
        <f t="shared" si="277"/>
        <v>0</v>
      </c>
      <c r="BC79" s="488">
        <f t="shared" si="277"/>
        <v>1.25</v>
      </c>
      <c r="BD79" s="488">
        <f t="shared" si="277"/>
        <v>0</v>
      </c>
      <c r="BE79" s="488">
        <f t="shared" si="277"/>
        <v>0</v>
      </c>
      <c r="BF79" s="488">
        <f t="shared" si="277"/>
        <v>0</v>
      </c>
      <c r="BG79" s="488">
        <f t="shared" si="277"/>
        <v>0</v>
      </c>
      <c r="BH79" s="488">
        <f t="shared" si="277"/>
        <v>0</v>
      </c>
      <c r="BI79" s="488">
        <f t="shared" si="277"/>
        <v>0</v>
      </c>
      <c r="BJ79" s="488">
        <f t="shared" si="277"/>
        <v>0</v>
      </c>
      <c r="BK79" s="488">
        <f t="shared" si="277"/>
        <v>1.25</v>
      </c>
      <c r="BL79" s="488">
        <f t="shared" si="277"/>
        <v>0</v>
      </c>
      <c r="BM79" s="563">
        <f t="shared" si="277"/>
        <v>1.25</v>
      </c>
      <c r="BN79" s="489">
        <f t="shared" si="277"/>
        <v>6274895</v>
      </c>
      <c r="BO79" s="487">
        <f t="shared" si="277"/>
        <v>4613398</v>
      </c>
      <c r="BP79" s="487">
        <f t="shared" si="277"/>
        <v>3920586</v>
      </c>
      <c r="BQ79" s="487">
        <f t="shared" si="277"/>
        <v>692812</v>
      </c>
      <c r="BR79" s="487">
        <f t="shared" si="277"/>
        <v>12800</v>
      </c>
      <c r="BS79" s="487">
        <f t="shared" si="277"/>
        <v>6400</v>
      </c>
      <c r="BT79" s="487">
        <f t="shared" si="277"/>
        <v>6400</v>
      </c>
      <c r="BU79" s="487">
        <f t="shared" ref="BU79:CF79" si="279">SUM(BU73:BU78)</f>
        <v>1563655</v>
      </c>
      <c r="BV79" s="487">
        <f t="shared" si="279"/>
        <v>46134</v>
      </c>
      <c r="BW79" s="487">
        <f t="shared" si="279"/>
        <v>38908</v>
      </c>
      <c r="BX79" s="488">
        <f t="shared" si="279"/>
        <v>9.4751999999999992</v>
      </c>
      <c r="BY79" s="488">
        <f t="shared" si="279"/>
        <v>7.4279000000000002</v>
      </c>
      <c r="BZ79" s="563">
        <f t="shared" si="279"/>
        <v>2.0472999999999999</v>
      </c>
      <c r="CA79" s="888">
        <f t="shared" si="279"/>
        <v>0</v>
      </c>
      <c r="CB79" s="887">
        <f t="shared" si="279"/>
        <v>0</v>
      </c>
      <c r="CC79" s="887">
        <f t="shared" si="279"/>
        <v>0</v>
      </c>
      <c r="CD79" s="887">
        <f t="shared" si="279"/>
        <v>0</v>
      </c>
      <c r="CE79" s="887">
        <f t="shared" si="279"/>
        <v>0</v>
      </c>
      <c r="CF79" s="843">
        <f t="shared" si="279"/>
        <v>0</v>
      </c>
    </row>
    <row r="80" spans="1:84" ht="12.95" customHeight="1" x14ac:dyDescent="0.25">
      <c r="A80" s="282">
        <v>13</v>
      </c>
      <c r="B80" s="323">
        <v>5487</v>
      </c>
      <c r="C80" s="324">
        <v>600098796</v>
      </c>
      <c r="D80" s="283">
        <v>71006753</v>
      </c>
      <c r="E80" s="350" t="s">
        <v>433</v>
      </c>
      <c r="F80" s="323">
        <v>3111</v>
      </c>
      <c r="G80" s="347" t="s">
        <v>305</v>
      </c>
      <c r="H80" s="733" t="s">
        <v>271</v>
      </c>
      <c r="I80" s="423">
        <f t="shared" ref="I80:I82" si="280">J80+P80+Q80+R80</f>
        <v>1205756</v>
      </c>
      <c r="J80" s="418">
        <f>K80+L80</f>
        <v>892695</v>
      </c>
      <c r="K80" s="418">
        <v>800250</v>
      </c>
      <c r="L80" s="418">
        <v>92445</v>
      </c>
      <c r="M80" s="418">
        <f t="shared" ref="M80:M82" si="281">N80+O80</f>
        <v>0</v>
      </c>
      <c r="N80" s="418">
        <v>0</v>
      </c>
      <c r="O80" s="418">
        <v>0</v>
      </c>
      <c r="P80" s="68">
        <f t="shared" ref="P80:P82" si="282">ROUND((J80+M80)*33.8%,0)</f>
        <v>301731</v>
      </c>
      <c r="Q80" s="68">
        <f t="shared" ref="Q80:Q82" si="283">ROUND(J80*1%,0)</f>
        <v>8927</v>
      </c>
      <c r="R80" s="418">
        <v>2403</v>
      </c>
      <c r="S80" s="419">
        <f>T80+U80</f>
        <v>1.8975</v>
      </c>
      <c r="T80" s="420">
        <v>1.5980000000000001</v>
      </c>
      <c r="U80" s="527">
        <v>0.29949999999999999</v>
      </c>
      <c r="V80" s="427">
        <f t="shared" ref="V80:W82" si="284">AI80*-1</f>
        <v>0</v>
      </c>
      <c r="W80" s="421">
        <f t="shared" si="284"/>
        <v>-21120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>V80+X80+Y80+AA80+AB80+AD80</f>
        <v>0</v>
      </c>
      <c r="AG80" s="421">
        <f>W80+Z80+AC80+AE80</f>
        <v>-21120</v>
      </c>
      <c r="AH80" s="421">
        <f>SUM(AF80:AG80)</f>
        <v>-21120</v>
      </c>
      <c r="AI80" s="421">
        <v>0</v>
      </c>
      <c r="AJ80" s="421">
        <v>21120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ref="AO80:AO82" si="285">AI80+AK80+AL80+AM80</f>
        <v>0</v>
      </c>
      <c r="AP80" s="421">
        <f>AJ80+AN80</f>
        <v>21120</v>
      </c>
      <c r="AQ80" s="421">
        <f>SUM(AO80:AP80)</f>
        <v>21120</v>
      </c>
      <c r="AR80" s="421">
        <f t="shared" ref="AR80:AS82" si="286">AF80+AO80</f>
        <v>0</v>
      </c>
      <c r="AS80" s="421">
        <f t="shared" si="286"/>
        <v>0</v>
      </c>
      <c r="AT80" s="421">
        <f>SUM(AR80:AS80)</f>
        <v>0</v>
      </c>
      <c r="AU80" s="68">
        <f t="shared" ref="AU80:AU82" si="287">ROUND((AH80+AI80+AJ80+AK80+AL80)*33.8%,0)</f>
        <v>0</v>
      </c>
      <c r="AV80" s="68">
        <f>ROUND(AH80*1%,0)</f>
        <v>-211</v>
      </c>
      <c r="AW80" s="421">
        <v>0</v>
      </c>
      <c r="AX80" s="421">
        <v>0</v>
      </c>
      <c r="AY80" s="421">
        <f>AW80+AX80</f>
        <v>0</v>
      </c>
      <c r="AZ80" s="421">
        <f>AT80+AU80+AV80+AY80</f>
        <v>-211</v>
      </c>
      <c r="BA80" s="422">
        <v>0</v>
      </c>
      <c r="BB80" s="422">
        <v>-7.0000000000000007E-2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>BA80+BC80+BD80+BF80+BH80+BI80</f>
        <v>0</v>
      </c>
      <c r="BL80" s="422">
        <f>BB80+BE80+BG80+BJ80</f>
        <v>-7.0000000000000007E-2</v>
      </c>
      <c r="BM80" s="611">
        <f>SUM(BK80:BL80)</f>
        <v>-7.0000000000000007E-2</v>
      </c>
      <c r="BN80" s="428">
        <f>I80+AZ80</f>
        <v>1205545</v>
      </c>
      <c r="BO80" s="421">
        <f>J80+AH80</f>
        <v>871575</v>
      </c>
      <c r="BP80" s="421">
        <f t="shared" ref="BP80:BQ82" si="288">K80+AF80</f>
        <v>800250</v>
      </c>
      <c r="BQ80" s="421">
        <f t="shared" si="288"/>
        <v>71325</v>
      </c>
      <c r="BR80" s="421">
        <f>M80+AQ80</f>
        <v>21120</v>
      </c>
      <c r="BS80" s="421">
        <f t="shared" ref="BS80:BT82" si="289">N80+AO80</f>
        <v>0</v>
      </c>
      <c r="BT80" s="421">
        <f t="shared" si="289"/>
        <v>21120</v>
      </c>
      <c r="BU80" s="421">
        <f t="shared" ref="BU80:BV82" si="290">P80+AU80</f>
        <v>301731</v>
      </c>
      <c r="BV80" s="421">
        <f t="shared" si="290"/>
        <v>8716</v>
      </c>
      <c r="BW80" s="421">
        <f>R80+AY80</f>
        <v>2403</v>
      </c>
      <c r="BX80" s="422">
        <f>S80+BM80</f>
        <v>1.8274999999999999</v>
      </c>
      <c r="BY80" s="422">
        <f t="shared" ref="BY80:BZ82" si="291">T80+BK80</f>
        <v>1.5980000000000001</v>
      </c>
      <c r="BZ80" s="611">
        <f t="shared" si="291"/>
        <v>0.22949999999999998</v>
      </c>
      <c r="CA80" s="423"/>
      <c r="CB80" s="418"/>
      <c r="CC80" s="418"/>
      <c r="CD80" s="418"/>
      <c r="CE80" s="418"/>
      <c r="CF80" s="527"/>
    </row>
    <row r="81" spans="1:84" ht="12.95" customHeight="1" x14ac:dyDescent="0.25">
      <c r="A81" s="282">
        <v>13</v>
      </c>
      <c r="B81" s="323">
        <v>5487</v>
      </c>
      <c r="C81" s="324">
        <v>600098796</v>
      </c>
      <c r="D81" s="283">
        <v>71006753</v>
      </c>
      <c r="E81" s="350" t="s">
        <v>433</v>
      </c>
      <c r="F81" s="323">
        <v>3111</v>
      </c>
      <c r="G81" s="286" t="s">
        <v>292</v>
      </c>
      <c r="H81" s="733" t="s">
        <v>272</v>
      </c>
      <c r="I81" s="423">
        <f t="shared" si="280"/>
        <v>0</v>
      </c>
      <c r="J81" s="418">
        <f>K81+L81</f>
        <v>0</v>
      </c>
      <c r="K81" s="418">
        <v>0</v>
      </c>
      <c r="L81" s="418">
        <v>0</v>
      </c>
      <c r="M81" s="418">
        <f>N81+O81</f>
        <v>0</v>
      </c>
      <c r="N81" s="418">
        <v>0</v>
      </c>
      <c r="O81" s="418">
        <v>0</v>
      </c>
      <c r="P81" s="68">
        <f t="shared" si="282"/>
        <v>0</v>
      </c>
      <c r="Q81" s="68">
        <f t="shared" si="283"/>
        <v>0</v>
      </c>
      <c r="R81" s="418">
        <v>0</v>
      </c>
      <c r="S81" s="419">
        <f>T81+U81</f>
        <v>0</v>
      </c>
      <c r="T81" s="420">
        <v>0</v>
      </c>
      <c r="U81" s="527">
        <v>0</v>
      </c>
      <c r="V81" s="427">
        <f t="shared" si="284"/>
        <v>0</v>
      </c>
      <c r="W81" s="421">
        <f t="shared" si="284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>V81+X81+Y81+AA81+AB81+AD81</f>
        <v>0</v>
      </c>
      <c r="AG81" s="421">
        <f>W81+Z81+AC81+AE81</f>
        <v>0</v>
      </c>
      <c r="AH81" s="421">
        <f>SUM(AF81:AG81)</f>
        <v>0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285"/>
        <v>0</v>
      </c>
      <c r="AP81" s="421">
        <f>AJ81+AN81</f>
        <v>0</v>
      </c>
      <c r="AQ81" s="421">
        <f>SUM(AO81:AP81)</f>
        <v>0</v>
      </c>
      <c r="AR81" s="421">
        <f t="shared" si="286"/>
        <v>0</v>
      </c>
      <c r="AS81" s="421">
        <f t="shared" si="286"/>
        <v>0</v>
      </c>
      <c r="AT81" s="421">
        <f>SUM(AR81:AS81)</f>
        <v>0</v>
      </c>
      <c r="AU81" s="68">
        <f t="shared" si="287"/>
        <v>0</v>
      </c>
      <c r="AV81" s="68">
        <f>ROUND(AH81*1%,0)</f>
        <v>0</v>
      </c>
      <c r="AW81" s="421">
        <v>0</v>
      </c>
      <c r="AX81" s="421">
        <v>0</v>
      </c>
      <c r="AY81" s="421">
        <f>AW81+AX81</f>
        <v>0</v>
      </c>
      <c r="AZ81" s="421">
        <f>AT81+AU81+AV81+AY81</f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>BA81+BC81+BD81+BF81+BH81+BI81</f>
        <v>0</v>
      </c>
      <c r="BL81" s="422">
        <f>BB81+BE81+BG81+BJ81</f>
        <v>0</v>
      </c>
      <c r="BM81" s="611">
        <f>SUM(BK81:BL81)</f>
        <v>0</v>
      </c>
      <c r="BN81" s="428">
        <f>I81+AZ81</f>
        <v>0</v>
      </c>
      <c r="BO81" s="421">
        <f>J81+AH81</f>
        <v>0</v>
      </c>
      <c r="BP81" s="421">
        <f t="shared" si="288"/>
        <v>0</v>
      </c>
      <c r="BQ81" s="421">
        <f t="shared" si="288"/>
        <v>0</v>
      </c>
      <c r="BR81" s="421">
        <f>M81+AQ81</f>
        <v>0</v>
      </c>
      <c r="BS81" s="421">
        <f t="shared" si="289"/>
        <v>0</v>
      </c>
      <c r="BT81" s="421">
        <f t="shared" si="289"/>
        <v>0</v>
      </c>
      <c r="BU81" s="421">
        <f t="shared" si="290"/>
        <v>0</v>
      </c>
      <c r="BV81" s="421">
        <f t="shared" si="290"/>
        <v>0</v>
      </c>
      <c r="BW81" s="421">
        <f>R81+AY81</f>
        <v>0</v>
      </c>
      <c r="BX81" s="422">
        <f>S81+BM81</f>
        <v>0</v>
      </c>
      <c r="BY81" s="422">
        <f t="shared" si="291"/>
        <v>0</v>
      </c>
      <c r="BZ81" s="611">
        <f t="shared" si="291"/>
        <v>0</v>
      </c>
      <c r="CA81" s="423"/>
      <c r="CB81" s="418"/>
      <c r="CC81" s="418"/>
      <c r="CD81" s="418"/>
      <c r="CE81" s="418"/>
      <c r="CF81" s="527"/>
    </row>
    <row r="82" spans="1:84" ht="12.95" customHeight="1" x14ac:dyDescent="0.25">
      <c r="A82" s="282">
        <v>13</v>
      </c>
      <c r="B82" s="323">
        <v>5487</v>
      </c>
      <c r="C82" s="324">
        <v>600098796</v>
      </c>
      <c r="D82" s="283">
        <v>71006753</v>
      </c>
      <c r="E82" s="350" t="s">
        <v>433</v>
      </c>
      <c r="F82" s="323">
        <v>3141</v>
      </c>
      <c r="G82" s="347" t="s">
        <v>295</v>
      </c>
      <c r="H82" s="733" t="s">
        <v>272</v>
      </c>
      <c r="I82" s="423">
        <f t="shared" si="280"/>
        <v>114181</v>
      </c>
      <c r="J82" s="418">
        <f>K82+L82</f>
        <v>84470</v>
      </c>
      <c r="K82" s="418">
        <v>0</v>
      </c>
      <c r="L82" s="418">
        <v>84470</v>
      </c>
      <c r="M82" s="418">
        <f t="shared" si="281"/>
        <v>0</v>
      </c>
      <c r="N82" s="418">
        <v>0</v>
      </c>
      <c r="O82" s="418">
        <v>0</v>
      </c>
      <c r="P82" s="68">
        <f t="shared" si="282"/>
        <v>28551</v>
      </c>
      <c r="Q82" s="68">
        <f t="shared" si="283"/>
        <v>845</v>
      </c>
      <c r="R82" s="418">
        <v>315</v>
      </c>
      <c r="S82" s="419">
        <f>T82+U82</f>
        <v>0.25330000000000003</v>
      </c>
      <c r="T82" s="420">
        <v>0</v>
      </c>
      <c r="U82" s="527">
        <v>0.25330000000000003</v>
      </c>
      <c r="V82" s="427">
        <f t="shared" si="284"/>
        <v>0</v>
      </c>
      <c r="W82" s="421">
        <f t="shared" si="284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>V82+X82+Y82+AA82+AB82+AD82</f>
        <v>0</v>
      </c>
      <c r="AG82" s="421">
        <f>W82+Z82+AC82+AE82</f>
        <v>0</v>
      </c>
      <c r="AH82" s="421">
        <f>SUM(AF82:AG82)</f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285"/>
        <v>0</v>
      </c>
      <c r="AP82" s="421">
        <f>AJ82+AN82</f>
        <v>0</v>
      </c>
      <c r="AQ82" s="421">
        <f>SUM(AO82:AP82)</f>
        <v>0</v>
      </c>
      <c r="AR82" s="421">
        <f t="shared" si="286"/>
        <v>0</v>
      </c>
      <c r="AS82" s="421">
        <f t="shared" si="286"/>
        <v>0</v>
      </c>
      <c r="AT82" s="421">
        <f>SUM(AR82:AS82)</f>
        <v>0</v>
      </c>
      <c r="AU82" s="68">
        <f t="shared" si="287"/>
        <v>0</v>
      </c>
      <c r="AV82" s="68">
        <f>ROUND(AH82*1%,0)</f>
        <v>0</v>
      </c>
      <c r="AW82" s="421">
        <v>0</v>
      </c>
      <c r="AX82" s="421">
        <v>0</v>
      </c>
      <c r="AY82" s="421">
        <f>AW82+AX82</f>
        <v>0</v>
      </c>
      <c r="AZ82" s="421">
        <f>AT82+AU82+AV82+AY82</f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>BA82+BC82+BD82+BF82+BH82+BI82</f>
        <v>0</v>
      </c>
      <c r="BL82" s="422">
        <f>BB82+BE82+BG82+BJ82</f>
        <v>0</v>
      </c>
      <c r="BM82" s="611">
        <f>SUM(BK82:BL82)</f>
        <v>0</v>
      </c>
      <c r="BN82" s="428">
        <f>I82+AZ82</f>
        <v>114181</v>
      </c>
      <c r="BO82" s="421">
        <f>J82+AH82</f>
        <v>84470</v>
      </c>
      <c r="BP82" s="421">
        <f t="shared" si="288"/>
        <v>0</v>
      </c>
      <c r="BQ82" s="421">
        <f t="shared" si="288"/>
        <v>84470</v>
      </c>
      <c r="BR82" s="421">
        <f>M82+AQ82</f>
        <v>0</v>
      </c>
      <c r="BS82" s="421">
        <f t="shared" si="289"/>
        <v>0</v>
      </c>
      <c r="BT82" s="421">
        <f t="shared" si="289"/>
        <v>0</v>
      </c>
      <c r="BU82" s="421">
        <f t="shared" si="290"/>
        <v>28551</v>
      </c>
      <c r="BV82" s="421">
        <f t="shared" si="290"/>
        <v>845</v>
      </c>
      <c r="BW82" s="421">
        <f>R82+AY82</f>
        <v>315</v>
      </c>
      <c r="BX82" s="422">
        <f>S82+BM82</f>
        <v>0.25330000000000003</v>
      </c>
      <c r="BY82" s="422">
        <f t="shared" si="291"/>
        <v>0</v>
      </c>
      <c r="BZ82" s="611">
        <f t="shared" si="291"/>
        <v>0.25330000000000003</v>
      </c>
      <c r="CA82" s="423"/>
      <c r="CB82" s="418"/>
      <c r="CC82" s="418"/>
      <c r="CD82" s="418"/>
      <c r="CE82" s="418"/>
      <c r="CF82" s="527"/>
    </row>
    <row r="83" spans="1:84" ht="12.95" customHeight="1" x14ac:dyDescent="0.25">
      <c r="A83" s="734">
        <v>13</v>
      </c>
      <c r="B83" s="327">
        <v>5487</v>
      </c>
      <c r="C83" s="328">
        <v>600098796</v>
      </c>
      <c r="D83" s="327">
        <v>71006753</v>
      </c>
      <c r="E83" s="351" t="s">
        <v>434</v>
      </c>
      <c r="F83" s="327"/>
      <c r="G83" s="352"/>
      <c r="H83" s="736"/>
      <c r="I83" s="472">
        <f t="shared" ref="I83:BU83" si="292">SUM(I80:I82)</f>
        <v>1319937</v>
      </c>
      <c r="J83" s="468">
        <f t="shared" si="292"/>
        <v>977165</v>
      </c>
      <c r="K83" s="468">
        <f t="shared" si="292"/>
        <v>800250</v>
      </c>
      <c r="L83" s="468">
        <f t="shared" si="292"/>
        <v>176915</v>
      </c>
      <c r="M83" s="468">
        <f t="shared" si="292"/>
        <v>0</v>
      </c>
      <c r="N83" s="468">
        <f t="shared" si="292"/>
        <v>0</v>
      </c>
      <c r="O83" s="468">
        <f t="shared" si="292"/>
        <v>0</v>
      </c>
      <c r="P83" s="468">
        <f t="shared" si="292"/>
        <v>330282</v>
      </c>
      <c r="Q83" s="468">
        <f t="shared" si="292"/>
        <v>9772</v>
      </c>
      <c r="R83" s="468">
        <f t="shared" si="292"/>
        <v>2718</v>
      </c>
      <c r="S83" s="469">
        <f t="shared" si="292"/>
        <v>2.1507999999999998</v>
      </c>
      <c r="T83" s="469">
        <f t="shared" si="292"/>
        <v>1.5980000000000001</v>
      </c>
      <c r="U83" s="281">
        <f t="shared" si="292"/>
        <v>0.55279999999999996</v>
      </c>
      <c r="V83" s="474">
        <f t="shared" si="292"/>
        <v>0</v>
      </c>
      <c r="W83" s="468">
        <f t="shared" si="292"/>
        <v>-21120</v>
      </c>
      <c r="X83" s="468">
        <f t="shared" si="292"/>
        <v>0</v>
      </c>
      <c r="Y83" s="468">
        <f t="shared" si="292"/>
        <v>0</v>
      </c>
      <c r="Z83" s="468">
        <f t="shared" si="292"/>
        <v>0</v>
      </c>
      <c r="AA83" s="468">
        <f t="shared" si="292"/>
        <v>0</v>
      </c>
      <c r="AB83" s="468">
        <f t="shared" si="292"/>
        <v>0</v>
      </c>
      <c r="AC83" s="468">
        <f t="shared" si="292"/>
        <v>0</v>
      </c>
      <c r="AD83" s="468">
        <f t="shared" si="292"/>
        <v>0</v>
      </c>
      <c r="AE83" s="468">
        <f t="shared" si="292"/>
        <v>0</v>
      </c>
      <c r="AF83" s="468">
        <f t="shared" si="292"/>
        <v>0</v>
      </c>
      <c r="AG83" s="468">
        <f t="shared" si="292"/>
        <v>-21120</v>
      </c>
      <c r="AH83" s="468">
        <f t="shared" si="292"/>
        <v>-21120</v>
      </c>
      <c r="AI83" s="468">
        <f t="shared" si="292"/>
        <v>0</v>
      </c>
      <c r="AJ83" s="468">
        <f t="shared" si="292"/>
        <v>21120</v>
      </c>
      <c r="AK83" s="468">
        <f t="shared" ref="AK83" si="293">SUM(AK80:AK82)</f>
        <v>0</v>
      </c>
      <c r="AL83" s="468">
        <f t="shared" si="292"/>
        <v>0</v>
      </c>
      <c r="AM83" s="468">
        <f t="shared" si="292"/>
        <v>0</v>
      </c>
      <c r="AN83" s="468">
        <f t="shared" si="292"/>
        <v>0</v>
      </c>
      <c r="AO83" s="468">
        <f t="shared" si="292"/>
        <v>0</v>
      </c>
      <c r="AP83" s="468">
        <f t="shared" si="292"/>
        <v>21120</v>
      </c>
      <c r="AQ83" s="468">
        <f t="shared" si="292"/>
        <v>21120</v>
      </c>
      <c r="AR83" s="468">
        <f t="shared" si="292"/>
        <v>0</v>
      </c>
      <c r="AS83" s="468">
        <f t="shared" si="292"/>
        <v>0</v>
      </c>
      <c r="AT83" s="468">
        <f t="shared" si="292"/>
        <v>0</v>
      </c>
      <c r="AU83" s="468">
        <f t="shared" si="292"/>
        <v>0</v>
      </c>
      <c r="AV83" s="468">
        <f t="shared" si="292"/>
        <v>-211</v>
      </c>
      <c r="AW83" s="468">
        <f t="shared" si="292"/>
        <v>0</v>
      </c>
      <c r="AX83" s="468">
        <f t="shared" si="292"/>
        <v>0</v>
      </c>
      <c r="AY83" s="468">
        <f t="shared" si="292"/>
        <v>0</v>
      </c>
      <c r="AZ83" s="468">
        <f t="shared" si="292"/>
        <v>-211</v>
      </c>
      <c r="BA83" s="469">
        <f t="shared" si="292"/>
        <v>0</v>
      </c>
      <c r="BB83" s="469">
        <f t="shared" si="292"/>
        <v>-7.0000000000000007E-2</v>
      </c>
      <c r="BC83" s="469">
        <f t="shared" si="292"/>
        <v>0</v>
      </c>
      <c r="BD83" s="469">
        <f t="shared" si="292"/>
        <v>0</v>
      </c>
      <c r="BE83" s="469">
        <f t="shared" si="292"/>
        <v>0</v>
      </c>
      <c r="BF83" s="469">
        <f t="shared" si="292"/>
        <v>0</v>
      </c>
      <c r="BG83" s="469">
        <f t="shared" si="292"/>
        <v>0</v>
      </c>
      <c r="BH83" s="469">
        <f t="shared" si="292"/>
        <v>0</v>
      </c>
      <c r="BI83" s="469">
        <f t="shared" si="292"/>
        <v>0</v>
      </c>
      <c r="BJ83" s="469">
        <f t="shared" si="292"/>
        <v>0</v>
      </c>
      <c r="BK83" s="469">
        <f t="shared" si="292"/>
        <v>0</v>
      </c>
      <c r="BL83" s="469">
        <f t="shared" si="292"/>
        <v>-7.0000000000000007E-2</v>
      </c>
      <c r="BM83" s="562">
        <f t="shared" si="292"/>
        <v>-7.0000000000000007E-2</v>
      </c>
      <c r="BN83" s="472">
        <f t="shared" si="292"/>
        <v>1319726</v>
      </c>
      <c r="BO83" s="468">
        <f t="shared" si="292"/>
        <v>956045</v>
      </c>
      <c r="BP83" s="468">
        <f t="shared" si="292"/>
        <v>800250</v>
      </c>
      <c r="BQ83" s="468">
        <f t="shared" si="292"/>
        <v>155795</v>
      </c>
      <c r="BR83" s="468">
        <f t="shared" si="292"/>
        <v>21120</v>
      </c>
      <c r="BS83" s="468">
        <f t="shared" si="292"/>
        <v>0</v>
      </c>
      <c r="BT83" s="468">
        <f t="shared" si="292"/>
        <v>21120</v>
      </c>
      <c r="BU83" s="468">
        <f t="shared" si="292"/>
        <v>330282</v>
      </c>
      <c r="BV83" s="468">
        <f t="shared" ref="BV83:CF83" si="294">SUM(BV80:BV82)</f>
        <v>9561</v>
      </c>
      <c r="BW83" s="468">
        <f t="shared" si="294"/>
        <v>2718</v>
      </c>
      <c r="BX83" s="469">
        <f t="shared" si="294"/>
        <v>2.0808</v>
      </c>
      <c r="BY83" s="469">
        <f t="shared" si="294"/>
        <v>1.5980000000000001</v>
      </c>
      <c r="BZ83" s="562">
        <f t="shared" si="294"/>
        <v>0.48280000000000001</v>
      </c>
      <c r="CA83" s="873">
        <f t="shared" si="294"/>
        <v>0</v>
      </c>
      <c r="CB83" s="850">
        <f t="shared" si="294"/>
        <v>0</v>
      </c>
      <c r="CC83" s="850">
        <f t="shared" si="294"/>
        <v>0</v>
      </c>
      <c r="CD83" s="850">
        <f t="shared" si="294"/>
        <v>0</v>
      </c>
      <c r="CE83" s="850">
        <f t="shared" si="294"/>
        <v>0</v>
      </c>
      <c r="CF83" s="841">
        <f t="shared" si="294"/>
        <v>0</v>
      </c>
    </row>
    <row r="84" spans="1:84" ht="12.95" customHeight="1" x14ac:dyDescent="0.25">
      <c r="A84" s="282">
        <v>14</v>
      </c>
      <c r="B84" s="323">
        <v>5436</v>
      </c>
      <c r="C84" s="324">
        <v>600098800</v>
      </c>
      <c r="D84" s="283">
        <v>72742992</v>
      </c>
      <c r="E84" s="350" t="s">
        <v>435</v>
      </c>
      <c r="F84" s="323">
        <v>3111</v>
      </c>
      <c r="G84" s="347" t="s">
        <v>305</v>
      </c>
      <c r="H84" s="733" t="s">
        <v>271</v>
      </c>
      <c r="I84" s="423">
        <f t="shared" ref="I84:I86" si="295">J84+P84+Q84+R84</f>
        <v>3811723</v>
      </c>
      <c r="J84" s="418">
        <f>K84+L84</f>
        <v>2818378</v>
      </c>
      <c r="K84" s="418">
        <v>2583258</v>
      </c>
      <c r="L84" s="418">
        <v>235120</v>
      </c>
      <c r="M84" s="418">
        <f t="shared" ref="M84:M86" si="296">N84+O84</f>
        <v>0</v>
      </c>
      <c r="N84" s="418">
        <v>0</v>
      </c>
      <c r="O84" s="418">
        <v>0</v>
      </c>
      <c r="P84" s="68">
        <f t="shared" ref="P84:P86" si="297">ROUND((J84+M84)*33.8%,0)</f>
        <v>952612</v>
      </c>
      <c r="Q84" s="68">
        <f t="shared" ref="Q84:Q86" si="298">ROUND(J84*1%,0)</f>
        <v>28184</v>
      </c>
      <c r="R84" s="418">
        <v>12549</v>
      </c>
      <c r="S84" s="419">
        <f>T84+U84</f>
        <v>4.9936000000000007</v>
      </c>
      <c r="T84" s="420">
        <v>4.1935000000000002</v>
      </c>
      <c r="U84" s="527">
        <v>0.80010000000000003</v>
      </c>
      <c r="V84" s="427">
        <f t="shared" ref="V84:W86" si="299">AI84*-1</f>
        <v>0</v>
      </c>
      <c r="W84" s="421">
        <f t="shared" si="299"/>
        <v>-19200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>V84+X84+Y84+AA84+AB84+AD84</f>
        <v>0</v>
      </c>
      <c r="AG84" s="421">
        <f>W84+Z84+AC84+AE84</f>
        <v>-19200</v>
      </c>
      <c r="AH84" s="421">
        <f>SUM(AF84:AG84)</f>
        <v>-19200</v>
      </c>
      <c r="AI84" s="421">
        <v>0</v>
      </c>
      <c r="AJ84" s="421">
        <v>19200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ref="AO84:AO86" si="300">AI84+AK84+AL84+AM84</f>
        <v>0</v>
      </c>
      <c r="AP84" s="421">
        <f>AJ84+AN84</f>
        <v>19200</v>
      </c>
      <c r="AQ84" s="421">
        <f>SUM(AO84:AP84)</f>
        <v>19200</v>
      </c>
      <c r="AR84" s="421">
        <f t="shared" ref="AR84:AS86" si="301">AF84+AO84</f>
        <v>0</v>
      </c>
      <c r="AS84" s="421">
        <f t="shared" si="301"/>
        <v>0</v>
      </c>
      <c r="AT84" s="421">
        <f>SUM(AR84:AS84)</f>
        <v>0</v>
      </c>
      <c r="AU84" s="68">
        <f t="shared" ref="AU84:AU86" si="302">ROUND((AH84+AI84+AJ84+AK84+AL84)*33.8%,0)</f>
        <v>0</v>
      </c>
      <c r="AV84" s="68">
        <f>ROUND(AH84*1%,0)</f>
        <v>-192</v>
      </c>
      <c r="AW84" s="421">
        <v>0</v>
      </c>
      <c r="AX84" s="421">
        <v>0</v>
      </c>
      <c r="AY84" s="421">
        <f>AW84+AX84</f>
        <v>0</v>
      </c>
      <c r="AZ84" s="421">
        <f>AT84+AU84+AV84+AY84</f>
        <v>-192</v>
      </c>
      <c r="BA84" s="422">
        <v>0</v>
      </c>
      <c r="BB84" s="422">
        <v>-7.0000000000000007E-2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>BA84+BC84+BD84+BF84+BH84+BI84</f>
        <v>0</v>
      </c>
      <c r="BL84" s="422">
        <f>BB84+BE84+BG84+BJ84</f>
        <v>-7.0000000000000007E-2</v>
      </c>
      <c r="BM84" s="611">
        <f>SUM(BK84:BL84)</f>
        <v>-7.0000000000000007E-2</v>
      </c>
      <c r="BN84" s="428">
        <f>I84+AZ84</f>
        <v>3811531</v>
      </c>
      <c r="BO84" s="421">
        <f>J84+AH84</f>
        <v>2799178</v>
      </c>
      <c r="BP84" s="421">
        <f t="shared" ref="BP84:BQ86" si="303">K84+AF84</f>
        <v>2583258</v>
      </c>
      <c r="BQ84" s="421">
        <f t="shared" si="303"/>
        <v>215920</v>
      </c>
      <c r="BR84" s="421">
        <f>M84+AQ84</f>
        <v>19200</v>
      </c>
      <c r="BS84" s="421">
        <f t="shared" ref="BS84:BT86" si="304">N84+AO84</f>
        <v>0</v>
      </c>
      <c r="BT84" s="421">
        <f t="shared" si="304"/>
        <v>19200</v>
      </c>
      <c r="BU84" s="421">
        <f t="shared" ref="BU84:BV86" si="305">P84+AU84</f>
        <v>952612</v>
      </c>
      <c r="BV84" s="421">
        <f t="shared" si="305"/>
        <v>27992</v>
      </c>
      <c r="BW84" s="421">
        <f>R84+AY84</f>
        <v>12549</v>
      </c>
      <c r="BX84" s="422">
        <f>S84+BM84</f>
        <v>4.9236000000000004</v>
      </c>
      <c r="BY84" s="422">
        <f t="shared" ref="BY84:BZ86" si="306">T84+BK84</f>
        <v>4.1935000000000002</v>
      </c>
      <c r="BZ84" s="611">
        <f t="shared" si="306"/>
        <v>0.73009999999999997</v>
      </c>
      <c r="CA84" s="423"/>
      <c r="CB84" s="418"/>
      <c r="CC84" s="418"/>
      <c r="CD84" s="418"/>
      <c r="CE84" s="418"/>
      <c r="CF84" s="527"/>
    </row>
    <row r="85" spans="1:84" ht="12.95" customHeight="1" x14ac:dyDescent="0.25">
      <c r="A85" s="282">
        <v>14</v>
      </c>
      <c r="B85" s="323">
        <v>5436</v>
      </c>
      <c r="C85" s="324">
        <v>600098800</v>
      </c>
      <c r="D85" s="283">
        <v>72742992</v>
      </c>
      <c r="E85" s="350" t="s">
        <v>435</v>
      </c>
      <c r="F85" s="323">
        <v>3111</v>
      </c>
      <c r="G85" s="347" t="s">
        <v>292</v>
      </c>
      <c r="H85" s="733" t="s">
        <v>272</v>
      </c>
      <c r="I85" s="423">
        <f t="shared" si="295"/>
        <v>0</v>
      </c>
      <c r="J85" s="418">
        <f>K85+L85</f>
        <v>0</v>
      </c>
      <c r="K85" s="418">
        <v>0</v>
      </c>
      <c r="L85" s="418">
        <v>0</v>
      </c>
      <c r="M85" s="418">
        <f>N85+O85</f>
        <v>0</v>
      </c>
      <c r="N85" s="418">
        <v>0</v>
      </c>
      <c r="O85" s="418">
        <v>0</v>
      </c>
      <c r="P85" s="68">
        <f t="shared" si="297"/>
        <v>0</v>
      </c>
      <c r="Q85" s="68">
        <f t="shared" si="298"/>
        <v>0</v>
      </c>
      <c r="R85" s="418">
        <v>0</v>
      </c>
      <c r="S85" s="419">
        <f>T85+U85</f>
        <v>0</v>
      </c>
      <c r="T85" s="420">
        <v>0</v>
      </c>
      <c r="U85" s="527">
        <v>0</v>
      </c>
      <c r="V85" s="427">
        <f t="shared" si="299"/>
        <v>0</v>
      </c>
      <c r="W85" s="421">
        <f t="shared" si="299"/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>V85+X85+Y85+AA85+AB85+AD85</f>
        <v>0</v>
      </c>
      <c r="AG85" s="421">
        <f>W85+Z85+AC85+AE85</f>
        <v>0</v>
      </c>
      <c r="AH85" s="421">
        <f>SUM(AF85:AG85)</f>
        <v>0</v>
      </c>
      <c r="AI85" s="421">
        <v>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si="300"/>
        <v>0</v>
      </c>
      <c r="AP85" s="421">
        <f>AJ85+AN85</f>
        <v>0</v>
      </c>
      <c r="AQ85" s="421">
        <f>SUM(AO85:AP85)</f>
        <v>0</v>
      </c>
      <c r="AR85" s="421">
        <f t="shared" si="301"/>
        <v>0</v>
      </c>
      <c r="AS85" s="421">
        <f t="shared" si="301"/>
        <v>0</v>
      </c>
      <c r="AT85" s="421">
        <f>SUM(AR85:AS85)</f>
        <v>0</v>
      </c>
      <c r="AU85" s="68">
        <f t="shared" si="302"/>
        <v>0</v>
      </c>
      <c r="AV85" s="68">
        <f>ROUND(AH85*1%,0)</f>
        <v>0</v>
      </c>
      <c r="AW85" s="421">
        <v>0</v>
      </c>
      <c r="AX85" s="421">
        <v>0</v>
      </c>
      <c r="AY85" s="421">
        <f>AW85+AX85</f>
        <v>0</v>
      </c>
      <c r="AZ85" s="421">
        <f>AT85+AU85+AV85+AY85</f>
        <v>0</v>
      </c>
      <c r="BA85" s="422">
        <v>0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>BA85+BC85+BD85+BF85+BH85+BI85</f>
        <v>0</v>
      </c>
      <c r="BL85" s="422">
        <f>BB85+BE85+BG85+BJ85</f>
        <v>0</v>
      </c>
      <c r="BM85" s="611">
        <f>SUM(BK85:BL85)</f>
        <v>0</v>
      </c>
      <c r="BN85" s="428">
        <f>I85+AZ85</f>
        <v>0</v>
      </c>
      <c r="BO85" s="421">
        <f>J85+AH85</f>
        <v>0</v>
      </c>
      <c r="BP85" s="421">
        <f t="shared" si="303"/>
        <v>0</v>
      </c>
      <c r="BQ85" s="421">
        <f t="shared" si="303"/>
        <v>0</v>
      </c>
      <c r="BR85" s="421">
        <f>M85+AQ85</f>
        <v>0</v>
      </c>
      <c r="BS85" s="421">
        <f t="shared" si="304"/>
        <v>0</v>
      </c>
      <c r="BT85" s="421">
        <f t="shared" si="304"/>
        <v>0</v>
      </c>
      <c r="BU85" s="421">
        <f t="shared" si="305"/>
        <v>0</v>
      </c>
      <c r="BV85" s="421">
        <f t="shared" si="305"/>
        <v>0</v>
      </c>
      <c r="BW85" s="421">
        <f>R85+AY85</f>
        <v>0</v>
      </c>
      <c r="BX85" s="422">
        <f>S85+BM85</f>
        <v>0</v>
      </c>
      <c r="BY85" s="422">
        <f t="shared" si="306"/>
        <v>0</v>
      </c>
      <c r="BZ85" s="611">
        <f t="shared" si="306"/>
        <v>0</v>
      </c>
      <c r="CA85" s="423"/>
      <c r="CB85" s="418"/>
      <c r="CC85" s="418"/>
      <c r="CD85" s="418"/>
      <c r="CE85" s="418"/>
      <c r="CF85" s="527"/>
    </row>
    <row r="86" spans="1:84" ht="12.95" customHeight="1" x14ac:dyDescent="0.25">
      <c r="A86" s="282">
        <v>14</v>
      </c>
      <c r="B86" s="283">
        <v>5436</v>
      </c>
      <c r="C86" s="332">
        <v>600098800</v>
      </c>
      <c r="D86" s="283">
        <v>72742992</v>
      </c>
      <c r="E86" s="285" t="s">
        <v>435</v>
      </c>
      <c r="F86" s="283">
        <v>3141</v>
      </c>
      <c r="G86" s="347" t="s">
        <v>295</v>
      </c>
      <c r="H86" s="733" t="s">
        <v>272</v>
      </c>
      <c r="I86" s="423">
        <f t="shared" si="295"/>
        <v>445197</v>
      </c>
      <c r="J86" s="418">
        <f>K86+L86</f>
        <v>329045</v>
      </c>
      <c r="K86" s="418">
        <v>0</v>
      </c>
      <c r="L86" s="418">
        <v>329045</v>
      </c>
      <c r="M86" s="418">
        <f t="shared" si="296"/>
        <v>0</v>
      </c>
      <c r="N86" s="418">
        <v>0</v>
      </c>
      <c r="O86" s="418">
        <v>0</v>
      </c>
      <c r="P86" s="68">
        <f t="shared" si="297"/>
        <v>111217</v>
      </c>
      <c r="Q86" s="68">
        <f t="shared" si="298"/>
        <v>3290</v>
      </c>
      <c r="R86" s="418">
        <v>1645</v>
      </c>
      <c r="S86" s="419">
        <f>T86+U86</f>
        <v>0.98670000000000002</v>
      </c>
      <c r="T86" s="420">
        <v>0</v>
      </c>
      <c r="U86" s="527">
        <v>0.98670000000000002</v>
      </c>
      <c r="V86" s="427">
        <f t="shared" si="299"/>
        <v>0</v>
      </c>
      <c r="W86" s="421">
        <f t="shared" si="299"/>
        <v>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>V86+X86+Y86+AA86+AB86+AD86</f>
        <v>0</v>
      </c>
      <c r="AG86" s="421">
        <f>W86+Z86+AC86+AE86</f>
        <v>0</v>
      </c>
      <c r="AH86" s="421">
        <f>SUM(AF86:AG86)</f>
        <v>0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si="300"/>
        <v>0</v>
      </c>
      <c r="AP86" s="421">
        <f>AJ86+AN86</f>
        <v>0</v>
      </c>
      <c r="AQ86" s="421">
        <f>SUM(AO86:AP86)</f>
        <v>0</v>
      </c>
      <c r="AR86" s="421">
        <f t="shared" si="301"/>
        <v>0</v>
      </c>
      <c r="AS86" s="421">
        <f t="shared" si="301"/>
        <v>0</v>
      </c>
      <c r="AT86" s="421">
        <f>SUM(AR86:AS86)</f>
        <v>0</v>
      </c>
      <c r="AU86" s="68">
        <f t="shared" si="302"/>
        <v>0</v>
      </c>
      <c r="AV86" s="68">
        <f>ROUND(AH86*1%,0)</f>
        <v>0</v>
      </c>
      <c r="AW86" s="421">
        <v>0</v>
      </c>
      <c r="AX86" s="421">
        <v>0</v>
      </c>
      <c r="AY86" s="421">
        <f>AW86+AX86</f>
        <v>0</v>
      </c>
      <c r="AZ86" s="421">
        <f>AT86+AU86+AV86+AY86</f>
        <v>0</v>
      </c>
      <c r="BA86" s="422">
        <v>0</v>
      </c>
      <c r="BB86" s="422">
        <v>0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>BA86+BC86+BD86+BF86+BH86+BI86</f>
        <v>0</v>
      </c>
      <c r="BL86" s="422">
        <f>BB86+BE86+BG86+BJ86</f>
        <v>0</v>
      </c>
      <c r="BM86" s="611">
        <f>SUM(BK86:BL86)</f>
        <v>0</v>
      </c>
      <c r="BN86" s="428">
        <f>I86+AZ86</f>
        <v>445197</v>
      </c>
      <c r="BO86" s="421">
        <f>J86+AH86</f>
        <v>329045</v>
      </c>
      <c r="BP86" s="421">
        <f t="shared" si="303"/>
        <v>0</v>
      </c>
      <c r="BQ86" s="421">
        <f t="shared" si="303"/>
        <v>329045</v>
      </c>
      <c r="BR86" s="421">
        <f>M86+AQ86</f>
        <v>0</v>
      </c>
      <c r="BS86" s="421">
        <f t="shared" si="304"/>
        <v>0</v>
      </c>
      <c r="BT86" s="421">
        <f t="shared" si="304"/>
        <v>0</v>
      </c>
      <c r="BU86" s="421">
        <f t="shared" si="305"/>
        <v>111217</v>
      </c>
      <c r="BV86" s="421">
        <f t="shared" si="305"/>
        <v>3290</v>
      </c>
      <c r="BW86" s="421">
        <f>R86+AY86</f>
        <v>1645</v>
      </c>
      <c r="BX86" s="422">
        <f>S86+BM86</f>
        <v>0.98670000000000002</v>
      </c>
      <c r="BY86" s="422">
        <f t="shared" si="306"/>
        <v>0</v>
      </c>
      <c r="BZ86" s="611">
        <f t="shared" si="306"/>
        <v>0.98670000000000002</v>
      </c>
      <c r="CA86" s="423"/>
      <c r="CB86" s="418"/>
      <c r="CC86" s="418"/>
      <c r="CD86" s="418"/>
      <c r="CE86" s="418"/>
      <c r="CF86" s="527"/>
    </row>
    <row r="87" spans="1:84" ht="12.95" customHeight="1" x14ac:dyDescent="0.25">
      <c r="A87" s="734">
        <v>14</v>
      </c>
      <c r="B87" s="277">
        <v>5436</v>
      </c>
      <c r="C87" s="348">
        <v>600098800</v>
      </c>
      <c r="D87" s="277">
        <v>72742992</v>
      </c>
      <c r="E87" s="290" t="s">
        <v>436</v>
      </c>
      <c r="F87" s="277"/>
      <c r="G87" s="349"/>
      <c r="H87" s="735"/>
      <c r="I87" s="472">
        <f t="shared" ref="I87:BU87" si="307">SUM(I84:I86)</f>
        <v>4256920</v>
      </c>
      <c r="J87" s="468">
        <f t="shared" si="307"/>
        <v>3147423</v>
      </c>
      <c r="K87" s="468">
        <f t="shared" si="307"/>
        <v>2583258</v>
      </c>
      <c r="L87" s="468">
        <f t="shared" si="307"/>
        <v>564165</v>
      </c>
      <c r="M87" s="468">
        <f t="shared" si="307"/>
        <v>0</v>
      </c>
      <c r="N87" s="468">
        <f t="shared" si="307"/>
        <v>0</v>
      </c>
      <c r="O87" s="468">
        <f t="shared" si="307"/>
        <v>0</v>
      </c>
      <c r="P87" s="468">
        <f t="shared" si="307"/>
        <v>1063829</v>
      </c>
      <c r="Q87" s="468">
        <f t="shared" si="307"/>
        <v>31474</v>
      </c>
      <c r="R87" s="468">
        <f t="shared" si="307"/>
        <v>14194</v>
      </c>
      <c r="S87" s="469">
        <f t="shared" si="307"/>
        <v>5.9803000000000006</v>
      </c>
      <c r="T87" s="469">
        <f t="shared" si="307"/>
        <v>4.1935000000000002</v>
      </c>
      <c r="U87" s="281">
        <f t="shared" si="307"/>
        <v>1.7867999999999999</v>
      </c>
      <c r="V87" s="474">
        <f t="shared" si="307"/>
        <v>0</v>
      </c>
      <c r="W87" s="468">
        <f t="shared" si="307"/>
        <v>-19200</v>
      </c>
      <c r="X87" s="468">
        <f t="shared" si="307"/>
        <v>0</v>
      </c>
      <c r="Y87" s="468">
        <f t="shared" si="307"/>
        <v>0</v>
      </c>
      <c r="Z87" s="468">
        <f t="shared" si="307"/>
        <v>0</v>
      </c>
      <c r="AA87" s="468">
        <f t="shared" si="307"/>
        <v>0</v>
      </c>
      <c r="AB87" s="468">
        <f t="shared" si="307"/>
        <v>0</v>
      </c>
      <c r="AC87" s="468">
        <f t="shared" si="307"/>
        <v>0</v>
      </c>
      <c r="AD87" s="468">
        <f t="shared" si="307"/>
        <v>0</v>
      </c>
      <c r="AE87" s="468">
        <f t="shared" si="307"/>
        <v>0</v>
      </c>
      <c r="AF87" s="468">
        <f t="shared" si="307"/>
        <v>0</v>
      </c>
      <c r="AG87" s="468">
        <f t="shared" si="307"/>
        <v>-19200</v>
      </c>
      <c r="AH87" s="468">
        <f t="shared" si="307"/>
        <v>-19200</v>
      </c>
      <c r="AI87" s="468">
        <f t="shared" si="307"/>
        <v>0</v>
      </c>
      <c r="AJ87" s="468">
        <f t="shared" si="307"/>
        <v>19200</v>
      </c>
      <c r="AK87" s="468">
        <f t="shared" ref="AK87" si="308">SUM(AK84:AK86)</f>
        <v>0</v>
      </c>
      <c r="AL87" s="468">
        <f t="shared" si="307"/>
        <v>0</v>
      </c>
      <c r="AM87" s="468">
        <f t="shared" si="307"/>
        <v>0</v>
      </c>
      <c r="AN87" s="468">
        <f t="shared" si="307"/>
        <v>0</v>
      </c>
      <c r="AO87" s="468">
        <f t="shared" si="307"/>
        <v>0</v>
      </c>
      <c r="AP87" s="468">
        <f t="shared" si="307"/>
        <v>19200</v>
      </c>
      <c r="AQ87" s="468">
        <f t="shared" si="307"/>
        <v>19200</v>
      </c>
      <c r="AR87" s="468">
        <f t="shared" si="307"/>
        <v>0</v>
      </c>
      <c r="AS87" s="468">
        <f t="shared" si="307"/>
        <v>0</v>
      </c>
      <c r="AT87" s="468">
        <f t="shared" si="307"/>
        <v>0</v>
      </c>
      <c r="AU87" s="468">
        <f t="shared" si="307"/>
        <v>0</v>
      </c>
      <c r="AV87" s="468">
        <f t="shared" si="307"/>
        <v>-192</v>
      </c>
      <c r="AW87" s="468">
        <f t="shared" si="307"/>
        <v>0</v>
      </c>
      <c r="AX87" s="468">
        <f t="shared" si="307"/>
        <v>0</v>
      </c>
      <c r="AY87" s="468">
        <f t="shared" si="307"/>
        <v>0</v>
      </c>
      <c r="AZ87" s="468">
        <f t="shared" si="307"/>
        <v>-192</v>
      </c>
      <c r="BA87" s="469">
        <f t="shared" si="307"/>
        <v>0</v>
      </c>
      <c r="BB87" s="469">
        <f t="shared" si="307"/>
        <v>-7.0000000000000007E-2</v>
      </c>
      <c r="BC87" s="469">
        <f t="shared" si="307"/>
        <v>0</v>
      </c>
      <c r="BD87" s="469">
        <f t="shared" si="307"/>
        <v>0</v>
      </c>
      <c r="BE87" s="469">
        <f t="shared" si="307"/>
        <v>0</v>
      </c>
      <c r="BF87" s="469">
        <f t="shared" si="307"/>
        <v>0</v>
      </c>
      <c r="BG87" s="469">
        <f t="shared" si="307"/>
        <v>0</v>
      </c>
      <c r="BH87" s="469">
        <f t="shared" si="307"/>
        <v>0</v>
      </c>
      <c r="BI87" s="469">
        <f t="shared" si="307"/>
        <v>0</v>
      </c>
      <c r="BJ87" s="469">
        <f t="shared" si="307"/>
        <v>0</v>
      </c>
      <c r="BK87" s="469">
        <f t="shared" si="307"/>
        <v>0</v>
      </c>
      <c r="BL87" s="469">
        <f t="shared" si="307"/>
        <v>-7.0000000000000007E-2</v>
      </c>
      <c r="BM87" s="562">
        <f t="shared" si="307"/>
        <v>-7.0000000000000007E-2</v>
      </c>
      <c r="BN87" s="472">
        <f t="shared" si="307"/>
        <v>4256728</v>
      </c>
      <c r="BO87" s="468">
        <f t="shared" si="307"/>
        <v>3128223</v>
      </c>
      <c r="BP87" s="468">
        <f t="shared" si="307"/>
        <v>2583258</v>
      </c>
      <c r="BQ87" s="468">
        <f t="shared" si="307"/>
        <v>544965</v>
      </c>
      <c r="BR87" s="468">
        <f t="shared" si="307"/>
        <v>19200</v>
      </c>
      <c r="BS87" s="468">
        <f t="shared" si="307"/>
        <v>0</v>
      </c>
      <c r="BT87" s="468">
        <f t="shared" si="307"/>
        <v>19200</v>
      </c>
      <c r="BU87" s="468">
        <f t="shared" si="307"/>
        <v>1063829</v>
      </c>
      <c r="BV87" s="468">
        <f t="shared" ref="BV87:CF87" si="309">SUM(BV84:BV86)</f>
        <v>31282</v>
      </c>
      <c r="BW87" s="468">
        <f t="shared" si="309"/>
        <v>14194</v>
      </c>
      <c r="BX87" s="469">
        <f t="shared" si="309"/>
        <v>5.9103000000000003</v>
      </c>
      <c r="BY87" s="469">
        <f t="shared" si="309"/>
        <v>4.1935000000000002</v>
      </c>
      <c r="BZ87" s="562">
        <f t="shared" si="309"/>
        <v>1.7168000000000001</v>
      </c>
      <c r="CA87" s="873">
        <f t="shared" si="309"/>
        <v>0</v>
      </c>
      <c r="CB87" s="850">
        <f t="shared" si="309"/>
        <v>0</v>
      </c>
      <c r="CC87" s="850">
        <f t="shared" si="309"/>
        <v>0</v>
      </c>
      <c r="CD87" s="850">
        <f t="shared" si="309"/>
        <v>0</v>
      </c>
      <c r="CE87" s="850">
        <f t="shared" si="309"/>
        <v>0</v>
      </c>
      <c r="CF87" s="841">
        <f t="shared" si="309"/>
        <v>0</v>
      </c>
    </row>
    <row r="88" spans="1:84" ht="12.95" customHeight="1" x14ac:dyDescent="0.25">
      <c r="A88" s="282">
        <v>15</v>
      </c>
      <c r="B88" s="323">
        <v>5435</v>
      </c>
      <c r="C88" s="324">
        <v>600099199</v>
      </c>
      <c r="D88" s="283">
        <v>72743077</v>
      </c>
      <c r="E88" s="350" t="s">
        <v>437</v>
      </c>
      <c r="F88" s="323">
        <v>3113</v>
      </c>
      <c r="G88" s="347" t="s">
        <v>309</v>
      </c>
      <c r="H88" s="733" t="s">
        <v>271</v>
      </c>
      <c r="I88" s="423">
        <f t="shared" ref="I88:I92" si="310">J88+P88+Q88+R88</f>
        <v>9510959</v>
      </c>
      <c r="J88" s="418">
        <f>K88+L88</f>
        <v>6971471</v>
      </c>
      <c r="K88" s="418">
        <v>6288383</v>
      </c>
      <c r="L88" s="418">
        <v>683088</v>
      </c>
      <c r="M88" s="418">
        <f t="shared" ref="M88:M92" si="311">N88+O88</f>
        <v>0</v>
      </c>
      <c r="N88" s="418">
        <v>0</v>
      </c>
      <c r="O88" s="418">
        <v>0</v>
      </c>
      <c r="P88" s="68">
        <f t="shared" ref="P88:P92" si="312">ROUND((J88+M88)*33.8%,0)</f>
        <v>2356357</v>
      </c>
      <c r="Q88" s="68">
        <f t="shared" ref="Q88:Q92" si="313">ROUND(J88*1%,0)</f>
        <v>69715</v>
      </c>
      <c r="R88" s="418">
        <v>113416</v>
      </c>
      <c r="S88" s="419">
        <f>T88+U88</f>
        <v>11.6218</v>
      </c>
      <c r="T88" s="420">
        <v>9.7727000000000004</v>
      </c>
      <c r="U88" s="527">
        <v>1.8491</v>
      </c>
      <c r="V88" s="427">
        <f t="shared" ref="V88:W92" si="314">AI88*-1</f>
        <v>-10240</v>
      </c>
      <c r="W88" s="421">
        <f t="shared" si="314"/>
        <v>-32000</v>
      </c>
      <c r="X88" s="421">
        <v>0</v>
      </c>
      <c r="Y88" s="421">
        <v>0</v>
      </c>
      <c r="Z88" s="421">
        <v>0</v>
      </c>
      <c r="AA88" s="421">
        <v>25156</v>
      </c>
      <c r="AB88" s="421">
        <v>0</v>
      </c>
      <c r="AC88" s="421">
        <v>0</v>
      </c>
      <c r="AD88" s="421">
        <v>0</v>
      </c>
      <c r="AE88" s="421">
        <v>0</v>
      </c>
      <c r="AF88" s="421">
        <f>V88+X88+Y88+AA88+AB88+AD88</f>
        <v>14916</v>
      </c>
      <c r="AG88" s="421">
        <f>W88+Z88+AC88+AE88</f>
        <v>-32000</v>
      </c>
      <c r="AH88" s="421">
        <f>SUM(AF88:AG88)</f>
        <v>-17084</v>
      </c>
      <c r="AI88" s="421">
        <v>10240</v>
      </c>
      <c r="AJ88" s="421">
        <v>32000</v>
      </c>
      <c r="AK88" s="421">
        <v>0</v>
      </c>
      <c r="AL88" s="421">
        <v>211840</v>
      </c>
      <c r="AM88" s="421">
        <v>0</v>
      </c>
      <c r="AN88" s="421">
        <v>0</v>
      </c>
      <c r="AO88" s="421">
        <f t="shared" ref="AO88:AO92" si="315">AI88+AK88+AL88+AM88</f>
        <v>222080</v>
      </c>
      <c r="AP88" s="421">
        <f>AJ88+AN88</f>
        <v>32000</v>
      </c>
      <c r="AQ88" s="421">
        <f>SUM(AO88:AP88)</f>
        <v>254080</v>
      </c>
      <c r="AR88" s="421">
        <f t="shared" ref="AR88:AS92" si="316">AF88+AO88</f>
        <v>236996</v>
      </c>
      <c r="AS88" s="421">
        <f t="shared" si="316"/>
        <v>0</v>
      </c>
      <c r="AT88" s="421">
        <f>SUM(AR88:AS88)</f>
        <v>236996</v>
      </c>
      <c r="AU88" s="68">
        <f t="shared" ref="AU88:AU92" si="317">ROUND((AH88+AI88+AJ88+AK88+AL88)*33.8%,0)</f>
        <v>80105</v>
      </c>
      <c r="AV88" s="68">
        <f>ROUND(AH88*1%,0)</f>
        <v>-171</v>
      </c>
      <c r="AW88" s="421">
        <v>0</v>
      </c>
      <c r="AX88" s="421">
        <v>0</v>
      </c>
      <c r="AY88" s="421">
        <f>AW88+AX88</f>
        <v>0</v>
      </c>
      <c r="AZ88" s="421">
        <f>AT88+AU88+AV88+AY88</f>
        <v>316930</v>
      </c>
      <c r="BA88" s="422">
        <v>-0.01</v>
      </c>
      <c r="BB88" s="422">
        <v>-0.1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0.04</v>
      </c>
      <c r="BI88" s="422">
        <v>0</v>
      </c>
      <c r="BJ88" s="422">
        <v>0</v>
      </c>
      <c r="BK88" s="422">
        <f>BA88+BC88+BD88+BF88+BH88+BI88</f>
        <v>0.03</v>
      </c>
      <c r="BL88" s="422">
        <f>BB88+BE88+BG88+BJ88</f>
        <v>-0.1</v>
      </c>
      <c r="BM88" s="611">
        <f>SUM(BK88:BL88)</f>
        <v>-7.0000000000000007E-2</v>
      </c>
      <c r="BN88" s="428">
        <f>I88+AZ88</f>
        <v>9827889</v>
      </c>
      <c r="BO88" s="421">
        <f>J88+AH88</f>
        <v>6954387</v>
      </c>
      <c r="BP88" s="421">
        <f t="shared" ref="BP88:BQ92" si="318">K88+AF88</f>
        <v>6303299</v>
      </c>
      <c r="BQ88" s="421">
        <f t="shared" si="318"/>
        <v>651088</v>
      </c>
      <c r="BR88" s="421">
        <f>M88+AQ88</f>
        <v>254080</v>
      </c>
      <c r="BS88" s="421">
        <f t="shared" ref="BS88:BT92" si="319">N88+AO88</f>
        <v>222080</v>
      </c>
      <c r="BT88" s="421">
        <f t="shared" si="319"/>
        <v>32000</v>
      </c>
      <c r="BU88" s="421">
        <f t="shared" ref="BU88:BV92" si="320">P88+AU88</f>
        <v>2436462</v>
      </c>
      <c r="BV88" s="421">
        <f t="shared" si="320"/>
        <v>69544</v>
      </c>
      <c r="BW88" s="421">
        <f>R88+AY88</f>
        <v>113416</v>
      </c>
      <c r="BX88" s="422">
        <f>S88+BM88</f>
        <v>11.5518</v>
      </c>
      <c r="BY88" s="422">
        <f t="shared" ref="BY88:BZ92" si="321">T88+BK88</f>
        <v>9.8026999999999997</v>
      </c>
      <c r="BZ88" s="611">
        <f t="shared" si="321"/>
        <v>1.7490999999999999</v>
      </c>
      <c r="CA88" s="423"/>
      <c r="CB88" s="418"/>
      <c r="CC88" s="418"/>
      <c r="CD88" s="418"/>
      <c r="CE88" s="418"/>
      <c r="CF88" s="527"/>
    </row>
    <row r="89" spans="1:84" ht="12.95" customHeight="1" x14ac:dyDescent="0.25">
      <c r="A89" s="282">
        <v>15</v>
      </c>
      <c r="B89" s="323">
        <v>5435</v>
      </c>
      <c r="C89" s="324">
        <v>600099199</v>
      </c>
      <c r="D89" s="283">
        <v>72743077</v>
      </c>
      <c r="E89" s="350" t="s">
        <v>437</v>
      </c>
      <c r="F89" s="323">
        <v>3113</v>
      </c>
      <c r="G89" s="286" t="s">
        <v>292</v>
      </c>
      <c r="H89" s="733" t="s">
        <v>272</v>
      </c>
      <c r="I89" s="423">
        <f t="shared" si="310"/>
        <v>0</v>
      </c>
      <c r="J89" s="418">
        <f>K89+L89</f>
        <v>0</v>
      </c>
      <c r="K89" s="418">
        <v>0</v>
      </c>
      <c r="L89" s="418">
        <v>0</v>
      </c>
      <c r="M89" s="418">
        <f>N89+O89</f>
        <v>0</v>
      </c>
      <c r="N89" s="418">
        <v>0</v>
      </c>
      <c r="O89" s="418">
        <v>0</v>
      </c>
      <c r="P89" s="68">
        <f t="shared" si="312"/>
        <v>0</v>
      </c>
      <c r="Q89" s="68">
        <f t="shared" si="313"/>
        <v>0</v>
      </c>
      <c r="R89" s="418">
        <v>0</v>
      </c>
      <c r="S89" s="419">
        <f>T89+U89</f>
        <v>0</v>
      </c>
      <c r="T89" s="420">
        <v>0</v>
      </c>
      <c r="U89" s="527">
        <v>0</v>
      </c>
      <c r="V89" s="427">
        <f t="shared" si="314"/>
        <v>0</v>
      </c>
      <c r="W89" s="421">
        <f t="shared" si="314"/>
        <v>0</v>
      </c>
      <c r="X89" s="421">
        <v>463502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>V89+X89+Y89+AA89+AB89+AD89</f>
        <v>463502</v>
      </c>
      <c r="AG89" s="421">
        <f>W89+Z89+AC89+AE89</f>
        <v>0</v>
      </c>
      <c r="AH89" s="421">
        <f>SUM(AF89:AG89)</f>
        <v>463502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si="315"/>
        <v>0</v>
      </c>
      <c r="AP89" s="421">
        <f>AJ89+AN89</f>
        <v>0</v>
      </c>
      <c r="AQ89" s="421">
        <f>SUM(AO89:AP89)</f>
        <v>0</v>
      </c>
      <c r="AR89" s="421">
        <f t="shared" si="316"/>
        <v>463502</v>
      </c>
      <c r="AS89" s="421">
        <f t="shared" si="316"/>
        <v>0</v>
      </c>
      <c r="AT89" s="421">
        <f>SUM(AR89:AS89)</f>
        <v>463502</v>
      </c>
      <c r="AU89" s="68">
        <f t="shared" si="317"/>
        <v>156664</v>
      </c>
      <c r="AV89" s="68">
        <f>ROUND(AH89*1%,0)</f>
        <v>4635</v>
      </c>
      <c r="AW89" s="421">
        <v>0</v>
      </c>
      <c r="AX89" s="421">
        <v>0</v>
      </c>
      <c r="AY89" s="421">
        <f>AW89+AX89</f>
        <v>0</v>
      </c>
      <c r="AZ89" s="421">
        <f>AT89+AU89+AV89+AY89</f>
        <v>624801</v>
      </c>
      <c r="BA89" s="422">
        <v>0</v>
      </c>
      <c r="BB89" s="422">
        <v>0</v>
      </c>
      <c r="BC89" s="422">
        <v>1.25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>BA89+BC89+BD89+BF89+BH89+BI89</f>
        <v>1.25</v>
      </c>
      <c r="BL89" s="422">
        <f>BB89+BE89+BG89+BJ89</f>
        <v>0</v>
      </c>
      <c r="BM89" s="611">
        <f>SUM(BK89:BL89)</f>
        <v>1.25</v>
      </c>
      <c r="BN89" s="428">
        <f>I89+AZ89</f>
        <v>624801</v>
      </c>
      <c r="BO89" s="421">
        <f>J89+AH89</f>
        <v>463502</v>
      </c>
      <c r="BP89" s="421">
        <f t="shared" si="318"/>
        <v>463502</v>
      </c>
      <c r="BQ89" s="421">
        <f t="shared" si="318"/>
        <v>0</v>
      </c>
      <c r="BR89" s="421">
        <f>M89+AQ89</f>
        <v>0</v>
      </c>
      <c r="BS89" s="421">
        <f t="shared" si="319"/>
        <v>0</v>
      </c>
      <c r="BT89" s="421">
        <f t="shared" si="319"/>
        <v>0</v>
      </c>
      <c r="BU89" s="421">
        <f t="shared" si="320"/>
        <v>156664</v>
      </c>
      <c r="BV89" s="421">
        <f t="shared" si="320"/>
        <v>4635</v>
      </c>
      <c r="BW89" s="421">
        <f>R89+AY89</f>
        <v>0</v>
      </c>
      <c r="BX89" s="422">
        <f>S89+BM89</f>
        <v>1.25</v>
      </c>
      <c r="BY89" s="422">
        <f t="shared" si="321"/>
        <v>1.25</v>
      </c>
      <c r="BZ89" s="611">
        <f t="shared" si="321"/>
        <v>0</v>
      </c>
      <c r="CA89" s="423"/>
      <c r="CB89" s="418"/>
      <c r="CC89" s="418"/>
      <c r="CD89" s="418"/>
      <c r="CE89" s="418"/>
      <c r="CF89" s="527"/>
    </row>
    <row r="90" spans="1:84" ht="12.95" customHeight="1" x14ac:dyDescent="0.25">
      <c r="A90" s="282">
        <v>15</v>
      </c>
      <c r="B90" s="323">
        <v>5435</v>
      </c>
      <c r="C90" s="324">
        <v>600099199</v>
      </c>
      <c r="D90" s="283">
        <v>72743077</v>
      </c>
      <c r="E90" s="350" t="s">
        <v>437</v>
      </c>
      <c r="F90" s="323">
        <v>3141</v>
      </c>
      <c r="G90" s="347" t="s">
        <v>295</v>
      </c>
      <c r="H90" s="733" t="s">
        <v>272</v>
      </c>
      <c r="I90" s="423">
        <f t="shared" si="310"/>
        <v>672413</v>
      </c>
      <c r="J90" s="418">
        <f>K90+L90</f>
        <v>495785</v>
      </c>
      <c r="K90" s="418">
        <v>0</v>
      </c>
      <c r="L90" s="418">
        <v>495785</v>
      </c>
      <c r="M90" s="418">
        <f t="shared" si="311"/>
        <v>0</v>
      </c>
      <c r="N90" s="418">
        <v>0</v>
      </c>
      <c r="O90" s="418">
        <v>0</v>
      </c>
      <c r="P90" s="68">
        <f t="shared" si="312"/>
        <v>167575</v>
      </c>
      <c r="Q90" s="68">
        <f t="shared" si="313"/>
        <v>4958</v>
      </c>
      <c r="R90" s="418">
        <v>4095</v>
      </c>
      <c r="S90" s="419">
        <f>T90+U90</f>
        <v>1.4866999999999999</v>
      </c>
      <c r="T90" s="420">
        <v>0</v>
      </c>
      <c r="U90" s="527">
        <v>1.4866999999999999</v>
      </c>
      <c r="V90" s="427">
        <f t="shared" si="314"/>
        <v>0</v>
      </c>
      <c r="W90" s="421">
        <f t="shared" si="314"/>
        <v>0</v>
      </c>
      <c r="X90" s="421">
        <v>0</v>
      </c>
      <c r="Y90" s="421">
        <v>0</v>
      </c>
      <c r="Z90" s="421">
        <v>0</v>
      </c>
      <c r="AA90" s="421">
        <v>0</v>
      </c>
      <c r="AB90" s="421">
        <v>0</v>
      </c>
      <c r="AC90" s="421">
        <v>0</v>
      </c>
      <c r="AD90" s="421">
        <v>0</v>
      </c>
      <c r="AE90" s="421">
        <v>0</v>
      </c>
      <c r="AF90" s="421">
        <f>V90+X90+Y90+AA90+AB90+AD90</f>
        <v>0</v>
      </c>
      <c r="AG90" s="421">
        <f>W90+Z90+AC90+AE90</f>
        <v>0</v>
      </c>
      <c r="AH90" s="421">
        <f>SUM(AF90:AG90)</f>
        <v>0</v>
      </c>
      <c r="AI90" s="421">
        <v>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si="315"/>
        <v>0</v>
      </c>
      <c r="AP90" s="421">
        <f>AJ90+AN90</f>
        <v>0</v>
      </c>
      <c r="AQ90" s="421">
        <f>SUM(AO90:AP90)</f>
        <v>0</v>
      </c>
      <c r="AR90" s="421">
        <f t="shared" si="316"/>
        <v>0</v>
      </c>
      <c r="AS90" s="421">
        <f t="shared" si="316"/>
        <v>0</v>
      </c>
      <c r="AT90" s="421">
        <f>SUM(AR90:AS90)</f>
        <v>0</v>
      </c>
      <c r="AU90" s="68">
        <f t="shared" si="317"/>
        <v>0</v>
      </c>
      <c r="AV90" s="68">
        <f>ROUND(AH90*1%,0)</f>
        <v>0</v>
      </c>
      <c r="AW90" s="421">
        <v>0</v>
      </c>
      <c r="AX90" s="421">
        <v>0</v>
      </c>
      <c r="AY90" s="421">
        <f>AW90+AX90</f>
        <v>0</v>
      </c>
      <c r="AZ90" s="421">
        <f>AT90+AU90+AV90+AY90</f>
        <v>0</v>
      </c>
      <c r="BA90" s="422">
        <v>0</v>
      </c>
      <c r="BB90" s="422">
        <v>0</v>
      </c>
      <c r="BC90" s="422">
        <v>0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>BA90+BC90+BD90+BF90+BH90+BI90</f>
        <v>0</v>
      </c>
      <c r="BL90" s="422">
        <f>BB90+BE90+BG90+BJ90</f>
        <v>0</v>
      </c>
      <c r="BM90" s="611">
        <f>SUM(BK90:BL90)</f>
        <v>0</v>
      </c>
      <c r="BN90" s="428">
        <f>I90+AZ90</f>
        <v>672413</v>
      </c>
      <c r="BO90" s="421">
        <f>J90+AH90</f>
        <v>495785</v>
      </c>
      <c r="BP90" s="421">
        <f t="shared" si="318"/>
        <v>0</v>
      </c>
      <c r="BQ90" s="421">
        <f t="shared" si="318"/>
        <v>495785</v>
      </c>
      <c r="BR90" s="421">
        <f>M90+AQ90</f>
        <v>0</v>
      </c>
      <c r="BS90" s="421">
        <f t="shared" si="319"/>
        <v>0</v>
      </c>
      <c r="BT90" s="421">
        <f t="shared" si="319"/>
        <v>0</v>
      </c>
      <c r="BU90" s="421">
        <f t="shared" si="320"/>
        <v>167575</v>
      </c>
      <c r="BV90" s="421">
        <f t="shared" si="320"/>
        <v>4958</v>
      </c>
      <c r="BW90" s="421">
        <f>R90+AY90</f>
        <v>4095</v>
      </c>
      <c r="BX90" s="422">
        <f>S90+BM90</f>
        <v>1.4866999999999999</v>
      </c>
      <c r="BY90" s="422">
        <f t="shared" si="321"/>
        <v>0</v>
      </c>
      <c r="BZ90" s="611">
        <f t="shared" si="321"/>
        <v>1.4866999999999999</v>
      </c>
      <c r="CA90" s="423"/>
      <c r="CB90" s="418"/>
      <c r="CC90" s="418"/>
      <c r="CD90" s="418"/>
      <c r="CE90" s="418"/>
      <c r="CF90" s="527"/>
    </row>
    <row r="91" spans="1:84" ht="12.95" customHeight="1" x14ac:dyDescent="0.25">
      <c r="A91" s="282">
        <v>15</v>
      </c>
      <c r="B91" s="323">
        <v>5435</v>
      </c>
      <c r="C91" s="324">
        <v>600099199</v>
      </c>
      <c r="D91" s="283">
        <v>72743077</v>
      </c>
      <c r="E91" s="350" t="s">
        <v>437</v>
      </c>
      <c r="F91" s="323">
        <v>3143</v>
      </c>
      <c r="G91" s="286" t="s">
        <v>596</v>
      </c>
      <c r="H91" s="733" t="s">
        <v>271</v>
      </c>
      <c r="I91" s="423">
        <f t="shared" si="310"/>
        <v>658019</v>
      </c>
      <c r="J91" s="418">
        <f>K91+L91</f>
        <v>488145</v>
      </c>
      <c r="K91" s="418">
        <v>488145</v>
      </c>
      <c r="L91" s="418">
        <v>0</v>
      </c>
      <c r="M91" s="418">
        <f t="shared" si="311"/>
        <v>0</v>
      </c>
      <c r="N91" s="418">
        <v>0</v>
      </c>
      <c r="O91" s="418">
        <v>0</v>
      </c>
      <c r="P91" s="68">
        <f t="shared" si="312"/>
        <v>164993</v>
      </c>
      <c r="Q91" s="68">
        <f t="shared" si="313"/>
        <v>4881</v>
      </c>
      <c r="R91" s="418">
        <v>0</v>
      </c>
      <c r="S91" s="419">
        <f>T91+U91</f>
        <v>0.96430000000000005</v>
      </c>
      <c r="T91" s="420">
        <v>0.96430000000000005</v>
      </c>
      <c r="U91" s="527">
        <v>0</v>
      </c>
      <c r="V91" s="427">
        <f t="shared" si="314"/>
        <v>0</v>
      </c>
      <c r="W91" s="421">
        <f t="shared" si="314"/>
        <v>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>V91+X91+Y91+AA91+AB91+AD91</f>
        <v>0</v>
      </c>
      <c r="AG91" s="421">
        <f>W91+Z91+AC91+AE91</f>
        <v>0</v>
      </c>
      <c r="AH91" s="421">
        <f>SUM(AF91:AG91)</f>
        <v>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315"/>
        <v>0</v>
      </c>
      <c r="AP91" s="421">
        <f>AJ91+AN91</f>
        <v>0</v>
      </c>
      <c r="AQ91" s="421">
        <f>SUM(AO91:AP91)</f>
        <v>0</v>
      </c>
      <c r="AR91" s="421">
        <f t="shared" si="316"/>
        <v>0</v>
      </c>
      <c r="AS91" s="421">
        <f t="shared" si="316"/>
        <v>0</v>
      </c>
      <c r="AT91" s="421">
        <f>SUM(AR91:AS91)</f>
        <v>0</v>
      </c>
      <c r="AU91" s="68">
        <f t="shared" si="317"/>
        <v>0</v>
      </c>
      <c r="AV91" s="68">
        <f>ROUND(AH91*1%,0)</f>
        <v>0</v>
      </c>
      <c r="AW91" s="421">
        <v>0</v>
      </c>
      <c r="AX91" s="421">
        <v>0</v>
      </c>
      <c r="AY91" s="421">
        <f>AW91+AX91</f>
        <v>0</v>
      </c>
      <c r="AZ91" s="421">
        <f>AT91+AU91+AV91+AY91</f>
        <v>0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0</v>
      </c>
      <c r="BL91" s="422">
        <f>BB91+BE91+BG91+BJ91</f>
        <v>0</v>
      </c>
      <c r="BM91" s="611">
        <f>SUM(BK91:BL91)</f>
        <v>0</v>
      </c>
      <c r="BN91" s="428">
        <f>I91+AZ91</f>
        <v>658019</v>
      </c>
      <c r="BO91" s="421">
        <f>J91+AH91</f>
        <v>488145</v>
      </c>
      <c r="BP91" s="421">
        <f t="shared" si="318"/>
        <v>488145</v>
      </c>
      <c r="BQ91" s="421">
        <f t="shared" si="318"/>
        <v>0</v>
      </c>
      <c r="BR91" s="421">
        <f>M91+AQ91</f>
        <v>0</v>
      </c>
      <c r="BS91" s="421">
        <f t="shared" si="319"/>
        <v>0</v>
      </c>
      <c r="BT91" s="421">
        <f t="shared" si="319"/>
        <v>0</v>
      </c>
      <c r="BU91" s="421">
        <f t="shared" si="320"/>
        <v>164993</v>
      </c>
      <c r="BV91" s="421">
        <f t="shared" si="320"/>
        <v>4881</v>
      </c>
      <c r="BW91" s="421">
        <f>R91+AY91</f>
        <v>0</v>
      </c>
      <c r="BX91" s="422">
        <f>S91+BM91</f>
        <v>0.96430000000000005</v>
      </c>
      <c r="BY91" s="422">
        <f t="shared" si="321"/>
        <v>0.96430000000000005</v>
      </c>
      <c r="BZ91" s="611">
        <f t="shared" si="321"/>
        <v>0</v>
      </c>
      <c r="CA91" s="423"/>
      <c r="CB91" s="418"/>
      <c r="CC91" s="418"/>
      <c r="CD91" s="418"/>
      <c r="CE91" s="418"/>
      <c r="CF91" s="527"/>
    </row>
    <row r="92" spans="1:84" ht="12.95" customHeight="1" x14ac:dyDescent="0.25">
      <c r="A92" s="282">
        <v>15</v>
      </c>
      <c r="B92" s="323">
        <v>5435</v>
      </c>
      <c r="C92" s="324">
        <v>600099199</v>
      </c>
      <c r="D92" s="283">
        <v>72743077</v>
      </c>
      <c r="E92" s="350" t="s">
        <v>437</v>
      </c>
      <c r="F92" s="323">
        <v>3143</v>
      </c>
      <c r="G92" s="286" t="s">
        <v>597</v>
      </c>
      <c r="H92" s="733" t="s">
        <v>272</v>
      </c>
      <c r="I92" s="423">
        <f t="shared" si="310"/>
        <v>15380</v>
      </c>
      <c r="J92" s="418">
        <f>K92+L92</f>
        <v>11009</v>
      </c>
      <c r="K92" s="418">
        <v>0</v>
      </c>
      <c r="L92" s="418">
        <v>11009</v>
      </c>
      <c r="M92" s="418">
        <f t="shared" si="311"/>
        <v>0</v>
      </c>
      <c r="N92" s="418">
        <v>0</v>
      </c>
      <c r="O92" s="418">
        <v>0</v>
      </c>
      <c r="P92" s="68">
        <f t="shared" si="312"/>
        <v>3721</v>
      </c>
      <c r="Q92" s="68">
        <f t="shared" si="313"/>
        <v>110</v>
      </c>
      <c r="R92" s="418">
        <v>540</v>
      </c>
      <c r="S92" s="419">
        <f>T92+U92</f>
        <v>4.1700000000000001E-2</v>
      </c>
      <c r="T92" s="420">
        <v>0</v>
      </c>
      <c r="U92" s="527">
        <v>4.1700000000000001E-2</v>
      </c>
      <c r="V92" s="427">
        <f t="shared" si="314"/>
        <v>0</v>
      </c>
      <c r="W92" s="421">
        <f t="shared" si="314"/>
        <v>0</v>
      </c>
      <c r="X92" s="421">
        <v>0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f>V92+X92+Y92+AA92+AB92+AD92</f>
        <v>0</v>
      </c>
      <c r="AG92" s="421">
        <f>W92+Z92+AC92+AE92</f>
        <v>0</v>
      </c>
      <c r="AH92" s="421">
        <f>SUM(AF92:AG92)</f>
        <v>0</v>
      </c>
      <c r="AI92" s="421">
        <v>0</v>
      </c>
      <c r="AJ92" s="421">
        <v>0</v>
      </c>
      <c r="AK92" s="421">
        <v>0</v>
      </c>
      <c r="AL92" s="421">
        <v>0</v>
      </c>
      <c r="AM92" s="421">
        <v>0</v>
      </c>
      <c r="AN92" s="421">
        <v>0</v>
      </c>
      <c r="AO92" s="421">
        <f t="shared" si="315"/>
        <v>0</v>
      </c>
      <c r="AP92" s="421">
        <f>AJ92+AN92</f>
        <v>0</v>
      </c>
      <c r="AQ92" s="421">
        <f>SUM(AO92:AP92)</f>
        <v>0</v>
      </c>
      <c r="AR92" s="421">
        <f t="shared" si="316"/>
        <v>0</v>
      </c>
      <c r="AS92" s="421">
        <f t="shared" si="316"/>
        <v>0</v>
      </c>
      <c r="AT92" s="421">
        <f>SUM(AR92:AS92)</f>
        <v>0</v>
      </c>
      <c r="AU92" s="68">
        <f t="shared" si="317"/>
        <v>0</v>
      </c>
      <c r="AV92" s="68">
        <f>ROUND(AH92*1%,0)</f>
        <v>0</v>
      </c>
      <c r="AW92" s="421">
        <v>0</v>
      </c>
      <c r="AX92" s="421">
        <v>0</v>
      </c>
      <c r="AY92" s="421">
        <f>AW92+AX92</f>
        <v>0</v>
      </c>
      <c r="AZ92" s="421">
        <f>AT92+AU92+AV92+AY92</f>
        <v>0</v>
      </c>
      <c r="BA92" s="422">
        <v>0</v>
      </c>
      <c r="BB92" s="422">
        <v>0</v>
      </c>
      <c r="BC92" s="422">
        <v>0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>BA92+BC92+BD92+BF92+BH92+BI92</f>
        <v>0</v>
      </c>
      <c r="BL92" s="422">
        <f>BB92+BE92+BG92+BJ92</f>
        <v>0</v>
      </c>
      <c r="BM92" s="611">
        <f>SUM(BK92:BL92)</f>
        <v>0</v>
      </c>
      <c r="BN92" s="428">
        <f>I92+AZ92</f>
        <v>15380</v>
      </c>
      <c r="BO92" s="421">
        <f>J92+AH92</f>
        <v>11009</v>
      </c>
      <c r="BP92" s="421">
        <f t="shared" si="318"/>
        <v>0</v>
      </c>
      <c r="BQ92" s="421">
        <f t="shared" si="318"/>
        <v>11009</v>
      </c>
      <c r="BR92" s="421">
        <f>M92+AQ92</f>
        <v>0</v>
      </c>
      <c r="BS92" s="421">
        <f t="shared" si="319"/>
        <v>0</v>
      </c>
      <c r="BT92" s="421">
        <f t="shared" si="319"/>
        <v>0</v>
      </c>
      <c r="BU92" s="421">
        <f t="shared" si="320"/>
        <v>3721</v>
      </c>
      <c r="BV92" s="421">
        <f t="shared" si="320"/>
        <v>110</v>
      </c>
      <c r="BW92" s="421">
        <f>R92+AY92</f>
        <v>540</v>
      </c>
      <c r="BX92" s="422">
        <f>S92+BM92</f>
        <v>4.1700000000000001E-2</v>
      </c>
      <c r="BY92" s="422">
        <f t="shared" si="321"/>
        <v>0</v>
      </c>
      <c r="BZ92" s="611">
        <f t="shared" si="321"/>
        <v>4.1700000000000001E-2</v>
      </c>
      <c r="CA92" s="423"/>
      <c r="CB92" s="418"/>
      <c r="CC92" s="418"/>
      <c r="CD92" s="418"/>
      <c r="CE92" s="418"/>
      <c r="CF92" s="527"/>
    </row>
    <row r="93" spans="1:84" ht="12.95" customHeight="1" x14ac:dyDescent="0.25">
      <c r="A93" s="734">
        <v>15</v>
      </c>
      <c r="B93" s="327">
        <v>5435</v>
      </c>
      <c r="C93" s="328">
        <v>600099199</v>
      </c>
      <c r="D93" s="327">
        <v>72743077</v>
      </c>
      <c r="E93" s="351" t="s">
        <v>438</v>
      </c>
      <c r="F93" s="327"/>
      <c r="G93" s="352"/>
      <c r="H93" s="736"/>
      <c r="I93" s="472">
        <f t="shared" ref="I93:BU93" si="322">SUM(I88:I92)</f>
        <v>10856771</v>
      </c>
      <c r="J93" s="468">
        <f t="shared" si="322"/>
        <v>7966410</v>
      </c>
      <c r="K93" s="468">
        <f t="shared" si="322"/>
        <v>6776528</v>
      </c>
      <c r="L93" s="468">
        <f t="shared" si="322"/>
        <v>1189882</v>
      </c>
      <c r="M93" s="468">
        <f t="shared" si="322"/>
        <v>0</v>
      </c>
      <c r="N93" s="468">
        <f t="shared" si="322"/>
        <v>0</v>
      </c>
      <c r="O93" s="468">
        <f t="shared" si="322"/>
        <v>0</v>
      </c>
      <c r="P93" s="468">
        <f t="shared" si="322"/>
        <v>2692646</v>
      </c>
      <c r="Q93" s="468">
        <f t="shared" si="322"/>
        <v>79664</v>
      </c>
      <c r="R93" s="468">
        <f t="shared" si="322"/>
        <v>118051</v>
      </c>
      <c r="S93" s="469">
        <f t="shared" si="322"/>
        <v>14.1145</v>
      </c>
      <c r="T93" s="469">
        <f t="shared" si="322"/>
        <v>10.737</v>
      </c>
      <c r="U93" s="281">
        <f t="shared" si="322"/>
        <v>3.3774999999999999</v>
      </c>
      <c r="V93" s="474">
        <f t="shared" si="322"/>
        <v>-10240</v>
      </c>
      <c r="W93" s="468">
        <f t="shared" si="322"/>
        <v>-32000</v>
      </c>
      <c r="X93" s="468">
        <f t="shared" si="322"/>
        <v>463502</v>
      </c>
      <c r="Y93" s="468">
        <f t="shared" si="322"/>
        <v>0</v>
      </c>
      <c r="Z93" s="468">
        <f t="shared" si="322"/>
        <v>0</v>
      </c>
      <c r="AA93" s="468">
        <f t="shared" si="322"/>
        <v>25156</v>
      </c>
      <c r="AB93" s="468">
        <f t="shared" si="322"/>
        <v>0</v>
      </c>
      <c r="AC93" s="468">
        <f t="shared" si="322"/>
        <v>0</v>
      </c>
      <c r="AD93" s="468">
        <f t="shared" si="322"/>
        <v>0</v>
      </c>
      <c r="AE93" s="468">
        <f t="shared" si="322"/>
        <v>0</v>
      </c>
      <c r="AF93" s="468">
        <f t="shared" si="322"/>
        <v>478418</v>
      </c>
      <c r="AG93" s="468">
        <f t="shared" si="322"/>
        <v>-32000</v>
      </c>
      <c r="AH93" s="468">
        <f t="shared" si="322"/>
        <v>446418</v>
      </c>
      <c r="AI93" s="468">
        <f t="shared" si="322"/>
        <v>10240</v>
      </c>
      <c r="AJ93" s="468">
        <f t="shared" si="322"/>
        <v>32000</v>
      </c>
      <c r="AK93" s="468">
        <f t="shared" ref="AK93" si="323">SUM(AK88:AK92)</f>
        <v>0</v>
      </c>
      <c r="AL93" s="468">
        <f t="shared" si="322"/>
        <v>211840</v>
      </c>
      <c r="AM93" s="468">
        <f t="shared" si="322"/>
        <v>0</v>
      </c>
      <c r="AN93" s="468">
        <f t="shared" si="322"/>
        <v>0</v>
      </c>
      <c r="AO93" s="468">
        <f t="shared" si="322"/>
        <v>222080</v>
      </c>
      <c r="AP93" s="468">
        <f t="shared" si="322"/>
        <v>32000</v>
      </c>
      <c r="AQ93" s="468">
        <f t="shared" si="322"/>
        <v>254080</v>
      </c>
      <c r="AR93" s="468">
        <f t="shared" si="322"/>
        <v>700498</v>
      </c>
      <c r="AS93" s="468">
        <f t="shared" si="322"/>
        <v>0</v>
      </c>
      <c r="AT93" s="468">
        <f t="shared" si="322"/>
        <v>700498</v>
      </c>
      <c r="AU93" s="468">
        <f t="shared" si="322"/>
        <v>236769</v>
      </c>
      <c r="AV93" s="468">
        <f t="shared" si="322"/>
        <v>4464</v>
      </c>
      <c r="AW93" s="468">
        <f t="shared" si="322"/>
        <v>0</v>
      </c>
      <c r="AX93" s="468">
        <f t="shared" si="322"/>
        <v>0</v>
      </c>
      <c r="AY93" s="468">
        <f t="shared" si="322"/>
        <v>0</v>
      </c>
      <c r="AZ93" s="468">
        <f t="shared" si="322"/>
        <v>941731</v>
      </c>
      <c r="BA93" s="469">
        <f t="shared" si="322"/>
        <v>-0.01</v>
      </c>
      <c r="BB93" s="469">
        <f t="shared" si="322"/>
        <v>-0.1</v>
      </c>
      <c r="BC93" s="469">
        <f t="shared" si="322"/>
        <v>1.25</v>
      </c>
      <c r="BD93" s="469">
        <f t="shared" si="322"/>
        <v>0</v>
      </c>
      <c r="BE93" s="469">
        <f t="shared" si="322"/>
        <v>0</v>
      </c>
      <c r="BF93" s="469">
        <f t="shared" si="322"/>
        <v>0</v>
      </c>
      <c r="BG93" s="469">
        <f t="shared" si="322"/>
        <v>0</v>
      </c>
      <c r="BH93" s="469">
        <f t="shared" si="322"/>
        <v>0.04</v>
      </c>
      <c r="BI93" s="469">
        <f t="shared" si="322"/>
        <v>0</v>
      </c>
      <c r="BJ93" s="469">
        <f t="shared" si="322"/>
        <v>0</v>
      </c>
      <c r="BK93" s="469">
        <f t="shared" si="322"/>
        <v>1.28</v>
      </c>
      <c r="BL93" s="469">
        <f t="shared" si="322"/>
        <v>-0.1</v>
      </c>
      <c r="BM93" s="562">
        <f t="shared" si="322"/>
        <v>1.18</v>
      </c>
      <c r="BN93" s="472">
        <f t="shared" si="322"/>
        <v>11798502</v>
      </c>
      <c r="BO93" s="468">
        <f t="shared" si="322"/>
        <v>8412828</v>
      </c>
      <c r="BP93" s="468">
        <f t="shared" si="322"/>
        <v>7254946</v>
      </c>
      <c r="BQ93" s="468">
        <f t="shared" si="322"/>
        <v>1157882</v>
      </c>
      <c r="BR93" s="468">
        <f t="shared" si="322"/>
        <v>254080</v>
      </c>
      <c r="BS93" s="468">
        <f t="shared" si="322"/>
        <v>222080</v>
      </c>
      <c r="BT93" s="468">
        <f t="shared" si="322"/>
        <v>32000</v>
      </c>
      <c r="BU93" s="468">
        <f t="shared" si="322"/>
        <v>2929415</v>
      </c>
      <c r="BV93" s="468">
        <f t="shared" ref="BV93:CF93" si="324">SUM(BV88:BV92)</f>
        <v>84128</v>
      </c>
      <c r="BW93" s="468">
        <f t="shared" si="324"/>
        <v>118051</v>
      </c>
      <c r="BX93" s="469">
        <f t="shared" si="324"/>
        <v>15.294499999999999</v>
      </c>
      <c r="BY93" s="469">
        <f t="shared" si="324"/>
        <v>12.016999999999999</v>
      </c>
      <c r="BZ93" s="562">
        <f t="shared" si="324"/>
        <v>3.2774999999999999</v>
      </c>
      <c r="CA93" s="873">
        <f t="shared" si="324"/>
        <v>0</v>
      </c>
      <c r="CB93" s="850">
        <f t="shared" si="324"/>
        <v>0</v>
      </c>
      <c r="CC93" s="850">
        <f t="shared" si="324"/>
        <v>0</v>
      </c>
      <c r="CD93" s="850">
        <f t="shared" si="324"/>
        <v>0</v>
      </c>
      <c r="CE93" s="850">
        <f t="shared" si="324"/>
        <v>0</v>
      </c>
      <c r="CF93" s="841">
        <f t="shared" si="324"/>
        <v>0</v>
      </c>
    </row>
    <row r="94" spans="1:84" ht="12.95" customHeight="1" x14ac:dyDescent="0.25">
      <c r="A94" s="282">
        <v>16</v>
      </c>
      <c r="B94" s="323">
        <v>5478</v>
      </c>
      <c r="C94" s="324">
        <v>600098818</v>
      </c>
      <c r="D94" s="283">
        <v>70698031</v>
      </c>
      <c r="E94" s="720" t="s">
        <v>879</v>
      </c>
      <c r="F94" s="323">
        <v>3111</v>
      </c>
      <c r="G94" s="347" t="s">
        <v>305</v>
      </c>
      <c r="H94" s="733" t="s">
        <v>271</v>
      </c>
      <c r="I94" s="423">
        <f t="shared" ref="I94:I96" si="325">J94+P94+Q94+R94</f>
        <v>8586341</v>
      </c>
      <c r="J94" s="418">
        <f>K94+L94</f>
        <v>6351862</v>
      </c>
      <c r="K94" s="418">
        <v>5797401</v>
      </c>
      <c r="L94" s="418">
        <v>554461</v>
      </c>
      <c r="M94" s="418">
        <f t="shared" ref="M94:M96" si="326">N94+O94</f>
        <v>0</v>
      </c>
      <c r="N94" s="418">
        <v>0</v>
      </c>
      <c r="O94" s="418">
        <v>0</v>
      </c>
      <c r="P94" s="68">
        <v>2146930</v>
      </c>
      <c r="Q94" s="68">
        <v>63519</v>
      </c>
      <c r="R94" s="418">
        <v>24030</v>
      </c>
      <c r="S94" s="419">
        <v>11.931100000000001</v>
      </c>
      <c r="T94" s="420">
        <v>10.064399999999999</v>
      </c>
      <c r="U94" s="527">
        <v>1.8667</v>
      </c>
      <c r="V94" s="427">
        <f t="shared" ref="V94:W96" si="327">AI94*-1</f>
        <v>0</v>
      </c>
      <c r="W94" s="421">
        <f t="shared" si="327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-186566</v>
      </c>
      <c r="AE94" s="421">
        <v>101984</v>
      </c>
      <c r="AF94" s="421">
        <f>V94+X94+Y94+AA94+AB94+AD94</f>
        <v>-186566</v>
      </c>
      <c r="AG94" s="421">
        <f>W94+Z94+AC94+AE94</f>
        <v>101984</v>
      </c>
      <c r="AH94" s="421">
        <f>SUM(AF94:AG94)</f>
        <v>-84582</v>
      </c>
      <c r="AI94" s="421">
        <v>0</v>
      </c>
      <c r="AJ94" s="421">
        <v>0</v>
      </c>
      <c r="AK94" s="421">
        <v>0</v>
      </c>
      <c r="AL94" s="421">
        <v>0</v>
      </c>
      <c r="AM94" s="421">
        <v>180669</v>
      </c>
      <c r="AN94" s="421">
        <v>0</v>
      </c>
      <c r="AO94" s="421">
        <f t="shared" ref="AO94:AO96" si="328">AI94+AK94+AL94+AM94</f>
        <v>180669</v>
      </c>
      <c r="AP94" s="421">
        <f>AJ94+AN94</f>
        <v>0</v>
      </c>
      <c r="AQ94" s="421">
        <f>SUM(AO94:AP94)</f>
        <v>180669</v>
      </c>
      <c r="AR94" s="421">
        <f t="shared" ref="AR94:AS96" si="329">AF94+AO94</f>
        <v>-5897</v>
      </c>
      <c r="AS94" s="421">
        <f t="shared" si="329"/>
        <v>101984</v>
      </c>
      <c r="AT94" s="421">
        <f>SUM(AR94:AS94)</f>
        <v>96087</v>
      </c>
      <c r="AU94" s="68">
        <f t="shared" ref="AU94:AU96" si="330">ROUND((AH94+AI94+AJ94+AK94+AL94)*33.8%,0)</f>
        <v>-28589</v>
      </c>
      <c r="AV94" s="68">
        <f>ROUND(AH94*1%,0)</f>
        <v>-846</v>
      </c>
      <c r="AW94" s="421">
        <v>0</v>
      </c>
      <c r="AX94" s="421">
        <v>0</v>
      </c>
      <c r="AY94" s="421">
        <f>AW94+AX94</f>
        <v>0</v>
      </c>
      <c r="AZ94" s="421">
        <f>AT94+AU94+AV94+AY94</f>
        <v>66652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-0.33</v>
      </c>
      <c r="BJ94" s="422">
        <v>0.27</v>
      </c>
      <c r="BK94" s="422">
        <f>BA94+BC94+BD94+BF94+BH94+BI94</f>
        <v>-0.33</v>
      </c>
      <c r="BL94" s="422">
        <f>BB94+BE94+BG94+BJ94</f>
        <v>0.27</v>
      </c>
      <c r="BM94" s="611">
        <f>SUM(BK94:BL94)</f>
        <v>-0.06</v>
      </c>
      <c r="BN94" s="428">
        <f>I94+AZ94</f>
        <v>8652993</v>
      </c>
      <c r="BO94" s="421">
        <f>J94+AH94</f>
        <v>6267280</v>
      </c>
      <c r="BP94" s="421">
        <f t="shared" ref="BP94:BQ96" si="331">K94+AF94</f>
        <v>5610835</v>
      </c>
      <c r="BQ94" s="421">
        <f t="shared" si="331"/>
        <v>656445</v>
      </c>
      <c r="BR94" s="421">
        <f>M94+AQ94</f>
        <v>180669</v>
      </c>
      <c r="BS94" s="421">
        <f t="shared" ref="BS94:BT96" si="332">N94+AO94</f>
        <v>180669</v>
      </c>
      <c r="BT94" s="421">
        <f t="shared" si="332"/>
        <v>0</v>
      </c>
      <c r="BU94" s="421">
        <f t="shared" ref="BU94:BV96" si="333">P94+AU94</f>
        <v>2118341</v>
      </c>
      <c r="BV94" s="421">
        <f t="shared" si="333"/>
        <v>62673</v>
      </c>
      <c r="BW94" s="421">
        <f>R94+AY94</f>
        <v>24030</v>
      </c>
      <c r="BX94" s="422">
        <f>S94+BM94</f>
        <v>11.8711</v>
      </c>
      <c r="BY94" s="422">
        <f t="shared" ref="BY94:BZ96" si="334">T94+BK94</f>
        <v>9.7343999999999991</v>
      </c>
      <c r="BZ94" s="611">
        <f t="shared" si="334"/>
        <v>2.1367000000000003</v>
      </c>
      <c r="CA94" s="423"/>
      <c r="CB94" s="418"/>
      <c r="CC94" s="418"/>
      <c r="CD94" s="418"/>
      <c r="CE94" s="418"/>
      <c r="CF94" s="527"/>
    </row>
    <row r="95" spans="1:84" ht="12.95" customHeight="1" x14ac:dyDescent="0.25">
      <c r="A95" s="282">
        <v>16</v>
      </c>
      <c r="B95" s="323">
        <v>5478</v>
      </c>
      <c r="C95" s="324">
        <v>600098818</v>
      </c>
      <c r="D95" s="283">
        <v>70698031</v>
      </c>
      <c r="E95" s="720" t="s">
        <v>439</v>
      </c>
      <c r="F95" s="323">
        <v>3111</v>
      </c>
      <c r="G95" s="347" t="s">
        <v>292</v>
      </c>
      <c r="H95" s="733" t="s">
        <v>272</v>
      </c>
      <c r="I95" s="423">
        <f t="shared" si="325"/>
        <v>0</v>
      </c>
      <c r="J95" s="418">
        <f>K95+L95</f>
        <v>0</v>
      </c>
      <c r="K95" s="418">
        <v>0</v>
      </c>
      <c r="L95" s="418">
        <v>0</v>
      </c>
      <c r="M95" s="418">
        <f>N95+O95</f>
        <v>0</v>
      </c>
      <c r="N95" s="418">
        <v>0</v>
      </c>
      <c r="O95" s="418">
        <v>0</v>
      </c>
      <c r="P95" s="68">
        <f t="shared" ref="P95:P96" si="335">ROUND((J95+M95)*33.8%,0)</f>
        <v>0</v>
      </c>
      <c r="Q95" s="68">
        <f t="shared" ref="Q95:Q96" si="336">ROUND(J95*1%,0)</f>
        <v>0</v>
      </c>
      <c r="R95" s="418">
        <v>0</v>
      </c>
      <c r="S95" s="419">
        <f>T95+U95</f>
        <v>0</v>
      </c>
      <c r="T95" s="420">
        <v>0</v>
      </c>
      <c r="U95" s="527">
        <v>0</v>
      </c>
      <c r="V95" s="427">
        <f t="shared" si="327"/>
        <v>0</v>
      </c>
      <c r="W95" s="421">
        <f t="shared" si="327"/>
        <v>0</v>
      </c>
      <c r="X95" s="421">
        <v>271921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>V95+X95+Y95+AA95+AB95+AD95</f>
        <v>271921</v>
      </c>
      <c r="AG95" s="421">
        <f>W95+Z95+AC95+AE95</f>
        <v>0</v>
      </c>
      <c r="AH95" s="421">
        <f>SUM(AF95:AG95)</f>
        <v>271921</v>
      </c>
      <c r="AI95" s="421">
        <v>0</v>
      </c>
      <c r="AJ95" s="421">
        <v>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328"/>
        <v>0</v>
      </c>
      <c r="AP95" s="421">
        <f>AJ95+AN95</f>
        <v>0</v>
      </c>
      <c r="AQ95" s="421">
        <f>SUM(AO95:AP95)</f>
        <v>0</v>
      </c>
      <c r="AR95" s="421">
        <f t="shared" si="329"/>
        <v>271921</v>
      </c>
      <c r="AS95" s="421">
        <f t="shared" si="329"/>
        <v>0</v>
      </c>
      <c r="AT95" s="421">
        <f>SUM(AR95:AS95)</f>
        <v>271921</v>
      </c>
      <c r="AU95" s="68">
        <f t="shared" si="330"/>
        <v>91909</v>
      </c>
      <c r="AV95" s="68">
        <f>ROUND(AH95*1%,0)</f>
        <v>2719</v>
      </c>
      <c r="AW95" s="421">
        <v>0</v>
      </c>
      <c r="AX95" s="421">
        <v>0</v>
      </c>
      <c r="AY95" s="421">
        <f>AW95+AX95</f>
        <v>0</v>
      </c>
      <c r="AZ95" s="421">
        <f>AT95+AU95+AV95+AY95</f>
        <v>366549</v>
      </c>
      <c r="BA95" s="422">
        <v>0</v>
      </c>
      <c r="BB95" s="422">
        <v>0</v>
      </c>
      <c r="BC95" s="422">
        <v>1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>BA95+BC95+BD95+BF95+BH95+BI95</f>
        <v>1</v>
      </c>
      <c r="BL95" s="422">
        <f>BB95+BE95+BG95+BJ95</f>
        <v>0</v>
      </c>
      <c r="BM95" s="611">
        <f>SUM(BK95:BL95)</f>
        <v>1</v>
      </c>
      <c r="BN95" s="428">
        <f>I95+AZ95</f>
        <v>366549</v>
      </c>
      <c r="BO95" s="421">
        <f>J95+AH95</f>
        <v>271921</v>
      </c>
      <c r="BP95" s="421">
        <f t="shared" si="331"/>
        <v>271921</v>
      </c>
      <c r="BQ95" s="421">
        <f t="shared" si="331"/>
        <v>0</v>
      </c>
      <c r="BR95" s="421">
        <f>M95+AQ95</f>
        <v>0</v>
      </c>
      <c r="BS95" s="421">
        <f t="shared" si="332"/>
        <v>0</v>
      </c>
      <c r="BT95" s="421">
        <f t="shared" si="332"/>
        <v>0</v>
      </c>
      <c r="BU95" s="421">
        <f t="shared" si="333"/>
        <v>91909</v>
      </c>
      <c r="BV95" s="421">
        <f t="shared" si="333"/>
        <v>2719</v>
      </c>
      <c r="BW95" s="421">
        <f>R95+AY95</f>
        <v>0</v>
      </c>
      <c r="BX95" s="422">
        <f>S95+BM95</f>
        <v>1</v>
      </c>
      <c r="BY95" s="422">
        <f t="shared" si="334"/>
        <v>1</v>
      </c>
      <c r="BZ95" s="611">
        <f t="shared" si="334"/>
        <v>0</v>
      </c>
      <c r="CA95" s="423"/>
      <c r="CB95" s="418"/>
      <c r="CC95" s="418"/>
      <c r="CD95" s="418"/>
      <c r="CE95" s="418"/>
      <c r="CF95" s="527"/>
    </row>
    <row r="96" spans="1:84" ht="12.95" customHeight="1" x14ac:dyDescent="0.25">
      <c r="A96" s="282">
        <v>16</v>
      </c>
      <c r="B96" s="283">
        <v>5478</v>
      </c>
      <c r="C96" s="332">
        <v>600098818</v>
      </c>
      <c r="D96" s="283">
        <v>70698031</v>
      </c>
      <c r="E96" s="721" t="s">
        <v>439</v>
      </c>
      <c r="F96" s="283">
        <v>3141</v>
      </c>
      <c r="G96" s="347" t="s">
        <v>295</v>
      </c>
      <c r="H96" s="733" t="s">
        <v>272</v>
      </c>
      <c r="I96" s="423">
        <f t="shared" si="325"/>
        <v>857259</v>
      </c>
      <c r="J96" s="418">
        <f>K96+L96</f>
        <v>633612</v>
      </c>
      <c r="K96" s="418">
        <v>0</v>
      </c>
      <c r="L96" s="418">
        <v>633612</v>
      </c>
      <c r="M96" s="418">
        <f t="shared" si="326"/>
        <v>0</v>
      </c>
      <c r="N96" s="418">
        <v>0</v>
      </c>
      <c r="O96" s="418">
        <v>0</v>
      </c>
      <c r="P96" s="68">
        <f t="shared" si="335"/>
        <v>214161</v>
      </c>
      <c r="Q96" s="68">
        <f t="shared" si="336"/>
        <v>6336</v>
      </c>
      <c r="R96" s="418">
        <v>3150</v>
      </c>
      <c r="S96" s="419">
        <f>T96+U96</f>
        <v>1.9000000000000001</v>
      </c>
      <c r="T96" s="420">
        <v>0</v>
      </c>
      <c r="U96" s="527">
        <v>1.9000000000000001</v>
      </c>
      <c r="V96" s="427">
        <f t="shared" si="327"/>
        <v>0</v>
      </c>
      <c r="W96" s="421">
        <f t="shared" si="327"/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>V96+X96+Y96+AA96+AB96+AD96</f>
        <v>0</v>
      </c>
      <c r="AG96" s="421">
        <f>W96+Z96+AC96+AE96</f>
        <v>0</v>
      </c>
      <c r="AH96" s="421">
        <f>SUM(AF96:AG96)</f>
        <v>0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si="328"/>
        <v>0</v>
      </c>
      <c r="AP96" s="421">
        <f>AJ96+AN96</f>
        <v>0</v>
      </c>
      <c r="AQ96" s="421">
        <f>SUM(AO96:AP96)</f>
        <v>0</v>
      </c>
      <c r="AR96" s="421">
        <f t="shared" si="329"/>
        <v>0</v>
      </c>
      <c r="AS96" s="421">
        <f t="shared" si="329"/>
        <v>0</v>
      </c>
      <c r="AT96" s="421">
        <f>SUM(AR96:AS96)</f>
        <v>0</v>
      </c>
      <c r="AU96" s="68">
        <f t="shared" si="330"/>
        <v>0</v>
      </c>
      <c r="AV96" s="68">
        <f>ROUND(AH96*1%,0)</f>
        <v>0</v>
      </c>
      <c r="AW96" s="421">
        <v>0</v>
      </c>
      <c r="AX96" s="421">
        <v>0</v>
      </c>
      <c r="AY96" s="421">
        <f>AW96+AX96</f>
        <v>0</v>
      </c>
      <c r="AZ96" s="421">
        <f>AT96+AU96+AV96+AY96</f>
        <v>0</v>
      </c>
      <c r="BA96" s="422">
        <v>0</v>
      </c>
      <c r="BB96" s="422">
        <v>0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>BA96+BC96+BD96+BF96+BH96+BI96</f>
        <v>0</v>
      </c>
      <c r="BL96" s="422">
        <f>BB96+BE96+BG96+BJ96</f>
        <v>0</v>
      </c>
      <c r="BM96" s="611">
        <f>SUM(BK96:BL96)</f>
        <v>0</v>
      </c>
      <c r="BN96" s="428">
        <f>I96+AZ96</f>
        <v>857259</v>
      </c>
      <c r="BO96" s="421">
        <f>J96+AH96</f>
        <v>633612</v>
      </c>
      <c r="BP96" s="421">
        <f t="shared" si="331"/>
        <v>0</v>
      </c>
      <c r="BQ96" s="421">
        <f t="shared" si="331"/>
        <v>633612</v>
      </c>
      <c r="BR96" s="421">
        <f>M96+AQ96</f>
        <v>0</v>
      </c>
      <c r="BS96" s="421">
        <f t="shared" si="332"/>
        <v>0</v>
      </c>
      <c r="BT96" s="421">
        <f t="shared" si="332"/>
        <v>0</v>
      </c>
      <c r="BU96" s="421">
        <f t="shared" si="333"/>
        <v>214161</v>
      </c>
      <c r="BV96" s="421">
        <f t="shared" si="333"/>
        <v>6336</v>
      </c>
      <c r="BW96" s="421">
        <f>R96+AY96</f>
        <v>3150</v>
      </c>
      <c r="BX96" s="422">
        <f>S96+BM96</f>
        <v>1.9000000000000001</v>
      </c>
      <c r="BY96" s="422">
        <f t="shared" si="334"/>
        <v>0</v>
      </c>
      <c r="BZ96" s="611">
        <f t="shared" si="334"/>
        <v>1.9000000000000001</v>
      </c>
      <c r="CA96" s="423"/>
      <c r="CB96" s="418"/>
      <c r="CC96" s="418"/>
      <c r="CD96" s="418"/>
      <c r="CE96" s="418"/>
      <c r="CF96" s="527"/>
    </row>
    <row r="97" spans="1:84" ht="12.95" customHeight="1" x14ac:dyDescent="0.25">
      <c r="A97" s="734">
        <v>16</v>
      </c>
      <c r="B97" s="277">
        <v>5478</v>
      </c>
      <c r="C97" s="348">
        <v>600098818</v>
      </c>
      <c r="D97" s="277">
        <v>70698031</v>
      </c>
      <c r="E97" s="290" t="s">
        <v>440</v>
      </c>
      <c r="F97" s="277"/>
      <c r="G97" s="349"/>
      <c r="H97" s="735"/>
      <c r="I97" s="489">
        <f t="shared" ref="I97:BU97" si="337">SUM(I94:I96)</f>
        <v>9443600</v>
      </c>
      <c r="J97" s="487">
        <f t="shared" si="337"/>
        <v>6985474</v>
      </c>
      <c r="K97" s="487">
        <f t="shared" si="337"/>
        <v>5797401</v>
      </c>
      <c r="L97" s="487">
        <f t="shared" si="337"/>
        <v>1188073</v>
      </c>
      <c r="M97" s="487">
        <f t="shared" si="337"/>
        <v>0</v>
      </c>
      <c r="N97" s="487">
        <f t="shared" si="337"/>
        <v>0</v>
      </c>
      <c r="O97" s="487">
        <f t="shared" si="337"/>
        <v>0</v>
      </c>
      <c r="P97" s="487">
        <f t="shared" si="337"/>
        <v>2361091</v>
      </c>
      <c r="Q97" s="487">
        <f t="shared" si="337"/>
        <v>69855</v>
      </c>
      <c r="R97" s="487">
        <f t="shared" si="337"/>
        <v>27180</v>
      </c>
      <c r="S97" s="488">
        <f t="shared" si="337"/>
        <v>13.831100000000001</v>
      </c>
      <c r="T97" s="488">
        <f t="shared" si="337"/>
        <v>10.064399999999999</v>
      </c>
      <c r="U97" s="353">
        <f t="shared" si="337"/>
        <v>3.7667000000000002</v>
      </c>
      <c r="V97" s="490">
        <f t="shared" si="337"/>
        <v>0</v>
      </c>
      <c r="W97" s="487">
        <f t="shared" si="337"/>
        <v>0</v>
      </c>
      <c r="X97" s="487">
        <f t="shared" si="337"/>
        <v>271921</v>
      </c>
      <c r="Y97" s="487">
        <f t="shared" si="337"/>
        <v>0</v>
      </c>
      <c r="Z97" s="487">
        <f t="shared" si="337"/>
        <v>0</v>
      </c>
      <c r="AA97" s="487">
        <f t="shared" si="337"/>
        <v>0</v>
      </c>
      <c r="AB97" s="487">
        <f t="shared" si="337"/>
        <v>0</v>
      </c>
      <c r="AC97" s="487">
        <f t="shared" si="337"/>
        <v>0</v>
      </c>
      <c r="AD97" s="487">
        <f t="shared" si="337"/>
        <v>-186566</v>
      </c>
      <c r="AE97" s="487">
        <f t="shared" si="337"/>
        <v>101984</v>
      </c>
      <c r="AF97" s="487">
        <f t="shared" si="337"/>
        <v>85355</v>
      </c>
      <c r="AG97" s="487">
        <f t="shared" si="337"/>
        <v>101984</v>
      </c>
      <c r="AH97" s="487">
        <f t="shared" si="337"/>
        <v>187339</v>
      </c>
      <c r="AI97" s="487">
        <f t="shared" si="337"/>
        <v>0</v>
      </c>
      <c r="AJ97" s="487">
        <f t="shared" si="337"/>
        <v>0</v>
      </c>
      <c r="AK97" s="487">
        <f t="shared" ref="AK97" si="338">SUM(AK94:AK96)</f>
        <v>0</v>
      </c>
      <c r="AL97" s="487">
        <f t="shared" si="337"/>
        <v>0</v>
      </c>
      <c r="AM97" s="487">
        <f t="shared" si="337"/>
        <v>180669</v>
      </c>
      <c r="AN97" s="487">
        <f t="shared" si="337"/>
        <v>0</v>
      </c>
      <c r="AO97" s="487">
        <f t="shared" si="337"/>
        <v>180669</v>
      </c>
      <c r="AP97" s="487">
        <f t="shared" si="337"/>
        <v>0</v>
      </c>
      <c r="AQ97" s="487">
        <f t="shared" si="337"/>
        <v>180669</v>
      </c>
      <c r="AR97" s="487">
        <f t="shared" si="337"/>
        <v>266024</v>
      </c>
      <c r="AS97" s="487">
        <f t="shared" si="337"/>
        <v>101984</v>
      </c>
      <c r="AT97" s="487">
        <f t="shared" si="337"/>
        <v>368008</v>
      </c>
      <c r="AU97" s="487">
        <f t="shared" si="337"/>
        <v>63320</v>
      </c>
      <c r="AV97" s="487">
        <f t="shared" si="337"/>
        <v>1873</v>
      </c>
      <c r="AW97" s="487">
        <f t="shared" si="337"/>
        <v>0</v>
      </c>
      <c r="AX97" s="487">
        <f t="shared" si="337"/>
        <v>0</v>
      </c>
      <c r="AY97" s="487">
        <f t="shared" si="337"/>
        <v>0</v>
      </c>
      <c r="AZ97" s="487">
        <f t="shared" si="337"/>
        <v>433201</v>
      </c>
      <c r="BA97" s="488">
        <f t="shared" si="337"/>
        <v>0</v>
      </c>
      <c r="BB97" s="488">
        <f t="shared" si="337"/>
        <v>0</v>
      </c>
      <c r="BC97" s="488">
        <f t="shared" si="337"/>
        <v>1</v>
      </c>
      <c r="BD97" s="488">
        <f t="shared" si="337"/>
        <v>0</v>
      </c>
      <c r="BE97" s="488">
        <f t="shared" si="337"/>
        <v>0</v>
      </c>
      <c r="BF97" s="488">
        <f t="shared" si="337"/>
        <v>0</v>
      </c>
      <c r="BG97" s="488">
        <f t="shared" si="337"/>
        <v>0</v>
      </c>
      <c r="BH97" s="488">
        <f t="shared" si="337"/>
        <v>0</v>
      </c>
      <c r="BI97" s="488">
        <f t="shared" si="337"/>
        <v>-0.33</v>
      </c>
      <c r="BJ97" s="488">
        <f t="shared" si="337"/>
        <v>0.27</v>
      </c>
      <c r="BK97" s="488">
        <f t="shared" si="337"/>
        <v>0.66999999999999993</v>
      </c>
      <c r="BL97" s="488">
        <f t="shared" si="337"/>
        <v>0.27</v>
      </c>
      <c r="BM97" s="563">
        <f t="shared" si="337"/>
        <v>0.94</v>
      </c>
      <c r="BN97" s="489">
        <f t="shared" si="337"/>
        <v>9876801</v>
      </c>
      <c r="BO97" s="487">
        <f t="shared" si="337"/>
        <v>7172813</v>
      </c>
      <c r="BP97" s="487">
        <f t="shared" si="337"/>
        <v>5882756</v>
      </c>
      <c r="BQ97" s="487">
        <f t="shared" si="337"/>
        <v>1290057</v>
      </c>
      <c r="BR97" s="487">
        <f t="shared" si="337"/>
        <v>180669</v>
      </c>
      <c r="BS97" s="487">
        <f t="shared" si="337"/>
        <v>180669</v>
      </c>
      <c r="BT97" s="487">
        <f t="shared" si="337"/>
        <v>0</v>
      </c>
      <c r="BU97" s="487">
        <f t="shared" si="337"/>
        <v>2424411</v>
      </c>
      <c r="BV97" s="487">
        <f t="shared" ref="BV97:CF97" si="339">SUM(BV94:BV96)</f>
        <v>71728</v>
      </c>
      <c r="BW97" s="487">
        <f t="shared" si="339"/>
        <v>27180</v>
      </c>
      <c r="BX97" s="488">
        <f t="shared" si="339"/>
        <v>14.771100000000001</v>
      </c>
      <c r="BY97" s="488">
        <f t="shared" si="339"/>
        <v>10.734399999999999</v>
      </c>
      <c r="BZ97" s="563">
        <f t="shared" si="339"/>
        <v>4.0367000000000006</v>
      </c>
      <c r="CA97" s="888">
        <f t="shared" si="339"/>
        <v>0</v>
      </c>
      <c r="CB97" s="887">
        <f t="shared" si="339"/>
        <v>0</v>
      </c>
      <c r="CC97" s="887">
        <f t="shared" si="339"/>
        <v>0</v>
      </c>
      <c r="CD97" s="887">
        <f t="shared" si="339"/>
        <v>0</v>
      </c>
      <c r="CE97" s="887">
        <f t="shared" si="339"/>
        <v>0</v>
      </c>
      <c r="CF97" s="843">
        <f t="shared" si="339"/>
        <v>0</v>
      </c>
    </row>
    <row r="98" spans="1:84" ht="12.95" customHeight="1" x14ac:dyDescent="0.25">
      <c r="A98" s="282">
        <v>17</v>
      </c>
      <c r="B98" s="323">
        <v>5479</v>
      </c>
      <c r="C98" s="324">
        <v>600099105</v>
      </c>
      <c r="D98" s="283">
        <v>70910600</v>
      </c>
      <c r="E98" s="553" t="s">
        <v>797</v>
      </c>
      <c r="F98" s="323">
        <v>3113</v>
      </c>
      <c r="G98" s="347" t="s">
        <v>309</v>
      </c>
      <c r="H98" s="733" t="s">
        <v>271</v>
      </c>
      <c r="I98" s="423">
        <f t="shared" ref="I98:I104" si="340">J98+P98+Q98+R98</f>
        <v>16374245</v>
      </c>
      <c r="J98" s="418">
        <f t="shared" ref="J98:J104" si="341">K98+L98</f>
        <v>11995391</v>
      </c>
      <c r="K98" s="418">
        <v>11047753</v>
      </c>
      <c r="L98" s="418">
        <v>947638</v>
      </c>
      <c r="M98" s="418">
        <f t="shared" ref="M98:M104" si="342">N98+O98</f>
        <v>0</v>
      </c>
      <c r="N98" s="418">
        <v>0</v>
      </c>
      <c r="O98" s="418">
        <v>0</v>
      </c>
      <c r="P98" s="68">
        <f t="shared" ref="P98:P104" si="343">ROUND((J98+M98)*33.8%,0)</f>
        <v>4054442</v>
      </c>
      <c r="Q98" s="68">
        <f t="shared" ref="Q98:Q104" si="344">ROUND(J98*1%,0)</f>
        <v>119954</v>
      </c>
      <c r="R98" s="418">
        <v>204458</v>
      </c>
      <c r="S98" s="419">
        <f t="shared" ref="S98:S104" si="345">T98+U98</f>
        <v>18.317</v>
      </c>
      <c r="T98" s="420">
        <v>15.5906</v>
      </c>
      <c r="U98" s="527">
        <v>2.7263999999999999</v>
      </c>
      <c r="V98" s="427">
        <f t="shared" ref="V98:W104" si="346">AI98*-1</f>
        <v>-32000</v>
      </c>
      <c r="W98" s="421">
        <f t="shared" si="346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 t="shared" ref="AF98:AF104" si="347">V98+X98+Y98+AA98+AB98+AD98</f>
        <v>-32000</v>
      </c>
      <c r="AG98" s="421">
        <f t="shared" ref="AG98:AG104" si="348">W98+Z98+AC98+AE98</f>
        <v>0</v>
      </c>
      <c r="AH98" s="421">
        <f t="shared" ref="AH98:AH104" si="349">SUM(AF98:AG98)</f>
        <v>-32000</v>
      </c>
      <c r="AI98" s="421">
        <f>16000+16000</f>
        <v>32000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ref="AO98:AO104" si="350">AI98+AK98+AL98+AM98</f>
        <v>32000</v>
      </c>
      <c r="AP98" s="421">
        <f t="shared" ref="AP98:AP104" si="351">AJ98+AN98</f>
        <v>0</v>
      </c>
      <c r="AQ98" s="421">
        <f t="shared" ref="AQ98:AQ104" si="352">SUM(AO98:AP98)</f>
        <v>32000</v>
      </c>
      <c r="AR98" s="421">
        <f t="shared" ref="AR98:AS104" si="353">AF98+AO98</f>
        <v>0</v>
      </c>
      <c r="AS98" s="421">
        <f t="shared" si="353"/>
        <v>0</v>
      </c>
      <c r="AT98" s="421">
        <f t="shared" ref="AT98:AT104" si="354">SUM(AR98:AS98)</f>
        <v>0</v>
      </c>
      <c r="AU98" s="68">
        <f t="shared" ref="AU98:AU104" si="355">ROUND((AH98+AI98+AJ98+AK98+AL98)*33.8%,0)</f>
        <v>0</v>
      </c>
      <c r="AV98" s="68">
        <f t="shared" ref="AV98:AV104" si="356">ROUND(AH98*1%,0)</f>
        <v>-320</v>
      </c>
      <c r="AW98" s="421">
        <v>0</v>
      </c>
      <c r="AX98" s="421">
        <v>0</v>
      </c>
      <c r="AY98" s="421">
        <f t="shared" ref="AY98:AY104" si="357">AW98+AX98</f>
        <v>0</v>
      </c>
      <c r="AZ98" s="421">
        <f t="shared" ref="AZ98:AZ104" si="358">AT98+AU98+AV98+AY98</f>
        <v>-320</v>
      </c>
      <c r="BA98" s="422">
        <v>-0.02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 t="shared" ref="BK98:BK104" si="359">BA98+BC98+BD98+BF98+BH98+BI98</f>
        <v>-0.02</v>
      </c>
      <c r="BL98" s="422">
        <f t="shared" ref="BL98:BL104" si="360">BB98+BE98+BG98+BJ98</f>
        <v>0</v>
      </c>
      <c r="BM98" s="611">
        <f t="shared" ref="BM98:BM104" si="361">SUM(BK98:BL98)</f>
        <v>-0.02</v>
      </c>
      <c r="BN98" s="428">
        <f t="shared" ref="BN98:BN104" si="362">I98+AZ98</f>
        <v>16373925</v>
      </c>
      <c r="BO98" s="421">
        <f t="shared" ref="BO98:BO104" si="363">J98+AH98</f>
        <v>11963391</v>
      </c>
      <c r="BP98" s="421">
        <f t="shared" ref="BP98:BQ104" si="364">K98+AF98</f>
        <v>11015753</v>
      </c>
      <c r="BQ98" s="421">
        <f t="shared" si="364"/>
        <v>947638</v>
      </c>
      <c r="BR98" s="421">
        <f t="shared" ref="BR98:BR104" si="365">M98+AQ98</f>
        <v>32000</v>
      </c>
      <c r="BS98" s="421">
        <f t="shared" ref="BS98:BT104" si="366">N98+AO98</f>
        <v>32000</v>
      </c>
      <c r="BT98" s="421">
        <f t="shared" si="366"/>
        <v>0</v>
      </c>
      <c r="BU98" s="421">
        <f t="shared" ref="BU98:BV104" si="367">P98+AU98</f>
        <v>4054442</v>
      </c>
      <c r="BV98" s="421">
        <f t="shared" si="367"/>
        <v>119634</v>
      </c>
      <c r="BW98" s="421">
        <f t="shared" ref="BW98:BW104" si="368">R98+AY98</f>
        <v>204458</v>
      </c>
      <c r="BX98" s="422">
        <f t="shared" ref="BX98:BX104" si="369">S98+BM98</f>
        <v>18.297000000000001</v>
      </c>
      <c r="BY98" s="422">
        <f t="shared" ref="BY98:BZ104" si="370">T98+BK98</f>
        <v>15.570600000000001</v>
      </c>
      <c r="BZ98" s="611">
        <f t="shared" si="370"/>
        <v>2.7263999999999999</v>
      </c>
      <c r="CA98" s="423"/>
      <c r="CB98" s="418"/>
      <c r="CC98" s="418"/>
      <c r="CD98" s="418"/>
      <c r="CE98" s="418"/>
      <c r="CF98" s="527"/>
    </row>
    <row r="99" spans="1:84" ht="12.95" customHeight="1" x14ac:dyDescent="0.25">
      <c r="A99" s="282">
        <v>17</v>
      </c>
      <c r="B99" s="323">
        <v>5479</v>
      </c>
      <c r="C99" s="324">
        <v>600099105</v>
      </c>
      <c r="D99" s="283">
        <v>70910600</v>
      </c>
      <c r="E99" s="553" t="s">
        <v>797</v>
      </c>
      <c r="F99" s="323">
        <v>3113</v>
      </c>
      <c r="G99" s="288" t="s">
        <v>293</v>
      </c>
      <c r="H99" s="733" t="s">
        <v>271</v>
      </c>
      <c r="I99" s="423">
        <f t="shared" si="340"/>
        <v>485783</v>
      </c>
      <c r="J99" s="418">
        <f t="shared" si="341"/>
        <v>360373</v>
      </c>
      <c r="K99" s="418">
        <v>360373</v>
      </c>
      <c r="L99" s="418">
        <v>0</v>
      </c>
      <c r="M99" s="418">
        <f t="shared" si="342"/>
        <v>0</v>
      </c>
      <c r="N99" s="418">
        <v>0</v>
      </c>
      <c r="O99" s="418">
        <v>0</v>
      </c>
      <c r="P99" s="68">
        <f t="shared" si="343"/>
        <v>121806</v>
      </c>
      <c r="Q99" s="68">
        <f t="shared" si="344"/>
        <v>3604</v>
      </c>
      <c r="R99" s="418">
        <v>0</v>
      </c>
      <c r="S99" s="419">
        <f t="shared" si="345"/>
        <v>0.80559999999999998</v>
      </c>
      <c r="T99" s="420">
        <v>0.80559999999999998</v>
      </c>
      <c r="U99" s="527">
        <v>0</v>
      </c>
      <c r="V99" s="427">
        <f t="shared" si="346"/>
        <v>0</v>
      </c>
      <c r="W99" s="421">
        <f t="shared" si="346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 t="shared" si="347"/>
        <v>0</v>
      </c>
      <c r="AG99" s="421">
        <f t="shared" si="348"/>
        <v>0</v>
      </c>
      <c r="AH99" s="421">
        <f t="shared" si="349"/>
        <v>0</v>
      </c>
      <c r="AI99" s="421">
        <v>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si="350"/>
        <v>0</v>
      </c>
      <c r="AP99" s="421">
        <f t="shared" si="351"/>
        <v>0</v>
      </c>
      <c r="AQ99" s="421">
        <f t="shared" si="352"/>
        <v>0</v>
      </c>
      <c r="AR99" s="421">
        <f t="shared" si="353"/>
        <v>0</v>
      </c>
      <c r="AS99" s="421">
        <f t="shared" si="353"/>
        <v>0</v>
      </c>
      <c r="AT99" s="421">
        <f t="shared" si="354"/>
        <v>0</v>
      </c>
      <c r="AU99" s="68">
        <f t="shared" si="355"/>
        <v>0</v>
      </c>
      <c r="AV99" s="68">
        <f t="shared" si="356"/>
        <v>0</v>
      </c>
      <c r="AW99" s="421">
        <v>0</v>
      </c>
      <c r="AX99" s="421">
        <v>0</v>
      </c>
      <c r="AY99" s="421">
        <f t="shared" si="357"/>
        <v>0</v>
      </c>
      <c r="AZ99" s="421">
        <f t="shared" si="358"/>
        <v>0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 t="shared" si="359"/>
        <v>0</v>
      </c>
      <c r="BL99" s="422">
        <f t="shared" si="360"/>
        <v>0</v>
      </c>
      <c r="BM99" s="611">
        <f t="shared" si="361"/>
        <v>0</v>
      </c>
      <c r="BN99" s="428">
        <f t="shared" si="362"/>
        <v>485783</v>
      </c>
      <c r="BO99" s="421">
        <f t="shared" si="363"/>
        <v>360373</v>
      </c>
      <c r="BP99" s="421">
        <f t="shared" si="364"/>
        <v>360373</v>
      </c>
      <c r="BQ99" s="421">
        <f t="shared" si="364"/>
        <v>0</v>
      </c>
      <c r="BR99" s="421">
        <f t="shared" si="365"/>
        <v>0</v>
      </c>
      <c r="BS99" s="421">
        <f t="shared" si="366"/>
        <v>0</v>
      </c>
      <c r="BT99" s="421">
        <f t="shared" si="366"/>
        <v>0</v>
      </c>
      <c r="BU99" s="421">
        <f t="shared" si="367"/>
        <v>121806</v>
      </c>
      <c r="BV99" s="421">
        <f t="shared" si="367"/>
        <v>3604</v>
      </c>
      <c r="BW99" s="421">
        <f t="shared" si="368"/>
        <v>0</v>
      </c>
      <c r="BX99" s="422">
        <f t="shared" si="369"/>
        <v>0.80559999999999998</v>
      </c>
      <c r="BY99" s="422">
        <f t="shared" si="370"/>
        <v>0.80559999999999998</v>
      </c>
      <c r="BZ99" s="611">
        <f t="shared" si="370"/>
        <v>0</v>
      </c>
      <c r="CA99" s="423"/>
      <c r="CB99" s="418"/>
      <c r="CC99" s="418"/>
      <c r="CD99" s="418"/>
      <c r="CE99" s="418"/>
      <c r="CF99" s="527"/>
    </row>
    <row r="100" spans="1:84" ht="12.95" customHeight="1" x14ac:dyDescent="0.25">
      <c r="A100" s="282">
        <v>17</v>
      </c>
      <c r="B100" s="323">
        <v>5479</v>
      </c>
      <c r="C100" s="324">
        <v>600099105</v>
      </c>
      <c r="D100" s="283">
        <v>70910600</v>
      </c>
      <c r="E100" s="553" t="s">
        <v>797</v>
      </c>
      <c r="F100" s="323">
        <v>3113</v>
      </c>
      <c r="G100" s="286" t="s">
        <v>292</v>
      </c>
      <c r="H100" s="733" t="s">
        <v>272</v>
      </c>
      <c r="I100" s="423">
        <f t="shared" si="340"/>
        <v>0</v>
      </c>
      <c r="J100" s="418">
        <f t="shared" si="341"/>
        <v>0</v>
      </c>
      <c r="K100" s="418">
        <v>0</v>
      </c>
      <c r="L100" s="418">
        <v>0</v>
      </c>
      <c r="M100" s="418">
        <f>N100+O100</f>
        <v>0</v>
      </c>
      <c r="N100" s="418">
        <v>0</v>
      </c>
      <c r="O100" s="418">
        <v>0</v>
      </c>
      <c r="P100" s="68">
        <f t="shared" si="343"/>
        <v>0</v>
      </c>
      <c r="Q100" s="68">
        <f t="shared" si="344"/>
        <v>0</v>
      </c>
      <c r="R100" s="418">
        <v>0</v>
      </c>
      <c r="S100" s="419">
        <f>T100+U100</f>
        <v>0</v>
      </c>
      <c r="T100" s="420">
        <v>0</v>
      </c>
      <c r="U100" s="527">
        <v>0</v>
      </c>
      <c r="V100" s="427">
        <f t="shared" si="346"/>
        <v>0</v>
      </c>
      <c r="W100" s="421">
        <f t="shared" si="346"/>
        <v>0</v>
      </c>
      <c r="X100" s="421">
        <v>1435473</v>
      </c>
      <c r="Y100" s="421">
        <v>0</v>
      </c>
      <c r="Z100" s="421">
        <v>0</v>
      </c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f t="shared" si="347"/>
        <v>1435473</v>
      </c>
      <c r="AG100" s="421">
        <f t="shared" si="348"/>
        <v>0</v>
      </c>
      <c r="AH100" s="421">
        <f t="shared" si="349"/>
        <v>1435473</v>
      </c>
      <c r="AI100" s="421">
        <v>0</v>
      </c>
      <c r="AJ100" s="421">
        <v>0</v>
      </c>
      <c r="AK100" s="421">
        <v>0</v>
      </c>
      <c r="AL100" s="421">
        <v>0</v>
      </c>
      <c r="AM100" s="421">
        <v>0</v>
      </c>
      <c r="AN100" s="421">
        <v>0</v>
      </c>
      <c r="AO100" s="421">
        <f t="shared" si="350"/>
        <v>0</v>
      </c>
      <c r="AP100" s="421">
        <f t="shared" si="351"/>
        <v>0</v>
      </c>
      <c r="AQ100" s="421">
        <f t="shared" si="352"/>
        <v>0</v>
      </c>
      <c r="AR100" s="421">
        <f t="shared" si="353"/>
        <v>1435473</v>
      </c>
      <c r="AS100" s="421">
        <f t="shared" si="353"/>
        <v>0</v>
      </c>
      <c r="AT100" s="421">
        <f t="shared" si="354"/>
        <v>1435473</v>
      </c>
      <c r="AU100" s="68">
        <f t="shared" si="355"/>
        <v>485190</v>
      </c>
      <c r="AV100" s="68">
        <f t="shared" si="356"/>
        <v>14355</v>
      </c>
      <c r="AW100" s="421">
        <v>0</v>
      </c>
      <c r="AX100" s="421">
        <v>0</v>
      </c>
      <c r="AY100" s="421">
        <f t="shared" si="357"/>
        <v>0</v>
      </c>
      <c r="AZ100" s="421">
        <f t="shared" si="358"/>
        <v>1935018</v>
      </c>
      <c r="BA100" s="422">
        <v>0</v>
      </c>
      <c r="BB100" s="422">
        <v>0</v>
      </c>
      <c r="BC100" s="422">
        <v>3.35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 t="shared" si="359"/>
        <v>3.35</v>
      </c>
      <c r="BL100" s="422">
        <f t="shared" si="360"/>
        <v>0</v>
      </c>
      <c r="BM100" s="611">
        <f t="shared" si="361"/>
        <v>3.35</v>
      </c>
      <c r="BN100" s="428">
        <f t="shared" si="362"/>
        <v>1935018</v>
      </c>
      <c r="BO100" s="421">
        <f t="shared" si="363"/>
        <v>1435473</v>
      </c>
      <c r="BP100" s="421">
        <f t="shared" si="364"/>
        <v>1435473</v>
      </c>
      <c r="BQ100" s="421">
        <f t="shared" si="364"/>
        <v>0</v>
      </c>
      <c r="BR100" s="421">
        <f t="shared" si="365"/>
        <v>0</v>
      </c>
      <c r="BS100" s="421">
        <f t="shared" si="366"/>
        <v>0</v>
      </c>
      <c r="BT100" s="421">
        <f t="shared" si="366"/>
        <v>0</v>
      </c>
      <c r="BU100" s="421">
        <f t="shared" si="367"/>
        <v>485190</v>
      </c>
      <c r="BV100" s="421">
        <f t="shared" si="367"/>
        <v>14355</v>
      </c>
      <c r="BW100" s="421">
        <f t="shared" si="368"/>
        <v>0</v>
      </c>
      <c r="BX100" s="422">
        <f t="shared" si="369"/>
        <v>3.35</v>
      </c>
      <c r="BY100" s="422">
        <f t="shared" si="370"/>
        <v>3.35</v>
      </c>
      <c r="BZ100" s="611">
        <f t="shared" si="370"/>
        <v>0</v>
      </c>
      <c r="CA100" s="423"/>
      <c r="CB100" s="418"/>
      <c r="CC100" s="418"/>
      <c r="CD100" s="418"/>
      <c r="CE100" s="418"/>
      <c r="CF100" s="527"/>
    </row>
    <row r="101" spans="1:84" ht="12.95" customHeight="1" x14ac:dyDescent="0.25">
      <c r="A101" s="282">
        <v>17</v>
      </c>
      <c r="B101" s="323">
        <v>5479</v>
      </c>
      <c r="C101" s="324">
        <v>600099105</v>
      </c>
      <c r="D101" s="283">
        <v>70910600</v>
      </c>
      <c r="E101" s="553" t="s">
        <v>797</v>
      </c>
      <c r="F101" s="323">
        <v>3141</v>
      </c>
      <c r="G101" s="347" t="s">
        <v>295</v>
      </c>
      <c r="H101" s="733" t="s">
        <v>272</v>
      </c>
      <c r="I101" s="423">
        <f t="shared" si="340"/>
        <v>989710</v>
      </c>
      <c r="J101" s="418">
        <f t="shared" si="341"/>
        <v>729221</v>
      </c>
      <c r="K101" s="418">
        <v>0</v>
      </c>
      <c r="L101" s="418">
        <v>729221</v>
      </c>
      <c r="M101" s="418">
        <f t="shared" si="342"/>
        <v>0</v>
      </c>
      <c r="N101" s="418">
        <v>0</v>
      </c>
      <c r="O101" s="418">
        <v>0</v>
      </c>
      <c r="P101" s="68">
        <f t="shared" si="343"/>
        <v>246477</v>
      </c>
      <c r="Q101" s="68">
        <f t="shared" si="344"/>
        <v>7292</v>
      </c>
      <c r="R101" s="418">
        <v>6720</v>
      </c>
      <c r="S101" s="419">
        <f t="shared" si="345"/>
        <v>2.1867000000000001</v>
      </c>
      <c r="T101" s="420">
        <v>0</v>
      </c>
      <c r="U101" s="527">
        <v>2.1867000000000001</v>
      </c>
      <c r="V101" s="427">
        <f t="shared" si="346"/>
        <v>0</v>
      </c>
      <c r="W101" s="421">
        <f t="shared" si="346"/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 t="shared" si="347"/>
        <v>0</v>
      </c>
      <c r="AG101" s="421">
        <f t="shared" si="348"/>
        <v>0</v>
      </c>
      <c r="AH101" s="421">
        <f t="shared" si="349"/>
        <v>0</v>
      </c>
      <c r="AI101" s="421">
        <v>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350"/>
        <v>0</v>
      </c>
      <c r="AP101" s="421">
        <f t="shared" si="351"/>
        <v>0</v>
      </c>
      <c r="AQ101" s="421">
        <f t="shared" si="352"/>
        <v>0</v>
      </c>
      <c r="AR101" s="421">
        <f t="shared" si="353"/>
        <v>0</v>
      </c>
      <c r="AS101" s="421">
        <f t="shared" si="353"/>
        <v>0</v>
      </c>
      <c r="AT101" s="421">
        <f t="shared" si="354"/>
        <v>0</v>
      </c>
      <c r="AU101" s="68">
        <f t="shared" si="355"/>
        <v>0</v>
      </c>
      <c r="AV101" s="68">
        <f t="shared" si="356"/>
        <v>0</v>
      </c>
      <c r="AW101" s="421">
        <v>0</v>
      </c>
      <c r="AX101" s="421">
        <v>0</v>
      </c>
      <c r="AY101" s="421">
        <f t="shared" si="357"/>
        <v>0</v>
      </c>
      <c r="AZ101" s="421">
        <f t="shared" si="358"/>
        <v>0</v>
      </c>
      <c r="BA101" s="422">
        <v>0</v>
      </c>
      <c r="BB101" s="422">
        <v>0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 t="shared" si="359"/>
        <v>0</v>
      </c>
      <c r="BL101" s="422">
        <f t="shared" si="360"/>
        <v>0</v>
      </c>
      <c r="BM101" s="611">
        <f t="shared" si="361"/>
        <v>0</v>
      </c>
      <c r="BN101" s="428">
        <f t="shared" si="362"/>
        <v>989710</v>
      </c>
      <c r="BO101" s="421">
        <f t="shared" si="363"/>
        <v>729221</v>
      </c>
      <c r="BP101" s="421">
        <f t="shared" si="364"/>
        <v>0</v>
      </c>
      <c r="BQ101" s="421">
        <f t="shared" si="364"/>
        <v>729221</v>
      </c>
      <c r="BR101" s="421">
        <f t="shared" si="365"/>
        <v>0</v>
      </c>
      <c r="BS101" s="421">
        <f t="shared" si="366"/>
        <v>0</v>
      </c>
      <c r="BT101" s="421">
        <f t="shared" si="366"/>
        <v>0</v>
      </c>
      <c r="BU101" s="421">
        <f t="shared" si="367"/>
        <v>246477</v>
      </c>
      <c r="BV101" s="421">
        <f t="shared" si="367"/>
        <v>7292</v>
      </c>
      <c r="BW101" s="421">
        <f t="shared" si="368"/>
        <v>6720</v>
      </c>
      <c r="BX101" s="422">
        <f t="shared" si="369"/>
        <v>2.1867000000000001</v>
      </c>
      <c r="BY101" s="422">
        <f t="shared" si="370"/>
        <v>0</v>
      </c>
      <c r="BZ101" s="611">
        <f t="shared" si="370"/>
        <v>2.1867000000000001</v>
      </c>
      <c r="CA101" s="423"/>
      <c r="CB101" s="418"/>
      <c r="CC101" s="418"/>
      <c r="CD101" s="418"/>
      <c r="CE101" s="418"/>
      <c r="CF101" s="527"/>
    </row>
    <row r="102" spans="1:84" ht="12.95" customHeight="1" x14ac:dyDescent="0.25">
      <c r="A102" s="282">
        <v>17</v>
      </c>
      <c r="B102" s="323">
        <v>5479</v>
      </c>
      <c r="C102" s="324">
        <v>600099105</v>
      </c>
      <c r="D102" s="283">
        <v>70910600</v>
      </c>
      <c r="E102" s="553" t="s">
        <v>797</v>
      </c>
      <c r="F102" s="323">
        <v>3143</v>
      </c>
      <c r="G102" s="286" t="s">
        <v>596</v>
      </c>
      <c r="H102" s="733" t="s">
        <v>271</v>
      </c>
      <c r="I102" s="423">
        <f t="shared" si="340"/>
        <v>1549705</v>
      </c>
      <c r="J102" s="418">
        <f t="shared" si="341"/>
        <v>1149633</v>
      </c>
      <c r="K102" s="418">
        <v>1149633</v>
      </c>
      <c r="L102" s="418">
        <v>0</v>
      </c>
      <c r="M102" s="418">
        <f t="shared" si="342"/>
        <v>0</v>
      </c>
      <c r="N102" s="418">
        <v>0</v>
      </c>
      <c r="O102" s="418">
        <v>0</v>
      </c>
      <c r="P102" s="68">
        <f t="shared" si="343"/>
        <v>388576</v>
      </c>
      <c r="Q102" s="68">
        <f t="shared" si="344"/>
        <v>11496</v>
      </c>
      <c r="R102" s="418">
        <v>0</v>
      </c>
      <c r="S102" s="419">
        <f t="shared" si="345"/>
        <v>2.1667000000000001</v>
      </c>
      <c r="T102" s="420">
        <v>2.1667000000000001</v>
      </c>
      <c r="U102" s="527">
        <v>0</v>
      </c>
      <c r="V102" s="427">
        <f t="shared" si="346"/>
        <v>0</v>
      </c>
      <c r="W102" s="421">
        <f t="shared" si="346"/>
        <v>0</v>
      </c>
      <c r="X102" s="421">
        <v>0</v>
      </c>
      <c r="Y102" s="421">
        <v>0</v>
      </c>
      <c r="Z102" s="421">
        <v>0</v>
      </c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f t="shared" si="347"/>
        <v>0</v>
      </c>
      <c r="AG102" s="421">
        <f t="shared" si="348"/>
        <v>0</v>
      </c>
      <c r="AH102" s="421">
        <f t="shared" si="349"/>
        <v>0</v>
      </c>
      <c r="AI102" s="421">
        <v>0</v>
      </c>
      <c r="AJ102" s="421">
        <v>0</v>
      </c>
      <c r="AK102" s="421">
        <v>0</v>
      </c>
      <c r="AL102" s="421">
        <v>0</v>
      </c>
      <c r="AM102" s="421">
        <v>0</v>
      </c>
      <c r="AN102" s="421">
        <v>0</v>
      </c>
      <c r="AO102" s="421">
        <f t="shared" si="350"/>
        <v>0</v>
      </c>
      <c r="AP102" s="421">
        <f t="shared" si="351"/>
        <v>0</v>
      </c>
      <c r="AQ102" s="421">
        <f t="shared" si="352"/>
        <v>0</v>
      </c>
      <c r="AR102" s="421">
        <f t="shared" si="353"/>
        <v>0</v>
      </c>
      <c r="AS102" s="421">
        <f t="shared" si="353"/>
        <v>0</v>
      </c>
      <c r="AT102" s="421">
        <f t="shared" si="354"/>
        <v>0</v>
      </c>
      <c r="AU102" s="68">
        <f t="shared" si="355"/>
        <v>0</v>
      </c>
      <c r="AV102" s="68">
        <f t="shared" si="356"/>
        <v>0</v>
      </c>
      <c r="AW102" s="421">
        <v>0</v>
      </c>
      <c r="AX102" s="421">
        <v>0</v>
      </c>
      <c r="AY102" s="421">
        <f t="shared" si="357"/>
        <v>0</v>
      </c>
      <c r="AZ102" s="421">
        <f t="shared" si="358"/>
        <v>0</v>
      </c>
      <c r="BA102" s="422">
        <v>0</v>
      </c>
      <c r="BB102" s="422">
        <v>0</v>
      </c>
      <c r="BC102" s="422">
        <v>0</v>
      </c>
      <c r="BD102" s="422">
        <v>0</v>
      </c>
      <c r="BE102" s="422">
        <v>0</v>
      </c>
      <c r="BF102" s="422">
        <v>0</v>
      </c>
      <c r="BG102" s="422">
        <v>0</v>
      </c>
      <c r="BH102" s="422">
        <v>0</v>
      </c>
      <c r="BI102" s="422">
        <v>0</v>
      </c>
      <c r="BJ102" s="422">
        <v>0</v>
      </c>
      <c r="BK102" s="422">
        <f t="shared" si="359"/>
        <v>0</v>
      </c>
      <c r="BL102" s="422">
        <f t="shared" si="360"/>
        <v>0</v>
      </c>
      <c r="BM102" s="611">
        <f t="shared" si="361"/>
        <v>0</v>
      </c>
      <c r="BN102" s="428">
        <f t="shared" si="362"/>
        <v>1549705</v>
      </c>
      <c r="BO102" s="421">
        <f t="shared" si="363"/>
        <v>1149633</v>
      </c>
      <c r="BP102" s="421">
        <f t="shared" si="364"/>
        <v>1149633</v>
      </c>
      <c r="BQ102" s="421">
        <f t="shared" si="364"/>
        <v>0</v>
      </c>
      <c r="BR102" s="421">
        <f t="shared" si="365"/>
        <v>0</v>
      </c>
      <c r="BS102" s="421">
        <f t="shared" si="366"/>
        <v>0</v>
      </c>
      <c r="BT102" s="421">
        <f t="shared" si="366"/>
        <v>0</v>
      </c>
      <c r="BU102" s="421">
        <f t="shared" si="367"/>
        <v>388576</v>
      </c>
      <c r="BV102" s="421">
        <f t="shared" si="367"/>
        <v>11496</v>
      </c>
      <c r="BW102" s="421">
        <f t="shared" si="368"/>
        <v>0</v>
      </c>
      <c r="BX102" s="422">
        <f t="shared" si="369"/>
        <v>2.1667000000000001</v>
      </c>
      <c r="BY102" s="422">
        <f t="shared" si="370"/>
        <v>2.1667000000000001</v>
      </c>
      <c r="BZ102" s="611">
        <f t="shared" si="370"/>
        <v>0</v>
      </c>
      <c r="CA102" s="423"/>
      <c r="CB102" s="418"/>
      <c r="CC102" s="418"/>
      <c r="CD102" s="418"/>
      <c r="CE102" s="418"/>
      <c r="CF102" s="527"/>
    </row>
    <row r="103" spans="1:84" ht="12.95" customHeight="1" x14ac:dyDescent="0.25">
      <c r="A103" s="282">
        <v>17</v>
      </c>
      <c r="B103" s="323">
        <v>5479</v>
      </c>
      <c r="C103" s="324">
        <v>600099105</v>
      </c>
      <c r="D103" s="283">
        <v>70910600</v>
      </c>
      <c r="E103" s="553" t="s">
        <v>797</v>
      </c>
      <c r="F103" s="323">
        <v>3143</v>
      </c>
      <c r="G103" s="286" t="s">
        <v>597</v>
      </c>
      <c r="H103" s="733" t="s">
        <v>272</v>
      </c>
      <c r="I103" s="423">
        <f t="shared" si="340"/>
        <v>33822</v>
      </c>
      <c r="J103" s="418">
        <f t="shared" si="341"/>
        <v>24209</v>
      </c>
      <c r="K103" s="418">
        <v>0</v>
      </c>
      <c r="L103" s="418">
        <v>24209</v>
      </c>
      <c r="M103" s="418">
        <f t="shared" si="342"/>
        <v>0</v>
      </c>
      <c r="N103" s="418">
        <v>0</v>
      </c>
      <c r="O103" s="418">
        <v>0</v>
      </c>
      <c r="P103" s="68">
        <f t="shared" si="343"/>
        <v>8183</v>
      </c>
      <c r="Q103" s="68">
        <f t="shared" si="344"/>
        <v>242</v>
      </c>
      <c r="R103" s="418">
        <v>1188</v>
      </c>
      <c r="S103" s="419">
        <f t="shared" si="345"/>
        <v>9.1700000000000004E-2</v>
      </c>
      <c r="T103" s="420">
        <v>0</v>
      </c>
      <c r="U103" s="527">
        <v>9.1700000000000004E-2</v>
      </c>
      <c r="V103" s="427">
        <f t="shared" si="346"/>
        <v>0</v>
      </c>
      <c r="W103" s="421">
        <f t="shared" si="346"/>
        <v>0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 t="shared" si="347"/>
        <v>0</v>
      </c>
      <c r="AG103" s="421">
        <f t="shared" si="348"/>
        <v>0</v>
      </c>
      <c r="AH103" s="421">
        <f t="shared" si="349"/>
        <v>0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350"/>
        <v>0</v>
      </c>
      <c r="AP103" s="421">
        <f t="shared" si="351"/>
        <v>0</v>
      </c>
      <c r="AQ103" s="421">
        <f t="shared" si="352"/>
        <v>0</v>
      </c>
      <c r="AR103" s="421">
        <f t="shared" si="353"/>
        <v>0</v>
      </c>
      <c r="AS103" s="421">
        <f t="shared" si="353"/>
        <v>0</v>
      </c>
      <c r="AT103" s="421">
        <f t="shared" si="354"/>
        <v>0</v>
      </c>
      <c r="AU103" s="68">
        <f t="shared" si="355"/>
        <v>0</v>
      </c>
      <c r="AV103" s="68">
        <f t="shared" si="356"/>
        <v>0</v>
      </c>
      <c r="AW103" s="421">
        <v>0</v>
      </c>
      <c r="AX103" s="421">
        <v>0</v>
      </c>
      <c r="AY103" s="421">
        <f t="shared" si="357"/>
        <v>0</v>
      </c>
      <c r="AZ103" s="421">
        <f t="shared" si="358"/>
        <v>0</v>
      </c>
      <c r="BA103" s="422">
        <v>0</v>
      </c>
      <c r="BB103" s="422">
        <v>0</v>
      </c>
      <c r="BC103" s="422">
        <v>0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 t="shared" si="359"/>
        <v>0</v>
      </c>
      <c r="BL103" s="422">
        <f t="shared" si="360"/>
        <v>0</v>
      </c>
      <c r="BM103" s="611">
        <f t="shared" si="361"/>
        <v>0</v>
      </c>
      <c r="BN103" s="428">
        <f t="shared" si="362"/>
        <v>33822</v>
      </c>
      <c r="BO103" s="421">
        <f t="shared" si="363"/>
        <v>24209</v>
      </c>
      <c r="BP103" s="421">
        <f t="shared" si="364"/>
        <v>0</v>
      </c>
      <c r="BQ103" s="421">
        <f t="shared" si="364"/>
        <v>24209</v>
      </c>
      <c r="BR103" s="421">
        <f t="shared" si="365"/>
        <v>0</v>
      </c>
      <c r="BS103" s="421">
        <f t="shared" si="366"/>
        <v>0</v>
      </c>
      <c r="BT103" s="421">
        <f t="shared" si="366"/>
        <v>0</v>
      </c>
      <c r="BU103" s="421">
        <f t="shared" si="367"/>
        <v>8183</v>
      </c>
      <c r="BV103" s="421">
        <f t="shared" si="367"/>
        <v>242</v>
      </c>
      <c r="BW103" s="421">
        <f t="shared" si="368"/>
        <v>1188</v>
      </c>
      <c r="BX103" s="422">
        <f t="shared" si="369"/>
        <v>9.1700000000000004E-2</v>
      </c>
      <c r="BY103" s="422">
        <f t="shared" si="370"/>
        <v>0</v>
      </c>
      <c r="BZ103" s="611">
        <f t="shared" si="370"/>
        <v>9.1700000000000004E-2</v>
      </c>
      <c r="CA103" s="423"/>
      <c r="CB103" s="418"/>
      <c r="CC103" s="418"/>
      <c r="CD103" s="418"/>
      <c r="CE103" s="418"/>
      <c r="CF103" s="527"/>
    </row>
    <row r="104" spans="1:84" ht="12.95" customHeight="1" x14ac:dyDescent="0.25">
      <c r="A104" s="282">
        <v>17</v>
      </c>
      <c r="B104" s="323">
        <v>5479</v>
      </c>
      <c r="C104" s="324">
        <v>600099105</v>
      </c>
      <c r="D104" s="283">
        <v>70910600</v>
      </c>
      <c r="E104" s="553" t="s">
        <v>797</v>
      </c>
      <c r="F104" s="323">
        <v>3233</v>
      </c>
      <c r="G104" s="347" t="s">
        <v>298</v>
      </c>
      <c r="H104" s="733" t="s">
        <v>272</v>
      </c>
      <c r="I104" s="423">
        <f t="shared" si="340"/>
        <v>2307836</v>
      </c>
      <c r="J104" s="418">
        <f t="shared" si="341"/>
        <v>1710950</v>
      </c>
      <c r="K104" s="418">
        <v>1484806</v>
      </c>
      <c r="L104" s="418">
        <v>226144</v>
      </c>
      <c r="M104" s="418">
        <f t="shared" si="342"/>
        <v>0</v>
      </c>
      <c r="N104" s="418">
        <v>0</v>
      </c>
      <c r="O104" s="418">
        <v>0</v>
      </c>
      <c r="P104" s="68">
        <f t="shared" si="343"/>
        <v>578301</v>
      </c>
      <c r="Q104" s="68">
        <f t="shared" si="344"/>
        <v>17110</v>
      </c>
      <c r="R104" s="418">
        <v>1475</v>
      </c>
      <c r="S104" s="419">
        <f t="shared" si="345"/>
        <v>3.42</v>
      </c>
      <c r="T104" s="420">
        <v>2.69</v>
      </c>
      <c r="U104" s="527">
        <v>0.73</v>
      </c>
      <c r="V104" s="427">
        <f t="shared" si="346"/>
        <v>0</v>
      </c>
      <c r="W104" s="421">
        <f t="shared" si="346"/>
        <v>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 t="shared" si="347"/>
        <v>0</v>
      </c>
      <c r="AG104" s="421">
        <f t="shared" si="348"/>
        <v>0</v>
      </c>
      <c r="AH104" s="421">
        <f t="shared" si="349"/>
        <v>0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350"/>
        <v>0</v>
      </c>
      <c r="AP104" s="421">
        <f t="shared" si="351"/>
        <v>0</v>
      </c>
      <c r="AQ104" s="421">
        <f t="shared" si="352"/>
        <v>0</v>
      </c>
      <c r="AR104" s="421">
        <f t="shared" si="353"/>
        <v>0</v>
      </c>
      <c r="AS104" s="421">
        <f t="shared" si="353"/>
        <v>0</v>
      </c>
      <c r="AT104" s="421">
        <f t="shared" si="354"/>
        <v>0</v>
      </c>
      <c r="AU104" s="68">
        <f t="shared" si="355"/>
        <v>0</v>
      </c>
      <c r="AV104" s="68">
        <f t="shared" si="356"/>
        <v>0</v>
      </c>
      <c r="AW104" s="421">
        <v>0</v>
      </c>
      <c r="AX104" s="421">
        <v>0</v>
      </c>
      <c r="AY104" s="421">
        <f t="shared" si="357"/>
        <v>0</v>
      </c>
      <c r="AZ104" s="421">
        <f t="shared" si="358"/>
        <v>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 t="shared" si="359"/>
        <v>0</v>
      </c>
      <c r="BL104" s="422">
        <f t="shared" si="360"/>
        <v>0</v>
      </c>
      <c r="BM104" s="611">
        <f t="shared" si="361"/>
        <v>0</v>
      </c>
      <c r="BN104" s="428">
        <f t="shared" si="362"/>
        <v>2307836</v>
      </c>
      <c r="BO104" s="421">
        <f t="shared" si="363"/>
        <v>1710950</v>
      </c>
      <c r="BP104" s="421">
        <f t="shared" si="364"/>
        <v>1484806</v>
      </c>
      <c r="BQ104" s="421">
        <f t="shared" si="364"/>
        <v>226144</v>
      </c>
      <c r="BR104" s="421">
        <f t="shared" si="365"/>
        <v>0</v>
      </c>
      <c r="BS104" s="421">
        <f t="shared" si="366"/>
        <v>0</v>
      </c>
      <c r="BT104" s="421">
        <f t="shared" si="366"/>
        <v>0</v>
      </c>
      <c r="BU104" s="421">
        <f t="shared" si="367"/>
        <v>578301</v>
      </c>
      <c r="BV104" s="421">
        <f t="shared" si="367"/>
        <v>17110</v>
      </c>
      <c r="BW104" s="421">
        <f t="shared" si="368"/>
        <v>1475</v>
      </c>
      <c r="BX104" s="422">
        <f t="shared" si="369"/>
        <v>3.42</v>
      </c>
      <c r="BY104" s="422">
        <f t="shared" si="370"/>
        <v>2.69</v>
      </c>
      <c r="BZ104" s="611">
        <f t="shared" si="370"/>
        <v>0.73</v>
      </c>
      <c r="CA104" s="423"/>
      <c r="CB104" s="418"/>
      <c r="CC104" s="418"/>
      <c r="CD104" s="418"/>
      <c r="CE104" s="418"/>
      <c r="CF104" s="527"/>
    </row>
    <row r="105" spans="1:84" ht="12.95" customHeight="1" x14ac:dyDescent="0.25">
      <c r="A105" s="734">
        <v>17</v>
      </c>
      <c r="B105" s="327">
        <v>5479</v>
      </c>
      <c r="C105" s="328">
        <v>600099105</v>
      </c>
      <c r="D105" s="327">
        <v>70910600</v>
      </c>
      <c r="E105" s="554" t="s">
        <v>798</v>
      </c>
      <c r="F105" s="327"/>
      <c r="G105" s="352"/>
      <c r="H105" s="736"/>
      <c r="I105" s="472">
        <f t="shared" ref="I105:BU105" si="371">SUM(I98:I104)</f>
        <v>21741101</v>
      </c>
      <c r="J105" s="468">
        <f t="shared" si="371"/>
        <v>15969777</v>
      </c>
      <c r="K105" s="468">
        <f t="shared" si="371"/>
        <v>14042565</v>
      </c>
      <c r="L105" s="468">
        <f t="shared" si="371"/>
        <v>1927212</v>
      </c>
      <c r="M105" s="468">
        <f t="shared" si="371"/>
        <v>0</v>
      </c>
      <c r="N105" s="468">
        <f t="shared" si="371"/>
        <v>0</v>
      </c>
      <c r="O105" s="468">
        <f t="shared" si="371"/>
        <v>0</v>
      </c>
      <c r="P105" s="468">
        <f t="shared" si="371"/>
        <v>5397785</v>
      </c>
      <c r="Q105" s="468">
        <f t="shared" si="371"/>
        <v>159698</v>
      </c>
      <c r="R105" s="468">
        <f t="shared" si="371"/>
        <v>213841</v>
      </c>
      <c r="S105" s="469">
        <f t="shared" si="371"/>
        <v>26.987699999999997</v>
      </c>
      <c r="T105" s="469">
        <f t="shared" si="371"/>
        <v>21.2529</v>
      </c>
      <c r="U105" s="281">
        <f t="shared" si="371"/>
        <v>5.7347999999999999</v>
      </c>
      <c r="V105" s="474">
        <f t="shared" si="371"/>
        <v>-32000</v>
      </c>
      <c r="W105" s="468">
        <f t="shared" si="371"/>
        <v>0</v>
      </c>
      <c r="X105" s="468">
        <f t="shared" si="371"/>
        <v>1435473</v>
      </c>
      <c r="Y105" s="468">
        <f t="shared" si="371"/>
        <v>0</v>
      </c>
      <c r="Z105" s="468">
        <f t="shared" si="371"/>
        <v>0</v>
      </c>
      <c r="AA105" s="468">
        <f t="shared" si="371"/>
        <v>0</v>
      </c>
      <c r="AB105" s="468">
        <f t="shared" si="371"/>
        <v>0</v>
      </c>
      <c r="AC105" s="468">
        <f t="shared" si="371"/>
        <v>0</v>
      </c>
      <c r="AD105" s="468">
        <f t="shared" si="371"/>
        <v>0</v>
      </c>
      <c r="AE105" s="468">
        <f t="shared" si="371"/>
        <v>0</v>
      </c>
      <c r="AF105" s="468">
        <f t="shared" si="371"/>
        <v>1403473</v>
      </c>
      <c r="AG105" s="468">
        <f t="shared" si="371"/>
        <v>0</v>
      </c>
      <c r="AH105" s="468">
        <f t="shared" si="371"/>
        <v>1403473</v>
      </c>
      <c r="AI105" s="468">
        <f t="shared" si="371"/>
        <v>32000</v>
      </c>
      <c r="AJ105" s="468">
        <f t="shared" si="371"/>
        <v>0</v>
      </c>
      <c r="AK105" s="468">
        <f t="shared" ref="AK105" si="372">SUM(AK98:AK104)</f>
        <v>0</v>
      </c>
      <c r="AL105" s="468">
        <f t="shared" si="371"/>
        <v>0</v>
      </c>
      <c r="AM105" s="468">
        <f t="shared" si="371"/>
        <v>0</v>
      </c>
      <c r="AN105" s="468">
        <f t="shared" si="371"/>
        <v>0</v>
      </c>
      <c r="AO105" s="468">
        <f t="shared" si="371"/>
        <v>32000</v>
      </c>
      <c r="AP105" s="468">
        <f t="shared" si="371"/>
        <v>0</v>
      </c>
      <c r="AQ105" s="468">
        <f t="shared" si="371"/>
        <v>32000</v>
      </c>
      <c r="AR105" s="468">
        <f t="shared" si="371"/>
        <v>1435473</v>
      </c>
      <c r="AS105" s="468">
        <f t="shared" si="371"/>
        <v>0</v>
      </c>
      <c r="AT105" s="468">
        <f t="shared" si="371"/>
        <v>1435473</v>
      </c>
      <c r="AU105" s="468">
        <f t="shared" si="371"/>
        <v>485190</v>
      </c>
      <c r="AV105" s="468">
        <f t="shared" si="371"/>
        <v>14035</v>
      </c>
      <c r="AW105" s="468">
        <f t="shared" si="371"/>
        <v>0</v>
      </c>
      <c r="AX105" s="468">
        <f t="shared" si="371"/>
        <v>0</v>
      </c>
      <c r="AY105" s="468">
        <f t="shared" si="371"/>
        <v>0</v>
      </c>
      <c r="AZ105" s="468">
        <f t="shared" si="371"/>
        <v>1934698</v>
      </c>
      <c r="BA105" s="469">
        <f t="shared" si="371"/>
        <v>-0.02</v>
      </c>
      <c r="BB105" s="469">
        <f t="shared" si="371"/>
        <v>0</v>
      </c>
      <c r="BC105" s="469">
        <f t="shared" si="371"/>
        <v>3.35</v>
      </c>
      <c r="BD105" s="469">
        <f t="shared" si="371"/>
        <v>0</v>
      </c>
      <c r="BE105" s="469">
        <f t="shared" si="371"/>
        <v>0</v>
      </c>
      <c r="BF105" s="469">
        <f t="shared" si="371"/>
        <v>0</v>
      </c>
      <c r="BG105" s="469">
        <f t="shared" si="371"/>
        <v>0</v>
      </c>
      <c r="BH105" s="469">
        <f t="shared" si="371"/>
        <v>0</v>
      </c>
      <c r="BI105" s="469">
        <f t="shared" si="371"/>
        <v>0</v>
      </c>
      <c r="BJ105" s="469">
        <f t="shared" si="371"/>
        <v>0</v>
      </c>
      <c r="BK105" s="469">
        <f t="shared" si="371"/>
        <v>3.33</v>
      </c>
      <c r="BL105" s="469">
        <f t="shared" si="371"/>
        <v>0</v>
      </c>
      <c r="BM105" s="562">
        <f t="shared" si="371"/>
        <v>3.33</v>
      </c>
      <c r="BN105" s="472">
        <f t="shared" si="371"/>
        <v>23675799</v>
      </c>
      <c r="BO105" s="468">
        <f t="shared" si="371"/>
        <v>17373250</v>
      </c>
      <c r="BP105" s="468">
        <f t="shared" si="371"/>
        <v>15446038</v>
      </c>
      <c r="BQ105" s="468">
        <f t="shared" si="371"/>
        <v>1927212</v>
      </c>
      <c r="BR105" s="468">
        <f t="shared" si="371"/>
        <v>32000</v>
      </c>
      <c r="BS105" s="468">
        <f t="shared" si="371"/>
        <v>32000</v>
      </c>
      <c r="BT105" s="468">
        <f t="shared" si="371"/>
        <v>0</v>
      </c>
      <c r="BU105" s="468">
        <f t="shared" si="371"/>
        <v>5882975</v>
      </c>
      <c r="BV105" s="468">
        <f t="shared" ref="BV105:CF105" si="373">SUM(BV98:BV104)</f>
        <v>173733</v>
      </c>
      <c r="BW105" s="468">
        <f t="shared" si="373"/>
        <v>213841</v>
      </c>
      <c r="BX105" s="469">
        <f t="shared" si="373"/>
        <v>30.317699999999995</v>
      </c>
      <c r="BY105" s="469">
        <f t="shared" si="373"/>
        <v>24.582900000000002</v>
      </c>
      <c r="BZ105" s="562">
        <f t="shared" si="373"/>
        <v>5.7347999999999999</v>
      </c>
      <c r="CA105" s="873">
        <f t="shared" si="373"/>
        <v>0</v>
      </c>
      <c r="CB105" s="850">
        <f t="shared" si="373"/>
        <v>0</v>
      </c>
      <c r="CC105" s="850">
        <f t="shared" si="373"/>
        <v>0</v>
      </c>
      <c r="CD105" s="850">
        <f t="shared" si="373"/>
        <v>0</v>
      </c>
      <c r="CE105" s="850">
        <f t="shared" si="373"/>
        <v>0</v>
      </c>
      <c r="CF105" s="841">
        <f t="shared" si="373"/>
        <v>0</v>
      </c>
    </row>
    <row r="106" spans="1:84" ht="12.95" customHeight="1" x14ac:dyDescent="0.25">
      <c r="A106" s="282">
        <v>18</v>
      </c>
      <c r="B106" s="323">
        <v>5442</v>
      </c>
      <c r="C106" s="324">
        <v>650030541</v>
      </c>
      <c r="D106" s="283">
        <v>75017512</v>
      </c>
      <c r="E106" s="350" t="s">
        <v>441</v>
      </c>
      <c r="F106" s="323">
        <v>3111</v>
      </c>
      <c r="G106" s="347" t="s">
        <v>305</v>
      </c>
      <c r="H106" s="733" t="s">
        <v>271</v>
      </c>
      <c r="I106" s="423">
        <f t="shared" ref="I106:I111" si="374">J106+P106+Q106+R106</f>
        <v>2830083</v>
      </c>
      <c r="J106" s="418">
        <f t="shared" ref="J106:J111" si="375">K106+L106</f>
        <v>2092338</v>
      </c>
      <c r="K106" s="418">
        <v>1972530</v>
      </c>
      <c r="L106" s="418">
        <v>119808</v>
      </c>
      <c r="M106" s="418">
        <f t="shared" ref="M106:M111" si="376">N106+O106</f>
        <v>0</v>
      </c>
      <c r="N106" s="418">
        <v>0</v>
      </c>
      <c r="O106" s="418">
        <v>0</v>
      </c>
      <c r="P106" s="68">
        <f t="shared" ref="P106:P111" si="377">ROUND((J106+M106)*33.8%,0)</f>
        <v>707210</v>
      </c>
      <c r="Q106" s="68">
        <f t="shared" ref="Q106:Q111" si="378">ROUND(J106*1%,0)</f>
        <v>20923</v>
      </c>
      <c r="R106" s="418">
        <v>9612</v>
      </c>
      <c r="S106" s="419">
        <f t="shared" ref="S106:S111" si="379">T106+U106</f>
        <v>3.98</v>
      </c>
      <c r="T106" s="420">
        <v>3.5</v>
      </c>
      <c r="U106" s="527">
        <v>0.48</v>
      </c>
      <c r="V106" s="427">
        <f t="shared" ref="V106:W111" si="380">AI106*-1</f>
        <v>0</v>
      </c>
      <c r="W106" s="421">
        <f t="shared" si="380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ref="AF106:AF111" si="381">V106+X106+Y106+AA106+AB106+AD106</f>
        <v>0</v>
      </c>
      <c r="AG106" s="421">
        <f t="shared" ref="AG106:AG111" si="382">W106+Z106+AC106+AE106</f>
        <v>0</v>
      </c>
      <c r="AH106" s="421">
        <f t="shared" ref="AH106:AH111" si="383">SUM(AF106:AG106)</f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ref="AO106:AO111" si="384">AI106+AK106+AL106+AM106</f>
        <v>0</v>
      </c>
      <c r="AP106" s="421">
        <f t="shared" ref="AP106:AP111" si="385">AJ106+AN106</f>
        <v>0</v>
      </c>
      <c r="AQ106" s="421">
        <f t="shared" ref="AQ106:AQ111" si="386">SUM(AO106:AP106)</f>
        <v>0</v>
      </c>
      <c r="AR106" s="421">
        <f t="shared" ref="AR106:AS111" si="387">AF106+AO106</f>
        <v>0</v>
      </c>
      <c r="AS106" s="421">
        <f t="shared" si="387"/>
        <v>0</v>
      </c>
      <c r="AT106" s="421">
        <f t="shared" ref="AT106:AT111" si="388">SUM(AR106:AS106)</f>
        <v>0</v>
      </c>
      <c r="AU106" s="68">
        <f t="shared" ref="AU106:AU111" si="389">ROUND((AH106+AI106+AJ106+AK106+AL106)*33.8%,0)</f>
        <v>0</v>
      </c>
      <c r="AV106" s="68">
        <f t="shared" ref="AV106:AV111" si="390">ROUND(AH106*1%,0)</f>
        <v>0</v>
      </c>
      <c r="AW106" s="421">
        <v>0</v>
      </c>
      <c r="AX106" s="421">
        <v>0</v>
      </c>
      <c r="AY106" s="421">
        <f t="shared" ref="AY106:AY111" si="391">AW106+AX106</f>
        <v>0</v>
      </c>
      <c r="AZ106" s="421">
        <f t="shared" ref="AZ106:AZ111" si="392">AT106+AU106+AV106+AY106</f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 t="shared" ref="BK106:BK111" si="393">BA106+BC106+BD106+BF106+BH106+BI106</f>
        <v>0</v>
      </c>
      <c r="BL106" s="422">
        <f t="shared" ref="BL106:BL111" si="394">BB106+BE106+BG106+BJ106</f>
        <v>0</v>
      </c>
      <c r="BM106" s="611">
        <f t="shared" ref="BM106:BM111" si="395">SUM(BK106:BL106)</f>
        <v>0</v>
      </c>
      <c r="BN106" s="428">
        <f t="shared" ref="BN106:BN111" si="396">I106+AZ106</f>
        <v>2830083</v>
      </c>
      <c r="BO106" s="421">
        <f t="shared" ref="BO106:BO111" si="397">J106+AH106</f>
        <v>2092338</v>
      </c>
      <c r="BP106" s="421">
        <f t="shared" ref="BP106:BQ111" si="398">K106+AF106</f>
        <v>1972530</v>
      </c>
      <c r="BQ106" s="421">
        <f t="shared" si="398"/>
        <v>119808</v>
      </c>
      <c r="BR106" s="421">
        <f t="shared" ref="BR106:BR111" si="399">M106+AQ106</f>
        <v>0</v>
      </c>
      <c r="BS106" s="421">
        <f t="shared" ref="BS106:BT111" si="400">N106+AO106</f>
        <v>0</v>
      </c>
      <c r="BT106" s="421">
        <f t="shared" si="400"/>
        <v>0</v>
      </c>
      <c r="BU106" s="421">
        <f t="shared" ref="BU106:BV111" si="401">P106+AU106</f>
        <v>707210</v>
      </c>
      <c r="BV106" s="421">
        <f t="shared" si="401"/>
        <v>20923</v>
      </c>
      <c r="BW106" s="421">
        <f t="shared" ref="BW106:BW111" si="402">R106+AY106</f>
        <v>9612</v>
      </c>
      <c r="BX106" s="422">
        <f t="shared" ref="BX106:BX111" si="403">S106+BM106</f>
        <v>3.98</v>
      </c>
      <c r="BY106" s="422">
        <f t="shared" ref="BY106:BZ111" si="404">T106+BK106</f>
        <v>3.5</v>
      </c>
      <c r="BZ106" s="611">
        <f t="shared" si="404"/>
        <v>0.48</v>
      </c>
      <c r="CA106" s="423"/>
      <c r="CB106" s="418"/>
      <c r="CC106" s="418"/>
      <c r="CD106" s="418"/>
      <c r="CE106" s="418"/>
      <c r="CF106" s="527"/>
    </row>
    <row r="107" spans="1:84" ht="12.95" customHeight="1" x14ac:dyDescent="0.25">
      <c r="A107" s="282">
        <v>18</v>
      </c>
      <c r="B107" s="323">
        <v>5442</v>
      </c>
      <c r="C107" s="324">
        <v>650030541</v>
      </c>
      <c r="D107" s="283">
        <v>75017512</v>
      </c>
      <c r="E107" s="350" t="s">
        <v>441</v>
      </c>
      <c r="F107" s="323">
        <v>3113</v>
      </c>
      <c r="G107" s="347" t="s">
        <v>309</v>
      </c>
      <c r="H107" s="733" t="s">
        <v>271</v>
      </c>
      <c r="I107" s="423">
        <f t="shared" si="374"/>
        <v>12010794</v>
      </c>
      <c r="J107" s="418">
        <f t="shared" si="375"/>
        <v>8809658</v>
      </c>
      <c r="K107" s="418">
        <v>7942686</v>
      </c>
      <c r="L107" s="418">
        <v>866972</v>
      </c>
      <c r="M107" s="418">
        <f t="shared" si="376"/>
        <v>0</v>
      </c>
      <c r="N107" s="418">
        <v>0</v>
      </c>
      <c r="O107" s="418">
        <v>0</v>
      </c>
      <c r="P107" s="68">
        <f t="shared" si="377"/>
        <v>2977664</v>
      </c>
      <c r="Q107" s="68">
        <f t="shared" si="378"/>
        <v>88097</v>
      </c>
      <c r="R107" s="418">
        <v>135375</v>
      </c>
      <c r="S107" s="419">
        <f t="shared" si="379"/>
        <v>14.647599999999999</v>
      </c>
      <c r="T107" s="420">
        <v>12.2273</v>
      </c>
      <c r="U107" s="527">
        <v>2.4202999999999997</v>
      </c>
      <c r="V107" s="427">
        <f t="shared" si="380"/>
        <v>-12800</v>
      </c>
      <c r="W107" s="421">
        <f t="shared" si="380"/>
        <v>-12800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1">
        <v>0</v>
      </c>
      <c r="AE107" s="421">
        <v>0</v>
      </c>
      <c r="AF107" s="421">
        <f t="shared" si="381"/>
        <v>-12800</v>
      </c>
      <c r="AG107" s="421">
        <f t="shared" si="382"/>
        <v>-12800</v>
      </c>
      <c r="AH107" s="421">
        <f t="shared" si="383"/>
        <v>-25600</v>
      </c>
      <c r="AI107" s="421">
        <v>12800</v>
      </c>
      <c r="AJ107" s="421">
        <v>12800</v>
      </c>
      <c r="AK107" s="421">
        <v>0</v>
      </c>
      <c r="AL107" s="421">
        <v>0</v>
      </c>
      <c r="AM107" s="421">
        <v>0</v>
      </c>
      <c r="AN107" s="421">
        <v>0</v>
      </c>
      <c r="AO107" s="421">
        <f t="shared" si="384"/>
        <v>12800</v>
      </c>
      <c r="AP107" s="421">
        <f t="shared" si="385"/>
        <v>12800</v>
      </c>
      <c r="AQ107" s="421">
        <f t="shared" si="386"/>
        <v>25600</v>
      </c>
      <c r="AR107" s="421">
        <f t="shared" si="387"/>
        <v>0</v>
      </c>
      <c r="AS107" s="421">
        <f t="shared" si="387"/>
        <v>0</v>
      </c>
      <c r="AT107" s="421">
        <f t="shared" si="388"/>
        <v>0</v>
      </c>
      <c r="AU107" s="68">
        <f t="shared" si="389"/>
        <v>0</v>
      </c>
      <c r="AV107" s="68">
        <f t="shared" si="390"/>
        <v>-256</v>
      </c>
      <c r="AW107" s="421">
        <v>0</v>
      </c>
      <c r="AX107" s="421">
        <v>0</v>
      </c>
      <c r="AY107" s="421">
        <f t="shared" si="391"/>
        <v>0</v>
      </c>
      <c r="AZ107" s="421">
        <f t="shared" si="392"/>
        <v>-256</v>
      </c>
      <c r="BA107" s="422">
        <v>0</v>
      </c>
      <c r="BB107" s="422">
        <v>-0.04</v>
      </c>
      <c r="BC107" s="422">
        <v>0</v>
      </c>
      <c r="BD107" s="422">
        <v>0</v>
      </c>
      <c r="BE107" s="422">
        <v>0</v>
      </c>
      <c r="BF107" s="422">
        <v>0</v>
      </c>
      <c r="BG107" s="422">
        <v>0</v>
      </c>
      <c r="BH107" s="422">
        <v>0</v>
      </c>
      <c r="BI107" s="422">
        <v>0</v>
      </c>
      <c r="BJ107" s="422">
        <v>0</v>
      </c>
      <c r="BK107" s="422">
        <f t="shared" si="393"/>
        <v>0</v>
      </c>
      <c r="BL107" s="422">
        <f t="shared" si="394"/>
        <v>-0.04</v>
      </c>
      <c r="BM107" s="611">
        <f t="shared" si="395"/>
        <v>-0.04</v>
      </c>
      <c r="BN107" s="428">
        <f t="shared" si="396"/>
        <v>12010538</v>
      </c>
      <c r="BO107" s="421">
        <f t="shared" si="397"/>
        <v>8784058</v>
      </c>
      <c r="BP107" s="421">
        <f t="shared" si="398"/>
        <v>7929886</v>
      </c>
      <c r="BQ107" s="421">
        <f t="shared" si="398"/>
        <v>854172</v>
      </c>
      <c r="BR107" s="421">
        <f t="shared" si="399"/>
        <v>25600</v>
      </c>
      <c r="BS107" s="421">
        <f t="shared" si="400"/>
        <v>12800</v>
      </c>
      <c r="BT107" s="421">
        <f t="shared" si="400"/>
        <v>12800</v>
      </c>
      <c r="BU107" s="421">
        <f t="shared" si="401"/>
        <v>2977664</v>
      </c>
      <c r="BV107" s="421">
        <f t="shared" si="401"/>
        <v>87841</v>
      </c>
      <c r="BW107" s="421">
        <f t="shared" si="402"/>
        <v>135375</v>
      </c>
      <c r="BX107" s="422">
        <f t="shared" si="403"/>
        <v>14.6076</v>
      </c>
      <c r="BY107" s="422">
        <f t="shared" si="404"/>
        <v>12.2273</v>
      </c>
      <c r="BZ107" s="611">
        <f t="shared" si="404"/>
        <v>2.3802999999999996</v>
      </c>
      <c r="CA107" s="423"/>
      <c r="CB107" s="418"/>
      <c r="CC107" s="418"/>
      <c r="CD107" s="418"/>
      <c r="CE107" s="418"/>
      <c r="CF107" s="527"/>
    </row>
    <row r="108" spans="1:84" ht="12.95" customHeight="1" x14ac:dyDescent="0.25">
      <c r="A108" s="282">
        <v>18</v>
      </c>
      <c r="B108" s="323">
        <v>5442</v>
      </c>
      <c r="C108" s="324">
        <v>650030541</v>
      </c>
      <c r="D108" s="283">
        <v>75017512</v>
      </c>
      <c r="E108" s="350" t="s">
        <v>441</v>
      </c>
      <c r="F108" s="323">
        <v>3113</v>
      </c>
      <c r="G108" s="286" t="s">
        <v>292</v>
      </c>
      <c r="H108" s="733" t="s">
        <v>272</v>
      </c>
      <c r="I108" s="423">
        <f t="shared" si="374"/>
        <v>0</v>
      </c>
      <c r="J108" s="418">
        <f t="shared" si="375"/>
        <v>0</v>
      </c>
      <c r="K108" s="418">
        <v>0</v>
      </c>
      <c r="L108" s="418">
        <v>0</v>
      </c>
      <c r="M108" s="418">
        <f>N108+O108</f>
        <v>0</v>
      </c>
      <c r="N108" s="418">
        <v>0</v>
      </c>
      <c r="O108" s="418">
        <v>0</v>
      </c>
      <c r="P108" s="68">
        <f t="shared" si="377"/>
        <v>0</v>
      </c>
      <c r="Q108" s="68">
        <f t="shared" si="378"/>
        <v>0</v>
      </c>
      <c r="R108" s="418">
        <v>0</v>
      </c>
      <c r="S108" s="419">
        <f>T108+U108</f>
        <v>0</v>
      </c>
      <c r="T108" s="420">
        <v>0</v>
      </c>
      <c r="U108" s="527">
        <v>0</v>
      </c>
      <c r="V108" s="427">
        <f t="shared" si="380"/>
        <v>0</v>
      </c>
      <c r="W108" s="421">
        <f t="shared" si="380"/>
        <v>0</v>
      </c>
      <c r="X108" s="421">
        <v>896116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 t="shared" si="381"/>
        <v>896116</v>
      </c>
      <c r="AG108" s="421">
        <f t="shared" si="382"/>
        <v>0</v>
      </c>
      <c r="AH108" s="421">
        <f t="shared" si="383"/>
        <v>896116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si="384"/>
        <v>0</v>
      </c>
      <c r="AP108" s="421">
        <f t="shared" si="385"/>
        <v>0</v>
      </c>
      <c r="AQ108" s="421">
        <f t="shared" si="386"/>
        <v>0</v>
      </c>
      <c r="AR108" s="421">
        <f t="shared" si="387"/>
        <v>896116</v>
      </c>
      <c r="AS108" s="421">
        <f t="shared" si="387"/>
        <v>0</v>
      </c>
      <c r="AT108" s="421">
        <f t="shared" si="388"/>
        <v>896116</v>
      </c>
      <c r="AU108" s="68">
        <f t="shared" si="389"/>
        <v>302887</v>
      </c>
      <c r="AV108" s="68">
        <f t="shared" si="390"/>
        <v>8961</v>
      </c>
      <c r="AW108" s="421">
        <f>700+9500</f>
        <v>10200</v>
      </c>
      <c r="AX108" s="421">
        <v>0</v>
      </c>
      <c r="AY108" s="421">
        <f t="shared" si="391"/>
        <v>10200</v>
      </c>
      <c r="AZ108" s="421">
        <f t="shared" si="392"/>
        <v>1218164</v>
      </c>
      <c r="BA108" s="422">
        <v>0</v>
      </c>
      <c r="BB108" s="422">
        <v>0</v>
      </c>
      <c r="BC108" s="422">
        <v>2.42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 t="shared" si="393"/>
        <v>2.42</v>
      </c>
      <c r="BL108" s="422">
        <f t="shared" si="394"/>
        <v>0</v>
      </c>
      <c r="BM108" s="611">
        <f t="shared" si="395"/>
        <v>2.42</v>
      </c>
      <c r="BN108" s="428">
        <f t="shared" si="396"/>
        <v>1218164</v>
      </c>
      <c r="BO108" s="421">
        <f t="shared" si="397"/>
        <v>896116</v>
      </c>
      <c r="BP108" s="421">
        <f t="shared" si="398"/>
        <v>896116</v>
      </c>
      <c r="BQ108" s="421">
        <f t="shared" si="398"/>
        <v>0</v>
      </c>
      <c r="BR108" s="421">
        <f t="shared" si="399"/>
        <v>0</v>
      </c>
      <c r="BS108" s="421">
        <f t="shared" si="400"/>
        <v>0</v>
      </c>
      <c r="BT108" s="421">
        <f t="shared" si="400"/>
        <v>0</v>
      </c>
      <c r="BU108" s="421">
        <f t="shared" si="401"/>
        <v>302887</v>
      </c>
      <c r="BV108" s="421">
        <f t="shared" si="401"/>
        <v>8961</v>
      </c>
      <c r="BW108" s="421">
        <f t="shared" si="402"/>
        <v>10200</v>
      </c>
      <c r="BX108" s="422">
        <f t="shared" si="403"/>
        <v>2.42</v>
      </c>
      <c r="BY108" s="422">
        <f t="shared" si="404"/>
        <v>2.42</v>
      </c>
      <c r="BZ108" s="611">
        <f t="shared" si="404"/>
        <v>0</v>
      </c>
      <c r="CA108" s="423"/>
      <c r="CB108" s="418"/>
      <c r="CC108" s="418"/>
      <c r="CD108" s="418"/>
      <c r="CE108" s="418"/>
      <c r="CF108" s="527"/>
    </row>
    <row r="109" spans="1:84" ht="12.95" customHeight="1" x14ac:dyDescent="0.25">
      <c r="A109" s="282">
        <v>18</v>
      </c>
      <c r="B109" s="323">
        <v>5442</v>
      </c>
      <c r="C109" s="324">
        <v>650030541</v>
      </c>
      <c r="D109" s="283">
        <v>75017512</v>
      </c>
      <c r="E109" s="350" t="s">
        <v>441</v>
      </c>
      <c r="F109" s="323">
        <v>3141</v>
      </c>
      <c r="G109" s="347" t="s">
        <v>295</v>
      </c>
      <c r="H109" s="733" t="s">
        <v>272</v>
      </c>
      <c r="I109" s="423">
        <f t="shared" si="374"/>
        <v>147689</v>
      </c>
      <c r="J109" s="418">
        <f t="shared" si="375"/>
        <v>108948</v>
      </c>
      <c r="K109" s="418">
        <v>0</v>
      </c>
      <c r="L109" s="418">
        <v>108948</v>
      </c>
      <c r="M109" s="418">
        <f t="shared" si="376"/>
        <v>0</v>
      </c>
      <c r="N109" s="418">
        <v>0</v>
      </c>
      <c r="O109" s="418">
        <v>0</v>
      </c>
      <c r="P109" s="68">
        <f t="shared" si="377"/>
        <v>36824</v>
      </c>
      <c r="Q109" s="68">
        <f t="shared" si="378"/>
        <v>1089</v>
      </c>
      <c r="R109" s="418">
        <v>828</v>
      </c>
      <c r="S109" s="419">
        <f t="shared" si="379"/>
        <v>0.32669999999999999</v>
      </c>
      <c r="T109" s="420">
        <v>0</v>
      </c>
      <c r="U109" s="527">
        <v>0.32669999999999999</v>
      </c>
      <c r="V109" s="427">
        <f t="shared" si="380"/>
        <v>0</v>
      </c>
      <c r="W109" s="421">
        <f t="shared" si="380"/>
        <v>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 t="shared" si="381"/>
        <v>0</v>
      </c>
      <c r="AG109" s="421">
        <f t="shared" si="382"/>
        <v>0</v>
      </c>
      <c r="AH109" s="421">
        <f t="shared" si="383"/>
        <v>0</v>
      </c>
      <c r="AI109" s="421">
        <v>0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f t="shared" si="384"/>
        <v>0</v>
      </c>
      <c r="AP109" s="421">
        <f t="shared" si="385"/>
        <v>0</v>
      </c>
      <c r="AQ109" s="421">
        <f t="shared" si="386"/>
        <v>0</v>
      </c>
      <c r="AR109" s="421">
        <f t="shared" si="387"/>
        <v>0</v>
      </c>
      <c r="AS109" s="421">
        <f t="shared" si="387"/>
        <v>0</v>
      </c>
      <c r="AT109" s="421">
        <f t="shared" si="388"/>
        <v>0</v>
      </c>
      <c r="AU109" s="68">
        <f t="shared" si="389"/>
        <v>0</v>
      </c>
      <c r="AV109" s="68">
        <f t="shared" si="390"/>
        <v>0</v>
      </c>
      <c r="AW109" s="421">
        <v>0</v>
      </c>
      <c r="AX109" s="421">
        <v>0</v>
      </c>
      <c r="AY109" s="421">
        <f t="shared" si="391"/>
        <v>0</v>
      </c>
      <c r="AZ109" s="421">
        <f t="shared" si="392"/>
        <v>0</v>
      </c>
      <c r="BA109" s="422">
        <v>0</v>
      </c>
      <c r="BB109" s="422">
        <v>0</v>
      </c>
      <c r="BC109" s="422">
        <v>0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 t="shared" si="393"/>
        <v>0</v>
      </c>
      <c r="BL109" s="422">
        <f t="shared" si="394"/>
        <v>0</v>
      </c>
      <c r="BM109" s="611">
        <f t="shared" si="395"/>
        <v>0</v>
      </c>
      <c r="BN109" s="428">
        <f t="shared" si="396"/>
        <v>147689</v>
      </c>
      <c r="BO109" s="421">
        <f t="shared" si="397"/>
        <v>108948</v>
      </c>
      <c r="BP109" s="421">
        <f t="shared" si="398"/>
        <v>0</v>
      </c>
      <c r="BQ109" s="421">
        <f t="shared" si="398"/>
        <v>108948</v>
      </c>
      <c r="BR109" s="421">
        <f t="shared" si="399"/>
        <v>0</v>
      </c>
      <c r="BS109" s="421">
        <f t="shared" si="400"/>
        <v>0</v>
      </c>
      <c r="BT109" s="421">
        <f t="shared" si="400"/>
        <v>0</v>
      </c>
      <c r="BU109" s="421">
        <f t="shared" si="401"/>
        <v>36824</v>
      </c>
      <c r="BV109" s="421">
        <f t="shared" si="401"/>
        <v>1089</v>
      </c>
      <c r="BW109" s="421">
        <f t="shared" si="402"/>
        <v>828</v>
      </c>
      <c r="BX109" s="422">
        <f t="shared" si="403"/>
        <v>0.32669999999999999</v>
      </c>
      <c r="BY109" s="422">
        <f t="shared" si="404"/>
        <v>0</v>
      </c>
      <c r="BZ109" s="611">
        <f t="shared" si="404"/>
        <v>0.32669999999999999</v>
      </c>
      <c r="CA109" s="423"/>
      <c r="CB109" s="418"/>
      <c r="CC109" s="418"/>
      <c r="CD109" s="418"/>
      <c r="CE109" s="418"/>
      <c r="CF109" s="527"/>
    </row>
    <row r="110" spans="1:84" ht="12.95" customHeight="1" x14ac:dyDescent="0.25">
      <c r="A110" s="282">
        <v>18</v>
      </c>
      <c r="B110" s="323">
        <v>5442</v>
      </c>
      <c r="C110" s="324">
        <v>650030541</v>
      </c>
      <c r="D110" s="283">
        <v>75017512</v>
      </c>
      <c r="E110" s="350" t="s">
        <v>441</v>
      </c>
      <c r="F110" s="323">
        <v>3143</v>
      </c>
      <c r="G110" s="286" t="s">
        <v>596</v>
      </c>
      <c r="H110" s="733" t="s">
        <v>271</v>
      </c>
      <c r="I110" s="423">
        <f t="shared" si="374"/>
        <v>1055970</v>
      </c>
      <c r="J110" s="418">
        <f t="shared" si="375"/>
        <v>783360</v>
      </c>
      <c r="K110" s="418">
        <v>783360</v>
      </c>
      <c r="L110" s="418"/>
      <c r="M110" s="418">
        <f t="shared" si="376"/>
        <v>0</v>
      </c>
      <c r="N110" s="418">
        <v>0</v>
      </c>
      <c r="O110" s="418">
        <v>0</v>
      </c>
      <c r="P110" s="68">
        <f t="shared" si="377"/>
        <v>264776</v>
      </c>
      <c r="Q110" s="68">
        <f t="shared" si="378"/>
        <v>7834</v>
      </c>
      <c r="R110" s="418">
        <v>0</v>
      </c>
      <c r="S110" s="419">
        <f t="shared" si="379"/>
        <v>1.6633</v>
      </c>
      <c r="T110" s="420">
        <v>1.6633</v>
      </c>
      <c r="U110" s="527">
        <v>0</v>
      </c>
      <c r="V110" s="427">
        <f t="shared" si="380"/>
        <v>0</v>
      </c>
      <c r="W110" s="421">
        <f t="shared" si="380"/>
        <v>0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 t="shared" si="381"/>
        <v>0</v>
      </c>
      <c r="AG110" s="421">
        <f t="shared" si="382"/>
        <v>0</v>
      </c>
      <c r="AH110" s="421">
        <f t="shared" si="383"/>
        <v>0</v>
      </c>
      <c r="AI110" s="421">
        <v>0</v>
      </c>
      <c r="AJ110" s="421">
        <v>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si="384"/>
        <v>0</v>
      </c>
      <c r="AP110" s="421">
        <f t="shared" si="385"/>
        <v>0</v>
      </c>
      <c r="AQ110" s="421">
        <f t="shared" si="386"/>
        <v>0</v>
      </c>
      <c r="AR110" s="421">
        <f t="shared" si="387"/>
        <v>0</v>
      </c>
      <c r="AS110" s="421">
        <f t="shared" si="387"/>
        <v>0</v>
      </c>
      <c r="AT110" s="421">
        <f t="shared" si="388"/>
        <v>0</v>
      </c>
      <c r="AU110" s="68">
        <f t="shared" si="389"/>
        <v>0</v>
      </c>
      <c r="AV110" s="68">
        <f t="shared" si="390"/>
        <v>0</v>
      </c>
      <c r="AW110" s="421">
        <v>0</v>
      </c>
      <c r="AX110" s="421">
        <v>0</v>
      </c>
      <c r="AY110" s="421">
        <f t="shared" si="391"/>
        <v>0</v>
      </c>
      <c r="AZ110" s="421">
        <f t="shared" si="392"/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 t="shared" si="393"/>
        <v>0</v>
      </c>
      <c r="BL110" s="422">
        <f t="shared" si="394"/>
        <v>0</v>
      </c>
      <c r="BM110" s="611">
        <f t="shared" si="395"/>
        <v>0</v>
      </c>
      <c r="BN110" s="428">
        <f t="shared" si="396"/>
        <v>1055970</v>
      </c>
      <c r="BO110" s="421">
        <f t="shared" si="397"/>
        <v>783360</v>
      </c>
      <c r="BP110" s="421">
        <f t="shared" si="398"/>
        <v>783360</v>
      </c>
      <c r="BQ110" s="421">
        <f t="shared" si="398"/>
        <v>0</v>
      </c>
      <c r="BR110" s="421">
        <f t="shared" si="399"/>
        <v>0</v>
      </c>
      <c r="BS110" s="421">
        <f t="shared" si="400"/>
        <v>0</v>
      </c>
      <c r="BT110" s="421">
        <f t="shared" si="400"/>
        <v>0</v>
      </c>
      <c r="BU110" s="421">
        <f t="shared" si="401"/>
        <v>264776</v>
      </c>
      <c r="BV110" s="421">
        <f t="shared" si="401"/>
        <v>7834</v>
      </c>
      <c r="BW110" s="421">
        <f t="shared" si="402"/>
        <v>0</v>
      </c>
      <c r="BX110" s="422">
        <f t="shared" si="403"/>
        <v>1.6633</v>
      </c>
      <c r="BY110" s="422">
        <f t="shared" si="404"/>
        <v>1.6633</v>
      </c>
      <c r="BZ110" s="611">
        <f t="shared" si="404"/>
        <v>0</v>
      </c>
      <c r="CA110" s="423"/>
      <c r="CB110" s="418"/>
      <c r="CC110" s="418"/>
      <c r="CD110" s="418"/>
      <c r="CE110" s="418"/>
      <c r="CF110" s="527"/>
    </row>
    <row r="111" spans="1:84" ht="12.95" customHeight="1" x14ac:dyDescent="0.25">
      <c r="A111" s="282">
        <v>18</v>
      </c>
      <c r="B111" s="323">
        <v>5442</v>
      </c>
      <c r="C111" s="324">
        <v>650030541</v>
      </c>
      <c r="D111" s="283">
        <v>75017512</v>
      </c>
      <c r="E111" s="350" t="s">
        <v>441</v>
      </c>
      <c r="F111" s="323">
        <v>3143</v>
      </c>
      <c r="G111" s="286" t="s">
        <v>597</v>
      </c>
      <c r="H111" s="733" t="s">
        <v>272</v>
      </c>
      <c r="I111" s="423">
        <f t="shared" si="374"/>
        <v>19990</v>
      </c>
      <c r="J111" s="418">
        <f t="shared" si="375"/>
        <v>14309</v>
      </c>
      <c r="K111" s="418">
        <v>0</v>
      </c>
      <c r="L111" s="418">
        <v>14309</v>
      </c>
      <c r="M111" s="418">
        <f t="shared" si="376"/>
        <v>0</v>
      </c>
      <c r="N111" s="418">
        <v>0</v>
      </c>
      <c r="O111" s="418">
        <v>0</v>
      </c>
      <c r="P111" s="68">
        <f t="shared" si="377"/>
        <v>4836</v>
      </c>
      <c r="Q111" s="68">
        <f t="shared" si="378"/>
        <v>143</v>
      </c>
      <c r="R111" s="418">
        <v>702</v>
      </c>
      <c r="S111" s="419">
        <f t="shared" si="379"/>
        <v>5.4199999999999998E-2</v>
      </c>
      <c r="T111" s="420">
        <v>0</v>
      </c>
      <c r="U111" s="527">
        <v>5.4199999999999998E-2</v>
      </c>
      <c r="V111" s="427">
        <f t="shared" si="380"/>
        <v>0</v>
      </c>
      <c r="W111" s="421">
        <f t="shared" si="380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 t="shared" si="381"/>
        <v>0</v>
      </c>
      <c r="AG111" s="421">
        <f t="shared" si="382"/>
        <v>0</v>
      </c>
      <c r="AH111" s="421">
        <f t="shared" si="383"/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384"/>
        <v>0</v>
      </c>
      <c r="AP111" s="421">
        <f t="shared" si="385"/>
        <v>0</v>
      </c>
      <c r="AQ111" s="421">
        <f t="shared" si="386"/>
        <v>0</v>
      </c>
      <c r="AR111" s="421">
        <f t="shared" si="387"/>
        <v>0</v>
      </c>
      <c r="AS111" s="421">
        <f t="shared" si="387"/>
        <v>0</v>
      </c>
      <c r="AT111" s="421">
        <f t="shared" si="388"/>
        <v>0</v>
      </c>
      <c r="AU111" s="68">
        <f t="shared" si="389"/>
        <v>0</v>
      </c>
      <c r="AV111" s="68">
        <f t="shared" si="390"/>
        <v>0</v>
      </c>
      <c r="AW111" s="421">
        <v>0</v>
      </c>
      <c r="AX111" s="421">
        <v>0</v>
      </c>
      <c r="AY111" s="421">
        <f t="shared" si="391"/>
        <v>0</v>
      </c>
      <c r="AZ111" s="421">
        <f t="shared" si="392"/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 t="shared" si="393"/>
        <v>0</v>
      </c>
      <c r="BL111" s="422">
        <f t="shared" si="394"/>
        <v>0</v>
      </c>
      <c r="BM111" s="611">
        <f t="shared" si="395"/>
        <v>0</v>
      </c>
      <c r="BN111" s="428">
        <f t="shared" si="396"/>
        <v>19990</v>
      </c>
      <c r="BO111" s="421">
        <f t="shared" si="397"/>
        <v>14309</v>
      </c>
      <c r="BP111" s="421">
        <f t="shared" si="398"/>
        <v>0</v>
      </c>
      <c r="BQ111" s="421">
        <f t="shared" si="398"/>
        <v>14309</v>
      </c>
      <c r="BR111" s="421">
        <f t="shared" si="399"/>
        <v>0</v>
      </c>
      <c r="BS111" s="421">
        <f t="shared" si="400"/>
        <v>0</v>
      </c>
      <c r="BT111" s="421">
        <f t="shared" si="400"/>
        <v>0</v>
      </c>
      <c r="BU111" s="421">
        <f t="shared" si="401"/>
        <v>4836</v>
      </c>
      <c r="BV111" s="421">
        <f t="shared" si="401"/>
        <v>143</v>
      </c>
      <c r="BW111" s="421">
        <f t="shared" si="402"/>
        <v>702</v>
      </c>
      <c r="BX111" s="422">
        <f t="shared" si="403"/>
        <v>5.4199999999999998E-2</v>
      </c>
      <c r="BY111" s="422">
        <f t="shared" si="404"/>
        <v>0</v>
      </c>
      <c r="BZ111" s="611">
        <f t="shared" si="404"/>
        <v>5.4199999999999998E-2</v>
      </c>
      <c r="CA111" s="423"/>
      <c r="CB111" s="418"/>
      <c r="CC111" s="418"/>
      <c r="CD111" s="418"/>
      <c r="CE111" s="418"/>
      <c r="CF111" s="527"/>
    </row>
    <row r="112" spans="1:84" ht="12.95" customHeight="1" x14ac:dyDescent="0.25">
      <c r="A112" s="734">
        <v>18</v>
      </c>
      <c r="B112" s="327">
        <v>5442</v>
      </c>
      <c r="C112" s="328">
        <v>650030541</v>
      </c>
      <c r="D112" s="327">
        <v>75017512</v>
      </c>
      <c r="E112" s="351" t="s">
        <v>442</v>
      </c>
      <c r="F112" s="327"/>
      <c r="G112" s="352"/>
      <c r="H112" s="736"/>
      <c r="I112" s="489">
        <f t="shared" ref="I112:BU112" si="405">SUM(I106:I111)</f>
        <v>16064526</v>
      </c>
      <c r="J112" s="487">
        <f t="shared" si="405"/>
        <v>11808613</v>
      </c>
      <c r="K112" s="487">
        <f t="shared" si="405"/>
        <v>10698576</v>
      </c>
      <c r="L112" s="487">
        <f t="shared" si="405"/>
        <v>1110037</v>
      </c>
      <c r="M112" s="487">
        <f t="shared" si="405"/>
        <v>0</v>
      </c>
      <c r="N112" s="487">
        <f t="shared" si="405"/>
        <v>0</v>
      </c>
      <c r="O112" s="487">
        <f t="shared" si="405"/>
        <v>0</v>
      </c>
      <c r="P112" s="487">
        <f t="shared" si="405"/>
        <v>3991310</v>
      </c>
      <c r="Q112" s="487">
        <f t="shared" si="405"/>
        <v>118086</v>
      </c>
      <c r="R112" s="487">
        <f t="shared" si="405"/>
        <v>146517</v>
      </c>
      <c r="S112" s="488">
        <f t="shared" si="405"/>
        <v>20.671799999999998</v>
      </c>
      <c r="T112" s="488">
        <f t="shared" si="405"/>
        <v>17.390599999999999</v>
      </c>
      <c r="U112" s="353">
        <f t="shared" si="405"/>
        <v>3.2811999999999992</v>
      </c>
      <c r="V112" s="490">
        <f t="shared" si="405"/>
        <v>-12800</v>
      </c>
      <c r="W112" s="487">
        <f t="shared" si="405"/>
        <v>-12800</v>
      </c>
      <c r="X112" s="487">
        <f t="shared" si="405"/>
        <v>896116</v>
      </c>
      <c r="Y112" s="487">
        <f t="shared" si="405"/>
        <v>0</v>
      </c>
      <c r="Z112" s="487">
        <f t="shared" si="405"/>
        <v>0</v>
      </c>
      <c r="AA112" s="487">
        <f t="shared" si="405"/>
        <v>0</v>
      </c>
      <c r="AB112" s="487">
        <f t="shared" si="405"/>
        <v>0</v>
      </c>
      <c r="AC112" s="487">
        <f t="shared" si="405"/>
        <v>0</v>
      </c>
      <c r="AD112" s="487">
        <f t="shared" si="405"/>
        <v>0</v>
      </c>
      <c r="AE112" s="487">
        <f t="shared" si="405"/>
        <v>0</v>
      </c>
      <c r="AF112" s="487">
        <f t="shared" si="405"/>
        <v>883316</v>
      </c>
      <c r="AG112" s="487">
        <f t="shared" si="405"/>
        <v>-12800</v>
      </c>
      <c r="AH112" s="487">
        <f t="shared" si="405"/>
        <v>870516</v>
      </c>
      <c r="AI112" s="487">
        <f t="shared" si="405"/>
        <v>12800</v>
      </c>
      <c r="AJ112" s="487">
        <f t="shared" si="405"/>
        <v>12800</v>
      </c>
      <c r="AK112" s="487">
        <f t="shared" ref="AK112" si="406">SUM(AK106:AK111)</f>
        <v>0</v>
      </c>
      <c r="AL112" s="487">
        <f t="shared" si="405"/>
        <v>0</v>
      </c>
      <c r="AM112" s="487">
        <f t="shared" si="405"/>
        <v>0</v>
      </c>
      <c r="AN112" s="487">
        <f t="shared" si="405"/>
        <v>0</v>
      </c>
      <c r="AO112" s="487">
        <f t="shared" si="405"/>
        <v>12800</v>
      </c>
      <c r="AP112" s="487">
        <f t="shared" si="405"/>
        <v>12800</v>
      </c>
      <c r="AQ112" s="487">
        <f t="shared" si="405"/>
        <v>25600</v>
      </c>
      <c r="AR112" s="487">
        <f t="shared" si="405"/>
        <v>896116</v>
      </c>
      <c r="AS112" s="487">
        <f t="shared" si="405"/>
        <v>0</v>
      </c>
      <c r="AT112" s="487">
        <f t="shared" si="405"/>
        <v>896116</v>
      </c>
      <c r="AU112" s="487">
        <f t="shared" si="405"/>
        <v>302887</v>
      </c>
      <c r="AV112" s="487">
        <f t="shared" si="405"/>
        <v>8705</v>
      </c>
      <c r="AW112" s="487">
        <f t="shared" si="405"/>
        <v>10200</v>
      </c>
      <c r="AX112" s="487">
        <f t="shared" si="405"/>
        <v>0</v>
      </c>
      <c r="AY112" s="487">
        <f t="shared" si="405"/>
        <v>10200</v>
      </c>
      <c r="AZ112" s="487">
        <f t="shared" si="405"/>
        <v>1217908</v>
      </c>
      <c r="BA112" s="488">
        <f t="shared" si="405"/>
        <v>0</v>
      </c>
      <c r="BB112" s="488">
        <f t="shared" si="405"/>
        <v>-0.04</v>
      </c>
      <c r="BC112" s="488">
        <f t="shared" si="405"/>
        <v>2.42</v>
      </c>
      <c r="BD112" s="488">
        <f t="shared" si="405"/>
        <v>0</v>
      </c>
      <c r="BE112" s="488">
        <f t="shared" si="405"/>
        <v>0</v>
      </c>
      <c r="BF112" s="488">
        <f t="shared" si="405"/>
        <v>0</v>
      </c>
      <c r="BG112" s="488">
        <f t="shared" si="405"/>
        <v>0</v>
      </c>
      <c r="BH112" s="488">
        <f t="shared" si="405"/>
        <v>0</v>
      </c>
      <c r="BI112" s="488">
        <f t="shared" si="405"/>
        <v>0</v>
      </c>
      <c r="BJ112" s="488">
        <f t="shared" si="405"/>
        <v>0</v>
      </c>
      <c r="BK112" s="488">
        <f t="shared" si="405"/>
        <v>2.42</v>
      </c>
      <c r="BL112" s="488">
        <f t="shared" si="405"/>
        <v>-0.04</v>
      </c>
      <c r="BM112" s="563">
        <f t="shared" si="405"/>
        <v>2.38</v>
      </c>
      <c r="BN112" s="489">
        <f t="shared" si="405"/>
        <v>17282434</v>
      </c>
      <c r="BO112" s="487">
        <f t="shared" si="405"/>
        <v>12679129</v>
      </c>
      <c r="BP112" s="487">
        <f t="shared" si="405"/>
        <v>11581892</v>
      </c>
      <c r="BQ112" s="487">
        <f t="shared" si="405"/>
        <v>1097237</v>
      </c>
      <c r="BR112" s="487">
        <f t="shared" si="405"/>
        <v>25600</v>
      </c>
      <c r="BS112" s="487">
        <f t="shared" si="405"/>
        <v>12800</v>
      </c>
      <c r="BT112" s="487">
        <f t="shared" si="405"/>
        <v>12800</v>
      </c>
      <c r="BU112" s="487">
        <f t="shared" si="405"/>
        <v>4294197</v>
      </c>
      <c r="BV112" s="487">
        <f t="shared" ref="BV112:CF112" si="407">SUM(BV106:BV111)</f>
        <v>126791</v>
      </c>
      <c r="BW112" s="487">
        <f t="shared" si="407"/>
        <v>156717</v>
      </c>
      <c r="BX112" s="488">
        <f t="shared" si="407"/>
        <v>23.051799999999997</v>
      </c>
      <c r="BY112" s="488">
        <f t="shared" si="407"/>
        <v>19.810600000000001</v>
      </c>
      <c r="BZ112" s="563">
        <f t="shared" si="407"/>
        <v>3.2411999999999992</v>
      </c>
      <c r="CA112" s="888">
        <f t="shared" si="407"/>
        <v>0</v>
      </c>
      <c r="CB112" s="887">
        <f t="shared" si="407"/>
        <v>0</v>
      </c>
      <c r="CC112" s="887">
        <f t="shared" si="407"/>
        <v>0</v>
      </c>
      <c r="CD112" s="887">
        <f t="shared" si="407"/>
        <v>0</v>
      </c>
      <c r="CE112" s="887">
        <f t="shared" si="407"/>
        <v>0</v>
      </c>
      <c r="CF112" s="843">
        <f t="shared" si="407"/>
        <v>0</v>
      </c>
    </row>
    <row r="113" spans="1:84" ht="12.95" customHeight="1" x14ac:dyDescent="0.25">
      <c r="A113" s="282">
        <v>19</v>
      </c>
      <c r="B113" s="323">
        <v>5453</v>
      </c>
      <c r="C113" s="324">
        <v>600099211</v>
      </c>
      <c r="D113" s="283">
        <v>854760</v>
      </c>
      <c r="E113" s="350" t="s">
        <v>443</v>
      </c>
      <c r="F113" s="323">
        <v>3111</v>
      </c>
      <c r="G113" s="347" t="s">
        <v>305</v>
      </c>
      <c r="H113" s="733" t="s">
        <v>271</v>
      </c>
      <c r="I113" s="423">
        <f t="shared" ref="I113:I119" si="408">J113+P113+Q113+R113</f>
        <v>6794933</v>
      </c>
      <c r="J113" s="418">
        <f t="shared" ref="J113:J119" si="409">K113+L113</f>
        <v>5021737</v>
      </c>
      <c r="K113" s="418">
        <v>4755465</v>
      </c>
      <c r="L113" s="418">
        <v>266272</v>
      </c>
      <c r="M113" s="418">
        <f t="shared" ref="M113:M119" si="410">N113+O113</f>
        <v>0</v>
      </c>
      <c r="N113" s="418">
        <v>0</v>
      </c>
      <c r="O113" s="418">
        <v>0</v>
      </c>
      <c r="P113" s="68">
        <f t="shared" ref="P113:P119" si="411">ROUND((J113+M113)*33.8%,0)</f>
        <v>1697347</v>
      </c>
      <c r="Q113" s="68">
        <f t="shared" ref="Q113:Q119" si="412">ROUND(J113*1%,0)</f>
        <v>50217</v>
      </c>
      <c r="R113" s="418">
        <v>25632</v>
      </c>
      <c r="S113" s="419">
        <f t="shared" ref="S113:S119" si="413">T113+U113</f>
        <v>9.0668000000000006</v>
      </c>
      <c r="T113" s="420">
        <v>8</v>
      </c>
      <c r="U113" s="527">
        <v>1.0668</v>
      </c>
      <c r="V113" s="427">
        <f t="shared" ref="V113:W119" si="414">AI113*-1</f>
        <v>0</v>
      </c>
      <c r="W113" s="421">
        <f t="shared" si="414"/>
        <v>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f t="shared" ref="AF113:AF119" si="415">V113+X113+Y113+AA113+AB113+AD113</f>
        <v>0</v>
      </c>
      <c r="AG113" s="421">
        <f t="shared" ref="AG113:AG119" si="416">W113+Z113+AC113+AE113</f>
        <v>0</v>
      </c>
      <c r="AH113" s="421">
        <f t="shared" ref="AH113:AH119" si="417">SUM(AF113:AG113)</f>
        <v>0</v>
      </c>
      <c r="AI113" s="421">
        <v>0</v>
      </c>
      <c r="AJ113" s="421">
        <v>0</v>
      </c>
      <c r="AK113" s="421">
        <v>0</v>
      </c>
      <c r="AL113" s="421">
        <v>0</v>
      </c>
      <c r="AM113" s="421">
        <v>0</v>
      </c>
      <c r="AN113" s="421">
        <v>0</v>
      </c>
      <c r="AO113" s="421">
        <f t="shared" ref="AO113:AO119" si="418">AI113+AK113+AL113+AM113</f>
        <v>0</v>
      </c>
      <c r="AP113" s="421">
        <f t="shared" ref="AP113:AP119" si="419">AJ113+AN113</f>
        <v>0</v>
      </c>
      <c r="AQ113" s="421">
        <f t="shared" ref="AQ113:AQ119" si="420">SUM(AO113:AP113)</f>
        <v>0</v>
      </c>
      <c r="AR113" s="421">
        <f t="shared" ref="AR113:AS119" si="421">AF113+AO113</f>
        <v>0</v>
      </c>
      <c r="AS113" s="421">
        <f t="shared" si="421"/>
        <v>0</v>
      </c>
      <c r="AT113" s="421">
        <f t="shared" ref="AT113:AT119" si="422">SUM(AR113:AS113)</f>
        <v>0</v>
      </c>
      <c r="AU113" s="68">
        <f t="shared" ref="AU113:AU119" si="423">ROUND((AH113+AI113+AJ113+AK113+AL113)*33.8%,0)</f>
        <v>0</v>
      </c>
      <c r="AV113" s="68">
        <f t="shared" ref="AV113:AV119" si="424">ROUND(AH113*1%,0)</f>
        <v>0</v>
      </c>
      <c r="AW113" s="421">
        <v>0</v>
      </c>
      <c r="AX113" s="421">
        <v>0</v>
      </c>
      <c r="AY113" s="421">
        <f t="shared" ref="AY113:AY119" si="425">AW113+AX113</f>
        <v>0</v>
      </c>
      <c r="AZ113" s="421">
        <f t="shared" ref="AZ113:AZ119" si="426">AT113+AU113+AV113+AY113</f>
        <v>0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0</v>
      </c>
      <c r="BG113" s="422">
        <v>0</v>
      </c>
      <c r="BH113" s="422">
        <v>0</v>
      </c>
      <c r="BI113" s="422">
        <v>0</v>
      </c>
      <c r="BJ113" s="422">
        <v>0</v>
      </c>
      <c r="BK113" s="422">
        <f t="shared" ref="BK113:BK119" si="427">BA113+BC113+BD113+BF113+BH113+BI113</f>
        <v>0</v>
      </c>
      <c r="BL113" s="422">
        <f t="shared" ref="BL113:BL119" si="428">BB113+BE113+BG113+BJ113</f>
        <v>0</v>
      </c>
      <c r="BM113" s="611">
        <f t="shared" ref="BM113:BM119" si="429">SUM(BK113:BL113)</f>
        <v>0</v>
      </c>
      <c r="BN113" s="428">
        <f t="shared" ref="BN113:BN119" si="430">I113+AZ113</f>
        <v>6794933</v>
      </c>
      <c r="BO113" s="421">
        <f t="shared" ref="BO113:BO119" si="431">J113+AH113</f>
        <v>5021737</v>
      </c>
      <c r="BP113" s="421">
        <f t="shared" ref="BP113:BQ119" si="432">K113+AF113</f>
        <v>4755465</v>
      </c>
      <c r="BQ113" s="421">
        <f t="shared" si="432"/>
        <v>266272</v>
      </c>
      <c r="BR113" s="421">
        <f t="shared" ref="BR113:BR119" si="433">M113+AQ113</f>
        <v>0</v>
      </c>
      <c r="BS113" s="421">
        <f t="shared" ref="BS113:BT119" si="434">N113+AO113</f>
        <v>0</v>
      </c>
      <c r="BT113" s="421">
        <f t="shared" si="434"/>
        <v>0</v>
      </c>
      <c r="BU113" s="421">
        <f t="shared" ref="BU113:BV119" si="435">P113+AU113</f>
        <v>1697347</v>
      </c>
      <c r="BV113" s="421">
        <f t="shared" si="435"/>
        <v>50217</v>
      </c>
      <c r="BW113" s="421">
        <f t="shared" ref="BW113:BW119" si="436">R113+AY113</f>
        <v>25632</v>
      </c>
      <c r="BX113" s="422">
        <f t="shared" ref="BX113:BX119" si="437">S113+BM113</f>
        <v>9.0668000000000006</v>
      </c>
      <c r="BY113" s="422">
        <f t="shared" ref="BY113:BZ119" si="438">T113+BK113</f>
        <v>8</v>
      </c>
      <c r="BZ113" s="611">
        <f t="shared" si="438"/>
        <v>1.0668</v>
      </c>
      <c r="CA113" s="423"/>
      <c r="CB113" s="418"/>
      <c r="CC113" s="418"/>
      <c r="CD113" s="418"/>
      <c r="CE113" s="418"/>
      <c r="CF113" s="527"/>
    </row>
    <row r="114" spans="1:84" ht="12.95" customHeight="1" x14ac:dyDescent="0.25">
      <c r="A114" s="282">
        <v>19</v>
      </c>
      <c r="B114" s="323">
        <v>5453</v>
      </c>
      <c r="C114" s="324">
        <v>600099211</v>
      </c>
      <c r="D114" s="283">
        <v>854760</v>
      </c>
      <c r="E114" s="350" t="s">
        <v>443</v>
      </c>
      <c r="F114" s="323">
        <v>3113</v>
      </c>
      <c r="G114" s="347" t="s">
        <v>309</v>
      </c>
      <c r="H114" s="733" t="s">
        <v>271</v>
      </c>
      <c r="I114" s="423">
        <f t="shared" si="408"/>
        <v>20834352</v>
      </c>
      <c r="J114" s="418">
        <f t="shared" si="409"/>
        <v>15269224</v>
      </c>
      <c r="K114" s="418">
        <v>13943505</v>
      </c>
      <c r="L114" s="418">
        <v>1325719</v>
      </c>
      <c r="M114" s="418">
        <f t="shared" si="410"/>
        <v>0</v>
      </c>
      <c r="N114" s="418">
        <v>0</v>
      </c>
      <c r="O114" s="418">
        <v>0</v>
      </c>
      <c r="P114" s="68">
        <f t="shared" si="411"/>
        <v>5160998</v>
      </c>
      <c r="Q114" s="68">
        <f>ROUND(J114*1%,0)+1</f>
        <v>152693</v>
      </c>
      <c r="R114" s="418">
        <v>251437</v>
      </c>
      <c r="S114" s="419">
        <f t="shared" si="413"/>
        <v>24.483900000000002</v>
      </c>
      <c r="T114" s="420">
        <v>20.590900000000001</v>
      </c>
      <c r="U114" s="527">
        <v>3.8929999999999998</v>
      </c>
      <c r="V114" s="427">
        <f t="shared" si="414"/>
        <v>0</v>
      </c>
      <c r="W114" s="421">
        <f t="shared" si="414"/>
        <v>0</v>
      </c>
      <c r="X114" s="421">
        <v>0</v>
      </c>
      <c r="Y114" s="421">
        <v>0</v>
      </c>
      <c r="Z114" s="421">
        <v>0</v>
      </c>
      <c r="AA114" s="421">
        <v>0</v>
      </c>
      <c r="AB114" s="421">
        <v>225600</v>
      </c>
      <c r="AC114" s="421">
        <v>0</v>
      </c>
      <c r="AD114" s="421">
        <v>0</v>
      </c>
      <c r="AE114" s="421">
        <v>0</v>
      </c>
      <c r="AF114" s="421">
        <f t="shared" si="415"/>
        <v>225600</v>
      </c>
      <c r="AG114" s="421">
        <f t="shared" si="416"/>
        <v>0</v>
      </c>
      <c r="AH114" s="421">
        <f t="shared" si="417"/>
        <v>225600</v>
      </c>
      <c r="AI114" s="421">
        <v>0</v>
      </c>
      <c r="AJ114" s="421">
        <v>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si="418"/>
        <v>0</v>
      </c>
      <c r="AP114" s="421">
        <f t="shared" si="419"/>
        <v>0</v>
      </c>
      <c r="AQ114" s="421">
        <f t="shared" si="420"/>
        <v>0</v>
      </c>
      <c r="AR114" s="421">
        <f t="shared" si="421"/>
        <v>225600</v>
      </c>
      <c r="AS114" s="421">
        <f t="shared" si="421"/>
        <v>0</v>
      </c>
      <c r="AT114" s="421">
        <f t="shared" si="422"/>
        <v>225600</v>
      </c>
      <c r="AU114" s="68">
        <f t="shared" si="423"/>
        <v>76253</v>
      </c>
      <c r="AV114" s="68">
        <f t="shared" si="424"/>
        <v>2256</v>
      </c>
      <c r="AW114" s="421">
        <v>0</v>
      </c>
      <c r="AX114" s="421">
        <v>0</v>
      </c>
      <c r="AY114" s="421">
        <f t="shared" si="425"/>
        <v>0</v>
      </c>
      <c r="AZ114" s="421">
        <f t="shared" si="426"/>
        <v>304109</v>
      </c>
      <c r="BA114" s="422">
        <v>0</v>
      </c>
      <c r="BB114" s="422">
        <v>0</v>
      </c>
      <c r="BC114" s="422">
        <v>0</v>
      </c>
      <c r="BD114" s="422">
        <v>0.4</v>
      </c>
      <c r="BE114" s="422">
        <v>0</v>
      </c>
      <c r="BF114" s="422">
        <v>0</v>
      </c>
      <c r="BG114" s="422">
        <v>0</v>
      </c>
      <c r="BH114" s="422">
        <v>0</v>
      </c>
      <c r="BI114" s="422">
        <v>0</v>
      </c>
      <c r="BJ114" s="422">
        <v>0</v>
      </c>
      <c r="BK114" s="422">
        <f t="shared" si="427"/>
        <v>0.4</v>
      </c>
      <c r="BL114" s="422">
        <f t="shared" si="428"/>
        <v>0</v>
      </c>
      <c r="BM114" s="611">
        <f t="shared" si="429"/>
        <v>0.4</v>
      </c>
      <c r="BN114" s="428">
        <f t="shared" si="430"/>
        <v>21138461</v>
      </c>
      <c r="BO114" s="421">
        <f t="shared" si="431"/>
        <v>15494824</v>
      </c>
      <c r="BP114" s="421">
        <f t="shared" si="432"/>
        <v>14169105</v>
      </c>
      <c r="BQ114" s="421">
        <f t="shared" si="432"/>
        <v>1325719</v>
      </c>
      <c r="BR114" s="421">
        <f t="shared" si="433"/>
        <v>0</v>
      </c>
      <c r="BS114" s="421">
        <f t="shared" si="434"/>
        <v>0</v>
      </c>
      <c r="BT114" s="421">
        <f t="shared" si="434"/>
        <v>0</v>
      </c>
      <c r="BU114" s="421">
        <f t="shared" si="435"/>
        <v>5237251</v>
      </c>
      <c r="BV114" s="421">
        <f t="shared" si="435"/>
        <v>154949</v>
      </c>
      <c r="BW114" s="421">
        <f t="shared" si="436"/>
        <v>251437</v>
      </c>
      <c r="BX114" s="422">
        <f t="shared" si="437"/>
        <v>24.883900000000001</v>
      </c>
      <c r="BY114" s="422">
        <f t="shared" si="438"/>
        <v>20.9909</v>
      </c>
      <c r="BZ114" s="611">
        <f t="shared" si="438"/>
        <v>3.8929999999999998</v>
      </c>
      <c r="CA114" s="423">
        <v>304109</v>
      </c>
      <c r="CB114" s="418">
        <v>225600</v>
      </c>
      <c r="CC114" s="418">
        <v>0</v>
      </c>
      <c r="CD114" s="418">
        <v>76253</v>
      </c>
      <c r="CE114" s="418">
        <v>2256</v>
      </c>
      <c r="CF114" s="527">
        <v>0.4</v>
      </c>
    </row>
    <row r="115" spans="1:84" ht="12.95" customHeight="1" x14ac:dyDescent="0.25">
      <c r="A115" s="282">
        <v>19</v>
      </c>
      <c r="B115" s="323">
        <v>5453</v>
      </c>
      <c r="C115" s="324">
        <v>600099211</v>
      </c>
      <c r="D115" s="283">
        <v>854760</v>
      </c>
      <c r="E115" s="350" t="s">
        <v>443</v>
      </c>
      <c r="F115" s="323">
        <v>3113</v>
      </c>
      <c r="G115" s="286" t="s">
        <v>292</v>
      </c>
      <c r="H115" s="733" t="s">
        <v>272</v>
      </c>
      <c r="I115" s="423">
        <f t="shared" si="408"/>
        <v>0</v>
      </c>
      <c r="J115" s="418">
        <f t="shared" si="409"/>
        <v>0</v>
      </c>
      <c r="K115" s="418">
        <v>0</v>
      </c>
      <c r="L115" s="418">
        <v>0</v>
      </c>
      <c r="M115" s="418">
        <f>N115+O115</f>
        <v>0</v>
      </c>
      <c r="N115" s="418">
        <v>0</v>
      </c>
      <c r="O115" s="418">
        <v>0</v>
      </c>
      <c r="P115" s="68">
        <f t="shared" si="411"/>
        <v>0</v>
      </c>
      <c r="Q115" s="68">
        <f t="shared" ref="Q115" si="439">ROUND(J115*1%,0)</f>
        <v>0</v>
      </c>
      <c r="R115" s="418">
        <v>0</v>
      </c>
      <c r="S115" s="419">
        <f>T115+U115</f>
        <v>0</v>
      </c>
      <c r="T115" s="420">
        <v>0</v>
      </c>
      <c r="U115" s="527">
        <v>0</v>
      </c>
      <c r="V115" s="427">
        <f t="shared" si="414"/>
        <v>0</v>
      </c>
      <c r="W115" s="421">
        <f t="shared" si="414"/>
        <v>0</v>
      </c>
      <c r="X115" s="421">
        <f>1434169+20631</f>
        <v>1454800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 t="shared" si="415"/>
        <v>1454800</v>
      </c>
      <c r="AG115" s="421">
        <f t="shared" si="416"/>
        <v>0</v>
      </c>
      <c r="AH115" s="421">
        <f t="shared" si="417"/>
        <v>1454800</v>
      </c>
      <c r="AI115" s="421">
        <v>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si="418"/>
        <v>0</v>
      </c>
      <c r="AP115" s="421">
        <f t="shared" si="419"/>
        <v>0</v>
      </c>
      <c r="AQ115" s="421">
        <f t="shared" si="420"/>
        <v>0</v>
      </c>
      <c r="AR115" s="421">
        <f t="shared" si="421"/>
        <v>1454800</v>
      </c>
      <c r="AS115" s="421">
        <f t="shared" si="421"/>
        <v>0</v>
      </c>
      <c r="AT115" s="421">
        <f t="shared" si="422"/>
        <v>1454800</v>
      </c>
      <c r="AU115" s="68">
        <f t="shared" si="423"/>
        <v>491722</v>
      </c>
      <c r="AV115" s="68">
        <f t="shared" si="424"/>
        <v>14548</v>
      </c>
      <c r="AW115" s="421">
        <v>2000</v>
      </c>
      <c r="AX115" s="421">
        <v>0</v>
      </c>
      <c r="AY115" s="421">
        <f t="shared" si="425"/>
        <v>2000</v>
      </c>
      <c r="AZ115" s="421">
        <f t="shared" si="426"/>
        <v>1963070</v>
      </c>
      <c r="BA115" s="422">
        <v>0</v>
      </c>
      <c r="BB115" s="422">
        <v>0</v>
      </c>
      <c r="BC115" s="422">
        <f>3.43+0.04</f>
        <v>3.47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 t="shared" si="427"/>
        <v>3.47</v>
      </c>
      <c r="BL115" s="422">
        <f t="shared" si="428"/>
        <v>0</v>
      </c>
      <c r="BM115" s="611">
        <f t="shared" si="429"/>
        <v>3.47</v>
      </c>
      <c r="BN115" s="428">
        <f t="shared" si="430"/>
        <v>1963070</v>
      </c>
      <c r="BO115" s="421">
        <f t="shared" si="431"/>
        <v>1454800</v>
      </c>
      <c r="BP115" s="421">
        <f t="shared" si="432"/>
        <v>1454800</v>
      </c>
      <c r="BQ115" s="421">
        <f t="shared" si="432"/>
        <v>0</v>
      </c>
      <c r="BR115" s="421">
        <f t="shared" si="433"/>
        <v>0</v>
      </c>
      <c r="BS115" s="421">
        <f t="shared" si="434"/>
        <v>0</v>
      </c>
      <c r="BT115" s="421">
        <f t="shared" si="434"/>
        <v>0</v>
      </c>
      <c r="BU115" s="421">
        <f t="shared" si="435"/>
        <v>491722</v>
      </c>
      <c r="BV115" s="421">
        <f t="shared" si="435"/>
        <v>14548</v>
      </c>
      <c r="BW115" s="421">
        <f t="shared" si="436"/>
        <v>2000</v>
      </c>
      <c r="BX115" s="422">
        <f t="shared" si="437"/>
        <v>3.47</v>
      </c>
      <c r="BY115" s="422">
        <f t="shared" si="438"/>
        <v>3.47</v>
      </c>
      <c r="BZ115" s="611">
        <f t="shared" si="438"/>
        <v>0</v>
      </c>
      <c r="CA115" s="875"/>
      <c r="CB115" s="872"/>
      <c r="CC115" s="872"/>
      <c r="CD115" s="872"/>
      <c r="CE115" s="872"/>
      <c r="CF115" s="876"/>
    </row>
    <row r="116" spans="1:84" ht="12.95" customHeight="1" x14ac:dyDescent="0.25">
      <c r="A116" s="282">
        <v>19</v>
      </c>
      <c r="B116" s="323">
        <v>5453</v>
      </c>
      <c r="C116" s="324">
        <v>600099211</v>
      </c>
      <c r="D116" s="283">
        <v>854760</v>
      </c>
      <c r="E116" s="350" t="s">
        <v>443</v>
      </c>
      <c r="F116" s="323">
        <v>3141</v>
      </c>
      <c r="G116" s="347" t="s">
        <v>295</v>
      </c>
      <c r="H116" s="733" t="s">
        <v>272</v>
      </c>
      <c r="I116" s="423">
        <f t="shared" si="408"/>
        <v>2140410</v>
      </c>
      <c r="J116" s="418">
        <f t="shared" si="409"/>
        <v>1578494</v>
      </c>
      <c r="K116" s="418">
        <v>0</v>
      </c>
      <c r="L116" s="418">
        <v>1578494</v>
      </c>
      <c r="M116" s="418">
        <f t="shared" si="410"/>
        <v>0</v>
      </c>
      <c r="N116" s="418">
        <v>0</v>
      </c>
      <c r="O116" s="418">
        <v>0</v>
      </c>
      <c r="P116" s="68">
        <f t="shared" si="411"/>
        <v>533531</v>
      </c>
      <c r="Q116" s="68">
        <f t="shared" si="412"/>
        <v>15785</v>
      </c>
      <c r="R116" s="418">
        <v>12600</v>
      </c>
      <c r="S116" s="419">
        <f t="shared" si="413"/>
        <v>4.7333999999999996</v>
      </c>
      <c r="T116" s="420">
        <v>0</v>
      </c>
      <c r="U116" s="527">
        <v>4.7333999999999996</v>
      </c>
      <c r="V116" s="427">
        <f t="shared" si="414"/>
        <v>0</v>
      </c>
      <c r="W116" s="421">
        <f t="shared" si="414"/>
        <v>0</v>
      </c>
      <c r="X116" s="421">
        <v>0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 t="shared" si="415"/>
        <v>0</v>
      </c>
      <c r="AG116" s="421">
        <f t="shared" si="416"/>
        <v>0</v>
      </c>
      <c r="AH116" s="421">
        <f t="shared" si="417"/>
        <v>0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si="418"/>
        <v>0</v>
      </c>
      <c r="AP116" s="421">
        <f t="shared" si="419"/>
        <v>0</v>
      </c>
      <c r="AQ116" s="421">
        <f t="shared" si="420"/>
        <v>0</v>
      </c>
      <c r="AR116" s="421">
        <f t="shared" si="421"/>
        <v>0</v>
      </c>
      <c r="AS116" s="421">
        <f t="shared" si="421"/>
        <v>0</v>
      </c>
      <c r="AT116" s="421">
        <f t="shared" si="422"/>
        <v>0</v>
      </c>
      <c r="AU116" s="68">
        <f t="shared" si="423"/>
        <v>0</v>
      </c>
      <c r="AV116" s="68">
        <f t="shared" si="424"/>
        <v>0</v>
      </c>
      <c r="AW116" s="421">
        <v>0</v>
      </c>
      <c r="AX116" s="421">
        <v>0</v>
      </c>
      <c r="AY116" s="421">
        <f t="shared" si="425"/>
        <v>0</v>
      </c>
      <c r="AZ116" s="421">
        <f t="shared" si="426"/>
        <v>0</v>
      </c>
      <c r="BA116" s="422">
        <v>0</v>
      </c>
      <c r="BB116" s="422">
        <v>0</v>
      </c>
      <c r="BC116" s="422">
        <v>0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 t="shared" si="427"/>
        <v>0</v>
      </c>
      <c r="BL116" s="422">
        <f t="shared" si="428"/>
        <v>0</v>
      </c>
      <c r="BM116" s="611">
        <f t="shared" si="429"/>
        <v>0</v>
      </c>
      <c r="BN116" s="428">
        <f t="shared" si="430"/>
        <v>2140410</v>
      </c>
      <c r="BO116" s="421">
        <f t="shared" si="431"/>
        <v>1578494</v>
      </c>
      <c r="BP116" s="421">
        <f t="shared" si="432"/>
        <v>0</v>
      </c>
      <c r="BQ116" s="421">
        <f t="shared" si="432"/>
        <v>1578494</v>
      </c>
      <c r="BR116" s="421">
        <f t="shared" si="433"/>
        <v>0</v>
      </c>
      <c r="BS116" s="421">
        <f t="shared" si="434"/>
        <v>0</v>
      </c>
      <c r="BT116" s="421">
        <f t="shared" si="434"/>
        <v>0</v>
      </c>
      <c r="BU116" s="421">
        <f t="shared" si="435"/>
        <v>533531</v>
      </c>
      <c r="BV116" s="421">
        <f t="shared" si="435"/>
        <v>15785</v>
      </c>
      <c r="BW116" s="421">
        <f t="shared" si="436"/>
        <v>12600</v>
      </c>
      <c r="BX116" s="422">
        <f t="shared" si="437"/>
        <v>4.7333999999999996</v>
      </c>
      <c r="BY116" s="422">
        <f t="shared" si="438"/>
        <v>0</v>
      </c>
      <c r="BZ116" s="611">
        <f t="shared" si="438"/>
        <v>4.7333999999999996</v>
      </c>
      <c r="CA116" s="875"/>
      <c r="CB116" s="872"/>
      <c r="CC116" s="872"/>
      <c r="CD116" s="872"/>
      <c r="CE116" s="872"/>
      <c r="CF116" s="876"/>
    </row>
    <row r="117" spans="1:84" ht="12.95" customHeight="1" x14ac:dyDescent="0.25">
      <c r="A117" s="282">
        <v>19</v>
      </c>
      <c r="B117" s="323">
        <v>5453</v>
      </c>
      <c r="C117" s="324">
        <v>600099211</v>
      </c>
      <c r="D117" s="283">
        <v>854760</v>
      </c>
      <c r="E117" s="350" t="s">
        <v>443</v>
      </c>
      <c r="F117" s="323">
        <v>3143</v>
      </c>
      <c r="G117" s="286" t="s">
        <v>596</v>
      </c>
      <c r="H117" s="733" t="s">
        <v>271</v>
      </c>
      <c r="I117" s="423">
        <f t="shared" si="408"/>
        <v>1792828</v>
      </c>
      <c r="J117" s="418">
        <f t="shared" si="409"/>
        <v>1329991</v>
      </c>
      <c r="K117" s="418">
        <v>1329991</v>
      </c>
      <c r="L117" s="418">
        <v>0</v>
      </c>
      <c r="M117" s="418">
        <f t="shared" si="410"/>
        <v>0</v>
      </c>
      <c r="N117" s="418">
        <v>0</v>
      </c>
      <c r="O117" s="418">
        <v>0</v>
      </c>
      <c r="P117" s="68">
        <f t="shared" si="411"/>
        <v>449537</v>
      </c>
      <c r="Q117" s="68">
        <f t="shared" si="412"/>
        <v>13300</v>
      </c>
      <c r="R117" s="418">
        <v>0</v>
      </c>
      <c r="S117" s="419">
        <f t="shared" si="413"/>
        <v>2.7160000000000002</v>
      </c>
      <c r="T117" s="420">
        <v>2.7160000000000002</v>
      </c>
      <c r="U117" s="527">
        <v>0</v>
      </c>
      <c r="V117" s="427">
        <f t="shared" si="414"/>
        <v>0</v>
      </c>
      <c r="W117" s="421">
        <f t="shared" si="414"/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 t="shared" si="415"/>
        <v>0</v>
      </c>
      <c r="AG117" s="421">
        <f t="shared" si="416"/>
        <v>0</v>
      </c>
      <c r="AH117" s="421">
        <f t="shared" si="417"/>
        <v>0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418"/>
        <v>0</v>
      </c>
      <c r="AP117" s="421">
        <f t="shared" si="419"/>
        <v>0</v>
      </c>
      <c r="AQ117" s="421">
        <f t="shared" si="420"/>
        <v>0</v>
      </c>
      <c r="AR117" s="421">
        <f t="shared" si="421"/>
        <v>0</v>
      </c>
      <c r="AS117" s="421">
        <f t="shared" si="421"/>
        <v>0</v>
      </c>
      <c r="AT117" s="421">
        <f t="shared" si="422"/>
        <v>0</v>
      </c>
      <c r="AU117" s="68">
        <f t="shared" si="423"/>
        <v>0</v>
      </c>
      <c r="AV117" s="68">
        <f t="shared" si="424"/>
        <v>0</v>
      </c>
      <c r="AW117" s="421">
        <v>0</v>
      </c>
      <c r="AX117" s="421">
        <v>0</v>
      </c>
      <c r="AY117" s="421">
        <f t="shared" si="425"/>
        <v>0</v>
      </c>
      <c r="AZ117" s="421">
        <f t="shared" si="426"/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 t="shared" si="427"/>
        <v>0</v>
      </c>
      <c r="BL117" s="422">
        <f t="shared" si="428"/>
        <v>0</v>
      </c>
      <c r="BM117" s="611">
        <f t="shared" si="429"/>
        <v>0</v>
      </c>
      <c r="BN117" s="428">
        <f t="shared" si="430"/>
        <v>1792828</v>
      </c>
      <c r="BO117" s="421">
        <f t="shared" si="431"/>
        <v>1329991</v>
      </c>
      <c r="BP117" s="421">
        <f t="shared" si="432"/>
        <v>1329991</v>
      </c>
      <c r="BQ117" s="421">
        <f t="shared" si="432"/>
        <v>0</v>
      </c>
      <c r="BR117" s="421">
        <f t="shared" si="433"/>
        <v>0</v>
      </c>
      <c r="BS117" s="421">
        <f t="shared" si="434"/>
        <v>0</v>
      </c>
      <c r="BT117" s="421">
        <f t="shared" si="434"/>
        <v>0</v>
      </c>
      <c r="BU117" s="421">
        <f t="shared" si="435"/>
        <v>449537</v>
      </c>
      <c r="BV117" s="421">
        <f t="shared" si="435"/>
        <v>13300</v>
      </c>
      <c r="BW117" s="421">
        <f t="shared" si="436"/>
        <v>0</v>
      </c>
      <c r="BX117" s="422">
        <f t="shared" si="437"/>
        <v>2.7160000000000002</v>
      </c>
      <c r="BY117" s="422">
        <f t="shared" si="438"/>
        <v>2.7160000000000002</v>
      </c>
      <c r="BZ117" s="611">
        <f t="shared" si="438"/>
        <v>0</v>
      </c>
      <c r="CA117" s="875"/>
      <c r="CB117" s="872"/>
      <c r="CC117" s="872"/>
      <c r="CD117" s="872"/>
      <c r="CE117" s="872"/>
      <c r="CF117" s="876"/>
    </row>
    <row r="118" spans="1:84" ht="12.95" customHeight="1" x14ac:dyDescent="0.25">
      <c r="A118" s="282">
        <v>19</v>
      </c>
      <c r="B118" s="323">
        <v>5453</v>
      </c>
      <c r="C118" s="324">
        <v>600099211</v>
      </c>
      <c r="D118" s="283">
        <v>854760</v>
      </c>
      <c r="E118" s="350" t="s">
        <v>443</v>
      </c>
      <c r="F118" s="323">
        <v>3143</v>
      </c>
      <c r="G118" s="286" t="s">
        <v>597</v>
      </c>
      <c r="H118" s="733" t="s">
        <v>272</v>
      </c>
      <c r="I118" s="423">
        <f t="shared" si="408"/>
        <v>49166</v>
      </c>
      <c r="J118" s="418">
        <f t="shared" si="409"/>
        <v>35191</v>
      </c>
      <c r="K118" s="418">
        <v>0</v>
      </c>
      <c r="L118" s="418">
        <v>35191</v>
      </c>
      <c r="M118" s="418">
        <f t="shared" si="410"/>
        <v>0</v>
      </c>
      <c r="N118" s="418">
        <v>0</v>
      </c>
      <c r="O118" s="418">
        <v>0</v>
      </c>
      <c r="P118" s="68">
        <f t="shared" si="411"/>
        <v>11895</v>
      </c>
      <c r="Q118" s="68">
        <f t="shared" si="412"/>
        <v>352</v>
      </c>
      <c r="R118" s="418">
        <v>1728</v>
      </c>
      <c r="S118" s="419">
        <f t="shared" si="413"/>
        <v>0.1333</v>
      </c>
      <c r="T118" s="420">
        <v>0</v>
      </c>
      <c r="U118" s="527">
        <v>0.1333</v>
      </c>
      <c r="V118" s="427">
        <f t="shared" si="414"/>
        <v>0</v>
      </c>
      <c r="W118" s="421">
        <f t="shared" si="414"/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f t="shared" si="415"/>
        <v>0</v>
      </c>
      <c r="AG118" s="421">
        <f t="shared" si="416"/>
        <v>0</v>
      </c>
      <c r="AH118" s="421">
        <f t="shared" si="417"/>
        <v>0</v>
      </c>
      <c r="AI118" s="421">
        <v>0</v>
      </c>
      <c r="AJ118" s="421">
        <v>0</v>
      </c>
      <c r="AK118" s="421">
        <v>0</v>
      </c>
      <c r="AL118" s="421">
        <v>0</v>
      </c>
      <c r="AM118" s="421">
        <v>0</v>
      </c>
      <c r="AN118" s="421">
        <v>0</v>
      </c>
      <c r="AO118" s="421">
        <f t="shared" si="418"/>
        <v>0</v>
      </c>
      <c r="AP118" s="421">
        <f t="shared" si="419"/>
        <v>0</v>
      </c>
      <c r="AQ118" s="421">
        <f t="shared" si="420"/>
        <v>0</v>
      </c>
      <c r="AR118" s="421">
        <f t="shared" si="421"/>
        <v>0</v>
      </c>
      <c r="AS118" s="421">
        <f t="shared" si="421"/>
        <v>0</v>
      </c>
      <c r="AT118" s="421">
        <f t="shared" si="422"/>
        <v>0</v>
      </c>
      <c r="AU118" s="68">
        <f t="shared" si="423"/>
        <v>0</v>
      </c>
      <c r="AV118" s="68">
        <f t="shared" si="424"/>
        <v>0</v>
      </c>
      <c r="AW118" s="421">
        <v>0</v>
      </c>
      <c r="AX118" s="421">
        <v>0</v>
      </c>
      <c r="AY118" s="421">
        <f t="shared" si="425"/>
        <v>0</v>
      </c>
      <c r="AZ118" s="421">
        <f t="shared" si="426"/>
        <v>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 t="shared" si="427"/>
        <v>0</v>
      </c>
      <c r="BL118" s="422">
        <f t="shared" si="428"/>
        <v>0</v>
      </c>
      <c r="BM118" s="611">
        <f t="shared" si="429"/>
        <v>0</v>
      </c>
      <c r="BN118" s="428">
        <f t="shared" si="430"/>
        <v>49166</v>
      </c>
      <c r="BO118" s="421">
        <f t="shared" si="431"/>
        <v>35191</v>
      </c>
      <c r="BP118" s="421">
        <f t="shared" si="432"/>
        <v>0</v>
      </c>
      <c r="BQ118" s="421">
        <f t="shared" si="432"/>
        <v>35191</v>
      </c>
      <c r="BR118" s="421">
        <f t="shared" si="433"/>
        <v>0</v>
      </c>
      <c r="BS118" s="421">
        <f t="shared" si="434"/>
        <v>0</v>
      </c>
      <c r="BT118" s="421">
        <f t="shared" si="434"/>
        <v>0</v>
      </c>
      <c r="BU118" s="421">
        <f t="shared" si="435"/>
        <v>11895</v>
      </c>
      <c r="BV118" s="421">
        <f t="shared" si="435"/>
        <v>352</v>
      </c>
      <c r="BW118" s="421">
        <f t="shared" si="436"/>
        <v>1728</v>
      </c>
      <c r="BX118" s="422">
        <f t="shared" si="437"/>
        <v>0.1333</v>
      </c>
      <c r="BY118" s="422">
        <f t="shared" si="438"/>
        <v>0</v>
      </c>
      <c r="BZ118" s="611">
        <f t="shared" si="438"/>
        <v>0.1333</v>
      </c>
      <c r="CA118" s="875"/>
      <c r="CB118" s="872"/>
      <c r="CC118" s="872"/>
      <c r="CD118" s="872"/>
      <c r="CE118" s="872"/>
      <c r="CF118" s="876"/>
    </row>
    <row r="119" spans="1:84" ht="12.95" customHeight="1" x14ac:dyDescent="0.25">
      <c r="A119" s="282">
        <v>19</v>
      </c>
      <c r="B119" s="323">
        <v>5453</v>
      </c>
      <c r="C119" s="324">
        <v>600099211</v>
      </c>
      <c r="D119" s="283">
        <v>854760</v>
      </c>
      <c r="E119" s="350" t="s">
        <v>443</v>
      </c>
      <c r="F119" s="323">
        <v>3143</v>
      </c>
      <c r="G119" s="347" t="s">
        <v>444</v>
      </c>
      <c r="H119" s="733" t="s">
        <v>272</v>
      </c>
      <c r="I119" s="423">
        <f t="shared" si="408"/>
        <v>329995</v>
      </c>
      <c r="J119" s="418">
        <f t="shared" si="409"/>
        <v>244581</v>
      </c>
      <c r="K119" s="418">
        <v>235420</v>
      </c>
      <c r="L119" s="418">
        <v>9161</v>
      </c>
      <c r="M119" s="418">
        <f t="shared" si="410"/>
        <v>0</v>
      </c>
      <c r="N119" s="418">
        <v>0</v>
      </c>
      <c r="O119" s="418">
        <v>0</v>
      </c>
      <c r="P119" s="68">
        <f t="shared" si="411"/>
        <v>82668</v>
      </c>
      <c r="Q119" s="68">
        <f t="shared" si="412"/>
        <v>2446</v>
      </c>
      <c r="R119" s="418">
        <v>300</v>
      </c>
      <c r="S119" s="419">
        <f t="shared" si="413"/>
        <v>0.5</v>
      </c>
      <c r="T119" s="420">
        <v>0.47</v>
      </c>
      <c r="U119" s="527">
        <v>0.03</v>
      </c>
      <c r="V119" s="427">
        <f t="shared" si="414"/>
        <v>0</v>
      </c>
      <c r="W119" s="421">
        <f t="shared" si="414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 t="shared" si="415"/>
        <v>0</v>
      </c>
      <c r="AG119" s="421">
        <f t="shared" si="416"/>
        <v>0</v>
      </c>
      <c r="AH119" s="421">
        <f t="shared" si="417"/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si="418"/>
        <v>0</v>
      </c>
      <c r="AP119" s="421">
        <f t="shared" si="419"/>
        <v>0</v>
      </c>
      <c r="AQ119" s="421">
        <f t="shared" si="420"/>
        <v>0</v>
      </c>
      <c r="AR119" s="421">
        <f t="shared" si="421"/>
        <v>0</v>
      </c>
      <c r="AS119" s="421">
        <f t="shared" si="421"/>
        <v>0</v>
      </c>
      <c r="AT119" s="421">
        <f t="shared" si="422"/>
        <v>0</v>
      </c>
      <c r="AU119" s="68">
        <f t="shared" si="423"/>
        <v>0</v>
      </c>
      <c r="AV119" s="68">
        <f t="shared" si="424"/>
        <v>0</v>
      </c>
      <c r="AW119" s="421">
        <v>0</v>
      </c>
      <c r="AX119" s="421">
        <v>0</v>
      </c>
      <c r="AY119" s="421">
        <f t="shared" si="425"/>
        <v>0</v>
      </c>
      <c r="AZ119" s="421">
        <f t="shared" si="426"/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 t="shared" si="427"/>
        <v>0</v>
      </c>
      <c r="BL119" s="422">
        <f t="shared" si="428"/>
        <v>0</v>
      </c>
      <c r="BM119" s="611">
        <f t="shared" si="429"/>
        <v>0</v>
      </c>
      <c r="BN119" s="428">
        <f t="shared" si="430"/>
        <v>329995</v>
      </c>
      <c r="BO119" s="421">
        <f t="shared" si="431"/>
        <v>244581</v>
      </c>
      <c r="BP119" s="421">
        <f t="shared" si="432"/>
        <v>235420</v>
      </c>
      <c r="BQ119" s="421">
        <f t="shared" si="432"/>
        <v>9161</v>
      </c>
      <c r="BR119" s="421">
        <f t="shared" si="433"/>
        <v>0</v>
      </c>
      <c r="BS119" s="421">
        <f t="shared" si="434"/>
        <v>0</v>
      </c>
      <c r="BT119" s="421">
        <f t="shared" si="434"/>
        <v>0</v>
      </c>
      <c r="BU119" s="421">
        <f t="shared" si="435"/>
        <v>82668</v>
      </c>
      <c r="BV119" s="421">
        <f t="shared" si="435"/>
        <v>2446</v>
      </c>
      <c r="BW119" s="421">
        <f t="shared" si="436"/>
        <v>300</v>
      </c>
      <c r="BX119" s="422">
        <f t="shared" si="437"/>
        <v>0.5</v>
      </c>
      <c r="BY119" s="422">
        <f t="shared" si="438"/>
        <v>0.47</v>
      </c>
      <c r="BZ119" s="611">
        <f t="shared" si="438"/>
        <v>0.03</v>
      </c>
      <c r="CA119" s="875"/>
      <c r="CB119" s="872"/>
      <c r="CC119" s="872"/>
      <c r="CD119" s="872"/>
      <c r="CE119" s="872"/>
      <c r="CF119" s="876"/>
    </row>
    <row r="120" spans="1:84" ht="12.95" customHeight="1" x14ac:dyDescent="0.25">
      <c r="A120" s="734">
        <v>19</v>
      </c>
      <c r="B120" s="327">
        <v>5453</v>
      </c>
      <c r="C120" s="328">
        <v>600099211</v>
      </c>
      <c r="D120" s="327">
        <v>854760</v>
      </c>
      <c r="E120" s="351" t="s">
        <v>445</v>
      </c>
      <c r="F120" s="327"/>
      <c r="G120" s="352"/>
      <c r="H120" s="736"/>
      <c r="I120" s="472">
        <f t="shared" ref="I120:BT120" si="440">SUM(I113:I119)</f>
        <v>31941684</v>
      </c>
      <c r="J120" s="468">
        <f t="shared" si="440"/>
        <v>23479218</v>
      </c>
      <c r="K120" s="468">
        <f t="shared" si="440"/>
        <v>20264381</v>
      </c>
      <c r="L120" s="468">
        <f t="shared" si="440"/>
        <v>3214837</v>
      </c>
      <c r="M120" s="468">
        <f t="shared" si="440"/>
        <v>0</v>
      </c>
      <c r="N120" s="468">
        <f t="shared" si="440"/>
        <v>0</v>
      </c>
      <c r="O120" s="468">
        <f t="shared" si="440"/>
        <v>0</v>
      </c>
      <c r="P120" s="468">
        <f t="shared" si="440"/>
        <v>7935976</v>
      </c>
      <c r="Q120" s="468">
        <f t="shared" si="440"/>
        <v>234793</v>
      </c>
      <c r="R120" s="468">
        <f t="shared" si="440"/>
        <v>291697</v>
      </c>
      <c r="S120" s="469">
        <f t="shared" si="440"/>
        <v>41.633400000000009</v>
      </c>
      <c r="T120" s="469">
        <f t="shared" si="440"/>
        <v>31.776900000000001</v>
      </c>
      <c r="U120" s="281">
        <f t="shared" si="440"/>
        <v>9.8564999999999987</v>
      </c>
      <c r="V120" s="474">
        <f t="shared" si="440"/>
        <v>0</v>
      </c>
      <c r="W120" s="468">
        <f t="shared" si="440"/>
        <v>0</v>
      </c>
      <c r="X120" s="468">
        <f t="shared" si="440"/>
        <v>1454800</v>
      </c>
      <c r="Y120" s="468">
        <f t="shared" si="440"/>
        <v>0</v>
      </c>
      <c r="Z120" s="468">
        <f t="shared" si="440"/>
        <v>0</v>
      </c>
      <c r="AA120" s="468">
        <f t="shared" si="440"/>
        <v>0</v>
      </c>
      <c r="AB120" s="468">
        <f t="shared" si="440"/>
        <v>225600</v>
      </c>
      <c r="AC120" s="468">
        <f t="shared" si="440"/>
        <v>0</v>
      </c>
      <c r="AD120" s="468">
        <f t="shared" si="440"/>
        <v>0</v>
      </c>
      <c r="AE120" s="468">
        <f t="shared" si="440"/>
        <v>0</v>
      </c>
      <c r="AF120" s="468">
        <f t="shared" si="440"/>
        <v>1680400</v>
      </c>
      <c r="AG120" s="468">
        <f t="shared" si="440"/>
        <v>0</v>
      </c>
      <c r="AH120" s="468">
        <f t="shared" si="440"/>
        <v>1680400</v>
      </c>
      <c r="AI120" s="468">
        <f t="shared" si="440"/>
        <v>0</v>
      </c>
      <c r="AJ120" s="468">
        <f t="shared" si="440"/>
        <v>0</v>
      </c>
      <c r="AK120" s="468">
        <f t="shared" ref="AK120" si="441">SUM(AK113:AK119)</f>
        <v>0</v>
      </c>
      <c r="AL120" s="468">
        <f t="shared" si="440"/>
        <v>0</v>
      </c>
      <c r="AM120" s="468">
        <f t="shared" si="440"/>
        <v>0</v>
      </c>
      <c r="AN120" s="468">
        <f t="shared" si="440"/>
        <v>0</v>
      </c>
      <c r="AO120" s="468">
        <f t="shared" si="440"/>
        <v>0</v>
      </c>
      <c r="AP120" s="468">
        <f t="shared" si="440"/>
        <v>0</v>
      </c>
      <c r="AQ120" s="468">
        <f t="shared" si="440"/>
        <v>0</v>
      </c>
      <c r="AR120" s="468">
        <f t="shared" si="440"/>
        <v>1680400</v>
      </c>
      <c r="AS120" s="468">
        <f t="shared" si="440"/>
        <v>0</v>
      </c>
      <c r="AT120" s="468">
        <f t="shared" si="440"/>
        <v>1680400</v>
      </c>
      <c r="AU120" s="468">
        <f t="shared" si="440"/>
        <v>567975</v>
      </c>
      <c r="AV120" s="468">
        <f t="shared" si="440"/>
        <v>16804</v>
      </c>
      <c r="AW120" s="468">
        <f t="shared" si="440"/>
        <v>2000</v>
      </c>
      <c r="AX120" s="468">
        <f t="shared" si="440"/>
        <v>0</v>
      </c>
      <c r="AY120" s="468">
        <f t="shared" si="440"/>
        <v>2000</v>
      </c>
      <c r="AZ120" s="468">
        <f t="shared" si="440"/>
        <v>2267179</v>
      </c>
      <c r="BA120" s="469">
        <f t="shared" si="440"/>
        <v>0</v>
      </c>
      <c r="BB120" s="469">
        <f t="shared" si="440"/>
        <v>0</v>
      </c>
      <c r="BC120" s="469">
        <f t="shared" si="440"/>
        <v>3.47</v>
      </c>
      <c r="BD120" s="469">
        <f t="shared" si="440"/>
        <v>0.4</v>
      </c>
      <c r="BE120" s="469">
        <f t="shared" si="440"/>
        <v>0</v>
      </c>
      <c r="BF120" s="469">
        <f t="shared" si="440"/>
        <v>0</v>
      </c>
      <c r="BG120" s="469">
        <f t="shared" si="440"/>
        <v>0</v>
      </c>
      <c r="BH120" s="469">
        <f t="shared" si="440"/>
        <v>0</v>
      </c>
      <c r="BI120" s="469">
        <f t="shared" si="440"/>
        <v>0</v>
      </c>
      <c r="BJ120" s="469">
        <f t="shared" si="440"/>
        <v>0</v>
      </c>
      <c r="BK120" s="469">
        <f t="shared" si="440"/>
        <v>3.87</v>
      </c>
      <c r="BL120" s="469">
        <f t="shared" si="440"/>
        <v>0</v>
      </c>
      <c r="BM120" s="562">
        <f t="shared" si="440"/>
        <v>3.87</v>
      </c>
      <c r="BN120" s="472">
        <f t="shared" si="440"/>
        <v>34208863</v>
      </c>
      <c r="BO120" s="468">
        <f t="shared" si="440"/>
        <v>25159618</v>
      </c>
      <c r="BP120" s="468">
        <f t="shared" si="440"/>
        <v>21944781</v>
      </c>
      <c r="BQ120" s="468">
        <f t="shared" si="440"/>
        <v>3214837</v>
      </c>
      <c r="BR120" s="468">
        <f t="shared" si="440"/>
        <v>0</v>
      </c>
      <c r="BS120" s="468">
        <f t="shared" si="440"/>
        <v>0</v>
      </c>
      <c r="BT120" s="468">
        <f t="shared" si="440"/>
        <v>0</v>
      </c>
      <c r="BU120" s="468">
        <f t="shared" ref="BU120:CF120" si="442">SUM(BU113:BU119)</f>
        <v>8503951</v>
      </c>
      <c r="BV120" s="468">
        <f t="shared" si="442"/>
        <v>251597</v>
      </c>
      <c r="BW120" s="468">
        <f t="shared" si="442"/>
        <v>293697</v>
      </c>
      <c r="BX120" s="469">
        <f t="shared" si="442"/>
        <v>45.503399999999999</v>
      </c>
      <c r="BY120" s="469">
        <f t="shared" si="442"/>
        <v>35.646900000000002</v>
      </c>
      <c r="BZ120" s="562">
        <f t="shared" si="442"/>
        <v>9.8564999999999987</v>
      </c>
      <c r="CA120" s="873">
        <f t="shared" si="442"/>
        <v>304109</v>
      </c>
      <c r="CB120" s="850">
        <f t="shared" si="442"/>
        <v>225600</v>
      </c>
      <c r="CC120" s="850">
        <f t="shared" si="442"/>
        <v>0</v>
      </c>
      <c r="CD120" s="850">
        <f t="shared" si="442"/>
        <v>76253</v>
      </c>
      <c r="CE120" s="850">
        <f t="shared" si="442"/>
        <v>2256</v>
      </c>
      <c r="CF120" s="841">
        <f t="shared" si="442"/>
        <v>0.4</v>
      </c>
    </row>
    <row r="121" spans="1:84" ht="12.95" customHeight="1" x14ac:dyDescent="0.25">
      <c r="A121" s="282">
        <v>20</v>
      </c>
      <c r="B121" s="283">
        <v>5429</v>
      </c>
      <c r="C121" s="332">
        <v>600098656</v>
      </c>
      <c r="D121" s="283">
        <v>70698309</v>
      </c>
      <c r="E121" s="285" t="s">
        <v>446</v>
      </c>
      <c r="F121" s="283">
        <v>3111</v>
      </c>
      <c r="G121" s="347" t="s">
        <v>305</v>
      </c>
      <c r="H121" s="733" t="s">
        <v>271</v>
      </c>
      <c r="I121" s="423">
        <f t="shared" ref="I121:I123" si="443">J121+P121+Q121+R121</f>
        <v>3196771</v>
      </c>
      <c r="J121" s="418">
        <f>K121+L121</f>
        <v>2364955</v>
      </c>
      <c r="K121" s="418">
        <v>2143163</v>
      </c>
      <c r="L121" s="418">
        <v>221792</v>
      </c>
      <c r="M121" s="418">
        <f t="shared" ref="M121:M123" si="444">N121+O121</f>
        <v>0</v>
      </c>
      <c r="N121" s="418">
        <v>0</v>
      </c>
      <c r="O121" s="418">
        <v>0</v>
      </c>
      <c r="P121" s="68">
        <f t="shared" ref="P121:P123" si="445">ROUND((J121+M121)*33.8%,0)</f>
        <v>799355</v>
      </c>
      <c r="Q121" s="68">
        <f t="shared" ref="Q121:Q123" si="446">ROUND(J121*1%,0)</f>
        <v>23650</v>
      </c>
      <c r="R121" s="418">
        <v>8811</v>
      </c>
      <c r="S121" s="419">
        <f>T121+U121</f>
        <v>4.7466999999999997</v>
      </c>
      <c r="T121" s="420">
        <v>4</v>
      </c>
      <c r="U121" s="527">
        <v>0.74669999999999992</v>
      </c>
      <c r="V121" s="427">
        <f t="shared" ref="V121:W123" si="447">AI121*-1</f>
        <v>-6400</v>
      </c>
      <c r="W121" s="421">
        <f t="shared" si="447"/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>V121+X121+Y121+AA121+AB121+AD121</f>
        <v>-6400</v>
      </c>
      <c r="AG121" s="421">
        <f>W121+Z121+AC121+AE121</f>
        <v>0</v>
      </c>
      <c r="AH121" s="421">
        <f>SUM(AF121:AG121)</f>
        <v>-6400</v>
      </c>
      <c r="AI121" s="421">
        <f>3200+3200</f>
        <v>6400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ref="AO121:AO123" si="448">AI121+AK121+AL121+AM121</f>
        <v>6400</v>
      </c>
      <c r="AP121" s="421">
        <f>AJ121+AN121</f>
        <v>0</v>
      </c>
      <c r="AQ121" s="421">
        <f>SUM(AO121:AP121)</f>
        <v>6400</v>
      </c>
      <c r="AR121" s="421">
        <f t="shared" ref="AR121:AS123" si="449">AF121+AO121</f>
        <v>0</v>
      </c>
      <c r="AS121" s="421">
        <f t="shared" si="449"/>
        <v>0</v>
      </c>
      <c r="AT121" s="421">
        <f>SUM(AR121:AS121)</f>
        <v>0</v>
      </c>
      <c r="AU121" s="68">
        <f t="shared" ref="AU121:AU123" si="450">ROUND((AH121+AI121+AJ121+AK121+AL121)*33.8%,0)</f>
        <v>0</v>
      </c>
      <c r="AV121" s="68">
        <f>ROUND(AH121*1%,0)</f>
        <v>-64</v>
      </c>
      <c r="AW121" s="421">
        <v>0</v>
      </c>
      <c r="AX121" s="421">
        <v>0</v>
      </c>
      <c r="AY121" s="421">
        <f>AW121+AX121</f>
        <v>0</v>
      </c>
      <c r="AZ121" s="421">
        <f>AT121+AU121+AV121+AY121</f>
        <v>-64</v>
      </c>
      <c r="BA121" s="422">
        <v>0</v>
      </c>
      <c r="BB121" s="422">
        <v>-0.01</v>
      </c>
      <c r="BC121" s="422">
        <v>0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0</v>
      </c>
      <c r="BL121" s="422">
        <f>BB121+BE121+BG121+BJ121</f>
        <v>-0.01</v>
      </c>
      <c r="BM121" s="611">
        <f>SUM(BK121:BL121)</f>
        <v>-0.01</v>
      </c>
      <c r="BN121" s="428">
        <f>I121+AZ121</f>
        <v>3196707</v>
      </c>
      <c r="BO121" s="421">
        <f>J121+AH121</f>
        <v>2358555</v>
      </c>
      <c r="BP121" s="421">
        <f t="shared" ref="BP121:BQ123" si="451">K121+AF121</f>
        <v>2136763</v>
      </c>
      <c r="BQ121" s="421">
        <f t="shared" si="451"/>
        <v>221792</v>
      </c>
      <c r="BR121" s="421">
        <f>M121+AQ121</f>
        <v>6400</v>
      </c>
      <c r="BS121" s="421">
        <f t="shared" ref="BS121:BT123" si="452">N121+AO121</f>
        <v>6400</v>
      </c>
      <c r="BT121" s="421">
        <f t="shared" si="452"/>
        <v>0</v>
      </c>
      <c r="BU121" s="421">
        <f t="shared" ref="BU121:BV123" si="453">P121+AU121</f>
        <v>799355</v>
      </c>
      <c r="BV121" s="421">
        <f t="shared" si="453"/>
        <v>23586</v>
      </c>
      <c r="BW121" s="421">
        <f>R121+AY121</f>
        <v>8811</v>
      </c>
      <c r="BX121" s="422">
        <f>S121+BM121</f>
        <v>4.7366999999999999</v>
      </c>
      <c r="BY121" s="422">
        <f t="shared" ref="BY121:BZ123" si="454">T121+BK121</f>
        <v>4</v>
      </c>
      <c r="BZ121" s="611">
        <f t="shared" si="454"/>
        <v>0.73669999999999991</v>
      </c>
      <c r="CA121" s="875"/>
      <c r="CB121" s="872"/>
      <c r="CC121" s="872"/>
      <c r="CD121" s="872"/>
      <c r="CE121" s="872"/>
      <c r="CF121" s="876"/>
    </row>
    <row r="122" spans="1:84" ht="12.95" customHeight="1" x14ac:dyDescent="0.25">
      <c r="A122" s="282">
        <v>20</v>
      </c>
      <c r="B122" s="323">
        <v>5429</v>
      </c>
      <c r="C122" s="324">
        <v>600098656</v>
      </c>
      <c r="D122" s="283">
        <v>70698309</v>
      </c>
      <c r="E122" s="350" t="s">
        <v>446</v>
      </c>
      <c r="F122" s="283">
        <v>3111</v>
      </c>
      <c r="G122" s="286" t="s">
        <v>292</v>
      </c>
      <c r="H122" s="733" t="s">
        <v>272</v>
      </c>
      <c r="I122" s="423">
        <f t="shared" si="443"/>
        <v>0</v>
      </c>
      <c r="J122" s="418">
        <f>K122+L122</f>
        <v>0</v>
      </c>
      <c r="K122" s="418">
        <v>0</v>
      </c>
      <c r="L122" s="418">
        <v>0</v>
      </c>
      <c r="M122" s="418">
        <f>N122+O122</f>
        <v>0</v>
      </c>
      <c r="N122" s="418">
        <v>0</v>
      </c>
      <c r="O122" s="418">
        <v>0</v>
      </c>
      <c r="P122" s="68">
        <f t="shared" si="445"/>
        <v>0</v>
      </c>
      <c r="Q122" s="68">
        <f t="shared" si="446"/>
        <v>0</v>
      </c>
      <c r="R122" s="418">
        <v>0</v>
      </c>
      <c r="S122" s="419">
        <f>T122+U122</f>
        <v>0</v>
      </c>
      <c r="T122" s="420">
        <v>0</v>
      </c>
      <c r="U122" s="527">
        <v>0</v>
      </c>
      <c r="V122" s="427">
        <f t="shared" si="447"/>
        <v>0</v>
      </c>
      <c r="W122" s="421">
        <f t="shared" si="447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0</v>
      </c>
      <c r="AG122" s="421">
        <f>W122+Z122+AC122+AE122</f>
        <v>0</v>
      </c>
      <c r="AH122" s="421">
        <f>SUM(AF122:AG122)</f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448"/>
        <v>0</v>
      </c>
      <c r="AP122" s="421">
        <f>AJ122+AN122</f>
        <v>0</v>
      </c>
      <c r="AQ122" s="421">
        <f>SUM(AO122:AP122)</f>
        <v>0</v>
      </c>
      <c r="AR122" s="421">
        <f t="shared" si="449"/>
        <v>0</v>
      </c>
      <c r="AS122" s="421">
        <f t="shared" si="449"/>
        <v>0</v>
      </c>
      <c r="AT122" s="421">
        <f>SUM(AR122:AS122)</f>
        <v>0</v>
      </c>
      <c r="AU122" s="68">
        <f t="shared" si="450"/>
        <v>0</v>
      </c>
      <c r="AV122" s="68">
        <f>ROUND(AH122*1%,0)</f>
        <v>0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611">
        <f>SUM(BK122:BL122)</f>
        <v>0</v>
      </c>
      <c r="BN122" s="428">
        <f>I122+AZ122</f>
        <v>0</v>
      </c>
      <c r="BO122" s="421">
        <f>J122+AH122</f>
        <v>0</v>
      </c>
      <c r="BP122" s="421">
        <f t="shared" si="451"/>
        <v>0</v>
      </c>
      <c r="BQ122" s="421">
        <f t="shared" si="451"/>
        <v>0</v>
      </c>
      <c r="BR122" s="421">
        <f>M122+AQ122</f>
        <v>0</v>
      </c>
      <c r="BS122" s="421">
        <f t="shared" si="452"/>
        <v>0</v>
      </c>
      <c r="BT122" s="421">
        <f t="shared" si="452"/>
        <v>0</v>
      </c>
      <c r="BU122" s="421">
        <f t="shared" si="453"/>
        <v>0</v>
      </c>
      <c r="BV122" s="421">
        <f t="shared" si="453"/>
        <v>0</v>
      </c>
      <c r="BW122" s="421">
        <f>R122+AY122</f>
        <v>0</v>
      </c>
      <c r="BX122" s="422">
        <f>S122+BM122</f>
        <v>0</v>
      </c>
      <c r="BY122" s="422">
        <f t="shared" si="454"/>
        <v>0</v>
      </c>
      <c r="BZ122" s="611">
        <f t="shared" si="454"/>
        <v>0</v>
      </c>
      <c r="CA122" s="875"/>
      <c r="CB122" s="872"/>
      <c r="CC122" s="872"/>
      <c r="CD122" s="872"/>
      <c r="CE122" s="872"/>
      <c r="CF122" s="876"/>
    </row>
    <row r="123" spans="1:84" ht="12.95" customHeight="1" x14ac:dyDescent="0.25">
      <c r="A123" s="282">
        <v>20</v>
      </c>
      <c r="B123" s="323">
        <v>5429</v>
      </c>
      <c r="C123" s="324">
        <v>600098656</v>
      </c>
      <c r="D123" s="283">
        <v>70698309</v>
      </c>
      <c r="E123" s="350" t="s">
        <v>446</v>
      </c>
      <c r="F123" s="323">
        <v>3141</v>
      </c>
      <c r="G123" s="347" t="s">
        <v>295</v>
      </c>
      <c r="H123" s="733" t="s">
        <v>272</v>
      </c>
      <c r="I123" s="423">
        <f t="shared" si="443"/>
        <v>508341</v>
      </c>
      <c r="J123" s="418">
        <f>K123+L123</f>
        <v>375732</v>
      </c>
      <c r="K123" s="418">
        <v>0</v>
      </c>
      <c r="L123" s="418">
        <v>375732</v>
      </c>
      <c r="M123" s="418">
        <f t="shared" si="444"/>
        <v>0</v>
      </c>
      <c r="N123" s="418">
        <v>0</v>
      </c>
      <c r="O123" s="418">
        <v>0</v>
      </c>
      <c r="P123" s="68">
        <f t="shared" si="445"/>
        <v>126997</v>
      </c>
      <c r="Q123" s="68">
        <f t="shared" si="446"/>
        <v>3757</v>
      </c>
      <c r="R123" s="418">
        <v>1855</v>
      </c>
      <c r="S123" s="419">
        <f>T123+U123</f>
        <v>1.1267</v>
      </c>
      <c r="T123" s="420">
        <v>0</v>
      </c>
      <c r="U123" s="527">
        <v>1.1267</v>
      </c>
      <c r="V123" s="427">
        <f t="shared" si="447"/>
        <v>0</v>
      </c>
      <c r="W123" s="421">
        <f t="shared" si="447"/>
        <v>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-44254</v>
      </c>
      <c r="AF123" s="421">
        <f>V123+X123+Y123+AA123+AB123+AD123</f>
        <v>0</v>
      </c>
      <c r="AG123" s="421">
        <f>W123+Z123+AC123+AE123</f>
        <v>-44254</v>
      </c>
      <c r="AH123" s="421">
        <f>SUM(AF123:AG123)</f>
        <v>-44254</v>
      </c>
      <c r="AI123" s="421">
        <v>0</v>
      </c>
      <c r="AJ123" s="421">
        <v>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448"/>
        <v>0</v>
      </c>
      <c r="AP123" s="421">
        <f>AJ123+AN123</f>
        <v>0</v>
      </c>
      <c r="AQ123" s="421">
        <f>SUM(AO123:AP123)</f>
        <v>0</v>
      </c>
      <c r="AR123" s="421">
        <f t="shared" si="449"/>
        <v>0</v>
      </c>
      <c r="AS123" s="421">
        <f t="shared" si="449"/>
        <v>-44254</v>
      </c>
      <c r="AT123" s="421">
        <f>SUM(AR123:AS123)</f>
        <v>-44254</v>
      </c>
      <c r="AU123" s="68">
        <f t="shared" si="450"/>
        <v>-14958</v>
      </c>
      <c r="AV123" s="68">
        <f>ROUND(AH123*1%,0)</f>
        <v>-443</v>
      </c>
      <c r="AW123" s="421">
        <v>0</v>
      </c>
      <c r="AX123" s="421">
        <v>0</v>
      </c>
      <c r="AY123" s="421">
        <f>AW123+AX123</f>
        <v>0</v>
      </c>
      <c r="AZ123" s="421">
        <f>AT123+AU123+AV123+AY123</f>
        <v>-59655</v>
      </c>
      <c r="BA123" s="422">
        <v>0</v>
      </c>
      <c r="BB123" s="422">
        <v>0</v>
      </c>
      <c r="BC123" s="422">
        <v>0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-0.13</v>
      </c>
      <c r="BK123" s="422">
        <f>BA123+BC123+BD123+BF123+BH123+BI123</f>
        <v>0</v>
      </c>
      <c r="BL123" s="422">
        <f>BB123+BE123+BG123+BJ123</f>
        <v>-0.13</v>
      </c>
      <c r="BM123" s="611">
        <f>SUM(BK123:BL123)</f>
        <v>-0.13</v>
      </c>
      <c r="BN123" s="428">
        <f>I123+AZ123</f>
        <v>448686</v>
      </c>
      <c r="BO123" s="421">
        <f>J123+AH123</f>
        <v>331478</v>
      </c>
      <c r="BP123" s="421">
        <f t="shared" si="451"/>
        <v>0</v>
      </c>
      <c r="BQ123" s="421">
        <f t="shared" si="451"/>
        <v>331478</v>
      </c>
      <c r="BR123" s="421">
        <f>M123+AQ123</f>
        <v>0</v>
      </c>
      <c r="BS123" s="421">
        <f t="shared" si="452"/>
        <v>0</v>
      </c>
      <c r="BT123" s="421">
        <f t="shared" si="452"/>
        <v>0</v>
      </c>
      <c r="BU123" s="421">
        <f t="shared" si="453"/>
        <v>112039</v>
      </c>
      <c r="BV123" s="421">
        <f t="shared" si="453"/>
        <v>3314</v>
      </c>
      <c r="BW123" s="421">
        <f>R123+AY123</f>
        <v>1855</v>
      </c>
      <c r="BX123" s="422">
        <f>S123+BM123</f>
        <v>0.99670000000000003</v>
      </c>
      <c r="BY123" s="422">
        <f t="shared" si="454"/>
        <v>0</v>
      </c>
      <c r="BZ123" s="611">
        <f t="shared" si="454"/>
        <v>0.99670000000000003</v>
      </c>
      <c r="CA123" s="875"/>
      <c r="CB123" s="872"/>
      <c r="CC123" s="872"/>
      <c r="CD123" s="872"/>
      <c r="CE123" s="872"/>
      <c r="CF123" s="876"/>
    </row>
    <row r="124" spans="1:84" ht="12.95" customHeight="1" x14ac:dyDescent="0.25">
      <c r="A124" s="734">
        <v>20</v>
      </c>
      <c r="B124" s="327">
        <v>5429</v>
      </c>
      <c r="C124" s="328">
        <v>600098656</v>
      </c>
      <c r="D124" s="327">
        <v>70698309</v>
      </c>
      <c r="E124" s="351" t="s">
        <v>447</v>
      </c>
      <c r="F124" s="327"/>
      <c r="G124" s="352"/>
      <c r="H124" s="736"/>
      <c r="I124" s="472">
        <f t="shared" ref="I124:BU124" si="455">SUM(I121:I123)</f>
        <v>3705112</v>
      </c>
      <c r="J124" s="468">
        <f t="shared" si="455"/>
        <v>2740687</v>
      </c>
      <c r="K124" s="468">
        <f t="shared" si="455"/>
        <v>2143163</v>
      </c>
      <c r="L124" s="468">
        <f t="shared" si="455"/>
        <v>597524</v>
      </c>
      <c r="M124" s="468">
        <f t="shared" si="455"/>
        <v>0</v>
      </c>
      <c r="N124" s="468">
        <f t="shared" si="455"/>
        <v>0</v>
      </c>
      <c r="O124" s="468">
        <f t="shared" si="455"/>
        <v>0</v>
      </c>
      <c r="P124" s="468">
        <f t="shared" si="455"/>
        <v>926352</v>
      </c>
      <c r="Q124" s="468">
        <f t="shared" si="455"/>
        <v>27407</v>
      </c>
      <c r="R124" s="468">
        <f t="shared" si="455"/>
        <v>10666</v>
      </c>
      <c r="S124" s="469">
        <f t="shared" si="455"/>
        <v>5.8734000000000002</v>
      </c>
      <c r="T124" s="469">
        <f t="shared" si="455"/>
        <v>4</v>
      </c>
      <c r="U124" s="281">
        <f t="shared" si="455"/>
        <v>1.8734</v>
      </c>
      <c r="V124" s="474">
        <f t="shared" si="455"/>
        <v>-6400</v>
      </c>
      <c r="W124" s="468">
        <f t="shared" si="455"/>
        <v>0</v>
      </c>
      <c r="X124" s="468">
        <f t="shared" si="455"/>
        <v>0</v>
      </c>
      <c r="Y124" s="468">
        <f t="shared" si="455"/>
        <v>0</v>
      </c>
      <c r="Z124" s="468">
        <f t="shared" si="455"/>
        <v>0</v>
      </c>
      <c r="AA124" s="468">
        <f t="shared" si="455"/>
        <v>0</v>
      </c>
      <c r="AB124" s="468">
        <f t="shared" si="455"/>
        <v>0</v>
      </c>
      <c r="AC124" s="468">
        <f t="shared" si="455"/>
        <v>0</v>
      </c>
      <c r="AD124" s="468">
        <f t="shared" si="455"/>
        <v>0</v>
      </c>
      <c r="AE124" s="468">
        <f t="shared" si="455"/>
        <v>-44254</v>
      </c>
      <c r="AF124" s="468">
        <f t="shared" si="455"/>
        <v>-6400</v>
      </c>
      <c r="AG124" s="468">
        <f t="shared" si="455"/>
        <v>-44254</v>
      </c>
      <c r="AH124" s="468">
        <f t="shared" si="455"/>
        <v>-50654</v>
      </c>
      <c r="AI124" s="468">
        <f t="shared" si="455"/>
        <v>6400</v>
      </c>
      <c r="AJ124" s="468">
        <f t="shared" si="455"/>
        <v>0</v>
      </c>
      <c r="AK124" s="468">
        <f t="shared" ref="AK124" si="456">SUM(AK121:AK123)</f>
        <v>0</v>
      </c>
      <c r="AL124" s="468">
        <f t="shared" si="455"/>
        <v>0</v>
      </c>
      <c r="AM124" s="468">
        <f t="shared" si="455"/>
        <v>0</v>
      </c>
      <c r="AN124" s="468">
        <f t="shared" si="455"/>
        <v>0</v>
      </c>
      <c r="AO124" s="468">
        <f t="shared" si="455"/>
        <v>6400</v>
      </c>
      <c r="AP124" s="468">
        <f t="shared" si="455"/>
        <v>0</v>
      </c>
      <c r="AQ124" s="468">
        <f t="shared" si="455"/>
        <v>6400</v>
      </c>
      <c r="AR124" s="468">
        <f t="shared" si="455"/>
        <v>0</v>
      </c>
      <c r="AS124" s="468">
        <f t="shared" si="455"/>
        <v>-44254</v>
      </c>
      <c r="AT124" s="468">
        <f t="shared" si="455"/>
        <v>-44254</v>
      </c>
      <c r="AU124" s="468">
        <f t="shared" si="455"/>
        <v>-14958</v>
      </c>
      <c r="AV124" s="468">
        <f t="shared" si="455"/>
        <v>-507</v>
      </c>
      <c r="AW124" s="468">
        <f t="shared" si="455"/>
        <v>0</v>
      </c>
      <c r="AX124" s="468">
        <f t="shared" si="455"/>
        <v>0</v>
      </c>
      <c r="AY124" s="468">
        <f t="shared" si="455"/>
        <v>0</v>
      </c>
      <c r="AZ124" s="468">
        <f t="shared" si="455"/>
        <v>-59719</v>
      </c>
      <c r="BA124" s="469">
        <f t="shared" si="455"/>
        <v>0</v>
      </c>
      <c r="BB124" s="469">
        <f t="shared" si="455"/>
        <v>-0.01</v>
      </c>
      <c r="BC124" s="469">
        <f t="shared" si="455"/>
        <v>0</v>
      </c>
      <c r="BD124" s="469">
        <f t="shared" si="455"/>
        <v>0</v>
      </c>
      <c r="BE124" s="469">
        <f t="shared" si="455"/>
        <v>0</v>
      </c>
      <c r="BF124" s="469">
        <f t="shared" si="455"/>
        <v>0</v>
      </c>
      <c r="BG124" s="469">
        <f t="shared" si="455"/>
        <v>0</v>
      </c>
      <c r="BH124" s="469">
        <f t="shared" si="455"/>
        <v>0</v>
      </c>
      <c r="BI124" s="469">
        <f t="shared" si="455"/>
        <v>0</v>
      </c>
      <c r="BJ124" s="469">
        <f t="shared" si="455"/>
        <v>-0.13</v>
      </c>
      <c r="BK124" s="469">
        <f t="shared" si="455"/>
        <v>0</v>
      </c>
      <c r="BL124" s="469">
        <f t="shared" si="455"/>
        <v>-0.14000000000000001</v>
      </c>
      <c r="BM124" s="562">
        <f t="shared" si="455"/>
        <v>-0.14000000000000001</v>
      </c>
      <c r="BN124" s="472">
        <f t="shared" si="455"/>
        <v>3645393</v>
      </c>
      <c r="BO124" s="468">
        <f t="shared" si="455"/>
        <v>2690033</v>
      </c>
      <c r="BP124" s="468">
        <f t="shared" si="455"/>
        <v>2136763</v>
      </c>
      <c r="BQ124" s="468">
        <f t="shared" si="455"/>
        <v>553270</v>
      </c>
      <c r="BR124" s="468">
        <f t="shared" si="455"/>
        <v>6400</v>
      </c>
      <c r="BS124" s="468">
        <f t="shared" si="455"/>
        <v>6400</v>
      </c>
      <c r="BT124" s="468">
        <f t="shared" si="455"/>
        <v>0</v>
      </c>
      <c r="BU124" s="468">
        <f t="shared" si="455"/>
        <v>911394</v>
      </c>
      <c r="BV124" s="468">
        <f t="shared" ref="BV124:CF124" si="457">SUM(BV121:BV123)</f>
        <v>26900</v>
      </c>
      <c r="BW124" s="468">
        <f t="shared" si="457"/>
        <v>10666</v>
      </c>
      <c r="BX124" s="469">
        <f t="shared" si="457"/>
        <v>5.7333999999999996</v>
      </c>
      <c r="BY124" s="469">
        <f t="shared" si="457"/>
        <v>4</v>
      </c>
      <c r="BZ124" s="562">
        <f t="shared" si="457"/>
        <v>1.7334000000000001</v>
      </c>
      <c r="CA124" s="873">
        <f t="shared" si="457"/>
        <v>0</v>
      </c>
      <c r="CB124" s="850">
        <f t="shared" si="457"/>
        <v>0</v>
      </c>
      <c r="CC124" s="850">
        <f t="shared" si="457"/>
        <v>0</v>
      </c>
      <c r="CD124" s="850">
        <f t="shared" si="457"/>
        <v>0</v>
      </c>
      <c r="CE124" s="850">
        <f t="shared" si="457"/>
        <v>0</v>
      </c>
      <c r="CF124" s="841">
        <f t="shared" si="457"/>
        <v>0</v>
      </c>
    </row>
    <row r="125" spans="1:84" ht="12.95" customHeight="1" x14ac:dyDescent="0.25">
      <c r="A125" s="282">
        <v>21</v>
      </c>
      <c r="B125" s="323">
        <v>5468</v>
      </c>
      <c r="C125" s="324">
        <v>600099083</v>
      </c>
      <c r="D125" s="283">
        <v>70698317</v>
      </c>
      <c r="E125" s="350" t="s">
        <v>448</v>
      </c>
      <c r="F125" s="323">
        <v>3117</v>
      </c>
      <c r="G125" s="347" t="s">
        <v>309</v>
      </c>
      <c r="H125" s="733" t="s">
        <v>271</v>
      </c>
      <c r="I125" s="423">
        <f t="shared" ref="I125:I128" si="458">J125+P125+Q125+R125</f>
        <v>1973790</v>
      </c>
      <c r="J125" s="418">
        <f>K125+L125</f>
        <v>1445276</v>
      </c>
      <c r="K125" s="418">
        <v>1226942</v>
      </c>
      <c r="L125" s="418">
        <v>218334</v>
      </c>
      <c r="M125" s="418">
        <f t="shared" ref="M125:M129" si="459">N125+O125</f>
        <v>0</v>
      </c>
      <c r="N125" s="418">
        <v>0</v>
      </c>
      <c r="O125" s="418">
        <v>0</v>
      </c>
      <c r="P125" s="68">
        <f>ROUND((J125+M125)*33.8%,0)+1</f>
        <v>488504</v>
      </c>
      <c r="Q125" s="68">
        <f t="shared" ref="Q125:Q129" si="460">ROUND(J125*1%,0)</f>
        <v>14453</v>
      </c>
      <c r="R125" s="418">
        <v>25557</v>
      </c>
      <c r="S125" s="419">
        <f>T125+U125</f>
        <v>2.5345</v>
      </c>
      <c r="T125" s="420">
        <v>1.9844999999999999</v>
      </c>
      <c r="U125" s="527">
        <v>0.55000000000000004</v>
      </c>
      <c r="V125" s="427">
        <f t="shared" ref="V125:W129" si="461">AI125*-1</f>
        <v>0</v>
      </c>
      <c r="W125" s="421">
        <f t="shared" si="461"/>
        <v>0</v>
      </c>
      <c r="X125" s="421">
        <v>0</v>
      </c>
      <c r="Y125" s="421">
        <v>0</v>
      </c>
      <c r="Z125" s="421">
        <v>0</v>
      </c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f>V125+X125+Y125+AA125+AB125+AD125</f>
        <v>0</v>
      </c>
      <c r="AG125" s="421">
        <f>W125+Z125+AC125+AE125</f>
        <v>0</v>
      </c>
      <c r="AH125" s="421">
        <f>SUM(AF125:AG125)</f>
        <v>0</v>
      </c>
      <c r="AI125" s="421">
        <v>0</v>
      </c>
      <c r="AJ125" s="421">
        <v>0</v>
      </c>
      <c r="AK125" s="421">
        <v>0</v>
      </c>
      <c r="AL125" s="421">
        <v>0</v>
      </c>
      <c r="AM125" s="421">
        <v>0</v>
      </c>
      <c r="AN125" s="421">
        <v>0</v>
      </c>
      <c r="AO125" s="421">
        <f t="shared" ref="AO125:AO129" si="462">AI125+AK125+AL125+AM125</f>
        <v>0</v>
      </c>
      <c r="AP125" s="421">
        <f>AJ125+AN125</f>
        <v>0</v>
      </c>
      <c r="AQ125" s="421">
        <f>SUM(AO125:AP125)</f>
        <v>0</v>
      </c>
      <c r="AR125" s="421">
        <f t="shared" ref="AR125:AS129" si="463">AF125+AO125</f>
        <v>0</v>
      </c>
      <c r="AS125" s="421">
        <f t="shared" si="463"/>
        <v>0</v>
      </c>
      <c r="AT125" s="421">
        <f>SUM(AR125:AS125)</f>
        <v>0</v>
      </c>
      <c r="AU125" s="68">
        <f t="shared" ref="AU125:AU129" si="464">ROUND((AH125+AI125+AJ125+AK125+AL125)*33.8%,0)</f>
        <v>0</v>
      </c>
      <c r="AV125" s="68">
        <f>ROUND(AH125*1%,0)</f>
        <v>0</v>
      </c>
      <c r="AW125" s="421">
        <v>0</v>
      </c>
      <c r="AX125" s="421">
        <v>0</v>
      </c>
      <c r="AY125" s="421">
        <f>AW125+AX125</f>
        <v>0</v>
      </c>
      <c r="AZ125" s="421">
        <f>AT125+AU125+AV125+AY125</f>
        <v>0</v>
      </c>
      <c r="BA125" s="422">
        <v>0</v>
      </c>
      <c r="BB125" s="422">
        <v>0</v>
      </c>
      <c r="BC125" s="422">
        <v>0</v>
      </c>
      <c r="BD125" s="422">
        <v>0</v>
      </c>
      <c r="BE125" s="422">
        <v>0</v>
      </c>
      <c r="BF125" s="422">
        <v>0</v>
      </c>
      <c r="BG125" s="422">
        <v>0</v>
      </c>
      <c r="BH125" s="422">
        <v>0</v>
      </c>
      <c r="BI125" s="422">
        <v>0</v>
      </c>
      <c r="BJ125" s="422">
        <v>0</v>
      </c>
      <c r="BK125" s="422">
        <f>BA125+BC125+BD125+BF125+BH125+BI125</f>
        <v>0</v>
      </c>
      <c r="BL125" s="422">
        <f>BB125+BE125+BG125+BJ125</f>
        <v>0</v>
      </c>
      <c r="BM125" s="611">
        <f>SUM(BK125:BL125)</f>
        <v>0</v>
      </c>
      <c r="BN125" s="428">
        <f>I125+AZ125</f>
        <v>1973790</v>
      </c>
      <c r="BO125" s="421">
        <f>J125+AH125</f>
        <v>1445276</v>
      </c>
      <c r="BP125" s="421">
        <f t="shared" ref="BP125:BQ129" si="465">K125+AF125</f>
        <v>1226942</v>
      </c>
      <c r="BQ125" s="421">
        <f t="shared" si="465"/>
        <v>218334</v>
      </c>
      <c r="BR125" s="421">
        <f>M125+AQ125</f>
        <v>0</v>
      </c>
      <c r="BS125" s="421">
        <f t="shared" ref="BS125:BT129" si="466">N125+AO125</f>
        <v>0</v>
      </c>
      <c r="BT125" s="421">
        <f t="shared" si="466"/>
        <v>0</v>
      </c>
      <c r="BU125" s="421">
        <f t="shared" ref="BU125:BV129" si="467">P125+AU125</f>
        <v>488504</v>
      </c>
      <c r="BV125" s="421">
        <f t="shared" si="467"/>
        <v>14453</v>
      </c>
      <c r="BW125" s="421">
        <f>R125+AY125</f>
        <v>25557</v>
      </c>
      <c r="BX125" s="422">
        <f>S125+BM125</f>
        <v>2.5345</v>
      </c>
      <c r="BY125" s="422">
        <f t="shared" ref="BY125:BZ129" si="468">T125+BK125</f>
        <v>1.9844999999999999</v>
      </c>
      <c r="BZ125" s="611">
        <f t="shared" si="468"/>
        <v>0.55000000000000004</v>
      </c>
      <c r="CA125" s="875"/>
      <c r="CB125" s="872"/>
      <c r="CC125" s="872"/>
      <c r="CD125" s="872"/>
      <c r="CE125" s="872"/>
      <c r="CF125" s="876"/>
    </row>
    <row r="126" spans="1:84" ht="12.95" customHeight="1" x14ac:dyDescent="0.25">
      <c r="A126" s="282">
        <v>21</v>
      </c>
      <c r="B126" s="323">
        <v>5468</v>
      </c>
      <c r="C126" s="324">
        <v>600099083</v>
      </c>
      <c r="D126" s="283">
        <v>70698317</v>
      </c>
      <c r="E126" s="350" t="s">
        <v>448</v>
      </c>
      <c r="F126" s="323">
        <v>3117</v>
      </c>
      <c r="G126" s="286" t="s">
        <v>292</v>
      </c>
      <c r="H126" s="733" t="s">
        <v>272</v>
      </c>
      <c r="I126" s="423">
        <f t="shared" si="458"/>
        <v>0</v>
      </c>
      <c r="J126" s="418">
        <f>K126+L126</f>
        <v>0</v>
      </c>
      <c r="K126" s="418">
        <v>0</v>
      </c>
      <c r="L126" s="418">
        <v>0</v>
      </c>
      <c r="M126" s="418">
        <f>N126+O126</f>
        <v>0</v>
      </c>
      <c r="N126" s="418">
        <v>0</v>
      </c>
      <c r="O126" s="418">
        <v>0</v>
      </c>
      <c r="P126" s="68">
        <f t="shared" ref="P126:P129" si="469">ROUND((J126+M126)*33.8%,0)</f>
        <v>0</v>
      </c>
      <c r="Q126" s="68">
        <f t="shared" si="460"/>
        <v>0</v>
      </c>
      <c r="R126" s="418">
        <v>0</v>
      </c>
      <c r="S126" s="419">
        <f>T126+U126</f>
        <v>0</v>
      </c>
      <c r="T126" s="420">
        <v>0</v>
      </c>
      <c r="U126" s="527">
        <v>0</v>
      </c>
      <c r="V126" s="427">
        <f t="shared" si="461"/>
        <v>0</v>
      </c>
      <c r="W126" s="421">
        <f t="shared" si="461"/>
        <v>0</v>
      </c>
      <c r="X126" s="421">
        <f>92738+22694</f>
        <v>115432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>V126+X126+Y126+AA126+AB126+AD126</f>
        <v>115432</v>
      </c>
      <c r="AG126" s="421">
        <f>W126+Z126+AC126+AE126</f>
        <v>0</v>
      </c>
      <c r="AH126" s="421">
        <f>SUM(AF126:AG126)</f>
        <v>115432</v>
      </c>
      <c r="AI126" s="421">
        <v>0</v>
      </c>
      <c r="AJ126" s="421">
        <v>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si="462"/>
        <v>0</v>
      </c>
      <c r="AP126" s="421">
        <f>AJ126+AN126</f>
        <v>0</v>
      </c>
      <c r="AQ126" s="421">
        <f>SUM(AO126:AP126)</f>
        <v>0</v>
      </c>
      <c r="AR126" s="421">
        <f t="shared" si="463"/>
        <v>115432</v>
      </c>
      <c r="AS126" s="421">
        <f t="shared" si="463"/>
        <v>0</v>
      </c>
      <c r="AT126" s="421">
        <f>SUM(AR126:AS126)</f>
        <v>115432</v>
      </c>
      <c r="AU126" s="68">
        <f t="shared" si="464"/>
        <v>39016</v>
      </c>
      <c r="AV126" s="68">
        <f>ROUND(AH126*1%,0)</f>
        <v>1154</v>
      </c>
      <c r="AW126" s="421">
        <v>0</v>
      </c>
      <c r="AX126" s="421">
        <v>0</v>
      </c>
      <c r="AY126" s="421">
        <f>AW126+AX126</f>
        <v>0</v>
      </c>
      <c r="AZ126" s="421">
        <f>AT126+AU126+AV126+AY126</f>
        <v>155602</v>
      </c>
      <c r="BA126" s="422">
        <v>0</v>
      </c>
      <c r="BB126" s="422">
        <v>0</v>
      </c>
      <c r="BC126" s="422">
        <f>0.3+0.05</f>
        <v>0.35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>BA126+BC126+BD126+BF126+BH126+BI126</f>
        <v>0.35</v>
      </c>
      <c r="BL126" s="422">
        <f>BB126+BE126+BG126+BJ126</f>
        <v>0</v>
      </c>
      <c r="BM126" s="611">
        <f>SUM(BK126:BL126)</f>
        <v>0.35</v>
      </c>
      <c r="BN126" s="428">
        <f>I126+AZ126</f>
        <v>155602</v>
      </c>
      <c r="BO126" s="421">
        <f>J126+AH126</f>
        <v>115432</v>
      </c>
      <c r="BP126" s="421">
        <f t="shared" si="465"/>
        <v>115432</v>
      </c>
      <c r="BQ126" s="421">
        <f t="shared" si="465"/>
        <v>0</v>
      </c>
      <c r="BR126" s="421">
        <f>M126+AQ126</f>
        <v>0</v>
      </c>
      <c r="BS126" s="421">
        <f t="shared" si="466"/>
        <v>0</v>
      </c>
      <c r="BT126" s="421">
        <f t="shared" si="466"/>
        <v>0</v>
      </c>
      <c r="BU126" s="421">
        <f t="shared" si="467"/>
        <v>39016</v>
      </c>
      <c r="BV126" s="421">
        <f t="shared" si="467"/>
        <v>1154</v>
      </c>
      <c r="BW126" s="421">
        <f>R126+AY126</f>
        <v>0</v>
      </c>
      <c r="BX126" s="422">
        <f>S126+BM126</f>
        <v>0.35</v>
      </c>
      <c r="BY126" s="422">
        <f t="shared" si="468"/>
        <v>0.35</v>
      </c>
      <c r="BZ126" s="611">
        <f t="shared" si="468"/>
        <v>0</v>
      </c>
      <c r="CA126" s="875"/>
      <c r="CB126" s="872"/>
      <c r="CC126" s="872"/>
      <c r="CD126" s="872"/>
      <c r="CE126" s="872"/>
      <c r="CF126" s="876"/>
    </row>
    <row r="127" spans="1:84" ht="12.95" customHeight="1" x14ac:dyDescent="0.25">
      <c r="A127" s="282">
        <v>21</v>
      </c>
      <c r="B127" s="323">
        <v>5468</v>
      </c>
      <c r="C127" s="324">
        <v>600099083</v>
      </c>
      <c r="D127" s="283">
        <v>70698317</v>
      </c>
      <c r="E127" s="350" t="s">
        <v>448</v>
      </c>
      <c r="F127" s="323">
        <v>3143</v>
      </c>
      <c r="G127" s="286" t="s">
        <v>596</v>
      </c>
      <c r="H127" s="733" t="s">
        <v>271</v>
      </c>
      <c r="I127" s="423">
        <f t="shared" si="458"/>
        <v>673319</v>
      </c>
      <c r="J127" s="418">
        <f>K127+L127</f>
        <v>499495</v>
      </c>
      <c r="K127" s="418">
        <v>499495</v>
      </c>
      <c r="L127" s="418">
        <v>0</v>
      </c>
      <c r="M127" s="418">
        <f t="shared" si="459"/>
        <v>0</v>
      </c>
      <c r="N127" s="418">
        <v>0</v>
      </c>
      <c r="O127" s="418">
        <v>0</v>
      </c>
      <c r="P127" s="68">
        <f t="shared" si="469"/>
        <v>168829</v>
      </c>
      <c r="Q127" s="68">
        <f t="shared" si="460"/>
        <v>4995</v>
      </c>
      <c r="R127" s="418">
        <v>0</v>
      </c>
      <c r="S127" s="419">
        <f>T127+U127</f>
        <v>0.96430000000000005</v>
      </c>
      <c r="T127" s="420">
        <v>0.96430000000000005</v>
      </c>
      <c r="U127" s="527">
        <v>0</v>
      </c>
      <c r="V127" s="427">
        <f t="shared" si="461"/>
        <v>0</v>
      </c>
      <c r="W127" s="421">
        <f t="shared" si="461"/>
        <v>0</v>
      </c>
      <c r="X127" s="421">
        <v>0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f>V127+X127+Y127+AA127+AB127+AD127</f>
        <v>0</v>
      </c>
      <c r="AG127" s="421">
        <f>W127+Z127+AC127+AE127</f>
        <v>0</v>
      </c>
      <c r="AH127" s="421">
        <f>SUM(AF127:AG127)</f>
        <v>0</v>
      </c>
      <c r="AI127" s="421">
        <v>0</v>
      </c>
      <c r="AJ127" s="421">
        <v>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462"/>
        <v>0</v>
      </c>
      <c r="AP127" s="421">
        <f>AJ127+AN127</f>
        <v>0</v>
      </c>
      <c r="AQ127" s="421">
        <f>SUM(AO127:AP127)</f>
        <v>0</v>
      </c>
      <c r="AR127" s="421">
        <f t="shared" si="463"/>
        <v>0</v>
      </c>
      <c r="AS127" s="421">
        <f t="shared" si="463"/>
        <v>0</v>
      </c>
      <c r="AT127" s="421">
        <f>SUM(AR127:AS127)</f>
        <v>0</v>
      </c>
      <c r="AU127" s="68">
        <f t="shared" si="464"/>
        <v>0</v>
      </c>
      <c r="AV127" s="68">
        <f>ROUND(AH127*1%,0)</f>
        <v>0</v>
      </c>
      <c r="AW127" s="421">
        <v>0</v>
      </c>
      <c r="AX127" s="421">
        <v>0</v>
      </c>
      <c r="AY127" s="421">
        <f>AW127+AX127</f>
        <v>0</v>
      </c>
      <c r="AZ127" s="421">
        <f>AT127+AU127+AV127+AY127</f>
        <v>0</v>
      </c>
      <c r="BA127" s="422">
        <v>0</v>
      </c>
      <c r="BB127" s="422">
        <v>0</v>
      </c>
      <c r="BC127" s="422">
        <v>0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f>BA127+BC127+BD127+BF127+BH127+BI127</f>
        <v>0</v>
      </c>
      <c r="BL127" s="422">
        <f>BB127+BE127+BG127+BJ127</f>
        <v>0</v>
      </c>
      <c r="BM127" s="611">
        <f>SUM(BK127:BL127)</f>
        <v>0</v>
      </c>
      <c r="BN127" s="428">
        <f>I127+AZ127</f>
        <v>673319</v>
      </c>
      <c r="BO127" s="421">
        <f>J127+AH127</f>
        <v>499495</v>
      </c>
      <c r="BP127" s="421">
        <f t="shared" si="465"/>
        <v>499495</v>
      </c>
      <c r="BQ127" s="421">
        <f t="shared" si="465"/>
        <v>0</v>
      </c>
      <c r="BR127" s="421">
        <f>M127+AQ127</f>
        <v>0</v>
      </c>
      <c r="BS127" s="421">
        <f t="shared" si="466"/>
        <v>0</v>
      </c>
      <c r="BT127" s="421">
        <f t="shared" si="466"/>
        <v>0</v>
      </c>
      <c r="BU127" s="421">
        <f t="shared" si="467"/>
        <v>168829</v>
      </c>
      <c r="BV127" s="421">
        <f t="shared" si="467"/>
        <v>4995</v>
      </c>
      <c r="BW127" s="421">
        <f>R127+AY127</f>
        <v>0</v>
      </c>
      <c r="BX127" s="422">
        <f>S127+BM127</f>
        <v>0.96430000000000005</v>
      </c>
      <c r="BY127" s="422">
        <f t="shared" si="468"/>
        <v>0.96430000000000005</v>
      </c>
      <c r="BZ127" s="611">
        <f t="shared" si="468"/>
        <v>0</v>
      </c>
      <c r="CA127" s="875"/>
      <c r="CB127" s="872"/>
      <c r="CC127" s="872"/>
      <c r="CD127" s="872"/>
      <c r="CE127" s="872"/>
      <c r="CF127" s="876"/>
    </row>
    <row r="128" spans="1:84" ht="12.95" customHeight="1" x14ac:dyDescent="0.25">
      <c r="A128" s="282">
        <v>21</v>
      </c>
      <c r="B128" s="323">
        <v>5468</v>
      </c>
      <c r="C128" s="324">
        <v>600099083</v>
      </c>
      <c r="D128" s="283">
        <v>70698317</v>
      </c>
      <c r="E128" s="350" t="s">
        <v>448</v>
      </c>
      <c r="F128" s="323">
        <v>3143</v>
      </c>
      <c r="G128" s="286" t="s">
        <v>597</v>
      </c>
      <c r="H128" s="733" t="s">
        <v>272</v>
      </c>
      <c r="I128" s="423">
        <f t="shared" si="458"/>
        <v>10770</v>
      </c>
      <c r="J128" s="418">
        <f>K128+L128</f>
        <v>7709</v>
      </c>
      <c r="K128" s="418">
        <v>0</v>
      </c>
      <c r="L128" s="418">
        <v>7709</v>
      </c>
      <c r="M128" s="418">
        <f t="shared" si="459"/>
        <v>0</v>
      </c>
      <c r="N128" s="418">
        <v>0</v>
      </c>
      <c r="O128" s="418">
        <v>0</v>
      </c>
      <c r="P128" s="68">
        <f t="shared" si="469"/>
        <v>2606</v>
      </c>
      <c r="Q128" s="68">
        <f t="shared" si="460"/>
        <v>77</v>
      </c>
      <c r="R128" s="418">
        <v>378</v>
      </c>
      <c r="S128" s="419">
        <f>T128+U128</f>
        <v>2.92E-2</v>
      </c>
      <c r="T128" s="420">
        <v>0</v>
      </c>
      <c r="U128" s="527">
        <v>2.92E-2</v>
      </c>
      <c r="V128" s="427">
        <f t="shared" si="461"/>
        <v>0</v>
      </c>
      <c r="W128" s="421">
        <f t="shared" si="461"/>
        <v>0</v>
      </c>
      <c r="X128" s="421">
        <v>0</v>
      </c>
      <c r="Y128" s="421">
        <v>0</v>
      </c>
      <c r="Z128" s="421">
        <v>0</v>
      </c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f>V128+X128+Y128+AA128+AB128+AD128</f>
        <v>0</v>
      </c>
      <c r="AG128" s="421">
        <f>W128+Z128+AC128+AE128</f>
        <v>0</v>
      </c>
      <c r="AH128" s="421">
        <f>SUM(AF128:AG128)</f>
        <v>0</v>
      </c>
      <c r="AI128" s="421">
        <v>0</v>
      </c>
      <c r="AJ128" s="421">
        <v>0</v>
      </c>
      <c r="AK128" s="421">
        <v>0</v>
      </c>
      <c r="AL128" s="421">
        <v>0</v>
      </c>
      <c r="AM128" s="421">
        <v>0</v>
      </c>
      <c r="AN128" s="421">
        <v>0</v>
      </c>
      <c r="AO128" s="421">
        <f t="shared" si="462"/>
        <v>0</v>
      </c>
      <c r="AP128" s="421">
        <f>AJ128+AN128</f>
        <v>0</v>
      </c>
      <c r="AQ128" s="421">
        <f>SUM(AO128:AP128)</f>
        <v>0</v>
      </c>
      <c r="AR128" s="421">
        <f t="shared" si="463"/>
        <v>0</v>
      </c>
      <c r="AS128" s="421">
        <f t="shared" si="463"/>
        <v>0</v>
      </c>
      <c r="AT128" s="421">
        <f>SUM(AR128:AS128)</f>
        <v>0</v>
      </c>
      <c r="AU128" s="68">
        <f t="shared" si="464"/>
        <v>0</v>
      </c>
      <c r="AV128" s="68">
        <f>ROUND(AH128*1%,0)</f>
        <v>0</v>
      </c>
      <c r="AW128" s="421">
        <v>0</v>
      </c>
      <c r="AX128" s="421">
        <v>0</v>
      </c>
      <c r="AY128" s="421">
        <f>AW128+AX128</f>
        <v>0</v>
      </c>
      <c r="AZ128" s="421">
        <f>AT128+AU128+AV128+AY128</f>
        <v>0</v>
      </c>
      <c r="BA128" s="422">
        <v>0</v>
      </c>
      <c r="BB128" s="422">
        <v>0</v>
      </c>
      <c r="BC128" s="422">
        <v>0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>BA128+BC128+BD128+BF128+BH128+BI128</f>
        <v>0</v>
      </c>
      <c r="BL128" s="422">
        <f>BB128+BE128+BG128+BJ128</f>
        <v>0</v>
      </c>
      <c r="BM128" s="611">
        <f>SUM(BK128:BL128)</f>
        <v>0</v>
      </c>
      <c r="BN128" s="428">
        <f>I128+AZ128</f>
        <v>10770</v>
      </c>
      <c r="BO128" s="421">
        <f>J128+AH128</f>
        <v>7709</v>
      </c>
      <c r="BP128" s="421">
        <f t="shared" si="465"/>
        <v>0</v>
      </c>
      <c r="BQ128" s="421">
        <f t="shared" si="465"/>
        <v>7709</v>
      </c>
      <c r="BR128" s="421">
        <f>M128+AQ128</f>
        <v>0</v>
      </c>
      <c r="BS128" s="421">
        <f t="shared" si="466"/>
        <v>0</v>
      </c>
      <c r="BT128" s="421">
        <f t="shared" si="466"/>
        <v>0</v>
      </c>
      <c r="BU128" s="421">
        <f t="shared" si="467"/>
        <v>2606</v>
      </c>
      <c r="BV128" s="421">
        <f t="shared" si="467"/>
        <v>77</v>
      </c>
      <c r="BW128" s="421">
        <f>R128+AY128</f>
        <v>378</v>
      </c>
      <c r="BX128" s="422">
        <f>S128+BM128</f>
        <v>2.92E-2</v>
      </c>
      <c r="BY128" s="422">
        <f t="shared" si="468"/>
        <v>0</v>
      </c>
      <c r="BZ128" s="611">
        <f t="shared" si="468"/>
        <v>2.92E-2</v>
      </c>
      <c r="CA128" s="875"/>
      <c r="CB128" s="872"/>
      <c r="CC128" s="872"/>
      <c r="CD128" s="872"/>
      <c r="CE128" s="872"/>
      <c r="CF128" s="876"/>
    </row>
    <row r="129" spans="1:84" ht="12.95" customHeight="1" x14ac:dyDescent="0.25">
      <c r="A129" s="282">
        <v>21</v>
      </c>
      <c r="B129" s="323">
        <v>5468</v>
      </c>
      <c r="C129" s="324">
        <v>600099083</v>
      </c>
      <c r="D129" s="283">
        <v>70698317</v>
      </c>
      <c r="E129" s="350" t="s">
        <v>448</v>
      </c>
      <c r="F129" s="323">
        <v>3141</v>
      </c>
      <c r="G129" s="347" t="s">
        <v>295</v>
      </c>
      <c r="H129" s="733" t="s">
        <v>272</v>
      </c>
      <c r="I129" s="423">
        <v>0</v>
      </c>
      <c r="J129" s="418">
        <v>0</v>
      </c>
      <c r="K129" s="418">
        <v>0</v>
      </c>
      <c r="L129" s="418">
        <v>0</v>
      </c>
      <c r="M129" s="418">
        <f t="shared" si="459"/>
        <v>0</v>
      </c>
      <c r="N129" s="418">
        <v>0</v>
      </c>
      <c r="O129" s="418">
        <v>0</v>
      </c>
      <c r="P129" s="68">
        <f t="shared" si="469"/>
        <v>0</v>
      </c>
      <c r="Q129" s="68">
        <f t="shared" si="460"/>
        <v>0</v>
      </c>
      <c r="R129" s="418">
        <v>0</v>
      </c>
      <c r="S129" s="419">
        <f>T129+U129</f>
        <v>0</v>
      </c>
      <c r="T129" s="420">
        <v>0</v>
      </c>
      <c r="U129" s="527">
        <v>0</v>
      </c>
      <c r="V129" s="427">
        <f t="shared" si="461"/>
        <v>0</v>
      </c>
      <c r="W129" s="421">
        <f t="shared" si="461"/>
        <v>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42806</v>
      </c>
      <c r="AF129" s="421">
        <f>V129+X129+Y129+AA129+AB129+AD129</f>
        <v>0</v>
      </c>
      <c r="AG129" s="421">
        <f>W129+Z129+AC129+AE129</f>
        <v>42806</v>
      </c>
      <c r="AH129" s="421">
        <f>SUM(AF129:AG129)</f>
        <v>42806</v>
      </c>
      <c r="AI129" s="421">
        <v>0</v>
      </c>
      <c r="AJ129" s="421">
        <v>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462"/>
        <v>0</v>
      </c>
      <c r="AP129" s="421">
        <f>AJ129+AN129</f>
        <v>0</v>
      </c>
      <c r="AQ129" s="421">
        <f>SUM(AO129:AP129)</f>
        <v>0</v>
      </c>
      <c r="AR129" s="421">
        <f t="shared" si="463"/>
        <v>0</v>
      </c>
      <c r="AS129" s="421">
        <f t="shared" si="463"/>
        <v>42806</v>
      </c>
      <c r="AT129" s="421">
        <f>SUM(AR129:AS129)</f>
        <v>42806</v>
      </c>
      <c r="AU129" s="68">
        <f t="shared" si="464"/>
        <v>14468</v>
      </c>
      <c r="AV129" s="68">
        <f>ROUND(AH129*1%,0)</f>
        <v>428</v>
      </c>
      <c r="AW129" s="421">
        <v>0</v>
      </c>
      <c r="AX129" s="421">
        <v>460</v>
      </c>
      <c r="AY129" s="421">
        <f>AW129+AX129</f>
        <v>460</v>
      </c>
      <c r="AZ129" s="421">
        <f>AT129+AU129+AV129+AY129</f>
        <v>58162</v>
      </c>
      <c r="BA129" s="422">
        <v>0</v>
      </c>
      <c r="BB129" s="422">
        <v>0</v>
      </c>
      <c r="BC129" s="422">
        <v>0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0.13</v>
      </c>
      <c r="BK129" s="422">
        <f>BA129+BC129+BD129+BF129+BH129+BI129</f>
        <v>0</v>
      </c>
      <c r="BL129" s="422">
        <f>BB129+BE129+BG129+BJ129</f>
        <v>0.13</v>
      </c>
      <c r="BM129" s="611">
        <f>SUM(BK129:BL129)</f>
        <v>0.13</v>
      </c>
      <c r="BN129" s="428">
        <f>I129+AZ129</f>
        <v>58162</v>
      </c>
      <c r="BO129" s="421">
        <f>J129+AH129</f>
        <v>42806</v>
      </c>
      <c r="BP129" s="421">
        <f t="shared" si="465"/>
        <v>0</v>
      </c>
      <c r="BQ129" s="421">
        <f t="shared" si="465"/>
        <v>42806</v>
      </c>
      <c r="BR129" s="421">
        <f>M129+AQ129</f>
        <v>0</v>
      </c>
      <c r="BS129" s="421">
        <f t="shared" si="466"/>
        <v>0</v>
      </c>
      <c r="BT129" s="421">
        <f t="shared" si="466"/>
        <v>0</v>
      </c>
      <c r="BU129" s="421">
        <f t="shared" si="467"/>
        <v>14468</v>
      </c>
      <c r="BV129" s="421">
        <f t="shared" si="467"/>
        <v>428</v>
      </c>
      <c r="BW129" s="421">
        <f>R129+AY129</f>
        <v>460</v>
      </c>
      <c r="BX129" s="422">
        <f>S129+BM129</f>
        <v>0.13</v>
      </c>
      <c r="BY129" s="422">
        <f t="shared" si="468"/>
        <v>0</v>
      </c>
      <c r="BZ129" s="611">
        <f t="shared" si="468"/>
        <v>0.13</v>
      </c>
      <c r="CA129" s="875"/>
      <c r="CB129" s="872"/>
      <c r="CC129" s="872"/>
      <c r="CD129" s="872"/>
      <c r="CE129" s="872"/>
      <c r="CF129" s="876"/>
    </row>
    <row r="130" spans="1:84" ht="12.95" customHeight="1" x14ac:dyDescent="0.25">
      <c r="A130" s="734">
        <v>21</v>
      </c>
      <c r="B130" s="327">
        <v>5468</v>
      </c>
      <c r="C130" s="328">
        <v>600099083</v>
      </c>
      <c r="D130" s="327">
        <v>70698317</v>
      </c>
      <c r="E130" s="351" t="s">
        <v>449</v>
      </c>
      <c r="F130" s="327"/>
      <c r="G130" s="352"/>
      <c r="H130" s="736"/>
      <c r="I130" s="472">
        <f>SUM(I125:I129)</f>
        <v>2657879</v>
      </c>
      <c r="J130" s="468">
        <f t="shared" ref="J130:BV130" si="470">SUM(J125:J129)</f>
        <v>1952480</v>
      </c>
      <c r="K130" s="468">
        <f t="shared" si="470"/>
        <v>1726437</v>
      </c>
      <c r="L130" s="468">
        <f t="shared" si="470"/>
        <v>226043</v>
      </c>
      <c r="M130" s="468">
        <f t="shared" si="470"/>
        <v>0</v>
      </c>
      <c r="N130" s="468">
        <f t="shared" si="470"/>
        <v>0</v>
      </c>
      <c r="O130" s="468">
        <f t="shared" si="470"/>
        <v>0</v>
      </c>
      <c r="P130" s="468">
        <f t="shared" si="470"/>
        <v>659939</v>
      </c>
      <c r="Q130" s="468">
        <f t="shared" si="470"/>
        <v>19525</v>
      </c>
      <c r="R130" s="468">
        <f t="shared" si="470"/>
        <v>25935</v>
      </c>
      <c r="S130" s="469">
        <f t="shared" si="470"/>
        <v>3.528</v>
      </c>
      <c r="T130" s="469">
        <f t="shared" si="470"/>
        <v>2.9487999999999999</v>
      </c>
      <c r="U130" s="281">
        <f t="shared" si="470"/>
        <v>0.57920000000000005</v>
      </c>
      <c r="V130" s="474">
        <f t="shared" si="470"/>
        <v>0</v>
      </c>
      <c r="W130" s="468">
        <f t="shared" si="470"/>
        <v>0</v>
      </c>
      <c r="X130" s="468">
        <f t="shared" si="470"/>
        <v>115432</v>
      </c>
      <c r="Y130" s="468">
        <f t="shared" si="470"/>
        <v>0</v>
      </c>
      <c r="Z130" s="468">
        <f t="shared" si="470"/>
        <v>0</v>
      </c>
      <c r="AA130" s="468">
        <f t="shared" si="470"/>
        <v>0</v>
      </c>
      <c r="AB130" s="468">
        <f t="shared" si="470"/>
        <v>0</v>
      </c>
      <c r="AC130" s="468">
        <f t="shared" si="470"/>
        <v>0</v>
      </c>
      <c r="AD130" s="468">
        <f t="shared" si="470"/>
        <v>0</v>
      </c>
      <c r="AE130" s="468">
        <f t="shared" si="470"/>
        <v>42806</v>
      </c>
      <c r="AF130" s="468">
        <f t="shared" si="470"/>
        <v>115432</v>
      </c>
      <c r="AG130" s="468">
        <f t="shared" si="470"/>
        <v>42806</v>
      </c>
      <c r="AH130" s="468">
        <f t="shared" si="470"/>
        <v>158238</v>
      </c>
      <c r="AI130" s="468">
        <f t="shared" si="470"/>
        <v>0</v>
      </c>
      <c r="AJ130" s="468">
        <f t="shared" si="470"/>
        <v>0</v>
      </c>
      <c r="AK130" s="468">
        <f t="shared" ref="AK130" si="471">SUM(AK125:AK129)</f>
        <v>0</v>
      </c>
      <c r="AL130" s="468">
        <f t="shared" si="470"/>
        <v>0</v>
      </c>
      <c r="AM130" s="468">
        <f t="shared" si="470"/>
        <v>0</v>
      </c>
      <c r="AN130" s="468">
        <f t="shared" si="470"/>
        <v>0</v>
      </c>
      <c r="AO130" s="468">
        <f t="shared" si="470"/>
        <v>0</v>
      </c>
      <c r="AP130" s="468">
        <f t="shared" si="470"/>
        <v>0</v>
      </c>
      <c r="AQ130" s="468">
        <f t="shared" si="470"/>
        <v>0</v>
      </c>
      <c r="AR130" s="468">
        <f t="shared" si="470"/>
        <v>115432</v>
      </c>
      <c r="AS130" s="468">
        <f t="shared" si="470"/>
        <v>42806</v>
      </c>
      <c r="AT130" s="468">
        <f t="shared" si="470"/>
        <v>158238</v>
      </c>
      <c r="AU130" s="468">
        <f t="shared" si="470"/>
        <v>53484</v>
      </c>
      <c r="AV130" s="468">
        <f t="shared" si="470"/>
        <v>1582</v>
      </c>
      <c r="AW130" s="468">
        <f t="shared" si="470"/>
        <v>0</v>
      </c>
      <c r="AX130" s="468">
        <f t="shared" si="470"/>
        <v>460</v>
      </c>
      <c r="AY130" s="468">
        <f t="shared" si="470"/>
        <v>460</v>
      </c>
      <c r="AZ130" s="468">
        <f t="shared" si="470"/>
        <v>213764</v>
      </c>
      <c r="BA130" s="469">
        <f t="shared" si="470"/>
        <v>0</v>
      </c>
      <c r="BB130" s="469">
        <f t="shared" si="470"/>
        <v>0</v>
      </c>
      <c r="BC130" s="469">
        <f t="shared" si="470"/>
        <v>0.35</v>
      </c>
      <c r="BD130" s="469">
        <f t="shared" si="470"/>
        <v>0</v>
      </c>
      <c r="BE130" s="469">
        <f t="shared" si="470"/>
        <v>0</v>
      </c>
      <c r="BF130" s="469">
        <f t="shared" si="470"/>
        <v>0</v>
      </c>
      <c r="BG130" s="469">
        <f t="shared" si="470"/>
        <v>0</v>
      </c>
      <c r="BH130" s="469">
        <f t="shared" si="470"/>
        <v>0</v>
      </c>
      <c r="BI130" s="469">
        <f t="shared" si="470"/>
        <v>0</v>
      </c>
      <c r="BJ130" s="469">
        <f t="shared" si="470"/>
        <v>0.13</v>
      </c>
      <c r="BK130" s="469">
        <f t="shared" si="470"/>
        <v>0.35</v>
      </c>
      <c r="BL130" s="469">
        <f t="shared" si="470"/>
        <v>0.13</v>
      </c>
      <c r="BM130" s="469">
        <f t="shared" si="470"/>
        <v>0.48</v>
      </c>
      <c r="BN130" s="468">
        <f t="shared" si="470"/>
        <v>2871643</v>
      </c>
      <c r="BO130" s="468">
        <f t="shared" si="470"/>
        <v>2110718</v>
      </c>
      <c r="BP130" s="468">
        <f t="shared" si="470"/>
        <v>1841869</v>
      </c>
      <c r="BQ130" s="468">
        <f t="shared" si="470"/>
        <v>268849</v>
      </c>
      <c r="BR130" s="468">
        <f t="shared" si="470"/>
        <v>0</v>
      </c>
      <c r="BS130" s="468">
        <f t="shared" si="470"/>
        <v>0</v>
      </c>
      <c r="BT130" s="468">
        <f t="shared" si="470"/>
        <v>0</v>
      </c>
      <c r="BU130" s="468">
        <f t="shared" si="470"/>
        <v>713423</v>
      </c>
      <c r="BV130" s="468">
        <f t="shared" si="470"/>
        <v>21107</v>
      </c>
      <c r="BW130" s="468">
        <f t="shared" ref="BW130:CF130" si="472">SUM(BW125:BW129)</f>
        <v>26395</v>
      </c>
      <c r="BX130" s="469">
        <f t="shared" si="472"/>
        <v>4.008</v>
      </c>
      <c r="BY130" s="469">
        <f t="shared" si="472"/>
        <v>3.2988</v>
      </c>
      <c r="BZ130" s="562">
        <f t="shared" si="472"/>
        <v>0.70920000000000005</v>
      </c>
      <c r="CA130" s="873">
        <f t="shared" si="472"/>
        <v>0</v>
      </c>
      <c r="CB130" s="850">
        <f t="shared" si="472"/>
        <v>0</v>
      </c>
      <c r="CC130" s="850">
        <f t="shared" si="472"/>
        <v>0</v>
      </c>
      <c r="CD130" s="850">
        <f t="shared" si="472"/>
        <v>0</v>
      </c>
      <c r="CE130" s="850">
        <f t="shared" si="472"/>
        <v>0</v>
      </c>
      <c r="CF130" s="841">
        <f t="shared" si="472"/>
        <v>0</v>
      </c>
    </row>
    <row r="131" spans="1:84" ht="12.95" customHeight="1" x14ac:dyDescent="0.25">
      <c r="A131" s="282">
        <v>22</v>
      </c>
      <c r="B131" s="323">
        <v>5488</v>
      </c>
      <c r="C131" s="324">
        <v>600099326</v>
      </c>
      <c r="D131" s="283">
        <v>70695393</v>
      </c>
      <c r="E131" s="350" t="s">
        <v>450</v>
      </c>
      <c r="F131" s="323">
        <v>3111</v>
      </c>
      <c r="G131" s="347" t="s">
        <v>305</v>
      </c>
      <c r="H131" s="733" t="s">
        <v>271</v>
      </c>
      <c r="I131" s="423">
        <f t="shared" ref="I131:I136" si="473">J131+P131+Q131+R131</f>
        <v>785128</v>
      </c>
      <c r="J131" s="418">
        <f t="shared" ref="J131:J136" si="474">K131+L131</f>
        <v>580458</v>
      </c>
      <c r="K131" s="418">
        <v>534378</v>
      </c>
      <c r="L131" s="418">
        <v>46080</v>
      </c>
      <c r="M131" s="418">
        <f t="shared" ref="M131:M136" si="475">N131+O131</f>
        <v>0</v>
      </c>
      <c r="N131" s="418">
        <v>0</v>
      </c>
      <c r="O131" s="418">
        <v>0</v>
      </c>
      <c r="P131" s="68">
        <f t="shared" ref="P131:P136" si="476">ROUND((J131+M131)*33.8%,0)</f>
        <v>196195</v>
      </c>
      <c r="Q131" s="68">
        <f t="shared" ref="Q131:Q136" si="477">ROUND(J131*1%,0)</f>
        <v>5805</v>
      </c>
      <c r="R131" s="418">
        <v>2670</v>
      </c>
      <c r="S131" s="419">
        <f t="shared" ref="S131:S136" si="478">T131+U131</f>
        <v>1.1846000000000001</v>
      </c>
      <c r="T131" s="420">
        <v>1</v>
      </c>
      <c r="U131" s="527">
        <v>0.18459999999999999</v>
      </c>
      <c r="V131" s="427">
        <f t="shared" ref="V131:W136" si="479">AI131*-1</f>
        <v>0</v>
      </c>
      <c r="W131" s="421">
        <f t="shared" si="479"/>
        <v>0</v>
      </c>
      <c r="X131" s="421">
        <v>0</v>
      </c>
      <c r="Y131" s="421">
        <v>0</v>
      </c>
      <c r="Z131" s="421">
        <v>0</v>
      </c>
      <c r="AA131" s="421">
        <v>0</v>
      </c>
      <c r="AB131" s="421">
        <v>0</v>
      </c>
      <c r="AC131" s="421">
        <v>0</v>
      </c>
      <c r="AD131" s="421">
        <v>0</v>
      </c>
      <c r="AE131" s="421">
        <v>0</v>
      </c>
      <c r="AF131" s="421">
        <f t="shared" ref="AF131:AF136" si="480">V131+X131+Y131+AA131+AB131+AD131</f>
        <v>0</v>
      </c>
      <c r="AG131" s="421">
        <f t="shared" ref="AG131:AG136" si="481">W131+Z131+AC131+AE131</f>
        <v>0</v>
      </c>
      <c r="AH131" s="421">
        <f t="shared" ref="AH131:AH136" si="482">SUM(AF131:AG131)</f>
        <v>0</v>
      </c>
      <c r="AI131" s="421">
        <v>0</v>
      </c>
      <c r="AJ131" s="421">
        <v>0</v>
      </c>
      <c r="AK131" s="421">
        <v>0</v>
      </c>
      <c r="AL131" s="421">
        <v>0</v>
      </c>
      <c r="AM131" s="421">
        <v>0</v>
      </c>
      <c r="AN131" s="421">
        <v>0</v>
      </c>
      <c r="AO131" s="421">
        <f t="shared" ref="AO131:AO136" si="483">AI131+AK131+AL131+AM131</f>
        <v>0</v>
      </c>
      <c r="AP131" s="421">
        <f t="shared" ref="AP131:AP136" si="484">AJ131+AN131</f>
        <v>0</v>
      </c>
      <c r="AQ131" s="421">
        <f t="shared" ref="AQ131:AQ136" si="485">SUM(AO131:AP131)</f>
        <v>0</v>
      </c>
      <c r="AR131" s="421">
        <f t="shared" ref="AR131:AS136" si="486">AF131+AO131</f>
        <v>0</v>
      </c>
      <c r="AS131" s="421">
        <f t="shared" si="486"/>
        <v>0</v>
      </c>
      <c r="AT131" s="421">
        <f t="shared" ref="AT131:AT136" si="487">SUM(AR131:AS131)</f>
        <v>0</v>
      </c>
      <c r="AU131" s="68">
        <f t="shared" ref="AU131:AU136" si="488">ROUND((AH131+AI131+AJ131+AK131+AL131)*33.8%,0)</f>
        <v>0</v>
      </c>
      <c r="AV131" s="68">
        <f t="shared" ref="AV131:AV136" si="489">ROUND(AH131*1%,0)</f>
        <v>0</v>
      </c>
      <c r="AW131" s="421">
        <v>0</v>
      </c>
      <c r="AX131" s="421">
        <v>0</v>
      </c>
      <c r="AY131" s="421">
        <f t="shared" ref="AY131:AY136" si="490">AW131+AX131</f>
        <v>0</v>
      </c>
      <c r="AZ131" s="421">
        <f t="shared" ref="AZ131:AZ136" si="491">AT131+AU131+AV131+AY131</f>
        <v>0</v>
      </c>
      <c r="BA131" s="422">
        <v>0</v>
      </c>
      <c r="BB131" s="422">
        <v>0</v>
      </c>
      <c r="BC131" s="422">
        <v>0</v>
      </c>
      <c r="BD131" s="422">
        <v>0</v>
      </c>
      <c r="BE131" s="422">
        <v>0</v>
      </c>
      <c r="BF131" s="422">
        <v>0</v>
      </c>
      <c r="BG131" s="422">
        <v>0</v>
      </c>
      <c r="BH131" s="422">
        <v>0</v>
      </c>
      <c r="BI131" s="422">
        <v>0</v>
      </c>
      <c r="BJ131" s="422">
        <v>0</v>
      </c>
      <c r="BK131" s="422">
        <f t="shared" ref="BK131:BK136" si="492">BA131+BC131+BD131+BF131+BH131+BI131</f>
        <v>0</v>
      </c>
      <c r="BL131" s="422">
        <f t="shared" ref="BL131:BL136" si="493">BB131+BE131+BG131+BJ131</f>
        <v>0</v>
      </c>
      <c r="BM131" s="611">
        <f t="shared" ref="BM131:BM136" si="494">SUM(BK131:BL131)</f>
        <v>0</v>
      </c>
      <c r="BN131" s="428">
        <f t="shared" ref="BN131:BN136" si="495">I131+AZ131</f>
        <v>785128</v>
      </c>
      <c r="BO131" s="421">
        <f t="shared" ref="BO131:BO136" si="496">J131+AH131</f>
        <v>580458</v>
      </c>
      <c r="BP131" s="421">
        <f t="shared" ref="BP131:BQ136" si="497">K131+AF131</f>
        <v>534378</v>
      </c>
      <c r="BQ131" s="421">
        <f t="shared" si="497"/>
        <v>46080</v>
      </c>
      <c r="BR131" s="421">
        <f t="shared" ref="BR131:BR136" si="498">M131+AQ131</f>
        <v>0</v>
      </c>
      <c r="BS131" s="421">
        <f t="shared" ref="BS131:BT136" si="499">N131+AO131</f>
        <v>0</v>
      </c>
      <c r="BT131" s="421">
        <f t="shared" si="499"/>
        <v>0</v>
      </c>
      <c r="BU131" s="421">
        <f t="shared" ref="BU131:BV136" si="500">P131+AU131</f>
        <v>196195</v>
      </c>
      <c r="BV131" s="421">
        <f t="shared" si="500"/>
        <v>5805</v>
      </c>
      <c r="BW131" s="421">
        <f t="shared" ref="BW131:BW136" si="501">R131+AY131</f>
        <v>2670</v>
      </c>
      <c r="BX131" s="422">
        <f t="shared" ref="BX131:BX136" si="502">S131+BM131</f>
        <v>1.1846000000000001</v>
      </c>
      <c r="BY131" s="422">
        <f t="shared" ref="BY131:BZ136" si="503">T131+BK131</f>
        <v>1</v>
      </c>
      <c r="BZ131" s="611">
        <f t="shared" si="503"/>
        <v>0.18459999999999999</v>
      </c>
      <c r="CA131" s="831">
        <f>SUM(CB132:CE132)</f>
        <v>0</v>
      </c>
      <c r="CB131" s="782"/>
      <c r="CC131" s="782"/>
      <c r="CD131" s="782"/>
      <c r="CE131" s="782"/>
      <c r="CF131" s="832"/>
    </row>
    <row r="132" spans="1:84" ht="12.95" customHeight="1" x14ac:dyDescent="0.25">
      <c r="A132" s="282">
        <v>22</v>
      </c>
      <c r="B132" s="323">
        <v>5488</v>
      </c>
      <c r="C132" s="324">
        <v>600099326</v>
      </c>
      <c r="D132" s="283">
        <v>70695393</v>
      </c>
      <c r="E132" s="350" t="s">
        <v>450</v>
      </c>
      <c r="F132" s="323">
        <v>3117</v>
      </c>
      <c r="G132" s="347" t="s">
        <v>309</v>
      </c>
      <c r="H132" s="733" t="s">
        <v>271</v>
      </c>
      <c r="I132" s="423">
        <f t="shared" si="473"/>
        <v>2090698</v>
      </c>
      <c r="J132" s="418">
        <f t="shared" si="474"/>
        <v>1537421</v>
      </c>
      <c r="K132" s="418">
        <v>1264583</v>
      </c>
      <c r="L132" s="418">
        <v>272838</v>
      </c>
      <c r="M132" s="418">
        <f t="shared" si="475"/>
        <v>0</v>
      </c>
      <c r="N132" s="418">
        <v>0</v>
      </c>
      <c r="O132" s="418">
        <v>0</v>
      </c>
      <c r="P132" s="68">
        <f t="shared" si="476"/>
        <v>519648</v>
      </c>
      <c r="Q132" s="68">
        <f t="shared" si="477"/>
        <v>15374</v>
      </c>
      <c r="R132" s="418">
        <v>18255</v>
      </c>
      <c r="S132" s="419">
        <f t="shared" si="478"/>
        <v>3.0476000000000001</v>
      </c>
      <c r="T132" s="420">
        <v>2.2726999999999999</v>
      </c>
      <c r="U132" s="527">
        <v>0.77490000000000003</v>
      </c>
      <c r="V132" s="427">
        <f t="shared" si="479"/>
        <v>0</v>
      </c>
      <c r="W132" s="421">
        <f t="shared" si="479"/>
        <v>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f t="shared" si="480"/>
        <v>0</v>
      </c>
      <c r="AG132" s="421">
        <f t="shared" si="481"/>
        <v>0</v>
      </c>
      <c r="AH132" s="421">
        <f t="shared" si="482"/>
        <v>0</v>
      </c>
      <c r="AI132" s="421">
        <v>0</v>
      </c>
      <c r="AJ132" s="421">
        <v>0</v>
      </c>
      <c r="AK132" s="421">
        <v>0</v>
      </c>
      <c r="AL132" s="421">
        <v>0</v>
      </c>
      <c r="AM132" s="421">
        <v>0</v>
      </c>
      <c r="AN132" s="421">
        <v>0</v>
      </c>
      <c r="AO132" s="421">
        <f t="shared" si="483"/>
        <v>0</v>
      </c>
      <c r="AP132" s="421">
        <f t="shared" si="484"/>
        <v>0</v>
      </c>
      <c r="AQ132" s="421">
        <f t="shared" si="485"/>
        <v>0</v>
      </c>
      <c r="AR132" s="421">
        <f t="shared" si="486"/>
        <v>0</v>
      </c>
      <c r="AS132" s="421">
        <f t="shared" si="486"/>
        <v>0</v>
      </c>
      <c r="AT132" s="421">
        <f t="shared" si="487"/>
        <v>0</v>
      </c>
      <c r="AU132" s="68">
        <f t="shared" si="488"/>
        <v>0</v>
      </c>
      <c r="AV132" s="68">
        <f t="shared" si="489"/>
        <v>0</v>
      </c>
      <c r="AW132" s="421">
        <v>0</v>
      </c>
      <c r="AX132" s="421">
        <v>0</v>
      </c>
      <c r="AY132" s="421">
        <f t="shared" si="490"/>
        <v>0</v>
      </c>
      <c r="AZ132" s="421">
        <f t="shared" si="491"/>
        <v>0</v>
      </c>
      <c r="BA132" s="422">
        <v>0</v>
      </c>
      <c r="BB132" s="422">
        <v>0</v>
      </c>
      <c r="BC132" s="422">
        <v>0</v>
      </c>
      <c r="BD132" s="422">
        <v>0</v>
      </c>
      <c r="BE132" s="422">
        <v>0</v>
      </c>
      <c r="BF132" s="422">
        <v>0</v>
      </c>
      <c r="BG132" s="422">
        <v>0</v>
      </c>
      <c r="BH132" s="422">
        <v>0</v>
      </c>
      <c r="BI132" s="422">
        <v>0</v>
      </c>
      <c r="BJ132" s="422">
        <v>0</v>
      </c>
      <c r="BK132" s="422">
        <f t="shared" si="492"/>
        <v>0</v>
      </c>
      <c r="BL132" s="422">
        <f t="shared" si="493"/>
        <v>0</v>
      </c>
      <c r="BM132" s="611">
        <f t="shared" si="494"/>
        <v>0</v>
      </c>
      <c r="BN132" s="428">
        <f t="shared" si="495"/>
        <v>2090698</v>
      </c>
      <c r="BO132" s="421">
        <f t="shared" si="496"/>
        <v>1537421</v>
      </c>
      <c r="BP132" s="421">
        <f t="shared" si="497"/>
        <v>1264583</v>
      </c>
      <c r="BQ132" s="421">
        <f t="shared" si="497"/>
        <v>272838</v>
      </c>
      <c r="BR132" s="421">
        <f t="shared" si="498"/>
        <v>0</v>
      </c>
      <c r="BS132" s="421">
        <f t="shared" si="499"/>
        <v>0</v>
      </c>
      <c r="BT132" s="421">
        <f t="shared" si="499"/>
        <v>0</v>
      </c>
      <c r="BU132" s="421">
        <f t="shared" si="500"/>
        <v>519648</v>
      </c>
      <c r="BV132" s="421">
        <f t="shared" si="500"/>
        <v>15374</v>
      </c>
      <c r="BW132" s="421">
        <f t="shared" si="501"/>
        <v>18255</v>
      </c>
      <c r="BX132" s="422">
        <f t="shared" si="502"/>
        <v>3.0476000000000001</v>
      </c>
      <c r="BY132" s="422">
        <f t="shared" si="503"/>
        <v>2.2726999999999999</v>
      </c>
      <c r="BZ132" s="611">
        <f t="shared" si="503"/>
        <v>0.77490000000000003</v>
      </c>
      <c r="CA132" s="875"/>
      <c r="CB132" s="872"/>
      <c r="CC132" s="872"/>
      <c r="CD132" s="872"/>
      <c r="CE132" s="872"/>
      <c r="CF132" s="876"/>
    </row>
    <row r="133" spans="1:84" ht="12.95" customHeight="1" x14ac:dyDescent="0.25">
      <c r="A133" s="282">
        <v>22</v>
      </c>
      <c r="B133" s="323">
        <v>5488</v>
      </c>
      <c r="C133" s="324">
        <v>600099326</v>
      </c>
      <c r="D133" s="283">
        <v>70695393</v>
      </c>
      <c r="E133" s="350" t="s">
        <v>450</v>
      </c>
      <c r="F133" s="323">
        <v>3117</v>
      </c>
      <c r="G133" s="286" t="s">
        <v>292</v>
      </c>
      <c r="H133" s="733" t="s">
        <v>272</v>
      </c>
      <c r="I133" s="423">
        <f t="shared" si="473"/>
        <v>0</v>
      </c>
      <c r="J133" s="418">
        <f t="shared" si="474"/>
        <v>0</v>
      </c>
      <c r="K133" s="418">
        <v>0</v>
      </c>
      <c r="L133" s="418">
        <v>0</v>
      </c>
      <c r="M133" s="418">
        <f>N133+O133</f>
        <v>0</v>
      </c>
      <c r="N133" s="418">
        <v>0</v>
      </c>
      <c r="O133" s="418">
        <v>0</v>
      </c>
      <c r="P133" s="68">
        <f t="shared" si="476"/>
        <v>0</v>
      </c>
      <c r="Q133" s="68">
        <f t="shared" si="477"/>
        <v>0</v>
      </c>
      <c r="R133" s="418">
        <v>0</v>
      </c>
      <c r="S133" s="419">
        <f>T133+U133</f>
        <v>0</v>
      </c>
      <c r="T133" s="420">
        <v>0</v>
      </c>
      <c r="U133" s="527">
        <v>0</v>
      </c>
      <c r="V133" s="427">
        <f t="shared" si="479"/>
        <v>0</v>
      </c>
      <c r="W133" s="421">
        <f t="shared" si="479"/>
        <v>0</v>
      </c>
      <c r="X133" s="421">
        <v>0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f t="shared" si="480"/>
        <v>0</v>
      </c>
      <c r="AG133" s="421">
        <f t="shared" si="481"/>
        <v>0</v>
      </c>
      <c r="AH133" s="421">
        <f t="shared" si="482"/>
        <v>0</v>
      </c>
      <c r="AI133" s="421">
        <v>0</v>
      </c>
      <c r="AJ133" s="421">
        <v>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483"/>
        <v>0</v>
      </c>
      <c r="AP133" s="421">
        <f t="shared" si="484"/>
        <v>0</v>
      </c>
      <c r="AQ133" s="421">
        <f t="shared" si="485"/>
        <v>0</v>
      </c>
      <c r="AR133" s="421">
        <f t="shared" si="486"/>
        <v>0</v>
      </c>
      <c r="AS133" s="421">
        <f t="shared" si="486"/>
        <v>0</v>
      </c>
      <c r="AT133" s="421">
        <f t="shared" si="487"/>
        <v>0</v>
      </c>
      <c r="AU133" s="68">
        <f t="shared" si="488"/>
        <v>0</v>
      </c>
      <c r="AV133" s="68">
        <f t="shared" si="489"/>
        <v>0</v>
      </c>
      <c r="AW133" s="421">
        <v>0</v>
      </c>
      <c r="AX133" s="421">
        <v>0</v>
      </c>
      <c r="AY133" s="421">
        <f t="shared" si="490"/>
        <v>0</v>
      </c>
      <c r="AZ133" s="421">
        <f t="shared" si="491"/>
        <v>0</v>
      </c>
      <c r="BA133" s="422">
        <v>0</v>
      </c>
      <c r="BB133" s="422">
        <v>0</v>
      </c>
      <c r="BC133" s="422">
        <v>0</v>
      </c>
      <c r="BD133" s="422">
        <v>0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 t="shared" si="492"/>
        <v>0</v>
      </c>
      <c r="BL133" s="422">
        <f t="shared" si="493"/>
        <v>0</v>
      </c>
      <c r="BM133" s="611">
        <f t="shared" si="494"/>
        <v>0</v>
      </c>
      <c r="BN133" s="428">
        <f t="shared" si="495"/>
        <v>0</v>
      </c>
      <c r="BO133" s="421">
        <f t="shared" si="496"/>
        <v>0</v>
      </c>
      <c r="BP133" s="421">
        <f t="shared" si="497"/>
        <v>0</v>
      </c>
      <c r="BQ133" s="421">
        <f t="shared" si="497"/>
        <v>0</v>
      </c>
      <c r="BR133" s="421">
        <f t="shared" si="498"/>
        <v>0</v>
      </c>
      <c r="BS133" s="421">
        <f t="shared" si="499"/>
        <v>0</v>
      </c>
      <c r="BT133" s="421">
        <f t="shared" si="499"/>
        <v>0</v>
      </c>
      <c r="BU133" s="421">
        <f t="shared" si="500"/>
        <v>0</v>
      </c>
      <c r="BV133" s="421">
        <f t="shared" si="500"/>
        <v>0</v>
      </c>
      <c r="BW133" s="421">
        <f t="shared" si="501"/>
        <v>0</v>
      </c>
      <c r="BX133" s="422">
        <f t="shared" si="502"/>
        <v>0</v>
      </c>
      <c r="BY133" s="422">
        <f t="shared" si="503"/>
        <v>0</v>
      </c>
      <c r="BZ133" s="611">
        <f t="shared" si="503"/>
        <v>0</v>
      </c>
      <c r="CA133" s="875"/>
      <c r="CB133" s="872"/>
      <c r="CC133" s="872"/>
      <c r="CD133" s="872"/>
      <c r="CE133" s="872"/>
      <c r="CF133" s="876"/>
    </row>
    <row r="134" spans="1:84" ht="12.95" customHeight="1" x14ac:dyDescent="0.25">
      <c r="A134" s="282">
        <v>22</v>
      </c>
      <c r="B134" s="323">
        <v>5488</v>
      </c>
      <c r="C134" s="324">
        <v>600099326</v>
      </c>
      <c r="D134" s="283">
        <v>70695393</v>
      </c>
      <c r="E134" s="350" t="s">
        <v>450</v>
      </c>
      <c r="F134" s="323">
        <v>3141</v>
      </c>
      <c r="G134" s="347" t="s">
        <v>295</v>
      </c>
      <c r="H134" s="733" t="s">
        <v>272</v>
      </c>
      <c r="I134" s="423">
        <f t="shared" si="473"/>
        <v>237608</v>
      </c>
      <c r="J134" s="418">
        <f t="shared" si="474"/>
        <v>175644</v>
      </c>
      <c r="K134" s="418">
        <v>0</v>
      </c>
      <c r="L134" s="418">
        <v>175644</v>
      </c>
      <c r="M134" s="418">
        <f t="shared" si="475"/>
        <v>0</v>
      </c>
      <c r="N134" s="418">
        <v>0</v>
      </c>
      <c r="O134" s="418">
        <v>0</v>
      </c>
      <c r="P134" s="68">
        <f t="shared" si="476"/>
        <v>59368</v>
      </c>
      <c r="Q134" s="68">
        <f t="shared" si="477"/>
        <v>1756</v>
      </c>
      <c r="R134" s="418">
        <v>840</v>
      </c>
      <c r="S134" s="419">
        <f t="shared" si="478"/>
        <v>0.52669999999999995</v>
      </c>
      <c r="T134" s="420">
        <v>0</v>
      </c>
      <c r="U134" s="527">
        <v>0.52669999999999995</v>
      </c>
      <c r="V134" s="427">
        <f t="shared" si="479"/>
        <v>0</v>
      </c>
      <c r="W134" s="421">
        <f t="shared" si="479"/>
        <v>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f t="shared" si="480"/>
        <v>0</v>
      </c>
      <c r="AG134" s="421">
        <f t="shared" si="481"/>
        <v>0</v>
      </c>
      <c r="AH134" s="421">
        <f t="shared" si="482"/>
        <v>0</v>
      </c>
      <c r="AI134" s="421">
        <v>0</v>
      </c>
      <c r="AJ134" s="421">
        <v>0</v>
      </c>
      <c r="AK134" s="421">
        <v>0</v>
      </c>
      <c r="AL134" s="421">
        <v>0</v>
      </c>
      <c r="AM134" s="421">
        <v>0</v>
      </c>
      <c r="AN134" s="421">
        <v>0</v>
      </c>
      <c r="AO134" s="421">
        <f t="shared" si="483"/>
        <v>0</v>
      </c>
      <c r="AP134" s="421">
        <f t="shared" si="484"/>
        <v>0</v>
      </c>
      <c r="AQ134" s="421">
        <f t="shared" si="485"/>
        <v>0</v>
      </c>
      <c r="AR134" s="421">
        <f t="shared" si="486"/>
        <v>0</v>
      </c>
      <c r="AS134" s="421">
        <f t="shared" si="486"/>
        <v>0</v>
      </c>
      <c r="AT134" s="421">
        <f t="shared" si="487"/>
        <v>0</v>
      </c>
      <c r="AU134" s="68">
        <f t="shared" si="488"/>
        <v>0</v>
      </c>
      <c r="AV134" s="68">
        <f t="shared" si="489"/>
        <v>0</v>
      </c>
      <c r="AW134" s="421">
        <v>0</v>
      </c>
      <c r="AX134" s="421">
        <v>0</v>
      </c>
      <c r="AY134" s="421">
        <f t="shared" si="490"/>
        <v>0</v>
      </c>
      <c r="AZ134" s="421">
        <f t="shared" si="491"/>
        <v>0</v>
      </c>
      <c r="BA134" s="422">
        <v>0</v>
      </c>
      <c r="BB134" s="422">
        <v>0</v>
      </c>
      <c r="BC134" s="422">
        <v>0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 t="shared" si="492"/>
        <v>0</v>
      </c>
      <c r="BL134" s="422">
        <f t="shared" si="493"/>
        <v>0</v>
      </c>
      <c r="BM134" s="611">
        <f t="shared" si="494"/>
        <v>0</v>
      </c>
      <c r="BN134" s="428">
        <f t="shared" si="495"/>
        <v>237608</v>
      </c>
      <c r="BO134" s="421">
        <f t="shared" si="496"/>
        <v>175644</v>
      </c>
      <c r="BP134" s="421">
        <f t="shared" si="497"/>
        <v>0</v>
      </c>
      <c r="BQ134" s="421">
        <f t="shared" si="497"/>
        <v>175644</v>
      </c>
      <c r="BR134" s="421">
        <f t="shared" si="498"/>
        <v>0</v>
      </c>
      <c r="BS134" s="421">
        <f t="shared" si="499"/>
        <v>0</v>
      </c>
      <c r="BT134" s="421">
        <f t="shared" si="499"/>
        <v>0</v>
      </c>
      <c r="BU134" s="421">
        <f t="shared" si="500"/>
        <v>59368</v>
      </c>
      <c r="BV134" s="421">
        <f t="shared" si="500"/>
        <v>1756</v>
      </c>
      <c r="BW134" s="421">
        <f t="shared" si="501"/>
        <v>840</v>
      </c>
      <c r="BX134" s="422">
        <f t="shared" si="502"/>
        <v>0.52669999999999995</v>
      </c>
      <c r="BY134" s="422">
        <f t="shared" si="503"/>
        <v>0</v>
      </c>
      <c r="BZ134" s="611">
        <f t="shared" si="503"/>
        <v>0.52669999999999995</v>
      </c>
      <c r="CA134" s="875"/>
      <c r="CB134" s="872"/>
      <c r="CC134" s="872"/>
      <c r="CD134" s="872"/>
      <c r="CE134" s="872"/>
      <c r="CF134" s="876"/>
    </row>
    <row r="135" spans="1:84" ht="12.95" customHeight="1" x14ac:dyDescent="0.25">
      <c r="A135" s="282">
        <v>22</v>
      </c>
      <c r="B135" s="323">
        <v>5488</v>
      </c>
      <c r="C135" s="324">
        <v>600099326</v>
      </c>
      <c r="D135" s="283">
        <v>70695393</v>
      </c>
      <c r="E135" s="350" t="s">
        <v>450</v>
      </c>
      <c r="F135" s="323">
        <v>3143</v>
      </c>
      <c r="G135" s="286" t="s">
        <v>596</v>
      </c>
      <c r="H135" s="733" t="s">
        <v>271</v>
      </c>
      <c r="I135" s="423">
        <f t="shared" si="473"/>
        <v>574810</v>
      </c>
      <c r="J135" s="418">
        <f t="shared" si="474"/>
        <v>426417</v>
      </c>
      <c r="K135" s="418">
        <v>426417</v>
      </c>
      <c r="L135" s="418">
        <v>0</v>
      </c>
      <c r="M135" s="418">
        <f t="shared" si="475"/>
        <v>0</v>
      </c>
      <c r="N135" s="418">
        <v>0</v>
      </c>
      <c r="O135" s="418">
        <v>0</v>
      </c>
      <c r="P135" s="68">
        <f t="shared" si="476"/>
        <v>144129</v>
      </c>
      <c r="Q135" s="68">
        <f t="shared" si="477"/>
        <v>4264</v>
      </c>
      <c r="R135" s="418">
        <v>0</v>
      </c>
      <c r="S135" s="419">
        <f t="shared" si="478"/>
        <v>0.96450000000000002</v>
      </c>
      <c r="T135" s="420">
        <v>0.96450000000000002</v>
      </c>
      <c r="U135" s="527">
        <v>0</v>
      </c>
      <c r="V135" s="427">
        <f t="shared" si="479"/>
        <v>0</v>
      </c>
      <c r="W135" s="421">
        <f t="shared" si="479"/>
        <v>0</v>
      </c>
      <c r="X135" s="421">
        <v>0</v>
      </c>
      <c r="Y135" s="421">
        <v>0</v>
      </c>
      <c r="Z135" s="421">
        <v>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f t="shared" si="480"/>
        <v>0</v>
      </c>
      <c r="AG135" s="421">
        <f t="shared" si="481"/>
        <v>0</v>
      </c>
      <c r="AH135" s="421">
        <f t="shared" si="482"/>
        <v>0</v>
      </c>
      <c r="AI135" s="421">
        <v>0</v>
      </c>
      <c r="AJ135" s="421">
        <v>0</v>
      </c>
      <c r="AK135" s="421">
        <v>0</v>
      </c>
      <c r="AL135" s="421">
        <v>0</v>
      </c>
      <c r="AM135" s="421">
        <v>0</v>
      </c>
      <c r="AN135" s="421">
        <v>0</v>
      </c>
      <c r="AO135" s="421">
        <f t="shared" si="483"/>
        <v>0</v>
      </c>
      <c r="AP135" s="421">
        <f t="shared" si="484"/>
        <v>0</v>
      </c>
      <c r="AQ135" s="421">
        <f t="shared" si="485"/>
        <v>0</v>
      </c>
      <c r="AR135" s="421">
        <f t="shared" si="486"/>
        <v>0</v>
      </c>
      <c r="AS135" s="421">
        <f t="shared" si="486"/>
        <v>0</v>
      </c>
      <c r="AT135" s="421">
        <f t="shared" si="487"/>
        <v>0</v>
      </c>
      <c r="AU135" s="68">
        <f t="shared" si="488"/>
        <v>0</v>
      </c>
      <c r="AV135" s="68">
        <f t="shared" si="489"/>
        <v>0</v>
      </c>
      <c r="AW135" s="421">
        <v>0</v>
      </c>
      <c r="AX135" s="421">
        <v>0</v>
      </c>
      <c r="AY135" s="421">
        <f t="shared" si="490"/>
        <v>0</v>
      </c>
      <c r="AZ135" s="421">
        <f t="shared" si="491"/>
        <v>0</v>
      </c>
      <c r="BA135" s="422">
        <v>0</v>
      </c>
      <c r="BB135" s="422">
        <v>0</v>
      </c>
      <c r="BC135" s="422">
        <v>0</v>
      </c>
      <c r="BD135" s="422">
        <v>0</v>
      </c>
      <c r="BE135" s="422">
        <v>0</v>
      </c>
      <c r="BF135" s="422">
        <v>0</v>
      </c>
      <c r="BG135" s="422">
        <v>0</v>
      </c>
      <c r="BH135" s="422">
        <v>0</v>
      </c>
      <c r="BI135" s="422">
        <v>0</v>
      </c>
      <c r="BJ135" s="422">
        <v>0</v>
      </c>
      <c r="BK135" s="422">
        <f t="shared" si="492"/>
        <v>0</v>
      </c>
      <c r="BL135" s="422">
        <f t="shared" si="493"/>
        <v>0</v>
      </c>
      <c r="BM135" s="611">
        <f t="shared" si="494"/>
        <v>0</v>
      </c>
      <c r="BN135" s="428">
        <f t="shared" si="495"/>
        <v>574810</v>
      </c>
      <c r="BO135" s="421">
        <f t="shared" si="496"/>
        <v>426417</v>
      </c>
      <c r="BP135" s="421">
        <f t="shared" si="497"/>
        <v>426417</v>
      </c>
      <c r="BQ135" s="421">
        <f t="shared" si="497"/>
        <v>0</v>
      </c>
      <c r="BR135" s="421">
        <f t="shared" si="498"/>
        <v>0</v>
      </c>
      <c r="BS135" s="421">
        <f t="shared" si="499"/>
        <v>0</v>
      </c>
      <c r="BT135" s="421">
        <f t="shared" si="499"/>
        <v>0</v>
      </c>
      <c r="BU135" s="421">
        <f t="shared" si="500"/>
        <v>144129</v>
      </c>
      <c r="BV135" s="421">
        <f t="shared" si="500"/>
        <v>4264</v>
      </c>
      <c r="BW135" s="421">
        <f t="shared" si="501"/>
        <v>0</v>
      </c>
      <c r="BX135" s="422">
        <f t="shared" si="502"/>
        <v>0.96450000000000002</v>
      </c>
      <c r="BY135" s="422">
        <f t="shared" si="503"/>
        <v>0.96450000000000002</v>
      </c>
      <c r="BZ135" s="611">
        <f t="shared" si="503"/>
        <v>0</v>
      </c>
      <c r="CA135" s="875"/>
      <c r="CB135" s="872"/>
      <c r="CC135" s="872"/>
      <c r="CD135" s="872"/>
      <c r="CE135" s="872"/>
      <c r="CF135" s="876"/>
    </row>
    <row r="136" spans="1:84" ht="12.95" customHeight="1" x14ac:dyDescent="0.25">
      <c r="A136" s="282">
        <v>22</v>
      </c>
      <c r="B136" s="323">
        <v>5488</v>
      </c>
      <c r="C136" s="324">
        <v>600099326</v>
      </c>
      <c r="D136" s="283">
        <v>70695393</v>
      </c>
      <c r="E136" s="356" t="s">
        <v>450</v>
      </c>
      <c r="F136" s="357">
        <v>3143</v>
      </c>
      <c r="G136" s="286" t="s">
        <v>597</v>
      </c>
      <c r="H136" s="733" t="s">
        <v>272</v>
      </c>
      <c r="I136" s="423">
        <f t="shared" si="473"/>
        <v>7672</v>
      </c>
      <c r="J136" s="418">
        <f t="shared" si="474"/>
        <v>5491</v>
      </c>
      <c r="K136" s="418">
        <v>0</v>
      </c>
      <c r="L136" s="418">
        <v>5491</v>
      </c>
      <c r="M136" s="418">
        <f t="shared" si="475"/>
        <v>0</v>
      </c>
      <c r="N136" s="418">
        <v>0</v>
      </c>
      <c r="O136" s="418">
        <v>0</v>
      </c>
      <c r="P136" s="68">
        <f t="shared" si="476"/>
        <v>1856</v>
      </c>
      <c r="Q136" s="68">
        <f t="shared" si="477"/>
        <v>55</v>
      </c>
      <c r="R136" s="418">
        <v>270</v>
      </c>
      <c r="S136" s="419">
        <f t="shared" si="478"/>
        <v>2.0799999999999999E-2</v>
      </c>
      <c r="T136" s="420">
        <v>0</v>
      </c>
      <c r="U136" s="527">
        <v>2.0799999999999999E-2</v>
      </c>
      <c r="V136" s="427">
        <f t="shared" si="479"/>
        <v>0</v>
      </c>
      <c r="W136" s="421">
        <f t="shared" si="479"/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 t="shared" si="480"/>
        <v>0</v>
      </c>
      <c r="AG136" s="421">
        <f t="shared" si="481"/>
        <v>0</v>
      </c>
      <c r="AH136" s="421">
        <f t="shared" si="482"/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si="483"/>
        <v>0</v>
      </c>
      <c r="AP136" s="421">
        <f t="shared" si="484"/>
        <v>0</v>
      </c>
      <c r="AQ136" s="421">
        <f t="shared" si="485"/>
        <v>0</v>
      </c>
      <c r="AR136" s="421">
        <f t="shared" si="486"/>
        <v>0</v>
      </c>
      <c r="AS136" s="421">
        <f t="shared" si="486"/>
        <v>0</v>
      </c>
      <c r="AT136" s="421">
        <f t="shared" si="487"/>
        <v>0</v>
      </c>
      <c r="AU136" s="68">
        <f t="shared" si="488"/>
        <v>0</v>
      </c>
      <c r="AV136" s="68">
        <f t="shared" si="489"/>
        <v>0</v>
      </c>
      <c r="AW136" s="421">
        <v>0</v>
      </c>
      <c r="AX136" s="421">
        <v>0</v>
      </c>
      <c r="AY136" s="421">
        <f t="shared" si="490"/>
        <v>0</v>
      </c>
      <c r="AZ136" s="421">
        <f t="shared" si="491"/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 t="shared" si="492"/>
        <v>0</v>
      </c>
      <c r="BL136" s="422">
        <f t="shared" si="493"/>
        <v>0</v>
      </c>
      <c r="BM136" s="611">
        <f t="shared" si="494"/>
        <v>0</v>
      </c>
      <c r="BN136" s="428">
        <f t="shared" si="495"/>
        <v>7672</v>
      </c>
      <c r="BO136" s="421">
        <f t="shared" si="496"/>
        <v>5491</v>
      </c>
      <c r="BP136" s="421">
        <f t="shared" si="497"/>
        <v>0</v>
      </c>
      <c r="BQ136" s="421">
        <f t="shared" si="497"/>
        <v>5491</v>
      </c>
      <c r="BR136" s="421">
        <f t="shared" si="498"/>
        <v>0</v>
      </c>
      <c r="BS136" s="421">
        <f t="shared" si="499"/>
        <v>0</v>
      </c>
      <c r="BT136" s="421">
        <f t="shared" si="499"/>
        <v>0</v>
      </c>
      <c r="BU136" s="421">
        <f t="shared" si="500"/>
        <v>1856</v>
      </c>
      <c r="BV136" s="421">
        <f t="shared" si="500"/>
        <v>55</v>
      </c>
      <c r="BW136" s="421">
        <f t="shared" si="501"/>
        <v>270</v>
      </c>
      <c r="BX136" s="422">
        <f t="shared" si="502"/>
        <v>2.0799999999999999E-2</v>
      </c>
      <c r="BY136" s="422">
        <f t="shared" si="503"/>
        <v>0</v>
      </c>
      <c r="BZ136" s="611">
        <f t="shared" si="503"/>
        <v>2.0799999999999999E-2</v>
      </c>
      <c r="CA136" s="875"/>
      <c r="CB136" s="872"/>
      <c r="CC136" s="872"/>
      <c r="CD136" s="872"/>
      <c r="CE136" s="872"/>
      <c r="CF136" s="876"/>
    </row>
    <row r="137" spans="1:84" ht="12.95" customHeight="1" thickBot="1" x14ac:dyDescent="0.3">
      <c r="A137" s="739">
        <v>22</v>
      </c>
      <c r="B137" s="338">
        <v>5488</v>
      </c>
      <c r="C137" s="339">
        <v>600099326</v>
      </c>
      <c r="D137" s="338">
        <v>70695393</v>
      </c>
      <c r="E137" s="358" t="s">
        <v>451</v>
      </c>
      <c r="F137" s="338"/>
      <c r="G137" s="640"/>
      <c r="H137" s="740"/>
      <c r="I137" s="724">
        <f t="shared" ref="I137:BU137" si="504">SUM(I131:I136)</f>
        <v>3695916</v>
      </c>
      <c r="J137" s="725">
        <f t="shared" si="504"/>
        <v>2725431</v>
      </c>
      <c r="K137" s="725">
        <f t="shared" si="504"/>
        <v>2225378</v>
      </c>
      <c r="L137" s="725">
        <f t="shared" si="504"/>
        <v>500053</v>
      </c>
      <c r="M137" s="725">
        <f t="shared" si="504"/>
        <v>0</v>
      </c>
      <c r="N137" s="725">
        <f t="shared" si="504"/>
        <v>0</v>
      </c>
      <c r="O137" s="725">
        <f t="shared" si="504"/>
        <v>0</v>
      </c>
      <c r="P137" s="725">
        <f t="shared" si="504"/>
        <v>921196</v>
      </c>
      <c r="Q137" s="725">
        <f t="shared" si="504"/>
        <v>27254</v>
      </c>
      <c r="R137" s="725">
        <f t="shared" si="504"/>
        <v>22035</v>
      </c>
      <c r="S137" s="726">
        <f t="shared" si="504"/>
        <v>5.7442000000000011</v>
      </c>
      <c r="T137" s="726">
        <f t="shared" si="504"/>
        <v>4.2371999999999996</v>
      </c>
      <c r="U137" s="727">
        <f t="shared" si="504"/>
        <v>1.5069999999999999</v>
      </c>
      <c r="V137" s="742">
        <f t="shared" si="504"/>
        <v>0</v>
      </c>
      <c r="W137" s="725">
        <f t="shared" si="504"/>
        <v>0</v>
      </c>
      <c r="X137" s="725">
        <f t="shared" si="504"/>
        <v>0</v>
      </c>
      <c r="Y137" s="725">
        <f t="shared" si="504"/>
        <v>0</v>
      </c>
      <c r="Z137" s="725">
        <f t="shared" si="504"/>
        <v>0</v>
      </c>
      <c r="AA137" s="725">
        <f t="shared" si="504"/>
        <v>0</v>
      </c>
      <c r="AB137" s="725">
        <f t="shared" si="504"/>
        <v>0</v>
      </c>
      <c r="AC137" s="725">
        <f t="shared" si="504"/>
        <v>0</v>
      </c>
      <c r="AD137" s="725">
        <f t="shared" si="504"/>
        <v>0</v>
      </c>
      <c r="AE137" s="725">
        <f t="shared" si="504"/>
        <v>0</v>
      </c>
      <c r="AF137" s="725">
        <f t="shared" si="504"/>
        <v>0</v>
      </c>
      <c r="AG137" s="725">
        <f t="shared" si="504"/>
        <v>0</v>
      </c>
      <c r="AH137" s="725">
        <f t="shared" si="504"/>
        <v>0</v>
      </c>
      <c r="AI137" s="725">
        <f t="shared" si="504"/>
        <v>0</v>
      </c>
      <c r="AJ137" s="725">
        <f t="shared" si="504"/>
        <v>0</v>
      </c>
      <c r="AK137" s="725">
        <f t="shared" ref="AK137" si="505">SUM(AK131:AK136)</f>
        <v>0</v>
      </c>
      <c r="AL137" s="725">
        <f t="shared" si="504"/>
        <v>0</v>
      </c>
      <c r="AM137" s="725">
        <f t="shared" si="504"/>
        <v>0</v>
      </c>
      <c r="AN137" s="725">
        <f t="shared" si="504"/>
        <v>0</v>
      </c>
      <c r="AO137" s="725">
        <f t="shared" si="504"/>
        <v>0</v>
      </c>
      <c r="AP137" s="725">
        <f t="shared" si="504"/>
        <v>0</v>
      </c>
      <c r="AQ137" s="725">
        <f t="shared" si="504"/>
        <v>0</v>
      </c>
      <c r="AR137" s="725">
        <f t="shared" si="504"/>
        <v>0</v>
      </c>
      <c r="AS137" s="725">
        <f t="shared" si="504"/>
        <v>0</v>
      </c>
      <c r="AT137" s="725">
        <f t="shared" si="504"/>
        <v>0</v>
      </c>
      <c r="AU137" s="725">
        <f t="shared" si="504"/>
        <v>0</v>
      </c>
      <c r="AV137" s="725">
        <f t="shared" si="504"/>
        <v>0</v>
      </c>
      <c r="AW137" s="725">
        <f t="shared" si="504"/>
        <v>0</v>
      </c>
      <c r="AX137" s="725">
        <f t="shared" si="504"/>
        <v>0</v>
      </c>
      <c r="AY137" s="725">
        <f t="shared" si="504"/>
        <v>0</v>
      </c>
      <c r="AZ137" s="725">
        <f t="shared" si="504"/>
        <v>0</v>
      </c>
      <c r="BA137" s="726">
        <f t="shared" si="504"/>
        <v>0</v>
      </c>
      <c r="BB137" s="726">
        <f t="shared" si="504"/>
        <v>0</v>
      </c>
      <c r="BC137" s="726">
        <f t="shared" si="504"/>
        <v>0</v>
      </c>
      <c r="BD137" s="726">
        <f t="shared" si="504"/>
        <v>0</v>
      </c>
      <c r="BE137" s="726">
        <f t="shared" si="504"/>
        <v>0</v>
      </c>
      <c r="BF137" s="726">
        <f t="shared" si="504"/>
        <v>0</v>
      </c>
      <c r="BG137" s="726">
        <f t="shared" si="504"/>
        <v>0</v>
      </c>
      <c r="BH137" s="726">
        <f t="shared" si="504"/>
        <v>0</v>
      </c>
      <c r="BI137" s="726">
        <f t="shared" si="504"/>
        <v>0</v>
      </c>
      <c r="BJ137" s="726">
        <f t="shared" si="504"/>
        <v>0</v>
      </c>
      <c r="BK137" s="726">
        <f t="shared" si="504"/>
        <v>0</v>
      </c>
      <c r="BL137" s="726">
        <f t="shared" si="504"/>
        <v>0</v>
      </c>
      <c r="BM137" s="743">
        <f t="shared" si="504"/>
        <v>0</v>
      </c>
      <c r="BN137" s="724">
        <f t="shared" si="504"/>
        <v>3695916</v>
      </c>
      <c r="BO137" s="725">
        <f t="shared" si="504"/>
        <v>2725431</v>
      </c>
      <c r="BP137" s="725">
        <f t="shared" si="504"/>
        <v>2225378</v>
      </c>
      <c r="BQ137" s="725">
        <f t="shared" si="504"/>
        <v>500053</v>
      </c>
      <c r="BR137" s="725">
        <f t="shared" si="504"/>
        <v>0</v>
      </c>
      <c r="BS137" s="725">
        <f t="shared" si="504"/>
        <v>0</v>
      </c>
      <c r="BT137" s="725">
        <f t="shared" si="504"/>
        <v>0</v>
      </c>
      <c r="BU137" s="725">
        <f t="shared" si="504"/>
        <v>921196</v>
      </c>
      <c r="BV137" s="725">
        <f t="shared" ref="BV137:CF137" si="506">SUM(BV131:BV136)</f>
        <v>27254</v>
      </c>
      <c r="BW137" s="725">
        <f t="shared" si="506"/>
        <v>22035</v>
      </c>
      <c r="BX137" s="726">
        <f t="shared" si="506"/>
        <v>5.7442000000000011</v>
      </c>
      <c r="BY137" s="726">
        <f t="shared" si="506"/>
        <v>4.2371999999999996</v>
      </c>
      <c r="BZ137" s="743">
        <f t="shared" si="506"/>
        <v>1.5069999999999999</v>
      </c>
      <c r="CA137" s="889">
        <f t="shared" si="506"/>
        <v>0</v>
      </c>
      <c r="CB137" s="890">
        <f t="shared" si="506"/>
        <v>0</v>
      </c>
      <c r="CC137" s="890">
        <f t="shared" si="506"/>
        <v>0</v>
      </c>
      <c r="CD137" s="890">
        <f t="shared" si="506"/>
        <v>0</v>
      </c>
      <c r="CE137" s="890">
        <f t="shared" si="506"/>
        <v>0</v>
      </c>
      <c r="CF137" s="844">
        <f t="shared" si="506"/>
        <v>0</v>
      </c>
    </row>
    <row r="138" spans="1:84" ht="12.95" customHeight="1" thickBot="1" x14ac:dyDescent="0.3">
      <c r="A138" s="359"/>
      <c r="B138" s="360"/>
      <c r="C138" s="361"/>
      <c r="D138" s="360"/>
      <c r="E138" s="307" t="s">
        <v>761</v>
      </c>
      <c r="F138" s="360"/>
      <c r="G138" s="639"/>
      <c r="H138" s="741"/>
      <c r="I138" s="491">
        <f>I16+I21+I27+I29+I36+I43+I50+I58+I61+I65+I72+I79+I83+I87+I93+I97+I105+I112+I120+I124+I130+I137</f>
        <v>275771271</v>
      </c>
      <c r="J138" s="492">
        <f t="shared" ref="J138:BV138" si="507">J16+J21+J27+J29+J36+J43+J50+J58+J61+J65+J72+J79+J83+J87+J93+J97+J105+J112+J120+J124+J130+J137</f>
        <v>202915531</v>
      </c>
      <c r="K138" s="492">
        <f t="shared" si="507"/>
        <v>177740261</v>
      </c>
      <c r="L138" s="492">
        <f t="shared" si="507"/>
        <v>25175270</v>
      </c>
      <c r="M138" s="492">
        <f t="shared" si="507"/>
        <v>0</v>
      </c>
      <c r="N138" s="492">
        <f t="shared" si="507"/>
        <v>0</v>
      </c>
      <c r="O138" s="492">
        <f t="shared" si="507"/>
        <v>0</v>
      </c>
      <c r="P138" s="492">
        <f t="shared" si="507"/>
        <v>68585451</v>
      </c>
      <c r="Q138" s="492">
        <f t="shared" si="507"/>
        <v>2029155</v>
      </c>
      <c r="R138" s="492">
        <f t="shared" si="507"/>
        <v>2241134</v>
      </c>
      <c r="S138" s="493">
        <f t="shared" si="507"/>
        <v>361.18320000000006</v>
      </c>
      <c r="T138" s="493">
        <f t="shared" si="507"/>
        <v>284.91230000000002</v>
      </c>
      <c r="U138" s="642">
        <f t="shared" si="507"/>
        <v>76.270900000000012</v>
      </c>
      <c r="V138" s="491">
        <f t="shared" si="507"/>
        <v>-275456</v>
      </c>
      <c r="W138" s="492">
        <f t="shared" si="507"/>
        <v>-291072</v>
      </c>
      <c r="X138" s="492">
        <f t="shared" si="507"/>
        <v>12953796</v>
      </c>
      <c r="Y138" s="492">
        <f t="shared" si="507"/>
        <v>0</v>
      </c>
      <c r="Z138" s="492">
        <f t="shared" si="507"/>
        <v>0</v>
      </c>
      <c r="AA138" s="492">
        <f t="shared" si="507"/>
        <v>70834</v>
      </c>
      <c r="AB138" s="774">
        <f t="shared" si="507"/>
        <v>1466400</v>
      </c>
      <c r="AC138" s="492">
        <f t="shared" si="507"/>
        <v>0</v>
      </c>
      <c r="AD138" s="492">
        <f t="shared" si="507"/>
        <v>-186566</v>
      </c>
      <c r="AE138" s="492">
        <f t="shared" si="507"/>
        <v>100536</v>
      </c>
      <c r="AF138" s="492">
        <f t="shared" si="507"/>
        <v>14029008</v>
      </c>
      <c r="AG138" s="492">
        <f t="shared" si="507"/>
        <v>-190536</v>
      </c>
      <c r="AH138" s="492">
        <f t="shared" si="507"/>
        <v>13838472</v>
      </c>
      <c r="AI138" s="492">
        <f t="shared" si="507"/>
        <v>275456</v>
      </c>
      <c r="AJ138" s="492">
        <f t="shared" si="507"/>
        <v>291072</v>
      </c>
      <c r="AK138" s="774">
        <f t="shared" ref="AK138" si="508">AK16+AK21+AK27+AK29+AK36+AK43+AK50+AK58+AK61+AK65+AK72+AK79+AK83+AK87+AK93+AK97+AK105+AK112+AK120+AK124+AK130+AK137</f>
        <v>0</v>
      </c>
      <c r="AL138" s="492">
        <f t="shared" si="507"/>
        <v>317760</v>
      </c>
      <c r="AM138" s="492">
        <f t="shared" si="507"/>
        <v>180669</v>
      </c>
      <c r="AN138" s="492">
        <f t="shared" si="507"/>
        <v>0</v>
      </c>
      <c r="AO138" s="492">
        <f t="shared" si="507"/>
        <v>773885</v>
      </c>
      <c r="AP138" s="492">
        <f t="shared" si="507"/>
        <v>291072</v>
      </c>
      <c r="AQ138" s="492">
        <f t="shared" si="507"/>
        <v>1064957</v>
      </c>
      <c r="AR138" s="492">
        <f t="shared" si="507"/>
        <v>14802893</v>
      </c>
      <c r="AS138" s="492">
        <f t="shared" si="507"/>
        <v>100536</v>
      </c>
      <c r="AT138" s="492">
        <f t="shared" si="507"/>
        <v>14903429</v>
      </c>
      <c r="AU138" s="492">
        <f t="shared" si="507"/>
        <v>4976293</v>
      </c>
      <c r="AV138" s="492">
        <f t="shared" si="507"/>
        <v>138386</v>
      </c>
      <c r="AW138" s="492">
        <f t="shared" si="507"/>
        <v>14200</v>
      </c>
      <c r="AX138" s="492">
        <f t="shared" si="507"/>
        <v>460</v>
      </c>
      <c r="AY138" s="492">
        <f t="shared" si="507"/>
        <v>14660</v>
      </c>
      <c r="AZ138" s="492">
        <f t="shared" si="507"/>
        <v>20032768</v>
      </c>
      <c r="BA138" s="493">
        <f t="shared" si="507"/>
        <v>-0.13</v>
      </c>
      <c r="BB138" s="493">
        <f t="shared" si="507"/>
        <v>-0.85</v>
      </c>
      <c r="BC138" s="493">
        <f t="shared" si="507"/>
        <v>34.630000000000003</v>
      </c>
      <c r="BD138" s="493">
        <f t="shared" si="507"/>
        <v>2.6</v>
      </c>
      <c r="BE138" s="493">
        <f t="shared" si="507"/>
        <v>0</v>
      </c>
      <c r="BF138" s="493">
        <f t="shared" si="507"/>
        <v>0</v>
      </c>
      <c r="BG138" s="493">
        <f t="shared" si="507"/>
        <v>0</v>
      </c>
      <c r="BH138" s="493">
        <f t="shared" si="507"/>
        <v>0.1</v>
      </c>
      <c r="BI138" s="493">
        <f t="shared" si="507"/>
        <v>-0.33</v>
      </c>
      <c r="BJ138" s="493">
        <f t="shared" si="507"/>
        <v>0.27</v>
      </c>
      <c r="BK138" s="493">
        <f t="shared" si="507"/>
        <v>36.869999999999997</v>
      </c>
      <c r="BL138" s="493">
        <f t="shared" si="507"/>
        <v>-0.57999999999999996</v>
      </c>
      <c r="BM138" s="642">
        <f t="shared" si="507"/>
        <v>36.29</v>
      </c>
      <c r="BN138" s="491">
        <f t="shared" si="507"/>
        <v>295804039</v>
      </c>
      <c r="BO138" s="492">
        <f t="shared" si="507"/>
        <v>216754003</v>
      </c>
      <c r="BP138" s="492">
        <f t="shared" si="507"/>
        <v>191769269</v>
      </c>
      <c r="BQ138" s="492">
        <f t="shared" si="507"/>
        <v>24984734</v>
      </c>
      <c r="BR138" s="492">
        <f t="shared" si="507"/>
        <v>1064957</v>
      </c>
      <c r="BS138" s="492">
        <f t="shared" si="507"/>
        <v>773885</v>
      </c>
      <c r="BT138" s="492">
        <f t="shared" si="507"/>
        <v>291072</v>
      </c>
      <c r="BU138" s="492">
        <f t="shared" si="507"/>
        <v>73561744</v>
      </c>
      <c r="BV138" s="492">
        <f t="shared" si="507"/>
        <v>2167541</v>
      </c>
      <c r="BW138" s="492">
        <f t="shared" ref="BW138:CF138" si="509">BW16+BW21+BW27+BW29+BW36+BW43+BW50+BW58+BW61+BW65+BW72+BW79+BW83+BW87+BW93+BW97+BW105+BW112+BW120+BW124+BW130+BW137</f>
        <v>2255794</v>
      </c>
      <c r="BX138" s="493">
        <f t="shared" si="509"/>
        <v>397.47319999999996</v>
      </c>
      <c r="BY138" s="493">
        <f t="shared" si="509"/>
        <v>321.78230000000002</v>
      </c>
      <c r="BZ138" s="642">
        <f t="shared" si="509"/>
        <v>75.690900000000013</v>
      </c>
      <c r="CA138" s="891">
        <f t="shared" si="509"/>
        <v>1976708</v>
      </c>
      <c r="CB138" s="774">
        <f t="shared" si="509"/>
        <v>1466400</v>
      </c>
      <c r="CC138" s="774">
        <f t="shared" si="509"/>
        <v>0</v>
      </c>
      <c r="CD138" s="774">
        <f t="shared" si="509"/>
        <v>495644</v>
      </c>
      <c r="CE138" s="774">
        <f t="shared" si="509"/>
        <v>14664</v>
      </c>
      <c r="CF138" s="892">
        <f t="shared" si="509"/>
        <v>2.6</v>
      </c>
    </row>
    <row r="139" spans="1:84" ht="12.95" customHeight="1" x14ac:dyDescent="0.25">
      <c r="B139" s="311"/>
      <c r="C139" s="362"/>
      <c r="D139" s="311"/>
      <c r="E139" s="312"/>
      <c r="F139" s="311"/>
      <c r="I139" s="432">
        <f>J138+M138+P138+Q138+R138</f>
        <v>275771271</v>
      </c>
      <c r="J139" s="432">
        <f>SUM(K138:L138)</f>
        <v>202915531</v>
      </c>
      <c r="K139" s="432"/>
      <c r="L139" s="432"/>
      <c r="M139" s="432">
        <f>SUM(N138:O138)</f>
        <v>0</v>
      </c>
      <c r="N139" s="432"/>
      <c r="O139" s="432"/>
      <c r="P139" s="432"/>
      <c r="Q139" s="432"/>
      <c r="R139" s="432"/>
      <c r="S139" s="433">
        <f>SUM(T138:U138)</f>
        <v>361.18320000000006</v>
      </c>
      <c r="T139" s="433"/>
      <c r="U139" s="433"/>
      <c r="V139" s="432">
        <f>AI138</f>
        <v>275456</v>
      </c>
      <c r="W139" s="432">
        <f>AJ138</f>
        <v>291072</v>
      </c>
      <c r="X139" s="433"/>
      <c r="Y139" s="432"/>
      <c r="Z139" s="432"/>
      <c r="AA139" s="433"/>
      <c r="AB139" s="433"/>
      <c r="AC139" s="433"/>
      <c r="AD139" s="433"/>
      <c r="AE139" s="433"/>
      <c r="AF139" s="434"/>
      <c r="AG139" s="434"/>
      <c r="AH139" s="434">
        <f>SUM(AF138:AG138)</f>
        <v>13838472</v>
      </c>
      <c r="AI139" s="434">
        <f>V138</f>
        <v>-275456</v>
      </c>
      <c r="AJ139" s="434">
        <f>W138</f>
        <v>-291072</v>
      </c>
      <c r="AK139" s="434"/>
      <c r="AL139" s="435"/>
      <c r="AM139" s="435"/>
      <c r="AN139" s="435"/>
      <c r="AO139" s="434"/>
      <c r="AP139" s="434"/>
      <c r="AQ139" s="434">
        <f>SUM(AO138:AP138)</f>
        <v>1064957</v>
      </c>
      <c r="AR139" s="434"/>
      <c r="AS139" s="434"/>
      <c r="AT139" s="434">
        <f>SUM(AR138:AS138)</f>
        <v>14903429</v>
      </c>
      <c r="AU139" s="436"/>
      <c r="AV139" s="436"/>
      <c r="AW139" s="435"/>
      <c r="AX139" s="435"/>
      <c r="AY139" s="434">
        <f>SUM(AW138:AX138)</f>
        <v>14660</v>
      </c>
      <c r="AZ139" s="434">
        <f>AH138+AQ138+AU138+AV138+AY138</f>
        <v>20032768</v>
      </c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K139" s="525">
        <f>BA138+BC138+BD138+BF138+BH138+BI138</f>
        <v>36.870000000000005</v>
      </c>
      <c r="BL139" s="525">
        <f>BB138+BE138+BG138+BJ138</f>
        <v>-0.57999999999999996</v>
      </c>
      <c r="BM139" s="525">
        <f>SUM(BK138:BL138)</f>
        <v>36.29</v>
      </c>
      <c r="BN139" s="432">
        <f>BO138+BR138+BU138+BV138+BW138</f>
        <v>295804039</v>
      </c>
      <c r="BO139" s="432">
        <f>SUM(BP138:BQ138)</f>
        <v>216754003</v>
      </c>
      <c r="BP139" s="435">
        <f>K138+AF138</f>
        <v>191769269</v>
      </c>
      <c r="BQ139" s="435">
        <f>L138+AG138</f>
        <v>24984734</v>
      </c>
      <c r="BR139" s="86">
        <f>SUM(BS138:BT138)</f>
        <v>1064957</v>
      </c>
      <c r="BS139" s="435">
        <f>N138+AO138</f>
        <v>773885</v>
      </c>
      <c r="BT139" s="435">
        <f>O138+AP138</f>
        <v>291072</v>
      </c>
      <c r="BU139" s="435">
        <f>P138+AU138</f>
        <v>73561744</v>
      </c>
      <c r="BV139" s="435">
        <f>Q138+AV138</f>
        <v>2167541</v>
      </c>
      <c r="BW139" s="435">
        <f>R138+AY138</f>
        <v>2255794</v>
      </c>
      <c r="BX139" s="433">
        <f>SUM(BY138:BZ138)</f>
        <v>397.47320000000002</v>
      </c>
      <c r="BY139" s="437">
        <f>T138+BK138</f>
        <v>321.78230000000002</v>
      </c>
      <c r="BZ139" s="437">
        <f>U138+BL138</f>
        <v>75.690900000000013</v>
      </c>
      <c r="CA139" s="236">
        <f>SUM(CB138:CE138)</f>
        <v>1976708</v>
      </c>
      <c r="CB139" s="8"/>
      <c r="CC139" s="8"/>
      <c r="CD139" s="8"/>
      <c r="CE139" s="8"/>
      <c r="CF139" s="7"/>
    </row>
    <row r="140" spans="1:84" ht="12.95" customHeight="1" thickBot="1" x14ac:dyDescent="0.3">
      <c r="B140" s="311"/>
      <c r="C140" s="362"/>
      <c r="D140" s="311"/>
      <c r="F140" s="311"/>
      <c r="I140" s="432">
        <f>J141+M141+P141+Q141+R141</f>
        <v>275771271</v>
      </c>
      <c r="J140" s="432">
        <f>SUM(K141:L141)</f>
        <v>202915531</v>
      </c>
      <c r="K140" s="432"/>
      <c r="L140" s="432"/>
      <c r="M140" s="432">
        <f>SUM(N141:O141)</f>
        <v>0</v>
      </c>
      <c r="N140" s="432"/>
      <c r="O140" s="432"/>
      <c r="P140" s="432"/>
      <c r="Q140" s="432"/>
      <c r="R140" s="432"/>
      <c r="S140" s="433">
        <f>SUM(T141:U141)</f>
        <v>361.18319999999994</v>
      </c>
      <c r="T140" s="433"/>
      <c r="U140" s="433"/>
      <c r="V140" s="432">
        <f>AI141</f>
        <v>275456</v>
      </c>
      <c r="W140" s="432">
        <f>AJ141</f>
        <v>291072</v>
      </c>
      <c r="X140" s="433"/>
      <c r="Y140" s="432"/>
      <c r="Z140" s="432"/>
      <c r="AA140" s="433"/>
      <c r="AB140" s="433"/>
      <c r="AC140" s="433"/>
      <c r="AD140" s="433"/>
      <c r="AE140" s="433"/>
      <c r="AF140" s="434"/>
      <c r="AG140" s="434"/>
      <c r="AH140" s="434">
        <f>SUM(AF141:AG141)</f>
        <v>13838472</v>
      </c>
      <c r="AI140" s="434"/>
      <c r="AJ140" s="434"/>
      <c r="AK140" s="434"/>
      <c r="AL140" s="435"/>
      <c r="AM140" s="435"/>
      <c r="AN140" s="435"/>
      <c r="AO140" s="434"/>
      <c r="AP140" s="434"/>
      <c r="AQ140" s="434">
        <f>SUM(AO141:AP141)</f>
        <v>1064957</v>
      </c>
      <c r="AR140" s="434"/>
      <c r="AS140" s="434"/>
      <c r="AT140" s="434">
        <f>SUM(AR141:AS141)</f>
        <v>14903429</v>
      </c>
      <c r="AU140" s="436"/>
      <c r="AV140" s="436"/>
      <c r="AW140" s="435"/>
      <c r="AX140" s="435"/>
      <c r="AY140" s="434">
        <f>SUM(AW141:AX141)</f>
        <v>14660</v>
      </c>
      <c r="AZ140" s="434">
        <f>AH141+AQ141+AU141+AV141+AY141</f>
        <v>20032768</v>
      </c>
      <c r="BA140" s="437"/>
      <c r="BB140" s="437"/>
      <c r="BC140" s="437"/>
      <c r="BD140" s="437"/>
      <c r="BE140" s="437"/>
      <c r="BF140" s="437"/>
      <c r="BG140" s="437"/>
      <c r="BH140" s="437"/>
      <c r="BI140" s="437"/>
      <c r="BJ140" s="437"/>
      <c r="BK140" s="525">
        <f>BA141+BC141+BD141+BF141+BH141+BI141</f>
        <v>36.870000000000005</v>
      </c>
      <c r="BL140" s="525">
        <f>BB141+BE141+BG141+BJ141</f>
        <v>-0.58000000000000007</v>
      </c>
      <c r="BM140" s="525">
        <f>SUM(BK141:BL141)</f>
        <v>36.29</v>
      </c>
      <c r="BN140" s="432">
        <f>BO141+BR141+BU141+BV141+BW141</f>
        <v>295804039</v>
      </c>
      <c r="BO140" s="432">
        <f>SUM(BP141:BQ141)</f>
        <v>216754003</v>
      </c>
      <c r="BP140" s="53"/>
      <c r="BQ140" s="53"/>
      <c r="BR140" s="86">
        <f>SUM(BS141:BT141)</f>
        <v>1064957</v>
      </c>
      <c r="BS140" s="53"/>
      <c r="BT140" s="53"/>
      <c r="BU140" s="53"/>
      <c r="BV140" s="53"/>
      <c r="BW140" s="53"/>
      <c r="BX140" s="433">
        <f>SUM(BY141:BZ141)</f>
        <v>397.47319999999996</v>
      </c>
      <c r="BY140" s="87"/>
      <c r="BZ140" s="87"/>
      <c r="CA140" s="236">
        <f>SUM(CB141:CE141)</f>
        <v>1976708</v>
      </c>
      <c r="CB140" s="8"/>
      <c r="CC140" s="8"/>
      <c r="CD140" s="8"/>
      <c r="CE140" s="8"/>
      <c r="CF140" s="7"/>
    </row>
    <row r="141" spans="1:84" s="89" customFormat="1" ht="12.95" customHeight="1" thickBot="1" x14ac:dyDescent="0.3">
      <c r="D141" s="313"/>
      <c r="E141" s="314"/>
      <c r="F141" s="313"/>
      <c r="G141" s="315"/>
      <c r="H141" s="22" t="s">
        <v>0</v>
      </c>
      <c r="I141" s="491">
        <f t="shared" ref="I141:BU141" si="510">SUM(I142:I151)</f>
        <v>275771271</v>
      </c>
      <c r="J141" s="492">
        <f t="shared" si="510"/>
        <v>202915531</v>
      </c>
      <c r="K141" s="492">
        <f t="shared" si="510"/>
        <v>177740261</v>
      </c>
      <c r="L141" s="492">
        <f t="shared" si="510"/>
        <v>25175270</v>
      </c>
      <c r="M141" s="492">
        <f t="shared" si="510"/>
        <v>0</v>
      </c>
      <c r="N141" s="492">
        <f t="shared" si="510"/>
        <v>0</v>
      </c>
      <c r="O141" s="492">
        <f t="shared" si="510"/>
        <v>0</v>
      </c>
      <c r="P141" s="492">
        <f t="shared" si="510"/>
        <v>68585451</v>
      </c>
      <c r="Q141" s="492">
        <f t="shared" si="510"/>
        <v>2029155</v>
      </c>
      <c r="R141" s="492">
        <f t="shared" si="510"/>
        <v>2241134</v>
      </c>
      <c r="S141" s="493">
        <f t="shared" si="510"/>
        <v>361.18320000000006</v>
      </c>
      <c r="T141" s="493">
        <f t="shared" si="510"/>
        <v>284.91229999999996</v>
      </c>
      <c r="U141" s="494">
        <f t="shared" si="510"/>
        <v>76.270899999999997</v>
      </c>
      <c r="V141" s="595">
        <f t="shared" si="510"/>
        <v>-275456</v>
      </c>
      <c r="W141" s="492">
        <f t="shared" si="510"/>
        <v>-291072</v>
      </c>
      <c r="X141" s="492">
        <f t="shared" si="510"/>
        <v>12953796</v>
      </c>
      <c r="Y141" s="492">
        <f t="shared" si="510"/>
        <v>0</v>
      </c>
      <c r="Z141" s="492">
        <f t="shared" si="510"/>
        <v>0</v>
      </c>
      <c r="AA141" s="492">
        <f t="shared" si="510"/>
        <v>70834</v>
      </c>
      <c r="AB141" s="774">
        <f t="shared" si="510"/>
        <v>1466400</v>
      </c>
      <c r="AC141" s="492">
        <f t="shared" si="510"/>
        <v>0</v>
      </c>
      <c r="AD141" s="492">
        <f t="shared" si="510"/>
        <v>-186566</v>
      </c>
      <c r="AE141" s="492">
        <f t="shared" si="510"/>
        <v>100536</v>
      </c>
      <c r="AF141" s="492">
        <f t="shared" si="510"/>
        <v>14029008</v>
      </c>
      <c r="AG141" s="492">
        <f t="shared" si="510"/>
        <v>-190536</v>
      </c>
      <c r="AH141" s="492">
        <f t="shared" si="510"/>
        <v>13838472</v>
      </c>
      <c r="AI141" s="492">
        <f t="shared" si="510"/>
        <v>275456</v>
      </c>
      <c r="AJ141" s="492">
        <f t="shared" si="510"/>
        <v>291072</v>
      </c>
      <c r="AK141" s="774">
        <f t="shared" ref="AK141" si="511">SUM(AK142:AK151)</f>
        <v>0</v>
      </c>
      <c r="AL141" s="492">
        <f t="shared" si="510"/>
        <v>317760</v>
      </c>
      <c r="AM141" s="492">
        <f t="shared" si="510"/>
        <v>180669</v>
      </c>
      <c r="AN141" s="492">
        <f t="shared" si="510"/>
        <v>0</v>
      </c>
      <c r="AO141" s="492">
        <f t="shared" si="510"/>
        <v>773885</v>
      </c>
      <c r="AP141" s="492">
        <f t="shared" si="510"/>
        <v>291072</v>
      </c>
      <c r="AQ141" s="492">
        <f t="shared" si="510"/>
        <v>1064957</v>
      </c>
      <c r="AR141" s="492">
        <f t="shared" si="510"/>
        <v>14802893</v>
      </c>
      <c r="AS141" s="492">
        <f t="shared" si="510"/>
        <v>100536</v>
      </c>
      <c r="AT141" s="492">
        <f t="shared" si="510"/>
        <v>14903429</v>
      </c>
      <c r="AU141" s="492">
        <f t="shared" si="510"/>
        <v>4976293</v>
      </c>
      <c r="AV141" s="492">
        <f t="shared" si="510"/>
        <v>138386</v>
      </c>
      <c r="AW141" s="492">
        <f t="shared" si="510"/>
        <v>14200</v>
      </c>
      <c r="AX141" s="492">
        <f t="shared" si="510"/>
        <v>460</v>
      </c>
      <c r="AY141" s="492">
        <f t="shared" si="510"/>
        <v>14660</v>
      </c>
      <c r="AZ141" s="492">
        <f t="shared" si="510"/>
        <v>20032768</v>
      </c>
      <c r="BA141" s="493">
        <f t="shared" si="510"/>
        <v>-0.13</v>
      </c>
      <c r="BB141" s="493">
        <f t="shared" si="510"/>
        <v>-0.85000000000000009</v>
      </c>
      <c r="BC141" s="493">
        <f t="shared" si="510"/>
        <v>34.630000000000003</v>
      </c>
      <c r="BD141" s="493">
        <f t="shared" si="510"/>
        <v>2.6</v>
      </c>
      <c r="BE141" s="493">
        <f t="shared" si="510"/>
        <v>0</v>
      </c>
      <c r="BF141" s="493">
        <f t="shared" si="510"/>
        <v>0</v>
      </c>
      <c r="BG141" s="493">
        <f t="shared" si="510"/>
        <v>0</v>
      </c>
      <c r="BH141" s="493">
        <f t="shared" si="510"/>
        <v>0.1</v>
      </c>
      <c r="BI141" s="493">
        <f t="shared" si="510"/>
        <v>-0.33</v>
      </c>
      <c r="BJ141" s="493">
        <f t="shared" si="510"/>
        <v>0.27</v>
      </c>
      <c r="BK141" s="493">
        <f t="shared" si="510"/>
        <v>36.869999999999997</v>
      </c>
      <c r="BL141" s="493">
        <f t="shared" si="510"/>
        <v>-0.58000000000000007</v>
      </c>
      <c r="BM141" s="642">
        <f t="shared" si="510"/>
        <v>36.29</v>
      </c>
      <c r="BN141" s="491">
        <f t="shared" si="510"/>
        <v>295804039</v>
      </c>
      <c r="BO141" s="492">
        <f t="shared" si="510"/>
        <v>216754003</v>
      </c>
      <c r="BP141" s="492">
        <f t="shared" si="510"/>
        <v>191769269</v>
      </c>
      <c r="BQ141" s="492">
        <f t="shared" si="510"/>
        <v>24984734</v>
      </c>
      <c r="BR141" s="492">
        <f t="shared" si="510"/>
        <v>1064957</v>
      </c>
      <c r="BS141" s="492">
        <f t="shared" si="510"/>
        <v>773885</v>
      </c>
      <c r="BT141" s="492">
        <f t="shared" si="510"/>
        <v>291072</v>
      </c>
      <c r="BU141" s="492">
        <f t="shared" si="510"/>
        <v>73561744</v>
      </c>
      <c r="BV141" s="492">
        <f t="shared" ref="BV141:BZ141" si="512">SUM(BV142:BV151)</f>
        <v>2167541</v>
      </c>
      <c r="BW141" s="492">
        <f t="shared" si="512"/>
        <v>2255794</v>
      </c>
      <c r="BX141" s="493">
        <f t="shared" si="512"/>
        <v>397.47319999999996</v>
      </c>
      <c r="BY141" s="493">
        <f t="shared" si="512"/>
        <v>321.78229999999996</v>
      </c>
      <c r="BZ141" s="642">
        <f t="shared" si="512"/>
        <v>75.690899999999999</v>
      </c>
      <c r="CA141" s="891">
        <f t="shared" ref="CA141:CF141" si="513">SUM(CA142:CA151)</f>
        <v>1976708</v>
      </c>
      <c r="CB141" s="774">
        <f t="shared" si="513"/>
        <v>1466400</v>
      </c>
      <c r="CC141" s="774">
        <f t="shared" si="513"/>
        <v>0</v>
      </c>
      <c r="CD141" s="774">
        <f t="shared" si="513"/>
        <v>495644</v>
      </c>
      <c r="CE141" s="774">
        <f t="shared" si="513"/>
        <v>14664</v>
      </c>
      <c r="CF141" s="892">
        <f t="shared" si="513"/>
        <v>2.6</v>
      </c>
    </row>
    <row r="142" spans="1:84" s="89" customFormat="1" ht="12.95" customHeight="1" x14ac:dyDescent="0.25">
      <c r="D142" s="313"/>
      <c r="E142" s="314"/>
      <c r="F142" s="313"/>
      <c r="G142" s="315"/>
      <c r="H142" s="1">
        <v>3111</v>
      </c>
      <c r="I142" s="503">
        <f t="shared" ref="I142:BU142" si="514">SUMIF($F$12:$F$452,"=3111",I$12:I$452)</f>
        <v>65031214</v>
      </c>
      <c r="J142" s="504">
        <f t="shared" si="514"/>
        <v>48090375</v>
      </c>
      <c r="K142" s="504">
        <f t="shared" si="514"/>
        <v>44429537</v>
      </c>
      <c r="L142" s="504">
        <f t="shared" si="514"/>
        <v>3660838</v>
      </c>
      <c r="M142" s="504">
        <f t="shared" si="514"/>
        <v>0</v>
      </c>
      <c r="N142" s="504">
        <f t="shared" si="514"/>
        <v>0</v>
      </c>
      <c r="O142" s="504">
        <f t="shared" si="514"/>
        <v>0</v>
      </c>
      <c r="P142" s="504">
        <f t="shared" si="514"/>
        <v>16254547</v>
      </c>
      <c r="Q142" s="504">
        <f t="shared" si="514"/>
        <v>480903</v>
      </c>
      <c r="R142" s="504">
        <f t="shared" si="514"/>
        <v>205389</v>
      </c>
      <c r="S142" s="507">
        <f t="shared" si="514"/>
        <v>90.868900000000011</v>
      </c>
      <c r="T142" s="507">
        <f t="shared" si="514"/>
        <v>77.681299999999993</v>
      </c>
      <c r="U142" s="510">
        <f t="shared" si="514"/>
        <v>13.187600000000003</v>
      </c>
      <c r="V142" s="505">
        <f t="shared" si="514"/>
        <v>-87040</v>
      </c>
      <c r="W142" s="504">
        <f t="shared" si="514"/>
        <v>-128128</v>
      </c>
      <c r="X142" s="504">
        <f t="shared" si="514"/>
        <v>902395</v>
      </c>
      <c r="Y142" s="504">
        <f t="shared" si="514"/>
        <v>0</v>
      </c>
      <c r="Z142" s="504">
        <f t="shared" si="514"/>
        <v>0</v>
      </c>
      <c r="AA142" s="504">
        <f t="shared" si="514"/>
        <v>0</v>
      </c>
      <c r="AB142" s="504">
        <f t="shared" si="514"/>
        <v>0</v>
      </c>
      <c r="AC142" s="504">
        <f t="shared" si="514"/>
        <v>0</v>
      </c>
      <c r="AD142" s="504">
        <f t="shared" si="514"/>
        <v>-186566</v>
      </c>
      <c r="AE142" s="504">
        <f t="shared" si="514"/>
        <v>101984</v>
      </c>
      <c r="AF142" s="504">
        <f t="shared" si="514"/>
        <v>628789</v>
      </c>
      <c r="AG142" s="504">
        <f t="shared" si="514"/>
        <v>-26144</v>
      </c>
      <c r="AH142" s="504">
        <f t="shared" si="514"/>
        <v>602645</v>
      </c>
      <c r="AI142" s="504">
        <f t="shared" si="514"/>
        <v>87040</v>
      </c>
      <c r="AJ142" s="504">
        <f t="shared" si="514"/>
        <v>128128</v>
      </c>
      <c r="AK142" s="504">
        <f t="shared" si="514"/>
        <v>0</v>
      </c>
      <c r="AL142" s="504">
        <f t="shared" si="514"/>
        <v>0</v>
      </c>
      <c r="AM142" s="504">
        <f t="shared" si="514"/>
        <v>180669</v>
      </c>
      <c r="AN142" s="504">
        <f t="shared" si="514"/>
        <v>0</v>
      </c>
      <c r="AO142" s="504">
        <f t="shared" si="514"/>
        <v>267709</v>
      </c>
      <c r="AP142" s="504">
        <f t="shared" si="514"/>
        <v>128128</v>
      </c>
      <c r="AQ142" s="504">
        <f t="shared" si="514"/>
        <v>395837</v>
      </c>
      <c r="AR142" s="504">
        <f t="shared" si="514"/>
        <v>896498</v>
      </c>
      <c r="AS142" s="504">
        <f t="shared" si="514"/>
        <v>101984</v>
      </c>
      <c r="AT142" s="504">
        <f t="shared" si="514"/>
        <v>998482</v>
      </c>
      <c r="AU142" s="504">
        <f t="shared" si="514"/>
        <v>276420</v>
      </c>
      <c r="AV142" s="504">
        <f t="shared" si="514"/>
        <v>6027</v>
      </c>
      <c r="AW142" s="504">
        <f t="shared" si="514"/>
        <v>0</v>
      </c>
      <c r="AX142" s="504">
        <f t="shared" si="514"/>
        <v>0</v>
      </c>
      <c r="AY142" s="504">
        <f t="shared" si="514"/>
        <v>0</v>
      </c>
      <c r="AZ142" s="504">
        <f t="shared" si="514"/>
        <v>1280929</v>
      </c>
      <c r="BA142" s="507">
        <f t="shared" si="514"/>
        <v>0</v>
      </c>
      <c r="BB142" s="507">
        <f t="shared" si="514"/>
        <v>-0.42000000000000004</v>
      </c>
      <c r="BC142" s="507">
        <f t="shared" si="514"/>
        <v>2.65</v>
      </c>
      <c r="BD142" s="507">
        <f t="shared" si="514"/>
        <v>0</v>
      </c>
      <c r="BE142" s="507">
        <f t="shared" si="514"/>
        <v>0</v>
      </c>
      <c r="BF142" s="507">
        <f t="shared" si="514"/>
        <v>0</v>
      </c>
      <c r="BG142" s="507">
        <f t="shared" si="514"/>
        <v>0</v>
      </c>
      <c r="BH142" s="507">
        <f t="shared" si="514"/>
        <v>0</v>
      </c>
      <c r="BI142" s="507">
        <f t="shared" si="514"/>
        <v>-0.33</v>
      </c>
      <c r="BJ142" s="507">
        <f t="shared" si="514"/>
        <v>0.27</v>
      </c>
      <c r="BK142" s="507">
        <f t="shared" si="514"/>
        <v>2.3199999999999998</v>
      </c>
      <c r="BL142" s="507">
        <f t="shared" si="514"/>
        <v>-0.15000000000000002</v>
      </c>
      <c r="BM142" s="508">
        <f t="shared" si="514"/>
        <v>2.17</v>
      </c>
      <c r="BN142" s="503">
        <f t="shared" si="514"/>
        <v>66312143</v>
      </c>
      <c r="BO142" s="504">
        <f t="shared" si="514"/>
        <v>48693020</v>
      </c>
      <c r="BP142" s="504">
        <f t="shared" si="514"/>
        <v>45058326</v>
      </c>
      <c r="BQ142" s="504">
        <f t="shared" si="514"/>
        <v>3634694</v>
      </c>
      <c r="BR142" s="504">
        <f t="shared" si="514"/>
        <v>395837</v>
      </c>
      <c r="BS142" s="504">
        <f t="shared" si="514"/>
        <v>267709</v>
      </c>
      <c r="BT142" s="504">
        <f t="shared" si="514"/>
        <v>128128</v>
      </c>
      <c r="BU142" s="504">
        <f t="shared" si="514"/>
        <v>16530967</v>
      </c>
      <c r="BV142" s="504">
        <f t="shared" ref="BV142:CF142" si="515">SUMIF($F$12:$F$452,"=3111",BV$12:BV$452)</f>
        <v>486930</v>
      </c>
      <c r="BW142" s="504">
        <f t="shared" si="515"/>
        <v>205389</v>
      </c>
      <c r="BX142" s="507">
        <f t="shared" si="515"/>
        <v>93.038899999999998</v>
      </c>
      <c r="BY142" s="507">
        <f t="shared" si="515"/>
        <v>80.001300000000001</v>
      </c>
      <c r="BZ142" s="508">
        <f t="shared" si="515"/>
        <v>13.037600000000001</v>
      </c>
      <c r="CA142" s="503">
        <f t="shared" si="515"/>
        <v>0</v>
      </c>
      <c r="CB142" s="504">
        <f t="shared" si="515"/>
        <v>0</v>
      </c>
      <c r="CC142" s="504">
        <f t="shared" si="515"/>
        <v>0</v>
      </c>
      <c r="CD142" s="504">
        <f t="shared" si="515"/>
        <v>0</v>
      </c>
      <c r="CE142" s="504">
        <f t="shared" si="515"/>
        <v>0</v>
      </c>
      <c r="CF142" s="510">
        <f t="shared" si="515"/>
        <v>0</v>
      </c>
    </row>
    <row r="143" spans="1:84" s="89" customFormat="1" ht="12.95" customHeight="1" x14ac:dyDescent="0.25">
      <c r="D143" s="313"/>
      <c r="E143" s="314"/>
      <c r="F143" s="313"/>
      <c r="G143" s="315"/>
      <c r="H143" s="2">
        <v>3113</v>
      </c>
      <c r="I143" s="167">
        <f t="shared" ref="I143:BU143" si="516">SUMIF($F$12:$F$452,"=3113",I$12:I$452)</f>
        <v>141026283</v>
      </c>
      <c r="J143" s="16">
        <f t="shared" si="516"/>
        <v>103313857</v>
      </c>
      <c r="K143" s="16">
        <f t="shared" si="516"/>
        <v>94273211</v>
      </c>
      <c r="L143" s="16">
        <f t="shared" si="516"/>
        <v>9040646</v>
      </c>
      <c r="M143" s="16">
        <f t="shared" si="516"/>
        <v>0</v>
      </c>
      <c r="N143" s="16">
        <f t="shared" si="516"/>
        <v>0</v>
      </c>
      <c r="O143" s="16">
        <f t="shared" si="516"/>
        <v>0</v>
      </c>
      <c r="P143" s="16">
        <f t="shared" si="516"/>
        <v>34920083</v>
      </c>
      <c r="Q143" s="16">
        <f t="shared" si="516"/>
        <v>1033141</v>
      </c>
      <c r="R143" s="16">
        <f t="shared" si="516"/>
        <v>1759202</v>
      </c>
      <c r="S143" s="13">
        <f t="shared" si="516"/>
        <v>165.88650000000004</v>
      </c>
      <c r="T143" s="13">
        <f t="shared" si="516"/>
        <v>139.93199999999999</v>
      </c>
      <c r="U143" s="17">
        <f t="shared" si="516"/>
        <v>25.954499999999999</v>
      </c>
      <c r="V143" s="168">
        <f t="shared" si="516"/>
        <v>-179840</v>
      </c>
      <c r="W143" s="16">
        <f t="shared" si="516"/>
        <v>-147200</v>
      </c>
      <c r="X143" s="16">
        <f t="shared" si="516"/>
        <v>10950554</v>
      </c>
      <c r="Y143" s="16">
        <f t="shared" si="516"/>
        <v>0</v>
      </c>
      <c r="Z143" s="16">
        <f t="shared" si="516"/>
        <v>0</v>
      </c>
      <c r="AA143" s="16">
        <f t="shared" si="516"/>
        <v>70834</v>
      </c>
      <c r="AB143" s="16">
        <f t="shared" si="516"/>
        <v>1466400</v>
      </c>
      <c r="AC143" s="16">
        <f t="shared" si="516"/>
        <v>0</v>
      </c>
      <c r="AD143" s="16">
        <f t="shared" si="516"/>
        <v>0</v>
      </c>
      <c r="AE143" s="16">
        <f t="shared" si="516"/>
        <v>0</v>
      </c>
      <c r="AF143" s="16">
        <f t="shared" si="516"/>
        <v>12307948</v>
      </c>
      <c r="AG143" s="16">
        <f t="shared" si="516"/>
        <v>-147200</v>
      </c>
      <c r="AH143" s="16">
        <f t="shared" si="516"/>
        <v>12160748</v>
      </c>
      <c r="AI143" s="16">
        <f t="shared" si="516"/>
        <v>179840</v>
      </c>
      <c r="AJ143" s="16">
        <f t="shared" si="516"/>
        <v>147200</v>
      </c>
      <c r="AK143" s="16">
        <f t="shared" si="516"/>
        <v>0</v>
      </c>
      <c r="AL143" s="16">
        <f t="shared" si="516"/>
        <v>317760</v>
      </c>
      <c r="AM143" s="16">
        <f t="shared" si="516"/>
        <v>0</v>
      </c>
      <c r="AN143" s="16">
        <f t="shared" si="516"/>
        <v>0</v>
      </c>
      <c r="AO143" s="16">
        <f t="shared" si="516"/>
        <v>497600</v>
      </c>
      <c r="AP143" s="16">
        <f t="shared" si="516"/>
        <v>147200</v>
      </c>
      <c r="AQ143" s="16">
        <f t="shared" si="516"/>
        <v>644800</v>
      </c>
      <c r="AR143" s="16">
        <f t="shared" si="516"/>
        <v>12805548</v>
      </c>
      <c r="AS143" s="16">
        <f t="shared" si="516"/>
        <v>0</v>
      </c>
      <c r="AT143" s="16">
        <f t="shared" si="516"/>
        <v>12805548</v>
      </c>
      <c r="AU143" s="16">
        <f t="shared" si="516"/>
        <v>4328277</v>
      </c>
      <c r="AV143" s="16">
        <f t="shared" si="516"/>
        <v>121608</v>
      </c>
      <c r="AW143" s="16">
        <f t="shared" si="516"/>
        <v>14200</v>
      </c>
      <c r="AX143" s="16">
        <f t="shared" si="516"/>
        <v>0</v>
      </c>
      <c r="AY143" s="16">
        <f t="shared" si="516"/>
        <v>14200</v>
      </c>
      <c r="AZ143" s="16">
        <f t="shared" si="516"/>
        <v>17269633</v>
      </c>
      <c r="BA143" s="13">
        <f t="shared" si="516"/>
        <v>-0.13</v>
      </c>
      <c r="BB143" s="13">
        <f t="shared" si="516"/>
        <v>-0.39999999999999997</v>
      </c>
      <c r="BC143" s="13">
        <f t="shared" si="516"/>
        <v>28.550000000000004</v>
      </c>
      <c r="BD143" s="13">
        <f t="shared" si="516"/>
        <v>2.6</v>
      </c>
      <c r="BE143" s="13">
        <f t="shared" si="516"/>
        <v>0</v>
      </c>
      <c r="BF143" s="13">
        <f t="shared" si="516"/>
        <v>0</v>
      </c>
      <c r="BG143" s="13">
        <f t="shared" si="516"/>
        <v>0</v>
      </c>
      <c r="BH143" s="13">
        <f t="shared" si="516"/>
        <v>0.1</v>
      </c>
      <c r="BI143" s="13">
        <f t="shared" si="516"/>
        <v>0</v>
      </c>
      <c r="BJ143" s="13">
        <f t="shared" si="516"/>
        <v>0</v>
      </c>
      <c r="BK143" s="13">
        <f t="shared" si="516"/>
        <v>31.119999999999997</v>
      </c>
      <c r="BL143" s="13">
        <f t="shared" si="516"/>
        <v>-0.39999999999999997</v>
      </c>
      <c r="BM143" s="169">
        <f t="shared" si="516"/>
        <v>30.72</v>
      </c>
      <c r="BN143" s="167">
        <f t="shared" si="516"/>
        <v>158295916</v>
      </c>
      <c r="BO143" s="16">
        <f t="shared" si="516"/>
        <v>115474605</v>
      </c>
      <c r="BP143" s="16">
        <f t="shared" si="516"/>
        <v>106581159</v>
      </c>
      <c r="BQ143" s="16">
        <f t="shared" si="516"/>
        <v>8893446</v>
      </c>
      <c r="BR143" s="16">
        <f t="shared" si="516"/>
        <v>644800</v>
      </c>
      <c r="BS143" s="16">
        <f t="shared" si="516"/>
        <v>497600</v>
      </c>
      <c r="BT143" s="16">
        <f t="shared" si="516"/>
        <v>147200</v>
      </c>
      <c r="BU143" s="16">
        <f t="shared" si="516"/>
        <v>39248360</v>
      </c>
      <c r="BV143" s="16">
        <f t="shared" ref="BV143:CF143" si="517">SUMIF($F$12:$F$452,"=3113",BV$12:BV$452)</f>
        <v>1154749</v>
      </c>
      <c r="BW143" s="16">
        <f t="shared" si="517"/>
        <v>1773402</v>
      </c>
      <c r="BX143" s="13">
        <f t="shared" si="517"/>
        <v>196.60649999999998</v>
      </c>
      <c r="BY143" s="13">
        <f t="shared" si="517"/>
        <v>171.05200000000002</v>
      </c>
      <c r="BZ143" s="169">
        <f t="shared" si="517"/>
        <v>25.554499999999997</v>
      </c>
      <c r="CA143" s="167">
        <f t="shared" si="517"/>
        <v>1976708</v>
      </c>
      <c r="CB143" s="16">
        <f t="shared" si="517"/>
        <v>1466400</v>
      </c>
      <c r="CC143" s="16">
        <f t="shared" si="517"/>
        <v>0</v>
      </c>
      <c r="CD143" s="16">
        <f t="shared" si="517"/>
        <v>495644</v>
      </c>
      <c r="CE143" s="16">
        <f t="shared" si="517"/>
        <v>14664</v>
      </c>
      <c r="CF143" s="17">
        <f t="shared" si="517"/>
        <v>2.6</v>
      </c>
    </row>
    <row r="144" spans="1:84" s="89" customFormat="1" ht="12.95" customHeight="1" x14ac:dyDescent="0.25">
      <c r="D144" s="313"/>
      <c r="E144" s="314"/>
      <c r="F144" s="313"/>
      <c r="G144" s="315"/>
      <c r="H144" s="2">
        <v>3114</v>
      </c>
      <c r="I144" s="167">
        <f t="shared" ref="I144:BU144" si="518">SUMIF($F$12:$F$452,"=3114",I$12:I$452)</f>
        <v>0</v>
      </c>
      <c r="J144" s="16">
        <f t="shared" si="518"/>
        <v>0</v>
      </c>
      <c r="K144" s="16">
        <f t="shared" si="518"/>
        <v>0</v>
      </c>
      <c r="L144" s="16">
        <f t="shared" si="518"/>
        <v>0</v>
      </c>
      <c r="M144" s="16">
        <f t="shared" si="518"/>
        <v>0</v>
      </c>
      <c r="N144" s="16">
        <f t="shared" si="518"/>
        <v>0</v>
      </c>
      <c r="O144" s="16">
        <f t="shared" si="518"/>
        <v>0</v>
      </c>
      <c r="P144" s="16">
        <f t="shared" si="518"/>
        <v>0</v>
      </c>
      <c r="Q144" s="16">
        <f t="shared" si="518"/>
        <v>0</v>
      </c>
      <c r="R144" s="16">
        <f t="shared" si="518"/>
        <v>0</v>
      </c>
      <c r="S144" s="13">
        <f t="shared" si="518"/>
        <v>0</v>
      </c>
      <c r="T144" s="13">
        <f t="shared" si="518"/>
        <v>0</v>
      </c>
      <c r="U144" s="17">
        <f t="shared" si="518"/>
        <v>0</v>
      </c>
      <c r="V144" s="168">
        <f t="shared" si="518"/>
        <v>0</v>
      </c>
      <c r="W144" s="16">
        <f t="shared" si="518"/>
        <v>0</v>
      </c>
      <c r="X144" s="16">
        <f t="shared" si="518"/>
        <v>0</v>
      </c>
      <c r="Y144" s="16">
        <f t="shared" si="518"/>
        <v>0</v>
      </c>
      <c r="Z144" s="16">
        <f t="shared" si="518"/>
        <v>0</v>
      </c>
      <c r="AA144" s="16">
        <f t="shared" si="518"/>
        <v>0</v>
      </c>
      <c r="AB144" s="16">
        <f t="shared" si="518"/>
        <v>0</v>
      </c>
      <c r="AC144" s="16">
        <f t="shared" si="518"/>
        <v>0</v>
      </c>
      <c r="AD144" s="16">
        <f t="shared" si="518"/>
        <v>0</v>
      </c>
      <c r="AE144" s="16">
        <f t="shared" si="518"/>
        <v>0</v>
      </c>
      <c r="AF144" s="16">
        <f t="shared" si="518"/>
        <v>0</v>
      </c>
      <c r="AG144" s="16">
        <f t="shared" si="518"/>
        <v>0</v>
      </c>
      <c r="AH144" s="16">
        <f t="shared" si="518"/>
        <v>0</v>
      </c>
      <c r="AI144" s="16">
        <f t="shared" si="518"/>
        <v>0</v>
      </c>
      <c r="AJ144" s="16">
        <f t="shared" si="518"/>
        <v>0</v>
      </c>
      <c r="AK144" s="16">
        <f t="shared" si="518"/>
        <v>0</v>
      </c>
      <c r="AL144" s="16">
        <f t="shared" si="518"/>
        <v>0</v>
      </c>
      <c r="AM144" s="16">
        <f t="shared" si="518"/>
        <v>0</v>
      </c>
      <c r="AN144" s="16">
        <f t="shared" si="518"/>
        <v>0</v>
      </c>
      <c r="AO144" s="16">
        <f t="shared" si="518"/>
        <v>0</v>
      </c>
      <c r="AP144" s="16">
        <f t="shared" si="518"/>
        <v>0</v>
      </c>
      <c r="AQ144" s="16">
        <f t="shared" si="518"/>
        <v>0</v>
      </c>
      <c r="AR144" s="16">
        <f t="shared" si="518"/>
        <v>0</v>
      </c>
      <c r="AS144" s="16">
        <f t="shared" si="518"/>
        <v>0</v>
      </c>
      <c r="AT144" s="16">
        <f t="shared" si="518"/>
        <v>0</v>
      </c>
      <c r="AU144" s="16">
        <f t="shared" si="518"/>
        <v>0</v>
      </c>
      <c r="AV144" s="16">
        <f t="shared" si="518"/>
        <v>0</v>
      </c>
      <c r="AW144" s="16">
        <f t="shared" si="518"/>
        <v>0</v>
      </c>
      <c r="AX144" s="16">
        <f t="shared" si="518"/>
        <v>0</v>
      </c>
      <c r="AY144" s="16">
        <f t="shared" si="518"/>
        <v>0</v>
      </c>
      <c r="AZ144" s="16">
        <f t="shared" si="518"/>
        <v>0</v>
      </c>
      <c r="BA144" s="13">
        <f t="shared" si="518"/>
        <v>0</v>
      </c>
      <c r="BB144" s="13">
        <f t="shared" si="518"/>
        <v>0</v>
      </c>
      <c r="BC144" s="13">
        <f t="shared" si="518"/>
        <v>0</v>
      </c>
      <c r="BD144" s="13">
        <f t="shared" si="518"/>
        <v>0</v>
      </c>
      <c r="BE144" s="13">
        <f t="shared" si="518"/>
        <v>0</v>
      </c>
      <c r="BF144" s="13">
        <f t="shared" si="518"/>
        <v>0</v>
      </c>
      <c r="BG144" s="13">
        <f t="shared" si="518"/>
        <v>0</v>
      </c>
      <c r="BH144" s="13">
        <f t="shared" si="518"/>
        <v>0</v>
      </c>
      <c r="BI144" s="13">
        <f t="shared" si="518"/>
        <v>0</v>
      </c>
      <c r="BJ144" s="13">
        <f t="shared" si="518"/>
        <v>0</v>
      </c>
      <c r="BK144" s="13">
        <f t="shared" si="518"/>
        <v>0</v>
      </c>
      <c r="BL144" s="13">
        <f t="shared" si="518"/>
        <v>0</v>
      </c>
      <c r="BM144" s="169">
        <f t="shared" si="518"/>
        <v>0</v>
      </c>
      <c r="BN144" s="167">
        <f t="shared" si="518"/>
        <v>0</v>
      </c>
      <c r="BO144" s="16">
        <f t="shared" si="518"/>
        <v>0</v>
      </c>
      <c r="BP144" s="16">
        <f t="shared" si="518"/>
        <v>0</v>
      </c>
      <c r="BQ144" s="16">
        <f t="shared" si="518"/>
        <v>0</v>
      </c>
      <c r="BR144" s="16">
        <f t="shared" si="518"/>
        <v>0</v>
      </c>
      <c r="BS144" s="16">
        <f t="shared" si="518"/>
        <v>0</v>
      </c>
      <c r="BT144" s="16">
        <f t="shared" si="518"/>
        <v>0</v>
      </c>
      <c r="BU144" s="16">
        <f t="shared" si="518"/>
        <v>0</v>
      </c>
      <c r="BV144" s="16">
        <f t="shared" ref="BV144:CF144" si="519">SUMIF($F$12:$F$452,"=3114",BV$12:BV$452)</f>
        <v>0</v>
      </c>
      <c r="BW144" s="16">
        <f t="shared" si="519"/>
        <v>0</v>
      </c>
      <c r="BX144" s="13">
        <f t="shared" si="519"/>
        <v>0</v>
      </c>
      <c r="BY144" s="13">
        <f t="shared" si="519"/>
        <v>0</v>
      </c>
      <c r="BZ144" s="169">
        <f t="shared" si="519"/>
        <v>0</v>
      </c>
      <c r="CA144" s="167">
        <f t="shared" si="519"/>
        <v>0</v>
      </c>
      <c r="CB144" s="16">
        <f t="shared" si="519"/>
        <v>0</v>
      </c>
      <c r="CC144" s="16">
        <f t="shared" si="519"/>
        <v>0</v>
      </c>
      <c r="CD144" s="16">
        <f t="shared" si="519"/>
        <v>0</v>
      </c>
      <c r="CE144" s="16">
        <f t="shared" si="519"/>
        <v>0</v>
      </c>
      <c r="CF144" s="17">
        <f t="shared" si="519"/>
        <v>0</v>
      </c>
    </row>
    <row r="145" spans="4:84" s="89" customFormat="1" ht="12.95" customHeight="1" x14ac:dyDescent="0.25">
      <c r="D145" s="313"/>
      <c r="E145" s="314"/>
      <c r="F145" s="313"/>
      <c r="G145" s="315"/>
      <c r="H145" s="2">
        <v>3117</v>
      </c>
      <c r="I145" s="167">
        <f t="shared" ref="I145:BU145" si="520">SUMIF($F$12:$F$452,"=3117",I$12:I$452)</f>
        <v>15540211</v>
      </c>
      <c r="J145" s="16">
        <f t="shared" si="520"/>
        <v>11404661</v>
      </c>
      <c r="K145" s="16">
        <f t="shared" si="520"/>
        <v>9747032</v>
      </c>
      <c r="L145" s="16">
        <f t="shared" si="520"/>
        <v>1657629</v>
      </c>
      <c r="M145" s="16">
        <f t="shared" si="520"/>
        <v>0</v>
      </c>
      <c r="N145" s="16">
        <f t="shared" si="520"/>
        <v>0</v>
      </c>
      <c r="O145" s="16">
        <f t="shared" si="520"/>
        <v>0</v>
      </c>
      <c r="P145" s="16">
        <f t="shared" si="520"/>
        <v>3854775</v>
      </c>
      <c r="Q145" s="16">
        <f t="shared" si="520"/>
        <v>114046</v>
      </c>
      <c r="R145" s="16">
        <f t="shared" si="520"/>
        <v>166729</v>
      </c>
      <c r="S145" s="13">
        <f t="shared" si="520"/>
        <v>20.574199999999998</v>
      </c>
      <c r="T145" s="13">
        <f t="shared" si="520"/>
        <v>16.029800000000002</v>
      </c>
      <c r="U145" s="17">
        <f t="shared" si="520"/>
        <v>4.5443999999999996</v>
      </c>
      <c r="V145" s="168">
        <f t="shared" si="520"/>
        <v>-3200</v>
      </c>
      <c r="W145" s="16">
        <f t="shared" si="520"/>
        <v>-6144</v>
      </c>
      <c r="X145" s="16">
        <f t="shared" si="520"/>
        <v>1100847</v>
      </c>
      <c r="Y145" s="16">
        <f t="shared" si="520"/>
        <v>0</v>
      </c>
      <c r="Z145" s="16">
        <f t="shared" si="520"/>
        <v>0</v>
      </c>
      <c r="AA145" s="16">
        <f t="shared" si="520"/>
        <v>0</v>
      </c>
      <c r="AB145" s="16">
        <f t="shared" si="520"/>
        <v>0</v>
      </c>
      <c r="AC145" s="16">
        <f t="shared" si="520"/>
        <v>0</v>
      </c>
      <c r="AD145" s="16">
        <f t="shared" si="520"/>
        <v>0</v>
      </c>
      <c r="AE145" s="16">
        <f t="shared" si="520"/>
        <v>0</v>
      </c>
      <c r="AF145" s="16">
        <f t="shared" si="520"/>
        <v>1097647</v>
      </c>
      <c r="AG145" s="16">
        <f t="shared" si="520"/>
        <v>-6144</v>
      </c>
      <c r="AH145" s="16">
        <f t="shared" si="520"/>
        <v>1091503</v>
      </c>
      <c r="AI145" s="16">
        <f t="shared" si="520"/>
        <v>3200</v>
      </c>
      <c r="AJ145" s="16">
        <f t="shared" si="520"/>
        <v>6144</v>
      </c>
      <c r="AK145" s="16">
        <f t="shared" si="520"/>
        <v>0</v>
      </c>
      <c r="AL145" s="16">
        <f t="shared" si="520"/>
        <v>0</v>
      </c>
      <c r="AM145" s="16">
        <f t="shared" si="520"/>
        <v>0</v>
      </c>
      <c r="AN145" s="16">
        <f t="shared" si="520"/>
        <v>0</v>
      </c>
      <c r="AO145" s="16">
        <f t="shared" si="520"/>
        <v>3200</v>
      </c>
      <c r="AP145" s="16">
        <f t="shared" si="520"/>
        <v>6144</v>
      </c>
      <c r="AQ145" s="16">
        <f t="shared" si="520"/>
        <v>9344</v>
      </c>
      <c r="AR145" s="16">
        <f t="shared" si="520"/>
        <v>1100847</v>
      </c>
      <c r="AS145" s="16">
        <f t="shared" si="520"/>
        <v>0</v>
      </c>
      <c r="AT145" s="16">
        <f t="shared" si="520"/>
        <v>1100847</v>
      </c>
      <c r="AU145" s="16">
        <f t="shared" si="520"/>
        <v>372086</v>
      </c>
      <c r="AV145" s="16">
        <f t="shared" si="520"/>
        <v>10916</v>
      </c>
      <c r="AW145" s="16">
        <f t="shared" si="520"/>
        <v>0</v>
      </c>
      <c r="AX145" s="16">
        <f t="shared" si="520"/>
        <v>0</v>
      </c>
      <c r="AY145" s="16">
        <f t="shared" si="520"/>
        <v>0</v>
      </c>
      <c r="AZ145" s="16">
        <f t="shared" si="520"/>
        <v>1483849</v>
      </c>
      <c r="BA145" s="13">
        <f t="shared" si="520"/>
        <v>0</v>
      </c>
      <c r="BB145" s="13">
        <f t="shared" si="520"/>
        <v>-0.02</v>
      </c>
      <c r="BC145" s="13">
        <f t="shared" si="520"/>
        <v>3.43</v>
      </c>
      <c r="BD145" s="13">
        <f t="shared" si="520"/>
        <v>0</v>
      </c>
      <c r="BE145" s="13">
        <f t="shared" si="520"/>
        <v>0</v>
      </c>
      <c r="BF145" s="13">
        <f t="shared" si="520"/>
        <v>0</v>
      </c>
      <c r="BG145" s="13">
        <f t="shared" si="520"/>
        <v>0</v>
      </c>
      <c r="BH145" s="13">
        <f t="shared" si="520"/>
        <v>0</v>
      </c>
      <c r="BI145" s="13">
        <f t="shared" si="520"/>
        <v>0</v>
      </c>
      <c r="BJ145" s="13">
        <f t="shared" si="520"/>
        <v>0</v>
      </c>
      <c r="BK145" s="13">
        <f t="shared" si="520"/>
        <v>3.43</v>
      </c>
      <c r="BL145" s="13">
        <f t="shared" si="520"/>
        <v>-0.02</v>
      </c>
      <c r="BM145" s="169">
        <f t="shared" si="520"/>
        <v>3.41</v>
      </c>
      <c r="BN145" s="167">
        <f t="shared" si="520"/>
        <v>17024060</v>
      </c>
      <c r="BO145" s="16">
        <f t="shared" si="520"/>
        <v>12496164</v>
      </c>
      <c r="BP145" s="16">
        <f t="shared" si="520"/>
        <v>10844679</v>
      </c>
      <c r="BQ145" s="16">
        <f t="shared" si="520"/>
        <v>1651485</v>
      </c>
      <c r="BR145" s="16">
        <f t="shared" si="520"/>
        <v>9344</v>
      </c>
      <c r="BS145" s="16">
        <f t="shared" si="520"/>
        <v>3200</v>
      </c>
      <c r="BT145" s="16">
        <f t="shared" si="520"/>
        <v>6144</v>
      </c>
      <c r="BU145" s="16">
        <f t="shared" si="520"/>
        <v>4226861</v>
      </c>
      <c r="BV145" s="16">
        <f t="shared" ref="BV145:CF145" si="521">SUMIF($F$12:$F$452,"=3117",BV$12:BV$452)</f>
        <v>124962</v>
      </c>
      <c r="BW145" s="16">
        <f t="shared" si="521"/>
        <v>166729</v>
      </c>
      <c r="BX145" s="13">
        <f t="shared" si="521"/>
        <v>23.984200000000001</v>
      </c>
      <c r="BY145" s="13">
        <f t="shared" si="521"/>
        <v>19.459800000000001</v>
      </c>
      <c r="BZ145" s="169">
        <f t="shared" si="521"/>
        <v>4.5244</v>
      </c>
      <c r="CA145" s="167">
        <f t="shared" si="521"/>
        <v>0</v>
      </c>
      <c r="CB145" s="16">
        <f t="shared" si="521"/>
        <v>0</v>
      </c>
      <c r="CC145" s="16">
        <f t="shared" si="521"/>
        <v>0</v>
      </c>
      <c r="CD145" s="16">
        <f t="shared" si="521"/>
        <v>0</v>
      </c>
      <c r="CE145" s="16">
        <f t="shared" si="521"/>
        <v>0</v>
      </c>
      <c r="CF145" s="17">
        <f t="shared" si="521"/>
        <v>0</v>
      </c>
    </row>
    <row r="146" spans="4:84" s="89" customFormat="1" ht="12.95" customHeight="1" x14ac:dyDescent="0.25">
      <c r="D146" s="313"/>
      <c r="E146" s="314"/>
      <c r="F146" s="313"/>
      <c r="G146" s="315"/>
      <c r="H146" s="2">
        <v>3122</v>
      </c>
      <c r="I146" s="167">
        <f t="shared" ref="I146:BU146" si="522">SUMIF($F$12:$F$452,"=3122",I$12:I$452)</f>
        <v>0</v>
      </c>
      <c r="J146" s="16">
        <f t="shared" si="522"/>
        <v>0</v>
      </c>
      <c r="K146" s="16">
        <f t="shared" si="522"/>
        <v>0</v>
      </c>
      <c r="L146" s="16">
        <f t="shared" si="522"/>
        <v>0</v>
      </c>
      <c r="M146" s="16">
        <f t="shared" si="522"/>
        <v>0</v>
      </c>
      <c r="N146" s="16">
        <f t="shared" si="522"/>
        <v>0</v>
      </c>
      <c r="O146" s="16">
        <f t="shared" si="522"/>
        <v>0</v>
      </c>
      <c r="P146" s="16">
        <f t="shared" si="522"/>
        <v>0</v>
      </c>
      <c r="Q146" s="16">
        <f t="shared" si="522"/>
        <v>0</v>
      </c>
      <c r="R146" s="16">
        <f t="shared" si="522"/>
        <v>0</v>
      </c>
      <c r="S146" s="13">
        <f t="shared" si="522"/>
        <v>0</v>
      </c>
      <c r="T146" s="13">
        <f t="shared" si="522"/>
        <v>0</v>
      </c>
      <c r="U146" s="17">
        <f t="shared" si="522"/>
        <v>0</v>
      </c>
      <c r="V146" s="168">
        <f t="shared" si="522"/>
        <v>0</v>
      </c>
      <c r="W146" s="16">
        <f t="shared" si="522"/>
        <v>0</v>
      </c>
      <c r="X146" s="16">
        <f t="shared" si="522"/>
        <v>0</v>
      </c>
      <c r="Y146" s="16">
        <f t="shared" si="522"/>
        <v>0</v>
      </c>
      <c r="Z146" s="16">
        <f t="shared" si="522"/>
        <v>0</v>
      </c>
      <c r="AA146" s="16">
        <f t="shared" si="522"/>
        <v>0</v>
      </c>
      <c r="AB146" s="16">
        <f t="shared" si="522"/>
        <v>0</v>
      </c>
      <c r="AC146" s="16">
        <f t="shared" si="522"/>
        <v>0</v>
      </c>
      <c r="AD146" s="16">
        <f t="shared" si="522"/>
        <v>0</v>
      </c>
      <c r="AE146" s="16">
        <f t="shared" si="522"/>
        <v>0</v>
      </c>
      <c r="AF146" s="16">
        <f t="shared" si="522"/>
        <v>0</v>
      </c>
      <c r="AG146" s="16">
        <f t="shared" si="522"/>
        <v>0</v>
      </c>
      <c r="AH146" s="16">
        <f t="shared" si="522"/>
        <v>0</v>
      </c>
      <c r="AI146" s="16">
        <f t="shared" si="522"/>
        <v>0</v>
      </c>
      <c r="AJ146" s="16">
        <f t="shared" si="522"/>
        <v>0</v>
      </c>
      <c r="AK146" s="16">
        <f t="shared" si="522"/>
        <v>0</v>
      </c>
      <c r="AL146" s="16">
        <f t="shared" si="522"/>
        <v>0</v>
      </c>
      <c r="AM146" s="16">
        <f t="shared" si="522"/>
        <v>0</v>
      </c>
      <c r="AN146" s="16">
        <f t="shared" si="522"/>
        <v>0</v>
      </c>
      <c r="AO146" s="16">
        <f t="shared" si="522"/>
        <v>0</v>
      </c>
      <c r="AP146" s="16">
        <f t="shared" si="522"/>
        <v>0</v>
      </c>
      <c r="AQ146" s="16">
        <f t="shared" si="522"/>
        <v>0</v>
      </c>
      <c r="AR146" s="16">
        <f t="shared" si="522"/>
        <v>0</v>
      </c>
      <c r="AS146" s="16">
        <f t="shared" si="522"/>
        <v>0</v>
      </c>
      <c r="AT146" s="16">
        <f t="shared" si="522"/>
        <v>0</v>
      </c>
      <c r="AU146" s="16">
        <f t="shared" si="522"/>
        <v>0</v>
      </c>
      <c r="AV146" s="16">
        <f t="shared" si="522"/>
        <v>0</v>
      </c>
      <c r="AW146" s="16">
        <f t="shared" si="522"/>
        <v>0</v>
      </c>
      <c r="AX146" s="16">
        <f t="shared" si="522"/>
        <v>0</v>
      </c>
      <c r="AY146" s="16">
        <f t="shared" si="522"/>
        <v>0</v>
      </c>
      <c r="AZ146" s="16">
        <f t="shared" si="522"/>
        <v>0</v>
      </c>
      <c r="BA146" s="13">
        <f t="shared" si="522"/>
        <v>0</v>
      </c>
      <c r="BB146" s="13">
        <f t="shared" si="522"/>
        <v>0</v>
      </c>
      <c r="BC146" s="13">
        <f t="shared" si="522"/>
        <v>0</v>
      </c>
      <c r="BD146" s="13">
        <f t="shared" si="522"/>
        <v>0</v>
      </c>
      <c r="BE146" s="13">
        <f t="shared" si="522"/>
        <v>0</v>
      </c>
      <c r="BF146" s="13">
        <f t="shared" si="522"/>
        <v>0</v>
      </c>
      <c r="BG146" s="13">
        <f t="shared" si="522"/>
        <v>0</v>
      </c>
      <c r="BH146" s="13">
        <f t="shared" si="522"/>
        <v>0</v>
      </c>
      <c r="BI146" s="13">
        <f t="shared" si="522"/>
        <v>0</v>
      </c>
      <c r="BJ146" s="13">
        <f t="shared" si="522"/>
        <v>0</v>
      </c>
      <c r="BK146" s="13">
        <f t="shared" si="522"/>
        <v>0</v>
      </c>
      <c r="BL146" s="13">
        <f t="shared" si="522"/>
        <v>0</v>
      </c>
      <c r="BM146" s="169">
        <f t="shared" si="522"/>
        <v>0</v>
      </c>
      <c r="BN146" s="167">
        <f t="shared" si="522"/>
        <v>0</v>
      </c>
      <c r="BO146" s="16">
        <f t="shared" si="522"/>
        <v>0</v>
      </c>
      <c r="BP146" s="16">
        <f t="shared" si="522"/>
        <v>0</v>
      </c>
      <c r="BQ146" s="16">
        <f t="shared" si="522"/>
        <v>0</v>
      </c>
      <c r="BR146" s="16">
        <f t="shared" si="522"/>
        <v>0</v>
      </c>
      <c r="BS146" s="16">
        <f t="shared" si="522"/>
        <v>0</v>
      </c>
      <c r="BT146" s="16">
        <f t="shared" si="522"/>
        <v>0</v>
      </c>
      <c r="BU146" s="16">
        <f t="shared" si="522"/>
        <v>0</v>
      </c>
      <c r="BV146" s="16">
        <f t="shared" ref="BV146:CF146" si="523">SUMIF($F$12:$F$452,"=3122",BV$12:BV$452)</f>
        <v>0</v>
      </c>
      <c r="BW146" s="16">
        <f t="shared" si="523"/>
        <v>0</v>
      </c>
      <c r="BX146" s="13">
        <f t="shared" si="523"/>
        <v>0</v>
      </c>
      <c r="BY146" s="13">
        <f t="shared" si="523"/>
        <v>0</v>
      </c>
      <c r="BZ146" s="169">
        <f t="shared" si="523"/>
        <v>0</v>
      </c>
      <c r="CA146" s="167">
        <f t="shared" si="523"/>
        <v>0</v>
      </c>
      <c r="CB146" s="16">
        <f t="shared" si="523"/>
        <v>0</v>
      </c>
      <c r="CC146" s="16">
        <f t="shared" si="523"/>
        <v>0</v>
      </c>
      <c r="CD146" s="16">
        <f t="shared" si="523"/>
        <v>0</v>
      </c>
      <c r="CE146" s="16">
        <f t="shared" si="523"/>
        <v>0</v>
      </c>
      <c r="CF146" s="17">
        <f t="shared" si="523"/>
        <v>0</v>
      </c>
    </row>
    <row r="147" spans="4:84" s="89" customFormat="1" ht="12.95" customHeight="1" x14ac:dyDescent="0.25">
      <c r="D147" s="313"/>
      <c r="E147" s="314"/>
      <c r="F147" s="313"/>
      <c r="G147" s="315"/>
      <c r="H147" s="2">
        <v>3124</v>
      </c>
      <c r="I147" s="167">
        <f t="shared" ref="I147:BU147" si="524">SUMIF($F$12:$F$452,"=3124",I$12:I$452)</f>
        <v>0</v>
      </c>
      <c r="J147" s="16">
        <f t="shared" si="524"/>
        <v>0</v>
      </c>
      <c r="K147" s="16">
        <f t="shared" si="524"/>
        <v>0</v>
      </c>
      <c r="L147" s="16">
        <f t="shared" si="524"/>
        <v>0</v>
      </c>
      <c r="M147" s="16">
        <f t="shared" si="524"/>
        <v>0</v>
      </c>
      <c r="N147" s="16">
        <f t="shared" si="524"/>
        <v>0</v>
      </c>
      <c r="O147" s="16">
        <f t="shared" si="524"/>
        <v>0</v>
      </c>
      <c r="P147" s="16">
        <f t="shared" si="524"/>
        <v>0</v>
      </c>
      <c r="Q147" s="16">
        <f t="shared" si="524"/>
        <v>0</v>
      </c>
      <c r="R147" s="16">
        <f t="shared" si="524"/>
        <v>0</v>
      </c>
      <c r="S147" s="13">
        <f t="shared" si="524"/>
        <v>0</v>
      </c>
      <c r="T147" s="13">
        <f t="shared" si="524"/>
        <v>0</v>
      </c>
      <c r="U147" s="17">
        <f t="shared" si="524"/>
        <v>0</v>
      </c>
      <c r="V147" s="168">
        <f t="shared" si="524"/>
        <v>0</v>
      </c>
      <c r="W147" s="16">
        <f t="shared" si="524"/>
        <v>0</v>
      </c>
      <c r="X147" s="16">
        <f t="shared" si="524"/>
        <v>0</v>
      </c>
      <c r="Y147" s="16">
        <f t="shared" si="524"/>
        <v>0</v>
      </c>
      <c r="Z147" s="16">
        <f t="shared" si="524"/>
        <v>0</v>
      </c>
      <c r="AA147" s="16">
        <f t="shared" si="524"/>
        <v>0</v>
      </c>
      <c r="AB147" s="16">
        <f t="shared" si="524"/>
        <v>0</v>
      </c>
      <c r="AC147" s="16">
        <f t="shared" si="524"/>
        <v>0</v>
      </c>
      <c r="AD147" s="16">
        <f t="shared" si="524"/>
        <v>0</v>
      </c>
      <c r="AE147" s="16">
        <f t="shared" si="524"/>
        <v>0</v>
      </c>
      <c r="AF147" s="16">
        <f t="shared" si="524"/>
        <v>0</v>
      </c>
      <c r="AG147" s="16">
        <f t="shared" si="524"/>
        <v>0</v>
      </c>
      <c r="AH147" s="16">
        <f t="shared" si="524"/>
        <v>0</v>
      </c>
      <c r="AI147" s="16">
        <f t="shared" si="524"/>
        <v>0</v>
      </c>
      <c r="AJ147" s="16">
        <f t="shared" si="524"/>
        <v>0</v>
      </c>
      <c r="AK147" s="16">
        <f t="shared" si="524"/>
        <v>0</v>
      </c>
      <c r="AL147" s="16">
        <f t="shared" si="524"/>
        <v>0</v>
      </c>
      <c r="AM147" s="16">
        <f t="shared" si="524"/>
        <v>0</v>
      </c>
      <c r="AN147" s="16">
        <f t="shared" si="524"/>
        <v>0</v>
      </c>
      <c r="AO147" s="16">
        <f t="shared" si="524"/>
        <v>0</v>
      </c>
      <c r="AP147" s="16">
        <f t="shared" si="524"/>
        <v>0</v>
      </c>
      <c r="AQ147" s="16">
        <f t="shared" si="524"/>
        <v>0</v>
      </c>
      <c r="AR147" s="16">
        <f t="shared" si="524"/>
        <v>0</v>
      </c>
      <c r="AS147" s="16">
        <f t="shared" si="524"/>
        <v>0</v>
      </c>
      <c r="AT147" s="16">
        <f t="shared" si="524"/>
        <v>0</v>
      </c>
      <c r="AU147" s="16">
        <f t="shared" si="524"/>
        <v>0</v>
      </c>
      <c r="AV147" s="16">
        <f t="shared" si="524"/>
        <v>0</v>
      </c>
      <c r="AW147" s="16">
        <f t="shared" si="524"/>
        <v>0</v>
      </c>
      <c r="AX147" s="16">
        <f t="shared" si="524"/>
        <v>0</v>
      </c>
      <c r="AY147" s="16">
        <f t="shared" si="524"/>
        <v>0</v>
      </c>
      <c r="AZ147" s="16">
        <f t="shared" si="524"/>
        <v>0</v>
      </c>
      <c r="BA147" s="13">
        <f t="shared" si="524"/>
        <v>0</v>
      </c>
      <c r="BB147" s="13">
        <f t="shared" si="524"/>
        <v>0</v>
      </c>
      <c r="BC147" s="13">
        <f t="shared" si="524"/>
        <v>0</v>
      </c>
      <c r="BD147" s="13">
        <f t="shared" si="524"/>
        <v>0</v>
      </c>
      <c r="BE147" s="13">
        <f t="shared" si="524"/>
        <v>0</v>
      </c>
      <c r="BF147" s="13">
        <f t="shared" si="524"/>
        <v>0</v>
      </c>
      <c r="BG147" s="13">
        <f t="shared" si="524"/>
        <v>0</v>
      </c>
      <c r="BH147" s="13">
        <f t="shared" si="524"/>
        <v>0</v>
      </c>
      <c r="BI147" s="13">
        <f t="shared" si="524"/>
        <v>0</v>
      </c>
      <c r="BJ147" s="13">
        <f t="shared" si="524"/>
        <v>0</v>
      </c>
      <c r="BK147" s="13">
        <f t="shared" si="524"/>
        <v>0</v>
      </c>
      <c r="BL147" s="13">
        <f t="shared" si="524"/>
        <v>0</v>
      </c>
      <c r="BM147" s="169">
        <f t="shared" si="524"/>
        <v>0</v>
      </c>
      <c r="BN147" s="167">
        <f t="shared" si="524"/>
        <v>0</v>
      </c>
      <c r="BO147" s="16">
        <f t="shared" si="524"/>
        <v>0</v>
      </c>
      <c r="BP147" s="16">
        <f t="shared" si="524"/>
        <v>0</v>
      </c>
      <c r="BQ147" s="16">
        <f t="shared" si="524"/>
        <v>0</v>
      </c>
      <c r="BR147" s="16">
        <f t="shared" si="524"/>
        <v>0</v>
      </c>
      <c r="BS147" s="16">
        <f t="shared" si="524"/>
        <v>0</v>
      </c>
      <c r="BT147" s="16">
        <f t="shared" si="524"/>
        <v>0</v>
      </c>
      <c r="BU147" s="16">
        <f t="shared" si="524"/>
        <v>0</v>
      </c>
      <c r="BV147" s="16">
        <f t="shared" ref="BV147:CF147" si="525">SUMIF($F$12:$F$452,"=3124",BV$12:BV$452)</f>
        <v>0</v>
      </c>
      <c r="BW147" s="16">
        <f t="shared" si="525"/>
        <v>0</v>
      </c>
      <c r="BX147" s="13">
        <f t="shared" si="525"/>
        <v>0</v>
      </c>
      <c r="BY147" s="13">
        <f t="shared" si="525"/>
        <v>0</v>
      </c>
      <c r="BZ147" s="169">
        <f t="shared" si="525"/>
        <v>0</v>
      </c>
      <c r="CA147" s="167">
        <f t="shared" si="525"/>
        <v>0</v>
      </c>
      <c r="CB147" s="16">
        <f t="shared" si="525"/>
        <v>0</v>
      </c>
      <c r="CC147" s="16">
        <f t="shared" si="525"/>
        <v>0</v>
      </c>
      <c r="CD147" s="16">
        <f t="shared" si="525"/>
        <v>0</v>
      </c>
      <c r="CE147" s="16">
        <f t="shared" si="525"/>
        <v>0</v>
      </c>
      <c r="CF147" s="17">
        <f t="shared" si="525"/>
        <v>0</v>
      </c>
    </row>
    <row r="148" spans="4:84" s="89" customFormat="1" ht="12.95" customHeight="1" x14ac:dyDescent="0.25">
      <c r="D148" s="313"/>
      <c r="E148" s="314"/>
      <c r="F148" s="313"/>
      <c r="G148" s="315"/>
      <c r="H148" s="2">
        <v>3141</v>
      </c>
      <c r="I148" s="167">
        <f t="shared" ref="I148:BU148" si="526">SUMIF($F$12:$F$452,"=3141",I$12:I$452)</f>
        <v>13101015</v>
      </c>
      <c r="J148" s="16">
        <f t="shared" si="526"/>
        <v>9671020</v>
      </c>
      <c r="K148" s="16">
        <f t="shared" si="526"/>
        <v>0</v>
      </c>
      <c r="L148" s="16">
        <f t="shared" si="526"/>
        <v>9671020</v>
      </c>
      <c r="M148" s="16">
        <f t="shared" si="526"/>
        <v>0</v>
      </c>
      <c r="N148" s="16">
        <f t="shared" si="526"/>
        <v>0</v>
      </c>
      <c r="O148" s="16">
        <f t="shared" si="526"/>
        <v>0</v>
      </c>
      <c r="P148" s="16">
        <f t="shared" si="526"/>
        <v>3268805</v>
      </c>
      <c r="Q148" s="16">
        <f t="shared" si="526"/>
        <v>96707</v>
      </c>
      <c r="R148" s="16">
        <f t="shared" si="526"/>
        <v>64483</v>
      </c>
      <c r="S148" s="13">
        <f t="shared" si="526"/>
        <v>29.000299999999996</v>
      </c>
      <c r="T148" s="13">
        <f t="shared" si="526"/>
        <v>0</v>
      </c>
      <c r="U148" s="17">
        <f t="shared" si="526"/>
        <v>29.000299999999996</v>
      </c>
      <c r="V148" s="168">
        <f t="shared" si="526"/>
        <v>0</v>
      </c>
      <c r="W148" s="16">
        <f t="shared" si="526"/>
        <v>-9600</v>
      </c>
      <c r="X148" s="16">
        <f t="shared" si="526"/>
        <v>0</v>
      </c>
      <c r="Y148" s="16">
        <f t="shared" si="526"/>
        <v>0</v>
      </c>
      <c r="Z148" s="16">
        <f t="shared" si="526"/>
        <v>0</v>
      </c>
      <c r="AA148" s="16">
        <f t="shared" si="526"/>
        <v>0</v>
      </c>
      <c r="AB148" s="16">
        <f t="shared" si="526"/>
        <v>0</v>
      </c>
      <c r="AC148" s="16">
        <f t="shared" si="526"/>
        <v>0</v>
      </c>
      <c r="AD148" s="16">
        <f t="shared" si="526"/>
        <v>0</v>
      </c>
      <c r="AE148" s="16">
        <f t="shared" si="526"/>
        <v>-1448</v>
      </c>
      <c r="AF148" s="16">
        <f t="shared" si="526"/>
        <v>0</v>
      </c>
      <c r="AG148" s="16">
        <f t="shared" si="526"/>
        <v>-11048</v>
      </c>
      <c r="AH148" s="16">
        <f t="shared" si="526"/>
        <v>-11048</v>
      </c>
      <c r="AI148" s="16">
        <f t="shared" si="526"/>
        <v>0</v>
      </c>
      <c r="AJ148" s="16">
        <f t="shared" si="526"/>
        <v>9600</v>
      </c>
      <c r="AK148" s="16">
        <f t="shared" si="526"/>
        <v>0</v>
      </c>
      <c r="AL148" s="16">
        <f t="shared" si="526"/>
        <v>0</v>
      </c>
      <c r="AM148" s="16">
        <f t="shared" si="526"/>
        <v>0</v>
      </c>
      <c r="AN148" s="16">
        <f t="shared" si="526"/>
        <v>0</v>
      </c>
      <c r="AO148" s="16">
        <f t="shared" si="526"/>
        <v>0</v>
      </c>
      <c r="AP148" s="16">
        <f t="shared" si="526"/>
        <v>9600</v>
      </c>
      <c r="AQ148" s="16">
        <f t="shared" si="526"/>
        <v>9600</v>
      </c>
      <c r="AR148" s="16">
        <f t="shared" si="526"/>
        <v>0</v>
      </c>
      <c r="AS148" s="16">
        <f t="shared" si="526"/>
        <v>-1448</v>
      </c>
      <c r="AT148" s="16">
        <f t="shared" si="526"/>
        <v>-1448</v>
      </c>
      <c r="AU148" s="16">
        <f t="shared" si="526"/>
        <v>-490</v>
      </c>
      <c r="AV148" s="16">
        <f t="shared" si="526"/>
        <v>-111</v>
      </c>
      <c r="AW148" s="16">
        <f t="shared" si="526"/>
        <v>0</v>
      </c>
      <c r="AX148" s="16">
        <f t="shared" si="526"/>
        <v>460</v>
      </c>
      <c r="AY148" s="16">
        <f t="shared" si="526"/>
        <v>460</v>
      </c>
      <c r="AZ148" s="16">
        <f t="shared" si="526"/>
        <v>-1589</v>
      </c>
      <c r="BA148" s="13">
        <f t="shared" si="526"/>
        <v>0</v>
      </c>
      <c r="BB148" s="13">
        <f t="shared" si="526"/>
        <v>-0.01</v>
      </c>
      <c r="BC148" s="13">
        <f t="shared" si="526"/>
        <v>0</v>
      </c>
      <c r="BD148" s="13">
        <f t="shared" si="526"/>
        <v>0</v>
      </c>
      <c r="BE148" s="13">
        <f t="shared" si="526"/>
        <v>0</v>
      </c>
      <c r="BF148" s="13">
        <f t="shared" si="526"/>
        <v>0</v>
      </c>
      <c r="BG148" s="13">
        <f t="shared" si="526"/>
        <v>0</v>
      </c>
      <c r="BH148" s="13">
        <f t="shared" si="526"/>
        <v>0</v>
      </c>
      <c r="BI148" s="13">
        <f t="shared" si="526"/>
        <v>0</v>
      </c>
      <c r="BJ148" s="13">
        <f t="shared" si="526"/>
        <v>0</v>
      </c>
      <c r="BK148" s="13">
        <f t="shared" si="526"/>
        <v>0</v>
      </c>
      <c r="BL148" s="13">
        <f t="shared" si="526"/>
        <v>-1.0000000000000009E-2</v>
      </c>
      <c r="BM148" s="169">
        <f t="shared" si="526"/>
        <v>-1.0000000000000009E-2</v>
      </c>
      <c r="BN148" s="167">
        <f t="shared" si="526"/>
        <v>13099426</v>
      </c>
      <c r="BO148" s="16">
        <f t="shared" si="526"/>
        <v>9659972</v>
      </c>
      <c r="BP148" s="16">
        <f t="shared" si="526"/>
        <v>0</v>
      </c>
      <c r="BQ148" s="16">
        <f t="shared" si="526"/>
        <v>9659972</v>
      </c>
      <c r="BR148" s="16">
        <f t="shared" si="526"/>
        <v>9600</v>
      </c>
      <c r="BS148" s="16">
        <f t="shared" si="526"/>
        <v>0</v>
      </c>
      <c r="BT148" s="16">
        <f t="shared" si="526"/>
        <v>9600</v>
      </c>
      <c r="BU148" s="16">
        <f t="shared" si="526"/>
        <v>3268315</v>
      </c>
      <c r="BV148" s="16">
        <f t="shared" ref="BV148:CF148" si="527">SUMIF($F$12:$F$452,"=3141",BV$12:BV$452)</f>
        <v>96596</v>
      </c>
      <c r="BW148" s="16">
        <f t="shared" si="527"/>
        <v>64943</v>
      </c>
      <c r="BX148" s="13">
        <f t="shared" si="527"/>
        <v>28.990299999999991</v>
      </c>
      <c r="BY148" s="13">
        <f t="shared" si="527"/>
        <v>0</v>
      </c>
      <c r="BZ148" s="169">
        <f t="shared" si="527"/>
        <v>28.990299999999991</v>
      </c>
      <c r="CA148" s="167">
        <f t="shared" si="527"/>
        <v>0</v>
      </c>
      <c r="CB148" s="16">
        <f t="shared" si="527"/>
        <v>0</v>
      </c>
      <c r="CC148" s="16">
        <f t="shared" si="527"/>
        <v>0</v>
      </c>
      <c r="CD148" s="16">
        <f t="shared" si="527"/>
        <v>0</v>
      </c>
      <c r="CE148" s="16">
        <f t="shared" si="527"/>
        <v>0</v>
      </c>
      <c r="CF148" s="17">
        <f t="shared" si="527"/>
        <v>0</v>
      </c>
    </row>
    <row r="149" spans="4:84" s="89" customFormat="1" ht="12.95" customHeight="1" x14ac:dyDescent="0.25">
      <c r="D149" s="313"/>
      <c r="E149" s="314"/>
      <c r="F149" s="313"/>
      <c r="G149" s="315"/>
      <c r="H149" s="2">
        <v>3143</v>
      </c>
      <c r="I149" s="167">
        <f t="shared" ref="I149:BU149" si="528">SUMIF($F$12:$F$452,"=3143",I$12:I$452)</f>
        <v>16259459</v>
      </c>
      <c r="J149" s="16">
        <f t="shared" si="528"/>
        <v>12052119</v>
      </c>
      <c r="K149" s="16">
        <f t="shared" si="528"/>
        <v>11767922</v>
      </c>
      <c r="L149" s="16">
        <f t="shared" si="528"/>
        <v>284197</v>
      </c>
      <c r="M149" s="16">
        <f t="shared" si="528"/>
        <v>0</v>
      </c>
      <c r="N149" s="16">
        <f t="shared" si="528"/>
        <v>0</v>
      </c>
      <c r="O149" s="16">
        <f t="shared" si="528"/>
        <v>0</v>
      </c>
      <c r="P149" s="16">
        <f t="shared" si="528"/>
        <v>4073618</v>
      </c>
      <c r="Q149" s="16">
        <f t="shared" si="528"/>
        <v>120522</v>
      </c>
      <c r="R149" s="16">
        <f t="shared" si="528"/>
        <v>13200</v>
      </c>
      <c r="S149" s="13">
        <f t="shared" si="528"/>
        <v>24.289700000000007</v>
      </c>
      <c r="T149" s="13">
        <f t="shared" si="528"/>
        <v>23.216800000000003</v>
      </c>
      <c r="U149" s="17">
        <f t="shared" si="528"/>
        <v>1.0729</v>
      </c>
      <c r="V149" s="168">
        <f t="shared" si="528"/>
        <v>0</v>
      </c>
      <c r="W149" s="16">
        <f t="shared" si="528"/>
        <v>0</v>
      </c>
      <c r="X149" s="16">
        <f t="shared" si="528"/>
        <v>0</v>
      </c>
      <c r="Y149" s="16">
        <f t="shared" si="528"/>
        <v>0</v>
      </c>
      <c r="Z149" s="16">
        <f t="shared" si="528"/>
        <v>0</v>
      </c>
      <c r="AA149" s="16">
        <f t="shared" si="528"/>
        <v>0</v>
      </c>
      <c r="AB149" s="16">
        <f t="shared" si="528"/>
        <v>0</v>
      </c>
      <c r="AC149" s="16">
        <f t="shared" si="528"/>
        <v>0</v>
      </c>
      <c r="AD149" s="16">
        <f t="shared" si="528"/>
        <v>0</v>
      </c>
      <c r="AE149" s="16">
        <f t="shared" si="528"/>
        <v>0</v>
      </c>
      <c r="AF149" s="16">
        <f t="shared" si="528"/>
        <v>0</v>
      </c>
      <c r="AG149" s="16">
        <f t="shared" si="528"/>
        <v>0</v>
      </c>
      <c r="AH149" s="16">
        <f t="shared" si="528"/>
        <v>0</v>
      </c>
      <c r="AI149" s="16">
        <f t="shared" si="528"/>
        <v>0</v>
      </c>
      <c r="AJ149" s="16">
        <f t="shared" si="528"/>
        <v>0</v>
      </c>
      <c r="AK149" s="16">
        <f t="shared" si="528"/>
        <v>0</v>
      </c>
      <c r="AL149" s="16">
        <f t="shared" si="528"/>
        <v>0</v>
      </c>
      <c r="AM149" s="16">
        <f t="shared" si="528"/>
        <v>0</v>
      </c>
      <c r="AN149" s="16">
        <f t="shared" si="528"/>
        <v>0</v>
      </c>
      <c r="AO149" s="16">
        <f t="shared" si="528"/>
        <v>0</v>
      </c>
      <c r="AP149" s="16">
        <f t="shared" si="528"/>
        <v>0</v>
      </c>
      <c r="AQ149" s="16">
        <f t="shared" si="528"/>
        <v>0</v>
      </c>
      <c r="AR149" s="16">
        <f t="shared" si="528"/>
        <v>0</v>
      </c>
      <c r="AS149" s="16">
        <f t="shared" si="528"/>
        <v>0</v>
      </c>
      <c r="AT149" s="16">
        <f t="shared" si="528"/>
        <v>0</v>
      </c>
      <c r="AU149" s="16">
        <f t="shared" si="528"/>
        <v>0</v>
      </c>
      <c r="AV149" s="16">
        <f t="shared" si="528"/>
        <v>0</v>
      </c>
      <c r="AW149" s="16">
        <f t="shared" si="528"/>
        <v>0</v>
      </c>
      <c r="AX149" s="16">
        <f t="shared" si="528"/>
        <v>0</v>
      </c>
      <c r="AY149" s="16">
        <f t="shared" si="528"/>
        <v>0</v>
      </c>
      <c r="AZ149" s="16">
        <f t="shared" si="528"/>
        <v>0</v>
      </c>
      <c r="BA149" s="13">
        <f t="shared" si="528"/>
        <v>0</v>
      </c>
      <c r="BB149" s="13">
        <f t="shared" si="528"/>
        <v>0</v>
      </c>
      <c r="BC149" s="13">
        <f t="shared" si="528"/>
        <v>0</v>
      </c>
      <c r="BD149" s="13">
        <f t="shared" si="528"/>
        <v>0</v>
      </c>
      <c r="BE149" s="13">
        <f t="shared" si="528"/>
        <v>0</v>
      </c>
      <c r="BF149" s="13">
        <f t="shared" si="528"/>
        <v>0</v>
      </c>
      <c r="BG149" s="13">
        <f t="shared" si="528"/>
        <v>0</v>
      </c>
      <c r="BH149" s="13">
        <f t="shared" si="528"/>
        <v>0</v>
      </c>
      <c r="BI149" s="13">
        <f t="shared" si="528"/>
        <v>0</v>
      </c>
      <c r="BJ149" s="13">
        <f t="shared" si="528"/>
        <v>0</v>
      </c>
      <c r="BK149" s="13">
        <f t="shared" si="528"/>
        <v>0</v>
      </c>
      <c r="BL149" s="13">
        <f t="shared" si="528"/>
        <v>0</v>
      </c>
      <c r="BM149" s="169">
        <f t="shared" si="528"/>
        <v>0</v>
      </c>
      <c r="BN149" s="167">
        <f t="shared" si="528"/>
        <v>16259459</v>
      </c>
      <c r="BO149" s="16">
        <f t="shared" si="528"/>
        <v>12052119</v>
      </c>
      <c r="BP149" s="16">
        <f t="shared" si="528"/>
        <v>11767922</v>
      </c>
      <c r="BQ149" s="16">
        <f t="shared" si="528"/>
        <v>284197</v>
      </c>
      <c r="BR149" s="16">
        <f t="shared" si="528"/>
        <v>0</v>
      </c>
      <c r="BS149" s="16">
        <f t="shared" si="528"/>
        <v>0</v>
      </c>
      <c r="BT149" s="16">
        <f t="shared" si="528"/>
        <v>0</v>
      </c>
      <c r="BU149" s="16">
        <f t="shared" si="528"/>
        <v>4073618</v>
      </c>
      <c r="BV149" s="16">
        <f t="shared" ref="BV149:CF149" si="529">SUMIF($F$12:$F$452,"=3143",BV$12:BV$452)</f>
        <v>120522</v>
      </c>
      <c r="BW149" s="16">
        <f t="shared" si="529"/>
        <v>13200</v>
      </c>
      <c r="BX149" s="13">
        <f t="shared" si="529"/>
        <v>24.289700000000007</v>
      </c>
      <c r="BY149" s="13">
        <f t="shared" si="529"/>
        <v>23.216800000000003</v>
      </c>
      <c r="BZ149" s="169">
        <f t="shared" si="529"/>
        <v>1.0729</v>
      </c>
      <c r="CA149" s="167">
        <f t="shared" si="529"/>
        <v>0</v>
      </c>
      <c r="CB149" s="16">
        <f t="shared" si="529"/>
        <v>0</v>
      </c>
      <c r="CC149" s="16">
        <f t="shared" si="529"/>
        <v>0</v>
      </c>
      <c r="CD149" s="16">
        <f t="shared" si="529"/>
        <v>0</v>
      </c>
      <c r="CE149" s="16">
        <f t="shared" si="529"/>
        <v>0</v>
      </c>
      <c r="CF149" s="17">
        <f t="shared" si="529"/>
        <v>0</v>
      </c>
    </row>
    <row r="150" spans="4:84" s="89" customFormat="1" ht="12.95" customHeight="1" x14ac:dyDescent="0.25">
      <c r="D150" s="313"/>
      <c r="E150" s="314"/>
      <c r="F150" s="313"/>
      <c r="G150" s="315"/>
      <c r="H150" s="2">
        <v>3231</v>
      </c>
      <c r="I150" s="167">
        <f t="shared" ref="I150:BU150" si="530">SUMIF($F$12:$F$452,"=3231",I$12:I$452)</f>
        <v>22505253</v>
      </c>
      <c r="J150" s="16">
        <f t="shared" si="530"/>
        <v>16672549</v>
      </c>
      <c r="K150" s="16">
        <f t="shared" si="530"/>
        <v>16037753</v>
      </c>
      <c r="L150" s="16">
        <f t="shared" si="530"/>
        <v>634796</v>
      </c>
      <c r="M150" s="16">
        <f t="shared" si="530"/>
        <v>0</v>
      </c>
      <c r="N150" s="16">
        <f t="shared" si="530"/>
        <v>0</v>
      </c>
      <c r="O150" s="16">
        <f t="shared" si="530"/>
        <v>0</v>
      </c>
      <c r="P150" s="16">
        <f t="shared" si="530"/>
        <v>5635322</v>
      </c>
      <c r="Q150" s="16">
        <f t="shared" si="530"/>
        <v>166726</v>
      </c>
      <c r="R150" s="16">
        <f t="shared" si="530"/>
        <v>30656</v>
      </c>
      <c r="S150" s="13">
        <f t="shared" si="530"/>
        <v>27.143599999999999</v>
      </c>
      <c r="T150" s="13">
        <f t="shared" si="530"/>
        <v>25.362400000000001</v>
      </c>
      <c r="U150" s="17">
        <f t="shared" si="530"/>
        <v>1.7812000000000001</v>
      </c>
      <c r="V150" s="168">
        <f t="shared" si="530"/>
        <v>-5376</v>
      </c>
      <c r="W150" s="16">
        <f t="shared" si="530"/>
        <v>0</v>
      </c>
      <c r="X150" s="16">
        <f t="shared" si="530"/>
        <v>0</v>
      </c>
      <c r="Y150" s="16">
        <f t="shared" si="530"/>
        <v>0</v>
      </c>
      <c r="Z150" s="16">
        <f t="shared" si="530"/>
        <v>0</v>
      </c>
      <c r="AA150" s="16">
        <f t="shared" si="530"/>
        <v>0</v>
      </c>
      <c r="AB150" s="16">
        <f t="shared" si="530"/>
        <v>0</v>
      </c>
      <c r="AC150" s="16">
        <f t="shared" si="530"/>
        <v>0</v>
      </c>
      <c r="AD150" s="16">
        <f t="shared" si="530"/>
        <v>0</v>
      </c>
      <c r="AE150" s="16">
        <f t="shared" si="530"/>
        <v>0</v>
      </c>
      <c r="AF150" s="16">
        <f t="shared" si="530"/>
        <v>-5376</v>
      </c>
      <c r="AG150" s="16">
        <f t="shared" si="530"/>
        <v>0</v>
      </c>
      <c r="AH150" s="16">
        <f t="shared" si="530"/>
        <v>-5376</v>
      </c>
      <c r="AI150" s="16">
        <f t="shared" si="530"/>
        <v>5376</v>
      </c>
      <c r="AJ150" s="16">
        <f t="shared" si="530"/>
        <v>0</v>
      </c>
      <c r="AK150" s="16">
        <f t="shared" si="530"/>
        <v>0</v>
      </c>
      <c r="AL150" s="16">
        <f t="shared" si="530"/>
        <v>0</v>
      </c>
      <c r="AM150" s="16">
        <f t="shared" si="530"/>
        <v>0</v>
      </c>
      <c r="AN150" s="16">
        <f t="shared" si="530"/>
        <v>0</v>
      </c>
      <c r="AO150" s="16">
        <f t="shared" si="530"/>
        <v>5376</v>
      </c>
      <c r="AP150" s="16">
        <f t="shared" si="530"/>
        <v>0</v>
      </c>
      <c r="AQ150" s="16">
        <f t="shared" si="530"/>
        <v>5376</v>
      </c>
      <c r="AR150" s="16">
        <f t="shared" si="530"/>
        <v>0</v>
      </c>
      <c r="AS150" s="16">
        <f t="shared" si="530"/>
        <v>0</v>
      </c>
      <c r="AT150" s="16">
        <f t="shared" si="530"/>
        <v>0</v>
      </c>
      <c r="AU150" s="16">
        <f t="shared" si="530"/>
        <v>0</v>
      </c>
      <c r="AV150" s="16">
        <f t="shared" si="530"/>
        <v>-54</v>
      </c>
      <c r="AW150" s="16">
        <f t="shared" si="530"/>
        <v>0</v>
      </c>
      <c r="AX150" s="16">
        <f t="shared" si="530"/>
        <v>0</v>
      </c>
      <c r="AY150" s="16">
        <f t="shared" si="530"/>
        <v>0</v>
      </c>
      <c r="AZ150" s="16">
        <f t="shared" si="530"/>
        <v>-54</v>
      </c>
      <c r="BA150" s="13">
        <f t="shared" si="530"/>
        <v>0</v>
      </c>
      <c r="BB150" s="13">
        <f t="shared" si="530"/>
        <v>0</v>
      </c>
      <c r="BC150" s="13">
        <f t="shared" si="530"/>
        <v>0</v>
      </c>
      <c r="BD150" s="13">
        <f t="shared" si="530"/>
        <v>0</v>
      </c>
      <c r="BE150" s="13">
        <f t="shared" si="530"/>
        <v>0</v>
      </c>
      <c r="BF150" s="13">
        <f t="shared" si="530"/>
        <v>0</v>
      </c>
      <c r="BG150" s="13">
        <f t="shared" si="530"/>
        <v>0</v>
      </c>
      <c r="BH150" s="13">
        <f t="shared" si="530"/>
        <v>0</v>
      </c>
      <c r="BI150" s="13">
        <f t="shared" si="530"/>
        <v>0</v>
      </c>
      <c r="BJ150" s="13">
        <f t="shared" si="530"/>
        <v>0</v>
      </c>
      <c r="BK150" s="13">
        <f t="shared" si="530"/>
        <v>0</v>
      </c>
      <c r="BL150" s="13">
        <f t="shared" si="530"/>
        <v>0</v>
      </c>
      <c r="BM150" s="169">
        <f t="shared" si="530"/>
        <v>0</v>
      </c>
      <c r="BN150" s="167">
        <f t="shared" si="530"/>
        <v>22505199</v>
      </c>
      <c r="BO150" s="16">
        <f t="shared" si="530"/>
        <v>16667173</v>
      </c>
      <c r="BP150" s="16">
        <f t="shared" si="530"/>
        <v>16032377</v>
      </c>
      <c r="BQ150" s="16">
        <f t="shared" si="530"/>
        <v>634796</v>
      </c>
      <c r="BR150" s="16">
        <f t="shared" si="530"/>
        <v>5376</v>
      </c>
      <c r="BS150" s="16">
        <f t="shared" si="530"/>
        <v>5376</v>
      </c>
      <c r="BT150" s="16">
        <f t="shared" si="530"/>
        <v>0</v>
      </c>
      <c r="BU150" s="16">
        <f t="shared" si="530"/>
        <v>5635322</v>
      </c>
      <c r="BV150" s="16">
        <f t="shared" ref="BV150:CF150" si="531">SUMIF($F$12:$F$452,"=3231",BV$12:BV$452)</f>
        <v>166672</v>
      </c>
      <c r="BW150" s="16">
        <f t="shared" si="531"/>
        <v>30656</v>
      </c>
      <c r="BX150" s="13">
        <f t="shared" si="531"/>
        <v>27.143599999999999</v>
      </c>
      <c r="BY150" s="13">
        <f t="shared" si="531"/>
        <v>25.362400000000001</v>
      </c>
      <c r="BZ150" s="169">
        <f t="shared" si="531"/>
        <v>1.7812000000000001</v>
      </c>
      <c r="CA150" s="167">
        <f t="shared" si="531"/>
        <v>0</v>
      </c>
      <c r="CB150" s="16">
        <f t="shared" si="531"/>
        <v>0</v>
      </c>
      <c r="CC150" s="16">
        <f t="shared" si="531"/>
        <v>0</v>
      </c>
      <c r="CD150" s="16">
        <f t="shared" si="531"/>
        <v>0</v>
      </c>
      <c r="CE150" s="16">
        <f t="shared" si="531"/>
        <v>0</v>
      </c>
      <c r="CF150" s="17">
        <f t="shared" si="531"/>
        <v>0</v>
      </c>
    </row>
    <row r="151" spans="4:84" s="89" customFormat="1" ht="12.95" customHeight="1" thickBot="1" x14ac:dyDescent="0.3">
      <c r="D151" s="313"/>
      <c r="E151" s="314"/>
      <c r="F151" s="313"/>
      <c r="G151" s="315"/>
      <c r="H151" s="151">
        <v>3233</v>
      </c>
      <c r="I151" s="170">
        <f t="shared" ref="I151:BU151" si="532">SUMIF($F$12:$F$452,"=3233",I$12:I$452)</f>
        <v>2307836</v>
      </c>
      <c r="J151" s="171">
        <f t="shared" si="532"/>
        <v>1710950</v>
      </c>
      <c r="K151" s="171">
        <f t="shared" si="532"/>
        <v>1484806</v>
      </c>
      <c r="L151" s="171">
        <f t="shared" si="532"/>
        <v>226144</v>
      </c>
      <c r="M151" s="171">
        <f t="shared" si="532"/>
        <v>0</v>
      </c>
      <c r="N151" s="171">
        <f t="shared" si="532"/>
        <v>0</v>
      </c>
      <c r="O151" s="171">
        <f t="shared" si="532"/>
        <v>0</v>
      </c>
      <c r="P151" s="171">
        <f t="shared" si="532"/>
        <v>578301</v>
      </c>
      <c r="Q151" s="171">
        <f t="shared" si="532"/>
        <v>17110</v>
      </c>
      <c r="R151" s="171">
        <f t="shared" si="532"/>
        <v>1475</v>
      </c>
      <c r="S151" s="172">
        <f t="shared" si="532"/>
        <v>3.42</v>
      </c>
      <c r="T151" s="172">
        <f t="shared" si="532"/>
        <v>2.69</v>
      </c>
      <c r="U151" s="173">
        <f t="shared" si="532"/>
        <v>0.73</v>
      </c>
      <c r="V151" s="174">
        <f t="shared" si="532"/>
        <v>0</v>
      </c>
      <c r="W151" s="171">
        <f t="shared" si="532"/>
        <v>0</v>
      </c>
      <c r="X151" s="171">
        <f t="shared" si="532"/>
        <v>0</v>
      </c>
      <c r="Y151" s="171">
        <f t="shared" si="532"/>
        <v>0</v>
      </c>
      <c r="Z151" s="171">
        <f t="shared" si="532"/>
        <v>0</v>
      </c>
      <c r="AA151" s="171">
        <f t="shared" si="532"/>
        <v>0</v>
      </c>
      <c r="AB151" s="171">
        <f t="shared" si="532"/>
        <v>0</v>
      </c>
      <c r="AC151" s="171">
        <f t="shared" si="532"/>
        <v>0</v>
      </c>
      <c r="AD151" s="171">
        <f t="shared" si="532"/>
        <v>0</v>
      </c>
      <c r="AE151" s="171">
        <f t="shared" si="532"/>
        <v>0</v>
      </c>
      <c r="AF151" s="171">
        <f t="shared" si="532"/>
        <v>0</v>
      </c>
      <c r="AG151" s="171">
        <f t="shared" si="532"/>
        <v>0</v>
      </c>
      <c r="AH151" s="171">
        <f t="shared" si="532"/>
        <v>0</v>
      </c>
      <c r="AI151" s="171">
        <f t="shared" si="532"/>
        <v>0</v>
      </c>
      <c r="AJ151" s="171">
        <f t="shared" si="532"/>
        <v>0</v>
      </c>
      <c r="AK151" s="171">
        <f t="shared" si="532"/>
        <v>0</v>
      </c>
      <c r="AL151" s="171">
        <f t="shared" si="532"/>
        <v>0</v>
      </c>
      <c r="AM151" s="171">
        <f t="shared" si="532"/>
        <v>0</v>
      </c>
      <c r="AN151" s="171">
        <f t="shared" si="532"/>
        <v>0</v>
      </c>
      <c r="AO151" s="171">
        <f t="shared" si="532"/>
        <v>0</v>
      </c>
      <c r="AP151" s="171">
        <f t="shared" si="532"/>
        <v>0</v>
      </c>
      <c r="AQ151" s="171">
        <f t="shared" si="532"/>
        <v>0</v>
      </c>
      <c r="AR151" s="171">
        <f t="shared" si="532"/>
        <v>0</v>
      </c>
      <c r="AS151" s="171">
        <f t="shared" si="532"/>
        <v>0</v>
      </c>
      <c r="AT151" s="171">
        <f t="shared" si="532"/>
        <v>0</v>
      </c>
      <c r="AU151" s="171">
        <f t="shared" si="532"/>
        <v>0</v>
      </c>
      <c r="AV151" s="171">
        <f t="shared" si="532"/>
        <v>0</v>
      </c>
      <c r="AW151" s="171">
        <f t="shared" si="532"/>
        <v>0</v>
      </c>
      <c r="AX151" s="171">
        <f t="shared" si="532"/>
        <v>0</v>
      </c>
      <c r="AY151" s="171">
        <f t="shared" si="532"/>
        <v>0</v>
      </c>
      <c r="AZ151" s="171">
        <f t="shared" si="532"/>
        <v>0</v>
      </c>
      <c r="BA151" s="172">
        <f t="shared" si="532"/>
        <v>0</v>
      </c>
      <c r="BB151" s="172">
        <f t="shared" si="532"/>
        <v>0</v>
      </c>
      <c r="BC151" s="172">
        <f t="shared" si="532"/>
        <v>0</v>
      </c>
      <c r="BD151" s="172">
        <f t="shared" si="532"/>
        <v>0</v>
      </c>
      <c r="BE151" s="172">
        <f t="shared" si="532"/>
        <v>0</v>
      </c>
      <c r="BF151" s="172">
        <f t="shared" si="532"/>
        <v>0</v>
      </c>
      <c r="BG151" s="172">
        <f t="shared" si="532"/>
        <v>0</v>
      </c>
      <c r="BH151" s="172">
        <f t="shared" si="532"/>
        <v>0</v>
      </c>
      <c r="BI151" s="172">
        <f t="shared" si="532"/>
        <v>0</v>
      </c>
      <c r="BJ151" s="172">
        <f t="shared" si="532"/>
        <v>0</v>
      </c>
      <c r="BK151" s="172">
        <f t="shared" si="532"/>
        <v>0</v>
      </c>
      <c r="BL151" s="172">
        <f t="shared" si="532"/>
        <v>0</v>
      </c>
      <c r="BM151" s="175">
        <f t="shared" si="532"/>
        <v>0</v>
      </c>
      <c r="BN151" s="170">
        <f t="shared" si="532"/>
        <v>2307836</v>
      </c>
      <c r="BO151" s="171">
        <f t="shared" si="532"/>
        <v>1710950</v>
      </c>
      <c r="BP151" s="171">
        <f t="shared" si="532"/>
        <v>1484806</v>
      </c>
      <c r="BQ151" s="171">
        <f t="shared" si="532"/>
        <v>226144</v>
      </c>
      <c r="BR151" s="171">
        <f t="shared" si="532"/>
        <v>0</v>
      </c>
      <c r="BS151" s="171">
        <f t="shared" si="532"/>
        <v>0</v>
      </c>
      <c r="BT151" s="171">
        <f t="shared" si="532"/>
        <v>0</v>
      </c>
      <c r="BU151" s="171">
        <f t="shared" si="532"/>
        <v>578301</v>
      </c>
      <c r="BV151" s="171">
        <f t="shared" ref="BV151:CF151" si="533">SUMIF($F$12:$F$452,"=3233",BV$12:BV$452)</f>
        <v>17110</v>
      </c>
      <c r="BW151" s="171">
        <f t="shared" si="533"/>
        <v>1475</v>
      </c>
      <c r="BX151" s="172">
        <f t="shared" si="533"/>
        <v>3.42</v>
      </c>
      <c r="BY151" s="172">
        <f t="shared" si="533"/>
        <v>2.69</v>
      </c>
      <c r="BZ151" s="175">
        <f t="shared" si="533"/>
        <v>0.73</v>
      </c>
      <c r="CA151" s="170">
        <f t="shared" si="533"/>
        <v>0</v>
      </c>
      <c r="CB151" s="171">
        <f t="shared" si="533"/>
        <v>0</v>
      </c>
      <c r="CC151" s="171">
        <f t="shared" si="533"/>
        <v>0</v>
      </c>
      <c r="CD151" s="171">
        <f t="shared" si="533"/>
        <v>0</v>
      </c>
      <c r="CE151" s="171">
        <f t="shared" si="533"/>
        <v>0</v>
      </c>
      <c r="CF151" s="173">
        <f t="shared" si="533"/>
        <v>0</v>
      </c>
    </row>
    <row r="152" spans="4:84" ht="12.95" customHeight="1" x14ac:dyDescent="0.25"/>
    <row r="153" spans="4:84" ht="12.95" customHeight="1" x14ac:dyDescent="0.25"/>
    <row r="159" spans="4:84" x14ac:dyDescent="0.25">
      <c r="S159" s="316"/>
      <c r="T159" s="316"/>
      <c r="U159" s="316"/>
    </row>
  </sheetData>
  <mergeCells count="59">
    <mergeCell ref="CA6:CF7"/>
    <mergeCell ref="CA8:CF9"/>
    <mergeCell ref="AB9:AC10"/>
    <mergeCell ref="AK9:AK10"/>
    <mergeCell ref="AB11:AC11"/>
    <mergeCell ref="BD8:BE10"/>
    <mergeCell ref="BD11:BE11"/>
    <mergeCell ref="AQ9:AQ10"/>
    <mergeCell ref="BS9:BT9"/>
    <mergeCell ref="BU9:BU10"/>
    <mergeCell ref="AH9:AH10"/>
    <mergeCell ref="AI9:AJ9"/>
    <mergeCell ref="AL9:AL10"/>
    <mergeCell ref="AM9:AN9"/>
    <mergeCell ref="AO9:AP9"/>
    <mergeCell ref="AU7:AU10"/>
    <mergeCell ref="BO8:BW8"/>
    <mergeCell ref="N9:O9"/>
    <mergeCell ref="P9:P10"/>
    <mergeCell ref="AV7:AV10"/>
    <mergeCell ref="AW7:AY9"/>
    <mergeCell ref="AZ7:AZ10"/>
    <mergeCell ref="BA7:BM7"/>
    <mergeCell ref="BC8:BC9"/>
    <mergeCell ref="BF8:BG8"/>
    <mergeCell ref="BI8:BJ9"/>
    <mergeCell ref="BK8:BM9"/>
    <mergeCell ref="BX8:BX10"/>
    <mergeCell ref="BY8:BZ9"/>
    <mergeCell ref="V9:W9"/>
    <mergeCell ref="X9:X10"/>
    <mergeCell ref="Y9:Z9"/>
    <mergeCell ref="AA9:AA10"/>
    <mergeCell ref="AD9:AE9"/>
    <mergeCell ref="AF9:AG9"/>
    <mergeCell ref="BO9:BO10"/>
    <mergeCell ref="BP9:BQ9"/>
    <mergeCell ref="BR9:BR10"/>
    <mergeCell ref="BA8:BB9"/>
    <mergeCell ref="BH8:BH9"/>
    <mergeCell ref="BV9:BV10"/>
    <mergeCell ref="BW9:BW10"/>
    <mergeCell ref="BN8:BN10"/>
    <mergeCell ref="A3:E3"/>
    <mergeCell ref="I8:I10"/>
    <mergeCell ref="I6:U7"/>
    <mergeCell ref="V6:BM6"/>
    <mergeCell ref="BN6:BZ7"/>
    <mergeCell ref="V7:AH8"/>
    <mergeCell ref="AI7:AQ8"/>
    <mergeCell ref="AR7:AT9"/>
    <mergeCell ref="Q9:Q10"/>
    <mergeCell ref="R9:R10"/>
    <mergeCell ref="J8:R8"/>
    <mergeCell ref="S8:S10"/>
    <mergeCell ref="T8:U9"/>
    <mergeCell ref="J9:J10"/>
    <mergeCell ref="K9:L9"/>
    <mergeCell ref="M9:M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CF219"/>
  <sheetViews>
    <sheetView zoomScaleNormal="100" workbookViewId="0">
      <pane xSplit="8" ySplit="11" topLeftCell="AF183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ColWidth="9.140625" defaultRowHeight="15" x14ac:dyDescent="0.25"/>
  <cols>
    <col min="1" max="1" width="5" style="397" customWidth="1"/>
    <col min="2" max="2" width="8" style="311" customWidth="1"/>
    <col min="3" max="3" width="10.28515625" style="311" customWidth="1"/>
    <col min="4" max="4" width="9.42578125" style="311" customWidth="1"/>
    <col min="5" max="5" width="37.5703125" style="252" customWidth="1"/>
    <col min="6" max="6" width="4.42578125" style="252" bestFit="1" customWidth="1"/>
    <col min="7" max="7" width="10.28515625" style="252" customWidth="1"/>
    <col min="8" max="8" width="8" style="398" customWidth="1"/>
    <col min="9" max="12" width="10.85546875" style="316" customWidth="1"/>
    <col min="13" max="14" width="10.85546875" style="316" hidden="1" customWidth="1"/>
    <col min="15" max="15" width="12.28515625" style="316" hidden="1" customWidth="1"/>
    <col min="16" max="18" width="10.85546875" style="316" customWidth="1"/>
    <col min="19" max="21" width="9.28515625" style="317" customWidth="1"/>
    <col min="22" max="27" width="10.28515625" style="316" customWidth="1"/>
    <col min="28" max="28" width="10.5703125" style="316" customWidth="1"/>
    <col min="29" max="29" width="10.28515625" style="316" hidden="1" customWidth="1"/>
    <col min="30" max="38" width="10.28515625" style="316" customWidth="1"/>
    <col min="39" max="39" width="9.42578125" style="316" customWidth="1"/>
    <col min="40" max="40" width="9.5703125" style="316" customWidth="1"/>
    <col min="41" max="44" width="10.28515625" style="316" customWidth="1"/>
    <col min="45" max="45" width="10.28515625" style="317" customWidth="1"/>
    <col min="46" max="47" width="10.42578125" style="317" customWidth="1"/>
    <col min="48" max="48" width="11.140625" style="316" customWidth="1"/>
    <col min="49" max="50" width="9.7109375" style="316" customWidth="1"/>
    <col min="51" max="51" width="9.140625" style="316" customWidth="1"/>
    <col min="52" max="52" width="9.7109375" style="316" customWidth="1"/>
    <col min="53" max="53" width="9.85546875" style="317" customWidth="1"/>
    <col min="54" max="56" width="9.140625" style="317" customWidth="1"/>
    <col min="57" max="57" width="9.140625" style="317" hidden="1" customWidth="1"/>
    <col min="58" max="58" width="10.28515625" style="317" customWidth="1"/>
    <col min="59" max="65" width="9.140625" style="317" customWidth="1"/>
    <col min="66" max="75" width="10.85546875" style="317" customWidth="1"/>
    <col min="76" max="78" width="9.28515625" style="317" customWidth="1"/>
    <col min="79" max="83" width="9.7109375" style="316" customWidth="1"/>
    <col min="84" max="84" width="9.7109375" style="317" customWidth="1"/>
    <col min="85" max="85" width="9.140625" style="252" customWidth="1"/>
    <col min="86" max="16384" width="9.140625" style="252"/>
  </cols>
  <sheetData>
    <row r="1" spans="1:84" ht="12" customHeight="1" x14ac:dyDescent="0.25">
      <c r="A1" s="399" t="s">
        <v>2</v>
      </c>
      <c r="B1" s="400"/>
      <c r="C1" s="250"/>
      <c r="D1" s="400"/>
      <c r="E1" s="400"/>
      <c r="F1" s="251"/>
      <c r="G1" s="251"/>
      <c r="H1" s="251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2" customHeight="1" x14ac:dyDescent="0.25">
      <c r="A2" s="364" t="s">
        <v>3</v>
      </c>
      <c r="B2" s="400"/>
      <c r="C2" s="250"/>
      <c r="D2" s="400"/>
      <c r="E2" s="400"/>
      <c r="F2" s="251"/>
      <c r="G2" s="251"/>
      <c r="H2" s="251"/>
    </row>
    <row r="3" spans="1:84" ht="12" customHeight="1" x14ac:dyDescent="0.25">
      <c r="A3" s="1083" t="s">
        <v>4</v>
      </c>
      <c r="B3" s="1083"/>
      <c r="C3" s="1083"/>
      <c r="D3" s="1083"/>
      <c r="E3" s="1083"/>
      <c r="F3" s="251"/>
      <c r="G3" s="251"/>
      <c r="H3" s="251"/>
      <c r="AW3" s="524"/>
      <c r="AX3" s="524"/>
      <c r="AY3" s="524"/>
    </row>
    <row r="4" spans="1:84" ht="12" customHeight="1" x14ac:dyDescent="0.25">
      <c r="A4" s="365"/>
      <c r="B4" s="400"/>
      <c r="C4" s="400"/>
      <c r="D4" s="400"/>
      <c r="E4" s="400"/>
      <c r="F4" s="251"/>
      <c r="G4" s="251"/>
      <c r="H4" s="251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254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3"/>
      <c r="T5" s="723"/>
      <c r="U5" s="723"/>
      <c r="V5" s="722"/>
      <c r="W5" s="722"/>
      <c r="X5" s="722"/>
      <c r="Y5" s="722"/>
      <c r="Z5" s="722"/>
      <c r="AA5" s="722"/>
      <c r="AB5" s="722"/>
      <c r="AC5" s="722"/>
      <c r="AD5" s="722"/>
      <c r="AE5" s="722"/>
      <c r="AF5" s="722"/>
      <c r="AG5" s="722"/>
      <c r="AH5" s="722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251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365"/>
      <c r="B7" s="255"/>
      <c r="C7" s="89"/>
      <c r="D7" s="256"/>
      <c r="E7" s="255"/>
      <c r="F7" s="251"/>
      <c r="G7" s="251"/>
      <c r="H7" s="251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366"/>
      <c r="B8" s="258"/>
      <c r="C8" s="258"/>
      <c r="D8" s="258"/>
      <c r="E8" s="258"/>
      <c r="F8" s="258"/>
      <c r="G8" s="258"/>
      <c r="H8" s="258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3">
      <c r="A9" s="364" t="s">
        <v>779</v>
      </c>
      <c r="B9" s="89"/>
      <c r="C9" s="89"/>
      <c r="D9" s="260"/>
      <c r="E9" s="89"/>
      <c r="F9" s="261"/>
      <c r="G9" s="262"/>
      <c r="H9" s="262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880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3">
      <c r="A10" s="367" t="s">
        <v>756</v>
      </c>
      <c r="B10" s="264" t="s">
        <v>527</v>
      </c>
      <c r="C10" s="264" t="s">
        <v>528</v>
      </c>
      <c r="D10" s="264" t="s">
        <v>258</v>
      </c>
      <c r="E10" s="163" t="s">
        <v>758</v>
      </c>
      <c r="F10" s="264" t="s">
        <v>0</v>
      </c>
      <c r="G10" s="265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893" t="s">
        <v>886</v>
      </c>
      <c r="CB10" s="894" t="s">
        <v>268</v>
      </c>
      <c r="CC10" s="894" t="s">
        <v>274</v>
      </c>
      <c r="CD10" s="894" t="s">
        <v>885</v>
      </c>
      <c r="CE10" s="894" t="s">
        <v>1</v>
      </c>
      <c r="CF10" s="895" t="s">
        <v>887</v>
      </c>
    </row>
    <row r="11" spans="1:84" s="269" customFormat="1" ht="12" thickBot="1" x14ac:dyDescent="0.25">
      <c r="A11" s="368" t="s">
        <v>529</v>
      </c>
      <c r="B11" s="267" t="s">
        <v>530</v>
      </c>
      <c r="C11" s="267" t="s">
        <v>260</v>
      </c>
      <c r="D11" s="267" t="s">
        <v>261</v>
      </c>
      <c r="E11" s="267" t="s">
        <v>531</v>
      </c>
      <c r="F11" s="267" t="s">
        <v>0</v>
      </c>
      <c r="G11" s="267" t="s">
        <v>532</v>
      </c>
      <c r="H11" s="268" t="s">
        <v>752</v>
      </c>
      <c r="I11" s="140" t="s">
        <v>262</v>
      </c>
      <c r="J11" s="141" t="s">
        <v>263</v>
      </c>
      <c r="K11" s="141" t="s">
        <v>808</v>
      </c>
      <c r="L11" s="141" t="s">
        <v>809</v>
      </c>
      <c r="M11" s="141" t="s">
        <v>269</v>
      </c>
      <c r="N11" s="141" t="s">
        <v>810</v>
      </c>
      <c r="O11" s="141" t="s">
        <v>811</v>
      </c>
      <c r="P11" s="141" t="s">
        <v>264</v>
      </c>
      <c r="Q11" s="141" t="s">
        <v>265</v>
      </c>
      <c r="R11" s="141" t="s">
        <v>266</v>
      </c>
      <c r="S11" s="404" t="s">
        <v>267</v>
      </c>
      <c r="T11" s="142" t="s">
        <v>533</v>
      </c>
      <c r="U11" s="180" t="s">
        <v>534</v>
      </c>
      <c r="V11" s="136" t="s">
        <v>824</v>
      </c>
      <c r="W11" s="137" t="s">
        <v>825</v>
      </c>
      <c r="X11" s="137" t="s">
        <v>824</v>
      </c>
      <c r="Y11" s="137" t="s">
        <v>824</v>
      </c>
      <c r="Z11" s="137" t="s">
        <v>825</v>
      </c>
      <c r="AA11" s="137" t="s">
        <v>824</v>
      </c>
      <c r="AB11" s="1081" t="s">
        <v>882</v>
      </c>
      <c r="AC11" s="1082"/>
      <c r="AD11" s="137" t="s">
        <v>824</v>
      </c>
      <c r="AE11" s="137" t="s">
        <v>825</v>
      </c>
      <c r="AF11" s="137" t="s">
        <v>824</v>
      </c>
      <c r="AG11" s="137" t="s">
        <v>825</v>
      </c>
      <c r="AH11" s="137" t="s">
        <v>834</v>
      </c>
      <c r="AI11" s="137" t="s">
        <v>827</v>
      </c>
      <c r="AJ11" s="137" t="s">
        <v>828</v>
      </c>
      <c r="AK11" s="758" t="s">
        <v>883</v>
      </c>
      <c r="AL11" s="137" t="s">
        <v>827</v>
      </c>
      <c r="AM11" s="137" t="s">
        <v>827</v>
      </c>
      <c r="AN11" s="137" t="s">
        <v>828</v>
      </c>
      <c r="AO11" s="137" t="s">
        <v>827</v>
      </c>
      <c r="AP11" s="137" t="s">
        <v>828</v>
      </c>
      <c r="AQ11" s="137" t="s">
        <v>835</v>
      </c>
      <c r="AR11" s="673" t="s">
        <v>829</v>
      </c>
      <c r="AS11" s="673" t="s">
        <v>830</v>
      </c>
      <c r="AT11" s="137" t="s">
        <v>831</v>
      </c>
      <c r="AU11" s="137" t="s">
        <v>283</v>
      </c>
      <c r="AV11" s="137" t="s">
        <v>284</v>
      </c>
      <c r="AW11" s="137" t="s">
        <v>285</v>
      </c>
      <c r="AX11" s="137" t="s">
        <v>285</v>
      </c>
      <c r="AY11" s="137" t="s">
        <v>285</v>
      </c>
      <c r="AZ11" s="137" t="s">
        <v>290</v>
      </c>
      <c r="BA11" s="520" t="s">
        <v>286</v>
      </c>
      <c r="BB11" s="188" t="s">
        <v>287</v>
      </c>
      <c r="BC11" s="188" t="s">
        <v>286</v>
      </c>
      <c r="BD11" s="1081" t="s">
        <v>884</v>
      </c>
      <c r="BE11" s="1082"/>
      <c r="BF11" s="188" t="s">
        <v>286</v>
      </c>
      <c r="BG11" s="188" t="s">
        <v>287</v>
      </c>
      <c r="BH11" s="188" t="s">
        <v>286</v>
      </c>
      <c r="BI11" s="188" t="s">
        <v>286</v>
      </c>
      <c r="BJ11" s="188" t="s">
        <v>287</v>
      </c>
      <c r="BK11" s="188" t="s">
        <v>286</v>
      </c>
      <c r="BL11" s="188" t="s">
        <v>287</v>
      </c>
      <c r="BM11" s="752" t="s">
        <v>288</v>
      </c>
      <c r="BN11" s="136" t="s">
        <v>262</v>
      </c>
      <c r="BO11" s="137" t="s">
        <v>263</v>
      </c>
      <c r="BP11" s="137" t="s">
        <v>808</v>
      </c>
      <c r="BQ11" s="137" t="s">
        <v>809</v>
      </c>
      <c r="BR11" s="137" t="s">
        <v>269</v>
      </c>
      <c r="BS11" s="137" t="s">
        <v>810</v>
      </c>
      <c r="BT11" s="137" t="s">
        <v>811</v>
      </c>
      <c r="BU11" s="137" t="s">
        <v>264</v>
      </c>
      <c r="BV11" s="137" t="s">
        <v>265</v>
      </c>
      <c r="BW11" s="137" t="s">
        <v>266</v>
      </c>
      <c r="BX11" s="188" t="s">
        <v>267</v>
      </c>
      <c r="BY11" s="188" t="s">
        <v>533</v>
      </c>
      <c r="BZ11" s="752" t="s">
        <v>534</v>
      </c>
      <c r="CA11" s="898" t="s">
        <v>889</v>
      </c>
      <c r="CB11" s="899" t="s">
        <v>882</v>
      </c>
      <c r="CC11" s="899" t="s">
        <v>883</v>
      </c>
      <c r="CD11" s="899" t="s">
        <v>890</v>
      </c>
      <c r="CE11" s="899" t="s">
        <v>891</v>
      </c>
      <c r="CF11" s="900" t="s">
        <v>884</v>
      </c>
    </row>
    <row r="12" spans="1:84" ht="12" customHeight="1" x14ac:dyDescent="0.25">
      <c r="A12" s="270">
        <v>1</v>
      </c>
      <c r="B12" s="271">
        <v>5490</v>
      </c>
      <c r="C12" s="271">
        <v>600099474</v>
      </c>
      <c r="D12" s="271">
        <v>71173854</v>
      </c>
      <c r="E12" s="369" t="s">
        <v>452</v>
      </c>
      <c r="F12" s="271">
        <v>3111</v>
      </c>
      <c r="G12" s="370" t="s">
        <v>305</v>
      </c>
      <c r="H12" s="371" t="s">
        <v>271</v>
      </c>
      <c r="I12" s="408">
        <f t="shared" ref="I12:I20" si="0">J12+P12+Q12+R12</f>
        <v>18754882</v>
      </c>
      <c r="J12" s="409">
        <f t="shared" ref="J12:J20" si="1">K12+L12</f>
        <v>13862287</v>
      </c>
      <c r="K12" s="409">
        <v>13096815</v>
      </c>
      <c r="L12" s="409">
        <v>765472</v>
      </c>
      <c r="M12" s="409">
        <f t="shared" ref="M12:M20" si="2">N12+O12</f>
        <v>0</v>
      </c>
      <c r="N12" s="409">
        <v>0</v>
      </c>
      <c r="O12" s="409">
        <v>0</v>
      </c>
      <c r="P12" s="144">
        <f>ROUND((J12+M12)*33.8%,0)-1</f>
        <v>4685452</v>
      </c>
      <c r="Q12" s="144">
        <f t="shared" ref="Q12:Q20" si="3">ROUND(J12*1%,0)</f>
        <v>138623</v>
      </c>
      <c r="R12" s="409">
        <v>68520</v>
      </c>
      <c r="S12" s="410">
        <f t="shared" ref="S12:S75" si="4">T12+U12</f>
        <v>26.566800000000001</v>
      </c>
      <c r="T12" s="410">
        <v>23.5</v>
      </c>
      <c r="U12" s="509">
        <v>3.0668000000000002</v>
      </c>
      <c r="V12" s="747">
        <f t="shared" ref="V12:W20" si="5">AI12*-1</f>
        <v>0</v>
      </c>
      <c r="W12" s="748">
        <f t="shared" si="5"/>
        <v>0</v>
      </c>
      <c r="X12" s="748">
        <v>0</v>
      </c>
      <c r="Y12" s="748">
        <v>0</v>
      </c>
      <c r="Z12" s="748">
        <v>0</v>
      </c>
      <c r="AA12" s="748">
        <v>0</v>
      </c>
      <c r="AB12" s="748">
        <v>0</v>
      </c>
      <c r="AC12" s="748">
        <v>0</v>
      </c>
      <c r="AD12" s="748">
        <v>0</v>
      </c>
      <c r="AE12" s="748">
        <v>0</v>
      </c>
      <c r="AF12" s="748">
        <f t="shared" ref="AF12:AF20" si="6">V12+X12+Y12+AA12+AB12+AD12</f>
        <v>0</v>
      </c>
      <c r="AG12" s="748">
        <f t="shared" ref="AG12:AG20" si="7">W12+Z12+AC12+AE12</f>
        <v>0</v>
      </c>
      <c r="AH12" s="748">
        <f t="shared" ref="AH12:AH20" si="8">SUM(AF12:AG12)</f>
        <v>0</v>
      </c>
      <c r="AI12" s="748">
        <v>0</v>
      </c>
      <c r="AJ12" s="748">
        <v>0</v>
      </c>
      <c r="AK12" s="748">
        <v>0</v>
      </c>
      <c r="AL12" s="748">
        <v>0</v>
      </c>
      <c r="AM12" s="748">
        <v>0</v>
      </c>
      <c r="AN12" s="748">
        <v>0</v>
      </c>
      <c r="AO12" s="421">
        <f>AI12+AK12+AL12+AM12</f>
        <v>0</v>
      </c>
      <c r="AP12" s="748">
        <f t="shared" ref="AP12:AP20" si="9">AJ12+AN12</f>
        <v>0</v>
      </c>
      <c r="AQ12" s="748">
        <f t="shared" ref="AQ12:AQ20" si="10">SUM(AO12:AP12)</f>
        <v>0</v>
      </c>
      <c r="AR12" s="748">
        <f t="shared" ref="AR12:AR20" si="11">AF12+AO12</f>
        <v>0</v>
      </c>
      <c r="AS12" s="748">
        <f t="shared" ref="AS12:AS20" si="12">AG12+AP12</f>
        <v>0</v>
      </c>
      <c r="AT12" s="748">
        <f t="shared" ref="AT12:AT20" si="13">SUM(AR12:AS12)</f>
        <v>0</v>
      </c>
      <c r="AU12" s="68">
        <f>ROUND((AH12+AI12+AJ12+AK12+AL12)*33.8%,0)</f>
        <v>0</v>
      </c>
      <c r="AV12" s="700">
        <f t="shared" ref="AV12:AV20" si="14">ROUND(AH12*1%,0)</f>
        <v>0</v>
      </c>
      <c r="AW12" s="748">
        <v>0</v>
      </c>
      <c r="AX12" s="748">
        <v>0</v>
      </c>
      <c r="AY12" s="748">
        <f t="shared" ref="AY12:AY20" si="15">AW12+AX12</f>
        <v>0</v>
      </c>
      <c r="AZ12" s="748">
        <f t="shared" ref="AZ12:AZ20" si="16">AT12+AU12+AV12+AY12</f>
        <v>0</v>
      </c>
      <c r="BA12" s="749">
        <v>0</v>
      </c>
      <c r="BB12" s="749">
        <v>0</v>
      </c>
      <c r="BC12" s="749">
        <v>0</v>
      </c>
      <c r="BD12" s="749">
        <v>0</v>
      </c>
      <c r="BE12" s="749">
        <v>0</v>
      </c>
      <c r="BF12" s="749">
        <v>0</v>
      </c>
      <c r="BG12" s="749">
        <v>0</v>
      </c>
      <c r="BH12" s="749">
        <v>0</v>
      </c>
      <c r="BI12" s="749">
        <v>0</v>
      </c>
      <c r="BJ12" s="749">
        <v>0</v>
      </c>
      <c r="BK12" s="749">
        <f t="shared" ref="BK12:BK20" si="17">BA12+BC12+BD12+BF12+BH12+BI12</f>
        <v>0</v>
      </c>
      <c r="BL12" s="749">
        <f t="shared" ref="BL12:BL20" si="18">BB12+BE12+BG12+BJ12</f>
        <v>0</v>
      </c>
      <c r="BM12" s="750">
        <f t="shared" ref="BM12:BM20" si="19">SUM(BK12:BL12)</f>
        <v>0</v>
      </c>
      <c r="BN12" s="751">
        <f t="shared" ref="BN12:BN20" si="20">I12+AZ12</f>
        <v>18754882</v>
      </c>
      <c r="BO12" s="748">
        <f t="shared" ref="BO12:BO20" si="21">J12+AH12</f>
        <v>13862287</v>
      </c>
      <c r="BP12" s="748">
        <f t="shared" ref="BP12:BP20" si="22">K12+AF12</f>
        <v>13096815</v>
      </c>
      <c r="BQ12" s="748">
        <f t="shared" ref="BQ12:BQ20" si="23">L12+AG12</f>
        <v>765472</v>
      </c>
      <c r="BR12" s="748">
        <f t="shared" ref="BR12:BR20" si="24">M12+AQ12</f>
        <v>0</v>
      </c>
      <c r="BS12" s="748">
        <f t="shared" ref="BS12:BS20" si="25">N12+AO12</f>
        <v>0</v>
      </c>
      <c r="BT12" s="748">
        <f t="shared" ref="BT12:BT20" si="26">O12+AP12</f>
        <v>0</v>
      </c>
      <c r="BU12" s="748">
        <f t="shared" ref="BU12:BU20" si="27">P12+AU12</f>
        <v>4685452</v>
      </c>
      <c r="BV12" s="748">
        <f t="shared" ref="BV12:BV20" si="28">Q12+AV12</f>
        <v>138623</v>
      </c>
      <c r="BW12" s="748">
        <f t="shared" ref="BW12:BW20" si="29">R12+AY12</f>
        <v>68520</v>
      </c>
      <c r="BX12" s="749">
        <f t="shared" ref="BX12:BX20" si="30">S12+BM12</f>
        <v>26.566800000000001</v>
      </c>
      <c r="BY12" s="749">
        <f t="shared" ref="BY12:BY20" si="31">T12+BK12</f>
        <v>23.5</v>
      </c>
      <c r="BZ12" s="750">
        <f t="shared" ref="BZ12:BZ20" si="32">U12+BL12</f>
        <v>3.0668000000000002</v>
      </c>
      <c r="CA12" s="423"/>
      <c r="CB12" s="418"/>
      <c r="CC12" s="418"/>
      <c r="CD12" s="418"/>
      <c r="CE12" s="418"/>
      <c r="CF12" s="527"/>
    </row>
    <row r="13" spans="1:84" ht="12" customHeight="1" x14ac:dyDescent="0.25">
      <c r="A13" s="282">
        <v>1</v>
      </c>
      <c r="B13" s="372">
        <v>5490</v>
      </c>
      <c r="C13" s="372">
        <v>600099474</v>
      </c>
      <c r="D13" s="372">
        <v>71173854</v>
      </c>
      <c r="E13" s="373" t="s">
        <v>452</v>
      </c>
      <c r="F13" s="372">
        <v>3111</v>
      </c>
      <c r="G13" s="333" t="s">
        <v>293</v>
      </c>
      <c r="H13" s="287" t="s">
        <v>271</v>
      </c>
      <c r="I13" s="423">
        <f t="shared" si="0"/>
        <v>2210774</v>
      </c>
      <c r="J13" s="418">
        <f t="shared" si="1"/>
        <v>1640040</v>
      </c>
      <c r="K13" s="418">
        <v>1640040</v>
      </c>
      <c r="L13" s="418">
        <v>0</v>
      </c>
      <c r="M13" s="418">
        <f t="shared" si="2"/>
        <v>0</v>
      </c>
      <c r="N13" s="418">
        <v>0</v>
      </c>
      <c r="O13" s="418">
        <v>0</v>
      </c>
      <c r="P13" s="68">
        <f>ROUND((J13+M13)*33.8%,0)</f>
        <v>554334</v>
      </c>
      <c r="Q13" s="68">
        <f t="shared" si="3"/>
        <v>16400</v>
      </c>
      <c r="R13" s="418">
        <v>0</v>
      </c>
      <c r="S13" s="419">
        <f t="shared" si="4"/>
        <v>4</v>
      </c>
      <c r="T13" s="419">
        <v>4</v>
      </c>
      <c r="U13" s="527">
        <v>0</v>
      </c>
      <c r="V13" s="427">
        <f t="shared" si="5"/>
        <v>0</v>
      </c>
      <c r="W13" s="421">
        <f t="shared" si="5"/>
        <v>0</v>
      </c>
      <c r="X13" s="421">
        <v>0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f t="shared" si="6"/>
        <v>0</v>
      </c>
      <c r="AG13" s="421">
        <f t="shared" si="7"/>
        <v>0</v>
      </c>
      <c r="AH13" s="421">
        <f t="shared" si="8"/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f>AI13+AK13+AL13+AM13</f>
        <v>0</v>
      </c>
      <c r="AP13" s="421">
        <f t="shared" si="9"/>
        <v>0</v>
      </c>
      <c r="AQ13" s="421">
        <f t="shared" si="10"/>
        <v>0</v>
      </c>
      <c r="AR13" s="421">
        <f t="shared" si="11"/>
        <v>0</v>
      </c>
      <c r="AS13" s="421">
        <f t="shared" si="12"/>
        <v>0</v>
      </c>
      <c r="AT13" s="421">
        <f t="shared" si="13"/>
        <v>0</v>
      </c>
      <c r="AU13" s="68">
        <f>ROUND((AH13+AI13+AJ13+AK13+AL13)*33.8%,0)</f>
        <v>0</v>
      </c>
      <c r="AV13" s="68">
        <f t="shared" si="14"/>
        <v>0</v>
      </c>
      <c r="AW13" s="421">
        <v>0</v>
      </c>
      <c r="AX13" s="421">
        <v>0</v>
      </c>
      <c r="AY13" s="421">
        <f t="shared" si="15"/>
        <v>0</v>
      </c>
      <c r="AZ13" s="421">
        <f t="shared" si="16"/>
        <v>0</v>
      </c>
      <c r="BA13" s="422">
        <v>0</v>
      </c>
      <c r="BB13" s="422">
        <v>0</v>
      </c>
      <c r="BC13" s="422">
        <v>0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f t="shared" si="17"/>
        <v>0</v>
      </c>
      <c r="BL13" s="422">
        <f t="shared" si="18"/>
        <v>0</v>
      </c>
      <c r="BM13" s="611">
        <f t="shared" si="19"/>
        <v>0</v>
      </c>
      <c r="BN13" s="428">
        <f t="shared" si="20"/>
        <v>2210774</v>
      </c>
      <c r="BO13" s="421">
        <f t="shared" si="21"/>
        <v>1640040</v>
      </c>
      <c r="BP13" s="421">
        <f t="shared" si="22"/>
        <v>1640040</v>
      </c>
      <c r="BQ13" s="421">
        <f t="shared" si="23"/>
        <v>0</v>
      </c>
      <c r="BR13" s="421">
        <f t="shared" si="24"/>
        <v>0</v>
      </c>
      <c r="BS13" s="421">
        <f t="shared" si="25"/>
        <v>0</v>
      </c>
      <c r="BT13" s="421">
        <f t="shared" si="26"/>
        <v>0</v>
      </c>
      <c r="BU13" s="421">
        <f t="shared" si="27"/>
        <v>554334</v>
      </c>
      <c r="BV13" s="421">
        <f t="shared" si="28"/>
        <v>16400</v>
      </c>
      <c r="BW13" s="421">
        <f t="shared" si="29"/>
        <v>0</v>
      </c>
      <c r="BX13" s="422">
        <f t="shared" si="30"/>
        <v>4</v>
      </c>
      <c r="BY13" s="422">
        <f t="shared" si="31"/>
        <v>4</v>
      </c>
      <c r="BZ13" s="611">
        <f t="shared" si="32"/>
        <v>0</v>
      </c>
      <c r="CA13" s="423"/>
      <c r="CB13" s="418"/>
      <c r="CC13" s="418"/>
      <c r="CD13" s="418"/>
      <c r="CE13" s="418"/>
      <c r="CF13" s="527"/>
    </row>
    <row r="14" spans="1:84" ht="12.95" customHeight="1" x14ac:dyDescent="0.25">
      <c r="A14" s="282">
        <v>1</v>
      </c>
      <c r="B14" s="213">
        <v>5490</v>
      </c>
      <c r="C14" s="372">
        <v>600099474</v>
      </c>
      <c r="D14" s="213">
        <v>71173854</v>
      </c>
      <c r="E14" s="374" t="s">
        <v>452</v>
      </c>
      <c r="F14" s="213">
        <v>3114</v>
      </c>
      <c r="G14" s="333" t="s">
        <v>526</v>
      </c>
      <c r="H14" s="287" t="s">
        <v>271</v>
      </c>
      <c r="I14" s="423">
        <f t="shared" si="0"/>
        <v>7066604</v>
      </c>
      <c r="J14" s="418">
        <f t="shared" si="1"/>
        <v>5224355</v>
      </c>
      <c r="K14" s="418">
        <v>4484880</v>
      </c>
      <c r="L14" s="418">
        <v>739475</v>
      </c>
      <c r="M14" s="418">
        <f t="shared" si="2"/>
        <v>0</v>
      </c>
      <c r="N14" s="418">
        <v>0</v>
      </c>
      <c r="O14" s="418">
        <v>0</v>
      </c>
      <c r="P14" s="68">
        <f>ROUND((J14+M14)*33.8%,0)-1</f>
        <v>1765831</v>
      </c>
      <c r="Q14" s="68">
        <f t="shared" si="3"/>
        <v>52244</v>
      </c>
      <c r="R14" s="418">
        <v>24174</v>
      </c>
      <c r="S14" s="419">
        <f t="shared" si="4"/>
        <v>8.0921000000000003</v>
      </c>
      <c r="T14" s="419">
        <v>6</v>
      </c>
      <c r="U14" s="527">
        <v>2.0920999999999998</v>
      </c>
      <c r="V14" s="427">
        <f t="shared" si="5"/>
        <v>0</v>
      </c>
      <c r="W14" s="421">
        <f t="shared" si="5"/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 t="shared" si="6"/>
        <v>0</v>
      </c>
      <c r="AG14" s="421">
        <f t="shared" si="7"/>
        <v>0</v>
      </c>
      <c r="AH14" s="421">
        <f t="shared" si="8"/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 t="shared" ref="AO14:AO20" si="33">AI14+AK14+AL14+AM14</f>
        <v>0</v>
      </c>
      <c r="AP14" s="421">
        <f t="shared" si="9"/>
        <v>0</v>
      </c>
      <c r="AQ14" s="421">
        <f t="shared" si="10"/>
        <v>0</v>
      </c>
      <c r="AR14" s="421">
        <f t="shared" si="11"/>
        <v>0</v>
      </c>
      <c r="AS14" s="421">
        <f t="shared" si="12"/>
        <v>0</v>
      </c>
      <c r="AT14" s="421">
        <f t="shared" si="13"/>
        <v>0</v>
      </c>
      <c r="AU14" s="68">
        <f t="shared" ref="AU14:AU20" si="34">ROUND((AH14+AI14+AJ14+AK14+AL14)*33.8%,0)</f>
        <v>0</v>
      </c>
      <c r="AV14" s="68">
        <f t="shared" si="14"/>
        <v>0</v>
      </c>
      <c r="AW14" s="421">
        <v>0</v>
      </c>
      <c r="AX14" s="421">
        <v>0</v>
      </c>
      <c r="AY14" s="421">
        <f t="shared" si="15"/>
        <v>0</v>
      </c>
      <c r="AZ14" s="421">
        <f t="shared" si="16"/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 t="shared" si="17"/>
        <v>0</v>
      </c>
      <c r="BL14" s="422">
        <f t="shared" si="18"/>
        <v>0</v>
      </c>
      <c r="BM14" s="611">
        <f t="shared" si="19"/>
        <v>0</v>
      </c>
      <c r="BN14" s="428">
        <f t="shared" si="20"/>
        <v>7066604</v>
      </c>
      <c r="BO14" s="421">
        <f t="shared" si="21"/>
        <v>5224355</v>
      </c>
      <c r="BP14" s="421">
        <f t="shared" si="22"/>
        <v>4484880</v>
      </c>
      <c r="BQ14" s="421">
        <f t="shared" si="23"/>
        <v>739475</v>
      </c>
      <c r="BR14" s="421">
        <f t="shared" si="24"/>
        <v>0</v>
      </c>
      <c r="BS14" s="421">
        <f t="shared" si="25"/>
        <v>0</v>
      </c>
      <c r="BT14" s="421">
        <f t="shared" si="26"/>
        <v>0</v>
      </c>
      <c r="BU14" s="421">
        <f t="shared" si="27"/>
        <v>1765831</v>
      </c>
      <c r="BV14" s="421">
        <f t="shared" si="28"/>
        <v>52244</v>
      </c>
      <c r="BW14" s="421">
        <f t="shared" si="29"/>
        <v>24174</v>
      </c>
      <c r="BX14" s="422">
        <f t="shared" si="30"/>
        <v>8.0921000000000003</v>
      </c>
      <c r="BY14" s="422">
        <f t="shared" si="31"/>
        <v>6</v>
      </c>
      <c r="BZ14" s="611">
        <f t="shared" si="32"/>
        <v>2.0920999999999998</v>
      </c>
      <c r="CA14" s="423"/>
      <c r="CB14" s="418"/>
      <c r="CC14" s="418"/>
      <c r="CD14" s="418"/>
      <c r="CE14" s="418"/>
      <c r="CF14" s="527"/>
    </row>
    <row r="15" spans="1:84" ht="12.95" customHeight="1" x14ac:dyDescent="0.25">
      <c r="A15" s="282">
        <v>1</v>
      </c>
      <c r="B15" s="372">
        <v>5490</v>
      </c>
      <c r="C15" s="372">
        <v>600099474</v>
      </c>
      <c r="D15" s="372">
        <v>71173854</v>
      </c>
      <c r="E15" s="373" t="s">
        <v>452</v>
      </c>
      <c r="F15" s="213">
        <v>3114</v>
      </c>
      <c r="G15" s="325" t="s">
        <v>292</v>
      </c>
      <c r="H15" s="287" t="s">
        <v>272</v>
      </c>
      <c r="I15" s="423">
        <f t="shared" si="0"/>
        <v>0</v>
      </c>
      <c r="J15" s="418">
        <f t="shared" si="1"/>
        <v>0</v>
      </c>
      <c r="K15" s="418">
        <v>0</v>
      </c>
      <c r="L15" s="418">
        <v>0</v>
      </c>
      <c r="M15" s="418">
        <f t="shared" si="2"/>
        <v>0</v>
      </c>
      <c r="N15" s="418">
        <v>0</v>
      </c>
      <c r="O15" s="418">
        <v>0</v>
      </c>
      <c r="P15" s="68">
        <f t="shared" ref="P15:P20" si="35">ROUND((J15+M15)*33.8%,0)</f>
        <v>0</v>
      </c>
      <c r="Q15" s="68">
        <f t="shared" si="3"/>
        <v>0</v>
      </c>
      <c r="R15" s="418">
        <v>0</v>
      </c>
      <c r="S15" s="419">
        <f t="shared" si="4"/>
        <v>0</v>
      </c>
      <c r="T15" s="419">
        <v>0</v>
      </c>
      <c r="U15" s="527">
        <v>0</v>
      </c>
      <c r="V15" s="427">
        <f t="shared" si="5"/>
        <v>0</v>
      </c>
      <c r="W15" s="421">
        <f t="shared" si="5"/>
        <v>0</v>
      </c>
      <c r="X15" s="421">
        <f>636799+20631</f>
        <v>657430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 t="shared" si="6"/>
        <v>657430</v>
      </c>
      <c r="AG15" s="421">
        <f t="shared" si="7"/>
        <v>0</v>
      </c>
      <c r="AH15" s="421">
        <f t="shared" si="8"/>
        <v>657430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si="33"/>
        <v>0</v>
      </c>
      <c r="AP15" s="421">
        <f t="shared" si="9"/>
        <v>0</v>
      </c>
      <c r="AQ15" s="421">
        <f t="shared" si="10"/>
        <v>0</v>
      </c>
      <c r="AR15" s="421">
        <f t="shared" si="11"/>
        <v>657430</v>
      </c>
      <c r="AS15" s="421">
        <f t="shared" si="12"/>
        <v>0</v>
      </c>
      <c r="AT15" s="421">
        <f t="shared" si="13"/>
        <v>657430</v>
      </c>
      <c r="AU15" s="68">
        <f t="shared" si="34"/>
        <v>222211</v>
      </c>
      <c r="AV15" s="68">
        <f t="shared" si="14"/>
        <v>6574</v>
      </c>
      <c r="AW15" s="421">
        <v>0</v>
      </c>
      <c r="AX15" s="421">
        <v>0</v>
      </c>
      <c r="AY15" s="421">
        <f t="shared" si="15"/>
        <v>0</v>
      </c>
      <c r="AZ15" s="421">
        <f t="shared" si="16"/>
        <v>886215</v>
      </c>
      <c r="BA15" s="422">
        <v>0</v>
      </c>
      <c r="BB15" s="422">
        <v>0</v>
      </c>
      <c r="BC15" s="422">
        <f>1.6+0.04</f>
        <v>1.6400000000000001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 t="shared" si="17"/>
        <v>1.6400000000000001</v>
      </c>
      <c r="BL15" s="422">
        <f t="shared" si="18"/>
        <v>0</v>
      </c>
      <c r="BM15" s="611">
        <f t="shared" si="19"/>
        <v>1.6400000000000001</v>
      </c>
      <c r="BN15" s="428">
        <f t="shared" si="20"/>
        <v>886215</v>
      </c>
      <c r="BO15" s="421">
        <f t="shared" si="21"/>
        <v>657430</v>
      </c>
      <c r="BP15" s="421">
        <f t="shared" si="22"/>
        <v>657430</v>
      </c>
      <c r="BQ15" s="421">
        <f t="shared" si="23"/>
        <v>0</v>
      </c>
      <c r="BR15" s="421">
        <f t="shared" si="24"/>
        <v>0</v>
      </c>
      <c r="BS15" s="421">
        <f t="shared" si="25"/>
        <v>0</v>
      </c>
      <c r="BT15" s="421">
        <f t="shared" si="26"/>
        <v>0</v>
      </c>
      <c r="BU15" s="421">
        <f t="shared" si="27"/>
        <v>222211</v>
      </c>
      <c r="BV15" s="421">
        <f t="shared" si="28"/>
        <v>6574</v>
      </c>
      <c r="BW15" s="421">
        <f t="shared" si="29"/>
        <v>0</v>
      </c>
      <c r="BX15" s="422">
        <f t="shared" si="30"/>
        <v>1.6400000000000001</v>
      </c>
      <c r="BY15" s="422">
        <f t="shared" si="31"/>
        <v>1.6400000000000001</v>
      </c>
      <c r="BZ15" s="611">
        <f t="shared" si="32"/>
        <v>0</v>
      </c>
      <c r="CA15" s="423"/>
      <c r="CB15" s="418"/>
      <c r="CC15" s="418"/>
      <c r="CD15" s="418"/>
      <c r="CE15" s="418"/>
      <c r="CF15" s="527"/>
    </row>
    <row r="16" spans="1:84" ht="12.95" customHeight="1" x14ac:dyDescent="0.25">
      <c r="A16" s="282">
        <v>1</v>
      </c>
      <c r="B16" s="213">
        <v>5490</v>
      </c>
      <c r="C16" s="372">
        <v>600099474</v>
      </c>
      <c r="D16" s="213">
        <v>71173854</v>
      </c>
      <c r="E16" s="374" t="s">
        <v>452</v>
      </c>
      <c r="F16" s="213">
        <v>3114</v>
      </c>
      <c r="G16" s="333" t="s">
        <v>293</v>
      </c>
      <c r="H16" s="287" t="s">
        <v>271</v>
      </c>
      <c r="I16" s="423">
        <f t="shared" si="0"/>
        <v>3355550</v>
      </c>
      <c r="J16" s="418">
        <f t="shared" si="1"/>
        <v>2489280</v>
      </c>
      <c r="K16" s="418">
        <v>2489280</v>
      </c>
      <c r="L16" s="418">
        <v>0</v>
      </c>
      <c r="M16" s="418">
        <f t="shared" si="2"/>
        <v>0</v>
      </c>
      <c r="N16" s="418">
        <v>0</v>
      </c>
      <c r="O16" s="418">
        <v>0</v>
      </c>
      <c r="P16" s="68">
        <f t="shared" si="35"/>
        <v>841377</v>
      </c>
      <c r="Q16" s="68">
        <f t="shared" si="3"/>
        <v>24893</v>
      </c>
      <c r="R16" s="418">
        <v>0</v>
      </c>
      <c r="S16" s="419">
        <f t="shared" si="4"/>
        <v>6.1</v>
      </c>
      <c r="T16" s="419">
        <v>6.1</v>
      </c>
      <c r="U16" s="527">
        <v>0</v>
      </c>
      <c r="V16" s="427">
        <f t="shared" si="5"/>
        <v>0</v>
      </c>
      <c r="W16" s="421">
        <f t="shared" si="5"/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 t="shared" si="6"/>
        <v>0</v>
      </c>
      <c r="AG16" s="421">
        <f t="shared" si="7"/>
        <v>0</v>
      </c>
      <c r="AH16" s="421">
        <f t="shared" si="8"/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si="33"/>
        <v>0</v>
      </c>
      <c r="AP16" s="421">
        <f t="shared" si="9"/>
        <v>0</v>
      </c>
      <c r="AQ16" s="421">
        <f t="shared" si="10"/>
        <v>0</v>
      </c>
      <c r="AR16" s="421">
        <f t="shared" si="11"/>
        <v>0</v>
      </c>
      <c r="AS16" s="421">
        <f t="shared" si="12"/>
        <v>0</v>
      </c>
      <c r="AT16" s="421">
        <f t="shared" si="13"/>
        <v>0</v>
      </c>
      <c r="AU16" s="68">
        <f t="shared" si="34"/>
        <v>0</v>
      </c>
      <c r="AV16" s="68">
        <f t="shared" si="14"/>
        <v>0</v>
      </c>
      <c r="AW16" s="421">
        <v>0</v>
      </c>
      <c r="AX16" s="421">
        <v>0</v>
      </c>
      <c r="AY16" s="421">
        <f t="shared" si="15"/>
        <v>0</v>
      </c>
      <c r="AZ16" s="421">
        <f t="shared" si="16"/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 t="shared" si="17"/>
        <v>0</v>
      </c>
      <c r="BL16" s="422">
        <f t="shared" si="18"/>
        <v>0</v>
      </c>
      <c r="BM16" s="611">
        <f t="shared" si="19"/>
        <v>0</v>
      </c>
      <c r="BN16" s="428">
        <f t="shared" si="20"/>
        <v>3355550</v>
      </c>
      <c r="BO16" s="421">
        <f t="shared" si="21"/>
        <v>2489280</v>
      </c>
      <c r="BP16" s="421">
        <f t="shared" si="22"/>
        <v>2489280</v>
      </c>
      <c r="BQ16" s="421">
        <f t="shared" si="23"/>
        <v>0</v>
      </c>
      <c r="BR16" s="421">
        <f t="shared" si="24"/>
        <v>0</v>
      </c>
      <c r="BS16" s="421">
        <f t="shared" si="25"/>
        <v>0</v>
      </c>
      <c r="BT16" s="421">
        <f t="shared" si="26"/>
        <v>0</v>
      </c>
      <c r="BU16" s="421">
        <f t="shared" si="27"/>
        <v>841377</v>
      </c>
      <c r="BV16" s="421">
        <f t="shared" si="28"/>
        <v>24893</v>
      </c>
      <c r="BW16" s="421">
        <f t="shared" si="29"/>
        <v>0</v>
      </c>
      <c r="BX16" s="422">
        <f t="shared" si="30"/>
        <v>6.1</v>
      </c>
      <c r="BY16" s="422">
        <f t="shared" si="31"/>
        <v>6.1</v>
      </c>
      <c r="BZ16" s="611">
        <f t="shared" si="32"/>
        <v>0</v>
      </c>
      <c r="CA16" s="423"/>
      <c r="CB16" s="418"/>
      <c r="CC16" s="418"/>
      <c r="CD16" s="418"/>
      <c r="CE16" s="418"/>
      <c r="CF16" s="527"/>
    </row>
    <row r="17" spans="1:84" ht="12.95" customHeight="1" x14ac:dyDescent="0.25">
      <c r="A17" s="282">
        <v>1</v>
      </c>
      <c r="B17" s="372">
        <v>5490</v>
      </c>
      <c r="C17" s="372">
        <v>600099474</v>
      </c>
      <c r="D17" s="372">
        <v>71173854</v>
      </c>
      <c r="E17" s="373" t="s">
        <v>452</v>
      </c>
      <c r="F17" s="372">
        <v>3141</v>
      </c>
      <c r="G17" s="375" t="s">
        <v>295</v>
      </c>
      <c r="H17" s="287" t="s">
        <v>272</v>
      </c>
      <c r="I17" s="423">
        <f t="shared" si="0"/>
        <v>1559585</v>
      </c>
      <c r="J17" s="418">
        <f t="shared" si="1"/>
        <v>1151640</v>
      </c>
      <c r="K17" s="418">
        <v>0</v>
      </c>
      <c r="L17" s="418">
        <v>1151640</v>
      </c>
      <c r="M17" s="418">
        <f t="shared" si="2"/>
        <v>0</v>
      </c>
      <c r="N17" s="418">
        <v>0</v>
      </c>
      <c r="O17" s="418">
        <v>0</v>
      </c>
      <c r="P17" s="68">
        <f t="shared" si="35"/>
        <v>389254</v>
      </c>
      <c r="Q17" s="68">
        <f t="shared" si="3"/>
        <v>11516</v>
      </c>
      <c r="R17" s="418">
        <v>7175</v>
      </c>
      <c r="S17" s="419">
        <f t="shared" si="4"/>
        <v>3.4533999999999998</v>
      </c>
      <c r="T17" s="419">
        <v>0</v>
      </c>
      <c r="U17" s="527">
        <v>3.4533999999999998</v>
      </c>
      <c r="V17" s="427">
        <f t="shared" si="5"/>
        <v>0</v>
      </c>
      <c r="W17" s="421">
        <f t="shared" si="5"/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 t="shared" si="6"/>
        <v>0</v>
      </c>
      <c r="AG17" s="421">
        <f t="shared" si="7"/>
        <v>0</v>
      </c>
      <c r="AH17" s="421">
        <f t="shared" si="8"/>
        <v>0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33"/>
        <v>0</v>
      </c>
      <c r="AP17" s="421">
        <f t="shared" si="9"/>
        <v>0</v>
      </c>
      <c r="AQ17" s="421">
        <f t="shared" si="10"/>
        <v>0</v>
      </c>
      <c r="AR17" s="421">
        <f t="shared" si="11"/>
        <v>0</v>
      </c>
      <c r="AS17" s="421">
        <f t="shared" si="12"/>
        <v>0</v>
      </c>
      <c r="AT17" s="421">
        <f t="shared" si="13"/>
        <v>0</v>
      </c>
      <c r="AU17" s="68">
        <f t="shared" si="34"/>
        <v>0</v>
      </c>
      <c r="AV17" s="68">
        <f t="shared" si="14"/>
        <v>0</v>
      </c>
      <c r="AW17" s="421">
        <v>0</v>
      </c>
      <c r="AX17" s="421">
        <v>0</v>
      </c>
      <c r="AY17" s="421">
        <f t="shared" si="15"/>
        <v>0</v>
      </c>
      <c r="AZ17" s="421">
        <f t="shared" si="16"/>
        <v>0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 t="shared" si="17"/>
        <v>0</v>
      </c>
      <c r="BL17" s="422">
        <f t="shared" si="18"/>
        <v>0</v>
      </c>
      <c r="BM17" s="611">
        <f t="shared" si="19"/>
        <v>0</v>
      </c>
      <c r="BN17" s="428">
        <f t="shared" si="20"/>
        <v>1559585</v>
      </c>
      <c r="BO17" s="421">
        <f t="shared" si="21"/>
        <v>1151640</v>
      </c>
      <c r="BP17" s="421">
        <f t="shared" si="22"/>
        <v>0</v>
      </c>
      <c r="BQ17" s="421">
        <f t="shared" si="23"/>
        <v>1151640</v>
      </c>
      <c r="BR17" s="421">
        <f t="shared" si="24"/>
        <v>0</v>
      </c>
      <c r="BS17" s="421">
        <f t="shared" si="25"/>
        <v>0</v>
      </c>
      <c r="BT17" s="421">
        <f t="shared" si="26"/>
        <v>0</v>
      </c>
      <c r="BU17" s="421">
        <f t="shared" si="27"/>
        <v>389254</v>
      </c>
      <c r="BV17" s="421">
        <f t="shared" si="28"/>
        <v>11516</v>
      </c>
      <c r="BW17" s="421">
        <f t="shared" si="29"/>
        <v>7175</v>
      </c>
      <c r="BX17" s="422">
        <f t="shared" si="30"/>
        <v>3.4533999999999998</v>
      </c>
      <c r="BY17" s="422">
        <f t="shared" si="31"/>
        <v>0</v>
      </c>
      <c r="BZ17" s="611">
        <f t="shared" si="32"/>
        <v>3.4533999999999998</v>
      </c>
      <c r="CA17" s="423"/>
      <c r="CB17" s="418"/>
      <c r="CC17" s="418"/>
      <c r="CD17" s="418"/>
      <c r="CE17" s="418"/>
      <c r="CF17" s="527"/>
    </row>
    <row r="18" spans="1:84" ht="12.95" customHeight="1" x14ac:dyDescent="0.25">
      <c r="A18" s="282">
        <v>1</v>
      </c>
      <c r="B18" s="372">
        <v>5490</v>
      </c>
      <c r="C18" s="372">
        <v>600099474</v>
      </c>
      <c r="D18" s="372">
        <v>71173854</v>
      </c>
      <c r="E18" s="373" t="s">
        <v>803</v>
      </c>
      <c r="F18" s="213">
        <v>3143</v>
      </c>
      <c r="G18" s="325" t="s">
        <v>596</v>
      </c>
      <c r="H18" s="287" t="s">
        <v>271</v>
      </c>
      <c r="I18" s="423">
        <f t="shared" si="0"/>
        <v>1013831</v>
      </c>
      <c r="J18" s="418">
        <f t="shared" si="1"/>
        <v>752100</v>
      </c>
      <c r="K18" s="418">
        <v>752100</v>
      </c>
      <c r="L18" s="418">
        <v>0</v>
      </c>
      <c r="M18" s="418">
        <f t="shared" si="2"/>
        <v>0</v>
      </c>
      <c r="N18" s="418">
        <v>0</v>
      </c>
      <c r="O18" s="418">
        <v>0</v>
      </c>
      <c r="P18" s="68">
        <f t="shared" si="35"/>
        <v>254210</v>
      </c>
      <c r="Q18" s="68">
        <f t="shared" si="3"/>
        <v>7521</v>
      </c>
      <c r="R18" s="418">
        <v>0</v>
      </c>
      <c r="S18" s="419">
        <f t="shared" si="4"/>
        <v>1.5</v>
      </c>
      <c r="T18" s="419">
        <v>1.5</v>
      </c>
      <c r="U18" s="527">
        <v>0</v>
      </c>
      <c r="V18" s="427">
        <f t="shared" si="5"/>
        <v>0</v>
      </c>
      <c r="W18" s="421">
        <f t="shared" si="5"/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 t="shared" si="6"/>
        <v>0</v>
      </c>
      <c r="AG18" s="421">
        <f t="shared" si="7"/>
        <v>0</v>
      </c>
      <c r="AH18" s="421">
        <f t="shared" si="8"/>
        <v>0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si="33"/>
        <v>0</v>
      </c>
      <c r="AP18" s="421">
        <f t="shared" si="9"/>
        <v>0</v>
      </c>
      <c r="AQ18" s="421">
        <f t="shared" si="10"/>
        <v>0</v>
      </c>
      <c r="AR18" s="421">
        <f t="shared" si="11"/>
        <v>0</v>
      </c>
      <c r="AS18" s="421">
        <f t="shared" si="12"/>
        <v>0</v>
      </c>
      <c r="AT18" s="421">
        <f t="shared" si="13"/>
        <v>0</v>
      </c>
      <c r="AU18" s="68">
        <f t="shared" si="34"/>
        <v>0</v>
      </c>
      <c r="AV18" s="68">
        <f t="shared" si="14"/>
        <v>0</v>
      </c>
      <c r="AW18" s="421">
        <v>0</v>
      </c>
      <c r="AX18" s="421">
        <v>0</v>
      </c>
      <c r="AY18" s="421">
        <f t="shared" si="15"/>
        <v>0</v>
      </c>
      <c r="AZ18" s="421">
        <f t="shared" si="16"/>
        <v>0</v>
      </c>
      <c r="BA18" s="422">
        <v>0</v>
      </c>
      <c r="BB18" s="422">
        <v>0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 t="shared" si="17"/>
        <v>0</v>
      </c>
      <c r="BL18" s="422">
        <f t="shared" si="18"/>
        <v>0</v>
      </c>
      <c r="BM18" s="611">
        <f t="shared" si="19"/>
        <v>0</v>
      </c>
      <c r="BN18" s="428">
        <f t="shared" si="20"/>
        <v>1013831</v>
      </c>
      <c r="BO18" s="421">
        <f t="shared" si="21"/>
        <v>752100</v>
      </c>
      <c r="BP18" s="421">
        <f t="shared" si="22"/>
        <v>752100</v>
      </c>
      <c r="BQ18" s="421">
        <f t="shared" si="23"/>
        <v>0</v>
      </c>
      <c r="BR18" s="421">
        <f t="shared" si="24"/>
        <v>0</v>
      </c>
      <c r="BS18" s="421">
        <f t="shared" si="25"/>
        <v>0</v>
      </c>
      <c r="BT18" s="421">
        <f t="shared" si="26"/>
        <v>0</v>
      </c>
      <c r="BU18" s="421">
        <f t="shared" si="27"/>
        <v>254210</v>
      </c>
      <c r="BV18" s="421">
        <f t="shared" si="28"/>
        <v>7521</v>
      </c>
      <c r="BW18" s="421">
        <f t="shared" si="29"/>
        <v>0</v>
      </c>
      <c r="BX18" s="422">
        <f t="shared" si="30"/>
        <v>1.5</v>
      </c>
      <c r="BY18" s="422">
        <f t="shared" si="31"/>
        <v>1.5</v>
      </c>
      <c r="BZ18" s="611">
        <f t="shared" si="32"/>
        <v>0</v>
      </c>
      <c r="CA18" s="423"/>
      <c r="CB18" s="418"/>
      <c r="CC18" s="418"/>
      <c r="CD18" s="418"/>
      <c r="CE18" s="418"/>
      <c r="CF18" s="527"/>
    </row>
    <row r="19" spans="1:84" ht="12.95" customHeight="1" x14ac:dyDescent="0.25">
      <c r="A19" s="282">
        <v>1</v>
      </c>
      <c r="B19" s="372">
        <v>5490</v>
      </c>
      <c r="C19" s="372">
        <v>600099474</v>
      </c>
      <c r="D19" s="372">
        <v>71173854</v>
      </c>
      <c r="E19" s="373" t="s">
        <v>803</v>
      </c>
      <c r="F19" s="213">
        <v>3143</v>
      </c>
      <c r="G19" s="325" t="s">
        <v>802</v>
      </c>
      <c r="H19" s="287" t="s">
        <v>271</v>
      </c>
      <c r="I19" s="423">
        <f t="shared" si="0"/>
        <v>467228</v>
      </c>
      <c r="J19" s="418">
        <f t="shared" si="1"/>
        <v>346608</v>
      </c>
      <c r="K19" s="418">
        <v>346608</v>
      </c>
      <c r="L19" s="418">
        <v>0</v>
      </c>
      <c r="M19" s="418">
        <f t="shared" si="2"/>
        <v>0</v>
      </c>
      <c r="N19" s="418">
        <v>0</v>
      </c>
      <c r="O19" s="418">
        <v>0</v>
      </c>
      <c r="P19" s="68">
        <f t="shared" si="35"/>
        <v>117154</v>
      </c>
      <c r="Q19" s="68">
        <f t="shared" si="3"/>
        <v>3466</v>
      </c>
      <c r="R19" s="418">
        <v>0</v>
      </c>
      <c r="S19" s="419">
        <f t="shared" si="4"/>
        <v>0.9</v>
      </c>
      <c r="T19" s="419">
        <v>0.9</v>
      </c>
      <c r="U19" s="527">
        <v>0</v>
      </c>
      <c r="V19" s="427">
        <f t="shared" si="5"/>
        <v>0</v>
      </c>
      <c r="W19" s="421">
        <f t="shared" si="5"/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 t="shared" si="6"/>
        <v>0</v>
      </c>
      <c r="AG19" s="421">
        <f t="shared" si="7"/>
        <v>0</v>
      </c>
      <c r="AH19" s="421">
        <f t="shared" si="8"/>
        <v>0</v>
      </c>
      <c r="AI19" s="421">
        <v>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33"/>
        <v>0</v>
      </c>
      <c r="AP19" s="421">
        <f t="shared" si="9"/>
        <v>0</v>
      </c>
      <c r="AQ19" s="421">
        <f t="shared" si="10"/>
        <v>0</v>
      </c>
      <c r="AR19" s="421">
        <f t="shared" si="11"/>
        <v>0</v>
      </c>
      <c r="AS19" s="421">
        <f t="shared" si="12"/>
        <v>0</v>
      </c>
      <c r="AT19" s="421">
        <f t="shared" si="13"/>
        <v>0</v>
      </c>
      <c r="AU19" s="68">
        <f t="shared" si="34"/>
        <v>0</v>
      </c>
      <c r="AV19" s="68">
        <f t="shared" si="14"/>
        <v>0</v>
      </c>
      <c r="AW19" s="421">
        <v>0</v>
      </c>
      <c r="AX19" s="421">
        <v>0</v>
      </c>
      <c r="AY19" s="421">
        <f t="shared" si="15"/>
        <v>0</v>
      </c>
      <c r="AZ19" s="421">
        <f t="shared" si="16"/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 t="shared" si="17"/>
        <v>0</v>
      </c>
      <c r="BL19" s="422">
        <f t="shared" si="18"/>
        <v>0</v>
      </c>
      <c r="BM19" s="611">
        <f t="shared" si="19"/>
        <v>0</v>
      </c>
      <c r="BN19" s="428">
        <f t="shared" si="20"/>
        <v>467228</v>
      </c>
      <c r="BO19" s="421">
        <f t="shared" si="21"/>
        <v>346608</v>
      </c>
      <c r="BP19" s="421">
        <f t="shared" si="22"/>
        <v>346608</v>
      </c>
      <c r="BQ19" s="421">
        <f t="shared" si="23"/>
        <v>0</v>
      </c>
      <c r="BR19" s="421">
        <f t="shared" si="24"/>
        <v>0</v>
      </c>
      <c r="BS19" s="421">
        <f t="shared" si="25"/>
        <v>0</v>
      </c>
      <c r="BT19" s="421">
        <f t="shared" si="26"/>
        <v>0</v>
      </c>
      <c r="BU19" s="421">
        <f t="shared" si="27"/>
        <v>117154</v>
      </c>
      <c r="BV19" s="421">
        <f t="shared" si="28"/>
        <v>3466</v>
      </c>
      <c r="BW19" s="421">
        <f t="shared" si="29"/>
        <v>0</v>
      </c>
      <c r="BX19" s="422">
        <f t="shared" si="30"/>
        <v>0.9</v>
      </c>
      <c r="BY19" s="422">
        <f t="shared" si="31"/>
        <v>0.9</v>
      </c>
      <c r="BZ19" s="611">
        <f t="shared" si="32"/>
        <v>0</v>
      </c>
      <c r="CA19" s="423"/>
      <c r="CB19" s="418"/>
      <c r="CC19" s="418"/>
      <c r="CD19" s="418"/>
      <c r="CE19" s="418"/>
      <c r="CF19" s="527"/>
    </row>
    <row r="20" spans="1:84" ht="12.95" customHeight="1" x14ac:dyDescent="0.25">
      <c r="A20" s="282">
        <v>1</v>
      </c>
      <c r="B20" s="372">
        <v>5490</v>
      </c>
      <c r="C20" s="372">
        <v>600099474</v>
      </c>
      <c r="D20" s="372">
        <v>71173854</v>
      </c>
      <c r="E20" s="373" t="s">
        <v>803</v>
      </c>
      <c r="F20" s="213">
        <v>3143</v>
      </c>
      <c r="G20" s="325" t="s">
        <v>597</v>
      </c>
      <c r="H20" s="287" t="s">
        <v>272</v>
      </c>
      <c r="I20" s="423">
        <f t="shared" si="0"/>
        <v>8189</v>
      </c>
      <c r="J20" s="418">
        <f t="shared" si="1"/>
        <v>5861</v>
      </c>
      <c r="K20" s="418">
        <v>0</v>
      </c>
      <c r="L20" s="418">
        <v>5861</v>
      </c>
      <c r="M20" s="418">
        <f t="shared" si="2"/>
        <v>0</v>
      </c>
      <c r="N20" s="418">
        <v>0</v>
      </c>
      <c r="O20" s="418">
        <v>0</v>
      </c>
      <c r="P20" s="68">
        <f t="shared" si="35"/>
        <v>1981</v>
      </c>
      <c r="Q20" s="68">
        <f t="shared" si="3"/>
        <v>59</v>
      </c>
      <c r="R20" s="418">
        <v>288</v>
      </c>
      <c r="S20" s="419">
        <f t="shared" si="4"/>
        <v>2.2200000000000001E-2</v>
      </c>
      <c r="T20" s="419">
        <v>0</v>
      </c>
      <c r="U20" s="527">
        <v>2.2200000000000001E-2</v>
      </c>
      <c r="V20" s="427">
        <f t="shared" si="5"/>
        <v>0</v>
      </c>
      <c r="W20" s="421">
        <f t="shared" si="5"/>
        <v>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 t="shared" si="6"/>
        <v>0</v>
      </c>
      <c r="AG20" s="421">
        <f t="shared" si="7"/>
        <v>0</v>
      </c>
      <c r="AH20" s="421">
        <f t="shared" si="8"/>
        <v>0</v>
      </c>
      <c r="AI20" s="421">
        <v>0</v>
      </c>
      <c r="AJ20" s="421">
        <v>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si="33"/>
        <v>0</v>
      </c>
      <c r="AP20" s="421">
        <f t="shared" si="9"/>
        <v>0</v>
      </c>
      <c r="AQ20" s="421">
        <f t="shared" si="10"/>
        <v>0</v>
      </c>
      <c r="AR20" s="421">
        <f t="shared" si="11"/>
        <v>0</v>
      </c>
      <c r="AS20" s="421">
        <f t="shared" si="12"/>
        <v>0</v>
      </c>
      <c r="AT20" s="421">
        <f t="shared" si="13"/>
        <v>0</v>
      </c>
      <c r="AU20" s="68">
        <f t="shared" si="34"/>
        <v>0</v>
      </c>
      <c r="AV20" s="68">
        <f t="shared" si="14"/>
        <v>0</v>
      </c>
      <c r="AW20" s="421">
        <v>0</v>
      </c>
      <c r="AX20" s="421">
        <v>0</v>
      </c>
      <c r="AY20" s="421">
        <f t="shared" si="15"/>
        <v>0</v>
      </c>
      <c r="AZ20" s="421">
        <f t="shared" si="16"/>
        <v>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 t="shared" si="17"/>
        <v>0</v>
      </c>
      <c r="BL20" s="422">
        <f t="shared" si="18"/>
        <v>0</v>
      </c>
      <c r="BM20" s="611">
        <f t="shared" si="19"/>
        <v>0</v>
      </c>
      <c r="BN20" s="428">
        <f t="shared" si="20"/>
        <v>8189</v>
      </c>
      <c r="BO20" s="421">
        <f t="shared" si="21"/>
        <v>5861</v>
      </c>
      <c r="BP20" s="421">
        <f t="shared" si="22"/>
        <v>0</v>
      </c>
      <c r="BQ20" s="421">
        <f t="shared" si="23"/>
        <v>5861</v>
      </c>
      <c r="BR20" s="421">
        <f t="shared" si="24"/>
        <v>0</v>
      </c>
      <c r="BS20" s="421">
        <f t="shared" si="25"/>
        <v>0</v>
      </c>
      <c r="BT20" s="421">
        <f t="shared" si="26"/>
        <v>0</v>
      </c>
      <c r="BU20" s="421">
        <f t="shared" si="27"/>
        <v>1981</v>
      </c>
      <c r="BV20" s="421">
        <f t="shared" si="28"/>
        <v>59</v>
      </c>
      <c r="BW20" s="421">
        <f t="shared" si="29"/>
        <v>288</v>
      </c>
      <c r="BX20" s="422">
        <f t="shared" si="30"/>
        <v>2.2200000000000001E-2</v>
      </c>
      <c r="BY20" s="422">
        <f t="shared" si="31"/>
        <v>0</v>
      </c>
      <c r="BZ20" s="611">
        <f t="shared" si="32"/>
        <v>2.2200000000000001E-2</v>
      </c>
      <c r="CA20" s="423"/>
      <c r="CB20" s="418"/>
      <c r="CC20" s="418"/>
      <c r="CD20" s="418"/>
      <c r="CE20" s="418"/>
      <c r="CF20" s="527"/>
    </row>
    <row r="21" spans="1:84" ht="12.95" customHeight="1" x14ac:dyDescent="0.25">
      <c r="A21" s="214">
        <v>1</v>
      </c>
      <c r="B21" s="45">
        <v>5490</v>
      </c>
      <c r="C21" s="45">
        <v>600099474</v>
      </c>
      <c r="D21" s="45">
        <v>71173854</v>
      </c>
      <c r="E21" s="376" t="s">
        <v>453</v>
      </c>
      <c r="F21" s="45"/>
      <c r="G21" s="376"/>
      <c r="H21" s="183"/>
      <c r="I21" s="499">
        <f t="shared" ref="I21:AO21" si="36">SUM(I12:I20)</f>
        <v>34436643</v>
      </c>
      <c r="J21" s="495">
        <f t="shared" si="36"/>
        <v>25472171</v>
      </c>
      <c r="K21" s="495">
        <f t="shared" si="36"/>
        <v>22809723</v>
      </c>
      <c r="L21" s="495">
        <f t="shared" si="36"/>
        <v>2662448</v>
      </c>
      <c r="M21" s="495">
        <f t="shared" si="36"/>
        <v>0</v>
      </c>
      <c r="N21" s="495">
        <f t="shared" si="36"/>
        <v>0</v>
      </c>
      <c r="O21" s="495">
        <f t="shared" si="36"/>
        <v>0</v>
      </c>
      <c r="P21" s="495">
        <f t="shared" si="36"/>
        <v>8609593</v>
      </c>
      <c r="Q21" s="495">
        <f t="shared" si="36"/>
        <v>254722</v>
      </c>
      <c r="R21" s="495">
        <f t="shared" si="36"/>
        <v>100157</v>
      </c>
      <c r="S21" s="496">
        <f t="shared" si="36"/>
        <v>50.634500000000003</v>
      </c>
      <c r="T21" s="496">
        <f t="shared" si="36"/>
        <v>42</v>
      </c>
      <c r="U21" s="377">
        <f t="shared" si="36"/>
        <v>8.6344999999999992</v>
      </c>
      <c r="V21" s="501">
        <f t="shared" si="36"/>
        <v>0</v>
      </c>
      <c r="W21" s="495">
        <f t="shared" si="36"/>
        <v>0</v>
      </c>
      <c r="X21" s="495">
        <f t="shared" si="36"/>
        <v>657430</v>
      </c>
      <c r="Y21" s="495">
        <f t="shared" si="36"/>
        <v>0</v>
      </c>
      <c r="Z21" s="495">
        <f t="shared" si="36"/>
        <v>0</v>
      </c>
      <c r="AA21" s="495">
        <f t="shared" si="36"/>
        <v>0</v>
      </c>
      <c r="AB21" s="495">
        <f t="shared" si="36"/>
        <v>0</v>
      </c>
      <c r="AC21" s="495">
        <f t="shared" si="36"/>
        <v>0</v>
      </c>
      <c r="AD21" s="495">
        <f t="shared" si="36"/>
        <v>0</v>
      </c>
      <c r="AE21" s="495">
        <f t="shared" si="36"/>
        <v>0</v>
      </c>
      <c r="AF21" s="495">
        <f t="shared" si="36"/>
        <v>657430</v>
      </c>
      <c r="AG21" s="495">
        <f t="shared" si="36"/>
        <v>0</v>
      </c>
      <c r="AH21" s="495">
        <f t="shared" si="36"/>
        <v>657430</v>
      </c>
      <c r="AI21" s="495">
        <f t="shared" si="36"/>
        <v>0</v>
      </c>
      <c r="AJ21" s="495">
        <f t="shared" si="36"/>
        <v>0</v>
      </c>
      <c r="AK21" s="495">
        <f t="shared" ref="AK21" si="37">SUM(AK12:AK20)</f>
        <v>0</v>
      </c>
      <c r="AL21" s="495">
        <f t="shared" si="36"/>
        <v>0</v>
      </c>
      <c r="AM21" s="495">
        <f t="shared" si="36"/>
        <v>0</v>
      </c>
      <c r="AN21" s="495">
        <f t="shared" si="36"/>
        <v>0</v>
      </c>
      <c r="AO21" s="495">
        <f t="shared" si="36"/>
        <v>0</v>
      </c>
      <c r="AP21" s="495">
        <f t="shared" ref="AP21:CF21" si="38">SUM(AP12:AP20)</f>
        <v>0</v>
      </c>
      <c r="AQ21" s="495">
        <f t="shared" si="38"/>
        <v>0</v>
      </c>
      <c r="AR21" s="495">
        <f t="shared" si="38"/>
        <v>657430</v>
      </c>
      <c r="AS21" s="495">
        <f t="shared" si="38"/>
        <v>0</v>
      </c>
      <c r="AT21" s="495">
        <f t="shared" si="38"/>
        <v>657430</v>
      </c>
      <c r="AU21" s="495">
        <f t="shared" si="38"/>
        <v>222211</v>
      </c>
      <c r="AV21" s="495">
        <f t="shared" si="38"/>
        <v>6574</v>
      </c>
      <c r="AW21" s="495">
        <f t="shared" si="38"/>
        <v>0</v>
      </c>
      <c r="AX21" s="495">
        <f t="shared" si="38"/>
        <v>0</v>
      </c>
      <c r="AY21" s="495">
        <f t="shared" si="38"/>
        <v>0</v>
      </c>
      <c r="AZ21" s="495">
        <f t="shared" si="38"/>
        <v>886215</v>
      </c>
      <c r="BA21" s="496">
        <f t="shared" si="38"/>
        <v>0</v>
      </c>
      <c r="BB21" s="496">
        <f t="shared" si="38"/>
        <v>0</v>
      </c>
      <c r="BC21" s="496">
        <f t="shared" si="38"/>
        <v>1.6400000000000001</v>
      </c>
      <c r="BD21" s="496">
        <f t="shared" si="38"/>
        <v>0</v>
      </c>
      <c r="BE21" s="496">
        <f t="shared" si="38"/>
        <v>0</v>
      </c>
      <c r="BF21" s="496">
        <f t="shared" si="38"/>
        <v>0</v>
      </c>
      <c r="BG21" s="496">
        <f t="shared" si="38"/>
        <v>0</v>
      </c>
      <c r="BH21" s="496">
        <f t="shared" si="38"/>
        <v>0</v>
      </c>
      <c r="BI21" s="496">
        <f t="shared" si="38"/>
        <v>0</v>
      </c>
      <c r="BJ21" s="496">
        <f t="shared" si="38"/>
        <v>0</v>
      </c>
      <c r="BK21" s="496">
        <f t="shared" si="38"/>
        <v>1.6400000000000001</v>
      </c>
      <c r="BL21" s="496">
        <f t="shared" si="38"/>
        <v>0</v>
      </c>
      <c r="BM21" s="745">
        <f t="shared" si="38"/>
        <v>1.6400000000000001</v>
      </c>
      <c r="BN21" s="499">
        <f t="shared" si="38"/>
        <v>35322858</v>
      </c>
      <c r="BO21" s="495">
        <f t="shared" si="38"/>
        <v>26129601</v>
      </c>
      <c r="BP21" s="495">
        <f t="shared" si="38"/>
        <v>23467153</v>
      </c>
      <c r="BQ21" s="495">
        <f t="shared" si="38"/>
        <v>2662448</v>
      </c>
      <c r="BR21" s="495">
        <f t="shared" si="38"/>
        <v>0</v>
      </c>
      <c r="BS21" s="495">
        <f t="shared" si="38"/>
        <v>0</v>
      </c>
      <c r="BT21" s="495">
        <f t="shared" si="38"/>
        <v>0</v>
      </c>
      <c r="BU21" s="495">
        <f t="shared" si="38"/>
        <v>8831804</v>
      </c>
      <c r="BV21" s="495">
        <f t="shared" si="38"/>
        <v>261296</v>
      </c>
      <c r="BW21" s="495">
        <f t="shared" si="38"/>
        <v>100157</v>
      </c>
      <c r="BX21" s="496">
        <f t="shared" si="38"/>
        <v>52.274500000000003</v>
      </c>
      <c r="BY21" s="496">
        <f t="shared" si="38"/>
        <v>43.64</v>
      </c>
      <c r="BZ21" s="745">
        <f t="shared" si="38"/>
        <v>8.6344999999999992</v>
      </c>
      <c r="CA21" s="901">
        <f t="shared" si="38"/>
        <v>0</v>
      </c>
      <c r="CB21" s="896">
        <f t="shared" si="38"/>
        <v>0</v>
      </c>
      <c r="CC21" s="896">
        <f t="shared" si="38"/>
        <v>0</v>
      </c>
      <c r="CD21" s="896">
        <f t="shared" si="38"/>
        <v>0</v>
      </c>
      <c r="CE21" s="896">
        <f t="shared" si="38"/>
        <v>0</v>
      </c>
      <c r="CF21" s="840">
        <f t="shared" si="38"/>
        <v>0</v>
      </c>
    </row>
    <row r="22" spans="1:84" ht="12.95" customHeight="1" x14ac:dyDescent="0.25">
      <c r="A22" s="282">
        <v>2</v>
      </c>
      <c r="B22" s="378">
        <v>5460</v>
      </c>
      <c r="C22" s="378">
        <v>600098621</v>
      </c>
      <c r="D22" s="378">
        <v>72743549</v>
      </c>
      <c r="E22" s="212" t="s">
        <v>454</v>
      </c>
      <c r="F22" s="378">
        <v>3111</v>
      </c>
      <c r="G22" s="375" t="s">
        <v>305</v>
      </c>
      <c r="H22" s="379" t="s">
        <v>271</v>
      </c>
      <c r="I22" s="423">
        <f>J22+P22+Q22+R22</f>
        <v>6689064</v>
      </c>
      <c r="J22" s="418">
        <f>K22+L22</f>
        <v>4947556</v>
      </c>
      <c r="K22" s="418">
        <v>4504010</v>
      </c>
      <c r="L22" s="418">
        <v>443546</v>
      </c>
      <c r="M22" s="418">
        <f t="shared" ref="M22:M24" si="39">N22+O22</f>
        <v>0</v>
      </c>
      <c r="N22" s="418">
        <v>0</v>
      </c>
      <c r="O22" s="418">
        <v>0</v>
      </c>
      <c r="P22" s="68">
        <f>ROUND((J22+M22)*33.8%,0)</f>
        <v>1672274</v>
      </c>
      <c r="Q22" s="68">
        <f>ROUND(J22*1%,0)</f>
        <v>49476</v>
      </c>
      <c r="R22" s="418">
        <v>19758</v>
      </c>
      <c r="S22" s="419">
        <f t="shared" si="4"/>
        <v>9.4932999999999996</v>
      </c>
      <c r="T22" s="420">
        <v>8</v>
      </c>
      <c r="U22" s="527">
        <v>1.4933000000000001</v>
      </c>
      <c r="V22" s="427">
        <f t="shared" ref="V22:W24" si="40">AI22*-1</f>
        <v>0</v>
      </c>
      <c r="W22" s="421">
        <f t="shared" si="40"/>
        <v>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0</v>
      </c>
      <c r="AG22" s="421">
        <f>W22+Z22+AC22+AE22</f>
        <v>0</v>
      </c>
      <c r="AH22" s="421">
        <f>SUM(AF22:AG22)</f>
        <v>0</v>
      </c>
      <c r="AI22" s="421">
        <v>0</v>
      </c>
      <c r="AJ22" s="421">
        <v>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ref="AO22:AO24" si="41">AI22+AK22+AL22+AM22</f>
        <v>0</v>
      </c>
      <c r="AP22" s="421">
        <f>AJ22+AN22</f>
        <v>0</v>
      </c>
      <c r="AQ22" s="421">
        <f>SUM(AO22:AP22)</f>
        <v>0</v>
      </c>
      <c r="AR22" s="421">
        <f t="shared" ref="AR22:AS24" si="42">AF22+AO22</f>
        <v>0</v>
      </c>
      <c r="AS22" s="421">
        <f t="shared" si="42"/>
        <v>0</v>
      </c>
      <c r="AT22" s="421">
        <f>SUM(AR22:AS22)</f>
        <v>0</v>
      </c>
      <c r="AU22" s="68">
        <f t="shared" ref="AU22:AU24" si="43">ROUND((AH22+AI22+AJ22+AK22+AL22)*33.8%,0)</f>
        <v>0</v>
      </c>
      <c r="AV22" s="68">
        <f>ROUND(AH22*1%,0)</f>
        <v>0</v>
      </c>
      <c r="AW22" s="421">
        <v>0</v>
      </c>
      <c r="AX22" s="421">
        <v>0</v>
      </c>
      <c r="AY22" s="421">
        <f>AW22+AX22</f>
        <v>0</v>
      </c>
      <c r="AZ22" s="421">
        <f>AT22+AU22+AV22+AY22</f>
        <v>0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</v>
      </c>
      <c r="BL22" s="422">
        <f>BB22+BE22+BG22+BJ22</f>
        <v>0</v>
      </c>
      <c r="BM22" s="611">
        <f>SUM(BK22:BL22)</f>
        <v>0</v>
      </c>
      <c r="BN22" s="428">
        <f>I22+AZ22</f>
        <v>6689064</v>
      </c>
      <c r="BO22" s="421">
        <f>J22+AH22</f>
        <v>4947556</v>
      </c>
      <c r="BP22" s="421">
        <f t="shared" ref="BP22:BQ24" si="44">K22+AF22</f>
        <v>4504010</v>
      </c>
      <c r="BQ22" s="421">
        <f t="shared" si="44"/>
        <v>443546</v>
      </c>
      <c r="BR22" s="421">
        <f>M22+AQ22</f>
        <v>0</v>
      </c>
      <c r="BS22" s="421">
        <f t="shared" ref="BS22:BT24" si="45">N22+AO22</f>
        <v>0</v>
      </c>
      <c r="BT22" s="421">
        <f t="shared" si="45"/>
        <v>0</v>
      </c>
      <c r="BU22" s="421">
        <f t="shared" ref="BU22:BV24" si="46">P22+AU22</f>
        <v>1672274</v>
      </c>
      <c r="BV22" s="421">
        <f t="shared" si="46"/>
        <v>49476</v>
      </c>
      <c r="BW22" s="421">
        <f>R22+AY22</f>
        <v>19758</v>
      </c>
      <c r="BX22" s="422">
        <f>S22+BM22</f>
        <v>9.4932999999999996</v>
      </c>
      <c r="BY22" s="422">
        <f t="shared" ref="BY22:BZ24" si="47">T22+BK22</f>
        <v>8</v>
      </c>
      <c r="BZ22" s="611">
        <f t="shared" si="47"/>
        <v>1.4933000000000001</v>
      </c>
      <c r="CA22" s="423"/>
      <c r="CB22" s="418"/>
      <c r="CC22" s="418"/>
      <c r="CD22" s="418"/>
      <c r="CE22" s="418"/>
      <c r="CF22" s="527"/>
    </row>
    <row r="23" spans="1:84" ht="12.95" customHeight="1" x14ac:dyDescent="0.25">
      <c r="A23" s="282">
        <v>2</v>
      </c>
      <c r="B23" s="213">
        <v>5460</v>
      </c>
      <c r="C23" s="213">
        <v>600098621</v>
      </c>
      <c r="D23" s="213">
        <v>72743549</v>
      </c>
      <c r="E23" s="374" t="s">
        <v>454</v>
      </c>
      <c r="F23" s="378">
        <v>3111</v>
      </c>
      <c r="G23" s="325" t="s">
        <v>292</v>
      </c>
      <c r="H23" s="287" t="s">
        <v>272</v>
      </c>
      <c r="I23" s="423">
        <f>J23+P23+Q23+R23</f>
        <v>0</v>
      </c>
      <c r="J23" s="418">
        <f>K23+L23</f>
        <v>0</v>
      </c>
      <c r="K23" s="418">
        <v>0</v>
      </c>
      <c r="L23" s="418">
        <v>0</v>
      </c>
      <c r="M23" s="418">
        <f t="shared" si="39"/>
        <v>0</v>
      </c>
      <c r="N23" s="418">
        <v>0</v>
      </c>
      <c r="O23" s="418">
        <v>0</v>
      </c>
      <c r="P23" s="68">
        <f t="shared" ref="P23" si="48">ROUND((J23+M23)*33.8%,0)</f>
        <v>0</v>
      </c>
      <c r="Q23" s="68">
        <f t="shared" ref="Q23" si="49">ROUND(J23*1%,0)</f>
        <v>0</v>
      </c>
      <c r="R23" s="418">
        <v>0</v>
      </c>
      <c r="S23" s="419">
        <f t="shared" si="4"/>
        <v>0</v>
      </c>
      <c r="T23" s="419">
        <v>0</v>
      </c>
      <c r="U23" s="527">
        <v>0</v>
      </c>
      <c r="V23" s="427">
        <f t="shared" si="40"/>
        <v>0</v>
      </c>
      <c r="W23" s="421">
        <f t="shared" si="40"/>
        <v>0</v>
      </c>
      <c r="X23" s="421">
        <v>648902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>V23+X23+Y23+AA23+AB23+AD23</f>
        <v>648902</v>
      </c>
      <c r="AG23" s="421">
        <f>W23+Z23+AC23+AE23</f>
        <v>0</v>
      </c>
      <c r="AH23" s="421">
        <f>SUM(AF23:AG23)</f>
        <v>648902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41"/>
        <v>0</v>
      </c>
      <c r="AP23" s="421">
        <f>AJ23+AN23</f>
        <v>0</v>
      </c>
      <c r="AQ23" s="421">
        <f>SUM(AO23:AP23)</f>
        <v>0</v>
      </c>
      <c r="AR23" s="421">
        <f t="shared" si="42"/>
        <v>648902</v>
      </c>
      <c r="AS23" s="421">
        <f t="shared" si="42"/>
        <v>0</v>
      </c>
      <c r="AT23" s="421">
        <f>SUM(AR23:AS23)</f>
        <v>648902</v>
      </c>
      <c r="AU23" s="68">
        <f t="shared" si="43"/>
        <v>219329</v>
      </c>
      <c r="AV23" s="68">
        <f>ROUND(AH23*1%,0)</f>
        <v>6489</v>
      </c>
      <c r="AW23" s="421">
        <v>0</v>
      </c>
      <c r="AX23" s="421">
        <v>0</v>
      </c>
      <c r="AY23" s="421">
        <f>AW23+AX23</f>
        <v>0</v>
      </c>
      <c r="AZ23" s="421">
        <f>AT23+AU23+AV23+AY23</f>
        <v>874720</v>
      </c>
      <c r="BA23" s="422">
        <v>0</v>
      </c>
      <c r="BB23" s="422">
        <v>0</v>
      </c>
      <c r="BC23" s="422">
        <v>1.75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1.75</v>
      </c>
      <c r="BL23" s="422">
        <f>BB23+BE23+BG23+BJ23</f>
        <v>0</v>
      </c>
      <c r="BM23" s="611">
        <f>SUM(BK23:BL23)</f>
        <v>1.75</v>
      </c>
      <c r="BN23" s="428">
        <f>I23+AZ23</f>
        <v>874720</v>
      </c>
      <c r="BO23" s="421">
        <f>J23+AH23</f>
        <v>648902</v>
      </c>
      <c r="BP23" s="421">
        <f t="shared" si="44"/>
        <v>648902</v>
      </c>
      <c r="BQ23" s="421">
        <f t="shared" si="44"/>
        <v>0</v>
      </c>
      <c r="BR23" s="421">
        <f>M23+AQ23</f>
        <v>0</v>
      </c>
      <c r="BS23" s="421">
        <f t="shared" si="45"/>
        <v>0</v>
      </c>
      <c r="BT23" s="421">
        <f t="shared" si="45"/>
        <v>0</v>
      </c>
      <c r="BU23" s="421">
        <f t="shared" si="46"/>
        <v>219329</v>
      </c>
      <c r="BV23" s="421">
        <f t="shared" si="46"/>
        <v>6489</v>
      </c>
      <c r="BW23" s="421">
        <f>R23+AY23</f>
        <v>0</v>
      </c>
      <c r="BX23" s="422">
        <f>S23+BM23</f>
        <v>1.75</v>
      </c>
      <c r="BY23" s="422">
        <f t="shared" si="47"/>
        <v>1.75</v>
      </c>
      <c r="BZ23" s="611">
        <f t="shared" si="47"/>
        <v>0</v>
      </c>
      <c r="CA23" s="423"/>
      <c r="CB23" s="418"/>
      <c r="CC23" s="418"/>
      <c r="CD23" s="418"/>
      <c r="CE23" s="418"/>
      <c r="CF23" s="527"/>
    </row>
    <row r="24" spans="1:84" ht="12.95" customHeight="1" x14ac:dyDescent="0.25">
      <c r="A24" s="282">
        <v>2</v>
      </c>
      <c r="B24" s="213">
        <v>5460</v>
      </c>
      <c r="C24" s="213">
        <v>600098621</v>
      </c>
      <c r="D24" s="213">
        <v>72743549</v>
      </c>
      <c r="E24" s="374" t="s">
        <v>454</v>
      </c>
      <c r="F24" s="213">
        <v>3141</v>
      </c>
      <c r="G24" s="375" t="s">
        <v>295</v>
      </c>
      <c r="H24" s="287" t="s">
        <v>272</v>
      </c>
      <c r="I24" s="423">
        <f>J24+P24+Q24+R24</f>
        <v>604962</v>
      </c>
      <c r="J24" s="418">
        <f>K24+L24</f>
        <v>446863</v>
      </c>
      <c r="K24" s="418">
        <v>0</v>
      </c>
      <c r="L24" s="418">
        <v>446863</v>
      </c>
      <c r="M24" s="418">
        <f t="shared" si="39"/>
        <v>0</v>
      </c>
      <c r="N24" s="418">
        <v>0</v>
      </c>
      <c r="O24" s="418">
        <v>0</v>
      </c>
      <c r="P24" s="68">
        <f>ROUND((J24+M24)*33.8%,0)</f>
        <v>151040</v>
      </c>
      <c r="Q24" s="68">
        <f>ROUND(J24*1%,0)</f>
        <v>4469</v>
      </c>
      <c r="R24" s="418">
        <v>2590</v>
      </c>
      <c r="S24" s="419">
        <f t="shared" si="4"/>
        <v>1.34</v>
      </c>
      <c r="T24" s="419">
        <v>0</v>
      </c>
      <c r="U24" s="527">
        <v>1.34</v>
      </c>
      <c r="V24" s="427">
        <f t="shared" si="40"/>
        <v>0</v>
      </c>
      <c r="W24" s="421">
        <f t="shared" si="40"/>
        <v>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>V24+X24+Y24+AA24+AB24+AD24</f>
        <v>0</v>
      </c>
      <c r="AG24" s="421">
        <f>W24+Z24+AC24+AE24</f>
        <v>0</v>
      </c>
      <c r="AH24" s="421">
        <f>SUM(AF24:AG24)</f>
        <v>0</v>
      </c>
      <c r="AI24" s="421">
        <v>0</v>
      </c>
      <c r="AJ24" s="421">
        <v>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si="41"/>
        <v>0</v>
      </c>
      <c r="AP24" s="421">
        <f>AJ24+AN24</f>
        <v>0</v>
      </c>
      <c r="AQ24" s="421">
        <f>SUM(AO24:AP24)</f>
        <v>0</v>
      </c>
      <c r="AR24" s="421">
        <f t="shared" si="42"/>
        <v>0</v>
      </c>
      <c r="AS24" s="421">
        <f t="shared" si="42"/>
        <v>0</v>
      </c>
      <c r="AT24" s="421">
        <f>SUM(AR24:AS24)</f>
        <v>0</v>
      </c>
      <c r="AU24" s="68">
        <f t="shared" si="43"/>
        <v>0</v>
      </c>
      <c r="AV24" s="68">
        <f>ROUND(AH24*1%,0)</f>
        <v>0</v>
      </c>
      <c r="AW24" s="421">
        <v>0</v>
      </c>
      <c r="AX24" s="421">
        <v>0</v>
      </c>
      <c r="AY24" s="421">
        <f>AW24+AX24</f>
        <v>0</v>
      </c>
      <c r="AZ24" s="421">
        <f>AT24+AU24+AV24+AY24</f>
        <v>0</v>
      </c>
      <c r="BA24" s="422">
        <v>0</v>
      </c>
      <c r="BB24" s="422">
        <v>0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0</v>
      </c>
      <c r="BL24" s="422">
        <f>BB24+BE24+BG24+BJ24</f>
        <v>0</v>
      </c>
      <c r="BM24" s="611">
        <f>SUM(BK24:BL24)</f>
        <v>0</v>
      </c>
      <c r="BN24" s="428">
        <f>I24+AZ24</f>
        <v>604962</v>
      </c>
      <c r="BO24" s="421">
        <f>J24+AH24</f>
        <v>446863</v>
      </c>
      <c r="BP24" s="421">
        <f t="shared" si="44"/>
        <v>0</v>
      </c>
      <c r="BQ24" s="421">
        <f t="shared" si="44"/>
        <v>446863</v>
      </c>
      <c r="BR24" s="421">
        <f>M24+AQ24</f>
        <v>0</v>
      </c>
      <c r="BS24" s="421">
        <f t="shared" si="45"/>
        <v>0</v>
      </c>
      <c r="BT24" s="421">
        <f t="shared" si="45"/>
        <v>0</v>
      </c>
      <c r="BU24" s="421">
        <f t="shared" si="46"/>
        <v>151040</v>
      </c>
      <c r="BV24" s="421">
        <f t="shared" si="46"/>
        <v>4469</v>
      </c>
      <c r="BW24" s="421">
        <f>R24+AY24</f>
        <v>2590</v>
      </c>
      <c r="BX24" s="422">
        <f>S24+BM24</f>
        <v>1.34</v>
      </c>
      <c r="BY24" s="422">
        <f t="shared" si="47"/>
        <v>0</v>
      </c>
      <c r="BZ24" s="611">
        <f t="shared" si="47"/>
        <v>1.34</v>
      </c>
      <c r="CA24" s="423"/>
      <c r="CB24" s="418"/>
      <c r="CC24" s="418"/>
      <c r="CD24" s="418"/>
      <c r="CE24" s="418"/>
      <c r="CF24" s="527"/>
    </row>
    <row r="25" spans="1:84" ht="12.95" customHeight="1" x14ac:dyDescent="0.25">
      <c r="A25" s="214">
        <v>2</v>
      </c>
      <c r="B25" s="45">
        <v>5460</v>
      </c>
      <c r="C25" s="45">
        <v>600098621</v>
      </c>
      <c r="D25" s="45">
        <v>72743549</v>
      </c>
      <c r="E25" s="376" t="s">
        <v>455</v>
      </c>
      <c r="F25" s="45"/>
      <c r="G25" s="376"/>
      <c r="H25" s="183"/>
      <c r="I25" s="472">
        <f t="shared" ref="I25:BU25" si="50">SUM(I22:I24)</f>
        <v>7294026</v>
      </c>
      <c r="J25" s="468">
        <f t="shared" si="50"/>
        <v>5394419</v>
      </c>
      <c r="K25" s="468">
        <f t="shared" si="50"/>
        <v>4504010</v>
      </c>
      <c r="L25" s="468">
        <f t="shared" si="50"/>
        <v>890409</v>
      </c>
      <c r="M25" s="468">
        <f t="shared" si="50"/>
        <v>0</v>
      </c>
      <c r="N25" s="468">
        <f t="shared" si="50"/>
        <v>0</v>
      </c>
      <c r="O25" s="468">
        <f t="shared" si="50"/>
        <v>0</v>
      </c>
      <c r="P25" s="468">
        <f t="shared" si="50"/>
        <v>1823314</v>
      </c>
      <c r="Q25" s="468">
        <f t="shared" si="50"/>
        <v>53945</v>
      </c>
      <c r="R25" s="468">
        <f t="shared" si="50"/>
        <v>22348</v>
      </c>
      <c r="S25" s="469">
        <f t="shared" si="50"/>
        <v>10.833299999999999</v>
      </c>
      <c r="T25" s="469">
        <f t="shared" si="50"/>
        <v>8</v>
      </c>
      <c r="U25" s="281">
        <f t="shared" si="50"/>
        <v>2.8333000000000004</v>
      </c>
      <c r="V25" s="474">
        <f t="shared" si="50"/>
        <v>0</v>
      </c>
      <c r="W25" s="468">
        <f t="shared" si="50"/>
        <v>0</v>
      </c>
      <c r="X25" s="468">
        <f t="shared" si="50"/>
        <v>648902</v>
      </c>
      <c r="Y25" s="468">
        <f t="shared" si="50"/>
        <v>0</v>
      </c>
      <c r="Z25" s="468">
        <f t="shared" si="50"/>
        <v>0</v>
      </c>
      <c r="AA25" s="468">
        <f t="shared" si="50"/>
        <v>0</v>
      </c>
      <c r="AB25" s="468">
        <f t="shared" si="50"/>
        <v>0</v>
      </c>
      <c r="AC25" s="468">
        <f t="shared" si="50"/>
        <v>0</v>
      </c>
      <c r="AD25" s="468">
        <f t="shared" si="50"/>
        <v>0</v>
      </c>
      <c r="AE25" s="468">
        <f t="shared" si="50"/>
        <v>0</v>
      </c>
      <c r="AF25" s="468">
        <f t="shared" si="50"/>
        <v>648902</v>
      </c>
      <c r="AG25" s="468">
        <f t="shared" si="50"/>
        <v>0</v>
      </c>
      <c r="AH25" s="468">
        <f t="shared" si="50"/>
        <v>648902</v>
      </c>
      <c r="AI25" s="468">
        <f t="shared" si="50"/>
        <v>0</v>
      </c>
      <c r="AJ25" s="468">
        <f t="shared" si="50"/>
        <v>0</v>
      </c>
      <c r="AK25" s="468">
        <f t="shared" ref="AK25" si="51">SUM(AK22:AK24)</f>
        <v>0</v>
      </c>
      <c r="AL25" s="468">
        <f t="shared" si="50"/>
        <v>0</v>
      </c>
      <c r="AM25" s="468">
        <f t="shared" si="50"/>
        <v>0</v>
      </c>
      <c r="AN25" s="468">
        <f t="shared" si="50"/>
        <v>0</v>
      </c>
      <c r="AO25" s="468">
        <f t="shared" si="50"/>
        <v>0</v>
      </c>
      <c r="AP25" s="468">
        <f t="shared" si="50"/>
        <v>0</v>
      </c>
      <c r="AQ25" s="468">
        <f t="shared" si="50"/>
        <v>0</v>
      </c>
      <c r="AR25" s="468">
        <f t="shared" si="50"/>
        <v>648902</v>
      </c>
      <c r="AS25" s="468">
        <f t="shared" si="50"/>
        <v>0</v>
      </c>
      <c r="AT25" s="468">
        <f t="shared" si="50"/>
        <v>648902</v>
      </c>
      <c r="AU25" s="468">
        <f t="shared" si="50"/>
        <v>219329</v>
      </c>
      <c r="AV25" s="468">
        <f t="shared" si="50"/>
        <v>6489</v>
      </c>
      <c r="AW25" s="468">
        <f t="shared" si="50"/>
        <v>0</v>
      </c>
      <c r="AX25" s="468">
        <f t="shared" si="50"/>
        <v>0</v>
      </c>
      <c r="AY25" s="468">
        <f t="shared" si="50"/>
        <v>0</v>
      </c>
      <c r="AZ25" s="468">
        <f t="shared" si="50"/>
        <v>874720</v>
      </c>
      <c r="BA25" s="469">
        <f t="shared" si="50"/>
        <v>0</v>
      </c>
      <c r="BB25" s="469">
        <f t="shared" si="50"/>
        <v>0</v>
      </c>
      <c r="BC25" s="469">
        <f t="shared" si="50"/>
        <v>1.75</v>
      </c>
      <c r="BD25" s="469">
        <f t="shared" si="50"/>
        <v>0</v>
      </c>
      <c r="BE25" s="469">
        <f t="shared" si="50"/>
        <v>0</v>
      </c>
      <c r="BF25" s="469">
        <f t="shared" si="50"/>
        <v>0</v>
      </c>
      <c r="BG25" s="469">
        <f t="shared" si="50"/>
        <v>0</v>
      </c>
      <c r="BH25" s="469">
        <f t="shared" si="50"/>
        <v>0</v>
      </c>
      <c r="BI25" s="469">
        <f t="shared" si="50"/>
        <v>0</v>
      </c>
      <c r="BJ25" s="469">
        <f t="shared" si="50"/>
        <v>0</v>
      </c>
      <c r="BK25" s="469">
        <f t="shared" si="50"/>
        <v>1.75</v>
      </c>
      <c r="BL25" s="469">
        <f t="shared" si="50"/>
        <v>0</v>
      </c>
      <c r="BM25" s="562">
        <f t="shared" si="50"/>
        <v>1.75</v>
      </c>
      <c r="BN25" s="472">
        <f t="shared" si="50"/>
        <v>8168746</v>
      </c>
      <c r="BO25" s="468">
        <f t="shared" si="50"/>
        <v>6043321</v>
      </c>
      <c r="BP25" s="468">
        <f t="shared" si="50"/>
        <v>5152912</v>
      </c>
      <c r="BQ25" s="468">
        <f t="shared" si="50"/>
        <v>890409</v>
      </c>
      <c r="BR25" s="468">
        <f t="shared" si="50"/>
        <v>0</v>
      </c>
      <c r="BS25" s="468">
        <f t="shared" si="50"/>
        <v>0</v>
      </c>
      <c r="BT25" s="468">
        <f t="shared" si="50"/>
        <v>0</v>
      </c>
      <c r="BU25" s="468">
        <f t="shared" si="50"/>
        <v>2042643</v>
      </c>
      <c r="BV25" s="468">
        <f t="shared" ref="BV25:CF25" si="52">SUM(BV22:BV24)</f>
        <v>60434</v>
      </c>
      <c r="BW25" s="468">
        <f t="shared" si="52"/>
        <v>22348</v>
      </c>
      <c r="BX25" s="469">
        <f t="shared" si="52"/>
        <v>12.583299999999999</v>
      </c>
      <c r="BY25" s="469">
        <f t="shared" si="52"/>
        <v>9.75</v>
      </c>
      <c r="BZ25" s="562">
        <f t="shared" si="52"/>
        <v>2.8333000000000004</v>
      </c>
      <c r="CA25" s="873">
        <f t="shared" si="52"/>
        <v>0</v>
      </c>
      <c r="CB25" s="850">
        <f t="shared" si="52"/>
        <v>0</v>
      </c>
      <c r="CC25" s="850">
        <f t="shared" si="52"/>
        <v>0</v>
      </c>
      <c r="CD25" s="850">
        <f t="shared" si="52"/>
        <v>0</v>
      </c>
      <c r="CE25" s="850">
        <f t="shared" si="52"/>
        <v>0</v>
      </c>
      <c r="CF25" s="841">
        <f t="shared" si="52"/>
        <v>0</v>
      </c>
    </row>
    <row r="26" spans="1:84" ht="12.95" customHeight="1" x14ac:dyDescent="0.25">
      <c r="A26" s="282">
        <v>4</v>
      </c>
      <c r="B26" s="213">
        <v>5464</v>
      </c>
      <c r="C26" s="213">
        <v>600098869</v>
      </c>
      <c r="D26" s="213">
        <v>72743719</v>
      </c>
      <c r="E26" s="382" t="s">
        <v>456</v>
      </c>
      <c r="F26" s="383">
        <v>3111</v>
      </c>
      <c r="G26" s="375" t="s">
        <v>305</v>
      </c>
      <c r="H26" s="287" t="s">
        <v>271</v>
      </c>
      <c r="I26" s="423">
        <f>J26+P26+Q26+R26</f>
        <v>5157637</v>
      </c>
      <c r="J26" s="418">
        <f>K26+L26</f>
        <v>3814454</v>
      </c>
      <c r="K26" s="418">
        <v>3481785</v>
      </c>
      <c r="L26" s="418">
        <v>332669</v>
      </c>
      <c r="M26" s="418">
        <f t="shared" ref="M26:M28" si="53">N26+O26</f>
        <v>0</v>
      </c>
      <c r="N26" s="418">
        <v>0</v>
      </c>
      <c r="O26" s="418">
        <v>0</v>
      </c>
      <c r="P26" s="68">
        <f>ROUND((J26+M26)*33.8%,0)</f>
        <v>1289285</v>
      </c>
      <c r="Q26" s="68">
        <f>ROUND(J26*1%,0)</f>
        <v>38145</v>
      </c>
      <c r="R26" s="418">
        <v>15753</v>
      </c>
      <c r="S26" s="419">
        <f t="shared" si="4"/>
        <v>7.12</v>
      </c>
      <c r="T26" s="419">
        <v>6</v>
      </c>
      <c r="U26" s="527">
        <v>1.1200000000000001</v>
      </c>
      <c r="V26" s="427">
        <f t="shared" ref="V26:W28" si="54">AI26*-1</f>
        <v>0</v>
      </c>
      <c r="W26" s="421">
        <f t="shared" si="54"/>
        <v>-3200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0</v>
      </c>
      <c r="AG26" s="421">
        <f>W26+Z26+AC26+AE26</f>
        <v>-3200</v>
      </c>
      <c r="AH26" s="421">
        <f>SUM(AF26:AG26)</f>
        <v>-3200</v>
      </c>
      <c r="AI26" s="421">
        <v>0</v>
      </c>
      <c r="AJ26" s="421">
        <v>3200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ref="AO26:AO28" si="55">AI26+AK26+AL26+AM26</f>
        <v>0</v>
      </c>
      <c r="AP26" s="421">
        <f>AJ26+AN26</f>
        <v>3200</v>
      </c>
      <c r="AQ26" s="421">
        <f>SUM(AO26:AP26)</f>
        <v>3200</v>
      </c>
      <c r="AR26" s="421">
        <f t="shared" ref="AR26:AS28" si="56">AF26+AO26</f>
        <v>0</v>
      </c>
      <c r="AS26" s="421">
        <f t="shared" si="56"/>
        <v>0</v>
      </c>
      <c r="AT26" s="421">
        <f>SUM(AR26:AS26)</f>
        <v>0</v>
      </c>
      <c r="AU26" s="68">
        <f t="shared" ref="AU26:AU28" si="57">ROUND((AH26+AI26+AJ26+AK26+AL26)*33.8%,0)</f>
        <v>0</v>
      </c>
      <c r="AV26" s="68">
        <f>ROUND(AH26*1%,0)</f>
        <v>-32</v>
      </c>
      <c r="AW26" s="421">
        <v>0</v>
      </c>
      <c r="AX26" s="421">
        <v>0</v>
      </c>
      <c r="AY26" s="421">
        <f>AW26+AX26</f>
        <v>0</v>
      </c>
      <c r="AZ26" s="421">
        <f>AT26+AU26+AV26+AY26</f>
        <v>-32</v>
      </c>
      <c r="BA26" s="422">
        <v>0</v>
      </c>
      <c r="BB26" s="422">
        <v>-0.01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0</v>
      </c>
      <c r="BL26" s="422">
        <f>BB26+BE26+BG26+BJ26</f>
        <v>-0.01</v>
      </c>
      <c r="BM26" s="611">
        <f>SUM(BK26:BL26)</f>
        <v>-0.01</v>
      </c>
      <c r="BN26" s="428">
        <f>I26+AZ26</f>
        <v>5157605</v>
      </c>
      <c r="BO26" s="421">
        <f>J26+AH26</f>
        <v>3811254</v>
      </c>
      <c r="BP26" s="421">
        <f t="shared" ref="BP26:BQ28" si="58">K26+AF26</f>
        <v>3481785</v>
      </c>
      <c r="BQ26" s="421">
        <f t="shared" si="58"/>
        <v>329469</v>
      </c>
      <c r="BR26" s="421">
        <f>M26+AQ26</f>
        <v>3200</v>
      </c>
      <c r="BS26" s="421">
        <f t="shared" ref="BS26:BT28" si="59">N26+AO26</f>
        <v>0</v>
      </c>
      <c r="BT26" s="421">
        <f t="shared" si="59"/>
        <v>3200</v>
      </c>
      <c r="BU26" s="421">
        <f t="shared" ref="BU26:BV28" si="60">P26+AU26</f>
        <v>1289285</v>
      </c>
      <c r="BV26" s="421">
        <f t="shared" si="60"/>
        <v>38113</v>
      </c>
      <c r="BW26" s="421">
        <f>R26+AY26</f>
        <v>15753</v>
      </c>
      <c r="BX26" s="422">
        <f>S26+BM26</f>
        <v>7.11</v>
      </c>
      <c r="BY26" s="422">
        <f t="shared" ref="BY26:BZ28" si="61">T26+BK26</f>
        <v>6</v>
      </c>
      <c r="BZ26" s="611">
        <f t="shared" si="61"/>
        <v>1.1100000000000001</v>
      </c>
      <c r="CA26" s="423"/>
      <c r="CB26" s="418"/>
      <c r="CC26" s="418"/>
      <c r="CD26" s="418"/>
      <c r="CE26" s="418"/>
      <c r="CF26" s="527"/>
    </row>
    <row r="27" spans="1:84" ht="12.95" customHeight="1" x14ac:dyDescent="0.25">
      <c r="A27" s="282">
        <v>4</v>
      </c>
      <c r="B27" s="213">
        <v>5464</v>
      </c>
      <c r="C27" s="213">
        <v>600098869</v>
      </c>
      <c r="D27" s="213">
        <v>72743719</v>
      </c>
      <c r="E27" s="373" t="s">
        <v>456</v>
      </c>
      <c r="F27" s="383">
        <v>3111</v>
      </c>
      <c r="G27" s="325" t="s">
        <v>292</v>
      </c>
      <c r="H27" s="287" t="s">
        <v>272</v>
      </c>
      <c r="I27" s="423">
        <f>J27+P27+Q27+R27</f>
        <v>0</v>
      </c>
      <c r="J27" s="418">
        <f>K27+L27</f>
        <v>0</v>
      </c>
      <c r="K27" s="418">
        <v>0</v>
      </c>
      <c r="L27" s="418">
        <v>0</v>
      </c>
      <c r="M27" s="418">
        <f t="shared" si="53"/>
        <v>0</v>
      </c>
      <c r="N27" s="418">
        <v>0</v>
      </c>
      <c r="O27" s="418">
        <v>0</v>
      </c>
      <c r="P27" s="68">
        <f t="shared" ref="P27" si="62">ROUND((J27+M27)*33.8%,0)</f>
        <v>0</v>
      </c>
      <c r="Q27" s="68">
        <f t="shared" ref="Q27" si="63">ROUND(J27*1%,0)</f>
        <v>0</v>
      </c>
      <c r="R27" s="418">
        <v>0</v>
      </c>
      <c r="S27" s="419">
        <f t="shared" si="4"/>
        <v>0</v>
      </c>
      <c r="T27" s="419">
        <v>0</v>
      </c>
      <c r="U27" s="527">
        <v>0</v>
      </c>
      <c r="V27" s="427">
        <f t="shared" si="54"/>
        <v>0</v>
      </c>
      <c r="W27" s="421">
        <f t="shared" si="54"/>
        <v>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>V27+X27+Y27+AA27+AB27+AD27</f>
        <v>0</v>
      </c>
      <c r="AG27" s="421">
        <f>W27+Z27+AC27+AE27</f>
        <v>0</v>
      </c>
      <c r="AH27" s="421">
        <f>SUM(AF27:AG27)</f>
        <v>0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55"/>
        <v>0</v>
      </c>
      <c r="AP27" s="421">
        <f>AJ27+AN27</f>
        <v>0</v>
      </c>
      <c r="AQ27" s="421">
        <f>SUM(AO27:AP27)</f>
        <v>0</v>
      </c>
      <c r="AR27" s="421">
        <f t="shared" si="56"/>
        <v>0</v>
      </c>
      <c r="AS27" s="421">
        <f t="shared" si="56"/>
        <v>0</v>
      </c>
      <c r="AT27" s="421">
        <f>SUM(AR27:AS27)</f>
        <v>0</v>
      </c>
      <c r="AU27" s="68">
        <f t="shared" si="57"/>
        <v>0</v>
      </c>
      <c r="AV27" s="68">
        <f>ROUND(AH27*1%,0)</f>
        <v>0</v>
      </c>
      <c r="AW27" s="421">
        <v>0</v>
      </c>
      <c r="AX27" s="421">
        <v>0</v>
      </c>
      <c r="AY27" s="421">
        <f>AW27+AX27</f>
        <v>0</v>
      </c>
      <c r="AZ27" s="421">
        <f>AT27+AU27+AV27+AY27</f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>BA27+BC27+BD27+BF27+BH27+BI27</f>
        <v>0</v>
      </c>
      <c r="BL27" s="422">
        <f>BB27+BE27+BG27+BJ27</f>
        <v>0</v>
      </c>
      <c r="BM27" s="611">
        <f>SUM(BK27:BL27)</f>
        <v>0</v>
      </c>
      <c r="BN27" s="428">
        <f>I27+AZ27</f>
        <v>0</v>
      </c>
      <c r="BO27" s="421">
        <f>J27+AH27</f>
        <v>0</v>
      </c>
      <c r="BP27" s="421">
        <f t="shared" si="58"/>
        <v>0</v>
      </c>
      <c r="BQ27" s="421">
        <f t="shared" si="58"/>
        <v>0</v>
      </c>
      <c r="BR27" s="421">
        <f>M27+AQ27</f>
        <v>0</v>
      </c>
      <c r="BS27" s="421">
        <f t="shared" si="59"/>
        <v>0</v>
      </c>
      <c r="BT27" s="421">
        <f t="shared" si="59"/>
        <v>0</v>
      </c>
      <c r="BU27" s="421">
        <f t="shared" si="60"/>
        <v>0</v>
      </c>
      <c r="BV27" s="421">
        <f t="shared" si="60"/>
        <v>0</v>
      </c>
      <c r="BW27" s="421">
        <f>R27+AY27</f>
        <v>0</v>
      </c>
      <c r="BX27" s="422">
        <f>S27+BM27</f>
        <v>0</v>
      </c>
      <c r="BY27" s="422">
        <f t="shared" si="61"/>
        <v>0</v>
      </c>
      <c r="BZ27" s="611">
        <f t="shared" si="61"/>
        <v>0</v>
      </c>
      <c r="CA27" s="423"/>
      <c r="CB27" s="418"/>
      <c r="CC27" s="418"/>
      <c r="CD27" s="418"/>
      <c r="CE27" s="418"/>
      <c r="CF27" s="527"/>
    </row>
    <row r="28" spans="1:84" ht="12.95" customHeight="1" x14ac:dyDescent="0.25">
      <c r="A28" s="282">
        <v>4</v>
      </c>
      <c r="B28" s="213">
        <v>5464</v>
      </c>
      <c r="C28" s="213">
        <v>600098869</v>
      </c>
      <c r="D28" s="213">
        <v>72743719</v>
      </c>
      <c r="E28" s="373" t="s">
        <v>456</v>
      </c>
      <c r="F28" s="384">
        <v>3141</v>
      </c>
      <c r="G28" s="375" t="s">
        <v>295</v>
      </c>
      <c r="H28" s="287" t="s">
        <v>272</v>
      </c>
      <c r="I28" s="423">
        <f>J28+P28+Q28+R28</f>
        <v>517543</v>
      </c>
      <c r="J28" s="418">
        <f>K28+L28</f>
        <v>382402</v>
      </c>
      <c r="K28" s="418">
        <v>0</v>
      </c>
      <c r="L28" s="418">
        <v>382402</v>
      </c>
      <c r="M28" s="418">
        <f t="shared" si="53"/>
        <v>0</v>
      </c>
      <c r="N28" s="418">
        <v>0</v>
      </c>
      <c r="O28" s="418">
        <v>0</v>
      </c>
      <c r="P28" s="68">
        <f>ROUND((J28+M28)*33.8%,0)</f>
        <v>129252</v>
      </c>
      <c r="Q28" s="68">
        <f>ROUND(J28*1%,0)</f>
        <v>3824</v>
      </c>
      <c r="R28" s="418">
        <v>2065</v>
      </c>
      <c r="S28" s="419">
        <f t="shared" si="4"/>
        <v>1.1467000000000001</v>
      </c>
      <c r="T28" s="419">
        <v>0</v>
      </c>
      <c r="U28" s="527">
        <v>1.1467000000000001</v>
      </c>
      <c r="V28" s="427">
        <f t="shared" si="54"/>
        <v>0</v>
      </c>
      <c r="W28" s="421">
        <f t="shared" si="54"/>
        <v>-32000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>V28+X28+Y28+AA28+AB28+AD28</f>
        <v>0</v>
      </c>
      <c r="AG28" s="421">
        <f>W28+Z28+AC28+AE28</f>
        <v>-32000</v>
      </c>
      <c r="AH28" s="421">
        <f>SUM(AF28:AG28)</f>
        <v>-32000</v>
      </c>
      <c r="AI28" s="421">
        <v>0</v>
      </c>
      <c r="AJ28" s="421">
        <v>32000</v>
      </c>
      <c r="AK28" s="421">
        <v>0</v>
      </c>
      <c r="AL28" s="421">
        <v>0</v>
      </c>
      <c r="AM28" s="421">
        <v>0</v>
      </c>
      <c r="AN28" s="421">
        <v>0</v>
      </c>
      <c r="AO28" s="421">
        <f t="shared" si="55"/>
        <v>0</v>
      </c>
      <c r="AP28" s="421">
        <f>AJ28+AN28</f>
        <v>32000</v>
      </c>
      <c r="AQ28" s="421">
        <f>SUM(AO28:AP28)</f>
        <v>32000</v>
      </c>
      <c r="AR28" s="421">
        <f t="shared" si="56"/>
        <v>0</v>
      </c>
      <c r="AS28" s="421">
        <f t="shared" si="56"/>
        <v>0</v>
      </c>
      <c r="AT28" s="421">
        <f>SUM(AR28:AS28)</f>
        <v>0</v>
      </c>
      <c r="AU28" s="68">
        <f t="shared" si="57"/>
        <v>0</v>
      </c>
      <c r="AV28" s="68">
        <f>ROUND(AH28*1%,0)</f>
        <v>-320</v>
      </c>
      <c r="AW28" s="421">
        <v>0</v>
      </c>
      <c r="AX28" s="421">
        <v>0</v>
      </c>
      <c r="AY28" s="421">
        <f>AW28+AX28</f>
        <v>0</v>
      </c>
      <c r="AZ28" s="421">
        <f>AT28+AU28+AV28+AY28</f>
        <v>-320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>BA28+BC28+BD28+BF28+BH28+BI28</f>
        <v>0</v>
      </c>
      <c r="BL28" s="422">
        <f>BB28+BE28+BG28+BJ28</f>
        <v>0</v>
      </c>
      <c r="BM28" s="611">
        <f>SUM(BK28:BL28)</f>
        <v>0</v>
      </c>
      <c r="BN28" s="428">
        <f>I28+AZ28</f>
        <v>517223</v>
      </c>
      <c r="BO28" s="421">
        <f>J28+AH28</f>
        <v>350402</v>
      </c>
      <c r="BP28" s="421">
        <f t="shared" si="58"/>
        <v>0</v>
      </c>
      <c r="BQ28" s="421">
        <f t="shared" si="58"/>
        <v>350402</v>
      </c>
      <c r="BR28" s="421">
        <f>M28+AQ28</f>
        <v>32000</v>
      </c>
      <c r="BS28" s="421">
        <f t="shared" si="59"/>
        <v>0</v>
      </c>
      <c r="BT28" s="421">
        <f t="shared" si="59"/>
        <v>32000</v>
      </c>
      <c r="BU28" s="421">
        <f t="shared" si="60"/>
        <v>129252</v>
      </c>
      <c r="BV28" s="421">
        <f t="shared" si="60"/>
        <v>3504</v>
      </c>
      <c r="BW28" s="421">
        <f>R28+AY28</f>
        <v>2065</v>
      </c>
      <c r="BX28" s="422">
        <f>S28+BM28</f>
        <v>1.1467000000000001</v>
      </c>
      <c r="BY28" s="422">
        <f t="shared" si="61"/>
        <v>0</v>
      </c>
      <c r="BZ28" s="611">
        <f t="shared" si="61"/>
        <v>1.1467000000000001</v>
      </c>
      <c r="CA28" s="423"/>
      <c r="CB28" s="418"/>
      <c r="CC28" s="418"/>
      <c r="CD28" s="418"/>
      <c r="CE28" s="418"/>
      <c r="CF28" s="527"/>
    </row>
    <row r="29" spans="1:84" ht="12.95" customHeight="1" x14ac:dyDescent="0.25">
      <c r="A29" s="214">
        <v>4</v>
      </c>
      <c r="B29" s="45">
        <v>5464</v>
      </c>
      <c r="C29" s="45">
        <v>600098869</v>
      </c>
      <c r="D29" s="45">
        <v>72743719</v>
      </c>
      <c r="E29" s="385" t="s">
        <v>457</v>
      </c>
      <c r="F29" s="386"/>
      <c r="G29" s="385"/>
      <c r="H29" s="387"/>
      <c r="I29" s="472">
        <f t="shared" ref="I29:BU29" si="64">SUM(I26:I28)</f>
        <v>5675180</v>
      </c>
      <c r="J29" s="468">
        <f t="shared" si="64"/>
        <v>4196856</v>
      </c>
      <c r="K29" s="468">
        <f t="shared" si="64"/>
        <v>3481785</v>
      </c>
      <c r="L29" s="468">
        <f t="shared" si="64"/>
        <v>715071</v>
      </c>
      <c r="M29" s="468">
        <f t="shared" si="64"/>
        <v>0</v>
      </c>
      <c r="N29" s="468">
        <f t="shared" si="64"/>
        <v>0</v>
      </c>
      <c r="O29" s="468">
        <f t="shared" si="64"/>
        <v>0</v>
      </c>
      <c r="P29" s="468">
        <f t="shared" si="64"/>
        <v>1418537</v>
      </c>
      <c r="Q29" s="468">
        <f t="shared" si="64"/>
        <v>41969</v>
      </c>
      <c r="R29" s="468">
        <f t="shared" si="64"/>
        <v>17818</v>
      </c>
      <c r="S29" s="469">
        <f t="shared" si="64"/>
        <v>8.2667000000000002</v>
      </c>
      <c r="T29" s="469">
        <f t="shared" si="64"/>
        <v>6</v>
      </c>
      <c r="U29" s="281">
        <f t="shared" si="64"/>
        <v>2.2667000000000002</v>
      </c>
      <c r="V29" s="474">
        <f t="shared" si="64"/>
        <v>0</v>
      </c>
      <c r="W29" s="468">
        <f t="shared" si="64"/>
        <v>-35200</v>
      </c>
      <c r="X29" s="468">
        <f t="shared" si="64"/>
        <v>0</v>
      </c>
      <c r="Y29" s="468">
        <f t="shared" si="64"/>
        <v>0</v>
      </c>
      <c r="Z29" s="468">
        <f t="shared" si="64"/>
        <v>0</v>
      </c>
      <c r="AA29" s="468">
        <f t="shared" si="64"/>
        <v>0</v>
      </c>
      <c r="AB29" s="468">
        <f t="shared" si="64"/>
        <v>0</v>
      </c>
      <c r="AC29" s="468">
        <f t="shared" si="64"/>
        <v>0</v>
      </c>
      <c r="AD29" s="468">
        <f t="shared" si="64"/>
        <v>0</v>
      </c>
      <c r="AE29" s="468">
        <f t="shared" si="64"/>
        <v>0</v>
      </c>
      <c r="AF29" s="468">
        <f t="shared" si="64"/>
        <v>0</v>
      </c>
      <c r="AG29" s="468">
        <f t="shared" si="64"/>
        <v>-35200</v>
      </c>
      <c r="AH29" s="468">
        <f t="shared" si="64"/>
        <v>-35200</v>
      </c>
      <c r="AI29" s="468">
        <f t="shared" si="64"/>
        <v>0</v>
      </c>
      <c r="AJ29" s="468">
        <f t="shared" si="64"/>
        <v>35200</v>
      </c>
      <c r="AK29" s="468">
        <f t="shared" ref="AK29" si="65">SUM(AK26:AK28)</f>
        <v>0</v>
      </c>
      <c r="AL29" s="468">
        <f t="shared" si="64"/>
        <v>0</v>
      </c>
      <c r="AM29" s="468">
        <f t="shared" si="64"/>
        <v>0</v>
      </c>
      <c r="AN29" s="468">
        <f t="shared" si="64"/>
        <v>0</v>
      </c>
      <c r="AO29" s="468">
        <f t="shared" si="64"/>
        <v>0</v>
      </c>
      <c r="AP29" s="468">
        <f t="shared" si="64"/>
        <v>35200</v>
      </c>
      <c r="AQ29" s="468">
        <f t="shared" si="64"/>
        <v>35200</v>
      </c>
      <c r="AR29" s="468">
        <f t="shared" si="64"/>
        <v>0</v>
      </c>
      <c r="AS29" s="468">
        <f t="shared" si="64"/>
        <v>0</v>
      </c>
      <c r="AT29" s="468">
        <f t="shared" si="64"/>
        <v>0</v>
      </c>
      <c r="AU29" s="468">
        <f t="shared" si="64"/>
        <v>0</v>
      </c>
      <c r="AV29" s="468">
        <f t="shared" si="64"/>
        <v>-352</v>
      </c>
      <c r="AW29" s="468">
        <f t="shared" si="64"/>
        <v>0</v>
      </c>
      <c r="AX29" s="468">
        <f t="shared" si="64"/>
        <v>0</v>
      </c>
      <c r="AY29" s="468">
        <f t="shared" si="64"/>
        <v>0</v>
      </c>
      <c r="AZ29" s="468">
        <f t="shared" si="64"/>
        <v>-352</v>
      </c>
      <c r="BA29" s="469">
        <f t="shared" si="64"/>
        <v>0</v>
      </c>
      <c r="BB29" s="469">
        <f t="shared" si="64"/>
        <v>-0.01</v>
      </c>
      <c r="BC29" s="469">
        <f t="shared" si="64"/>
        <v>0</v>
      </c>
      <c r="BD29" s="469">
        <f t="shared" si="64"/>
        <v>0</v>
      </c>
      <c r="BE29" s="469">
        <f t="shared" si="64"/>
        <v>0</v>
      </c>
      <c r="BF29" s="469">
        <f t="shared" si="64"/>
        <v>0</v>
      </c>
      <c r="BG29" s="469">
        <f t="shared" si="64"/>
        <v>0</v>
      </c>
      <c r="BH29" s="469">
        <f t="shared" si="64"/>
        <v>0</v>
      </c>
      <c r="BI29" s="469">
        <f t="shared" si="64"/>
        <v>0</v>
      </c>
      <c r="BJ29" s="469">
        <f t="shared" si="64"/>
        <v>0</v>
      </c>
      <c r="BK29" s="469">
        <f t="shared" si="64"/>
        <v>0</v>
      </c>
      <c r="BL29" s="469">
        <f t="shared" si="64"/>
        <v>-0.01</v>
      </c>
      <c r="BM29" s="562">
        <f t="shared" si="64"/>
        <v>-0.01</v>
      </c>
      <c r="BN29" s="472">
        <f t="shared" si="64"/>
        <v>5674828</v>
      </c>
      <c r="BO29" s="468">
        <f t="shared" si="64"/>
        <v>4161656</v>
      </c>
      <c r="BP29" s="468">
        <f t="shared" si="64"/>
        <v>3481785</v>
      </c>
      <c r="BQ29" s="468">
        <f t="shared" si="64"/>
        <v>679871</v>
      </c>
      <c r="BR29" s="468">
        <f t="shared" si="64"/>
        <v>35200</v>
      </c>
      <c r="BS29" s="468">
        <f t="shared" si="64"/>
        <v>0</v>
      </c>
      <c r="BT29" s="468">
        <f t="shared" si="64"/>
        <v>35200</v>
      </c>
      <c r="BU29" s="468">
        <f t="shared" si="64"/>
        <v>1418537</v>
      </c>
      <c r="BV29" s="468">
        <f t="shared" ref="BV29:CF29" si="66">SUM(BV26:BV28)</f>
        <v>41617</v>
      </c>
      <c r="BW29" s="468">
        <f t="shared" si="66"/>
        <v>17818</v>
      </c>
      <c r="BX29" s="469">
        <f t="shared" si="66"/>
        <v>8.2567000000000004</v>
      </c>
      <c r="BY29" s="469">
        <f t="shared" si="66"/>
        <v>6</v>
      </c>
      <c r="BZ29" s="562">
        <f t="shared" si="66"/>
        <v>2.2567000000000004</v>
      </c>
      <c r="CA29" s="873">
        <f t="shared" si="66"/>
        <v>0</v>
      </c>
      <c r="CB29" s="850">
        <f t="shared" si="66"/>
        <v>0</v>
      </c>
      <c r="CC29" s="850">
        <f t="shared" si="66"/>
        <v>0</v>
      </c>
      <c r="CD29" s="850">
        <f t="shared" si="66"/>
        <v>0</v>
      </c>
      <c r="CE29" s="850">
        <f t="shared" si="66"/>
        <v>0</v>
      </c>
      <c r="CF29" s="841">
        <f t="shared" si="66"/>
        <v>0</v>
      </c>
    </row>
    <row r="30" spans="1:84" ht="12.95" customHeight="1" x14ac:dyDescent="0.25">
      <c r="A30" s="282">
        <v>5</v>
      </c>
      <c r="B30" s="213">
        <v>5467</v>
      </c>
      <c r="C30" s="213">
        <v>600098648</v>
      </c>
      <c r="D30" s="213">
        <v>72743948</v>
      </c>
      <c r="E30" s="374" t="s">
        <v>458</v>
      </c>
      <c r="F30" s="213">
        <v>3111</v>
      </c>
      <c r="G30" s="375" t="s">
        <v>305</v>
      </c>
      <c r="H30" s="287" t="s">
        <v>271</v>
      </c>
      <c r="I30" s="423">
        <f>J30+P30+Q30+R30</f>
        <v>4865172</v>
      </c>
      <c r="J30" s="418">
        <f>K30+L30</f>
        <v>3597049</v>
      </c>
      <c r="K30" s="418">
        <v>3264380</v>
      </c>
      <c r="L30" s="418">
        <v>332669</v>
      </c>
      <c r="M30" s="418">
        <f t="shared" ref="M30:M32" si="67">N30+O30</f>
        <v>0</v>
      </c>
      <c r="N30" s="418">
        <v>0</v>
      </c>
      <c r="O30" s="418">
        <v>0</v>
      </c>
      <c r="P30" s="418">
        <f>ROUND((J30+M30)*33.8%,0)</f>
        <v>1215803</v>
      </c>
      <c r="Q30" s="418">
        <f>ROUND(J30*1%,0)</f>
        <v>35970</v>
      </c>
      <c r="R30" s="418">
        <v>16350</v>
      </c>
      <c r="S30" s="419">
        <f t="shared" si="4"/>
        <v>7.12</v>
      </c>
      <c r="T30" s="419">
        <v>6</v>
      </c>
      <c r="U30" s="527">
        <v>1.1200000000000001</v>
      </c>
      <c r="V30" s="427">
        <f t="shared" ref="V30:W32" si="68">AI30*-1</f>
        <v>0</v>
      </c>
      <c r="W30" s="421">
        <f t="shared" si="68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>V30+X30+Y30+AA30+AB30+AD30</f>
        <v>0</v>
      </c>
      <c r="AG30" s="421">
        <f>W30+Z30+AC30+AE30</f>
        <v>0</v>
      </c>
      <c r="AH30" s="421">
        <f>SUM(AF30:AG30)</f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ref="AO30:AO32" si="69">AI30+AK30+AL30+AM30</f>
        <v>0</v>
      </c>
      <c r="AP30" s="421">
        <f>AJ30+AN30</f>
        <v>0</v>
      </c>
      <c r="AQ30" s="421">
        <f>SUM(AO30:AP30)</f>
        <v>0</v>
      </c>
      <c r="AR30" s="421">
        <f t="shared" ref="AR30:AS32" si="70">AF30+AO30</f>
        <v>0</v>
      </c>
      <c r="AS30" s="421">
        <f t="shared" si="70"/>
        <v>0</v>
      </c>
      <c r="AT30" s="421">
        <f>SUM(AR30:AS30)</f>
        <v>0</v>
      </c>
      <c r="AU30" s="68">
        <f t="shared" ref="AU30:AU32" si="71">ROUND((AH30+AI30+AJ30+AK30+AL30)*33.8%,0)</f>
        <v>0</v>
      </c>
      <c r="AV30" s="68">
        <f>ROUND(AH30*1%,0)</f>
        <v>0</v>
      </c>
      <c r="AW30" s="421">
        <v>0</v>
      </c>
      <c r="AX30" s="421">
        <v>0</v>
      </c>
      <c r="AY30" s="421">
        <f>AW30+AX30</f>
        <v>0</v>
      </c>
      <c r="AZ30" s="421">
        <f>AT30+AU30+AV30+AY30</f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>BA30+BC30+BD30+BF30+BH30+BI30</f>
        <v>0</v>
      </c>
      <c r="BL30" s="422">
        <f>BB30+BE30+BG30+BJ30</f>
        <v>0</v>
      </c>
      <c r="BM30" s="611">
        <f>SUM(BK30:BL30)</f>
        <v>0</v>
      </c>
      <c r="BN30" s="428">
        <f>I30+AZ30</f>
        <v>4865172</v>
      </c>
      <c r="BO30" s="421">
        <f>J30+AH30</f>
        <v>3597049</v>
      </c>
      <c r="BP30" s="421">
        <f t="shared" ref="BP30:BQ32" si="72">K30+AF30</f>
        <v>3264380</v>
      </c>
      <c r="BQ30" s="421">
        <f t="shared" si="72"/>
        <v>332669</v>
      </c>
      <c r="BR30" s="421">
        <f>M30+AQ30</f>
        <v>0</v>
      </c>
      <c r="BS30" s="421">
        <f t="shared" ref="BS30:BT32" si="73">N30+AO30</f>
        <v>0</v>
      </c>
      <c r="BT30" s="421">
        <f t="shared" si="73"/>
        <v>0</v>
      </c>
      <c r="BU30" s="421">
        <f t="shared" ref="BU30:BV32" si="74">P30+AU30</f>
        <v>1215803</v>
      </c>
      <c r="BV30" s="421">
        <f t="shared" si="74"/>
        <v>35970</v>
      </c>
      <c r="BW30" s="421">
        <f>R30+AY30</f>
        <v>16350</v>
      </c>
      <c r="BX30" s="422">
        <f>S30+BM30</f>
        <v>7.12</v>
      </c>
      <c r="BY30" s="422">
        <f t="shared" ref="BY30:BZ32" si="75">T30+BK30</f>
        <v>6</v>
      </c>
      <c r="BZ30" s="611">
        <f t="shared" si="75"/>
        <v>1.1200000000000001</v>
      </c>
      <c r="CA30" s="423"/>
      <c r="CB30" s="418"/>
      <c r="CC30" s="418"/>
      <c r="CD30" s="418"/>
      <c r="CE30" s="418"/>
      <c r="CF30" s="527"/>
    </row>
    <row r="31" spans="1:84" ht="12.95" customHeight="1" x14ac:dyDescent="0.25">
      <c r="A31" s="282">
        <v>5</v>
      </c>
      <c r="B31" s="213">
        <v>5467</v>
      </c>
      <c r="C31" s="213">
        <v>600098648</v>
      </c>
      <c r="D31" s="213">
        <v>72743948</v>
      </c>
      <c r="E31" s="373" t="s">
        <v>458</v>
      </c>
      <c r="F31" s="213">
        <v>3111</v>
      </c>
      <c r="G31" s="325" t="s">
        <v>292</v>
      </c>
      <c r="H31" s="287" t="s">
        <v>272</v>
      </c>
      <c r="I31" s="423">
        <f>J31+P31+Q31+R31</f>
        <v>0</v>
      </c>
      <c r="J31" s="418">
        <f>K31+L31</f>
        <v>0</v>
      </c>
      <c r="K31" s="418">
        <v>0</v>
      </c>
      <c r="L31" s="418">
        <v>0</v>
      </c>
      <c r="M31" s="418">
        <f t="shared" si="67"/>
        <v>0</v>
      </c>
      <c r="N31" s="418">
        <v>0</v>
      </c>
      <c r="O31" s="418">
        <v>0</v>
      </c>
      <c r="P31" s="68">
        <f t="shared" ref="P31" si="76">ROUND((J31+M31)*33.8%,0)</f>
        <v>0</v>
      </c>
      <c r="Q31" s="68">
        <f t="shared" ref="Q31" si="77">ROUND(J31*1%,0)</f>
        <v>0</v>
      </c>
      <c r="R31" s="418">
        <v>0</v>
      </c>
      <c r="S31" s="419">
        <f t="shared" si="4"/>
        <v>0</v>
      </c>
      <c r="T31" s="419">
        <v>0</v>
      </c>
      <c r="U31" s="527">
        <v>0</v>
      </c>
      <c r="V31" s="427">
        <f t="shared" si="68"/>
        <v>0</v>
      </c>
      <c r="W31" s="421">
        <f t="shared" si="68"/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f>V31+X31+Y31+AA31+AB31+AD31</f>
        <v>0</v>
      </c>
      <c r="AG31" s="421">
        <f>W31+Z31+AC31+AE31</f>
        <v>0</v>
      </c>
      <c r="AH31" s="421">
        <f>SUM(AF31:AG31)</f>
        <v>0</v>
      </c>
      <c r="AI31" s="421">
        <v>0</v>
      </c>
      <c r="AJ31" s="421">
        <v>0</v>
      </c>
      <c r="AK31" s="421">
        <v>0</v>
      </c>
      <c r="AL31" s="421">
        <v>0</v>
      </c>
      <c r="AM31" s="421">
        <v>0</v>
      </c>
      <c r="AN31" s="421">
        <v>0</v>
      </c>
      <c r="AO31" s="421">
        <f t="shared" si="69"/>
        <v>0</v>
      </c>
      <c r="AP31" s="421">
        <f>AJ31+AN31</f>
        <v>0</v>
      </c>
      <c r="AQ31" s="421">
        <f>SUM(AO31:AP31)</f>
        <v>0</v>
      </c>
      <c r="AR31" s="421">
        <f t="shared" si="70"/>
        <v>0</v>
      </c>
      <c r="AS31" s="421">
        <f t="shared" si="70"/>
        <v>0</v>
      </c>
      <c r="AT31" s="421">
        <f>SUM(AR31:AS31)</f>
        <v>0</v>
      </c>
      <c r="AU31" s="68">
        <f t="shared" si="71"/>
        <v>0</v>
      </c>
      <c r="AV31" s="68">
        <f>ROUND(AH31*1%,0)</f>
        <v>0</v>
      </c>
      <c r="AW31" s="421">
        <v>0</v>
      </c>
      <c r="AX31" s="421">
        <v>0</v>
      </c>
      <c r="AY31" s="421">
        <f>AW31+AX31</f>
        <v>0</v>
      </c>
      <c r="AZ31" s="421">
        <f>AT31+AU31+AV31+AY31</f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>BA31+BC31+BD31+BF31+BH31+BI31</f>
        <v>0</v>
      </c>
      <c r="BL31" s="422">
        <f>BB31+BE31+BG31+BJ31</f>
        <v>0</v>
      </c>
      <c r="BM31" s="611">
        <f>SUM(BK31:BL31)</f>
        <v>0</v>
      </c>
      <c r="BN31" s="428">
        <f>I31+AZ31</f>
        <v>0</v>
      </c>
      <c r="BO31" s="421">
        <f>J31+AH31</f>
        <v>0</v>
      </c>
      <c r="BP31" s="421">
        <f t="shared" si="72"/>
        <v>0</v>
      </c>
      <c r="BQ31" s="421">
        <f t="shared" si="72"/>
        <v>0</v>
      </c>
      <c r="BR31" s="421">
        <f>M31+AQ31</f>
        <v>0</v>
      </c>
      <c r="BS31" s="421">
        <f t="shared" si="73"/>
        <v>0</v>
      </c>
      <c r="BT31" s="421">
        <f t="shared" si="73"/>
        <v>0</v>
      </c>
      <c r="BU31" s="421">
        <f t="shared" si="74"/>
        <v>0</v>
      </c>
      <c r="BV31" s="421">
        <f t="shared" si="74"/>
        <v>0</v>
      </c>
      <c r="BW31" s="421">
        <f>R31+AY31</f>
        <v>0</v>
      </c>
      <c r="BX31" s="422">
        <f>S31+BM31</f>
        <v>0</v>
      </c>
      <c r="BY31" s="422">
        <f t="shared" si="75"/>
        <v>0</v>
      </c>
      <c r="BZ31" s="611">
        <f t="shared" si="75"/>
        <v>0</v>
      </c>
      <c r="CA31" s="423"/>
      <c r="CB31" s="418"/>
      <c r="CC31" s="418"/>
      <c r="CD31" s="418"/>
      <c r="CE31" s="418"/>
      <c r="CF31" s="527"/>
    </row>
    <row r="32" spans="1:84" ht="12.95" customHeight="1" x14ac:dyDescent="0.25">
      <c r="A32" s="282">
        <v>5</v>
      </c>
      <c r="B32" s="213">
        <v>5467</v>
      </c>
      <c r="C32" s="213">
        <v>600098648</v>
      </c>
      <c r="D32" s="213">
        <v>72743948</v>
      </c>
      <c r="E32" s="373" t="s">
        <v>458</v>
      </c>
      <c r="F32" s="384">
        <v>3141</v>
      </c>
      <c r="G32" s="375" t="s">
        <v>295</v>
      </c>
      <c r="H32" s="287" t="s">
        <v>272</v>
      </c>
      <c r="I32" s="423">
        <f>J32+P32+Q32+R32</f>
        <v>463284</v>
      </c>
      <c r="J32" s="418">
        <f>K32+L32</f>
        <v>342384</v>
      </c>
      <c r="K32" s="418">
        <v>0</v>
      </c>
      <c r="L32" s="418">
        <v>342384</v>
      </c>
      <c r="M32" s="418">
        <f t="shared" si="67"/>
        <v>0</v>
      </c>
      <c r="N32" s="418">
        <v>0</v>
      </c>
      <c r="O32" s="418">
        <v>0</v>
      </c>
      <c r="P32" s="418">
        <f>ROUND((J32+M32)*33.8%,0)</f>
        <v>115726</v>
      </c>
      <c r="Q32" s="418">
        <f>ROUND(J32*1%,0)</f>
        <v>3424</v>
      </c>
      <c r="R32" s="418">
        <v>1750</v>
      </c>
      <c r="S32" s="419">
        <f t="shared" si="4"/>
        <v>1.0266999999999999</v>
      </c>
      <c r="T32" s="419">
        <v>0</v>
      </c>
      <c r="U32" s="527">
        <v>1.0266999999999999</v>
      </c>
      <c r="V32" s="427">
        <f t="shared" si="68"/>
        <v>0</v>
      </c>
      <c r="W32" s="421">
        <f t="shared" si="68"/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>V32+X32+Y32+AA32+AB32+AD32</f>
        <v>0</v>
      </c>
      <c r="AG32" s="421">
        <f>W32+Z32+AC32+AE32</f>
        <v>0</v>
      </c>
      <c r="AH32" s="421">
        <f>SUM(AF32:AG32)</f>
        <v>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69"/>
        <v>0</v>
      </c>
      <c r="AP32" s="421">
        <f>AJ32+AN32</f>
        <v>0</v>
      </c>
      <c r="AQ32" s="421">
        <f>SUM(AO32:AP32)</f>
        <v>0</v>
      </c>
      <c r="AR32" s="421">
        <f t="shared" si="70"/>
        <v>0</v>
      </c>
      <c r="AS32" s="421">
        <f t="shared" si="70"/>
        <v>0</v>
      </c>
      <c r="AT32" s="421">
        <f>SUM(AR32:AS32)</f>
        <v>0</v>
      </c>
      <c r="AU32" s="68">
        <f t="shared" si="71"/>
        <v>0</v>
      </c>
      <c r="AV32" s="68">
        <f>ROUND(AH32*1%,0)</f>
        <v>0</v>
      </c>
      <c r="AW32" s="421">
        <v>0</v>
      </c>
      <c r="AX32" s="421">
        <v>0</v>
      </c>
      <c r="AY32" s="421">
        <f>AW32+AX32</f>
        <v>0</v>
      </c>
      <c r="AZ32" s="421">
        <f>AT32+AU32+AV32+AY32</f>
        <v>0</v>
      </c>
      <c r="BA32" s="422">
        <v>0</v>
      </c>
      <c r="BB32" s="422">
        <v>0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>BA32+BC32+BD32+BF32+BH32+BI32</f>
        <v>0</v>
      </c>
      <c r="BL32" s="422">
        <f>BB32+BE32+BG32+BJ32</f>
        <v>0</v>
      </c>
      <c r="BM32" s="611">
        <f>SUM(BK32:BL32)</f>
        <v>0</v>
      </c>
      <c r="BN32" s="428">
        <f>I32+AZ32</f>
        <v>463284</v>
      </c>
      <c r="BO32" s="421">
        <f>J32+AH32</f>
        <v>342384</v>
      </c>
      <c r="BP32" s="421">
        <f t="shared" si="72"/>
        <v>0</v>
      </c>
      <c r="BQ32" s="421">
        <f t="shared" si="72"/>
        <v>342384</v>
      </c>
      <c r="BR32" s="421">
        <f>M32+AQ32</f>
        <v>0</v>
      </c>
      <c r="BS32" s="421">
        <f t="shared" si="73"/>
        <v>0</v>
      </c>
      <c r="BT32" s="421">
        <f t="shared" si="73"/>
        <v>0</v>
      </c>
      <c r="BU32" s="421">
        <f t="shared" si="74"/>
        <v>115726</v>
      </c>
      <c r="BV32" s="421">
        <f t="shared" si="74"/>
        <v>3424</v>
      </c>
      <c r="BW32" s="421">
        <f>R32+AY32</f>
        <v>1750</v>
      </c>
      <c r="BX32" s="422">
        <f>S32+BM32</f>
        <v>1.0266999999999999</v>
      </c>
      <c r="BY32" s="422">
        <f t="shared" si="75"/>
        <v>0</v>
      </c>
      <c r="BZ32" s="611">
        <f t="shared" si="75"/>
        <v>1.0266999999999999</v>
      </c>
      <c r="CA32" s="423"/>
      <c r="CB32" s="418"/>
      <c r="CC32" s="418"/>
      <c r="CD32" s="418"/>
      <c r="CE32" s="418"/>
      <c r="CF32" s="527"/>
    </row>
    <row r="33" spans="1:84" ht="12.95" customHeight="1" x14ac:dyDescent="0.25">
      <c r="A33" s="214">
        <v>5</v>
      </c>
      <c r="B33" s="46">
        <v>5467</v>
      </c>
      <c r="C33" s="46">
        <v>600098648</v>
      </c>
      <c r="D33" s="46">
        <v>72743948</v>
      </c>
      <c r="E33" s="385" t="s">
        <v>459</v>
      </c>
      <c r="F33" s="386"/>
      <c r="G33" s="385"/>
      <c r="H33" s="387"/>
      <c r="I33" s="500">
        <f t="shared" ref="I33:BU33" si="78">SUM(I30:I32)</f>
        <v>5328456</v>
      </c>
      <c r="J33" s="497">
        <f t="shared" si="78"/>
        <v>3939433</v>
      </c>
      <c r="K33" s="497">
        <f t="shared" si="78"/>
        <v>3264380</v>
      </c>
      <c r="L33" s="497">
        <f t="shared" si="78"/>
        <v>675053</v>
      </c>
      <c r="M33" s="497">
        <f t="shared" si="78"/>
        <v>0</v>
      </c>
      <c r="N33" s="497">
        <f t="shared" si="78"/>
        <v>0</v>
      </c>
      <c r="O33" s="497">
        <f t="shared" si="78"/>
        <v>0</v>
      </c>
      <c r="P33" s="497">
        <f t="shared" si="78"/>
        <v>1331529</v>
      </c>
      <c r="Q33" s="497">
        <f t="shared" si="78"/>
        <v>39394</v>
      </c>
      <c r="R33" s="497">
        <f t="shared" si="78"/>
        <v>18100</v>
      </c>
      <c r="S33" s="498">
        <f t="shared" si="78"/>
        <v>8.1466999999999992</v>
      </c>
      <c r="T33" s="498">
        <f t="shared" si="78"/>
        <v>6</v>
      </c>
      <c r="U33" s="381">
        <f t="shared" si="78"/>
        <v>2.1467000000000001</v>
      </c>
      <c r="V33" s="502">
        <f t="shared" si="78"/>
        <v>0</v>
      </c>
      <c r="W33" s="497">
        <f t="shared" si="78"/>
        <v>0</v>
      </c>
      <c r="X33" s="497">
        <f t="shared" si="78"/>
        <v>0</v>
      </c>
      <c r="Y33" s="497">
        <f t="shared" si="78"/>
        <v>0</v>
      </c>
      <c r="Z33" s="497">
        <f t="shared" si="78"/>
        <v>0</v>
      </c>
      <c r="AA33" s="497">
        <f t="shared" si="78"/>
        <v>0</v>
      </c>
      <c r="AB33" s="497">
        <f t="shared" si="78"/>
        <v>0</v>
      </c>
      <c r="AC33" s="497">
        <f t="shared" si="78"/>
        <v>0</v>
      </c>
      <c r="AD33" s="497">
        <f t="shared" si="78"/>
        <v>0</v>
      </c>
      <c r="AE33" s="497">
        <f t="shared" si="78"/>
        <v>0</v>
      </c>
      <c r="AF33" s="497">
        <f t="shared" si="78"/>
        <v>0</v>
      </c>
      <c r="AG33" s="497">
        <f t="shared" si="78"/>
        <v>0</v>
      </c>
      <c r="AH33" s="497">
        <f t="shared" si="78"/>
        <v>0</v>
      </c>
      <c r="AI33" s="497">
        <f t="shared" si="78"/>
        <v>0</v>
      </c>
      <c r="AJ33" s="497">
        <f t="shared" si="78"/>
        <v>0</v>
      </c>
      <c r="AK33" s="497">
        <f t="shared" ref="AK33" si="79">SUM(AK30:AK32)</f>
        <v>0</v>
      </c>
      <c r="AL33" s="497">
        <f t="shared" si="78"/>
        <v>0</v>
      </c>
      <c r="AM33" s="497">
        <f t="shared" si="78"/>
        <v>0</v>
      </c>
      <c r="AN33" s="497">
        <f t="shared" si="78"/>
        <v>0</v>
      </c>
      <c r="AO33" s="497">
        <f t="shared" si="78"/>
        <v>0</v>
      </c>
      <c r="AP33" s="497">
        <f t="shared" si="78"/>
        <v>0</v>
      </c>
      <c r="AQ33" s="497">
        <f t="shared" si="78"/>
        <v>0</v>
      </c>
      <c r="AR33" s="497">
        <f t="shared" si="78"/>
        <v>0</v>
      </c>
      <c r="AS33" s="497">
        <f t="shared" si="78"/>
        <v>0</v>
      </c>
      <c r="AT33" s="497">
        <f t="shared" si="78"/>
        <v>0</v>
      </c>
      <c r="AU33" s="497">
        <f t="shared" si="78"/>
        <v>0</v>
      </c>
      <c r="AV33" s="497">
        <f t="shared" si="78"/>
        <v>0</v>
      </c>
      <c r="AW33" s="497">
        <f t="shared" si="78"/>
        <v>0</v>
      </c>
      <c r="AX33" s="497">
        <f t="shared" si="78"/>
        <v>0</v>
      </c>
      <c r="AY33" s="497">
        <f t="shared" si="78"/>
        <v>0</v>
      </c>
      <c r="AZ33" s="497">
        <f t="shared" si="78"/>
        <v>0</v>
      </c>
      <c r="BA33" s="498">
        <f t="shared" si="78"/>
        <v>0</v>
      </c>
      <c r="BB33" s="498">
        <f t="shared" si="78"/>
        <v>0</v>
      </c>
      <c r="BC33" s="498">
        <f t="shared" si="78"/>
        <v>0</v>
      </c>
      <c r="BD33" s="498">
        <f t="shared" si="78"/>
        <v>0</v>
      </c>
      <c r="BE33" s="498">
        <f t="shared" si="78"/>
        <v>0</v>
      </c>
      <c r="BF33" s="498">
        <f t="shared" si="78"/>
        <v>0</v>
      </c>
      <c r="BG33" s="498">
        <f t="shared" si="78"/>
        <v>0</v>
      </c>
      <c r="BH33" s="498">
        <f t="shared" si="78"/>
        <v>0</v>
      </c>
      <c r="BI33" s="498">
        <f t="shared" si="78"/>
        <v>0</v>
      </c>
      <c r="BJ33" s="498">
        <f t="shared" si="78"/>
        <v>0</v>
      </c>
      <c r="BK33" s="498">
        <f t="shared" si="78"/>
        <v>0</v>
      </c>
      <c r="BL33" s="498">
        <f t="shared" si="78"/>
        <v>0</v>
      </c>
      <c r="BM33" s="746">
        <f t="shared" si="78"/>
        <v>0</v>
      </c>
      <c r="BN33" s="500">
        <f t="shared" si="78"/>
        <v>5328456</v>
      </c>
      <c r="BO33" s="497">
        <f t="shared" si="78"/>
        <v>3939433</v>
      </c>
      <c r="BP33" s="497">
        <f t="shared" si="78"/>
        <v>3264380</v>
      </c>
      <c r="BQ33" s="497">
        <f t="shared" si="78"/>
        <v>675053</v>
      </c>
      <c r="BR33" s="497">
        <f t="shared" si="78"/>
        <v>0</v>
      </c>
      <c r="BS33" s="497">
        <f t="shared" si="78"/>
        <v>0</v>
      </c>
      <c r="BT33" s="497">
        <f t="shared" si="78"/>
        <v>0</v>
      </c>
      <c r="BU33" s="497">
        <f t="shared" si="78"/>
        <v>1331529</v>
      </c>
      <c r="BV33" s="497">
        <f t="shared" ref="BV33:CF33" si="80">SUM(BV30:BV32)</f>
        <v>39394</v>
      </c>
      <c r="BW33" s="497">
        <f t="shared" si="80"/>
        <v>18100</v>
      </c>
      <c r="BX33" s="498">
        <f t="shared" si="80"/>
        <v>8.1466999999999992</v>
      </c>
      <c r="BY33" s="498">
        <f t="shared" si="80"/>
        <v>6</v>
      </c>
      <c r="BZ33" s="746">
        <f t="shared" si="80"/>
        <v>2.1467000000000001</v>
      </c>
      <c r="CA33" s="902">
        <f t="shared" si="80"/>
        <v>0</v>
      </c>
      <c r="CB33" s="897">
        <f t="shared" si="80"/>
        <v>0</v>
      </c>
      <c r="CC33" s="897">
        <f t="shared" si="80"/>
        <v>0</v>
      </c>
      <c r="CD33" s="897">
        <f t="shared" si="80"/>
        <v>0</v>
      </c>
      <c r="CE33" s="897">
        <f t="shared" si="80"/>
        <v>0</v>
      </c>
      <c r="CF33" s="842">
        <f t="shared" si="80"/>
        <v>0</v>
      </c>
    </row>
    <row r="34" spans="1:84" ht="12.95" customHeight="1" x14ac:dyDescent="0.25">
      <c r="A34" s="282">
        <v>6</v>
      </c>
      <c r="B34" s="213">
        <v>5463</v>
      </c>
      <c r="C34" s="213">
        <v>600098877</v>
      </c>
      <c r="D34" s="213">
        <v>72743786</v>
      </c>
      <c r="E34" s="212" t="s">
        <v>460</v>
      </c>
      <c r="F34" s="213">
        <v>3111</v>
      </c>
      <c r="G34" s="375" t="s">
        <v>305</v>
      </c>
      <c r="H34" s="287" t="s">
        <v>271</v>
      </c>
      <c r="I34" s="423">
        <f>J34+P34+Q34+R34</f>
        <v>5163805</v>
      </c>
      <c r="J34" s="418">
        <f>K34+L34</f>
        <v>3815569</v>
      </c>
      <c r="K34" s="418">
        <v>3482900</v>
      </c>
      <c r="L34" s="418">
        <v>332669</v>
      </c>
      <c r="M34" s="418">
        <f t="shared" ref="M34:M36" si="81">N34+O34</f>
        <v>0</v>
      </c>
      <c r="N34" s="418">
        <v>0</v>
      </c>
      <c r="O34" s="418">
        <v>0</v>
      </c>
      <c r="P34" s="68">
        <f>ROUND((J34+M34)*33.8%,0)</f>
        <v>1289662</v>
      </c>
      <c r="Q34" s="68">
        <f>ROUND(J34*1%,0)</f>
        <v>38156</v>
      </c>
      <c r="R34" s="418">
        <v>20418</v>
      </c>
      <c r="S34" s="419">
        <f t="shared" si="4"/>
        <v>7.3619000000000003</v>
      </c>
      <c r="T34" s="419">
        <v>6.2419000000000002</v>
      </c>
      <c r="U34" s="527">
        <v>1.1200000000000001</v>
      </c>
      <c r="V34" s="427">
        <f t="shared" ref="V34:W36" si="82">AI34*-1</f>
        <v>0</v>
      </c>
      <c r="W34" s="421">
        <f t="shared" si="82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0</v>
      </c>
      <c r="AG34" s="421">
        <f>W34+Z34+AC34+AE34</f>
        <v>0</v>
      </c>
      <c r="AH34" s="421">
        <f>SUM(AF34:AG34)</f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ref="AO34:AO36" si="83">AI34+AK34+AL34+AM34</f>
        <v>0</v>
      </c>
      <c r="AP34" s="421">
        <f>AJ34+AN34</f>
        <v>0</v>
      </c>
      <c r="AQ34" s="421">
        <f>SUM(AO34:AP34)</f>
        <v>0</v>
      </c>
      <c r="AR34" s="421">
        <f t="shared" ref="AR34:AS36" si="84">AF34+AO34</f>
        <v>0</v>
      </c>
      <c r="AS34" s="421">
        <f t="shared" si="84"/>
        <v>0</v>
      </c>
      <c r="AT34" s="421">
        <f>SUM(AR34:AS34)</f>
        <v>0</v>
      </c>
      <c r="AU34" s="68">
        <f t="shared" ref="AU34:AU36" si="85">ROUND((AH34+AI34+AJ34+AK34+AL34)*33.8%,0)</f>
        <v>0</v>
      </c>
      <c r="AV34" s="68">
        <f>ROUND(AH34*1%,0)</f>
        <v>0</v>
      </c>
      <c r="AW34" s="421">
        <v>0</v>
      </c>
      <c r="AX34" s="421">
        <v>0</v>
      </c>
      <c r="AY34" s="421">
        <f>AW34+AX34</f>
        <v>0</v>
      </c>
      <c r="AZ34" s="421">
        <f>AT34+AU34+AV34+AY34</f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611">
        <f>SUM(BK34:BL34)</f>
        <v>0</v>
      </c>
      <c r="BN34" s="428">
        <f>I34+AZ34</f>
        <v>5163805</v>
      </c>
      <c r="BO34" s="421">
        <f>J34+AH34</f>
        <v>3815569</v>
      </c>
      <c r="BP34" s="421">
        <f t="shared" ref="BP34:BQ36" si="86">K34+AF34</f>
        <v>3482900</v>
      </c>
      <c r="BQ34" s="421">
        <f t="shared" si="86"/>
        <v>332669</v>
      </c>
      <c r="BR34" s="421">
        <f>M34+AQ34</f>
        <v>0</v>
      </c>
      <c r="BS34" s="421">
        <f t="shared" ref="BS34:BT36" si="87">N34+AO34</f>
        <v>0</v>
      </c>
      <c r="BT34" s="421">
        <f t="shared" si="87"/>
        <v>0</v>
      </c>
      <c r="BU34" s="421">
        <f t="shared" ref="BU34:BV36" si="88">P34+AU34</f>
        <v>1289662</v>
      </c>
      <c r="BV34" s="421">
        <f t="shared" si="88"/>
        <v>38156</v>
      </c>
      <c r="BW34" s="421">
        <f>R34+AY34</f>
        <v>20418</v>
      </c>
      <c r="BX34" s="422">
        <f>S34+BM34</f>
        <v>7.3619000000000003</v>
      </c>
      <c r="BY34" s="422">
        <f t="shared" ref="BY34:BZ36" si="89">T34+BK34</f>
        <v>6.2419000000000002</v>
      </c>
      <c r="BZ34" s="611">
        <f t="shared" si="89"/>
        <v>1.1200000000000001</v>
      </c>
      <c r="CA34" s="423"/>
      <c r="CB34" s="418"/>
      <c r="CC34" s="418"/>
      <c r="CD34" s="418"/>
      <c r="CE34" s="418"/>
      <c r="CF34" s="527"/>
    </row>
    <row r="35" spans="1:84" ht="12.95" customHeight="1" x14ac:dyDescent="0.25">
      <c r="A35" s="282">
        <v>6</v>
      </c>
      <c r="B35" s="213">
        <v>5463</v>
      </c>
      <c r="C35" s="213">
        <v>600098877</v>
      </c>
      <c r="D35" s="213">
        <v>72743786</v>
      </c>
      <c r="E35" s="374" t="s">
        <v>460</v>
      </c>
      <c r="F35" s="213">
        <v>3111</v>
      </c>
      <c r="G35" s="325" t="s">
        <v>292</v>
      </c>
      <c r="H35" s="287" t="s">
        <v>272</v>
      </c>
      <c r="I35" s="423">
        <f>J35+P35+Q35+R35</f>
        <v>0</v>
      </c>
      <c r="J35" s="418">
        <f>K35+L35</f>
        <v>0</v>
      </c>
      <c r="K35" s="418">
        <v>0</v>
      </c>
      <c r="L35" s="418">
        <v>0</v>
      </c>
      <c r="M35" s="418">
        <f t="shared" si="81"/>
        <v>0</v>
      </c>
      <c r="N35" s="418">
        <v>0</v>
      </c>
      <c r="O35" s="418">
        <v>0</v>
      </c>
      <c r="P35" s="68">
        <f t="shared" ref="P35" si="90">ROUND((J35+M35)*33.8%,0)</f>
        <v>0</v>
      </c>
      <c r="Q35" s="68">
        <f t="shared" ref="Q35" si="91">ROUND(J35*1%,0)</f>
        <v>0</v>
      </c>
      <c r="R35" s="418">
        <v>0</v>
      </c>
      <c r="S35" s="419">
        <f t="shared" si="4"/>
        <v>0</v>
      </c>
      <c r="T35" s="419">
        <v>0</v>
      </c>
      <c r="U35" s="527">
        <v>0</v>
      </c>
      <c r="V35" s="427">
        <f t="shared" si="82"/>
        <v>0</v>
      </c>
      <c r="W35" s="421">
        <f t="shared" si="82"/>
        <v>0</v>
      </c>
      <c r="X35" s="421">
        <v>117457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>V35+X35+Y35+AA35+AB35+AD35</f>
        <v>117457</v>
      </c>
      <c r="AG35" s="421">
        <f>W35+Z35+AC35+AE35</f>
        <v>0</v>
      </c>
      <c r="AH35" s="421">
        <f>SUM(AF35:AG35)</f>
        <v>117457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83"/>
        <v>0</v>
      </c>
      <c r="AP35" s="421">
        <f>AJ35+AN35</f>
        <v>0</v>
      </c>
      <c r="AQ35" s="421">
        <f>SUM(AO35:AP35)</f>
        <v>0</v>
      </c>
      <c r="AR35" s="421">
        <f t="shared" si="84"/>
        <v>117457</v>
      </c>
      <c r="AS35" s="421">
        <f t="shared" si="84"/>
        <v>0</v>
      </c>
      <c r="AT35" s="421">
        <f>SUM(AR35:AS35)</f>
        <v>117457</v>
      </c>
      <c r="AU35" s="68">
        <f t="shared" si="85"/>
        <v>39700</v>
      </c>
      <c r="AV35" s="68">
        <f>ROUND(AH35*1%,0)</f>
        <v>1175</v>
      </c>
      <c r="AW35" s="421">
        <v>0</v>
      </c>
      <c r="AX35" s="421">
        <v>0</v>
      </c>
      <c r="AY35" s="421">
        <f>AW35+AX35</f>
        <v>0</v>
      </c>
      <c r="AZ35" s="421">
        <f>AT35+AU35+AV35+AY35</f>
        <v>158332</v>
      </c>
      <c r="BA35" s="422">
        <v>0</v>
      </c>
      <c r="BB35" s="422">
        <v>0</v>
      </c>
      <c r="BC35" s="422">
        <v>0.3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>BA35+BC35+BD35+BF35+BH35+BI35</f>
        <v>0.3</v>
      </c>
      <c r="BL35" s="422">
        <f>BB35+BE35+BG35+BJ35</f>
        <v>0</v>
      </c>
      <c r="BM35" s="611">
        <f>SUM(BK35:BL35)</f>
        <v>0.3</v>
      </c>
      <c r="BN35" s="428">
        <f>I35+AZ35</f>
        <v>158332</v>
      </c>
      <c r="BO35" s="421">
        <f>J35+AH35</f>
        <v>117457</v>
      </c>
      <c r="BP35" s="421">
        <f t="shared" si="86"/>
        <v>117457</v>
      </c>
      <c r="BQ35" s="421">
        <f t="shared" si="86"/>
        <v>0</v>
      </c>
      <c r="BR35" s="421">
        <f>M35+AQ35</f>
        <v>0</v>
      </c>
      <c r="BS35" s="421">
        <f t="shared" si="87"/>
        <v>0</v>
      </c>
      <c r="BT35" s="421">
        <f t="shared" si="87"/>
        <v>0</v>
      </c>
      <c r="BU35" s="421">
        <f t="shared" si="88"/>
        <v>39700</v>
      </c>
      <c r="BV35" s="421">
        <f t="shared" si="88"/>
        <v>1175</v>
      </c>
      <c r="BW35" s="421">
        <f>R35+AY35</f>
        <v>0</v>
      </c>
      <c r="BX35" s="422">
        <f>S35+BM35</f>
        <v>0.3</v>
      </c>
      <c r="BY35" s="422">
        <f t="shared" si="89"/>
        <v>0.3</v>
      </c>
      <c r="BZ35" s="611">
        <f t="shared" si="89"/>
        <v>0</v>
      </c>
      <c r="CA35" s="423"/>
      <c r="CB35" s="418"/>
      <c r="CC35" s="418"/>
      <c r="CD35" s="418"/>
      <c r="CE35" s="418"/>
      <c r="CF35" s="527"/>
    </row>
    <row r="36" spans="1:84" ht="12.95" customHeight="1" x14ac:dyDescent="0.25">
      <c r="A36" s="282">
        <v>6</v>
      </c>
      <c r="B36" s="213">
        <v>5463</v>
      </c>
      <c r="C36" s="213">
        <v>600098877</v>
      </c>
      <c r="D36" s="213">
        <v>72743786</v>
      </c>
      <c r="E36" s="374" t="s">
        <v>460</v>
      </c>
      <c r="F36" s="213">
        <v>3141</v>
      </c>
      <c r="G36" s="375" t="s">
        <v>295</v>
      </c>
      <c r="H36" s="287" t="s">
        <v>272</v>
      </c>
      <c r="I36" s="423">
        <f>J36+P36+Q36+R36</f>
        <v>487383</v>
      </c>
      <c r="J36" s="418">
        <f>K36+L36</f>
        <v>360158</v>
      </c>
      <c r="K36" s="418">
        <v>0</v>
      </c>
      <c r="L36" s="418">
        <v>360158</v>
      </c>
      <c r="M36" s="418">
        <f t="shared" si="81"/>
        <v>0</v>
      </c>
      <c r="N36" s="418">
        <v>0</v>
      </c>
      <c r="O36" s="418">
        <v>0</v>
      </c>
      <c r="P36" s="68">
        <f>ROUND((J36+M36)*33.8%,0)</f>
        <v>121733</v>
      </c>
      <c r="Q36" s="68">
        <f>ROUND(J36*1%,0)</f>
        <v>3602</v>
      </c>
      <c r="R36" s="418">
        <v>1890</v>
      </c>
      <c r="S36" s="419">
        <f t="shared" si="4"/>
        <v>1.08</v>
      </c>
      <c r="T36" s="419">
        <v>0</v>
      </c>
      <c r="U36" s="527">
        <v>1.08</v>
      </c>
      <c r="V36" s="427">
        <f t="shared" si="82"/>
        <v>0</v>
      </c>
      <c r="W36" s="421">
        <f t="shared" si="82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>V36+X36+Y36+AA36+AB36+AD36</f>
        <v>0</v>
      </c>
      <c r="AG36" s="421">
        <f>W36+Z36+AC36+AE36</f>
        <v>0</v>
      </c>
      <c r="AH36" s="421">
        <f>SUM(AF36:AG36)</f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si="83"/>
        <v>0</v>
      </c>
      <c r="AP36" s="421">
        <f>AJ36+AN36</f>
        <v>0</v>
      </c>
      <c r="AQ36" s="421">
        <f>SUM(AO36:AP36)</f>
        <v>0</v>
      </c>
      <c r="AR36" s="421">
        <f t="shared" si="84"/>
        <v>0</v>
      </c>
      <c r="AS36" s="421">
        <f t="shared" si="84"/>
        <v>0</v>
      </c>
      <c r="AT36" s="421">
        <f>SUM(AR36:AS36)</f>
        <v>0</v>
      </c>
      <c r="AU36" s="68">
        <f t="shared" si="85"/>
        <v>0</v>
      </c>
      <c r="AV36" s="68">
        <f>ROUND(AH36*1%,0)</f>
        <v>0</v>
      </c>
      <c r="AW36" s="421">
        <v>0</v>
      </c>
      <c r="AX36" s="421">
        <v>0</v>
      </c>
      <c r="AY36" s="421">
        <f>AW36+AX36</f>
        <v>0</v>
      </c>
      <c r="AZ36" s="421">
        <f>AT36+AU36+AV36+AY36</f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0</v>
      </c>
      <c r="BM36" s="611">
        <f>SUM(BK36:BL36)</f>
        <v>0</v>
      </c>
      <c r="BN36" s="428">
        <f>I36+AZ36</f>
        <v>487383</v>
      </c>
      <c r="BO36" s="421">
        <f>J36+AH36</f>
        <v>360158</v>
      </c>
      <c r="BP36" s="421">
        <f t="shared" si="86"/>
        <v>0</v>
      </c>
      <c r="BQ36" s="421">
        <f t="shared" si="86"/>
        <v>360158</v>
      </c>
      <c r="BR36" s="421">
        <f>M36+AQ36</f>
        <v>0</v>
      </c>
      <c r="BS36" s="421">
        <f t="shared" si="87"/>
        <v>0</v>
      </c>
      <c r="BT36" s="421">
        <f t="shared" si="87"/>
        <v>0</v>
      </c>
      <c r="BU36" s="421">
        <f t="shared" si="88"/>
        <v>121733</v>
      </c>
      <c r="BV36" s="421">
        <f t="shared" si="88"/>
        <v>3602</v>
      </c>
      <c r="BW36" s="421">
        <f>R36+AY36</f>
        <v>1890</v>
      </c>
      <c r="BX36" s="422">
        <f>S36+BM36</f>
        <v>1.08</v>
      </c>
      <c r="BY36" s="422">
        <f t="shared" si="89"/>
        <v>0</v>
      </c>
      <c r="BZ36" s="611">
        <f t="shared" si="89"/>
        <v>1.08</v>
      </c>
      <c r="CA36" s="423"/>
      <c r="CB36" s="418"/>
      <c r="CC36" s="418"/>
      <c r="CD36" s="418"/>
      <c r="CE36" s="418"/>
      <c r="CF36" s="527"/>
    </row>
    <row r="37" spans="1:84" ht="12.95" customHeight="1" x14ac:dyDescent="0.25">
      <c r="A37" s="214">
        <v>6</v>
      </c>
      <c r="B37" s="45">
        <v>5463</v>
      </c>
      <c r="C37" s="45">
        <v>600098877</v>
      </c>
      <c r="D37" s="45">
        <v>72743786</v>
      </c>
      <c r="E37" s="376" t="s">
        <v>461</v>
      </c>
      <c r="F37" s="45"/>
      <c r="G37" s="376"/>
      <c r="H37" s="183"/>
      <c r="I37" s="499">
        <f t="shared" ref="I37:BU37" si="92">SUM(I34:I36)</f>
        <v>5651188</v>
      </c>
      <c r="J37" s="495">
        <f t="shared" si="92"/>
        <v>4175727</v>
      </c>
      <c r="K37" s="495">
        <f t="shared" si="92"/>
        <v>3482900</v>
      </c>
      <c r="L37" s="495">
        <f t="shared" si="92"/>
        <v>692827</v>
      </c>
      <c r="M37" s="495">
        <f t="shared" si="92"/>
        <v>0</v>
      </c>
      <c r="N37" s="495">
        <f t="shared" si="92"/>
        <v>0</v>
      </c>
      <c r="O37" s="495">
        <f t="shared" si="92"/>
        <v>0</v>
      </c>
      <c r="P37" s="495">
        <f t="shared" si="92"/>
        <v>1411395</v>
      </c>
      <c r="Q37" s="495">
        <f t="shared" si="92"/>
        <v>41758</v>
      </c>
      <c r="R37" s="495">
        <f t="shared" si="92"/>
        <v>22308</v>
      </c>
      <c r="S37" s="496">
        <f t="shared" si="92"/>
        <v>8.4419000000000004</v>
      </c>
      <c r="T37" s="496">
        <f t="shared" si="92"/>
        <v>6.2419000000000002</v>
      </c>
      <c r="U37" s="377">
        <f t="shared" si="92"/>
        <v>2.2000000000000002</v>
      </c>
      <c r="V37" s="501">
        <f t="shared" si="92"/>
        <v>0</v>
      </c>
      <c r="W37" s="495">
        <f t="shared" si="92"/>
        <v>0</v>
      </c>
      <c r="X37" s="495">
        <f t="shared" si="92"/>
        <v>117457</v>
      </c>
      <c r="Y37" s="495">
        <f t="shared" si="92"/>
        <v>0</v>
      </c>
      <c r="Z37" s="495">
        <f t="shared" si="92"/>
        <v>0</v>
      </c>
      <c r="AA37" s="495">
        <f t="shared" si="92"/>
        <v>0</v>
      </c>
      <c r="AB37" s="495">
        <f t="shared" si="92"/>
        <v>0</v>
      </c>
      <c r="AC37" s="495">
        <f t="shared" si="92"/>
        <v>0</v>
      </c>
      <c r="AD37" s="495">
        <f t="shared" si="92"/>
        <v>0</v>
      </c>
      <c r="AE37" s="495">
        <f t="shared" si="92"/>
        <v>0</v>
      </c>
      <c r="AF37" s="495">
        <f t="shared" si="92"/>
        <v>117457</v>
      </c>
      <c r="AG37" s="495">
        <f t="shared" si="92"/>
        <v>0</v>
      </c>
      <c r="AH37" s="495">
        <f t="shared" si="92"/>
        <v>117457</v>
      </c>
      <c r="AI37" s="495">
        <f t="shared" si="92"/>
        <v>0</v>
      </c>
      <c r="AJ37" s="495">
        <f t="shared" si="92"/>
        <v>0</v>
      </c>
      <c r="AK37" s="495">
        <f t="shared" ref="AK37" si="93">SUM(AK34:AK36)</f>
        <v>0</v>
      </c>
      <c r="AL37" s="495">
        <f t="shared" si="92"/>
        <v>0</v>
      </c>
      <c r="AM37" s="495">
        <f t="shared" si="92"/>
        <v>0</v>
      </c>
      <c r="AN37" s="495">
        <f t="shared" si="92"/>
        <v>0</v>
      </c>
      <c r="AO37" s="495">
        <f t="shared" si="92"/>
        <v>0</v>
      </c>
      <c r="AP37" s="495">
        <f t="shared" si="92"/>
        <v>0</v>
      </c>
      <c r="AQ37" s="495">
        <f t="shared" si="92"/>
        <v>0</v>
      </c>
      <c r="AR37" s="495">
        <f t="shared" si="92"/>
        <v>117457</v>
      </c>
      <c r="AS37" s="495">
        <f t="shared" si="92"/>
        <v>0</v>
      </c>
      <c r="AT37" s="495">
        <f t="shared" si="92"/>
        <v>117457</v>
      </c>
      <c r="AU37" s="495">
        <f t="shared" si="92"/>
        <v>39700</v>
      </c>
      <c r="AV37" s="495">
        <f t="shared" si="92"/>
        <v>1175</v>
      </c>
      <c r="AW37" s="495">
        <f t="shared" si="92"/>
        <v>0</v>
      </c>
      <c r="AX37" s="495">
        <f t="shared" si="92"/>
        <v>0</v>
      </c>
      <c r="AY37" s="495">
        <f t="shared" si="92"/>
        <v>0</v>
      </c>
      <c r="AZ37" s="495">
        <f t="shared" si="92"/>
        <v>158332</v>
      </c>
      <c r="BA37" s="496">
        <f t="shared" si="92"/>
        <v>0</v>
      </c>
      <c r="BB37" s="496">
        <f t="shared" si="92"/>
        <v>0</v>
      </c>
      <c r="BC37" s="496">
        <f t="shared" si="92"/>
        <v>0.3</v>
      </c>
      <c r="BD37" s="496">
        <f t="shared" si="92"/>
        <v>0</v>
      </c>
      <c r="BE37" s="496">
        <f t="shared" si="92"/>
        <v>0</v>
      </c>
      <c r="BF37" s="496">
        <f t="shared" si="92"/>
        <v>0</v>
      </c>
      <c r="BG37" s="496">
        <f t="shared" si="92"/>
        <v>0</v>
      </c>
      <c r="BH37" s="496">
        <f t="shared" si="92"/>
        <v>0</v>
      </c>
      <c r="BI37" s="496">
        <f t="shared" si="92"/>
        <v>0</v>
      </c>
      <c r="BJ37" s="496">
        <f t="shared" si="92"/>
        <v>0</v>
      </c>
      <c r="BK37" s="496">
        <f t="shared" si="92"/>
        <v>0.3</v>
      </c>
      <c r="BL37" s="496">
        <f t="shared" si="92"/>
        <v>0</v>
      </c>
      <c r="BM37" s="745">
        <f t="shared" si="92"/>
        <v>0.3</v>
      </c>
      <c r="BN37" s="499">
        <f t="shared" si="92"/>
        <v>5809520</v>
      </c>
      <c r="BO37" s="495">
        <f t="shared" si="92"/>
        <v>4293184</v>
      </c>
      <c r="BP37" s="495">
        <f t="shared" si="92"/>
        <v>3600357</v>
      </c>
      <c r="BQ37" s="495">
        <f t="shared" si="92"/>
        <v>692827</v>
      </c>
      <c r="BR37" s="495">
        <f t="shared" si="92"/>
        <v>0</v>
      </c>
      <c r="BS37" s="495">
        <f t="shared" si="92"/>
        <v>0</v>
      </c>
      <c r="BT37" s="495">
        <f t="shared" si="92"/>
        <v>0</v>
      </c>
      <c r="BU37" s="495">
        <f t="shared" si="92"/>
        <v>1451095</v>
      </c>
      <c r="BV37" s="495">
        <f t="shared" ref="BV37:CF37" si="94">SUM(BV34:BV36)</f>
        <v>42933</v>
      </c>
      <c r="BW37" s="495">
        <f t="shared" si="94"/>
        <v>22308</v>
      </c>
      <c r="BX37" s="496">
        <f t="shared" si="94"/>
        <v>8.7419000000000011</v>
      </c>
      <c r="BY37" s="496">
        <f t="shared" si="94"/>
        <v>6.5419</v>
      </c>
      <c r="BZ37" s="745">
        <f t="shared" si="94"/>
        <v>2.2000000000000002</v>
      </c>
      <c r="CA37" s="901">
        <f t="shared" si="94"/>
        <v>0</v>
      </c>
      <c r="CB37" s="896">
        <f t="shared" si="94"/>
        <v>0</v>
      </c>
      <c r="CC37" s="896">
        <f t="shared" si="94"/>
        <v>0</v>
      </c>
      <c r="CD37" s="896">
        <f t="shared" si="94"/>
        <v>0</v>
      </c>
      <c r="CE37" s="896">
        <f t="shared" si="94"/>
        <v>0</v>
      </c>
      <c r="CF37" s="840">
        <f t="shared" si="94"/>
        <v>0</v>
      </c>
    </row>
    <row r="38" spans="1:84" ht="12.95" customHeight="1" x14ac:dyDescent="0.25">
      <c r="A38" s="282">
        <v>7</v>
      </c>
      <c r="B38" s="213">
        <v>5461</v>
      </c>
      <c r="C38" s="213">
        <v>600098915</v>
      </c>
      <c r="D38" s="213">
        <v>72743701</v>
      </c>
      <c r="E38" s="212" t="s">
        <v>462</v>
      </c>
      <c r="F38" s="213">
        <v>3111</v>
      </c>
      <c r="G38" s="375" t="s">
        <v>305</v>
      </c>
      <c r="H38" s="287" t="s">
        <v>271</v>
      </c>
      <c r="I38" s="423">
        <f>J38+P38+Q38+R38</f>
        <v>3552487</v>
      </c>
      <c r="J38" s="418">
        <f>K38+L38</f>
        <v>2626463</v>
      </c>
      <c r="K38" s="418">
        <v>2391343</v>
      </c>
      <c r="L38" s="418">
        <v>235120</v>
      </c>
      <c r="M38" s="418">
        <f t="shared" ref="M38:M39" si="95">N38+O38</f>
        <v>0</v>
      </c>
      <c r="N38" s="418">
        <v>0</v>
      </c>
      <c r="O38" s="418">
        <v>0</v>
      </c>
      <c r="P38" s="68">
        <f>ROUND((J38+M38)*33.8%,0)</f>
        <v>887744</v>
      </c>
      <c r="Q38" s="68">
        <f>ROUND(J38*1%,0)</f>
        <v>26265</v>
      </c>
      <c r="R38" s="418">
        <v>12015</v>
      </c>
      <c r="S38" s="419">
        <f t="shared" si="4"/>
        <v>4.8600999999999992</v>
      </c>
      <c r="T38" s="419">
        <v>4.0599999999999996</v>
      </c>
      <c r="U38" s="527">
        <v>0.80010000000000003</v>
      </c>
      <c r="V38" s="427">
        <f>AI38*-1</f>
        <v>0</v>
      </c>
      <c r="W38" s="421">
        <f>AJ38*-1</f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>V38+X38+Y38+AA38+AB38+AD38</f>
        <v>0</v>
      </c>
      <c r="AG38" s="421">
        <f>W38+Z38+AC38+AE38</f>
        <v>0</v>
      </c>
      <c r="AH38" s="421">
        <f>SUM(AF38:AG38)</f>
        <v>0</v>
      </c>
      <c r="AI38" s="421">
        <v>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ref="AO38:AO39" si="96">AI38+AK38+AL38+AM38</f>
        <v>0</v>
      </c>
      <c r="AP38" s="421">
        <f>AJ38+AN38</f>
        <v>0</v>
      </c>
      <c r="AQ38" s="421">
        <f>SUM(AO38:AP38)</f>
        <v>0</v>
      </c>
      <c r="AR38" s="421">
        <f>AF38+AO38</f>
        <v>0</v>
      </c>
      <c r="AS38" s="421">
        <f>AG38+AP38</f>
        <v>0</v>
      </c>
      <c r="AT38" s="421">
        <f>SUM(AR38:AS38)</f>
        <v>0</v>
      </c>
      <c r="AU38" s="68">
        <f t="shared" ref="AU38:AU39" si="97">ROUND((AH38+AI38+AJ38+AK38+AL38)*33.8%,0)</f>
        <v>0</v>
      </c>
      <c r="AV38" s="68">
        <f>ROUND(AH38*1%,0)</f>
        <v>0</v>
      </c>
      <c r="AW38" s="421">
        <v>0</v>
      </c>
      <c r="AX38" s="421">
        <v>0</v>
      </c>
      <c r="AY38" s="421">
        <f>AW38+AX38</f>
        <v>0</v>
      </c>
      <c r="AZ38" s="421">
        <f>AT38+AU38+AV38+AY38</f>
        <v>0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>BA38+BC38+BD38+BF38+BH38+BI38</f>
        <v>0</v>
      </c>
      <c r="BL38" s="422">
        <f>BB38+BE38+BG38+BJ38</f>
        <v>0</v>
      </c>
      <c r="BM38" s="611">
        <f>SUM(BK38:BL38)</f>
        <v>0</v>
      </c>
      <c r="BN38" s="428">
        <f>I38+AZ38</f>
        <v>3552487</v>
      </c>
      <c r="BO38" s="421">
        <f>J38+AH38</f>
        <v>2626463</v>
      </c>
      <c r="BP38" s="421">
        <f>K38+AF38</f>
        <v>2391343</v>
      </c>
      <c r="BQ38" s="421">
        <f>L38+AG38</f>
        <v>235120</v>
      </c>
      <c r="BR38" s="421">
        <f>M38+AQ38</f>
        <v>0</v>
      </c>
      <c r="BS38" s="421">
        <f>N38+AO38</f>
        <v>0</v>
      </c>
      <c r="BT38" s="421">
        <f>O38+AP38</f>
        <v>0</v>
      </c>
      <c r="BU38" s="421">
        <f>P38+AU38</f>
        <v>887744</v>
      </c>
      <c r="BV38" s="421">
        <f>Q38+AV38</f>
        <v>26265</v>
      </c>
      <c r="BW38" s="421">
        <f>R38+AY38</f>
        <v>12015</v>
      </c>
      <c r="BX38" s="422">
        <f>S38+BM38</f>
        <v>4.8600999999999992</v>
      </c>
      <c r="BY38" s="422">
        <f>T38+BK38</f>
        <v>4.0599999999999996</v>
      </c>
      <c r="BZ38" s="611">
        <f>U38+BL38</f>
        <v>0.80010000000000003</v>
      </c>
      <c r="CA38" s="423"/>
      <c r="CB38" s="418"/>
      <c r="CC38" s="418"/>
      <c r="CD38" s="418"/>
      <c r="CE38" s="418"/>
      <c r="CF38" s="527"/>
    </row>
    <row r="39" spans="1:84" ht="12.95" customHeight="1" x14ac:dyDescent="0.25">
      <c r="A39" s="282">
        <v>7</v>
      </c>
      <c r="B39" s="383">
        <v>5461</v>
      </c>
      <c r="C39" s="383">
        <v>600098915</v>
      </c>
      <c r="D39" s="383">
        <v>72743701</v>
      </c>
      <c r="E39" s="382" t="s">
        <v>462</v>
      </c>
      <c r="F39" s="383">
        <v>3141</v>
      </c>
      <c r="G39" s="375" t="s">
        <v>295</v>
      </c>
      <c r="H39" s="287" t="s">
        <v>272</v>
      </c>
      <c r="I39" s="423">
        <f>J39+P39+Q39+R39</f>
        <v>430112</v>
      </c>
      <c r="J39" s="418">
        <f>K39+L39</f>
        <v>317906</v>
      </c>
      <c r="K39" s="418">
        <v>0</v>
      </c>
      <c r="L39" s="418">
        <v>317906</v>
      </c>
      <c r="M39" s="418">
        <f t="shared" si="95"/>
        <v>0</v>
      </c>
      <c r="N39" s="418">
        <v>0</v>
      </c>
      <c r="O39" s="418">
        <v>0</v>
      </c>
      <c r="P39" s="68">
        <f>ROUND((J39+M39)*33.8%,0)</f>
        <v>107452</v>
      </c>
      <c r="Q39" s="68">
        <f>ROUND(J39*1%,0)</f>
        <v>3179</v>
      </c>
      <c r="R39" s="418">
        <v>1575</v>
      </c>
      <c r="S39" s="419">
        <f t="shared" si="4"/>
        <v>0.95330000000000004</v>
      </c>
      <c r="T39" s="419">
        <v>0</v>
      </c>
      <c r="U39" s="527">
        <v>0.95330000000000004</v>
      </c>
      <c r="V39" s="427">
        <f>AI39*-1</f>
        <v>0</v>
      </c>
      <c r="W39" s="421">
        <f>AJ39*-1</f>
        <v>0</v>
      </c>
      <c r="X39" s="421">
        <v>0</v>
      </c>
      <c r="Y39" s="421">
        <v>0</v>
      </c>
      <c r="Z39" s="421">
        <v>0</v>
      </c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f>V39+X39+Y39+AA39+AB39+AD39</f>
        <v>0</v>
      </c>
      <c r="AG39" s="421">
        <f>W39+Z39+AC39+AE39</f>
        <v>0</v>
      </c>
      <c r="AH39" s="421">
        <f>SUM(AF39:AG39)</f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 t="shared" si="96"/>
        <v>0</v>
      </c>
      <c r="AP39" s="421">
        <f>AJ39+AN39</f>
        <v>0</v>
      </c>
      <c r="AQ39" s="421">
        <f>SUM(AO39:AP39)</f>
        <v>0</v>
      </c>
      <c r="AR39" s="421">
        <f>AF39+AO39</f>
        <v>0</v>
      </c>
      <c r="AS39" s="421">
        <f>AG39+AP39</f>
        <v>0</v>
      </c>
      <c r="AT39" s="421">
        <f>SUM(AR39:AS39)</f>
        <v>0</v>
      </c>
      <c r="AU39" s="68">
        <f t="shared" si="97"/>
        <v>0</v>
      </c>
      <c r="AV39" s="68">
        <f>ROUND(AH39*1%,0)</f>
        <v>0</v>
      </c>
      <c r="AW39" s="421">
        <v>0</v>
      </c>
      <c r="AX39" s="421">
        <v>0</v>
      </c>
      <c r="AY39" s="421">
        <f>AW39+AX39</f>
        <v>0</v>
      </c>
      <c r="AZ39" s="421">
        <f>AT39+AU39+AV39+AY39</f>
        <v>0</v>
      </c>
      <c r="BA39" s="422">
        <v>0</v>
      </c>
      <c r="BB39" s="422">
        <v>0</v>
      </c>
      <c r="BC39" s="422">
        <v>0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>BA39+BC39+BD39+BF39+BH39+BI39</f>
        <v>0</v>
      </c>
      <c r="BL39" s="422">
        <f>BB39+BE39+BG39+BJ39</f>
        <v>0</v>
      </c>
      <c r="BM39" s="611">
        <f>SUM(BK39:BL39)</f>
        <v>0</v>
      </c>
      <c r="BN39" s="428">
        <f>I39+AZ39</f>
        <v>430112</v>
      </c>
      <c r="BO39" s="421">
        <f>J39+AH39</f>
        <v>317906</v>
      </c>
      <c r="BP39" s="421">
        <f>K39+AF39</f>
        <v>0</v>
      </c>
      <c r="BQ39" s="421">
        <f>L39+AG39</f>
        <v>317906</v>
      </c>
      <c r="BR39" s="421">
        <f>M39+AQ39</f>
        <v>0</v>
      </c>
      <c r="BS39" s="421">
        <f>N39+AO39</f>
        <v>0</v>
      </c>
      <c r="BT39" s="421">
        <f>O39+AP39</f>
        <v>0</v>
      </c>
      <c r="BU39" s="421">
        <f>P39+AU39</f>
        <v>107452</v>
      </c>
      <c r="BV39" s="421">
        <f>Q39+AV39</f>
        <v>3179</v>
      </c>
      <c r="BW39" s="421">
        <f>R39+AY39</f>
        <v>1575</v>
      </c>
      <c r="BX39" s="422">
        <f>S39+BM39</f>
        <v>0.95330000000000004</v>
      </c>
      <c r="BY39" s="422">
        <f>T39+BK39</f>
        <v>0</v>
      </c>
      <c r="BZ39" s="611">
        <f>U39+BL39</f>
        <v>0.95330000000000004</v>
      </c>
      <c r="CA39" s="423"/>
      <c r="CB39" s="418"/>
      <c r="CC39" s="418"/>
      <c r="CD39" s="418"/>
      <c r="CE39" s="418"/>
      <c r="CF39" s="527"/>
    </row>
    <row r="40" spans="1:84" ht="12.95" customHeight="1" x14ac:dyDescent="0.25">
      <c r="A40" s="214">
        <v>7</v>
      </c>
      <c r="B40" s="47">
        <v>5461</v>
      </c>
      <c r="C40" s="47">
        <v>600098915</v>
      </c>
      <c r="D40" s="47">
        <v>72743701</v>
      </c>
      <c r="E40" s="388" t="s">
        <v>463</v>
      </c>
      <c r="F40" s="47"/>
      <c r="G40" s="388"/>
      <c r="H40" s="185"/>
      <c r="I40" s="472">
        <f t="shared" ref="I40:BU40" si="98">SUM(I38:I39)</f>
        <v>3982599</v>
      </c>
      <c r="J40" s="468">
        <f t="shared" si="98"/>
        <v>2944369</v>
      </c>
      <c r="K40" s="468">
        <f t="shared" si="98"/>
        <v>2391343</v>
      </c>
      <c r="L40" s="468">
        <f t="shared" si="98"/>
        <v>553026</v>
      </c>
      <c r="M40" s="468">
        <f t="shared" si="98"/>
        <v>0</v>
      </c>
      <c r="N40" s="468">
        <f t="shared" si="98"/>
        <v>0</v>
      </c>
      <c r="O40" s="468">
        <f t="shared" si="98"/>
        <v>0</v>
      </c>
      <c r="P40" s="468">
        <f t="shared" si="98"/>
        <v>995196</v>
      </c>
      <c r="Q40" s="468">
        <f t="shared" si="98"/>
        <v>29444</v>
      </c>
      <c r="R40" s="468">
        <f t="shared" si="98"/>
        <v>13590</v>
      </c>
      <c r="S40" s="469">
        <f t="shared" si="98"/>
        <v>5.8133999999999997</v>
      </c>
      <c r="T40" s="469">
        <f t="shared" si="98"/>
        <v>4.0599999999999996</v>
      </c>
      <c r="U40" s="281">
        <f t="shared" si="98"/>
        <v>1.7534000000000001</v>
      </c>
      <c r="V40" s="474">
        <f t="shared" si="98"/>
        <v>0</v>
      </c>
      <c r="W40" s="468">
        <f t="shared" si="98"/>
        <v>0</v>
      </c>
      <c r="X40" s="468">
        <f t="shared" si="98"/>
        <v>0</v>
      </c>
      <c r="Y40" s="468">
        <f t="shared" si="98"/>
        <v>0</v>
      </c>
      <c r="Z40" s="468">
        <f t="shared" si="98"/>
        <v>0</v>
      </c>
      <c r="AA40" s="468">
        <f t="shared" si="98"/>
        <v>0</v>
      </c>
      <c r="AB40" s="468">
        <f t="shared" si="98"/>
        <v>0</v>
      </c>
      <c r="AC40" s="468">
        <f t="shared" si="98"/>
        <v>0</v>
      </c>
      <c r="AD40" s="468">
        <f t="shared" si="98"/>
        <v>0</v>
      </c>
      <c r="AE40" s="468">
        <f t="shared" si="98"/>
        <v>0</v>
      </c>
      <c r="AF40" s="468">
        <f t="shared" si="98"/>
        <v>0</v>
      </c>
      <c r="AG40" s="468">
        <f t="shared" si="98"/>
        <v>0</v>
      </c>
      <c r="AH40" s="468">
        <f t="shared" si="98"/>
        <v>0</v>
      </c>
      <c r="AI40" s="468">
        <f t="shared" si="98"/>
        <v>0</v>
      </c>
      <c r="AJ40" s="468">
        <f t="shared" si="98"/>
        <v>0</v>
      </c>
      <c r="AK40" s="468">
        <f t="shared" ref="AK40" si="99">SUM(AK38:AK39)</f>
        <v>0</v>
      </c>
      <c r="AL40" s="468">
        <f t="shared" si="98"/>
        <v>0</v>
      </c>
      <c r="AM40" s="468">
        <f t="shared" si="98"/>
        <v>0</v>
      </c>
      <c r="AN40" s="468">
        <f t="shared" si="98"/>
        <v>0</v>
      </c>
      <c r="AO40" s="468">
        <f t="shared" si="98"/>
        <v>0</v>
      </c>
      <c r="AP40" s="468">
        <f t="shared" si="98"/>
        <v>0</v>
      </c>
      <c r="AQ40" s="468">
        <f t="shared" si="98"/>
        <v>0</v>
      </c>
      <c r="AR40" s="468">
        <f t="shared" si="98"/>
        <v>0</v>
      </c>
      <c r="AS40" s="468">
        <f t="shared" si="98"/>
        <v>0</v>
      </c>
      <c r="AT40" s="468">
        <f t="shared" si="98"/>
        <v>0</v>
      </c>
      <c r="AU40" s="468">
        <f t="shared" si="98"/>
        <v>0</v>
      </c>
      <c r="AV40" s="468">
        <f t="shared" si="98"/>
        <v>0</v>
      </c>
      <c r="AW40" s="468">
        <f t="shared" si="98"/>
        <v>0</v>
      </c>
      <c r="AX40" s="468">
        <f t="shared" si="98"/>
        <v>0</v>
      </c>
      <c r="AY40" s="468">
        <f t="shared" si="98"/>
        <v>0</v>
      </c>
      <c r="AZ40" s="468">
        <f t="shared" si="98"/>
        <v>0</v>
      </c>
      <c r="BA40" s="469">
        <f t="shared" si="98"/>
        <v>0</v>
      </c>
      <c r="BB40" s="469">
        <f t="shared" si="98"/>
        <v>0</v>
      </c>
      <c r="BC40" s="469">
        <f t="shared" si="98"/>
        <v>0</v>
      </c>
      <c r="BD40" s="469">
        <f t="shared" si="98"/>
        <v>0</v>
      </c>
      <c r="BE40" s="469">
        <f t="shared" si="98"/>
        <v>0</v>
      </c>
      <c r="BF40" s="469">
        <f t="shared" si="98"/>
        <v>0</v>
      </c>
      <c r="BG40" s="469">
        <f t="shared" si="98"/>
        <v>0</v>
      </c>
      <c r="BH40" s="469">
        <f t="shared" si="98"/>
        <v>0</v>
      </c>
      <c r="BI40" s="469">
        <f t="shared" si="98"/>
        <v>0</v>
      </c>
      <c r="BJ40" s="469">
        <f t="shared" si="98"/>
        <v>0</v>
      </c>
      <c r="BK40" s="469">
        <f t="shared" si="98"/>
        <v>0</v>
      </c>
      <c r="BL40" s="469">
        <f t="shared" si="98"/>
        <v>0</v>
      </c>
      <c r="BM40" s="562">
        <f t="shared" si="98"/>
        <v>0</v>
      </c>
      <c r="BN40" s="472">
        <f t="shared" si="98"/>
        <v>3982599</v>
      </c>
      <c r="BO40" s="468">
        <f t="shared" si="98"/>
        <v>2944369</v>
      </c>
      <c r="BP40" s="468">
        <f t="shared" si="98"/>
        <v>2391343</v>
      </c>
      <c r="BQ40" s="468">
        <f t="shared" si="98"/>
        <v>553026</v>
      </c>
      <c r="BR40" s="468">
        <f t="shared" si="98"/>
        <v>0</v>
      </c>
      <c r="BS40" s="468">
        <f t="shared" si="98"/>
        <v>0</v>
      </c>
      <c r="BT40" s="468">
        <f t="shared" si="98"/>
        <v>0</v>
      </c>
      <c r="BU40" s="468">
        <f t="shared" si="98"/>
        <v>995196</v>
      </c>
      <c r="BV40" s="468">
        <f t="shared" ref="BV40:CF40" si="100">SUM(BV38:BV39)</f>
        <v>29444</v>
      </c>
      <c r="BW40" s="468">
        <f t="shared" si="100"/>
        <v>13590</v>
      </c>
      <c r="BX40" s="469">
        <f t="shared" si="100"/>
        <v>5.8133999999999997</v>
      </c>
      <c r="BY40" s="469">
        <f t="shared" si="100"/>
        <v>4.0599999999999996</v>
      </c>
      <c r="BZ40" s="562">
        <f t="shared" si="100"/>
        <v>1.7534000000000001</v>
      </c>
      <c r="CA40" s="873">
        <f t="shared" si="100"/>
        <v>0</v>
      </c>
      <c r="CB40" s="850">
        <f t="shared" si="100"/>
        <v>0</v>
      </c>
      <c r="CC40" s="850">
        <f t="shared" si="100"/>
        <v>0</v>
      </c>
      <c r="CD40" s="850">
        <f t="shared" si="100"/>
        <v>0</v>
      </c>
      <c r="CE40" s="850">
        <f t="shared" si="100"/>
        <v>0</v>
      </c>
      <c r="CF40" s="841">
        <f t="shared" si="100"/>
        <v>0</v>
      </c>
    </row>
    <row r="41" spans="1:84" ht="12.95" customHeight="1" x14ac:dyDescent="0.25">
      <c r="A41" s="282">
        <v>8</v>
      </c>
      <c r="B41" s="372">
        <v>5466</v>
      </c>
      <c r="C41" s="372">
        <v>600098885</v>
      </c>
      <c r="D41" s="372">
        <v>72743794</v>
      </c>
      <c r="E41" s="373" t="s">
        <v>464</v>
      </c>
      <c r="F41" s="372">
        <v>3111</v>
      </c>
      <c r="G41" s="375" t="s">
        <v>305</v>
      </c>
      <c r="H41" s="287" t="s">
        <v>271</v>
      </c>
      <c r="I41" s="423">
        <f>J41+P41+Q41+R41</f>
        <v>8970454</v>
      </c>
      <c r="J41" s="418">
        <f>K41+L41</f>
        <v>6630156</v>
      </c>
      <c r="K41" s="418">
        <v>6031633</v>
      </c>
      <c r="L41" s="418">
        <v>598523</v>
      </c>
      <c r="M41" s="418">
        <f t="shared" ref="M41:M43" si="101">N41+O41</f>
        <v>0</v>
      </c>
      <c r="N41" s="418">
        <v>0</v>
      </c>
      <c r="O41" s="418">
        <v>0</v>
      </c>
      <c r="P41" s="68">
        <f>ROUND((J41+M41)*33.8%,0)</f>
        <v>2240993</v>
      </c>
      <c r="Q41" s="68">
        <f>ROUND(J41*1%,0)</f>
        <v>66302</v>
      </c>
      <c r="R41" s="418">
        <v>33003</v>
      </c>
      <c r="S41" s="419">
        <f t="shared" si="4"/>
        <v>12.046800000000001</v>
      </c>
      <c r="T41" s="419">
        <v>10</v>
      </c>
      <c r="U41" s="527">
        <v>2.0468000000000002</v>
      </c>
      <c r="V41" s="427">
        <f t="shared" ref="V41:W43" si="102">AI41*-1</f>
        <v>0</v>
      </c>
      <c r="W41" s="421">
        <f t="shared" si="102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0</v>
      </c>
      <c r="AG41" s="421">
        <f>W41+Z41+AC41+AE41</f>
        <v>0</v>
      </c>
      <c r="AH41" s="421">
        <f>SUM(AF41:AG41)</f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ref="AO41:AO43" si="103">AI41+AK41+AL41+AM41</f>
        <v>0</v>
      </c>
      <c r="AP41" s="421">
        <f>AJ41+AN41</f>
        <v>0</v>
      </c>
      <c r="AQ41" s="421">
        <f>SUM(AO41:AP41)</f>
        <v>0</v>
      </c>
      <c r="AR41" s="421">
        <f t="shared" ref="AR41:AS43" si="104">AF41+AO41</f>
        <v>0</v>
      </c>
      <c r="AS41" s="421">
        <f t="shared" si="104"/>
        <v>0</v>
      </c>
      <c r="AT41" s="421">
        <f>SUM(AR41:AS41)</f>
        <v>0</v>
      </c>
      <c r="AU41" s="68">
        <f t="shared" ref="AU41:AU43" si="105">ROUND((AH41+AI41+AJ41+AK41+AL41)*33.8%,0)</f>
        <v>0</v>
      </c>
      <c r="AV41" s="68">
        <f>ROUND(AH41*1%,0)</f>
        <v>0</v>
      </c>
      <c r="AW41" s="421">
        <v>0</v>
      </c>
      <c r="AX41" s="421">
        <v>0</v>
      </c>
      <c r="AY41" s="421">
        <f>AW41+AX41</f>
        <v>0</v>
      </c>
      <c r="AZ41" s="421">
        <f>AT41+AU41+AV41+AY41</f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0</v>
      </c>
      <c r="BL41" s="422">
        <f>BB41+BE41+BG41+BJ41</f>
        <v>0</v>
      </c>
      <c r="BM41" s="611">
        <f>SUM(BK41:BL41)</f>
        <v>0</v>
      </c>
      <c r="BN41" s="428">
        <f>I41+AZ41</f>
        <v>8970454</v>
      </c>
      <c r="BO41" s="421">
        <f>J41+AH41</f>
        <v>6630156</v>
      </c>
      <c r="BP41" s="421">
        <f t="shared" ref="BP41:BQ43" si="106">K41+AF41</f>
        <v>6031633</v>
      </c>
      <c r="BQ41" s="421">
        <f t="shared" si="106"/>
        <v>598523</v>
      </c>
      <c r="BR41" s="421">
        <f>M41+AQ41</f>
        <v>0</v>
      </c>
      <c r="BS41" s="421">
        <f t="shared" ref="BS41:BT43" si="107">N41+AO41</f>
        <v>0</v>
      </c>
      <c r="BT41" s="421">
        <f t="shared" si="107"/>
        <v>0</v>
      </c>
      <c r="BU41" s="421">
        <f t="shared" ref="BU41:BV43" si="108">P41+AU41</f>
        <v>2240993</v>
      </c>
      <c r="BV41" s="421">
        <f t="shared" si="108"/>
        <v>66302</v>
      </c>
      <c r="BW41" s="421">
        <f>R41+AY41</f>
        <v>33003</v>
      </c>
      <c r="BX41" s="422">
        <f>S41+BM41</f>
        <v>12.046800000000001</v>
      </c>
      <c r="BY41" s="422">
        <f t="shared" ref="BY41:BZ43" si="109">T41+BK41</f>
        <v>10</v>
      </c>
      <c r="BZ41" s="611">
        <f t="shared" si="109"/>
        <v>2.0468000000000002</v>
      </c>
      <c r="CA41" s="423"/>
      <c r="CB41" s="418"/>
      <c r="CC41" s="418"/>
      <c r="CD41" s="418"/>
      <c r="CE41" s="418"/>
      <c r="CF41" s="527"/>
    </row>
    <row r="42" spans="1:84" ht="12.95" customHeight="1" x14ac:dyDescent="0.25">
      <c r="A42" s="282">
        <v>8</v>
      </c>
      <c r="B42" s="372">
        <v>5466</v>
      </c>
      <c r="C42" s="372">
        <v>600098885</v>
      </c>
      <c r="D42" s="372">
        <v>72743794</v>
      </c>
      <c r="E42" s="373" t="s">
        <v>464</v>
      </c>
      <c r="F42" s="372">
        <v>3111</v>
      </c>
      <c r="G42" s="333" t="s">
        <v>293</v>
      </c>
      <c r="H42" s="287" t="s">
        <v>271</v>
      </c>
      <c r="I42" s="423">
        <f>J42+P42+Q42+R42</f>
        <v>272484</v>
      </c>
      <c r="J42" s="418">
        <f>K42+L42</f>
        <v>202140</v>
      </c>
      <c r="K42" s="418">
        <v>202140</v>
      </c>
      <c r="L42" s="418">
        <v>0</v>
      </c>
      <c r="M42" s="418">
        <f t="shared" si="101"/>
        <v>0</v>
      </c>
      <c r="N42" s="418">
        <v>0</v>
      </c>
      <c r="O42" s="418">
        <v>0</v>
      </c>
      <c r="P42" s="68">
        <f>ROUND((J42+M42)*33.8%,0)</f>
        <v>68323</v>
      </c>
      <c r="Q42" s="68">
        <f>ROUND(J42*1%,0)</f>
        <v>2021</v>
      </c>
      <c r="R42" s="418">
        <v>0</v>
      </c>
      <c r="S42" s="419">
        <f t="shared" si="4"/>
        <v>0.5</v>
      </c>
      <c r="T42" s="419">
        <v>0.5</v>
      </c>
      <c r="U42" s="527">
        <v>0</v>
      </c>
      <c r="V42" s="427">
        <f t="shared" si="102"/>
        <v>0</v>
      </c>
      <c r="W42" s="421">
        <f t="shared" si="102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>V42+X42+Y42+AA42+AB42+AD42</f>
        <v>0</v>
      </c>
      <c r="AG42" s="421">
        <f>W42+Z42+AC42+AE42</f>
        <v>0</v>
      </c>
      <c r="AH42" s="421">
        <f>SUM(AF42:AG42)</f>
        <v>0</v>
      </c>
      <c r="AI42" s="421">
        <v>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103"/>
        <v>0</v>
      </c>
      <c r="AP42" s="421">
        <f>AJ42+AN42</f>
        <v>0</v>
      </c>
      <c r="AQ42" s="421">
        <f>SUM(AO42:AP42)</f>
        <v>0</v>
      </c>
      <c r="AR42" s="421">
        <f t="shared" si="104"/>
        <v>0</v>
      </c>
      <c r="AS42" s="421">
        <f t="shared" si="104"/>
        <v>0</v>
      </c>
      <c r="AT42" s="421">
        <f>SUM(AR42:AS42)</f>
        <v>0</v>
      </c>
      <c r="AU42" s="68">
        <f t="shared" si="105"/>
        <v>0</v>
      </c>
      <c r="AV42" s="68">
        <f>ROUND(AH42*1%,0)</f>
        <v>0</v>
      </c>
      <c r="AW42" s="421">
        <v>0</v>
      </c>
      <c r="AX42" s="421">
        <v>0</v>
      </c>
      <c r="AY42" s="421">
        <f>AW42+AX42</f>
        <v>0</v>
      </c>
      <c r="AZ42" s="421">
        <f>AT42+AU42+AV42+AY42</f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>BA42+BC42+BD42+BF42+BH42+BI42</f>
        <v>0</v>
      </c>
      <c r="BL42" s="422">
        <f>BB42+BE42+BG42+BJ42</f>
        <v>0</v>
      </c>
      <c r="BM42" s="611">
        <f>SUM(BK42:BL42)</f>
        <v>0</v>
      </c>
      <c r="BN42" s="428">
        <f>I42+AZ42</f>
        <v>272484</v>
      </c>
      <c r="BO42" s="421">
        <f>J42+AH42</f>
        <v>202140</v>
      </c>
      <c r="BP42" s="421">
        <f t="shared" si="106"/>
        <v>202140</v>
      </c>
      <c r="BQ42" s="421">
        <f t="shared" si="106"/>
        <v>0</v>
      </c>
      <c r="BR42" s="421">
        <f>M42+AQ42</f>
        <v>0</v>
      </c>
      <c r="BS42" s="421">
        <f t="shared" si="107"/>
        <v>0</v>
      </c>
      <c r="BT42" s="421">
        <f t="shared" si="107"/>
        <v>0</v>
      </c>
      <c r="BU42" s="421">
        <f t="shared" si="108"/>
        <v>68323</v>
      </c>
      <c r="BV42" s="421">
        <f t="shared" si="108"/>
        <v>2021</v>
      </c>
      <c r="BW42" s="421">
        <f>R42+AY42</f>
        <v>0</v>
      </c>
      <c r="BX42" s="422">
        <f>S42+BM42</f>
        <v>0.5</v>
      </c>
      <c r="BY42" s="422">
        <f t="shared" si="109"/>
        <v>0.5</v>
      </c>
      <c r="BZ42" s="611">
        <f t="shared" si="109"/>
        <v>0</v>
      </c>
      <c r="CA42" s="423"/>
      <c r="CB42" s="418"/>
      <c r="CC42" s="418"/>
      <c r="CD42" s="418"/>
      <c r="CE42" s="418"/>
      <c r="CF42" s="527"/>
    </row>
    <row r="43" spans="1:84" ht="12.95" customHeight="1" x14ac:dyDescent="0.25">
      <c r="A43" s="282">
        <v>8</v>
      </c>
      <c r="B43" s="213">
        <v>5466</v>
      </c>
      <c r="C43" s="213">
        <v>600098885</v>
      </c>
      <c r="D43" s="213">
        <v>72743794</v>
      </c>
      <c r="E43" s="374" t="s">
        <v>464</v>
      </c>
      <c r="F43" s="213">
        <v>3141</v>
      </c>
      <c r="G43" s="375" t="s">
        <v>295</v>
      </c>
      <c r="H43" s="287" t="s">
        <v>272</v>
      </c>
      <c r="I43" s="423">
        <f>J43+P43+Q43+R43</f>
        <v>761830</v>
      </c>
      <c r="J43" s="418">
        <f>K43+L43</f>
        <v>562481</v>
      </c>
      <c r="K43" s="418">
        <v>0</v>
      </c>
      <c r="L43" s="418">
        <v>562481</v>
      </c>
      <c r="M43" s="418">
        <f t="shared" si="101"/>
        <v>0</v>
      </c>
      <c r="N43" s="418">
        <v>0</v>
      </c>
      <c r="O43" s="418">
        <v>0</v>
      </c>
      <c r="P43" s="68">
        <f>ROUND((J43+M43)*33.8%,0)</f>
        <v>190119</v>
      </c>
      <c r="Q43" s="68">
        <f>ROUND(J43*1%,0)</f>
        <v>5625</v>
      </c>
      <c r="R43" s="418">
        <v>3605</v>
      </c>
      <c r="S43" s="419">
        <f t="shared" si="4"/>
        <v>1.6867000000000001</v>
      </c>
      <c r="T43" s="419">
        <v>0</v>
      </c>
      <c r="U43" s="527">
        <v>1.6867000000000001</v>
      </c>
      <c r="V43" s="427">
        <f t="shared" si="102"/>
        <v>0</v>
      </c>
      <c r="W43" s="421">
        <f t="shared" si="102"/>
        <v>-57600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>V43+X43+Y43+AA43+AB43+AD43</f>
        <v>0</v>
      </c>
      <c r="AG43" s="421">
        <f>W43+Z43+AC43+AE43</f>
        <v>-57600</v>
      </c>
      <c r="AH43" s="421">
        <f>SUM(AF43:AG43)</f>
        <v>-57600</v>
      </c>
      <c r="AI43" s="421">
        <v>0</v>
      </c>
      <c r="AJ43" s="421">
        <f>12800+44800</f>
        <v>57600</v>
      </c>
      <c r="AK43" s="421">
        <v>0</v>
      </c>
      <c r="AL43" s="421">
        <v>0</v>
      </c>
      <c r="AM43" s="421">
        <v>0</v>
      </c>
      <c r="AN43" s="421">
        <v>0</v>
      </c>
      <c r="AO43" s="421">
        <f t="shared" si="103"/>
        <v>0</v>
      </c>
      <c r="AP43" s="421">
        <f>AJ43+AN43</f>
        <v>57600</v>
      </c>
      <c r="AQ43" s="421">
        <f>SUM(AO43:AP43)</f>
        <v>57600</v>
      </c>
      <c r="AR43" s="421">
        <f t="shared" si="104"/>
        <v>0</v>
      </c>
      <c r="AS43" s="421">
        <f t="shared" si="104"/>
        <v>0</v>
      </c>
      <c r="AT43" s="421">
        <f>SUM(AR43:AS43)</f>
        <v>0</v>
      </c>
      <c r="AU43" s="68">
        <f t="shared" si="105"/>
        <v>0</v>
      </c>
      <c r="AV43" s="68">
        <f>ROUND(AH43*1%,0)</f>
        <v>-576</v>
      </c>
      <c r="AW43" s="421">
        <v>0</v>
      </c>
      <c r="AX43" s="421">
        <v>0</v>
      </c>
      <c r="AY43" s="421">
        <f>AW43+AX43</f>
        <v>0</v>
      </c>
      <c r="AZ43" s="421">
        <f>AT43+AU43+AV43+AY43</f>
        <v>-576</v>
      </c>
      <c r="BA43" s="422">
        <v>0</v>
      </c>
      <c r="BB43" s="422">
        <v>-0.13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>BA43+BC43+BD43+BF43+BH43+BI43</f>
        <v>0</v>
      </c>
      <c r="BL43" s="422">
        <f>BB43+BE43+BG43+BJ43</f>
        <v>-0.13</v>
      </c>
      <c r="BM43" s="611">
        <f>SUM(BK43:BL43)</f>
        <v>-0.13</v>
      </c>
      <c r="BN43" s="428">
        <f>I43+AZ43</f>
        <v>761254</v>
      </c>
      <c r="BO43" s="421">
        <f>J43+AH43</f>
        <v>504881</v>
      </c>
      <c r="BP43" s="421">
        <f t="shared" si="106"/>
        <v>0</v>
      </c>
      <c r="BQ43" s="421">
        <f t="shared" si="106"/>
        <v>504881</v>
      </c>
      <c r="BR43" s="421">
        <f>M43+AQ43</f>
        <v>57600</v>
      </c>
      <c r="BS43" s="421">
        <f t="shared" si="107"/>
        <v>0</v>
      </c>
      <c r="BT43" s="421">
        <f t="shared" si="107"/>
        <v>57600</v>
      </c>
      <c r="BU43" s="421">
        <f t="shared" si="108"/>
        <v>190119</v>
      </c>
      <c r="BV43" s="421">
        <f t="shared" si="108"/>
        <v>5049</v>
      </c>
      <c r="BW43" s="421">
        <f>R43+AY43</f>
        <v>3605</v>
      </c>
      <c r="BX43" s="422">
        <f>S43+BM43</f>
        <v>1.5567000000000002</v>
      </c>
      <c r="BY43" s="422">
        <f t="shared" si="109"/>
        <v>0</v>
      </c>
      <c r="BZ43" s="611">
        <f t="shared" si="109"/>
        <v>1.5567000000000002</v>
      </c>
      <c r="CA43" s="423"/>
      <c r="CB43" s="418"/>
      <c r="CC43" s="418"/>
      <c r="CD43" s="418"/>
      <c r="CE43" s="418"/>
      <c r="CF43" s="527"/>
    </row>
    <row r="44" spans="1:84" ht="12.95" customHeight="1" x14ac:dyDescent="0.25">
      <c r="A44" s="214">
        <v>8</v>
      </c>
      <c r="B44" s="45">
        <v>5466</v>
      </c>
      <c r="C44" s="45">
        <v>600098885</v>
      </c>
      <c r="D44" s="45">
        <v>72743794</v>
      </c>
      <c r="E44" s="376" t="s">
        <v>465</v>
      </c>
      <c r="F44" s="45"/>
      <c r="G44" s="376"/>
      <c r="H44" s="183"/>
      <c r="I44" s="472">
        <f t="shared" ref="I44:BU44" si="110">SUM(I41:I43)</f>
        <v>10004768</v>
      </c>
      <c r="J44" s="468">
        <f t="shared" si="110"/>
        <v>7394777</v>
      </c>
      <c r="K44" s="468">
        <f t="shared" si="110"/>
        <v>6233773</v>
      </c>
      <c r="L44" s="468">
        <f t="shared" si="110"/>
        <v>1161004</v>
      </c>
      <c r="M44" s="468">
        <f t="shared" si="110"/>
        <v>0</v>
      </c>
      <c r="N44" s="468">
        <f t="shared" si="110"/>
        <v>0</v>
      </c>
      <c r="O44" s="468">
        <f t="shared" si="110"/>
        <v>0</v>
      </c>
      <c r="P44" s="468">
        <f t="shared" si="110"/>
        <v>2499435</v>
      </c>
      <c r="Q44" s="468">
        <f t="shared" si="110"/>
        <v>73948</v>
      </c>
      <c r="R44" s="468">
        <f t="shared" si="110"/>
        <v>36608</v>
      </c>
      <c r="S44" s="469">
        <f t="shared" si="110"/>
        <v>14.233500000000001</v>
      </c>
      <c r="T44" s="469">
        <f t="shared" si="110"/>
        <v>10.5</v>
      </c>
      <c r="U44" s="281">
        <f t="shared" si="110"/>
        <v>3.7335000000000003</v>
      </c>
      <c r="V44" s="474">
        <f t="shared" si="110"/>
        <v>0</v>
      </c>
      <c r="W44" s="468">
        <f t="shared" si="110"/>
        <v>-57600</v>
      </c>
      <c r="X44" s="468">
        <f t="shared" si="110"/>
        <v>0</v>
      </c>
      <c r="Y44" s="468">
        <f t="shared" si="110"/>
        <v>0</v>
      </c>
      <c r="Z44" s="468">
        <f t="shared" si="110"/>
        <v>0</v>
      </c>
      <c r="AA44" s="468">
        <f t="shared" si="110"/>
        <v>0</v>
      </c>
      <c r="AB44" s="468">
        <f t="shared" si="110"/>
        <v>0</v>
      </c>
      <c r="AC44" s="468">
        <f t="shared" si="110"/>
        <v>0</v>
      </c>
      <c r="AD44" s="468">
        <f t="shared" si="110"/>
        <v>0</v>
      </c>
      <c r="AE44" s="468">
        <f t="shared" si="110"/>
        <v>0</v>
      </c>
      <c r="AF44" s="468">
        <f t="shared" si="110"/>
        <v>0</v>
      </c>
      <c r="AG44" s="468">
        <f t="shared" si="110"/>
        <v>-57600</v>
      </c>
      <c r="AH44" s="468">
        <f t="shared" si="110"/>
        <v>-57600</v>
      </c>
      <c r="AI44" s="468">
        <f t="shared" si="110"/>
        <v>0</v>
      </c>
      <c r="AJ44" s="468">
        <f t="shared" si="110"/>
        <v>57600</v>
      </c>
      <c r="AK44" s="468">
        <f t="shared" ref="AK44" si="111">SUM(AK41:AK43)</f>
        <v>0</v>
      </c>
      <c r="AL44" s="468">
        <f t="shared" si="110"/>
        <v>0</v>
      </c>
      <c r="AM44" s="468">
        <f t="shared" si="110"/>
        <v>0</v>
      </c>
      <c r="AN44" s="468">
        <f t="shared" si="110"/>
        <v>0</v>
      </c>
      <c r="AO44" s="468">
        <f t="shared" si="110"/>
        <v>0</v>
      </c>
      <c r="AP44" s="468">
        <f t="shared" si="110"/>
        <v>57600</v>
      </c>
      <c r="AQ44" s="468">
        <f t="shared" si="110"/>
        <v>57600</v>
      </c>
      <c r="AR44" s="468">
        <f t="shared" si="110"/>
        <v>0</v>
      </c>
      <c r="AS44" s="468">
        <f t="shared" si="110"/>
        <v>0</v>
      </c>
      <c r="AT44" s="468">
        <f t="shared" si="110"/>
        <v>0</v>
      </c>
      <c r="AU44" s="468">
        <f t="shared" si="110"/>
        <v>0</v>
      </c>
      <c r="AV44" s="468">
        <f t="shared" si="110"/>
        <v>-576</v>
      </c>
      <c r="AW44" s="468">
        <f t="shared" si="110"/>
        <v>0</v>
      </c>
      <c r="AX44" s="468">
        <f t="shared" si="110"/>
        <v>0</v>
      </c>
      <c r="AY44" s="468">
        <f t="shared" si="110"/>
        <v>0</v>
      </c>
      <c r="AZ44" s="468">
        <f t="shared" si="110"/>
        <v>-576</v>
      </c>
      <c r="BA44" s="469">
        <f t="shared" si="110"/>
        <v>0</v>
      </c>
      <c r="BB44" s="469">
        <f t="shared" si="110"/>
        <v>-0.13</v>
      </c>
      <c r="BC44" s="469">
        <f t="shared" si="110"/>
        <v>0</v>
      </c>
      <c r="BD44" s="469">
        <f t="shared" si="110"/>
        <v>0</v>
      </c>
      <c r="BE44" s="469">
        <f t="shared" si="110"/>
        <v>0</v>
      </c>
      <c r="BF44" s="469">
        <f t="shared" si="110"/>
        <v>0</v>
      </c>
      <c r="BG44" s="469">
        <f t="shared" si="110"/>
        <v>0</v>
      </c>
      <c r="BH44" s="469">
        <f t="shared" si="110"/>
        <v>0</v>
      </c>
      <c r="BI44" s="469">
        <f t="shared" si="110"/>
        <v>0</v>
      </c>
      <c r="BJ44" s="469">
        <f t="shared" si="110"/>
        <v>0</v>
      </c>
      <c r="BK44" s="469">
        <f t="shared" si="110"/>
        <v>0</v>
      </c>
      <c r="BL44" s="469">
        <f t="shared" si="110"/>
        <v>-0.13</v>
      </c>
      <c r="BM44" s="562">
        <f t="shared" si="110"/>
        <v>-0.13</v>
      </c>
      <c r="BN44" s="472">
        <f t="shared" si="110"/>
        <v>10004192</v>
      </c>
      <c r="BO44" s="468">
        <f t="shared" si="110"/>
        <v>7337177</v>
      </c>
      <c r="BP44" s="468">
        <f t="shared" si="110"/>
        <v>6233773</v>
      </c>
      <c r="BQ44" s="468">
        <f t="shared" si="110"/>
        <v>1103404</v>
      </c>
      <c r="BR44" s="468">
        <f t="shared" si="110"/>
        <v>57600</v>
      </c>
      <c r="BS44" s="468">
        <f t="shared" si="110"/>
        <v>0</v>
      </c>
      <c r="BT44" s="468">
        <f t="shared" si="110"/>
        <v>57600</v>
      </c>
      <c r="BU44" s="468">
        <f t="shared" si="110"/>
        <v>2499435</v>
      </c>
      <c r="BV44" s="468">
        <f t="shared" ref="BV44:CF44" si="112">SUM(BV41:BV43)</f>
        <v>73372</v>
      </c>
      <c r="BW44" s="468">
        <f t="shared" si="112"/>
        <v>36608</v>
      </c>
      <c r="BX44" s="469">
        <f t="shared" si="112"/>
        <v>14.1035</v>
      </c>
      <c r="BY44" s="469">
        <f t="shared" si="112"/>
        <v>10.5</v>
      </c>
      <c r="BZ44" s="562">
        <f t="shared" si="112"/>
        <v>3.6035000000000004</v>
      </c>
      <c r="CA44" s="873">
        <f t="shared" si="112"/>
        <v>0</v>
      </c>
      <c r="CB44" s="850">
        <f t="shared" si="112"/>
        <v>0</v>
      </c>
      <c r="CC44" s="850">
        <f t="shared" si="112"/>
        <v>0</v>
      </c>
      <c r="CD44" s="850">
        <f t="shared" si="112"/>
        <v>0</v>
      </c>
      <c r="CE44" s="850">
        <f t="shared" si="112"/>
        <v>0</v>
      </c>
      <c r="CF44" s="841">
        <f t="shared" si="112"/>
        <v>0</v>
      </c>
    </row>
    <row r="45" spans="1:84" ht="12.95" customHeight="1" x14ac:dyDescent="0.25">
      <c r="A45" s="282">
        <v>9</v>
      </c>
      <c r="B45" s="213">
        <v>5702</v>
      </c>
      <c r="C45" s="213">
        <v>600099547</v>
      </c>
      <c r="D45" s="213">
        <v>855022</v>
      </c>
      <c r="E45" s="373" t="s">
        <v>466</v>
      </c>
      <c r="F45" s="384">
        <v>3233</v>
      </c>
      <c r="G45" s="373" t="s">
        <v>387</v>
      </c>
      <c r="H45" s="287" t="s">
        <v>272</v>
      </c>
      <c r="I45" s="423">
        <f>J45+P45+Q45+R45</f>
        <v>4585618</v>
      </c>
      <c r="J45" s="418">
        <f>K45+L45</f>
        <v>3398081</v>
      </c>
      <c r="K45" s="418">
        <v>2719494</v>
      </c>
      <c r="L45" s="418">
        <v>678587</v>
      </c>
      <c r="M45" s="418">
        <f t="shared" ref="M45" si="113">N45+O45</f>
        <v>0</v>
      </c>
      <c r="N45" s="418">
        <v>0</v>
      </c>
      <c r="O45" s="418">
        <v>0</v>
      </c>
      <c r="P45" s="68">
        <f>ROUND((J45+M45)*33.8%,0)</f>
        <v>1148551</v>
      </c>
      <c r="Q45" s="68">
        <f>ROUND(J45*1%,0)</f>
        <v>33981</v>
      </c>
      <c r="R45" s="418">
        <v>5005</v>
      </c>
      <c r="S45" s="419">
        <f t="shared" si="4"/>
        <v>7.1</v>
      </c>
      <c r="T45" s="420">
        <v>4.92</v>
      </c>
      <c r="U45" s="527">
        <v>2.1800000000000002</v>
      </c>
      <c r="V45" s="427">
        <f>AI45*-1</f>
        <v>0</v>
      </c>
      <c r="W45" s="421">
        <f>AJ45*-1</f>
        <v>0</v>
      </c>
      <c r="X45" s="421">
        <v>0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>V45+X45+Y45+AA45+AB45+AD45</f>
        <v>0</v>
      </c>
      <c r="AG45" s="421">
        <f>W45+Z45+AC45+AE45</f>
        <v>0</v>
      </c>
      <c r="AH45" s="421">
        <f>SUM(AF45:AG45)</f>
        <v>0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>AI45+AK45+AL45+AM45</f>
        <v>0</v>
      </c>
      <c r="AP45" s="421">
        <f>AJ45+AN45</f>
        <v>0</v>
      </c>
      <c r="AQ45" s="421">
        <f>SUM(AO45:AP45)</f>
        <v>0</v>
      </c>
      <c r="AR45" s="421">
        <f>AF45+AO45</f>
        <v>0</v>
      </c>
      <c r="AS45" s="421">
        <f>AG45+AP45</f>
        <v>0</v>
      </c>
      <c r="AT45" s="421">
        <f>SUM(AR45:AS45)</f>
        <v>0</v>
      </c>
      <c r="AU45" s="68">
        <f>ROUND((AH45+AI45+AJ45+AK45+AL45)*33.8%,0)</f>
        <v>0</v>
      </c>
      <c r="AV45" s="68">
        <f>ROUND(AH45*1%,0)</f>
        <v>0</v>
      </c>
      <c r="AW45" s="421">
        <v>0</v>
      </c>
      <c r="AX45" s="421">
        <v>0</v>
      </c>
      <c r="AY45" s="421">
        <f>AW45+AX45</f>
        <v>0</v>
      </c>
      <c r="AZ45" s="421">
        <f>AT45+AU45+AV45+AY45</f>
        <v>0</v>
      </c>
      <c r="BA45" s="422">
        <v>0</v>
      </c>
      <c r="BB45" s="422">
        <v>0</v>
      </c>
      <c r="BC45" s="422">
        <v>0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0</v>
      </c>
      <c r="BL45" s="422">
        <f>BB45+BE45+BG45+BJ45</f>
        <v>0</v>
      </c>
      <c r="BM45" s="611">
        <f>SUM(BK45:BL45)</f>
        <v>0</v>
      </c>
      <c r="BN45" s="428">
        <f>I45+AZ45</f>
        <v>4585618</v>
      </c>
      <c r="BO45" s="421">
        <f>J45+AH45</f>
        <v>3398081</v>
      </c>
      <c r="BP45" s="421">
        <f>K45+AF45</f>
        <v>2719494</v>
      </c>
      <c r="BQ45" s="421">
        <f>L45+AG45</f>
        <v>678587</v>
      </c>
      <c r="BR45" s="421">
        <f>M45+AQ45</f>
        <v>0</v>
      </c>
      <c r="BS45" s="421">
        <f>N45+AO45</f>
        <v>0</v>
      </c>
      <c r="BT45" s="421">
        <f>O45+AP45</f>
        <v>0</v>
      </c>
      <c r="BU45" s="421">
        <f>P45+AU45</f>
        <v>1148551</v>
      </c>
      <c r="BV45" s="421">
        <f>Q45+AV45</f>
        <v>33981</v>
      </c>
      <c r="BW45" s="421">
        <f>R45+AY45</f>
        <v>5005</v>
      </c>
      <c r="BX45" s="422">
        <f>S45+BM45</f>
        <v>7.1</v>
      </c>
      <c r="BY45" s="422">
        <f>T45+BK45</f>
        <v>4.92</v>
      </c>
      <c r="BZ45" s="611">
        <f>U45+BL45</f>
        <v>2.1800000000000002</v>
      </c>
      <c r="CA45" s="423"/>
      <c r="CB45" s="418"/>
      <c r="CC45" s="418"/>
      <c r="CD45" s="418"/>
      <c r="CE45" s="418"/>
      <c r="CF45" s="527"/>
    </row>
    <row r="46" spans="1:84" ht="12.95" customHeight="1" x14ac:dyDescent="0.25">
      <c r="A46" s="214">
        <v>9</v>
      </c>
      <c r="B46" s="45">
        <v>5702</v>
      </c>
      <c r="C46" s="45">
        <v>600099547</v>
      </c>
      <c r="D46" s="45">
        <v>855022</v>
      </c>
      <c r="E46" s="385" t="s">
        <v>467</v>
      </c>
      <c r="F46" s="386"/>
      <c r="G46" s="385"/>
      <c r="H46" s="387"/>
      <c r="I46" s="499">
        <f t="shared" ref="I46:BU46" si="114">SUM(I45)</f>
        <v>4585618</v>
      </c>
      <c r="J46" s="495">
        <f t="shared" si="114"/>
        <v>3398081</v>
      </c>
      <c r="K46" s="495">
        <f t="shared" si="114"/>
        <v>2719494</v>
      </c>
      <c r="L46" s="495">
        <f t="shared" si="114"/>
        <v>678587</v>
      </c>
      <c r="M46" s="495">
        <f t="shared" si="114"/>
        <v>0</v>
      </c>
      <c r="N46" s="495">
        <f t="shared" si="114"/>
        <v>0</v>
      </c>
      <c r="O46" s="495">
        <f t="shared" si="114"/>
        <v>0</v>
      </c>
      <c r="P46" s="495">
        <f t="shared" si="114"/>
        <v>1148551</v>
      </c>
      <c r="Q46" s="495">
        <f t="shared" si="114"/>
        <v>33981</v>
      </c>
      <c r="R46" s="495">
        <f t="shared" si="114"/>
        <v>5005</v>
      </c>
      <c r="S46" s="496">
        <f t="shared" si="114"/>
        <v>7.1</v>
      </c>
      <c r="T46" s="496">
        <f t="shared" si="114"/>
        <v>4.92</v>
      </c>
      <c r="U46" s="377">
        <f t="shared" si="114"/>
        <v>2.1800000000000002</v>
      </c>
      <c r="V46" s="501">
        <f t="shared" si="114"/>
        <v>0</v>
      </c>
      <c r="W46" s="495">
        <f t="shared" si="114"/>
        <v>0</v>
      </c>
      <c r="X46" s="495">
        <f t="shared" si="114"/>
        <v>0</v>
      </c>
      <c r="Y46" s="495">
        <f t="shared" si="114"/>
        <v>0</v>
      </c>
      <c r="Z46" s="495">
        <f t="shared" si="114"/>
        <v>0</v>
      </c>
      <c r="AA46" s="495">
        <f t="shared" si="114"/>
        <v>0</v>
      </c>
      <c r="AB46" s="495">
        <f t="shared" si="114"/>
        <v>0</v>
      </c>
      <c r="AC46" s="495">
        <f t="shared" si="114"/>
        <v>0</v>
      </c>
      <c r="AD46" s="495">
        <f t="shared" si="114"/>
        <v>0</v>
      </c>
      <c r="AE46" s="495">
        <f t="shared" si="114"/>
        <v>0</v>
      </c>
      <c r="AF46" s="495">
        <f t="shared" si="114"/>
        <v>0</v>
      </c>
      <c r="AG46" s="495">
        <f t="shared" si="114"/>
        <v>0</v>
      </c>
      <c r="AH46" s="495">
        <f t="shared" si="114"/>
        <v>0</v>
      </c>
      <c r="AI46" s="495">
        <f t="shared" si="114"/>
        <v>0</v>
      </c>
      <c r="AJ46" s="495">
        <f t="shared" si="114"/>
        <v>0</v>
      </c>
      <c r="AK46" s="495">
        <f t="shared" ref="AK46" si="115">SUM(AK45)</f>
        <v>0</v>
      </c>
      <c r="AL46" s="495">
        <f t="shared" si="114"/>
        <v>0</v>
      </c>
      <c r="AM46" s="495">
        <f t="shared" si="114"/>
        <v>0</v>
      </c>
      <c r="AN46" s="495">
        <f t="shared" si="114"/>
        <v>0</v>
      </c>
      <c r="AO46" s="495">
        <f t="shared" si="114"/>
        <v>0</v>
      </c>
      <c r="AP46" s="495">
        <f t="shared" si="114"/>
        <v>0</v>
      </c>
      <c r="AQ46" s="495">
        <f t="shared" si="114"/>
        <v>0</v>
      </c>
      <c r="AR46" s="495">
        <f t="shared" si="114"/>
        <v>0</v>
      </c>
      <c r="AS46" s="495">
        <f t="shared" si="114"/>
        <v>0</v>
      </c>
      <c r="AT46" s="495">
        <f t="shared" si="114"/>
        <v>0</v>
      </c>
      <c r="AU46" s="495">
        <f t="shared" si="114"/>
        <v>0</v>
      </c>
      <c r="AV46" s="495">
        <f t="shared" si="114"/>
        <v>0</v>
      </c>
      <c r="AW46" s="495">
        <f t="shared" si="114"/>
        <v>0</v>
      </c>
      <c r="AX46" s="495">
        <f t="shared" si="114"/>
        <v>0</v>
      </c>
      <c r="AY46" s="495">
        <f t="shared" si="114"/>
        <v>0</v>
      </c>
      <c r="AZ46" s="495">
        <f t="shared" si="114"/>
        <v>0</v>
      </c>
      <c r="BA46" s="496">
        <f t="shared" si="114"/>
        <v>0</v>
      </c>
      <c r="BB46" s="496">
        <f t="shared" si="114"/>
        <v>0</v>
      </c>
      <c r="BC46" s="496">
        <f t="shared" si="114"/>
        <v>0</v>
      </c>
      <c r="BD46" s="496">
        <f t="shared" si="114"/>
        <v>0</v>
      </c>
      <c r="BE46" s="496">
        <f t="shared" si="114"/>
        <v>0</v>
      </c>
      <c r="BF46" s="496">
        <f t="shared" si="114"/>
        <v>0</v>
      </c>
      <c r="BG46" s="496">
        <f t="shared" si="114"/>
        <v>0</v>
      </c>
      <c r="BH46" s="496">
        <f t="shared" si="114"/>
        <v>0</v>
      </c>
      <c r="BI46" s="496">
        <f t="shared" si="114"/>
        <v>0</v>
      </c>
      <c r="BJ46" s="496">
        <f t="shared" si="114"/>
        <v>0</v>
      </c>
      <c r="BK46" s="496">
        <f t="shared" si="114"/>
        <v>0</v>
      </c>
      <c r="BL46" s="496">
        <f t="shared" si="114"/>
        <v>0</v>
      </c>
      <c r="BM46" s="745">
        <f t="shared" si="114"/>
        <v>0</v>
      </c>
      <c r="BN46" s="499">
        <f t="shared" si="114"/>
        <v>4585618</v>
      </c>
      <c r="BO46" s="495">
        <f t="shared" si="114"/>
        <v>3398081</v>
      </c>
      <c r="BP46" s="495">
        <f t="shared" si="114"/>
        <v>2719494</v>
      </c>
      <c r="BQ46" s="495">
        <f t="shared" si="114"/>
        <v>678587</v>
      </c>
      <c r="BR46" s="495">
        <f t="shared" si="114"/>
        <v>0</v>
      </c>
      <c r="BS46" s="495">
        <f t="shared" si="114"/>
        <v>0</v>
      </c>
      <c r="BT46" s="495">
        <f t="shared" si="114"/>
        <v>0</v>
      </c>
      <c r="BU46" s="495">
        <f t="shared" si="114"/>
        <v>1148551</v>
      </c>
      <c r="BV46" s="495">
        <f t="shared" ref="BV46:CF46" si="116">SUM(BV45)</f>
        <v>33981</v>
      </c>
      <c r="BW46" s="495">
        <f t="shared" si="116"/>
        <v>5005</v>
      </c>
      <c r="BX46" s="496">
        <f t="shared" si="116"/>
        <v>7.1</v>
      </c>
      <c r="BY46" s="496">
        <f t="shared" si="116"/>
        <v>4.92</v>
      </c>
      <c r="BZ46" s="745">
        <f t="shared" si="116"/>
        <v>2.1800000000000002</v>
      </c>
      <c r="CA46" s="901">
        <f t="shared" si="116"/>
        <v>0</v>
      </c>
      <c r="CB46" s="896">
        <f t="shared" si="116"/>
        <v>0</v>
      </c>
      <c r="CC46" s="896">
        <f t="shared" si="116"/>
        <v>0</v>
      </c>
      <c r="CD46" s="896">
        <f t="shared" si="116"/>
        <v>0</v>
      </c>
      <c r="CE46" s="896">
        <f t="shared" si="116"/>
        <v>0</v>
      </c>
      <c r="CF46" s="840">
        <f t="shared" si="116"/>
        <v>0</v>
      </c>
    </row>
    <row r="47" spans="1:84" ht="12.95" customHeight="1" x14ac:dyDescent="0.25">
      <c r="A47" s="282">
        <v>10</v>
      </c>
      <c r="B47" s="213">
        <v>5458</v>
      </c>
      <c r="C47" s="213">
        <v>600099288</v>
      </c>
      <c r="D47" s="213">
        <v>856126</v>
      </c>
      <c r="E47" s="374" t="s">
        <v>468</v>
      </c>
      <c r="F47" s="213">
        <v>3113</v>
      </c>
      <c r="G47" s="374" t="s">
        <v>309</v>
      </c>
      <c r="H47" s="287" t="s">
        <v>271</v>
      </c>
      <c r="I47" s="423">
        <f>J47+P47+Q47+R47</f>
        <v>41429590</v>
      </c>
      <c r="J47" s="418">
        <f>K47+L47</f>
        <v>30331098</v>
      </c>
      <c r="K47" s="418">
        <v>28411207</v>
      </c>
      <c r="L47" s="418">
        <v>1919891</v>
      </c>
      <c r="M47" s="418">
        <f t="shared" ref="M47:M51" si="117">N47+O47</f>
        <v>0</v>
      </c>
      <c r="N47" s="418">
        <v>0</v>
      </c>
      <c r="O47" s="418">
        <v>0</v>
      </c>
      <c r="P47" s="68">
        <f>ROUND((J47+M47)*33.8%,0)</f>
        <v>10251911</v>
      </c>
      <c r="Q47" s="68">
        <f>ROUND(J47*1%,0)</f>
        <v>303311</v>
      </c>
      <c r="R47" s="418">
        <v>543270</v>
      </c>
      <c r="S47" s="419">
        <f t="shared" si="4"/>
        <v>43.953200000000002</v>
      </c>
      <c r="T47" s="419">
        <v>38.0732</v>
      </c>
      <c r="U47" s="527">
        <v>5.88</v>
      </c>
      <c r="V47" s="427">
        <f t="shared" ref="V47:W51" si="118">AI47*-1</f>
        <v>-57600</v>
      </c>
      <c r="W47" s="421">
        <f t="shared" si="118"/>
        <v>-19200</v>
      </c>
      <c r="X47" s="421">
        <v>0</v>
      </c>
      <c r="Y47" s="421">
        <v>0</v>
      </c>
      <c r="Z47" s="421">
        <v>0</v>
      </c>
      <c r="AA47" s="421">
        <v>0</v>
      </c>
      <c r="AB47" s="421">
        <v>564000</v>
      </c>
      <c r="AC47" s="421">
        <v>0</v>
      </c>
      <c r="AD47" s="421">
        <v>0</v>
      </c>
      <c r="AE47" s="421">
        <v>0</v>
      </c>
      <c r="AF47" s="421">
        <f>V47+X47+Y47+AA47+AB47+AD47</f>
        <v>506400</v>
      </c>
      <c r="AG47" s="421">
        <f>W47+Z47+AC47+AE47</f>
        <v>-19200</v>
      </c>
      <c r="AH47" s="421">
        <f>SUM(AF47:AG47)</f>
        <v>487200</v>
      </c>
      <c r="AI47" s="421">
        <f>25600+32000</f>
        <v>57600</v>
      </c>
      <c r="AJ47" s="421">
        <v>19200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ref="AO47:AO51" si="119">AI47+AK47+AL47+AM47</f>
        <v>57600</v>
      </c>
      <c r="AP47" s="421">
        <f>AJ47+AN47</f>
        <v>19200</v>
      </c>
      <c r="AQ47" s="421">
        <f>SUM(AO47:AP47)</f>
        <v>76800</v>
      </c>
      <c r="AR47" s="421">
        <f t="shared" ref="AR47:AS51" si="120">AF47+AO47</f>
        <v>564000</v>
      </c>
      <c r="AS47" s="421">
        <f t="shared" si="120"/>
        <v>0</v>
      </c>
      <c r="AT47" s="421">
        <f>SUM(AR47:AS47)</f>
        <v>564000</v>
      </c>
      <c r="AU47" s="68">
        <f t="shared" ref="AU47:AU51" si="121">ROUND((AH47+AI47+AJ47+AK47+AL47)*33.8%,0)</f>
        <v>190632</v>
      </c>
      <c r="AV47" s="68">
        <f>ROUND(AH47*1%,0)</f>
        <v>4872</v>
      </c>
      <c r="AW47" s="421">
        <v>0</v>
      </c>
      <c r="AX47" s="421">
        <v>0</v>
      </c>
      <c r="AY47" s="421">
        <f>AW47+AX47</f>
        <v>0</v>
      </c>
      <c r="AZ47" s="421">
        <f>AT47+AU47+AV47+AY47</f>
        <v>759504</v>
      </c>
      <c r="BA47" s="422">
        <v>-0.05</v>
      </c>
      <c r="BB47" s="422">
        <v>0</v>
      </c>
      <c r="BC47" s="422">
        <v>0</v>
      </c>
      <c r="BD47" s="422">
        <v>1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>BA47+BC47+BD47+BF47+BH47+BI47</f>
        <v>0.95</v>
      </c>
      <c r="BL47" s="422">
        <f>BB47+BE47+BG47+BJ47</f>
        <v>0</v>
      </c>
      <c r="BM47" s="611">
        <f>SUM(BK47:BL47)</f>
        <v>0.95</v>
      </c>
      <c r="BN47" s="428">
        <f>I47+AZ47</f>
        <v>42189094</v>
      </c>
      <c r="BO47" s="421">
        <f>J47+AH47</f>
        <v>30818298</v>
      </c>
      <c r="BP47" s="421">
        <f t="shared" ref="BP47:BQ51" si="122">K47+AF47</f>
        <v>28917607</v>
      </c>
      <c r="BQ47" s="421">
        <f t="shared" si="122"/>
        <v>1900691</v>
      </c>
      <c r="BR47" s="421">
        <f>M47+AQ47</f>
        <v>76800</v>
      </c>
      <c r="BS47" s="421">
        <f t="shared" ref="BS47:BT51" si="123">N47+AO47</f>
        <v>57600</v>
      </c>
      <c r="BT47" s="421">
        <f t="shared" si="123"/>
        <v>19200</v>
      </c>
      <c r="BU47" s="421">
        <f t="shared" ref="BU47:BV51" si="124">P47+AU47</f>
        <v>10442543</v>
      </c>
      <c r="BV47" s="421">
        <f t="shared" si="124"/>
        <v>308183</v>
      </c>
      <c r="BW47" s="421">
        <f>R47+AY47</f>
        <v>543270</v>
      </c>
      <c r="BX47" s="422">
        <f>S47+BM47</f>
        <v>44.903200000000005</v>
      </c>
      <c r="BY47" s="422">
        <f t="shared" ref="BY47:BZ51" si="125">T47+BK47</f>
        <v>39.023200000000003</v>
      </c>
      <c r="BZ47" s="611">
        <f t="shared" si="125"/>
        <v>5.88</v>
      </c>
      <c r="CA47" s="423">
        <v>760272</v>
      </c>
      <c r="CB47" s="418">
        <v>564000</v>
      </c>
      <c r="CC47" s="418">
        <v>0</v>
      </c>
      <c r="CD47" s="418">
        <v>190632</v>
      </c>
      <c r="CE47" s="418">
        <v>5640</v>
      </c>
      <c r="CF47" s="527">
        <v>1</v>
      </c>
    </row>
    <row r="48" spans="1:84" ht="12.95" customHeight="1" x14ac:dyDescent="0.25">
      <c r="A48" s="282">
        <v>10</v>
      </c>
      <c r="B48" s="213">
        <v>5458</v>
      </c>
      <c r="C48" s="213">
        <v>600099288</v>
      </c>
      <c r="D48" s="213">
        <v>856126</v>
      </c>
      <c r="E48" s="374" t="s">
        <v>468</v>
      </c>
      <c r="F48" s="213">
        <v>3113</v>
      </c>
      <c r="G48" s="325" t="s">
        <v>292</v>
      </c>
      <c r="H48" s="287" t="s">
        <v>272</v>
      </c>
      <c r="I48" s="423">
        <f>J48+P48+Q48+R48</f>
        <v>0</v>
      </c>
      <c r="J48" s="418">
        <f>K48+L48</f>
        <v>0</v>
      </c>
      <c r="K48" s="418">
        <v>0</v>
      </c>
      <c r="L48" s="418">
        <v>0</v>
      </c>
      <c r="M48" s="418">
        <f t="shared" si="117"/>
        <v>0</v>
      </c>
      <c r="N48" s="418">
        <v>0</v>
      </c>
      <c r="O48" s="418">
        <v>0</v>
      </c>
      <c r="P48" s="68">
        <f t="shared" ref="P48" si="126">ROUND((J48+M48)*33.8%,0)</f>
        <v>0</v>
      </c>
      <c r="Q48" s="68">
        <f t="shared" ref="Q48" si="127">ROUND(J48*1%,0)</f>
        <v>0</v>
      </c>
      <c r="R48" s="418">
        <v>0</v>
      </c>
      <c r="S48" s="419">
        <f t="shared" si="4"/>
        <v>0</v>
      </c>
      <c r="T48" s="419">
        <v>0</v>
      </c>
      <c r="U48" s="527">
        <v>0</v>
      </c>
      <c r="V48" s="427">
        <f t="shared" si="118"/>
        <v>0</v>
      </c>
      <c r="W48" s="421">
        <f t="shared" si="118"/>
        <v>0</v>
      </c>
      <c r="X48" s="421">
        <f>2893190+283318</f>
        <v>3176508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>V48+X48+Y48+AA48+AB48+AD48</f>
        <v>3176508</v>
      </c>
      <c r="AG48" s="421">
        <f>W48+Z48+AC48+AE48</f>
        <v>0</v>
      </c>
      <c r="AH48" s="421">
        <f>SUM(AF48:AG48)</f>
        <v>3176508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119"/>
        <v>0</v>
      </c>
      <c r="AP48" s="421">
        <f>AJ48+AN48</f>
        <v>0</v>
      </c>
      <c r="AQ48" s="421">
        <f>SUM(AO48:AP48)</f>
        <v>0</v>
      </c>
      <c r="AR48" s="421">
        <f t="shared" si="120"/>
        <v>3176508</v>
      </c>
      <c r="AS48" s="421">
        <f t="shared" si="120"/>
        <v>0</v>
      </c>
      <c r="AT48" s="421">
        <f>SUM(AR48:AS48)</f>
        <v>3176508</v>
      </c>
      <c r="AU48" s="68">
        <f t="shared" si="121"/>
        <v>1073660</v>
      </c>
      <c r="AV48" s="68">
        <f>ROUND(AH48*1%,0)</f>
        <v>31765</v>
      </c>
      <c r="AW48" s="421">
        <v>0</v>
      </c>
      <c r="AX48" s="421">
        <v>0</v>
      </c>
      <c r="AY48" s="421">
        <f>AW48+AX48</f>
        <v>0</v>
      </c>
      <c r="AZ48" s="421">
        <f>AT48+AU48+AV48+AY48</f>
        <v>4281933</v>
      </c>
      <c r="BA48" s="422">
        <v>0</v>
      </c>
      <c r="BB48" s="422">
        <v>0</v>
      </c>
      <c r="BC48" s="422">
        <f>7.59+0.55</f>
        <v>8.14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>BA48+BC48+BD48+BF48+BH48+BI48</f>
        <v>8.14</v>
      </c>
      <c r="BL48" s="422">
        <f>BB48+BE48+BG48+BJ48</f>
        <v>0</v>
      </c>
      <c r="BM48" s="611">
        <f>SUM(BK48:BL48)</f>
        <v>8.14</v>
      </c>
      <c r="BN48" s="428">
        <f>I48+AZ48</f>
        <v>4281933</v>
      </c>
      <c r="BO48" s="421">
        <f>J48+AH48</f>
        <v>3176508</v>
      </c>
      <c r="BP48" s="421">
        <f t="shared" si="122"/>
        <v>3176508</v>
      </c>
      <c r="BQ48" s="421">
        <f t="shared" si="122"/>
        <v>0</v>
      </c>
      <c r="BR48" s="421">
        <f>M48+AQ48</f>
        <v>0</v>
      </c>
      <c r="BS48" s="421">
        <f t="shared" si="123"/>
        <v>0</v>
      </c>
      <c r="BT48" s="421">
        <f t="shared" si="123"/>
        <v>0</v>
      </c>
      <c r="BU48" s="421">
        <f t="shared" si="124"/>
        <v>1073660</v>
      </c>
      <c r="BV48" s="421">
        <f t="shared" si="124"/>
        <v>31765</v>
      </c>
      <c r="BW48" s="421">
        <f>R48+AY48</f>
        <v>0</v>
      </c>
      <c r="BX48" s="422">
        <f>S48+BM48</f>
        <v>8.14</v>
      </c>
      <c r="BY48" s="422">
        <f t="shared" si="125"/>
        <v>8.14</v>
      </c>
      <c r="BZ48" s="611">
        <f t="shared" si="125"/>
        <v>0</v>
      </c>
      <c r="CA48" s="423"/>
      <c r="CB48" s="418"/>
      <c r="CC48" s="418"/>
      <c r="CD48" s="418"/>
      <c r="CE48" s="418"/>
      <c r="CF48" s="527"/>
    </row>
    <row r="49" spans="1:84" ht="12.95" customHeight="1" x14ac:dyDescent="0.25">
      <c r="A49" s="282">
        <v>10</v>
      </c>
      <c r="B49" s="213">
        <v>5458</v>
      </c>
      <c r="C49" s="213">
        <v>600099288</v>
      </c>
      <c r="D49" s="213">
        <v>856126</v>
      </c>
      <c r="E49" s="373" t="s">
        <v>468</v>
      </c>
      <c r="F49" s="384">
        <v>3141</v>
      </c>
      <c r="G49" s="375" t="s">
        <v>295</v>
      </c>
      <c r="H49" s="287" t="s">
        <v>272</v>
      </c>
      <c r="I49" s="423">
        <f>J49+P49+Q49+R49</f>
        <v>2399873</v>
      </c>
      <c r="J49" s="418">
        <f>K49+L49</f>
        <v>1765210</v>
      </c>
      <c r="K49" s="418">
        <v>0</v>
      </c>
      <c r="L49" s="418">
        <v>1765210</v>
      </c>
      <c r="M49" s="418">
        <f t="shared" si="117"/>
        <v>0</v>
      </c>
      <c r="N49" s="418">
        <v>0</v>
      </c>
      <c r="O49" s="418">
        <v>0</v>
      </c>
      <c r="P49" s="68">
        <f>ROUND((J49+M49)*33.8%,0)</f>
        <v>596641</v>
      </c>
      <c r="Q49" s="68">
        <f>ROUND(J49*1%,0)</f>
        <v>17652</v>
      </c>
      <c r="R49" s="418">
        <v>20370</v>
      </c>
      <c r="S49" s="419">
        <f t="shared" si="4"/>
        <v>5.2933000000000003</v>
      </c>
      <c r="T49" s="419">
        <v>0</v>
      </c>
      <c r="U49" s="527">
        <v>5.2933000000000003</v>
      </c>
      <c r="V49" s="427">
        <f t="shared" si="118"/>
        <v>0</v>
      </c>
      <c r="W49" s="421">
        <f t="shared" si="118"/>
        <v>-6400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>V49+X49+Y49+AA49+AB49+AD49</f>
        <v>0</v>
      </c>
      <c r="AG49" s="421">
        <f>W49+Z49+AC49+AE49</f>
        <v>-6400</v>
      </c>
      <c r="AH49" s="421">
        <f>SUM(AF49:AG49)</f>
        <v>-6400</v>
      </c>
      <c r="AI49" s="421">
        <v>0</v>
      </c>
      <c r="AJ49" s="421">
        <v>6400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119"/>
        <v>0</v>
      </c>
      <c r="AP49" s="421">
        <f>AJ49+AN49</f>
        <v>6400</v>
      </c>
      <c r="AQ49" s="421">
        <f>SUM(AO49:AP49)</f>
        <v>6400</v>
      </c>
      <c r="AR49" s="421">
        <f t="shared" si="120"/>
        <v>0</v>
      </c>
      <c r="AS49" s="421">
        <f t="shared" si="120"/>
        <v>0</v>
      </c>
      <c r="AT49" s="421">
        <f>SUM(AR49:AS49)</f>
        <v>0</v>
      </c>
      <c r="AU49" s="68">
        <f t="shared" si="121"/>
        <v>0</v>
      </c>
      <c r="AV49" s="68">
        <f>ROUND(AH49*1%,0)</f>
        <v>-64</v>
      </c>
      <c r="AW49" s="421">
        <v>0</v>
      </c>
      <c r="AX49" s="421">
        <v>0</v>
      </c>
      <c r="AY49" s="421">
        <f>AW49+AX49</f>
        <v>0</v>
      </c>
      <c r="AZ49" s="421">
        <f>AT49+AU49+AV49+AY49</f>
        <v>-64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>BA49+BC49+BD49+BF49+BH49+BI49</f>
        <v>0</v>
      </c>
      <c r="BL49" s="422">
        <f>BB49+BE49+BG49+BJ49</f>
        <v>0</v>
      </c>
      <c r="BM49" s="611">
        <f>SUM(BK49:BL49)</f>
        <v>0</v>
      </c>
      <c r="BN49" s="428">
        <f>I49+AZ49</f>
        <v>2399809</v>
      </c>
      <c r="BO49" s="421">
        <f>J49+AH49</f>
        <v>1758810</v>
      </c>
      <c r="BP49" s="421">
        <f t="shared" si="122"/>
        <v>0</v>
      </c>
      <c r="BQ49" s="421">
        <f t="shared" si="122"/>
        <v>1758810</v>
      </c>
      <c r="BR49" s="421">
        <f>M49+AQ49</f>
        <v>6400</v>
      </c>
      <c r="BS49" s="421">
        <f t="shared" si="123"/>
        <v>0</v>
      </c>
      <c r="BT49" s="421">
        <f t="shared" si="123"/>
        <v>6400</v>
      </c>
      <c r="BU49" s="421">
        <f t="shared" si="124"/>
        <v>596641</v>
      </c>
      <c r="BV49" s="421">
        <f t="shared" si="124"/>
        <v>17588</v>
      </c>
      <c r="BW49" s="421">
        <f>R49+AY49</f>
        <v>20370</v>
      </c>
      <c r="BX49" s="422">
        <f>S49+BM49</f>
        <v>5.2933000000000003</v>
      </c>
      <c r="BY49" s="422">
        <f t="shared" si="125"/>
        <v>0</v>
      </c>
      <c r="BZ49" s="611">
        <f t="shared" si="125"/>
        <v>5.2933000000000003</v>
      </c>
      <c r="CA49" s="423"/>
      <c r="CB49" s="418"/>
      <c r="CC49" s="418"/>
      <c r="CD49" s="418"/>
      <c r="CE49" s="418"/>
      <c r="CF49" s="527"/>
    </row>
    <row r="50" spans="1:84" ht="12.95" customHeight="1" x14ac:dyDescent="0.25">
      <c r="A50" s="282">
        <v>10</v>
      </c>
      <c r="B50" s="213">
        <v>5458</v>
      </c>
      <c r="C50" s="213">
        <v>600099288</v>
      </c>
      <c r="D50" s="213">
        <v>856126</v>
      </c>
      <c r="E50" s="374" t="s">
        <v>468</v>
      </c>
      <c r="F50" s="213">
        <v>3143</v>
      </c>
      <c r="G50" s="325" t="s">
        <v>596</v>
      </c>
      <c r="H50" s="287" t="s">
        <v>271</v>
      </c>
      <c r="I50" s="423">
        <f>J50+P50+Q50+R50</f>
        <v>3080947</v>
      </c>
      <c r="J50" s="418">
        <f>K50+L50</f>
        <v>2285569</v>
      </c>
      <c r="K50" s="418">
        <v>2285569</v>
      </c>
      <c r="L50" s="418"/>
      <c r="M50" s="418">
        <f t="shared" si="117"/>
        <v>0</v>
      </c>
      <c r="N50" s="418">
        <v>0</v>
      </c>
      <c r="O50" s="418">
        <v>0</v>
      </c>
      <c r="P50" s="68">
        <f>ROUND((J50+M50)*33.8%,0)</f>
        <v>772522</v>
      </c>
      <c r="Q50" s="68">
        <f>ROUND(J50*1%,0)</f>
        <v>22856</v>
      </c>
      <c r="R50" s="418">
        <v>0</v>
      </c>
      <c r="S50" s="419">
        <f t="shared" si="4"/>
        <v>4.3997999999999999</v>
      </c>
      <c r="T50" s="419">
        <v>4.3997999999999999</v>
      </c>
      <c r="U50" s="527">
        <v>0</v>
      </c>
      <c r="V50" s="427">
        <f t="shared" si="118"/>
        <v>0</v>
      </c>
      <c r="W50" s="421">
        <f t="shared" si="118"/>
        <v>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>V50+X50+Y50+AA50+AB50+AD50</f>
        <v>0</v>
      </c>
      <c r="AG50" s="421">
        <f>W50+Z50+AC50+AE50</f>
        <v>0</v>
      </c>
      <c r="AH50" s="421">
        <f>SUM(AF50:AG50)</f>
        <v>0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19"/>
        <v>0</v>
      </c>
      <c r="AP50" s="421">
        <f>AJ50+AN50</f>
        <v>0</v>
      </c>
      <c r="AQ50" s="421">
        <f>SUM(AO50:AP50)</f>
        <v>0</v>
      </c>
      <c r="AR50" s="421">
        <f t="shared" si="120"/>
        <v>0</v>
      </c>
      <c r="AS50" s="421">
        <f t="shared" si="120"/>
        <v>0</v>
      </c>
      <c r="AT50" s="421">
        <f>SUM(AR50:AS50)</f>
        <v>0</v>
      </c>
      <c r="AU50" s="68">
        <f t="shared" si="121"/>
        <v>0</v>
      </c>
      <c r="AV50" s="68">
        <f>ROUND(AH50*1%,0)</f>
        <v>0</v>
      </c>
      <c r="AW50" s="421">
        <v>0</v>
      </c>
      <c r="AX50" s="421">
        <v>0</v>
      </c>
      <c r="AY50" s="421">
        <f>AW50+AX50</f>
        <v>0</v>
      </c>
      <c r="AZ50" s="421">
        <f>AT50+AU50+AV50+AY50</f>
        <v>0</v>
      </c>
      <c r="BA50" s="422">
        <v>0</v>
      </c>
      <c r="BB50" s="422">
        <v>0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>BA50+BC50+BD50+BF50+BH50+BI50</f>
        <v>0</v>
      </c>
      <c r="BL50" s="422">
        <f>BB50+BE50+BG50+BJ50</f>
        <v>0</v>
      </c>
      <c r="BM50" s="611">
        <f>SUM(BK50:BL50)</f>
        <v>0</v>
      </c>
      <c r="BN50" s="428">
        <f>I50+AZ50</f>
        <v>3080947</v>
      </c>
      <c r="BO50" s="421">
        <f>J50+AH50</f>
        <v>2285569</v>
      </c>
      <c r="BP50" s="421">
        <f t="shared" si="122"/>
        <v>2285569</v>
      </c>
      <c r="BQ50" s="421">
        <f t="shared" si="122"/>
        <v>0</v>
      </c>
      <c r="BR50" s="421">
        <f>M50+AQ50</f>
        <v>0</v>
      </c>
      <c r="BS50" s="421">
        <f t="shared" si="123"/>
        <v>0</v>
      </c>
      <c r="BT50" s="421">
        <f t="shared" si="123"/>
        <v>0</v>
      </c>
      <c r="BU50" s="421">
        <f t="shared" si="124"/>
        <v>772522</v>
      </c>
      <c r="BV50" s="421">
        <f t="shared" si="124"/>
        <v>22856</v>
      </c>
      <c r="BW50" s="421">
        <f>R50+AY50</f>
        <v>0</v>
      </c>
      <c r="BX50" s="422">
        <f>S50+BM50</f>
        <v>4.3997999999999999</v>
      </c>
      <c r="BY50" s="422">
        <f t="shared" si="125"/>
        <v>4.3997999999999999</v>
      </c>
      <c r="BZ50" s="611">
        <f t="shared" si="125"/>
        <v>0</v>
      </c>
      <c r="CA50" s="423"/>
      <c r="CB50" s="418"/>
      <c r="CC50" s="418"/>
      <c r="CD50" s="418"/>
      <c r="CE50" s="418"/>
      <c r="CF50" s="527"/>
    </row>
    <row r="51" spans="1:84" ht="12.95" customHeight="1" x14ac:dyDescent="0.25">
      <c r="A51" s="282">
        <v>10</v>
      </c>
      <c r="B51" s="213">
        <v>5458</v>
      </c>
      <c r="C51" s="213">
        <v>600099288</v>
      </c>
      <c r="D51" s="213">
        <v>856126</v>
      </c>
      <c r="E51" s="374" t="s">
        <v>468</v>
      </c>
      <c r="F51" s="213">
        <v>3143</v>
      </c>
      <c r="G51" s="325" t="s">
        <v>597</v>
      </c>
      <c r="H51" s="287" t="s">
        <v>272</v>
      </c>
      <c r="I51" s="423">
        <f>J51+P51+Q51+R51</f>
        <v>71702</v>
      </c>
      <c r="J51" s="418">
        <f>K51+L51</f>
        <v>51322</v>
      </c>
      <c r="K51" s="418">
        <v>0</v>
      </c>
      <c r="L51" s="418">
        <v>51322</v>
      </c>
      <c r="M51" s="418">
        <f t="shared" si="117"/>
        <v>0</v>
      </c>
      <c r="N51" s="418">
        <v>0</v>
      </c>
      <c r="O51" s="418">
        <v>0</v>
      </c>
      <c r="P51" s="68">
        <f>ROUND((J51+M51)*33.8%,0)</f>
        <v>17347</v>
      </c>
      <c r="Q51" s="68">
        <f>ROUND(J51*1%,0)</f>
        <v>513</v>
      </c>
      <c r="R51" s="418">
        <v>2520</v>
      </c>
      <c r="S51" s="419">
        <f t="shared" si="4"/>
        <v>0.19439999999999999</v>
      </c>
      <c r="T51" s="419">
        <v>0</v>
      </c>
      <c r="U51" s="527">
        <v>0.19439999999999999</v>
      </c>
      <c r="V51" s="427">
        <f t="shared" si="118"/>
        <v>-12800</v>
      </c>
      <c r="W51" s="421">
        <f t="shared" si="118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>V51+X51+Y51+AA51+AB51+AD51</f>
        <v>-12800</v>
      </c>
      <c r="AG51" s="421">
        <f>W51+Z51+AC51+AE51</f>
        <v>0</v>
      </c>
      <c r="AH51" s="421">
        <f>SUM(AF51:AG51)</f>
        <v>-12800</v>
      </c>
      <c r="AI51" s="421">
        <v>12800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19"/>
        <v>12800</v>
      </c>
      <c r="AP51" s="421">
        <f>AJ51+AN51</f>
        <v>0</v>
      </c>
      <c r="AQ51" s="421">
        <f>SUM(AO51:AP51)</f>
        <v>12800</v>
      </c>
      <c r="AR51" s="421">
        <f t="shared" si="120"/>
        <v>0</v>
      </c>
      <c r="AS51" s="421">
        <f t="shared" si="120"/>
        <v>0</v>
      </c>
      <c r="AT51" s="421">
        <f>SUM(AR51:AS51)</f>
        <v>0</v>
      </c>
      <c r="AU51" s="68">
        <f t="shared" si="121"/>
        <v>0</v>
      </c>
      <c r="AV51" s="68">
        <f>ROUND(AH51*1%,0)</f>
        <v>-128</v>
      </c>
      <c r="AW51" s="421">
        <v>0</v>
      </c>
      <c r="AX51" s="421">
        <v>0</v>
      </c>
      <c r="AY51" s="421">
        <f>AW51+AX51</f>
        <v>0</v>
      </c>
      <c r="AZ51" s="421">
        <f>AT51+AU51+AV51+AY51</f>
        <v>-128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>BA51+BC51+BD51+BF51+BH51+BI51</f>
        <v>0</v>
      </c>
      <c r="BL51" s="422">
        <f>BB51+BE51+BG51+BJ51</f>
        <v>0</v>
      </c>
      <c r="BM51" s="611">
        <f>SUM(BK51:BL51)</f>
        <v>0</v>
      </c>
      <c r="BN51" s="428">
        <f>I51+AZ51</f>
        <v>71574</v>
      </c>
      <c r="BO51" s="421">
        <f>J51+AH51</f>
        <v>38522</v>
      </c>
      <c r="BP51" s="421">
        <f t="shared" si="122"/>
        <v>-12800</v>
      </c>
      <c r="BQ51" s="421">
        <f t="shared" si="122"/>
        <v>51322</v>
      </c>
      <c r="BR51" s="421">
        <f>M51+AQ51</f>
        <v>12800</v>
      </c>
      <c r="BS51" s="421">
        <f t="shared" si="123"/>
        <v>12800</v>
      </c>
      <c r="BT51" s="421">
        <f t="shared" si="123"/>
        <v>0</v>
      </c>
      <c r="BU51" s="421">
        <f t="shared" si="124"/>
        <v>17347</v>
      </c>
      <c r="BV51" s="421">
        <f t="shared" si="124"/>
        <v>385</v>
      </c>
      <c r="BW51" s="421">
        <f>R51+AY51</f>
        <v>2520</v>
      </c>
      <c r="BX51" s="422">
        <f>S51+BM51</f>
        <v>0.19439999999999999</v>
      </c>
      <c r="BY51" s="422">
        <f t="shared" si="125"/>
        <v>0</v>
      </c>
      <c r="BZ51" s="611">
        <f t="shared" si="125"/>
        <v>0.19439999999999999</v>
      </c>
      <c r="CA51" s="423"/>
      <c r="CB51" s="418"/>
      <c r="CC51" s="418"/>
      <c r="CD51" s="418"/>
      <c r="CE51" s="418"/>
      <c r="CF51" s="527"/>
    </row>
    <row r="52" spans="1:84" ht="12.95" customHeight="1" x14ac:dyDescent="0.25">
      <c r="A52" s="214">
        <v>10</v>
      </c>
      <c r="B52" s="45">
        <v>5458</v>
      </c>
      <c r="C52" s="45">
        <v>600099288</v>
      </c>
      <c r="D52" s="45">
        <v>856126</v>
      </c>
      <c r="E52" s="376" t="s">
        <v>469</v>
      </c>
      <c r="F52" s="45"/>
      <c r="G52" s="376"/>
      <c r="H52" s="183"/>
      <c r="I52" s="500">
        <f t="shared" ref="I52:BU52" si="128">SUM(I47:I51)</f>
        <v>46982112</v>
      </c>
      <c r="J52" s="497">
        <f t="shared" si="128"/>
        <v>34433199</v>
      </c>
      <c r="K52" s="497">
        <f t="shared" si="128"/>
        <v>30696776</v>
      </c>
      <c r="L52" s="497">
        <f t="shared" si="128"/>
        <v>3736423</v>
      </c>
      <c r="M52" s="497">
        <f t="shared" si="128"/>
        <v>0</v>
      </c>
      <c r="N52" s="497">
        <f t="shared" si="128"/>
        <v>0</v>
      </c>
      <c r="O52" s="497">
        <f t="shared" si="128"/>
        <v>0</v>
      </c>
      <c r="P52" s="497">
        <f t="shared" si="128"/>
        <v>11638421</v>
      </c>
      <c r="Q52" s="497">
        <f t="shared" si="128"/>
        <v>344332</v>
      </c>
      <c r="R52" s="497">
        <f t="shared" si="128"/>
        <v>566160</v>
      </c>
      <c r="S52" s="498">
        <f t="shared" si="128"/>
        <v>53.840700000000005</v>
      </c>
      <c r="T52" s="498">
        <f t="shared" si="128"/>
        <v>42.472999999999999</v>
      </c>
      <c r="U52" s="381">
        <f t="shared" si="128"/>
        <v>11.367700000000001</v>
      </c>
      <c r="V52" s="502">
        <f t="shared" si="128"/>
        <v>-70400</v>
      </c>
      <c r="W52" s="497">
        <f t="shared" si="128"/>
        <v>-25600</v>
      </c>
      <c r="X52" s="497">
        <f t="shared" si="128"/>
        <v>3176508</v>
      </c>
      <c r="Y52" s="497">
        <f t="shared" si="128"/>
        <v>0</v>
      </c>
      <c r="Z52" s="497">
        <f t="shared" si="128"/>
        <v>0</v>
      </c>
      <c r="AA52" s="497">
        <f t="shared" si="128"/>
        <v>0</v>
      </c>
      <c r="AB52" s="497">
        <f t="shared" si="128"/>
        <v>564000</v>
      </c>
      <c r="AC52" s="497">
        <f t="shared" si="128"/>
        <v>0</v>
      </c>
      <c r="AD52" s="497">
        <f t="shared" si="128"/>
        <v>0</v>
      </c>
      <c r="AE52" s="497">
        <f t="shared" si="128"/>
        <v>0</v>
      </c>
      <c r="AF52" s="497">
        <f t="shared" si="128"/>
        <v>3670108</v>
      </c>
      <c r="AG52" s="497">
        <f t="shared" si="128"/>
        <v>-25600</v>
      </c>
      <c r="AH52" s="497">
        <f t="shared" si="128"/>
        <v>3644508</v>
      </c>
      <c r="AI52" s="497">
        <f t="shared" si="128"/>
        <v>70400</v>
      </c>
      <c r="AJ52" s="497">
        <f t="shared" si="128"/>
        <v>25600</v>
      </c>
      <c r="AK52" s="497">
        <f t="shared" ref="AK52" si="129">SUM(AK47:AK51)</f>
        <v>0</v>
      </c>
      <c r="AL52" s="497">
        <f t="shared" si="128"/>
        <v>0</v>
      </c>
      <c r="AM52" s="497">
        <f t="shared" si="128"/>
        <v>0</v>
      </c>
      <c r="AN52" s="497">
        <f t="shared" si="128"/>
        <v>0</v>
      </c>
      <c r="AO52" s="497">
        <f t="shared" si="128"/>
        <v>70400</v>
      </c>
      <c r="AP52" s="497">
        <f t="shared" si="128"/>
        <v>25600</v>
      </c>
      <c r="AQ52" s="497">
        <f t="shared" si="128"/>
        <v>96000</v>
      </c>
      <c r="AR52" s="497">
        <f t="shared" si="128"/>
        <v>3740508</v>
      </c>
      <c r="AS52" s="497">
        <f t="shared" si="128"/>
        <v>0</v>
      </c>
      <c r="AT52" s="497">
        <f t="shared" si="128"/>
        <v>3740508</v>
      </c>
      <c r="AU52" s="497">
        <f t="shared" si="128"/>
        <v>1264292</v>
      </c>
      <c r="AV52" s="497">
        <f t="shared" si="128"/>
        <v>36445</v>
      </c>
      <c r="AW52" s="497">
        <f t="shared" si="128"/>
        <v>0</v>
      </c>
      <c r="AX52" s="497">
        <f t="shared" si="128"/>
        <v>0</v>
      </c>
      <c r="AY52" s="497">
        <f t="shared" si="128"/>
        <v>0</v>
      </c>
      <c r="AZ52" s="497">
        <f t="shared" si="128"/>
        <v>5041245</v>
      </c>
      <c r="BA52" s="498">
        <f t="shared" si="128"/>
        <v>-0.05</v>
      </c>
      <c r="BB52" s="498">
        <f t="shared" si="128"/>
        <v>0</v>
      </c>
      <c r="BC52" s="498">
        <f t="shared" si="128"/>
        <v>8.14</v>
      </c>
      <c r="BD52" s="498">
        <f t="shared" si="128"/>
        <v>1</v>
      </c>
      <c r="BE52" s="498">
        <f t="shared" si="128"/>
        <v>0</v>
      </c>
      <c r="BF52" s="498">
        <f t="shared" si="128"/>
        <v>0</v>
      </c>
      <c r="BG52" s="498">
        <f t="shared" si="128"/>
        <v>0</v>
      </c>
      <c r="BH52" s="498">
        <f t="shared" si="128"/>
        <v>0</v>
      </c>
      <c r="BI52" s="498">
        <f t="shared" si="128"/>
        <v>0</v>
      </c>
      <c r="BJ52" s="498">
        <f t="shared" si="128"/>
        <v>0</v>
      </c>
      <c r="BK52" s="498">
        <f t="shared" si="128"/>
        <v>9.09</v>
      </c>
      <c r="BL52" s="498">
        <f t="shared" si="128"/>
        <v>0</v>
      </c>
      <c r="BM52" s="746">
        <f t="shared" si="128"/>
        <v>9.09</v>
      </c>
      <c r="BN52" s="500">
        <f t="shared" si="128"/>
        <v>52023357</v>
      </c>
      <c r="BO52" s="497">
        <f t="shared" si="128"/>
        <v>38077707</v>
      </c>
      <c r="BP52" s="497">
        <f t="shared" si="128"/>
        <v>34366884</v>
      </c>
      <c r="BQ52" s="497">
        <f t="shared" si="128"/>
        <v>3710823</v>
      </c>
      <c r="BR52" s="497">
        <f t="shared" si="128"/>
        <v>96000</v>
      </c>
      <c r="BS52" s="497">
        <f t="shared" si="128"/>
        <v>70400</v>
      </c>
      <c r="BT52" s="497">
        <f t="shared" si="128"/>
        <v>25600</v>
      </c>
      <c r="BU52" s="497">
        <f t="shared" si="128"/>
        <v>12902713</v>
      </c>
      <c r="BV52" s="497">
        <f t="shared" ref="BV52:CF52" si="130">SUM(BV47:BV51)</f>
        <v>380777</v>
      </c>
      <c r="BW52" s="497">
        <f t="shared" si="130"/>
        <v>566160</v>
      </c>
      <c r="BX52" s="498">
        <f t="shared" si="130"/>
        <v>62.930700000000009</v>
      </c>
      <c r="BY52" s="498">
        <f t="shared" si="130"/>
        <v>51.563000000000002</v>
      </c>
      <c r="BZ52" s="746">
        <f t="shared" si="130"/>
        <v>11.367700000000001</v>
      </c>
      <c r="CA52" s="902">
        <f t="shared" si="130"/>
        <v>760272</v>
      </c>
      <c r="CB52" s="897">
        <f t="shared" si="130"/>
        <v>564000</v>
      </c>
      <c r="CC52" s="897">
        <f t="shared" si="130"/>
        <v>0</v>
      </c>
      <c r="CD52" s="897">
        <f t="shared" si="130"/>
        <v>190632</v>
      </c>
      <c r="CE52" s="897">
        <f t="shared" si="130"/>
        <v>5640</v>
      </c>
      <c r="CF52" s="842">
        <f t="shared" si="130"/>
        <v>1</v>
      </c>
    </row>
    <row r="53" spans="1:84" ht="12.95" customHeight="1" x14ac:dyDescent="0.25">
      <c r="A53" s="282">
        <v>11</v>
      </c>
      <c r="B53" s="213">
        <v>5456</v>
      </c>
      <c r="C53" s="213">
        <v>600099369</v>
      </c>
      <c r="D53" s="213">
        <v>854794</v>
      </c>
      <c r="E53" s="374" t="s">
        <v>470</v>
      </c>
      <c r="F53" s="213">
        <v>3113</v>
      </c>
      <c r="G53" s="374" t="s">
        <v>309</v>
      </c>
      <c r="H53" s="287" t="s">
        <v>271</v>
      </c>
      <c r="I53" s="423">
        <f>J53+P53+Q53+R53</f>
        <v>50626675</v>
      </c>
      <c r="J53" s="418">
        <f>K53+L53</f>
        <v>37086520</v>
      </c>
      <c r="K53" s="418">
        <v>34738089</v>
      </c>
      <c r="L53" s="418">
        <v>2348431</v>
      </c>
      <c r="M53" s="418">
        <f t="shared" ref="M53:M57" si="131">N53+O53</f>
        <v>0</v>
      </c>
      <c r="N53" s="418">
        <v>0</v>
      </c>
      <c r="O53" s="418">
        <v>0</v>
      </c>
      <c r="P53" s="68">
        <f>ROUND((J53+M53)*33.8%,0)</f>
        <v>12535244</v>
      </c>
      <c r="Q53" s="68">
        <f>ROUND(J53*1%,0)</f>
        <v>370865</v>
      </c>
      <c r="R53" s="418">
        <v>634046</v>
      </c>
      <c r="S53" s="419">
        <f t="shared" si="4"/>
        <v>55.8461</v>
      </c>
      <c r="T53" s="419">
        <v>48.499400000000001</v>
      </c>
      <c r="U53" s="527">
        <v>7.3466999999999993</v>
      </c>
      <c r="V53" s="427">
        <f t="shared" ref="V53:W57" si="132">AI53*-1</f>
        <v>-57600</v>
      </c>
      <c r="W53" s="421">
        <f t="shared" si="132"/>
        <v>-38400</v>
      </c>
      <c r="X53" s="421">
        <v>0</v>
      </c>
      <c r="Y53" s="421">
        <v>0</v>
      </c>
      <c r="Z53" s="421">
        <v>0</v>
      </c>
      <c r="AA53" s="421">
        <v>39720</v>
      </c>
      <c r="AB53" s="421">
        <v>564000</v>
      </c>
      <c r="AC53" s="421">
        <v>0</v>
      </c>
      <c r="AD53" s="421">
        <v>0</v>
      </c>
      <c r="AE53" s="421">
        <v>0</v>
      </c>
      <c r="AF53" s="421">
        <f>V53+X53+Y53+AA53+AB53+AD53</f>
        <v>546120</v>
      </c>
      <c r="AG53" s="421">
        <f>W53+Z53+AC53+AE53</f>
        <v>-38400</v>
      </c>
      <c r="AH53" s="421">
        <f>SUM(AF53:AG53)</f>
        <v>507720</v>
      </c>
      <c r="AI53" s="421">
        <f>6400+51200</f>
        <v>57600</v>
      </c>
      <c r="AJ53" s="421">
        <f>25600+12800</f>
        <v>38400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ref="AO53:AO57" si="133">AI53+AK53+AL53+AM53</f>
        <v>57600</v>
      </c>
      <c r="AP53" s="421">
        <f>AJ53+AN53</f>
        <v>38400</v>
      </c>
      <c r="AQ53" s="421">
        <f>SUM(AO53:AP53)</f>
        <v>96000</v>
      </c>
      <c r="AR53" s="421">
        <f t="shared" ref="AR53:AS57" si="134">AF53+AO53</f>
        <v>603720</v>
      </c>
      <c r="AS53" s="421">
        <f t="shared" si="134"/>
        <v>0</v>
      </c>
      <c r="AT53" s="421">
        <f>SUM(AR53:AS53)</f>
        <v>603720</v>
      </c>
      <c r="AU53" s="68">
        <f t="shared" ref="AU53:AU57" si="135">ROUND((AH53+AI53+AJ53+AK53+AL53)*33.8%,0)</f>
        <v>204057</v>
      </c>
      <c r="AV53" s="68">
        <f>ROUND(AH53*1%,0)</f>
        <v>5077</v>
      </c>
      <c r="AW53" s="421">
        <v>0</v>
      </c>
      <c r="AX53" s="421">
        <v>0</v>
      </c>
      <c r="AY53" s="421">
        <f>AW53+AX53</f>
        <v>0</v>
      </c>
      <c r="AZ53" s="421">
        <f>AT53+AU53+AV53+AY53</f>
        <v>812854</v>
      </c>
      <c r="BA53" s="422">
        <v>-7.0000000000000007E-2</v>
      </c>
      <c r="BB53" s="422">
        <v>-0.04</v>
      </c>
      <c r="BC53" s="422">
        <v>0</v>
      </c>
      <c r="BD53" s="422">
        <v>1</v>
      </c>
      <c r="BE53" s="422">
        <v>0</v>
      </c>
      <c r="BF53" s="422">
        <v>0</v>
      </c>
      <c r="BG53" s="422">
        <v>0</v>
      </c>
      <c r="BH53" s="422">
        <v>0.06</v>
      </c>
      <c r="BI53" s="422">
        <v>0</v>
      </c>
      <c r="BJ53" s="422">
        <v>0</v>
      </c>
      <c r="BK53" s="422">
        <f>BA53+BC53+BD53+BF53+BH53+BI53</f>
        <v>0.99</v>
      </c>
      <c r="BL53" s="422">
        <f>BB53+BE53+BG53+BJ53</f>
        <v>-0.04</v>
      </c>
      <c r="BM53" s="611">
        <f>SUM(BK53:BL53)</f>
        <v>0.95</v>
      </c>
      <c r="BN53" s="428">
        <f>I53+AZ53</f>
        <v>51439529</v>
      </c>
      <c r="BO53" s="421">
        <f>J53+AH53</f>
        <v>37594240</v>
      </c>
      <c r="BP53" s="421">
        <f t="shared" ref="BP53:BQ57" si="136">K53+AF53</f>
        <v>35284209</v>
      </c>
      <c r="BQ53" s="421">
        <f t="shared" si="136"/>
        <v>2310031</v>
      </c>
      <c r="BR53" s="421">
        <f>M53+AQ53</f>
        <v>96000</v>
      </c>
      <c r="BS53" s="421">
        <f t="shared" ref="BS53:BT57" si="137">N53+AO53</f>
        <v>57600</v>
      </c>
      <c r="BT53" s="421">
        <f t="shared" si="137"/>
        <v>38400</v>
      </c>
      <c r="BU53" s="421">
        <f t="shared" ref="BU53:BV57" si="138">P53+AU53</f>
        <v>12739301</v>
      </c>
      <c r="BV53" s="421">
        <f t="shared" si="138"/>
        <v>375942</v>
      </c>
      <c r="BW53" s="421">
        <f>R53+AY53</f>
        <v>634046</v>
      </c>
      <c r="BX53" s="422">
        <f>S53+BM53</f>
        <v>56.796100000000003</v>
      </c>
      <c r="BY53" s="422">
        <f t="shared" ref="BY53:BZ57" si="139">T53+BK53</f>
        <v>49.489400000000003</v>
      </c>
      <c r="BZ53" s="611">
        <f t="shared" si="139"/>
        <v>7.3066999999999993</v>
      </c>
      <c r="CA53" s="423">
        <v>760272</v>
      </c>
      <c r="CB53" s="418">
        <v>564000</v>
      </c>
      <c r="CC53" s="418">
        <v>0</v>
      </c>
      <c r="CD53" s="418">
        <v>190632</v>
      </c>
      <c r="CE53" s="418">
        <v>5640</v>
      </c>
      <c r="CF53" s="527">
        <v>1</v>
      </c>
    </row>
    <row r="54" spans="1:84" ht="12.95" customHeight="1" x14ac:dyDescent="0.25">
      <c r="A54" s="282">
        <v>11</v>
      </c>
      <c r="B54" s="213">
        <v>5456</v>
      </c>
      <c r="C54" s="213">
        <v>600099369</v>
      </c>
      <c r="D54" s="213">
        <v>854794</v>
      </c>
      <c r="E54" s="212" t="s">
        <v>470</v>
      </c>
      <c r="F54" s="213">
        <v>3113</v>
      </c>
      <c r="G54" s="325" t="s">
        <v>292</v>
      </c>
      <c r="H54" s="287" t="s">
        <v>272</v>
      </c>
      <c r="I54" s="423">
        <f>J54+P54+Q54+R54</f>
        <v>0</v>
      </c>
      <c r="J54" s="418">
        <f>K54+L54</f>
        <v>0</v>
      </c>
      <c r="K54" s="418">
        <v>0</v>
      </c>
      <c r="L54" s="418">
        <v>0</v>
      </c>
      <c r="M54" s="418">
        <f t="shared" si="131"/>
        <v>0</v>
      </c>
      <c r="N54" s="418">
        <v>0</v>
      </c>
      <c r="O54" s="418">
        <v>0</v>
      </c>
      <c r="P54" s="68">
        <f t="shared" ref="P54" si="140">ROUND((J54+M54)*33.8%,0)</f>
        <v>0</v>
      </c>
      <c r="Q54" s="68">
        <f t="shared" ref="Q54" si="141">ROUND(J54*1%,0)</f>
        <v>0</v>
      </c>
      <c r="R54" s="418">
        <v>0</v>
      </c>
      <c r="S54" s="419">
        <f t="shared" si="4"/>
        <v>0</v>
      </c>
      <c r="T54" s="419">
        <v>0</v>
      </c>
      <c r="U54" s="527">
        <v>0</v>
      </c>
      <c r="V54" s="427">
        <f t="shared" si="132"/>
        <v>0</v>
      </c>
      <c r="W54" s="421">
        <f t="shared" si="132"/>
        <v>0</v>
      </c>
      <c r="X54" s="421">
        <v>3931294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>V54+X54+Y54+AA54+AB54+AD54</f>
        <v>3931294</v>
      </c>
      <c r="AG54" s="421">
        <f>W54+Z54+AC54+AE54</f>
        <v>0</v>
      </c>
      <c r="AH54" s="421">
        <f>SUM(AF54:AG54)</f>
        <v>3931294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33"/>
        <v>0</v>
      </c>
      <c r="AP54" s="421">
        <f>AJ54+AN54</f>
        <v>0</v>
      </c>
      <c r="AQ54" s="421">
        <f>SUM(AO54:AP54)</f>
        <v>0</v>
      </c>
      <c r="AR54" s="421">
        <f t="shared" si="134"/>
        <v>3931294</v>
      </c>
      <c r="AS54" s="421">
        <f t="shared" si="134"/>
        <v>0</v>
      </c>
      <c r="AT54" s="421">
        <f>SUM(AR54:AS54)</f>
        <v>3931294</v>
      </c>
      <c r="AU54" s="68">
        <f t="shared" si="135"/>
        <v>1328777</v>
      </c>
      <c r="AV54" s="68">
        <f>ROUND(AH54*1%,0)</f>
        <v>39313</v>
      </c>
      <c r="AW54" s="421">
        <v>1000</v>
      </c>
      <c r="AX54" s="421">
        <v>0</v>
      </c>
      <c r="AY54" s="421">
        <f>AW54+AX54</f>
        <v>1000</v>
      </c>
      <c r="AZ54" s="421">
        <f>AT54+AU54+AV54+AY54</f>
        <v>5300384</v>
      </c>
      <c r="BA54" s="422">
        <v>0</v>
      </c>
      <c r="BB54" s="422">
        <v>0</v>
      </c>
      <c r="BC54" s="422">
        <v>10.39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10.39</v>
      </c>
      <c r="BL54" s="422">
        <f>BB54+BE54+BG54+BJ54</f>
        <v>0</v>
      </c>
      <c r="BM54" s="611">
        <f>SUM(BK54:BL54)</f>
        <v>10.39</v>
      </c>
      <c r="BN54" s="428">
        <f>I54+AZ54</f>
        <v>5300384</v>
      </c>
      <c r="BO54" s="421">
        <f>J54+AH54</f>
        <v>3931294</v>
      </c>
      <c r="BP54" s="421">
        <f t="shared" si="136"/>
        <v>3931294</v>
      </c>
      <c r="BQ54" s="421">
        <f t="shared" si="136"/>
        <v>0</v>
      </c>
      <c r="BR54" s="421">
        <f>M54+AQ54</f>
        <v>0</v>
      </c>
      <c r="BS54" s="421">
        <f t="shared" si="137"/>
        <v>0</v>
      </c>
      <c r="BT54" s="421">
        <f t="shared" si="137"/>
        <v>0</v>
      </c>
      <c r="BU54" s="421">
        <f t="shared" si="138"/>
        <v>1328777</v>
      </c>
      <c r="BV54" s="421">
        <f t="shared" si="138"/>
        <v>39313</v>
      </c>
      <c r="BW54" s="421">
        <f>R54+AY54</f>
        <v>1000</v>
      </c>
      <c r="BX54" s="422">
        <f>S54+BM54</f>
        <v>10.39</v>
      </c>
      <c r="BY54" s="422">
        <f t="shared" si="139"/>
        <v>10.39</v>
      </c>
      <c r="BZ54" s="611">
        <f t="shared" si="139"/>
        <v>0</v>
      </c>
      <c r="CA54" s="423"/>
      <c r="CB54" s="418"/>
      <c r="CC54" s="418"/>
      <c r="CD54" s="418"/>
      <c r="CE54" s="418"/>
      <c r="CF54" s="527"/>
    </row>
    <row r="55" spans="1:84" ht="12.95" customHeight="1" x14ac:dyDescent="0.25">
      <c r="A55" s="282">
        <v>11</v>
      </c>
      <c r="B55" s="213">
        <v>5456</v>
      </c>
      <c r="C55" s="213">
        <v>600099369</v>
      </c>
      <c r="D55" s="213">
        <v>854794</v>
      </c>
      <c r="E55" s="373" t="s">
        <v>470</v>
      </c>
      <c r="F55" s="384">
        <v>3141</v>
      </c>
      <c r="G55" s="375" t="s">
        <v>295</v>
      </c>
      <c r="H55" s="287" t="s">
        <v>272</v>
      </c>
      <c r="I55" s="423">
        <f>J55+P55+Q55+R55</f>
        <v>4013010</v>
      </c>
      <c r="J55" s="418">
        <f>K55+L55</f>
        <v>2950164</v>
      </c>
      <c r="K55" s="418">
        <v>0</v>
      </c>
      <c r="L55" s="418">
        <v>2950164</v>
      </c>
      <c r="M55" s="418">
        <f t="shared" si="131"/>
        <v>0</v>
      </c>
      <c r="N55" s="418">
        <v>0</v>
      </c>
      <c r="O55" s="418">
        <v>0</v>
      </c>
      <c r="P55" s="68">
        <f>ROUND((J55+M55)*33.8%,0)</f>
        <v>997155</v>
      </c>
      <c r="Q55" s="68">
        <f>ROUND(J55*1%,0)</f>
        <v>29502</v>
      </c>
      <c r="R55" s="418">
        <v>36189</v>
      </c>
      <c r="S55" s="419">
        <f t="shared" si="4"/>
        <v>8.8466000000000005</v>
      </c>
      <c r="T55" s="419">
        <v>0</v>
      </c>
      <c r="U55" s="527">
        <v>8.8466000000000005</v>
      </c>
      <c r="V55" s="427">
        <f t="shared" si="132"/>
        <v>0</v>
      </c>
      <c r="W55" s="421">
        <f t="shared" si="132"/>
        <v>-6400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>V55+X55+Y55+AA55+AB55+AD55</f>
        <v>0</v>
      </c>
      <c r="AG55" s="421">
        <f>W55+Z55+AC55+AE55</f>
        <v>-6400</v>
      </c>
      <c r="AH55" s="421">
        <f>SUM(AF55:AG55)</f>
        <v>-6400</v>
      </c>
      <c r="AI55" s="421">
        <v>0</v>
      </c>
      <c r="AJ55" s="421">
        <v>6400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33"/>
        <v>0</v>
      </c>
      <c r="AP55" s="421">
        <f>AJ55+AN55</f>
        <v>6400</v>
      </c>
      <c r="AQ55" s="421">
        <f>SUM(AO55:AP55)</f>
        <v>6400</v>
      </c>
      <c r="AR55" s="421">
        <f t="shared" si="134"/>
        <v>0</v>
      </c>
      <c r="AS55" s="421">
        <f t="shared" si="134"/>
        <v>0</v>
      </c>
      <c r="AT55" s="421">
        <f>SUM(AR55:AS55)</f>
        <v>0</v>
      </c>
      <c r="AU55" s="68">
        <f t="shared" si="135"/>
        <v>0</v>
      </c>
      <c r="AV55" s="68">
        <f>ROUND(AH55*1%,0)</f>
        <v>-64</v>
      </c>
      <c r="AW55" s="421">
        <v>0</v>
      </c>
      <c r="AX55" s="421">
        <v>0</v>
      </c>
      <c r="AY55" s="421">
        <f>AW55+AX55</f>
        <v>0</v>
      </c>
      <c r="AZ55" s="421">
        <f>AT55+AU55+AV55+AY55</f>
        <v>-64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>BA55+BC55+BD55+BF55+BH55+BI55</f>
        <v>0</v>
      </c>
      <c r="BL55" s="422">
        <f>BB55+BE55+BG55+BJ55</f>
        <v>0</v>
      </c>
      <c r="BM55" s="611">
        <f>SUM(BK55:BL55)</f>
        <v>0</v>
      </c>
      <c r="BN55" s="428">
        <f>I55+AZ55</f>
        <v>4012946</v>
      </c>
      <c r="BO55" s="421">
        <f>J55+AH55</f>
        <v>2943764</v>
      </c>
      <c r="BP55" s="421">
        <f t="shared" si="136"/>
        <v>0</v>
      </c>
      <c r="BQ55" s="421">
        <f t="shared" si="136"/>
        <v>2943764</v>
      </c>
      <c r="BR55" s="421">
        <f>M55+AQ55</f>
        <v>6400</v>
      </c>
      <c r="BS55" s="421">
        <f t="shared" si="137"/>
        <v>0</v>
      </c>
      <c r="BT55" s="421">
        <f t="shared" si="137"/>
        <v>6400</v>
      </c>
      <c r="BU55" s="421">
        <f t="shared" si="138"/>
        <v>997155</v>
      </c>
      <c r="BV55" s="421">
        <f t="shared" si="138"/>
        <v>29438</v>
      </c>
      <c r="BW55" s="421">
        <f>R55+AY55</f>
        <v>36189</v>
      </c>
      <c r="BX55" s="422">
        <f>S55+BM55</f>
        <v>8.8466000000000005</v>
      </c>
      <c r="BY55" s="422">
        <f t="shared" si="139"/>
        <v>0</v>
      </c>
      <c r="BZ55" s="611">
        <f t="shared" si="139"/>
        <v>8.8466000000000005</v>
      </c>
      <c r="CA55" s="423"/>
      <c r="CB55" s="418"/>
      <c r="CC55" s="418"/>
      <c r="CD55" s="418"/>
      <c r="CE55" s="418"/>
      <c r="CF55" s="527"/>
    </row>
    <row r="56" spans="1:84" ht="12.95" customHeight="1" x14ac:dyDescent="0.25">
      <c r="A56" s="282">
        <v>11</v>
      </c>
      <c r="B56" s="213">
        <v>5456</v>
      </c>
      <c r="C56" s="213">
        <v>600099369</v>
      </c>
      <c r="D56" s="213">
        <v>854794</v>
      </c>
      <c r="E56" s="212" t="s">
        <v>470</v>
      </c>
      <c r="F56" s="213">
        <v>3143</v>
      </c>
      <c r="G56" s="325" t="s">
        <v>596</v>
      </c>
      <c r="H56" s="287" t="s">
        <v>271</v>
      </c>
      <c r="I56" s="423">
        <f>J56+P56+Q56+R56</f>
        <v>3675551</v>
      </c>
      <c r="J56" s="418">
        <f>K56+L56</f>
        <v>2726670</v>
      </c>
      <c r="K56" s="418">
        <v>2726670</v>
      </c>
      <c r="L56" s="418">
        <v>0</v>
      </c>
      <c r="M56" s="418">
        <f t="shared" si="131"/>
        <v>0</v>
      </c>
      <c r="N56" s="418">
        <v>0</v>
      </c>
      <c r="O56" s="418">
        <v>0</v>
      </c>
      <c r="P56" s="68">
        <f>ROUND((J56+M56)*33.8%,0)</f>
        <v>921614</v>
      </c>
      <c r="Q56" s="68">
        <f>ROUND(J56*1%,0)</f>
        <v>27267</v>
      </c>
      <c r="R56" s="418">
        <v>0</v>
      </c>
      <c r="S56" s="419">
        <f t="shared" si="4"/>
        <v>5.2784000000000004</v>
      </c>
      <c r="T56" s="419">
        <v>5.2784000000000004</v>
      </c>
      <c r="U56" s="527">
        <v>0</v>
      </c>
      <c r="V56" s="427">
        <f t="shared" si="132"/>
        <v>0</v>
      </c>
      <c r="W56" s="421">
        <f t="shared" si="132"/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>V56+X56+Y56+AA56+AB56+AD56</f>
        <v>0</v>
      </c>
      <c r="AG56" s="421">
        <f>W56+Z56+AC56+AE56</f>
        <v>0</v>
      </c>
      <c r="AH56" s="421">
        <f>SUM(AF56:AG56)</f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33"/>
        <v>0</v>
      </c>
      <c r="AP56" s="421">
        <f>AJ56+AN56</f>
        <v>0</v>
      </c>
      <c r="AQ56" s="421">
        <f>SUM(AO56:AP56)</f>
        <v>0</v>
      </c>
      <c r="AR56" s="421">
        <f t="shared" si="134"/>
        <v>0</v>
      </c>
      <c r="AS56" s="421">
        <f t="shared" si="134"/>
        <v>0</v>
      </c>
      <c r="AT56" s="421">
        <f>SUM(AR56:AS56)</f>
        <v>0</v>
      </c>
      <c r="AU56" s="68">
        <f t="shared" si="135"/>
        <v>0</v>
      </c>
      <c r="AV56" s="68">
        <f>ROUND(AH56*1%,0)</f>
        <v>0</v>
      </c>
      <c r="AW56" s="421">
        <v>0</v>
      </c>
      <c r="AX56" s="421">
        <v>0</v>
      </c>
      <c r="AY56" s="421">
        <f>AW56+AX56</f>
        <v>0</v>
      </c>
      <c r="AZ56" s="421">
        <f>AT56+AU56+AV56+AY56</f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>BA56+BC56+BD56+BF56+BH56+BI56</f>
        <v>0</v>
      </c>
      <c r="BL56" s="422">
        <f>BB56+BE56+BG56+BJ56</f>
        <v>0</v>
      </c>
      <c r="BM56" s="611">
        <f>SUM(BK56:BL56)</f>
        <v>0</v>
      </c>
      <c r="BN56" s="428">
        <f>I56+AZ56</f>
        <v>3675551</v>
      </c>
      <c r="BO56" s="421">
        <f>J56+AH56</f>
        <v>2726670</v>
      </c>
      <c r="BP56" s="421">
        <f t="shared" si="136"/>
        <v>2726670</v>
      </c>
      <c r="BQ56" s="421">
        <f t="shared" si="136"/>
        <v>0</v>
      </c>
      <c r="BR56" s="421">
        <f>M56+AQ56</f>
        <v>0</v>
      </c>
      <c r="BS56" s="421">
        <f t="shared" si="137"/>
        <v>0</v>
      </c>
      <c r="BT56" s="421">
        <f t="shared" si="137"/>
        <v>0</v>
      </c>
      <c r="BU56" s="421">
        <f t="shared" si="138"/>
        <v>921614</v>
      </c>
      <c r="BV56" s="421">
        <f t="shared" si="138"/>
        <v>27267</v>
      </c>
      <c r="BW56" s="421">
        <f>R56+AY56</f>
        <v>0</v>
      </c>
      <c r="BX56" s="422">
        <f>S56+BM56</f>
        <v>5.2784000000000004</v>
      </c>
      <c r="BY56" s="422">
        <f t="shared" si="139"/>
        <v>5.2784000000000004</v>
      </c>
      <c r="BZ56" s="611">
        <f t="shared" si="139"/>
        <v>0</v>
      </c>
      <c r="CA56" s="423"/>
      <c r="CB56" s="418"/>
      <c r="CC56" s="418"/>
      <c r="CD56" s="418"/>
      <c r="CE56" s="418"/>
      <c r="CF56" s="527"/>
    </row>
    <row r="57" spans="1:84" ht="12.95" customHeight="1" x14ac:dyDescent="0.25">
      <c r="A57" s="282">
        <v>11</v>
      </c>
      <c r="B57" s="213">
        <v>5456</v>
      </c>
      <c r="C57" s="213">
        <v>600099369</v>
      </c>
      <c r="D57" s="213">
        <v>854794</v>
      </c>
      <c r="E57" s="212" t="s">
        <v>470</v>
      </c>
      <c r="F57" s="213">
        <v>3143</v>
      </c>
      <c r="G57" s="325" t="s">
        <v>597</v>
      </c>
      <c r="H57" s="287" t="s">
        <v>272</v>
      </c>
      <c r="I57" s="423">
        <f>J57+P57+Q57+R57</f>
        <v>76828</v>
      </c>
      <c r="J57" s="418">
        <f>K57+L57</f>
        <v>54991</v>
      </c>
      <c r="K57" s="418">
        <v>0</v>
      </c>
      <c r="L57" s="418">
        <v>54991</v>
      </c>
      <c r="M57" s="418">
        <f t="shared" si="131"/>
        <v>0</v>
      </c>
      <c r="N57" s="418">
        <v>0</v>
      </c>
      <c r="O57" s="418">
        <v>0</v>
      </c>
      <c r="P57" s="68">
        <f>ROUND((J57+M57)*33.8%,0)</f>
        <v>18587</v>
      </c>
      <c r="Q57" s="68">
        <f>ROUND(J57*1%,0)</f>
        <v>550</v>
      </c>
      <c r="R57" s="418">
        <v>2700</v>
      </c>
      <c r="S57" s="419">
        <f t="shared" si="4"/>
        <v>0.20830000000000001</v>
      </c>
      <c r="T57" s="419">
        <v>0</v>
      </c>
      <c r="U57" s="527">
        <v>0.20830000000000001</v>
      </c>
      <c r="V57" s="427">
        <f t="shared" si="132"/>
        <v>0</v>
      </c>
      <c r="W57" s="421">
        <f t="shared" si="132"/>
        <v>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>V57+X57+Y57+AA57+AB57+AD57</f>
        <v>0</v>
      </c>
      <c r="AG57" s="421">
        <f>W57+Z57+AC57+AE57</f>
        <v>0</v>
      </c>
      <c r="AH57" s="421">
        <f>SUM(AF57:AG57)</f>
        <v>0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33"/>
        <v>0</v>
      </c>
      <c r="AP57" s="421">
        <f>AJ57+AN57</f>
        <v>0</v>
      </c>
      <c r="AQ57" s="421">
        <f>SUM(AO57:AP57)</f>
        <v>0</v>
      </c>
      <c r="AR57" s="421">
        <f t="shared" si="134"/>
        <v>0</v>
      </c>
      <c r="AS57" s="421">
        <f t="shared" si="134"/>
        <v>0</v>
      </c>
      <c r="AT57" s="421">
        <f>SUM(AR57:AS57)</f>
        <v>0</v>
      </c>
      <c r="AU57" s="68">
        <f t="shared" si="135"/>
        <v>0</v>
      </c>
      <c r="AV57" s="68">
        <f>ROUND(AH57*1%,0)</f>
        <v>0</v>
      </c>
      <c r="AW57" s="421">
        <v>0</v>
      </c>
      <c r="AX57" s="421">
        <v>0</v>
      </c>
      <c r="AY57" s="421">
        <f>AW57+AX57</f>
        <v>0</v>
      </c>
      <c r="AZ57" s="421">
        <f>AT57+AU57+AV57+AY57</f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>BA57+BC57+BD57+BF57+BH57+BI57</f>
        <v>0</v>
      </c>
      <c r="BL57" s="422">
        <f>BB57+BE57+BG57+BJ57</f>
        <v>0</v>
      </c>
      <c r="BM57" s="611">
        <f>SUM(BK57:BL57)</f>
        <v>0</v>
      </c>
      <c r="BN57" s="428">
        <f>I57+AZ57</f>
        <v>76828</v>
      </c>
      <c r="BO57" s="421">
        <f>J57+AH57</f>
        <v>54991</v>
      </c>
      <c r="BP57" s="421">
        <f t="shared" si="136"/>
        <v>0</v>
      </c>
      <c r="BQ57" s="421">
        <f t="shared" si="136"/>
        <v>54991</v>
      </c>
      <c r="BR57" s="421">
        <f>M57+AQ57</f>
        <v>0</v>
      </c>
      <c r="BS57" s="421">
        <f t="shared" si="137"/>
        <v>0</v>
      </c>
      <c r="BT57" s="421">
        <f t="shared" si="137"/>
        <v>0</v>
      </c>
      <c r="BU57" s="421">
        <f t="shared" si="138"/>
        <v>18587</v>
      </c>
      <c r="BV57" s="421">
        <f t="shared" si="138"/>
        <v>550</v>
      </c>
      <c r="BW57" s="421">
        <f>R57+AY57</f>
        <v>2700</v>
      </c>
      <c r="BX57" s="422">
        <f>S57+BM57</f>
        <v>0.20830000000000001</v>
      </c>
      <c r="BY57" s="422">
        <f t="shared" si="139"/>
        <v>0</v>
      </c>
      <c r="BZ57" s="611">
        <f t="shared" si="139"/>
        <v>0.20830000000000001</v>
      </c>
      <c r="CA57" s="423"/>
      <c r="CB57" s="418"/>
      <c r="CC57" s="418"/>
      <c r="CD57" s="418"/>
      <c r="CE57" s="418"/>
      <c r="CF57" s="527"/>
    </row>
    <row r="58" spans="1:84" ht="12.95" customHeight="1" x14ac:dyDescent="0.25">
      <c r="A58" s="214">
        <v>11</v>
      </c>
      <c r="B58" s="48">
        <v>5456</v>
      </c>
      <c r="C58" s="48">
        <v>600099369</v>
      </c>
      <c r="D58" s="48">
        <v>854794</v>
      </c>
      <c r="E58" s="376" t="s">
        <v>471</v>
      </c>
      <c r="F58" s="48"/>
      <c r="G58" s="389"/>
      <c r="H58" s="186"/>
      <c r="I58" s="472">
        <f t="shared" ref="I58:BU58" si="142">SUM(I53:I57)</f>
        <v>58392064</v>
      </c>
      <c r="J58" s="468">
        <f t="shared" si="142"/>
        <v>42818345</v>
      </c>
      <c r="K58" s="468">
        <f t="shared" si="142"/>
        <v>37464759</v>
      </c>
      <c r="L58" s="468">
        <f t="shared" si="142"/>
        <v>5353586</v>
      </c>
      <c r="M58" s="468">
        <f t="shared" si="142"/>
        <v>0</v>
      </c>
      <c r="N58" s="468">
        <f t="shared" si="142"/>
        <v>0</v>
      </c>
      <c r="O58" s="468">
        <f t="shared" si="142"/>
        <v>0</v>
      </c>
      <c r="P58" s="468">
        <f t="shared" si="142"/>
        <v>14472600</v>
      </c>
      <c r="Q58" s="468">
        <f t="shared" si="142"/>
        <v>428184</v>
      </c>
      <c r="R58" s="468">
        <f t="shared" si="142"/>
        <v>672935</v>
      </c>
      <c r="S58" s="469">
        <f t="shared" si="142"/>
        <v>70.179400000000001</v>
      </c>
      <c r="T58" s="469">
        <f t="shared" si="142"/>
        <v>53.777799999999999</v>
      </c>
      <c r="U58" s="281">
        <f t="shared" si="142"/>
        <v>16.401600000000002</v>
      </c>
      <c r="V58" s="474">
        <f t="shared" si="142"/>
        <v>-57600</v>
      </c>
      <c r="W58" s="468">
        <f t="shared" si="142"/>
        <v>-44800</v>
      </c>
      <c r="X58" s="468">
        <f t="shared" si="142"/>
        <v>3931294</v>
      </c>
      <c r="Y58" s="468">
        <f t="shared" si="142"/>
        <v>0</v>
      </c>
      <c r="Z58" s="468">
        <f t="shared" si="142"/>
        <v>0</v>
      </c>
      <c r="AA58" s="468">
        <f t="shared" si="142"/>
        <v>39720</v>
      </c>
      <c r="AB58" s="468">
        <f t="shared" si="142"/>
        <v>564000</v>
      </c>
      <c r="AC58" s="468">
        <f t="shared" si="142"/>
        <v>0</v>
      </c>
      <c r="AD58" s="468">
        <f t="shared" si="142"/>
        <v>0</v>
      </c>
      <c r="AE58" s="468">
        <f t="shared" si="142"/>
        <v>0</v>
      </c>
      <c r="AF58" s="468">
        <f t="shared" si="142"/>
        <v>4477414</v>
      </c>
      <c r="AG58" s="468">
        <f t="shared" si="142"/>
        <v>-44800</v>
      </c>
      <c r="AH58" s="468">
        <f t="shared" si="142"/>
        <v>4432614</v>
      </c>
      <c r="AI58" s="468">
        <f t="shared" si="142"/>
        <v>57600</v>
      </c>
      <c r="AJ58" s="468">
        <f t="shared" si="142"/>
        <v>44800</v>
      </c>
      <c r="AK58" s="468">
        <f t="shared" ref="AK58" si="143">SUM(AK53:AK57)</f>
        <v>0</v>
      </c>
      <c r="AL58" s="468">
        <f t="shared" si="142"/>
        <v>0</v>
      </c>
      <c r="AM58" s="468">
        <f t="shared" si="142"/>
        <v>0</v>
      </c>
      <c r="AN58" s="468">
        <f t="shared" si="142"/>
        <v>0</v>
      </c>
      <c r="AO58" s="468">
        <f t="shared" si="142"/>
        <v>57600</v>
      </c>
      <c r="AP58" s="468">
        <f t="shared" si="142"/>
        <v>44800</v>
      </c>
      <c r="AQ58" s="468">
        <f t="shared" si="142"/>
        <v>102400</v>
      </c>
      <c r="AR58" s="468">
        <f t="shared" si="142"/>
        <v>4535014</v>
      </c>
      <c r="AS58" s="468">
        <f t="shared" si="142"/>
        <v>0</v>
      </c>
      <c r="AT58" s="468">
        <f t="shared" si="142"/>
        <v>4535014</v>
      </c>
      <c r="AU58" s="468">
        <f t="shared" si="142"/>
        <v>1532834</v>
      </c>
      <c r="AV58" s="468">
        <f t="shared" si="142"/>
        <v>44326</v>
      </c>
      <c r="AW58" s="468">
        <f t="shared" si="142"/>
        <v>1000</v>
      </c>
      <c r="AX58" s="468">
        <f t="shared" si="142"/>
        <v>0</v>
      </c>
      <c r="AY58" s="468">
        <f t="shared" si="142"/>
        <v>1000</v>
      </c>
      <c r="AZ58" s="468">
        <f t="shared" si="142"/>
        <v>6113174</v>
      </c>
      <c r="BA58" s="469">
        <f t="shared" si="142"/>
        <v>-7.0000000000000007E-2</v>
      </c>
      <c r="BB58" s="469">
        <f t="shared" si="142"/>
        <v>-0.04</v>
      </c>
      <c r="BC58" s="469">
        <f t="shared" si="142"/>
        <v>10.39</v>
      </c>
      <c r="BD58" s="469">
        <f t="shared" si="142"/>
        <v>1</v>
      </c>
      <c r="BE58" s="469">
        <f t="shared" si="142"/>
        <v>0</v>
      </c>
      <c r="BF58" s="469">
        <f t="shared" si="142"/>
        <v>0</v>
      </c>
      <c r="BG58" s="469">
        <f t="shared" si="142"/>
        <v>0</v>
      </c>
      <c r="BH58" s="469">
        <f t="shared" si="142"/>
        <v>0.06</v>
      </c>
      <c r="BI58" s="469">
        <f t="shared" si="142"/>
        <v>0</v>
      </c>
      <c r="BJ58" s="469">
        <f t="shared" si="142"/>
        <v>0</v>
      </c>
      <c r="BK58" s="469">
        <f t="shared" si="142"/>
        <v>11.38</v>
      </c>
      <c r="BL58" s="469">
        <f t="shared" si="142"/>
        <v>-0.04</v>
      </c>
      <c r="BM58" s="562">
        <f t="shared" si="142"/>
        <v>11.34</v>
      </c>
      <c r="BN58" s="472">
        <f t="shared" si="142"/>
        <v>64505238</v>
      </c>
      <c r="BO58" s="468">
        <f t="shared" si="142"/>
        <v>47250959</v>
      </c>
      <c r="BP58" s="468">
        <f t="shared" si="142"/>
        <v>41942173</v>
      </c>
      <c r="BQ58" s="468">
        <f t="shared" si="142"/>
        <v>5308786</v>
      </c>
      <c r="BR58" s="468">
        <f t="shared" si="142"/>
        <v>102400</v>
      </c>
      <c r="BS58" s="468">
        <f t="shared" si="142"/>
        <v>57600</v>
      </c>
      <c r="BT58" s="468">
        <f t="shared" si="142"/>
        <v>44800</v>
      </c>
      <c r="BU58" s="468">
        <f t="shared" si="142"/>
        <v>16005434</v>
      </c>
      <c r="BV58" s="468">
        <f t="shared" ref="BV58:CF58" si="144">SUM(BV53:BV57)</f>
        <v>472510</v>
      </c>
      <c r="BW58" s="468">
        <f t="shared" si="144"/>
        <v>673935</v>
      </c>
      <c r="BX58" s="469">
        <f t="shared" si="144"/>
        <v>81.519400000000005</v>
      </c>
      <c r="BY58" s="469">
        <f t="shared" si="144"/>
        <v>65.157800000000009</v>
      </c>
      <c r="BZ58" s="562">
        <f t="shared" si="144"/>
        <v>16.361600000000003</v>
      </c>
      <c r="CA58" s="873">
        <f t="shared" si="144"/>
        <v>760272</v>
      </c>
      <c r="CB58" s="850">
        <f t="shared" si="144"/>
        <v>564000</v>
      </c>
      <c r="CC58" s="850">
        <f t="shared" si="144"/>
        <v>0</v>
      </c>
      <c r="CD58" s="850">
        <f t="shared" si="144"/>
        <v>190632</v>
      </c>
      <c r="CE58" s="850">
        <f t="shared" si="144"/>
        <v>5640</v>
      </c>
      <c r="CF58" s="841">
        <f t="shared" si="144"/>
        <v>1</v>
      </c>
    </row>
    <row r="59" spans="1:84" ht="12.95" customHeight="1" x14ac:dyDescent="0.25">
      <c r="A59" s="282">
        <v>12</v>
      </c>
      <c r="B59" s="213">
        <v>5481</v>
      </c>
      <c r="C59" s="213">
        <v>600099075</v>
      </c>
      <c r="D59" s="213">
        <v>72742739</v>
      </c>
      <c r="E59" s="374" t="s">
        <v>472</v>
      </c>
      <c r="F59" s="213">
        <v>3117</v>
      </c>
      <c r="G59" s="374" t="s">
        <v>309</v>
      </c>
      <c r="H59" s="287" t="s">
        <v>271</v>
      </c>
      <c r="I59" s="423">
        <f>J59+P59+Q59+R59</f>
        <v>6330587</v>
      </c>
      <c r="J59" s="418">
        <f>K59+L59</f>
        <v>4605097</v>
      </c>
      <c r="K59" s="418">
        <v>4113811</v>
      </c>
      <c r="L59" s="418">
        <v>491286</v>
      </c>
      <c r="M59" s="418">
        <f t="shared" ref="M59:M63" si="145">N59+O59</f>
        <v>0</v>
      </c>
      <c r="N59" s="418">
        <v>0</v>
      </c>
      <c r="O59" s="418">
        <v>0</v>
      </c>
      <c r="P59" s="68">
        <f>ROUND((J59+M59)*33.8%,0)-1</f>
        <v>1556522</v>
      </c>
      <c r="Q59" s="68">
        <f>ROUND(J59*1%,0)</f>
        <v>46051</v>
      </c>
      <c r="R59" s="418">
        <v>122917</v>
      </c>
      <c r="S59" s="419">
        <f t="shared" si="4"/>
        <v>7.3544999999999998</v>
      </c>
      <c r="T59" s="419">
        <v>5.9546999999999999</v>
      </c>
      <c r="U59" s="527">
        <v>1.3997999999999999</v>
      </c>
      <c r="V59" s="427">
        <f t="shared" ref="V59:W63" si="146">AI59*-1</f>
        <v>-27968</v>
      </c>
      <c r="W59" s="421">
        <f t="shared" si="146"/>
        <v>-7680</v>
      </c>
      <c r="X59" s="421">
        <v>0</v>
      </c>
      <c r="Y59" s="421">
        <v>0</v>
      </c>
      <c r="Z59" s="421">
        <v>0</v>
      </c>
      <c r="AA59" s="421">
        <v>0</v>
      </c>
      <c r="AB59" s="421">
        <v>112800</v>
      </c>
      <c r="AC59" s="421">
        <v>0</v>
      </c>
      <c r="AD59" s="421">
        <v>0</v>
      </c>
      <c r="AE59" s="421">
        <v>0</v>
      </c>
      <c r="AF59" s="421">
        <f>V59+X59+Y59+AA59+AB59+AD59</f>
        <v>84832</v>
      </c>
      <c r="AG59" s="421">
        <f>W59+Z59+AC59+AE59</f>
        <v>-7680</v>
      </c>
      <c r="AH59" s="421">
        <f>SUM(AF59:AG59)</f>
        <v>77152</v>
      </c>
      <c r="AI59" s="421">
        <f>22400+5568</f>
        <v>27968</v>
      </c>
      <c r="AJ59" s="421">
        <v>7680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ref="AO59:AO63" si="147">AI59+AK59+AL59+AM59</f>
        <v>27968</v>
      </c>
      <c r="AP59" s="421">
        <f>AJ59+AN59</f>
        <v>7680</v>
      </c>
      <c r="AQ59" s="421">
        <f>SUM(AO59:AP59)</f>
        <v>35648</v>
      </c>
      <c r="AR59" s="421">
        <f t="shared" ref="AR59:AS63" si="148">AF59+AO59</f>
        <v>112800</v>
      </c>
      <c r="AS59" s="421">
        <f t="shared" si="148"/>
        <v>0</v>
      </c>
      <c r="AT59" s="421">
        <f>SUM(AR59:AS59)</f>
        <v>112800</v>
      </c>
      <c r="AU59" s="68">
        <f t="shared" ref="AU59:AU63" si="149">ROUND((AH59+AI59+AJ59+AK59+AL59)*33.8%,0)</f>
        <v>38126</v>
      </c>
      <c r="AV59" s="68">
        <f>ROUND(AH59*1%,0)</f>
        <v>772</v>
      </c>
      <c r="AW59" s="421">
        <v>0</v>
      </c>
      <c r="AX59" s="421">
        <v>0</v>
      </c>
      <c r="AY59" s="421">
        <f>AW59+AX59</f>
        <v>0</v>
      </c>
      <c r="AZ59" s="421">
        <f>AT59+AU59+AV59+AY59</f>
        <v>151698</v>
      </c>
      <c r="BA59" s="422">
        <v>-0.01</v>
      </c>
      <c r="BB59" s="422">
        <v>0</v>
      </c>
      <c r="BC59" s="422">
        <v>0</v>
      </c>
      <c r="BD59" s="422">
        <v>0.2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>BA59+BC59+BD59+BF59+BH59+BI59</f>
        <v>0.19</v>
      </c>
      <c r="BL59" s="422">
        <f>BB59+BE59+BG59+BJ59</f>
        <v>0</v>
      </c>
      <c r="BM59" s="611">
        <f>SUM(BK59:BL59)</f>
        <v>0.19</v>
      </c>
      <c r="BN59" s="428">
        <f>I59+AZ59</f>
        <v>6482285</v>
      </c>
      <c r="BO59" s="421">
        <f>J59+AH59</f>
        <v>4682249</v>
      </c>
      <c r="BP59" s="421">
        <f t="shared" ref="BP59:BQ63" si="150">K59+AF59</f>
        <v>4198643</v>
      </c>
      <c r="BQ59" s="421">
        <f t="shared" si="150"/>
        <v>483606</v>
      </c>
      <c r="BR59" s="421">
        <f>M59+AQ59</f>
        <v>35648</v>
      </c>
      <c r="BS59" s="421">
        <f t="shared" ref="BS59:BT63" si="151">N59+AO59</f>
        <v>27968</v>
      </c>
      <c r="BT59" s="421">
        <f t="shared" si="151"/>
        <v>7680</v>
      </c>
      <c r="BU59" s="421">
        <f t="shared" ref="BU59:BV63" si="152">P59+AU59</f>
        <v>1594648</v>
      </c>
      <c r="BV59" s="421">
        <f t="shared" si="152"/>
        <v>46823</v>
      </c>
      <c r="BW59" s="421">
        <f>R59+AY59</f>
        <v>122917</v>
      </c>
      <c r="BX59" s="422">
        <f>S59+BM59</f>
        <v>7.5445000000000002</v>
      </c>
      <c r="BY59" s="422">
        <f t="shared" ref="BY59:BZ63" si="153">T59+BK59</f>
        <v>6.1447000000000003</v>
      </c>
      <c r="BZ59" s="611">
        <f t="shared" si="153"/>
        <v>1.3997999999999999</v>
      </c>
      <c r="CA59" s="423">
        <v>152054</v>
      </c>
      <c r="CB59" s="418">
        <v>112800</v>
      </c>
      <c r="CC59" s="418">
        <v>0</v>
      </c>
      <c r="CD59" s="418">
        <v>38126</v>
      </c>
      <c r="CE59" s="418">
        <v>1128</v>
      </c>
      <c r="CF59" s="527">
        <v>0.2</v>
      </c>
    </row>
    <row r="60" spans="1:84" ht="12.95" customHeight="1" x14ac:dyDescent="0.25">
      <c r="A60" s="282">
        <v>12</v>
      </c>
      <c r="B60" s="213">
        <v>5481</v>
      </c>
      <c r="C60" s="213">
        <v>600099075</v>
      </c>
      <c r="D60" s="213">
        <v>72742739</v>
      </c>
      <c r="E60" s="212" t="s">
        <v>472</v>
      </c>
      <c r="F60" s="213">
        <v>3117</v>
      </c>
      <c r="G60" s="325" t="s">
        <v>292</v>
      </c>
      <c r="H60" s="287" t="s">
        <v>272</v>
      </c>
      <c r="I60" s="423">
        <f>J60+P60+Q60+R60</f>
        <v>0</v>
      </c>
      <c r="J60" s="418">
        <f>K60+L60</f>
        <v>0</v>
      </c>
      <c r="K60" s="418">
        <v>0</v>
      </c>
      <c r="L60" s="418">
        <v>0</v>
      </c>
      <c r="M60" s="418">
        <f t="shared" si="145"/>
        <v>0</v>
      </c>
      <c r="N60" s="418">
        <v>0</v>
      </c>
      <c r="O60" s="418">
        <v>0</v>
      </c>
      <c r="P60" s="68">
        <f t="shared" ref="P60" si="154">ROUND((J60+M60)*33.8%,0)</f>
        <v>0</v>
      </c>
      <c r="Q60" s="68">
        <f t="shared" ref="Q60" si="155">ROUND(J60*1%,0)</f>
        <v>0</v>
      </c>
      <c r="R60" s="418">
        <v>0</v>
      </c>
      <c r="S60" s="419">
        <f t="shared" si="4"/>
        <v>0</v>
      </c>
      <c r="T60" s="419">
        <v>0</v>
      </c>
      <c r="U60" s="527">
        <v>0</v>
      </c>
      <c r="V60" s="427">
        <f t="shared" si="146"/>
        <v>0</v>
      </c>
      <c r="W60" s="421">
        <f t="shared" si="146"/>
        <v>0</v>
      </c>
      <c r="X60" s="421">
        <f>420316+260727-20631</f>
        <v>660412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>V60+X60+Y60+AA60+AB60+AD60</f>
        <v>660412</v>
      </c>
      <c r="AG60" s="421">
        <f>W60+Z60+AC60+AE60</f>
        <v>0</v>
      </c>
      <c r="AH60" s="421">
        <f>SUM(AF60:AG60)</f>
        <v>660412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47"/>
        <v>0</v>
      </c>
      <c r="AP60" s="421">
        <f>AJ60+AN60</f>
        <v>0</v>
      </c>
      <c r="AQ60" s="421">
        <f>SUM(AO60:AP60)</f>
        <v>0</v>
      </c>
      <c r="AR60" s="421">
        <f t="shared" si="148"/>
        <v>660412</v>
      </c>
      <c r="AS60" s="421">
        <f t="shared" si="148"/>
        <v>0</v>
      </c>
      <c r="AT60" s="421">
        <f>SUM(AR60:AS60)</f>
        <v>660412</v>
      </c>
      <c r="AU60" s="68">
        <f t="shared" si="149"/>
        <v>223219</v>
      </c>
      <c r="AV60" s="68">
        <f>ROUND(AH60*1%,0)</f>
        <v>6604</v>
      </c>
      <c r="AW60" s="421">
        <v>0</v>
      </c>
      <c r="AX60" s="421">
        <v>0</v>
      </c>
      <c r="AY60" s="421">
        <f>AW60+AX60</f>
        <v>0</v>
      </c>
      <c r="AZ60" s="421">
        <f>AT60+AU60+AV60+AY60</f>
        <v>890235</v>
      </c>
      <c r="BA60" s="422">
        <v>0</v>
      </c>
      <c r="BB60" s="422">
        <v>0</v>
      </c>
      <c r="BC60" s="422">
        <f>1.1+0.64-0.04</f>
        <v>1.7000000000000002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>BA60+BC60+BD60+BF60+BH60+BI60</f>
        <v>1.7000000000000002</v>
      </c>
      <c r="BL60" s="422">
        <f>BB60+BE60+BG60+BJ60</f>
        <v>0</v>
      </c>
      <c r="BM60" s="611">
        <f>SUM(BK60:BL60)</f>
        <v>1.7000000000000002</v>
      </c>
      <c r="BN60" s="428">
        <f>I60+AZ60</f>
        <v>890235</v>
      </c>
      <c r="BO60" s="421">
        <f>J60+AH60</f>
        <v>660412</v>
      </c>
      <c r="BP60" s="421">
        <f t="shared" si="150"/>
        <v>660412</v>
      </c>
      <c r="BQ60" s="421">
        <f t="shared" si="150"/>
        <v>0</v>
      </c>
      <c r="BR60" s="421">
        <f>M60+AQ60</f>
        <v>0</v>
      </c>
      <c r="BS60" s="421">
        <f t="shared" si="151"/>
        <v>0</v>
      </c>
      <c r="BT60" s="421">
        <f t="shared" si="151"/>
        <v>0</v>
      </c>
      <c r="BU60" s="421">
        <f t="shared" si="152"/>
        <v>223219</v>
      </c>
      <c r="BV60" s="421">
        <f t="shared" si="152"/>
        <v>6604</v>
      </c>
      <c r="BW60" s="421">
        <f>R60+AY60</f>
        <v>0</v>
      </c>
      <c r="BX60" s="422">
        <f>S60+BM60</f>
        <v>1.7000000000000002</v>
      </c>
      <c r="BY60" s="422">
        <f t="shared" si="153"/>
        <v>1.7000000000000002</v>
      </c>
      <c r="BZ60" s="611">
        <f t="shared" si="153"/>
        <v>0</v>
      </c>
      <c r="CA60" s="423"/>
      <c r="CB60" s="418"/>
      <c r="CC60" s="418"/>
      <c r="CD60" s="418"/>
      <c r="CE60" s="418"/>
      <c r="CF60" s="527"/>
    </row>
    <row r="61" spans="1:84" ht="12.95" customHeight="1" x14ac:dyDescent="0.25">
      <c r="A61" s="282">
        <v>12</v>
      </c>
      <c r="B61" s="213">
        <v>5481</v>
      </c>
      <c r="C61" s="213">
        <v>600099075</v>
      </c>
      <c r="D61" s="213">
        <v>72742739</v>
      </c>
      <c r="E61" s="212" t="s">
        <v>472</v>
      </c>
      <c r="F61" s="213">
        <v>3141</v>
      </c>
      <c r="G61" s="325" t="s">
        <v>295</v>
      </c>
      <c r="H61" s="287" t="s">
        <v>272</v>
      </c>
      <c r="I61" s="423">
        <f>J61+P61+Q61+R61</f>
        <v>236011</v>
      </c>
      <c r="J61" s="418">
        <f>K61+L61</f>
        <v>173410</v>
      </c>
      <c r="K61" s="418">
        <v>0</v>
      </c>
      <c r="L61" s="715">
        <v>173410</v>
      </c>
      <c r="M61" s="418">
        <f t="shared" si="145"/>
        <v>0</v>
      </c>
      <c r="N61" s="418">
        <v>0</v>
      </c>
      <c r="O61" s="418">
        <v>0</v>
      </c>
      <c r="P61" s="68">
        <f>ROUND((J61+M61)*33.8%,0)</f>
        <v>58613</v>
      </c>
      <c r="Q61" s="68">
        <f>ROUND(J61*1%,0)</f>
        <v>1734</v>
      </c>
      <c r="R61" s="715">
        <v>2254</v>
      </c>
      <c r="S61" s="419">
        <f t="shared" si="4"/>
        <v>0.52</v>
      </c>
      <c r="T61" s="419">
        <v>0</v>
      </c>
      <c r="U61" s="719">
        <v>0.52</v>
      </c>
      <c r="V61" s="427">
        <f t="shared" si="146"/>
        <v>0</v>
      </c>
      <c r="W61" s="421">
        <f t="shared" si="146"/>
        <v>-16000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>V61+X61+Y61+AA61+AB61+AD61</f>
        <v>0</v>
      </c>
      <c r="AG61" s="421">
        <f>W61+Z61+AC61+AE61</f>
        <v>-16000</v>
      </c>
      <c r="AH61" s="421">
        <f>SUM(AF61:AG61)</f>
        <v>-16000</v>
      </c>
      <c r="AI61" s="421">
        <v>0</v>
      </c>
      <c r="AJ61" s="421">
        <v>16000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47"/>
        <v>0</v>
      </c>
      <c r="AP61" s="421">
        <f>AJ61+AN61</f>
        <v>16000</v>
      </c>
      <c r="AQ61" s="421">
        <f>SUM(AO61:AP61)</f>
        <v>16000</v>
      </c>
      <c r="AR61" s="421">
        <f t="shared" si="148"/>
        <v>0</v>
      </c>
      <c r="AS61" s="421">
        <f t="shared" si="148"/>
        <v>0</v>
      </c>
      <c r="AT61" s="421">
        <f>SUM(AR61:AS61)</f>
        <v>0</v>
      </c>
      <c r="AU61" s="68">
        <f t="shared" si="149"/>
        <v>0</v>
      </c>
      <c r="AV61" s="68">
        <f>ROUND(AH61*1%,0)</f>
        <v>-160</v>
      </c>
      <c r="AW61" s="421">
        <v>0</v>
      </c>
      <c r="AX61" s="421">
        <v>0</v>
      </c>
      <c r="AY61" s="421">
        <f>AW61+AX61</f>
        <v>0</v>
      </c>
      <c r="AZ61" s="421">
        <f>AT61+AU61+AV61+AY61</f>
        <v>-160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>BA61+BC61+BD61+BF61+BH61+BI61</f>
        <v>0</v>
      </c>
      <c r="BL61" s="422">
        <f>BB61+BE61+BG61+BJ61</f>
        <v>0</v>
      </c>
      <c r="BM61" s="611">
        <f>SUM(BK61:BL61)</f>
        <v>0</v>
      </c>
      <c r="BN61" s="428">
        <f>I61+AZ61</f>
        <v>235851</v>
      </c>
      <c r="BO61" s="421">
        <f>J61+AH61</f>
        <v>157410</v>
      </c>
      <c r="BP61" s="421">
        <f t="shared" si="150"/>
        <v>0</v>
      </c>
      <c r="BQ61" s="421">
        <f t="shared" si="150"/>
        <v>157410</v>
      </c>
      <c r="BR61" s="421">
        <f>M61+AQ61</f>
        <v>16000</v>
      </c>
      <c r="BS61" s="421">
        <f t="shared" si="151"/>
        <v>0</v>
      </c>
      <c r="BT61" s="421">
        <f t="shared" si="151"/>
        <v>16000</v>
      </c>
      <c r="BU61" s="421">
        <f t="shared" si="152"/>
        <v>58613</v>
      </c>
      <c r="BV61" s="421">
        <f t="shared" si="152"/>
        <v>1574</v>
      </c>
      <c r="BW61" s="421">
        <f>R61+AY61</f>
        <v>2254</v>
      </c>
      <c r="BX61" s="422">
        <f>S61+BM61</f>
        <v>0.52</v>
      </c>
      <c r="BY61" s="422">
        <f t="shared" si="153"/>
        <v>0</v>
      </c>
      <c r="BZ61" s="611">
        <f t="shared" si="153"/>
        <v>0.52</v>
      </c>
      <c r="CA61" s="423"/>
      <c r="CB61" s="418"/>
      <c r="CC61" s="418"/>
      <c r="CD61" s="418"/>
      <c r="CE61" s="418"/>
      <c r="CF61" s="527"/>
    </row>
    <row r="62" spans="1:84" ht="12.95" customHeight="1" x14ac:dyDescent="0.25">
      <c r="A62" s="282">
        <v>12</v>
      </c>
      <c r="B62" s="213">
        <v>5481</v>
      </c>
      <c r="C62" s="213">
        <v>600099075</v>
      </c>
      <c r="D62" s="213">
        <v>72742739</v>
      </c>
      <c r="E62" s="212" t="s">
        <v>472</v>
      </c>
      <c r="F62" s="213">
        <v>3143</v>
      </c>
      <c r="G62" s="325" t="s">
        <v>596</v>
      </c>
      <c r="H62" s="287" t="s">
        <v>271</v>
      </c>
      <c r="I62" s="423">
        <f>J62+P62+Q62+R62</f>
        <v>1086658</v>
      </c>
      <c r="J62" s="418">
        <f>K62+L62</f>
        <v>806126</v>
      </c>
      <c r="K62" s="418">
        <v>806126</v>
      </c>
      <c r="L62" s="418">
        <v>0</v>
      </c>
      <c r="M62" s="418">
        <f t="shared" si="145"/>
        <v>0</v>
      </c>
      <c r="N62" s="418">
        <v>0</v>
      </c>
      <c r="O62" s="418">
        <v>0</v>
      </c>
      <c r="P62" s="68">
        <f>ROUND((J62+M62)*33.8%,0)</f>
        <v>272471</v>
      </c>
      <c r="Q62" s="68">
        <f>ROUND(J62*1%,0)</f>
        <v>8061</v>
      </c>
      <c r="R62" s="418">
        <v>0</v>
      </c>
      <c r="S62" s="419">
        <f t="shared" si="4"/>
        <v>1.5</v>
      </c>
      <c r="T62" s="419">
        <v>1.5</v>
      </c>
      <c r="U62" s="527">
        <v>0</v>
      </c>
      <c r="V62" s="427">
        <f t="shared" si="146"/>
        <v>0</v>
      </c>
      <c r="W62" s="421">
        <f t="shared" si="146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>V62+X62+Y62+AA62+AB62+AD62</f>
        <v>0</v>
      </c>
      <c r="AG62" s="421">
        <f>W62+Z62+AC62+AE62</f>
        <v>0</v>
      </c>
      <c r="AH62" s="421">
        <f>SUM(AF62:AG62)</f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47"/>
        <v>0</v>
      </c>
      <c r="AP62" s="421">
        <f>AJ62+AN62</f>
        <v>0</v>
      </c>
      <c r="AQ62" s="421">
        <f>SUM(AO62:AP62)</f>
        <v>0</v>
      </c>
      <c r="AR62" s="421">
        <f t="shared" si="148"/>
        <v>0</v>
      </c>
      <c r="AS62" s="421">
        <f t="shared" si="148"/>
        <v>0</v>
      </c>
      <c r="AT62" s="421">
        <f>SUM(AR62:AS62)</f>
        <v>0</v>
      </c>
      <c r="AU62" s="68">
        <f t="shared" si="149"/>
        <v>0</v>
      </c>
      <c r="AV62" s="68">
        <f>ROUND(AH62*1%,0)</f>
        <v>0</v>
      </c>
      <c r="AW62" s="421">
        <v>0</v>
      </c>
      <c r="AX62" s="421">
        <v>0</v>
      </c>
      <c r="AY62" s="421">
        <f>AW62+AX62</f>
        <v>0</v>
      </c>
      <c r="AZ62" s="421">
        <f>AT62+AU62+AV62+AY62</f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>BA62+BC62+BD62+BF62+BH62+BI62</f>
        <v>0</v>
      </c>
      <c r="BL62" s="422">
        <f>BB62+BE62+BG62+BJ62</f>
        <v>0</v>
      </c>
      <c r="BM62" s="611">
        <f>SUM(BK62:BL62)</f>
        <v>0</v>
      </c>
      <c r="BN62" s="428">
        <f>I62+AZ62</f>
        <v>1086658</v>
      </c>
      <c r="BO62" s="421">
        <f>J62+AH62</f>
        <v>806126</v>
      </c>
      <c r="BP62" s="421">
        <f t="shared" si="150"/>
        <v>806126</v>
      </c>
      <c r="BQ62" s="421">
        <f t="shared" si="150"/>
        <v>0</v>
      </c>
      <c r="BR62" s="421">
        <f>M62+AQ62</f>
        <v>0</v>
      </c>
      <c r="BS62" s="421">
        <f t="shared" si="151"/>
        <v>0</v>
      </c>
      <c r="BT62" s="421">
        <f t="shared" si="151"/>
        <v>0</v>
      </c>
      <c r="BU62" s="421">
        <f t="shared" si="152"/>
        <v>272471</v>
      </c>
      <c r="BV62" s="421">
        <f t="shared" si="152"/>
        <v>8061</v>
      </c>
      <c r="BW62" s="421">
        <f>R62+AY62</f>
        <v>0</v>
      </c>
      <c r="BX62" s="422">
        <f>S62+BM62</f>
        <v>1.5</v>
      </c>
      <c r="BY62" s="422">
        <f t="shared" si="153"/>
        <v>1.5</v>
      </c>
      <c r="BZ62" s="611">
        <f t="shared" si="153"/>
        <v>0</v>
      </c>
      <c r="CA62" s="423"/>
      <c r="CB62" s="418"/>
      <c r="CC62" s="418"/>
      <c r="CD62" s="418"/>
      <c r="CE62" s="418"/>
      <c r="CF62" s="527"/>
    </row>
    <row r="63" spans="1:84" ht="12.95" customHeight="1" x14ac:dyDescent="0.25">
      <c r="A63" s="282">
        <v>12</v>
      </c>
      <c r="B63" s="213">
        <v>5481</v>
      </c>
      <c r="C63" s="213">
        <v>600099075</v>
      </c>
      <c r="D63" s="213">
        <v>72742739</v>
      </c>
      <c r="E63" s="212" t="s">
        <v>472</v>
      </c>
      <c r="F63" s="213">
        <v>3143</v>
      </c>
      <c r="G63" s="325" t="s">
        <v>597</v>
      </c>
      <c r="H63" s="287" t="s">
        <v>272</v>
      </c>
      <c r="I63" s="423">
        <f>J63+P63+Q63+R63</f>
        <v>30208</v>
      </c>
      <c r="J63" s="418">
        <f>K63+L63</f>
        <v>21622</v>
      </c>
      <c r="K63" s="418">
        <v>0</v>
      </c>
      <c r="L63" s="418">
        <v>21622</v>
      </c>
      <c r="M63" s="418">
        <f t="shared" si="145"/>
        <v>0</v>
      </c>
      <c r="N63" s="418">
        <v>0</v>
      </c>
      <c r="O63" s="418">
        <v>0</v>
      </c>
      <c r="P63" s="68">
        <f>ROUND((J63+M63)*33.8%,0)</f>
        <v>7308</v>
      </c>
      <c r="Q63" s="68">
        <f>ROUND(J63*1%,0)</f>
        <v>216</v>
      </c>
      <c r="R63" s="418">
        <v>1062</v>
      </c>
      <c r="S63" s="419">
        <f t="shared" si="4"/>
        <v>8.1900000000000001E-2</v>
      </c>
      <c r="T63" s="419">
        <v>0</v>
      </c>
      <c r="U63" s="527">
        <v>8.1900000000000001E-2</v>
      </c>
      <c r="V63" s="427">
        <f t="shared" si="146"/>
        <v>0</v>
      </c>
      <c r="W63" s="421">
        <f t="shared" si="146"/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>V63+X63+Y63+AA63+AB63+AD63</f>
        <v>0</v>
      </c>
      <c r="AG63" s="421">
        <f>W63+Z63+AC63+AE63</f>
        <v>0</v>
      </c>
      <c r="AH63" s="421">
        <f>SUM(AF63:AG63)</f>
        <v>0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47"/>
        <v>0</v>
      </c>
      <c r="AP63" s="421">
        <f>AJ63+AN63</f>
        <v>0</v>
      </c>
      <c r="AQ63" s="421">
        <f>SUM(AO63:AP63)</f>
        <v>0</v>
      </c>
      <c r="AR63" s="421">
        <f t="shared" si="148"/>
        <v>0</v>
      </c>
      <c r="AS63" s="421">
        <f t="shared" si="148"/>
        <v>0</v>
      </c>
      <c r="AT63" s="421">
        <f>SUM(AR63:AS63)</f>
        <v>0</v>
      </c>
      <c r="AU63" s="68">
        <f t="shared" si="149"/>
        <v>0</v>
      </c>
      <c r="AV63" s="68">
        <f>ROUND(AH63*1%,0)</f>
        <v>0</v>
      </c>
      <c r="AW63" s="421">
        <v>0</v>
      </c>
      <c r="AX63" s="421">
        <v>0</v>
      </c>
      <c r="AY63" s="421">
        <f>AW63+AX63</f>
        <v>0</v>
      </c>
      <c r="AZ63" s="421">
        <f>AT63+AU63+AV63+AY63</f>
        <v>0</v>
      </c>
      <c r="BA63" s="422">
        <v>0</v>
      </c>
      <c r="BB63" s="422">
        <v>0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>BA63+BC63+BD63+BF63+BH63+BI63</f>
        <v>0</v>
      </c>
      <c r="BL63" s="422">
        <f>BB63+BE63+BG63+BJ63</f>
        <v>0</v>
      </c>
      <c r="BM63" s="611">
        <f>SUM(BK63:BL63)</f>
        <v>0</v>
      </c>
      <c r="BN63" s="428">
        <f>I63+AZ63</f>
        <v>30208</v>
      </c>
      <c r="BO63" s="421">
        <f>J63+AH63</f>
        <v>21622</v>
      </c>
      <c r="BP63" s="421">
        <f t="shared" si="150"/>
        <v>0</v>
      </c>
      <c r="BQ63" s="421">
        <f t="shared" si="150"/>
        <v>21622</v>
      </c>
      <c r="BR63" s="421">
        <f>M63+AQ63</f>
        <v>0</v>
      </c>
      <c r="BS63" s="421">
        <f t="shared" si="151"/>
        <v>0</v>
      </c>
      <c r="BT63" s="421">
        <f t="shared" si="151"/>
        <v>0</v>
      </c>
      <c r="BU63" s="421">
        <f t="shared" si="152"/>
        <v>7308</v>
      </c>
      <c r="BV63" s="421">
        <f t="shared" si="152"/>
        <v>216</v>
      </c>
      <c r="BW63" s="421">
        <f>R63+AY63</f>
        <v>1062</v>
      </c>
      <c r="BX63" s="422">
        <f>S63+BM63</f>
        <v>8.1900000000000001E-2</v>
      </c>
      <c r="BY63" s="422">
        <f t="shared" si="153"/>
        <v>0</v>
      </c>
      <c r="BZ63" s="611">
        <f t="shared" si="153"/>
        <v>8.1900000000000001E-2</v>
      </c>
      <c r="CA63" s="423"/>
      <c r="CB63" s="418"/>
      <c r="CC63" s="418"/>
      <c r="CD63" s="418"/>
      <c r="CE63" s="418"/>
      <c r="CF63" s="527"/>
    </row>
    <row r="64" spans="1:84" ht="12.95" customHeight="1" x14ac:dyDescent="0.25">
      <c r="A64" s="214">
        <v>12</v>
      </c>
      <c r="B64" s="45">
        <v>5481</v>
      </c>
      <c r="C64" s="45">
        <v>600099075</v>
      </c>
      <c r="D64" s="45">
        <v>72742739</v>
      </c>
      <c r="E64" s="376" t="s">
        <v>473</v>
      </c>
      <c r="F64" s="45"/>
      <c r="G64" s="376"/>
      <c r="H64" s="183"/>
      <c r="I64" s="489">
        <f t="shared" ref="I64:BU64" si="156">SUM(I59:I63)</f>
        <v>7683464</v>
      </c>
      <c r="J64" s="487">
        <f t="shared" si="156"/>
        <v>5606255</v>
      </c>
      <c r="K64" s="487">
        <f t="shared" si="156"/>
        <v>4919937</v>
      </c>
      <c r="L64" s="487">
        <f t="shared" si="156"/>
        <v>686318</v>
      </c>
      <c r="M64" s="487">
        <f t="shared" si="156"/>
        <v>0</v>
      </c>
      <c r="N64" s="487">
        <f t="shared" si="156"/>
        <v>0</v>
      </c>
      <c r="O64" s="487">
        <f t="shared" si="156"/>
        <v>0</v>
      </c>
      <c r="P64" s="487">
        <f t="shared" si="156"/>
        <v>1894914</v>
      </c>
      <c r="Q64" s="487">
        <f t="shared" si="156"/>
        <v>56062</v>
      </c>
      <c r="R64" s="487">
        <f t="shared" si="156"/>
        <v>126233</v>
      </c>
      <c r="S64" s="488">
        <f t="shared" si="156"/>
        <v>9.4563999999999986</v>
      </c>
      <c r="T64" s="488">
        <f t="shared" si="156"/>
        <v>7.4546999999999999</v>
      </c>
      <c r="U64" s="353">
        <f t="shared" si="156"/>
        <v>2.0017</v>
      </c>
      <c r="V64" s="490">
        <f t="shared" si="156"/>
        <v>-27968</v>
      </c>
      <c r="W64" s="487">
        <f t="shared" si="156"/>
        <v>-23680</v>
      </c>
      <c r="X64" s="487">
        <f t="shared" si="156"/>
        <v>660412</v>
      </c>
      <c r="Y64" s="487">
        <f t="shared" si="156"/>
        <v>0</v>
      </c>
      <c r="Z64" s="487">
        <f t="shared" si="156"/>
        <v>0</v>
      </c>
      <c r="AA64" s="487">
        <f t="shared" si="156"/>
        <v>0</v>
      </c>
      <c r="AB64" s="487">
        <f t="shared" si="156"/>
        <v>112800</v>
      </c>
      <c r="AC64" s="487">
        <f t="shared" si="156"/>
        <v>0</v>
      </c>
      <c r="AD64" s="487">
        <f t="shared" si="156"/>
        <v>0</v>
      </c>
      <c r="AE64" s="487">
        <f t="shared" si="156"/>
        <v>0</v>
      </c>
      <c r="AF64" s="487">
        <f t="shared" si="156"/>
        <v>745244</v>
      </c>
      <c r="AG64" s="487">
        <f t="shared" si="156"/>
        <v>-23680</v>
      </c>
      <c r="AH64" s="487">
        <f t="shared" si="156"/>
        <v>721564</v>
      </c>
      <c r="AI64" s="487">
        <f t="shared" si="156"/>
        <v>27968</v>
      </c>
      <c r="AJ64" s="487">
        <f t="shared" si="156"/>
        <v>23680</v>
      </c>
      <c r="AK64" s="487">
        <f t="shared" ref="AK64" si="157">SUM(AK59:AK63)</f>
        <v>0</v>
      </c>
      <c r="AL64" s="487">
        <f t="shared" si="156"/>
        <v>0</v>
      </c>
      <c r="AM64" s="487">
        <f t="shared" si="156"/>
        <v>0</v>
      </c>
      <c r="AN64" s="487">
        <f t="shared" si="156"/>
        <v>0</v>
      </c>
      <c r="AO64" s="487">
        <f t="shared" si="156"/>
        <v>27968</v>
      </c>
      <c r="AP64" s="487">
        <f t="shared" si="156"/>
        <v>23680</v>
      </c>
      <c r="AQ64" s="487">
        <f t="shared" si="156"/>
        <v>51648</v>
      </c>
      <c r="AR64" s="487">
        <f t="shared" si="156"/>
        <v>773212</v>
      </c>
      <c r="AS64" s="487">
        <f t="shared" si="156"/>
        <v>0</v>
      </c>
      <c r="AT64" s="487">
        <f t="shared" si="156"/>
        <v>773212</v>
      </c>
      <c r="AU64" s="487">
        <f t="shared" si="156"/>
        <v>261345</v>
      </c>
      <c r="AV64" s="487">
        <f t="shared" si="156"/>
        <v>7216</v>
      </c>
      <c r="AW64" s="487">
        <f t="shared" si="156"/>
        <v>0</v>
      </c>
      <c r="AX64" s="487">
        <f t="shared" si="156"/>
        <v>0</v>
      </c>
      <c r="AY64" s="487">
        <f t="shared" si="156"/>
        <v>0</v>
      </c>
      <c r="AZ64" s="487">
        <f t="shared" si="156"/>
        <v>1041773</v>
      </c>
      <c r="BA64" s="488">
        <f t="shared" si="156"/>
        <v>-0.01</v>
      </c>
      <c r="BB64" s="488">
        <f t="shared" si="156"/>
        <v>0</v>
      </c>
      <c r="BC64" s="488">
        <f t="shared" si="156"/>
        <v>1.7000000000000002</v>
      </c>
      <c r="BD64" s="488">
        <f t="shared" si="156"/>
        <v>0.2</v>
      </c>
      <c r="BE64" s="488">
        <f t="shared" si="156"/>
        <v>0</v>
      </c>
      <c r="BF64" s="488">
        <f t="shared" si="156"/>
        <v>0</v>
      </c>
      <c r="BG64" s="488">
        <f t="shared" si="156"/>
        <v>0</v>
      </c>
      <c r="BH64" s="488">
        <f t="shared" si="156"/>
        <v>0</v>
      </c>
      <c r="BI64" s="488">
        <f t="shared" si="156"/>
        <v>0</v>
      </c>
      <c r="BJ64" s="488">
        <f t="shared" si="156"/>
        <v>0</v>
      </c>
      <c r="BK64" s="488">
        <f t="shared" si="156"/>
        <v>1.8900000000000001</v>
      </c>
      <c r="BL64" s="488">
        <f t="shared" si="156"/>
        <v>0</v>
      </c>
      <c r="BM64" s="563">
        <f t="shared" si="156"/>
        <v>1.8900000000000001</v>
      </c>
      <c r="BN64" s="489">
        <f t="shared" si="156"/>
        <v>8725237</v>
      </c>
      <c r="BO64" s="487">
        <f t="shared" si="156"/>
        <v>6327819</v>
      </c>
      <c r="BP64" s="487">
        <f t="shared" si="156"/>
        <v>5665181</v>
      </c>
      <c r="BQ64" s="487">
        <f t="shared" si="156"/>
        <v>662638</v>
      </c>
      <c r="BR64" s="487">
        <f t="shared" si="156"/>
        <v>51648</v>
      </c>
      <c r="BS64" s="487">
        <f t="shared" si="156"/>
        <v>27968</v>
      </c>
      <c r="BT64" s="487">
        <f t="shared" si="156"/>
        <v>23680</v>
      </c>
      <c r="BU64" s="487">
        <f t="shared" si="156"/>
        <v>2156259</v>
      </c>
      <c r="BV64" s="487">
        <f t="shared" ref="BV64:CF64" si="158">SUM(BV59:BV63)</f>
        <v>63278</v>
      </c>
      <c r="BW64" s="487">
        <f t="shared" si="158"/>
        <v>126233</v>
      </c>
      <c r="BX64" s="488">
        <f t="shared" si="158"/>
        <v>11.346399999999999</v>
      </c>
      <c r="BY64" s="488">
        <f t="shared" si="158"/>
        <v>9.3446999999999996</v>
      </c>
      <c r="BZ64" s="563">
        <f t="shared" si="158"/>
        <v>2.0017</v>
      </c>
      <c r="CA64" s="888">
        <f t="shared" si="158"/>
        <v>152054</v>
      </c>
      <c r="CB64" s="887">
        <f t="shared" si="158"/>
        <v>112800</v>
      </c>
      <c r="CC64" s="887">
        <f t="shared" si="158"/>
        <v>0</v>
      </c>
      <c r="CD64" s="887">
        <f t="shared" si="158"/>
        <v>38126</v>
      </c>
      <c r="CE64" s="887">
        <f t="shared" si="158"/>
        <v>1128</v>
      </c>
      <c r="CF64" s="843">
        <f t="shared" si="158"/>
        <v>0.2</v>
      </c>
    </row>
    <row r="65" spans="1:84" ht="12.95" customHeight="1" x14ac:dyDescent="0.25">
      <c r="A65" s="282">
        <v>13</v>
      </c>
      <c r="B65" s="213">
        <v>5492</v>
      </c>
      <c r="C65" s="213">
        <v>691007322</v>
      </c>
      <c r="D65" s="213">
        <v>71294180</v>
      </c>
      <c r="E65" s="212" t="s">
        <v>474</v>
      </c>
      <c r="F65" s="213">
        <v>3114</v>
      </c>
      <c r="G65" s="333" t="s">
        <v>526</v>
      </c>
      <c r="H65" s="287" t="s">
        <v>271</v>
      </c>
      <c r="I65" s="423">
        <f>J65+P65+Q65+R65</f>
        <v>14487528</v>
      </c>
      <c r="J65" s="418">
        <f>K65+L65</f>
        <v>10656375</v>
      </c>
      <c r="K65" s="418">
        <v>9699883</v>
      </c>
      <c r="L65" s="418">
        <v>956492</v>
      </c>
      <c r="M65" s="418">
        <f t="shared" ref="M65:M68" si="159">N65+O65</f>
        <v>0</v>
      </c>
      <c r="N65" s="418">
        <v>0</v>
      </c>
      <c r="O65" s="418">
        <v>0</v>
      </c>
      <c r="P65" s="68">
        <f>ROUND((J65+M65)*33.8%,0)</f>
        <v>3601855</v>
      </c>
      <c r="Q65" s="68">
        <f>ROUND(J65*1%,0)</f>
        <v>106564</v>
      </c>
      <c r="R65" s="418">
        <v>122734</v>
      </c>
      <c r="S65" s="419">
        <f t="shared" si="4"/>
        <v>15.76</v>
      </c>
      <c r="T65" s="419">
        <v>13</v>
      </c>
      <c r="U65" s="527">
        <v>2.76</v>
      </c>
      <c r="V65" s="427">
        <f t="shared" ref="V65:W68" si="160">AI65*-1</f>
        <v>0</v>
      </c>
      <c r="W65" s="421">
        <f t="shared" si="160"/>
        <v>-70400</v>
      </c>
      <c r="X65" s="421">
        <v>0</v>
      </c>
      <c r="Y65" s="421">
        <v>0</v>
      </c>
      <c r="Z65" s="421">
        <v>0</v>
      </c>
      <c r="AA65" s="421">
        <v>0</v>
      </c>
      <c r="AB65" s="421">
        <v>0</v>
      </c>
      <c r="AC65" s="421">
        <v>0</v>
      </c>
      <c r="AD65" s="421">
        <v>0</v>
      </c>
      <c r="AE65" s="421">
        <v>0</v>
      </c>
      <c r="AF65" s="421">
        <f>V65+X65+Y65+AA65+AB65+AD65</f>
        <v>0</v>
      </c>
      <c r="AG65" s="421">
        <f>W65+Z65+AC65+AE65</f>
        <v>-70400</v>
      </c>
      <c r="AH65" s="421">
        <f>SUM(AF65:AG65)</f>
        <v>-70400</v>
      </c>
      <c r="AI65" s="421">
        <v>0</v>
      </c>
      <c r="AJ65" s="421">
        <v>70400</v>
      </c>
      <c r="AK65" s="421">
        <v>0</v>
      </c>
      <c r="AL65" s="421">
        <v>0</v>
      </c>
      <c r="AM65" s="421">
        <v>0</v>
      </c>
      <c r="AN65" s="421">
        <v>0</v>
      </c>
      <c r="AO65" s="421">
        <f t="shared" ref="AO65:AO68" si="161">AI65+AK65+AL65+AM65</f>
        <v>0</v>
      </c>
      <c r="AP65" s="421">
        <f>AJ65+AN65</f>
        <v>70400</v>
      </c>
      <c r="AQ65" s="421">
        <f>SUM(AO65:AP65)</f>
        <v>70400</v>
      </c>
      <c r="AR65" s="421">
        <f t="shared" ref="AR65:AS68" si="162">AF65+AO65</f>
        <v>0</v>
      </c>
      <c r="AS65" s="421">
        <f t="shared" si="162"/>
        <v>0</v>
      </c>
      <c r="AT65" s="421">
        <f>SUM(AR65:AS65)</f>
        <v>0</v>
      </c>
      <c r="AU65" s="68">
        <f t="shared" ref="AU65:AU68" si="163">ROUND((AH65+AI65+AJ65+AK65+AL65)*33.8%,0)</f>
        <v>0</v>
      </c>
      <c r="AV65" s="68">
        <f>ROUND(AH65*1%,0)</f>
        <v>-704</v>
      </c>
      <c r="AW65" s="421">
        <v>0</v>
      </c>
      <c r="AX65" s="421">
        <v>0</v>
      </c>
      <c r="AY65" s="421">
        <f>AW65+AX65</f>
        <v>0</v>
      </c>
      <c r="AZ65" s="421">
        <f>AT65+AU65+AV65+AY65</f>
        <v>-704</v>
      </c>
      <c r="BA65" s="422">
        <v>0</v>
      </c>
      <c r="BB65" s="422">
        <v>-0.21</v>
      </c>
      <c r="BC65" s="422">
        <v>0</v>
      </c>
      <c r="BD65" s="422">
        <v>0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>BA65+BC65+BD65+BF65+BH65+BI65</f>
        <v>0</v>
      </c>
      <c r="BL65" s="422">
        <f>BB65+BE65+BG65+BJ65</f>
        <v>-0.21</v>
      </c>
      <c r="BM65" s="611">
        <f>SUM(BK65:BL65)</f>
        <v>-0.21</v>
      </c>
      <c r="BN65" s="428">
        <f>I65+AZ65</f>
        <v>14486824</v>
      </c>
      <c r="BO65" s="421">
        <f>J65+AH65</f>
        <v>10585975</v>
      </c>
      <c r="BP65" s="421">
        <f t="shared" ref="BP65:BQ68" si="164">K65+AF65</f>
        <v>9699883</v>
      </c>
      <c r="BQ65" s="421">
        <f t="shared" si="164"/>
        <v>886092</v>
      </c>
      <c r="BR65" s="421">
        <f>M65+AQ65</f>
        <v>70400</v>
      </c>
      <c r="BS65" s="421">
        <f t="shared" ref="BS65:BT68" si="165">N65+AO65</f>
        <v>0</v>
      </c>
      <c r="BT65" s="421">
        <f t="shared" si="165"/>
        <v>70400</v>
      </c>
      <c r="BU65" s="421">
        <f t="shared" ref="BU65:BV68" si="166">P65+AU65</f>
        <v>3601855</v>
      </c>
      <c r="BV65" s="421">
        <f t="shared" si="166"/>
        <v>105860</v>
      </c>
      <c r="BW65" s="421">
        <f>R65+AY65</f>
        <v>122734</v>
      </c>
      <c r="BX65" s="422">
        <f>S65+BM65</f>
        <v>15.549999999999999</v>
      </c>
      <c r="BY65" s="422">
        <f t="shared" ref="BY65:BZ68" si="167">T65+BK65</f>
        <v>13</v>
      </c>
      <c r="BZ65" s="611">
        <f t="shared" si="167"/>
        <v>2.5499999999999998</v>
      </c>
      <c r="CA65" s="423"/>
      <c r="CB65" s="418"/>
      <c r="CC65" s="418"/>
      <c r="CD65" s="418"/>
      <c r="CE65" s="418"/>
      <c r="CF65" s="527"/>
    </row>
    <row r="66" spans="1:84" ht="12.95" customHeight="1" x14ac:dyDescent="0.25">
      <c r="A66" s="282">
        <v>13</v>
      </c>
      <c r="B66" s="213">
        <v>5492</v>
      </c>
      <c r="C66" s="213">
        <v>691007322</v>
      </c>
      <c r="D66" s="213">
        <v>71294180</v>
      </c>
      <c r="E66" s="212" t="s">
        <v>474</v>
      </c>
      <c r="F66" s="213">
        <v>3114</v>
      </c>
      <c r="G66" s="333" t="s">
        <v>293</v>
      </c>
      <c r="H66" s="287" t="s">
        <v>271</v>
      </c>
      <c r="I66" s="423">
        <f>J66+P66+Q66+R66</f>
        <v>1900704</v>
      </c>
      <c r="J66" s="418">
        <f>K66+L66</f>
        <v>1410018</v>
      </c>
      <c r="K66" s="418">
        <v>1410018</v>
      </c>
      <c r="L66" s="418">
        <v>0</v>
      </c>
      <c r="M66" s="418">
        <f t="shared" si="159"/>
        <v>0</v>
      </c>
      <c r="N66" s="418">
        <v>0</v>
      </c>
      <c r="O66" s="418">
        <v>0</v>
      </c>
      <c r="P66" s="68">
        <f>ROUND((J66+M66)*33.8%,0)</f>
        <v>476586</v>
      </c>
      <c r="Q66" s="68">
        <f>ROUND(J66*1%,0)</f>
        <v>14100</v>
      </c>
      <c r="R66" s="418">
        <v>0</v>
      </c>
      <c r="S66" s="419">
        <f t="shared" si="4"/>
        <v>3.3889</v>
      </c>
      <c r="T66" s="419">
        <v>3.3889</v>
      </c>
      <c r="U66" s="527">
        <v>0</v>
      </c>
      <c r="V66" s="427">
        <f t="shared" si="160"/>
        <v>0</v>
      </c>
      <c r="W66" s="421">
        <f t="shared" si="160"/>
        <v>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>V66+X66+Y66+AA66+AB66+AD66</f>
        <v>0</v>
      </c>
      <c r="AG66" s="421">
        <f>W66+Z66+AC66+AE66</f>
        <v>0</v>
      </c>
      <c r="AH66" s="421">
        <f>SUM(AF66:AG66)</f>
        <v>0</v>
      </c>
      <c r="AI66" s="421">
        <v>0</v>
      </c>
      <c r="AJ66" s="421">
        <v>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si="161"/>
        <v>0</v>
      </c>
      <c r="AP66" s="421">
        <f>AJ66+AN66</f>
        <v>0</v>
      </c>
      <c r="AQ66" s="421">
        <f>SUM(AO66:AP66)</f>
        <v>0</v>
      </c>
      <c r="AR66" s="421">
        <f t="shared" si="162"/>
        <v>0</v>
      </c>
      <c r="AS66" s="421">
        <f t="shared" si="162"/>
        <v>0</v>
      </c>
      <c r="AT66" s="421">
        <f>SUM(AR66:AS66)</f>
        <v>0</v>
      </c>
      <c r="AU66" s="68">
        <f t="shared" si="163"/>
        <v>0</v>
      </c>
      <c r="AV66" s="68">
        <f>ROUND(AH66*1%,0)</f>
        <v>0</v>
      </c>
      <c r="AW66" s="421">
        <v>0</v>
      </c>
      <c r="AX66" s="421">
        <v>0</v>
      </c>
      <c r="AY66" s="421">
        <f>AW66+AX66</f>
        <v>0</v>
      </c>
      <c r="AZ66" s="421">
        <f>AT66+AU66+AV66+AY66</f>
        <v>0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>BA66+BC66+BD66+BF66+BH66+BI66</f>
        <v>0</v>
      </c>
      <c r="BL66" s="422">
        <f>BB66+BE66+BG66+BJ66</f>
        <v>0</v>
      </c>
      <c r="BM66" s="611">
        <f>SUM(BK66:BL66)</f>
        <v>0</v>
      </c>
      <c r="BN66" s="428">
        <f>I66+AZ66</f>
        <v>1900704</v>
      </c>
      <c r="BO66" s="421">
        <f>J66+AH66</f>
        <v>1410018</v>
      </c>
      <c r="BP66" s="421">
        <f t="shared" si="164"/>
        <v>1410018</v>
      </c>
      <c r="BQ66" s="421">
        <f t="shared" si="164"/>
        <v>0</v>
      </c>
      <c r="BR66" s="421">
        <f>M66+AQ66</f>
        <v>0</v>
      </c>
      <c r="BS66" s="421">
        <f t="shared" si="165"/>
        <v>0</v>
      </c>
      <c r="BT66" s="421">
        <f t="shared" si="165"/>
        <v>0</v>
      </c>
      <c r="BU66" s="421">
        <f t="shared" si="166"/>
        <v>476586</v>
      </c>
      <c r="BV66" s="421">
        <f t="shared" si="166"/>
        <v>14100</v>
      </c>
      <c r="BW66" s="421">
        <f>R66+AY66</f>
        <v>0</v>
      </c>
      <c r="BX66" s="422">
        <f>S66+BM66</f>
        <v>3.3889</v>
      </c>
      <c r="BY66" s="422">
        <f t="shared" si="167"/>
        <v>3.3889</v>
      </c>
      <c r="BZ66" s="611">
        <f t="shared" si="167"/>
        <v>0</v>
      </c>
      <c r="CA66" s="423"/>
      <c r="CB66" s="418"/>
      <c r="CC66" s="418"/>
      <c r="CD66" s="418"/>
      <c r="CE66" s="418"/>
      <c r="CF66" s="527"/>
    </row>
    <row r="67" spans="1:84" ht="12.95" customHeight="1" x14ac:dyDescent="0.25">
      <c r="A67" s="282">
        <v>13</v>
      </c>
      <c r="B67" s="213">
        <v>5492</v>
      </c>
      <c r="C67" s="213">
        <v>691007322</v>
      </c>
      <c r="D67" s="213">
        <v>71294180</v>
      </c>
      <c r="E67" s="374" t="s">
        <v>474</v>
      </c>
      <c r="F67" s="213">
        <v>3143</v>
      </c>
      <c r="G67" s="325" t="s">
        <v>596</v>
      </c>
      <c r="H67" s="287" t="s">
        <v>271</v>
      </c>
      <c r="I67" s="423">
        <f>J67+P67+Q67+R67</f>
        <v>525049</v>
      </c>
      <c r="J67" s="418">
        <f>K67+L67</f>
        <v>389502</v>
      </c>
      <c r="K67" s="418">
        <v>389502</v>
      </c>
      <c r="L67" s="418">
        <v>0</v>
      </c>
      <c r="M67" s="418">
        <f t="shared" si="159"/>
        <v>0</v>
      </c>
      <c r="N67" s="418">
        <v>0</v>
      </c>
      <c r="O67" s="418">
        <v>0</v>
      </c>
      <c r="P67" s="68">
        <f>ROUND((J67+M67)*33.8%,0)</f>
        <v>131652</v>
      </c>
      <c r="Q67" s="68">
        <f>ROUND(J67*1%,0)</f>
        <v>3895</v>
      </c>
      <c r="R67" s="418">
        <v>0</v>
      </c>
      <c r="S67" s="419">
        <f t="shared" si="4"/>
        <v>0.79990000000000006</v>
      </c>
      <c r="T67" s="419">
        <v>0.79990000000000006</v>
      </c>
      <c r="U67" s="527">
        <v>0</v>
      </c>
      <c r="V67" s="427">
        <f t="shared" si="160"/>
        <v>0</v>
      </c>
      <c r="W67" s="421">
        <f t="shared" si="160"/>
        <v>0</v>
      </c>
      <c r="X67" s="421">
        <v>0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>V67+X67+Y67+AA67+AB67+AD67</f>
        <v>0</v>
      </c>
      <c r="AG67" s="421">
        <f>W67+Z67+AC67+AE67</f>
        <v>0</v>
      </c>
      <c r="AH67" s="421">
        <f>SUM(AF67:AG67)</f>
        <v>0</v>
      </c>
      <c r="AI67" s="421">
        <v>0</v>
      </c>
      <c r="AJ67" s="421">
        <v>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161"/>
        <v>0</v>
      </c>
      <c r="AP67" s="421">
        <f>AJ67+AN67</f>
        <v>0</v>
      </c>
      <c r="AQ67" s="421">
        <f>SUM(AO67:AP67)</f>
        <v>0</v>
      </c>
      <c r="AR67" s="421">
        <f t="shared" si="162"/>
        <v>0</v>
      </c>
      <c r="AS67" s="421">
        <f t="shared" si="162"/>
        <v>0</v>
      </c>
      <c r="AT67" s="421">
        <f>SUM(AR67:AS67)</f>
        <v>0</v>
      </c>
      <c r="AU67" s="68">
        <f t="shared" si="163"/>
        <v>0</v>
      </c>
      <c r="AV67" s="68">
        <f>ROUND(AH67*1%,0)</f>
        <v>0</v>
      </c>
      <c r="AW67" s="421">
        <v>0</v>
      </c>
      <c r="AX67" s="421">
        <v>0</v>
      </c>
      <c r="AY67" s="421">
        <f>AW67+AX67</f>
        <v>0</v>
      </c>
      <c r="AZ67" s="421">
        <f>AT67+AU67+AV67+AY67</f>
        <v>0</v>
      </c>
      <c r="BA67" s="422">
        <v>0</v>
      </c>
      <c r="BB67" s="422">
        <v>0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>BA67+BC67+BD67+BF67+BH67+BI67</f>
        <v>0</v>
      </c>
      <c r="BL67" s="422">
        <f>BB67+BE67+BG67+BJ67</f>
        <v>0</v>
      </c>
      <c r="BM67" s="611">
        <f>SUM(BK67:BL67)</f>
        <v>0</v>
      </c>
      <c r="BN67" s="428">
        <f>I67+AZ67</f>
        <v>525049</v>
      </c>
      <c r="BO67" s="421">
        <f>J67+AH67</f>
        <v>389502</v>
      </c>
      <c r="BP67" s="421">
        <f t="shared" si="164"/>
        <v>389502</v>
      </c>
      <c r="BQ67" s="421">
        <f t="shared" si="164"/>
        <v>0</v>
      </c>
      <c r="BR67" s="421">
        <f>M67+AQ67</f>
        <v>0</v>
      </c>
      <c r="BS67" s="421">
        <f t="shared" si="165"/>
        <v>0</v>
      </c>
      <c r="BT67" s="421">
        <f t="shared" si="165"/>
        <v>0</v>
      </c>
      <c r="BU67" s="421">
        <f t="shared" si="166"/>
        <v>131652</v>
      </c>
      <c r="BV67" s="421">
        <f t="shared" si="166"/>
        <v>3895</v>
      </c>
      <c r="BW67" s="421">
        <f>R67+AY67</f>
        <v>0</v>
      </c>
      <c r="BX67" s="422">
        <f>S67+BM67</f>
        <v>0.79990000000000006</v>
      </c>
      <c r="BY67" s="422">
        <f t="shared" si="167"/>
        <v>0.79990000000000006</v>
      </c>
      <c r="BZ67" s="611">
        <f t="shared" si="167"/>
        <v>0</v>
      </c>
      <c r="CA67" s="423"/>
      <c r="CB67" s="418"/>
      <c r="CC67" s="418"/>
      <c r="CD67" s="418"/>
      <c r="CE67" s="418"/>
      <c r="CF67" s="527"/>
    </row>
    <row r="68" spans="1:84" ht="12.95" customHeight="1" x14ac:dyDescent="0.25">
      <c r="A68" s="282">
        <v>13</v>
      </c>
      <c r="B68" s="213">
        <v>5492</v>
      </c>
      <c r="C68" s="213">
        <v>691007322</v>
      </c>
      <c r="D68" s="213">
        <v>71294180</v>
      </c>
      <c r="E68" s="374" t="s">
        <v>474</v>
      </c>
      <c r="F68" s="213">
        <v>3143</v>
      </c>
      <c r="G68" s="325" t="s">
        <v>597</v>
      </c>
      <c r="H68" s="287" t="s">
        <v>272</v>
      </c>
      <c r="I68" s="423">
        <f>J68+P68+Q68+R68</f>
        <v>7672</v>
      </c>
      <c r="J68" s="418">
        <f>K68+L68</f>
        <v>5491</v>
      </c>
      <c r="K68" s="418">
        <v>0</v>
      </c>
      <c r="L68" s="418">
        <v>5491</v>
      </c>
      <c r="M68" s="418">
        <f t="shared" si="159"/>
        <v>0</v>
      </c>
      <c r="N68" s="418">
        <v>0</v>
      </c>
      <c r="O68" s="418">
        <v>0</v>
      </c>
      <c r="P68" s="68">
        <f>ROUND((J68+M68)*33.8%,0)</f>
        <v>1856</v>
      </c>
      <c r="Q68" s="68">
        <f>ROUND(J68*1%,0)</f>
        <v>55</v>
      </c>
      <c r="R68" s="418">
        <v>270</v>
      </c>
      <c r="S68" s="419">
        <f t="shared" si="4"/>
        <v>2.0799999999999999E-2</v>
      </c>
      <c r="T68" s="419">
        <v>0</v>
      </c>
      <c r="U68" s="527">
        <v>2.0799999999999999E-2</v>
      </c>
      <c r="V68" s="427">
        <f t="shared" si="160"/>
        <v>0</v>
      </c>
      <c r="W68" s="421">
        <f t="shared" si="160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>V68+X68+Y68+AA68+AB68+AD68</f>
        <v>0</v>
      </c>
      <c r="AG68" s="421">
        <f>W68+Z68+AC68+AE68</f>
        <v>0</v>
      </c>
      <c r="AH68" s="421">
        <f>SUM(AF68:AG68)</f>
        <v>0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61"/>
        <v>0</v>
      </c>
      <c r="AP68" s="421">
        <f>AJ68+AN68</f>
        <v>0</v>
      </c>
      <c r="AQ68" s="421">
        <f>SUM(AO68:AP68)</f>
        <v>0</v>
      </c>
      <c r="AR68" s="421">
        <f t="shared" si="162"/>
        <v>0</v>
      </c>
      <c r="AS68" s="421">
        <f t="shared" si="162"/>
        <v>0</v>
      </c>
      <c r="AT68" s="421">
        <f>SUM(AR68:AS68)</f>
        <v>0</v>
      </c>
      <c r="AU68" s="68">
        <f t="shared" si="163"/>
        <v>0</v>
      </c>
      <c r="AV68" s="68">
        <f>ROUND(AH68*1%,0)</f>
        <v>0</v>
      </c>
      <c r="AW68" s="421">
        <v>0</v>
      </c>
      <c r="AX68" s="421">
        <v>0</v>
      </c>
      <c r="AY68" s="421">
        <f>AW68+AX68</f>
        <v>0</v>
      </c>
      <c r="AZ68" s="421">
        <f>AT68+AU68+AV68+AY68</f>
        <v>0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>BA68+BC68+BD68+BF68+BH68+BI68</f>
        <v>0</v>
      </c>
      <c r="BL68" s="422">
        <f>BB68+BE68+BG68+BJ68</f>
        <v>0</v>
      </c>
      <c r="BM68" s="611">
        <f>SUM(BK68:BL68)</f>
        <v>0</v>
      </c>
      <c r="BN68" s="428">
        <f>I68+AZ68</f>
        <v>7672</v>
      </c>
      <c r="BO68" s="421">
        <f>J68+AH68</f>
        <v>5491</v>
      </c>
      <c r="BP68" s="421">
        <f t="shared" si="164"/>
        <v>0</v>
      </c>
      <c r="BQ68" s="421">
        <f t="shared" si="164"/>
        <v>5491</v>
      </c>
      <c r="BR68" s="421">
        <f>M68+AQ68</f>
        <v>0</v>
      </c>
      <c r="BS68" s="421">
        <f t="shared" si="165"/>
        <v>0</v>
      </c>
      <c r="BT68" s="421">
        <f t="shared" si="165"/>
        <v>0</v>
      </c>
      <c r="BU68" s="421">
        <f t="shared" si="166"/>
        <v>1856</v>
      </c>
      <c r="BV68" s="421">
        <f t="shared" si="166"/>
        <v>55</v>
      </c>
      <c r="BW68" s="421">
        <f>R68+AY68</f>
        <v>270</v>
      </c>
      <c r="BX68" s="422">
        <f>S68+BM68</f>
        <v>2.0799999999999999E-2</v>
      </c>
      <c r="BY68" s="422">
        <f t="shared" si="167"/>
        <v>0</v>
      </c>
      <c r="BZ68" s="611">
        <f t="shared" si="167"/>
        <v>2.0799999999999999E-2</v>
      </c>
      <c r="CA68" s="423"/>
      <c r="CB68" s="418"/>
      <c r="CC68" s="418"/>
      <c r="CD68" s="418"/>
      <c r="CE68" s="418"/>
      <c r="CF68" s="527"/>
    </row>
    <row r="69" spans="1:84" ht="12.95" customHeight="1" x14ac:dyDescent="0.25">
      <c r="A69" s="214">
        <v>13</v>
      </c>
      <c r="B69" s="45">
        <v>5492</v>
      </c>
      <c r="C69" s="45">
        <v>691007322</v>
      </c>
      <c r="D69" s="45">
        <v>71294180</v>
      </c>
      <c r="E69" s="376" t="s">
        <v>475</v>
      </c>
      <c r="F69" s="45"/>
      <c r="G69" s="376"/>
      <c r="H69" s="183"/>
      <c r="I69" s="489">
        <f t="shared" ref="I69:BU69" si="168">SUM(I65:I68)</f>
        <v>16920953</v>
      </c>
      <c r="J69" s="487">
        <f t="shared" si="168"/>
        <v>12461386</v>
      </c>
      <c r="K69" s="487">
        <f t="shared" si="168"/>
        <v>11499403</v>
      </c>
      <c r="L69" s="487">
        <f t="shared" si="168"/>
        <v>961983</v>
      </c>
      <c r="M69" s="487">
        <f t="shared" si="168"/>
        <v>0</v>
      </c>
      <c r="N69" s="487">
        <f t="shared" si="168"/>
        <v>0</v>
      </c>
      <c r="O69" s="487">
        <f t="shared" si="168"/>
        <v>0</v>
      </c>
      <c r="P69" s="487">
        <f t="shared" si="168"/>
        <v>4211949</v>
      </c>
      <c r="Q69" s="487">
        <f t="shared" si="168"/>
        <v>124614</v>
      </c>
      <c r="R69" s="487">
        <f t="shared" si="168"/>
        <v>123004</v>
      </c>
      <c r="S69" s="488">
        <f t="shared" si="168"/>
        <v>19.969600000000003</v>
      </c>
      <c r="T69" s="488">
        <f t="shared" si="168"/>
        <v>17.188800000000001</v>
      </c>
      <c r="U69" s="353">
        <f t="shared" si="168"/>
        <v>2.7807999999999997</v>
      </c>
      <c r="V69" s="490">
        <f t="shared" si="168"/>
        <v>0</v>
      </c>
      <c r="W69" s="487">
        <f t="shared" si="168"/>
        <v>-70400</v>
      </c>
      <c r="X69" s="487">
        <f t="shared" si="168"/>
        <v>0</v>
      </c>
      <c r="Y69" s="487">
        <f t="shared" si="168"/>
        <v>0</v>
      </c>
      <c r="Z69" s="487">
        <f t="shared" si="168"/>
        <v>0</v>
      </c>
      <c r="AA69" s="487">
        <f t="shared" si="168"/>
        <v>0</v>
      </c>
      <c r="AB69" s="487">
        <f t="shared" si="168"/>
        <v>0</v>
      </c>
      <c r="AC69" s="487">
        <f t="shared" si="168"/>
        <v>0</v>
      </c>
      <c r="AD69" s="487">
        <f t="shared" si="168"/>
        <v>0</v>
      </c>
      <c r="AE69" s="487">
        <f t="shared" si="168"/>
        <v>0</v>
      </c>
      <c r="AF69" s="487">
        <f t="shared" si="168"/>
        <v>0</v>
      </c>
      <c r="AG69" s="487">
        <f t="shared" si="168"/>
        <v>-70400</v>
      </c>
      <c r="AH69" s="487">
        <f t="shared" si="168"/>
        <v>-70400</v>
      </c>
      <c r="AI69" s="487">
        <f t="shared" si="168"/>
        <v>0</v>
      </c>
      <c r="AJ69" s="487">
        <f t="shared" si="168"/>
        <v>70400</v>
      </c>
      <c r="AK69" s="487">
        <f t="shared" ref="AK69" si="169">SUM(AK65:AK68)</f>
        <v>0</v>
      </c>
      <c r="AL69" s="487">
        <f t="shared" si="168"/>
        <v>0</v>
      </c>
      <c r="AM69" s="487">
        <f t="shared" si="168"/>
        <v>0</v>
      </c>
      <c r="AN69" s="487">
        <f t="shared" si="168"/>
        <v>0</v>
      </c>
      <c r="AO69" s="487">
        <f t="shared" si="168"/>
        <v>0</v>
      </c>
      <c r="AP69" s="487">
        <f t="shared" si="168"/>
        <v>70400</v>
      </c>
      <c r="AQ69" s="487">
        <f t="shared" si="168"/>
        <v>70400</v>
      </c>
      <c r="AR69" s="487">
        <f t="shared" si="168"/>
        <v>0</v>
      </c>
      <c r="AS69" s="487">
        <f t="shared" si="168"/>
        <v>0</v>
      </c>
      <c r="AT69" s="487">
        <f t="shared" si="168"/>
        <v>0</v>
      </c>
      <c r="AU69" s="487">
        <f t="shared" si="168"/>
        <v>0</v>
      </c>
      <c r="AV69" s="487">
        <f t="shared" si="168"/>
        <v>-704</v>
      </c>
      <c r="AW69" s="487">
        <f t="shared" si="168"/>
        <v>0</v>
      </c>
      <c r="AX69" s="487">
        <f t="shared" si="168"/>
        <v>0</v>
      </c>
      <c r="AY69" s="487">
        <f t="shared" si="168"/>
        <v>0</v>
      </c>
      <c r="AZ69" s="487">
        <f t="shared" si="168"/>
        <v>-704</v>
      </c>
      <c r="BA69" s="488">
        <f t="shared" si="168"/>
        <v>0</v>
      </c>
      <c r="BB69" s="488">
        <f t="shared" si="168"/>
        <v>-0.21</v>
      </c>
      <c r="BC69" s="488">
        <f t="shared" si="168"/>
        <v>0</v>
      </c>
      <c r="BD69" s="488">
        <f t="shared" si="168"/>
        <v>0</v>
      </c>
      <c r="BE69" s="488">
        <f t="shared" si="168"/>
        <v>0</v>
      </c>
      <c r="BF69" s="488">
        <f t="shared" si="168"/>
        <v>0</v>
      </c>
      <c r="BG69" s="488">
        <f t="shared" si="168"/>
        <v>0</v>
      </c>
      <c r="BH69" s="488">
        <f t="shared" si="168"/>
        <v>0</v>
      </c>
      <c r="BI69" s="488">
        <f t="shared" si="168"/>
        <v>0</v>
      </c>
      <c r="BJ69" s="488">
        <f t="shared" si="168"/>
        <v>0</v>
      </c>
      <c r="BK69" s="488">
        <f t="shared" si="168"/>
        <v>0</v>
      </c>
      <c r="BL69" s="488">
        <f t="shared" si="168"/>
        <v>-0.21</v>
      </c>
      <c r="BM69" s="563">
        <f t="shared" si="168"/>
        <v>-0.21</v>
      </c>
      <c r="BN69" s="489">
        <f t="shared" si="168"/>
        <v>16920249</v>
      </c>
      <c r="BO69" s="487">
        <f t="shared" si="168"/>
        <v>12390986</v>
      </c>
      <c r="BP69" s="487">
        <f t="shared" si="168"/>
        <v>11499403</v>
      </c>
      <c r="BQ69" s="487">
        <f t="shared" si="168"/>
        <v>891583</v>
      </c>
      <c r="BR69" s="487">
        <f t="shared" si="168"/>
        <v>70400</v>
      </c>
      <c r="BS69" s="487">
        <f t="shared" si="168"/>
        <v>0</v>
      </c>
      <c r="BT69" s="487">
        <f t="shared" si="168"/>
        <v>70400</v>
      </c>
      <c r="BU69" s="487">
        <f t="shared" si="168"/>
        <v>4211949</v>
      </c>
      <c r="BV69" s="487">
        <f t="shared" ref="BV69:CF69" si="170">SUM(BV65:BV68)</f>
        <v>123910</v>
      </c>
      <c r="BW69" s="487">
        <f t="shared" si="170"/>
        <v>123004</v>
      </c>
      <c r="BX69" s="488">
        <f t="shared" si="170"/>
        <v>19.759600000000002</v>
      </c>
      <c r="BY69" s="488">
        <f t="shared" si="170"/>
        <v>17.188800000000001</v>
      </c>
      <c r="BZ69" s="563">
        <f t="shared" si="170"/>
        <v>2.5707999999999998</v>
      </c>
      <c r="CA69" s="888">
        <f t="shared" si="170"/>
        <v>0</v>
      </c>
      <c r="CB69" s="887">
        <f t="shared" si="170"/>
        <v>0</v>
      </c>
      <c r="CC69" s="887">
        <f t="shared" si="170"/>
        <v>0</v>
      </c>
      <c r="CD69" s="887">
        <f t="shared" si="170"/>
        <v>0</v>
      </c>
      <c r="CE69" s="887">
        <f t="shared" si="170"/>
        <v>0</v>
      </c>
      <c r="CF69" s="843">
        <f t="shared" si="170"/>
        <v>0</v>
      </c>
    </row>
    <row r="70" spans="1:84" ht="12.95" customHeight="1" x14ac:dyDescent="0.25">
      <c r="A70" s="282">
        <v>14</v>
      </c>
      <c r="B70" s="213">
        <v>5457</v>
      </c>
      <c r="C70" s="213">
        <v>600099377</v>
      </c>
      <c r="D70" s="213">
        <v>855049</v>
      </c>
      <c r="E70" s="374" t="s">
        <v>476</v>
      </c>
      <c r="F70" s="213">
        <v>3113</v>
      </c>
      <c r="G70" s="374" t="s">
        <v>309</v>
      </c>
      <c r="H70" s="287" t="s">
        <v>271</v>
      </c>
      <c r="I70" s="423">
        <f t="shared" ref="I70:I75" si="171">J70+P70+Q70+R70</f>
        <v>40908046</v>
      </c>
      <c r="J70" s="418">
        <f t="shared" ref="J70:J75" si="172">K70+L70</f>
        <v>29911549</v>
      </c>
      <c r="K70" s="418">
        <v>27879553</v>
      </c>
      <c r="L70" s="418">
        <v>2031996</v>
      </c>
      <c r="M70" s="418">
        <f t="shared" ref="M70:M75" si="173">N70+O70</f>
        <v>0</v>
      </c>
      <c r="N70" s="418">
        <v>0</v>
      </c>
      <c r="O70" s="418">
        <v>0</v>
      </c>
      <c r="P70" s="68">
        <f t="shared" ref="P70:P75" si="174">ROUND((J70+M70)*33.8%,0)</f>
        <v>10110104</v>
      </c>
      <c r="Q70" s="68">
        <f t="shared" ref="Q70:Q75" si="175">ROUND(J70*1%,0)</f>
        <v>299115</v>
      </c>
      <c r="R70" s="418">
        <v>587278</v>
      </c>
      <c r="S70" s="419">
        <f t="shared" si="4"/>
        <v>44.773800000000001</v>
      </c>
      <c r="T70" s="419">
        <v>38.520499999999998</v>
      </c>
      <c r="U70" s="527">
        <v>6.2533000000000003</v>
      </c>
      <c r="V70" s="427">
        <f t="shared" ref="V70:W75" si="176">AI70*-1</f>
        <v>-32000</v>
      </c>
      <c r="W70" s="421">
        <f t="shared" si="176"/>
        <v>-12800</v>
      </c>
      <c r="X70" s="421">
        <v>0</v>
      </c>
      <c r="Y70" s="421">
        <v>0</v>
      </c>
      <c r="Z70" s="421">
        <v>0</v>
      </c>
      <c r="AA70" s="421">
        <v>0</v>
      </c>
      <c r="AB70" s="421">
        <v>282000</v>
      </c>
      <c r="AC70" s="421">
        <v>0</v>
      </c>
      <c r="AD70" s="421">
        <v>0</v>
      </c>
      <c r="AE70" s="421">
        <v>0</v>
      </c>
      <c r="AF70" s="421">
        <f t="shared" ref="AF70:AF75" si="177">V70+X70+Y70+AA70+AB70+AD70</f>
        <v>250000</v>
      </c>
      <c r="AG70" s="421">
        <f t="shared" ref="AG70:AG75" si="178">W70+Z70+AC70+AE70</f>
        <v>-12800</v>
      </c>
      <c r="AH70" s="421">
        <f t="shared" ref="AH70:AH75" si="179">SUM(AF70:AG70)</f>
        <v>237200</v>
      </c>
      <c r="AI70" s="421">
        <v>32000</v>
      </c>
      <c r="AJ70" s="421">
        <v>12800</v>
      </c>
      <c r="AK70" s="421">
        <v>0</v>
      </c>
      <c r="AL70" s="421">
        <v>158880</v>
      </c>
      <c r="AM70" s="421">
        <v>0</v>
      </c>
      <c r="AN70" s="421">
        <v>0</v>
      </c>
      <c r="AO70" s="421">
        <f t="shared" ref="AO70:AO75" si="180">AI70+AK70+AL70+AM70</f>
        <v>190880</v>
      </c>
      <c r="AP70" s="421">
        <f t="shared" ref="AP70:AP75" si="181">AJ70+AN70</f>
        <v>12800</v>
      </c>
      <c r="AQ70" s="421">
        <f t="shared" ref="AQ70:AQ75" si="182">SUM(AO70:AP70)</f>
        <v>203680</v>
      </c>
      <c r="AR70" s="421">
        <f t="shared" ref="AR70:AS75" si="183">AF70+AO70</f>
        <v>440880</v>
      </c>
      <c r="AS70" s="421">
        <f t="shared" si="183"/>
        <v>0</v>
      </c>
      <c r="AT70" s="421">
        <f t="shared" ref="AT70:AT75" si="184">SUM(AR70:AS70)</f>
        <v>440880</v>
      </c>
      <c r="AU70" s="68">
        <f t="shared" ref="AU70:AU75" si="185">ROUND((AH70+AI70+AJ70+AK70+AL70)*33.8%,0)</f>
        <v>149017</v>
      </c>
      <c r="AV70" s="68">
        <f t="shared" ref="AV70:AV75" si="186">ROUND(AH70*1%,0)</f>
        <v>2372</v>
      </c>
      <c r="AW70" s="421">
        <v>0</v>
      </c>
      <c r="AX70" s="421">
        <v>0</v>
      </c>
      <c r="AY70" s="421">
        <f t="shared" ref="AY70:AY75" si="187">AW70+AX70</f>
        <v>0</v>
      </c>
      <c r="AZ70" s="421">
        <f t="shared" ref="AZ70:AZ75" si="188">AT70+AU70+AV70+AY70</f>
        <v>592269</v>
      </c>
      <c r="BA70" s="422">
        <v>0</v>
      </c>
      <c r="BB70" s="422">
        <v>0</v>
      </c>
      <c r="BC70" s="422">
        <v>0</v>
      </c>
      <c r="BD70" s="422">
        <v>0.5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 t="shared" ref="BK70:BK75" si="189">BA70+BC70+BD70+BF70+BH70+BI70</f>
        <v>0.5</v>
      </c>
      <c r="BL70" s="422">
        <f t="shared" ref="BL70:BL75" si="190">BB70+BE70+BG70+BJ70</f>
        <v>0</v>
      </c>
      <c r="BM70" s="611">
        <f t="shared" ref="BM70:BM75" si="191">SUM(BK70:BL70)</f>
        <v>0.5</v>
      </c>
      <c r="BN70" s="428">
        <f t="shared" ref="BN70:BN75" si="192">I70+AZ70</f>
        <v>41500315</v>
      </c>
      <c r="BO70" s="421">
        <f t="shared" ref="BO70:BO75" si="193">J70+AH70</f>
        <v>30148749</v>
      </c>
      <c r="BP70" s="421">
        <f t="shared" ref="BP70:BQ75" si="194">K70+AF70</f>
        <v>28129553</v>
      </c>
      <c r="BQ70" s="421">
        <f t="shared" si="194"/>
        <v>2019196</v>
      </c>
      <c r="BR70" s="421">
        <f t="shared" ref="BR70:BR75" si="195">M70+AQ70</f>
        <v>203680</v>
      </c>
      <c r="BS70" s="421">
        <f t="shared" ref="BS70:BT75" si="196">N70+AO70</f>
        <v>190880</v>
      </c>
      <c r="BT70" s="421">
        <f t="shared" si="196"/>
        <v>12800</v>
      </c>
      <c r="BU70" s="421">
        <f t="shared" ref="BU70:BV75" si="197">P70+AU70</f>
        <v>10259121</v>
      </c>
      <c r="BV70" s="421">
        <f t="shared" si="197"/>
        <v>301487</v>
      </c>
      <c r="BW70" s="421">
        <f t="shared" ref="BW70:BW75" si="198">R70+AY70</f>
        <v>587278</v>
      </c>
      <c r="BX70" s="422">
        <f t="shared" ref="BX70:BX75" si="199">S70+BM70</f>
        <v>45.273800000000001</v>
      </c>
      <c r="BY70" s="422">
        <f t="shared" ref="BY70:BZ75" si="200">T70+BK70</f>
        <v>39.020499999999998</v>
      </c>
      <c r="BZ70" s="611">
        <f t="shared" si="200"/>
        <v>6.2533000000000003</v>
      </c>
      <c r="CA70" s="423">
        <v>380136</v>
      </c>
      <c r="CB70" s="418">
        <v>282000</v>
      </c>
      <c r="CC70" s="418">
        <v>0</v>
      </c>
      <c r="CD70" s="418">
        <v>95316</v>
      </c>
      <c r="CE70" s="418">
        <v>2820</v>
      </c>
      <c r="CF70" s="527">
        <v>0.5</v>
      </c>
    </row>
    <row r="71" spans="1:84" ht="12.95" customHeight="1" x14ac:dyDescent="0.25">
      <c r="A71" s="282">
        <v>14</v>
      </c>
      <c r="B71" s="213">
        <v>5457</v>
      </c>
      <c r="C71" s="213">
        <v>600099377</v>
      </c>
      <c r="D71" s="213">
        <v>855049</v>
      </c>
      <c r="E71" s="212" t="s">
        <v>476</v>
      </c>
      <c r="F71" s="213">
        <v>3113</v>
      </c>
      <c r="G71" s="325" t="s">
        <v>292</v>
      </c>
      <c r="H71" s="287" t="s">
        <v>272</v>
      </c>
      <c r="I71" s="423">
        <f t="shared" si="171"/>
        <v>0</v>
      </c>
      <c r="J71" s="418">
        <f t="shared" si="172"/>
        <v>0</v>
      </c>
      <c r="K71" s="418">
        <v>0</v>
      </c>
      <c r="L71" s="418">
        <v>0</v>
      </c>
      <c r="M71" s="418">
        <f t="shared" si="173"/>
        <v>0</v>
      </c>
      <c r="N71" s="418">
        <v>0</v>
      </c>
      <c r="O71" s="418">
        <v>0</v>
      </c>
      <c r="P71" s="68">
        <f t="shared" si="174"/>
        <v>0</v>
      </c>
      <c r="Q71" s="68">
        <f t="shared" si="175"/>
        <v>0</v>
      </c>
      <c r="R71" s="418">
        <v>0</v>
      </c>
      <c r="S71" s="419">
        <f t="shared" si="4"/>
        <v>0</v>
      </c>
      <c r="T71" s="419">
        <v>0</v>
      </c>
      <c r="U71" s="527">
        <v>0</v>
      </c>
      <c r="V71" s="427">
        <f t="shared" si="176"/>
        <v>0</v>
      </c>
      <c r="W71" s="421">
        <f t="shared" si="176"/>
        <v>0</v>
      </c>
      <c r="X71" s="421">
        <v>3290430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177"/>
        <v>3290430</v>
      </c>
      <c r="AG71" s="421">
        <f t="shared" si="178"/>
        <v>0</v>
      </c>
      <c r="AH71" s="421">
        <f t="shared" si="179"/>
        <v>3290430</v>
      </c>
      <c r="AI71" s="421">
        <v>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180"/>
        <v>0</v>
      </c>
      <c r="AP71" s="421">
        <f t="shared" si="181"/>
        <v>0</v>
      </c>
      <c r="AQ71" s="421">
        <f t="shared" si="182"/>
        <v>0</v>
      </c>
      <c r="AR71" s="421">
        <f t="shared" si="183"/>
        <v>3290430</v>
      </c>
      <c r="AS71" s="421">
        <f t="shared" si="183"/>
        <v>0</v>
      </c>
      <c r="AT71" s="421">
        <f t="shared" si="184"/>
        <v>3290430</v>
      </c>
      <c r="AU71" s="68">
        <f t="shared" si="185"/>
        <v>1112165</v>
      </c>
      <c r="AV71" s="68">
        <f t="shared" si="186"/>
        <v>32904</v>
      </c>
      <c r="AW71" s="421">
        <v>20500</v>
      </c>
      <c r="AX71" s="421">
        <v>0</v>
      </c>
      <c r="AY71" s="421">
        <f t="shared" si="187"/>
        <v>20500</v>
      </c>
      <c r="AZ71" s="421">
        <f t="shared" si="188"/>
        <v>4455999</v>
      </c>
      <c r="BA71" s="422">
        <v>0</v>
      </c>
      <c r="BB71" s="422">
        <v>0</v>
      </c>
      <c r="BC71" s="422">
        <v>8.61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 t="shared" si="189"/>
        <v>8.61</v>
      </c>
      <c r="BL71" s="422">
        <f t="shared" si="190"/>
        <v>0</v>
      </c>
      <c r="BM71" s="611">
        <f t="shared" si="191"/>
        <v>8.61</v>
      </c>
      <c r="BN71" s="428">
        <f t="shared" si="192"/>
        <v>4455999</v>
      </c>
      <c r="BO71" s="421">
        <f t="shared" si="193"/>
        <v>3290430</v>
      </c>
      <c r="BP71" s="421">
        <f t="shared" si="194"/>
        <v>3290430</v>
      </c>
      <c r="BQ71" s="421">
        <f t="shared" si="194"/>
        <v>0</v>
      </c>
      <c r="BR71" s="421">
        <f t="shared" si="195"/>
        <v>0</v>
      </c>
      <c r="BS71" s="421">
        <f t="shared" si="196"/>
        <v>0</v>
      </c>
      <c r="BT71" s="421">
        <f t="shared" si="196"/>
        <v>0</v>
      </c>
      <c r="BU71" s="421">
        <f t="shared" si="197"/>
        <v>1112165</v>
      </c>
      <c r="BV71" s="421">
        <f t="shared" si="197"/>
        <v>32904</v>
      </c>
      <c r="BW71" s="421">
        <f t="shared" si="198"/>
        <v>20500</v>
      </c>
      <c r="BX71" s="422">
        <f t="shared" si="199"/>
        <v>8.61</v>
      </c>
      <c r="BY71" s="422">
        <f t="shared" si="200"/>
        <v>8.61</v>
      </c>
      <c r="BZ71" s="611">
        <f t="shared" si="200"/>
        <v>0</v>
      </c>
      <c r="CA71" s="423"/>
      <c r="CB71" s="418"/>
      <c r="CC71" s="418"/>
      <c r="CD71" s="418"/>
      <c r="CE71" s="418"/>
      <c r="CF71" s="527"/>
    </row>
    <row r="72" spans="1:84" ht="12.95" customHeight="1" x14ac:dyDescent="0.25">
      <c r="A72" s="282">
        <v>14</v>
      </c>
      <c r="B72" s="372">
        <v>5457</v>
      </c>
      <c r="C72" s="372">
        <v>600099377</v>
      </c>
      <c r="D72" s="372">
        <v>855049</v>
      </c>
      <c r="E72" s="373" t="s">
        <v>476</v>
      </c>
      <c r="F72" s="372">
        <v>3141</v>
      </c>
      <c r="G72" s="375" t="s">
        <v>295</v>
      </c>
      <c r="H72" s="287" t="s">
        <v>272</v>
      </c>
      <c r="I72" s="423">
        <f t="shared" si="171"/>
        <v>911551</v>
      </c>
      <c r="J72" s="418">
        <f t="shared" si="172"/>
        <v>666960</v>
      </c>
      <c r="K72" s="418">
        <v>0</v>
      </c>
      <c r="L72" s="418">
        <v>666960</v>
      </c>
      <c r="M72" s="418">
        <f t="shared" si="173"/>
        <v>0</v>
      </c>
      <c r="N72" s="418">
        <v>0</v>
      </c>
      <c r="O72" s="418">
        <v>0</v>
      </c>
      <c r="P72" s="68">
        <f t="shared" si="174"/>
        <v>225432</v>
      </c>
      <c r="Q72" s="68">
        <f t="shared" si="175"/>
        <v>6670</v>
      </c>
      <c r="R72" s="418">
        <v>12489</v>
      </c>
      <c r="S72" s="419">
        <f t="shared" si="4"/>
        <v>2</v>
      </c>
      <c r="T72" s="419">
        <v>0</v>
      </c>
      <c r="U72" s="527">
        <v>2</v>
      </c>
      <c r="V72" s="427">
        <f t="shared" si="176"/>
        <v>0</v>
      </c>
      <c r="W72" s="421">
        <f t="shared" si="176"/>
        <v>-19200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 t="shared" si="177"/>
        <v>0</v>
      </c>
      <c r="AG72" s="421">
        <f t="shared" si="178"/>
        <v>-19200</v>
      </c>
      <c r="AH72" s="421">
        <f t="shared" si="179"/>
        <v>-19200</v>
      </c>
      <c r="AI72" s="421">
        <v>0</v>
      </c>
      <c r="AJ72" s="421">
        <v>19200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180"/>
        <v>0</v>
      </c>
      <c r="AP72" s="421">
        <f t="shared" si="181"/>
        <v>19200</v>
      </c>
      <c r="AQ72" s="421">
        <f t="shared" si="182"/>
        <v>19200</v>
      </c>
      <c r="AR72" s="421">
        <f t="shared" si="183"/>
        <v>0</v>
      </c>
      <c r="AS72" s="421">
        <f t="shared" si="183"/>
        <v>0</v>
      </c>
      <c r="AT72" s="421">
        <f t="shared" si="184"/>
        <v>0</v>
      </c>
      <c r="AU72" s="68">
        <f t="shared" si="185"/>
        <v>0</v>
      </c>
      <c r="AV72" s="68">
        <f t="shared" si="186"/>
        <v>-192</v>
      </c>
      <c r="AW72" s="421">
        <v>0</v>
      </c>
      <c r="AX72" s="421">
        <v>0</v>
      </c>
      <c r="AY72" s="421">
        <f t="shared" si="187"/>
        <v>0</v>
      </c>
      <c r="AZ72" s="421">
        <f t="shared" si="188"/>
        <v>-192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 t="shared" si="189"/>
        <v>0</v>
      </c>
      <c r="BL72" s="422">
        <f t="shared" si="190"/>
        <v>0</v>
      </c>
      <c r="BM72" s="611">
        <f t="shared" si="191"/>
        <v>0</v>
      </c>
      <c r="BN72" s="428">
        <f t="shared" si="192"/>
        <v>911359</v>
      </c>
      <c r="BO72" s="421">
        <f t="shared" si="193"/>
        <v>647760</v>
      </c>
      <c r="BP72" s="421">
        <f t="shared" si="194"/>
        <v>0</v>
      </c>
      <c r="BQ72" s="421">
        <f t="shared" si="194"/>
        <v>647760</v>
      </c>
      <c r="BR72" s="421">
        <f t="shared" si="195"/>
        <v>19200</v>
      </c>
      <c r="BS72" s="421">
        <f t="shared" si="196"/>
        <v>0</v>
      </c>
      <c r="BT72" s="421">
        <f t="shared" si="196"/>
        <v>19200</v>
      </c>
      <c r="BU72" s="421">
        <f t="shared" si="197"/>
        <v>225432</v>
      </c>
      <c r="BV72" s="421">
        <f t="shared" si="197"/>
        <v>6478</v>
      </c>
      <c r="BW72" s="421">
        <f t="shared" si="198"/>
        <v>12489</v>
      </c>
      <c r="BX72" s="422">
        <f t="shared" si="199"/>
        <v>2</v>
      </c>
      <c r="BY72" s="422">
        <f t="shared" si="200"/>
        <v>0</v>
      </c>
      <c r="BZ72" s="611">
        <f t="shared" si="200"/>
        <v>2</v>
      </c>
      <c r="CA72" s="423"/>
      <c r="CB72" s="418"/>
      <c r="CC72" s="418"/>
      <c r="CD72" s="418"/>
      <c r="CE72" s="418"/>
      <c r="CF72" s="527"/>
    </row>
    <row r="73" spans="1:84" ht="12.95" customHeight="1" x14ac:dyDescent="0.25">
      <c r="A73" s="282">
        <v>14</v>
      </c>
      <c r="B73" s="213">
        <v>5457</v>
      </c>
      <c r="C73" s="213">
        <v>600099377</v>
      </c>
      <c r="D73" s="213">
        <v>855049</v>
      </c>
      <c r="E73" s="374" t="s">
        <v>476</v>
      </c>
      <c r="F73" s="213">
        <v>3143</v>
      </c>
      <c r="G73" s="325" t="s">
        <v>596</v>
      </c>
      <c r="H73" s="287" t="s">
        <v>271</v>
      </c>
      <c r="I73" s="423">
        <f t="shared" si="171"/>
        <v>3677819</v>
      </c>
      <c r="J73" s="418">
        <f t="shared" si="172"/>
        <v>2728352</v>
      </c>
      <c r="K73" s="418">
        <v>2728352</v>
      </c>
      <c r="L73" s="418">
        <v>0</v>
      </c>
      <c r="M73" s="418">
        <f t="shared" si="173"/>
        <v>0</v>
      </c>
      <c r="N73" s="418">
        <v>0</v>
      </c>
      <c r="O73" s="418">
        <v>0</v>
      </c>
      <c r="P73" s="68">
        <f t="shared" si="174"/>
        <v>922183</v>
      </c>
      <c r="Q73" s="68">
        <f t="shared" si="175"/>
        <v>27284</v>
      </c>
      <c r="R73" s="418">
        <v>0</v>
      </c>
      <c r="S73" s="419">
        <f t="shared" si="4"/>
        <v>5.25</v>
      </c>
      <c r="T73" s="419">
        <v>5.25</v>
      </c>
      <c r="U73" s="527">
        <v>0</v>
      </c>
      <c r="V73" s="427">
        <f t="shared" si="176"/>
        <v>-6400</v>
      </c>
      <c r="W73" s="421">
        <f t="shared" si="176"/>
        <v>0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 t="shared" si="177"/>
        <v>-6400</v>
      </c>
      <c r="AG73" s="421">
        <f t="shared" si="178"/>
        <v>0</v>
      </c>
      <c r="AH73" s="421">
        <f t="shared" si="179"/>
        <v>-6400</v>
      </c>
      <c r="AI73" s="421">
        <v>6400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si="180"/>
        <v>6400</v>
      </c>
      <c r="AP73" s="421">
        <f t="shared" si="181"/>
        <v>0</v>
      </c>
      <c r="AQ73" s="421">
        <f t="shared" si="182"/>
        <v>6400</v>
      </c>
      <c r="AR73" s="421">
        <f t="shared" si="183"/>
        <v>0</v>
      </c>
      <c r="AS73" s="421">
        <f t="shared" si="183"/>
        <v>0</v>
      </c>
      <c r="AT73" s="421">
        <f t="shared" si="184"/>
        <v>0</v>
      </c>
      <c r="AU73" s="68">
        <f t="shared" si="185"/>
        <v>0</v>
      </c>
      <c r="AV73" s="68">
        <f t="shared" si="186"/>
        <v>-64</v>
      </c>
      <c r="AW73" s="421">
        <v>0</v>
      </c>
      <c r="AX73" s="421">
        <v>0</v>
      </c>
      <c r="AY73" s="421">
        <f t="shared" si="187"/>
        <v>0</v>
      </c>
      <c r="AZ73" s="421">
        <f t="shared" si="188"/>
        <v>-64</v>
      </c>
      <c r="BA73" s="422">
        <v>0</v>
      </c>
      <c r="BB73" s="422">
        <v>0</v>
      </c>
      <c r="BC73" s="422">
        <v>0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 t="shared" si="189"/>
        <v>0</v>
      </c>
      <c r="BL73" s="422">
        <f t="shared" si="190"/>
        <v>0</v>
      </c>
      <c r="BM73" s="611">
        <f t="shared" si="191"/>
        <v>0</v>
      </c>
      <c r="BN73" s="428">
        <f t="shared" si="192"/>
        <v>3677755</v>
      </c>
      <c r="BO73" s="421">
        <f t="shared" si="193"/>
        <v>2721952</v>
      </c>
      <c r="BP73" s="421">
        <f t="shared" si="194"/>
        <v>2721952</v>
      </c>
      <c r="BQ73" s="421">
        <f t="shared" si="194"/>
        <v>0</v>
      </c>
      <c r="BR73" s="421">
        <f t="shared" si="195"/>
        <v>6400</v>
      </c>
      <c r="BS73" s="421">
        <f t="shared" si="196"/>
        <v>6400</v>
      </c>
      <c r="BT73" s="421">
        <f t="shared" si="196"/>
        <v>0</v>
      </c>
      <c r="BU73" s="421">
        <f t="shared" si="197"/>
        <v>922183</v>
      </c>
      <c r="BV73" s="421">
        <f t="shared" si="197"/>
        <v>27220</v>
      </c>
      <c r="BW73" s="421">
        <f t="shared" si="198"/>
        <v>0</v>
      </c>
      <c r="BX73" s="422">
        <f t="shared" si="199"/>
        <v>5.25</v>
      </c>
      <c r="BY73" s="422">
        <f t="shared" si="200"/>
        <v>5.25</v>
      </c>
      <c r="BZ73" s="611">
        <f t="shared" si="200"/>
        <v>0</v>
      </c>
      <c r="CA73" s="423"/>
      <c r="CB73" s="418"/>
      <c r="CC73" s="418"/>
      <c r="CD73" s="418"/>
      <c r="CE73" s="418"/>
      <c r="CF73" s="527"/>
    </row>
    <row r="74" spans="1:84" ht="12.95" customHeight="1" x14ac:dyDescent="0.25">
      <c r="A74" s="282">
        <v>14</v>
      </c>
      <c r="B74" s="213">
        <v>5457</v>
      </c>
      <c r="C74" s="213">
        <v>600099377</v>
      </c>
      <c r="D74" s="213">
        <v>855049</v>
      </c>
      <c r="E74" s="374" t="s">
        <v>476</v>
      </c>
      <c r="F74" s="213">
        <v>3143</v>
      </c>
      <c r="G74" s="325" t="s">
        <v>597</v>
      </c>
      <c r="H74" s="287" t="s">
        <v>272</v>
      </c>
      <c r="I74" s="423">
        <f t="shared" si="171"/>
        <v>86566</v>
      </c>
      <c r="J74" s="418">
        <f t="shared" si="172"/>
        <v>61961</v>
      </c>
      <c r="K74" s="418">
        <v>0</v>
      </c>
      <c r="L74" s="418">
        <v>61961</v>
      </c>
      <c r="M74" s="418">
        <f t="shared" si="173"/>
        <v>0</v>
      </c>
      <c r="N74" s="418">
        <v>0</v>
      </c>
      <c r="O74" s="418">
        <v>0</v>
      </c>
      <c r="P74" s="68">
        <f t="shared" si="174"/>
        <v>20943</v>
      </c>
      <c r="Q74" s="68">
        <f t="shared" si="175"/>
        <v>620</v>
      </c>
      <c r="R74" s="418">
        <v>3042</v>
      </c>
      <c r="S74" s="419">
        <f t="shared" si="4"/>
        <v>0.23469999999999999</v>
      </c>
      <c r="T74" s="419">
        <v>0</v>
      </c>
      <c r="U74" s="527">
        <v>0.23469999999999999</v>
      </c>
      <c r="V74" s="427">
        <f t="shared" si="176"/>
        <v>0</v>
      </c>
      <c r="W74" s="421">
        <f t="shared" si="176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 t="shared" si="177"/>
        <v>0</v>
      </c>
      <c r="AG74" s="421">
        <f t="shared" si="178"/>
        <v>0</v>
      </c>
      <c r="AH74" s="421">
        <f t="shared" si="179"/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180"/>
        <v>0</v>
      </c>
      <c r="AP74" s="421">
        <f t="shared" si="181"/>
        <v>0</v>
      </c>
      <c r="AQ74" s="421">
        <f t="shared" si="182"/>
        <v>0</v>
      </c>
      <c r="AR74" s="421">
        <f t="shared" si="183"/>
        <v>0</v>
      </c>
      <c r="AS74" s="421">
        <f t="shared" si="183"/>
        <v>0</v>
      </c>
      <c r="AT74" s="421">
        <f t="shared" si="184"/>
        <v>0</v>
      </c>
      <c r="AU74" s="68">
        <f t="shared" si="185"/>
        <v>0</v>
      </c>
      <c r="AV74" s="68">
        <f t="shared" si="186"/>
        <v>0</v>
      </c>
      <c r="AW74" s="421">
        <v>0</v>
      </c>
      <c r="AX74" s="421">
        <v>0</v>
      </c>
      <c r="AY74" s="421">
        <f t="shared" si="187"/>
        <v>0</v>
      </c>
      <c r="AZ74" s="421">
        <f t="shared" si="188"/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 t="shared" si="189"/>
        <v>0</v>
      </c>
      <c r="BL74" s="422">
        <f t="shared" si="190"/>
        <v>0</v>
      </c>
      <c r="BM74" s="611">
        <f t="shared" si="191"/>
        <v>0</v>
      </c>
      <c r="BN74" s="428">
        <f t="shared" si="192"/>
        <v>86566</v>
      </c>
      <c r="BO74" s="421">
        <f t="shared" si="193"/>
        <v>61961</v>
      </c>
      <c r="BP74" s="421">
        <f t="shared" si="194"/>
        <v>0</v>
      </c>
      <c r="BQ74" s="421">
        <f t="shared" si="194"/>
        <v>61961</v>
      </c>
      <c r="BR74" s="421">
        <f t="shared" si="195"/>
        <v>0</v>
      </c>
      <c r="BS74" s="421">
        <f t="shared" si="196"/>
        <v>0</v>
      </c>
      <c r="BT74" s="421">
        <f t="shared" si="196"/>
        <v>0</v>
      </c>
      <c r="BU74" s="421">
        <f t="shared" si="197"/>
        <v>20943</v>
      </c>
      <c r="BV74" s="421">
        <f t="shared" si="197"/>
        <v>620</v>
      </c>
      <c r="BW74" s="421">
        <f t="shared" si="198"/>
        <v>3042</v>
      </c>
      <c r="BX74" s="422">
        <f t="shared" si="199"/>
        <v>0.23469999999999999</v>
      </c>
      <c r="BY74" s="422">
        <f t="shared" si="200"/>
        <v>0</v>
      </c>
      <c r="BZ74" s="611">
        <f t="shared" si="200"/>
        <v>0.23469999999999999</v>
      </c>
      <c r="CA74" s="423"/>
      <c r="CB74" s="418"/>
      <c r="CC74" s="418"/>
      <c r="CD74" s="418"/>
      <c r="CE74" s="418"/>
      <c r="CF74" s="527"/>
    </row>
    <row r="75" spans="1:84" ht="12.95" customHeight="1" x14ac:dyDescent="0.25">
      <c r="A75" s="282">
        <v>14</v>
      </c>
      <c r="B75" s="213">
        <v>5457</v>
      </c>
      <c r="C75" s="213">
        <v>600099377</v>
      </c>
      <c r="D75" s="213">
        <v>855049</v>
      </c>
      <c r="E75" s="212" t="s">
        <v>476</v>
      </c>
      <c r="F75" s="213">
        <v>3143</v>
      </c>
      <c r="G75" s="325" t="s">
        <v>297</v>
      </c>
      <c r="H75" s="287" t="s">
        <v>272</v>
      </c>
      <c r="I75" s="423">
        <f t="shared" si="171"/>
        <v>761689</v>
      </c>
      <c r="J75" s="418">
        <f t="shared" si="172"/>
        <v>563983</v>
      </c>
      <c r="K75" s="418">
        <v>519974</v>
      </c>
      <c r="L75" s="715">
        <v>44009</v>
      </c>
      <c r="M75" s="418">
        <f t="shared" si="173"/>
        <v>0</v>
      </c>
      <c r="N75" s="418">
        <v>0</v>
      </c>
      <c r="O75" s="418">
        <v>0</v>
      </c>
      <c r="P75" s="716">
        <f t="shared" si="174"/>
        <v>190626</v>
      </c>
      <c r="Q75" s="716">
        <f t="shared" si="175"/>
        <v>5640</v>
      </c>
      <c r="R75" s="715">
        <v>1440</v>
      </c>
      <c r="S75" s="419">
        <f t="shared" si="4"/>
        <v>1.2</v>
      </c>
      <c r="T75" s="717">
        <v>1.03</v>
      </c>
      <c r="U75" s="719">
        <v>0.17</v>
      </c>
      <c r="V75" s="427">
        <f t="shared" si="176"/>
        <v>0</v>
      </c>
      <c r="W75" s="421">
        <f t="shared" si="176"/>
        <v>0</v>
      </c>
      <c r="X75" s="421">
        <v>0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 t="shared" si="177"/>
        <v>0</v>
      </c>
      <c r="AG75" s="421">
        <f t="shared" si="178"/>
        <v>0</v>
      </c>
      <c r="AH75" s="421">
        <f t="shared" si="179"/>
        <v>0</v>
      </c>
      <c r="AI75" s="421">
        <v>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si="180"/>
        <v>0</v>
      </c>
      <c r="AP75" s="421">
        <f t="shared" si="181"/>
        <v>0</v>
      </c>
      <c r="AQ75" s="421">
        <f t="shared" si="182"/>
        <v>0</v>
      </c>
      <c r="AR75" s="421">
        <f t="shared" si="183"/>
        <v>0</v>
      </c>
      <c r="AS75" s="421">
        <f t="shared" si="183"/>
        <v>0</v>
      </c>
      <c r="AT75" s="421">
        <f t="shared" si="184"/>
        <v>0</v>
      </c>
      <c r="AU75" s="68">
        <f t="shared" si="185"/>
        <v>0</v>
      </c>
      <c r="AV75" s="68">
        <f t="shared" si="186"/>
        <v>0</v>
      </c>
      <c r="AW75" s="421">
        <v>0</v>
      </c>
      <c r="AX75" s="421">
        <v>0</v>
      </c>
      <c r="AY75" s="421">
        <f t="shared" si="187"/>
        <v>0</v>
      </c>
      <c r="AZ75" s="421">
        <f t="shared" si="188"/>
        <v>0</v>
      </c>
      <c r="BA75" s="422">
        <v>0</v>
      </c>
      <c r="BB75" s="422">
        <v>0</v>
      </c>
      <c r="BC75" s="422">
        <v>0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 t="shared" si="189"/>
        <v>0</v>
      </c>
      <c r="BL75" s="422">
        <f t="shared" si="190"/>
        <v>0</v>
      </c>
      <c r="BM75" s="611">
        <f t="shared" si="191"/>
        <v>0</v>
      </c>
      <c r="BN75" s="428">
        <f t="shared" si="192"/>
        <v>761689</v>
      </c>
      <c r="BO75" s="421">
        <f t="shared" si="193"/>
        <v>563983</v>
      </c>
      <c r="BP75" s="421">
        <f t="shared" si="194"/>
        <v>519974</v>
      </c>
      <c r="BQ75" s="421">
        <f t="shared" si="194"/>
        <v>44009</v>
      </c>
      <c r="BR75" s="421">
        <f t="shared" si="195"/>
        <v>0</v>
      </c>
      <c r="BS75" s="421">
        <f t="shared" si="196"/>
        <v>0</v>
      </c>
      <c r="BT75" s="421">
        <f t="shared" si="196"/>
        <v>0</v>
      </c>
      <c r="BU75" s="421">
        <f t="shared" si="197"/>
        <v>190626</v>
      </c>
      <c r="BV75" s="421">
        <f t="shared" si="197"/>
        <v>5640</v>
      </c>
      <c r="BW75" s="421">
        <f t="shared" si="198"/>
        <v>1440</v>
      </c>
      <c r="BX75" s="422">
        <f t="shared" si="199"/>
        <v>1.2</v>
      </c>
      <c r="BY75" s="422">
        <f t="shared" si="200"/>
        <v>1.03</v>
      </c>
      <c r="BZ75" s="611">
        <f t="shared" si="200"/>
        <v>0.17</v>
      </c>
      <c r="CA75" s="423"/>
      <c r="CB75" s="418"/>
      <c r="CC75" s="418"/>
      <c r="CD75" s="418"/>
      <c r="CE75" s="418"/>
      <c r="CF75" s="527"/>
    </row>
    <row r="76" spans="1:84" ht="12.95" customHeight="1" x14ac:dyDescent="0.25">
      <c r="A76" s="214">
        <v>14</v>
      </c>
      <c r="B76" s="48">
        <v>5457</v>
      </c>
      <c r="C76" s="48">
        <v>600099377</v>
      </c>
      <c r="D76" s="48">
        <v>855049</v>
      </c>
      <c r="E76" s="376" t="s">
        <v>477</v>
      </c>
      <c r="F76" s="48"/>
      <c r="G76" s="389"/>
      <c r="H76" s="186"/>
      <c r="I76" s="499">
        <f t="shared" ref="I76:BU76" si="201">SUM(I70:I75)</f>
        <v>46345671</v>
      </c>
      <c r="J76" s="495">
        <f t="shared" si="201"/>
        <v>33932805</v>
      </c>
      <c r="K76" s="495">
        <f t="shared" si="201"/>
        <v>31127879</v>
      </c>
      <c r="L76" s="495">
        <f t="shared" si="201"/>
        <v>2804926</v>
      </c>
      <c r="M76" s="495">
        <f t="shared" si="201"/>
        <v>0</v>
      </c>
      <c r="N76" s="495">
        <f t="shared" si="201"/>
        <v>0</v>
      </c>
      <c r="O76" s="495">
        <f t="shared" si="201"/>
        <v>0</v>
      </c>
      <c r="P76" s="495">
        <f t="shared" si="201"/>
        <v>11469288</v>
      </c>
      <c r="Q76" s="495">
        <f t="shared" si="201"/>
        <v>339329</v>
      </c>
      <c r="R76" s="495">
        <f t="shared" si="201"/>
        <v>604249</v>
      </c>
      <c r="S76" s="496">
        <f t="shared" si="201"/>
        <v>53.458500000000001</v>
      </c>
      <c r="T76" s="496">
        <f t="shared" si="201"/>
        <v>44.8005</v>
      </c>
      <c r="U76" s="377">
        <f t="shared" si="201"/>
        <v>8.6579999999999995</v>
      </c>
      <c r="V76" s="501">
        <f t="shared" si="201"/>
        <v>-38400</v>
      </c>
      <c r="W76" s="495">
        <f t="shared" si="201"/>
        <v>-32000</v>
      </c>
      <c r="X76" s="495">
        <f t="shared" si="201"/>
        <v>3290430</v>
      </c>
      <c r="Y76" s="495">
        <f t="shared" si="201"/>
        <v>0</v>
      </c>
      <c r="Z76" s="495">
        <f t="shared" si="201"/>
        <v>0</v>
      </c>
      <c r="AA76" s="495">
        <f t="shared" si="201"/>
        <v>0</v>
      </c>
      <c r="AB76" s="495">
        <f t="shared" si="201"/>
        <v>282000</v>
      </c>
      <c r="AC76" s="495">
        <f t="shared" si="201"/>
        <v>0</v>
      </c>
      <c r="AD76" s="495">
        <f t="shared" si="201"/>
        <v>0</v>
      </c>
      <c r="AE76" s="495">
        <f t="shared" si="201"/>
        <v>0</v>
      </c>
      <c r="AF76" s="495">
        <f t="shared" si="201"/>
        <v>3534030</v>
      </c>
      <c r="AG76" s="495">
        <f t="shared" si="201"/>
        <v>-32000</v>
      </c>
      <c r="AH76" s="495">
        <f t="shared" si="201"/>
        <v>3502030</v>
      </c>
      <c r="AI76" s="495">
        <f t="shared" si="201"/>
        <v>38400</v>
      </c>
      <c r="AJ76" s="495">
        <f t="shared" si="201"/>
        <v>32000</v>
      </c>
      <c r="AK76" s="495">
        <f t="shared" ref="AK76" si="202">SUM(AK70:AK75)</f>
        <v>0</v>
      </c>
      <c r="AL76" s="495">
        <f t="shared" si="201"/>
        <v>158880</v>
      </c>
      <c r="AM76" s="495">
        <f t="shared" si="201"/>
        <v>0</v>
      </c>
      <c r="AN76" s="495">
        <f t="shared" si="201"/>
        <v>0</v>
      </c>
      <c r="AO76" s="495">
        <f t="shared" si="201"/>
        <v>197280</v>
      </c>
      <c r="AP76" s="495">
        <f t="shared" si="201"/>
        <v>32000</v>
      </c>
      <c r="AQ76" s="495">
        <f t="shared" si="201"/>
        <v>229280</v>
      </c>
      <c r="AR76" s="495">
        <f t="shared" si="201"/>
        <v>3731310</v>
      </c>
      <c r="AS76" s="495">
        <f t="shared" si="201"/>
        <v>0</v>
      </c>
      <c r="AT76" s="495">
        <f t="shared" si="201"/>
        <v>3731310</v>
      </c>
      <c r="AU76" s="495">
        <f t="shared" si="201"/>
        <v>1261182</v>
      </c>
      <c r="AV76" s="495">
        <f t="shared" si="201"/>
        <v>35020</v>
      </c>
      <c r="AW76" s="495">
        <f t="shared" si="201"/>
        <v>20500</v>
      </c>
      <c r="AX76" s="495">
        <f t="shared" si="201"/>
        <v>0</v>
      </c>
      <c r="AY76" s="495">
        <f t="shared" si="201"/>
        <v>20500</v>
      </c>
      <c r="AZ76" s="495">
        <f t="shared" si="201"/>
        <v>5048012</v>
      </c>
      <c r="BA76" s="496">
        <f t="shared" si="201"/>
        <v>0</v>
      </c>
      <c r="BB76" s="496">
        <f t="shared" si="201"/>
        <v>0</v>
      </c>
      <c r="BC76" s="496">
        <f t="shared" si="201"/>
        <v>8.61</v>
      </c>
      <c r="BD76" s="496">
        <f t="shared" si="201"/>
        <v>0.5</v>
      </c>
      <c r="BE76" s="496">
        <f t="shared" si="201"/>
        <v>0</v>
      </c>
      <c r="BF76" s="496">
        <f t="shared" si="201"/>
        <v>0</v>
      </c>
      <c r="BG76" s="496">
        <f t="shared" si="201"/>
        <v>0</v>
      </c>
      <c r="BH76" s="496">
        <f t="shared" si="201"/>
        <v>0</v>
      </c>
      <c r="BI76" s="496">
        <f t="shared" si="201"/>
        <v>0</v>
      </c>
      <c r="BJ76" s="496">
        <f t="shared" si="201"/>
        <v>0</v>
      </c>
      <c r="BK76" s="496">
        <f t="shared" si="201"/>
        <v>9.11</v>
      </c>
      <c r="BL76" s="496">
        <f t="shared" si="201"/>
        <v>0</v>
      </c>
      <c r="BM76" s="745">
        <f t="shared" si="201"/>
        <v>9.11</v>
      </c>
      <c r="BN76" s="499">
        <f t="shared" si="201"/>
        <v>51393683</v>
      </c>
      <c r="BO76" s="495">
        <f t="shared" si="201"/>
        <v>37434835</v>
      </c>
      <c r="BP76" s="495">
        <f t="shared" si="201"/>
        <v>34661909</v>
      </c>
      <c r="BQ76" s="495">
        <f t="shared" si="201"/>
        <v>2772926</v>
      </c>
      <c r="BR76" s="495">
        <f t="shared" si="201"/>
        <v>229280</v>
      </c>
      <c r="BS76" s="495">
        <f t="shared" si="201"/>
        <v>197280</v>
      </c>
      <c r="BT76" s="495">
        <f t="shared" si="201"/>
        <v>32000</v>
      </c>
      <c r="BU76" s="495">
        <f t="shared" si="201"/>
        <v>12730470</v>
      </c>
      <c r="BV76" s="495">
        <f t="shared" ref="BV76:CF76" si="203">SUM(BV70:BV75)</f>
        <v>374349</v>
      </c>
      <c r="BW76" s="495">
        <f t="shared" si="203"/>
        <v>624749</v>
      </c>
      <c r="BX76" s="496">
        <f t="shared" si="203"/>
        <v>62.5685</v>
      </c>
      <c r="BY76" s="496">
        <f t="shared" si="203"/>
        <v>53.910499999999999</v>
      </c>
      <c r="BZ76" s="745">
        <f t="shared" si="203"/>
        <v>8.6579999999999995</v>
      </c>
      <c r="CA76" s="901">
        <f t="shared" si="203"/>
        <v>380136</v>
      </c>
      <c r="CB76" s="896">
        <f t="shared" si="203"/>
        <v>282000</v>
      </c>
      <c r="CC76" s="896">
        <f t="shared" si="203"/>
        <v>0</v>
      </c>
      <c r="CD76" s="896">
        <f t="shared" si="203"/>
        <v>95316</v>
      </c>
      <c r="CE76" s="896">
        <f t="shared" si="203"/>
        <v>2820</v>
      </c>
      <c r="CF76" s="840">
        <f t="shared" si="203"/>
        <v>0.5</v>
      </c>
    </row>
    <row r="77" spans="1:84" ht="12.95" customHeight="1" x14ac:dyDescent="0.25">
      <c r="A77" s="282">
        <v>15</v>
      </c>
      <c r="B77" s="213">
        <v>5459</v>
      </c>
      <c r="C77" s="213">
        <v>600099415</v>
      </c>
      <c r="D77" s="213">
        <v>70946086</v>
      </c>
      <c r="E77" s="374" t="s">
        <v>478</v>
      </c>
      <c r="F77" s="213">
        <v>3231</v>
      </c>
      <c r="G77" s="374" t="s">
        <v>478</v>
      </c>
      <c r="H77" s="287" t="s">
        <v>271</v>
      </c>
      <c r="I77" s="423">
        <f>J77+P77+Q77+R77</f>
        <v>23937572</v>
      </c>
      <c r="J77" s="418">
        <f>K77+L77</f>
        <v>17737669</v>
      </c>
      <c r="K77" s="418">
        <v>17087355</v>
      </c>
      <c r="L77" s="418">
        <v>650314</v>
      </c>
      <c r="M77" s="418">
        <f t="shared" ref="M77" si="204">N77+O77</f>
        <v>0</v>
      </c>
      <c r="N77" s="418">
        <v>0</v>
      </c>
      <c r="O77" s="418">
        <v>0</v>
      </c>
      <c r="P77" s="68">
        <f>ROUND((J77+M77)*33.8%,0)</f>
        <v>5995332</v>
      </c>
      <c r="Q77" s="68">
        <f>ROUND(J77*1%,0)</f>
        <v>177377</v>
      </c>
      <c r="R77" s="418">
        <v>27194</v>
      </c>
      <c r="S77" s="419">
        <f t="shared" ref="S77:S139" si="205">T77+U77</f>
        <v>28.907799999999998</v>
      </c>
      <c r="T77" s="420">
        <v>27.082999999999998</v>
      </c>
      <c r="U77" s="527">
        <v>1.8248</v>
      </c>
      <c r="V77" s="427">
        <f>AI77*-1</f>
        <v>0</v>
      </c>
      <c r="W77" s="421">
        <f>AJ77*-1</f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>V77+X77+Y77+AA77+AB77+AD77</f>
        <v>0</v>
      </c>
      <c r="AG77" s="421">
        <f>W77+Z77+AC77+AE77</f>
        <v>0</v>
      </c>
      <c r="AH77" s="421">
        <f>SUM(AF77:AG77)</f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>AI77+AK77+AL77+AM77</f>
        <v>0</v>
      </c>
      <c r="AP77" s="421">
        <f>AJ77+AN77</f>
        <v>0</v>
      </c>
      <c r="AQ77" s="421">
        <f>SUM(AO77:AP77)</f>
        <v>0</v>
      </c>
      <c r="AR77" s="421">
        <f>AF77+AO77</f>
        <v>0</v>
      </c>
      <c r="AS77" s="421">
        <f>AG77+AP77</f>
        <v>0</v>
      </c>
      <c r="AT77" s="421">
        <f>SUM(AR77:AS77)</f>
        <v>0</v>
      </c>
      <c r="AU77" s="68">
        <f>ROUND((AH77+AI77+AJ77+AK77+AL77)*33.8%,0)</f>
        <v>0</v>
      </c>
      <c r="AV77" s="68">
        <f>ROUND(AH77*1%,0)</f>
        <v>0</v>
      </c>
      <c r="AW77" s="421">
        <v>0</v>
      </c>
      <c r="AX77" s="421">
        <v>0</v>
      </c>
      <c r="AY77" s="421">
        <f>AW77+AX77</f>
        <v>0</v>
      </c>
      <c r="AZ77" s="421">
        <f>AT77+AU77+AV77+AY77</f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>BA77+BC77+BD77+BF77+BH77+BI77</f>
        <v>0</v>
      </c>
      <c r="BL77" s="422">
        <f>BB77+BE77+BG77+BJ77</f>
        <v>0</v>
      </c>
      <c r="BM77" s="611">
        <f>SUM(BK77:BL77)</f>
        <v>0</v>
      </c>
      <c r="BN77" s="428">
        <f>I77+AZ77</f>
        <v>23937572</v>
      </c>
      <c r="BO77" s="421">
        <f>J77+AH77</f>
        <v>17737669</v>
      </c>
      <c r="BP77" s="421">
        <f>K77+AF77</f>
        <v>17087355</v>
      </c>
      <c r="BQ77" s="421">
        <f>L77+AG77</f>
        <v>650314</v>
      </c>
      <c r="BR77" s="421">
        <f>M77+AQ77</f>
        <v>0</v>
      </c>
      <c r="BS77" s="421">
        <f>N77+AO77</f>
        <v>0</v>
      </c>
      <c r="BT77" s="421">
        <f>O77+AP77</f>
        <v>0</v>
      </c>
      <c r="BU77" s="421">
        <f>P77+AU77</f>
        <v>5995332</v>
      </c>
      <c r="BV77" s="421">
        <f>Q77+AV77</f>
        <v>177377</v>
      </c>
      <c r="BW77" s="421">
        <f>R77+AY77</f>
        <v>27194</v>
      </c>
      <c r="BX77" s="422">
        <f>S77+BM77</f>
        <v>28.907799999999998</v>
      </c>
      <c r="BY77" s="422">
        <f>T77+BK77</f>
        <v>27.082999999999998</v>
      </c>
      <c r="BZ77" s="611">
        <f>U77+BL77</f>
        <v>1.8248</v>
      </c>
      <c r="CA77" s="423"/>
      <c r="CB77" s="418"/>
      <c r="CC77" s="418"/>
      <c r="CD77" s="418"/>
      <c r="CE77" s="418"/>
      <c r="CF77" s="527"/>
    </row>
    <row r="78" spans="1:84" ht="12.95" customHeight="1" x14ac:dyDescent="0.25">
      <c r="A78" s="214">
        <v>15</v>
      </c>
      <c r="B78" s="45">
        <v>5459</v>
      </c>
      <c r="C78" s="45">
        <v>600099415</v>
      </c>
      <c r="D78" s="45">
        <v>70946086</v>
      </c>
      <c r="E78" s="376" t="s">
        <v>479</v>
      </c>
      <c r="F78" s="45"/>
      <c r="G78" s="376"/>
      <c r="H78" s="183"/>
      <c r="I78" s="472">
        <f t="shared" ref="I78:BU78" si="206">SUM(I77)</f>
        <v>23937572</v>
      </c>
      <c r="J78" s="468">
        <f t="shared" si="206"/>
        <v>17737669</v>
      </c>
      <c r="K78" s="468">
        <f t="shared" si="206"/>
        <v>17087355</v>
      </c>
      <c r="L78" s="468">
        <f t="shared" si="206"/>
        <v>650314</v>
      </c>
      <c r="M78" s="468">
        <f t="shared" si="206"/>
        <v>0</v>
      </c>
      <c r="N78" s="468">
        <f t="shared" si="206"/>
        <v>0</v>
      </c>
      <c r="O78" s="468">
        <f t="shared" si="206"/>
        <v>0</v>
      </c>
      <c r="P78" s="468">
        <f t="shared" si="206"/>
        <v>5995332</v>
      </c>
      <c r="Q78" s="468">
        <f t="shared" si="206"/>
        <v>177377</v>
      </c>
      <c r="R78" s="468">
        <f t="shared" si="206"/>
        <v>27194</v>
      </c>
      <c r="S78" s="469">
        <f t="shared" si="206"/>
        <v>28.907799999999998</v>
      </c>
      <c r="T78" s="469">
        <f t="shared" si="206"/>
        <v>27.082999999999998</v>
      </c>
      <c r="U78" s="281">
        <f t="shared" si="206"/>
        <v>1.8248</v>
      </c>
      <c r="V78" s="474">
        <f t="shared" si="206"/>
        <v>0</v>
      </c>
      <c r="W78" s="468">
        <f t="shared" si="206"/>
        <v>0</v>
      </c>
      <c r="X78" s="468">
        <f t="shared" si="206"/>
        <v>0</v>
      </c>
      <c r="Y78" s="468">
        <f t="shared" si="206"/>
        <v>0</v>
      </c>
      <c r="Z78" s="468">
        <f t="shared" si="206"/>
        <v>0</v>
      </c>
      <c r="AA78" s="468">
        <f t="shared" si="206"/>
        <v>0</v>
      </c>
      <c r="AB78" s="468">
        <f t="shared" si="206"/>
        <v>0</v>
      </c>
      <c r="AC78" s="468">
        <f t="shared" si="206"/>
        <v>0</v>
      </c>
      <c r="AD78" s="468">
        <f t="shared" si="206"/>
        <v>0</v>
      </c>
      <c r="AE78" s="468">
        <f t="shared" si="206"/>
        <v>0</v>
      </c>
      <c r="AF78" s="468">
        <f t="shared" si="206"/>
        <v>0</v>
      </c>
      <c r="AG78" s="468">
        <f t="shared" si="206"/>
        <v>0</v>
      </c>
      <c r="AH78" s="468">
        <f t="shared" si="206"/>
        <v>0</v>
      </c>
      <c r="AI78" s="468">
        <f t="shared" si="206"/>
        <v>0</v>
      </c>
      <c r="AJ78" s="468">
        <f t="shared" si="206"/>
        <v>0</v>
      </c>
      <c r="AK78" s="468">
        <f t="shared" ref="AK78" si="207">SUM(AK77)</f>
        <v>0</v>
      </c>
      <c r="AL78" s="468">
        <f t="shared" si="206"/>
        <v>0</v>
      </c>
      <c r="AM78" s="468">
        <f t="shared" si="206"/>
        <v>0</v>
      </c>
      <c r="AN78" s="468">
        <f t="shared" si="206"/>
        <v>0</v>
      </c>
      <c r="AO78" s="468">
        <f t="shared" si="206"/>
        <v>0</v>
      </c>
      <c r="AP78" s="468">
        <f t="shared" si="206"/>
        <v>0</v>
      </c>
      <c r="AQ78" s="468">
        <f t="shared" si="206"/>
        <v>0</v>
      </c>
      <c r="AR78" s="468">
        <f t="shared" si="206"/>
        <v>0</v>
      </c>
      <c r="AS78" s="468">
        <f t="shared" si="206"/>
        <v>0</v>
      </c>
      <c r="AT78" s="468">
        <f t="shared" si="206"/>
        <v>0</v>
      </c>
      <c r="AU78" s="468">
        <f t="shared" si="206"/>
        <v>0</v>
      </c>
      <c r="AV78" s="468">
        <f t="shared" si="206"/>
        <v>0</v>
      </c>
      <c r="AW78" s="468">
        <f t="shared" si="206"/>
        <v>0</v>
      </c>
      <c r="AX78" s="468">
        <f t="shared" si="206"/>
        <v>0</v>
      </c>
      <c r="AY78" s="468">
        <f t="shared" si="206"/>
        <v>0</v>
      </c>
      <c r="AZ78" s="468">
        <f t="shared" si="206"/>
        <v>0</v>
      </c>
      <c r="BA78" s="469">
        <f t="shared" si="206"/>
        <v>0</v>
      </c>
      <c r="BB78" s="469">
        <f t="shared" si="206"/>
        <v>0</v>
      </c>
      <c r="BC78" s="469">
        <f t="shared" si="206"/>
        <v>0</v>
      </c>
      <c r="BD78" s="469">
        <f t="shared" si="206"/>
        <v>0</v>
      </c>
      <c r="BE78" s="469">
        <f t="shared" si="206"/>
        <v>0</v>
      </c>
      <c r="BF78" s="469">
        <f t="shared" si="206"/>
        <v>0</v>
      </c>
      <c r="BG78" s="469">
        <f t="shared" si="206"/>
        <v>0</v>
      </c>
      <c r="BH78" s="469">
        <f t="shared" si="206"/>
        <v>0</v>
      </c>
      <c r="BI78" s="469">
        <f t="shared" si="206"/>
        <v>0</v>
      </c>
      <c r="BJ78" s="469">
        <f t="shared" si="206"/>
        <v>0</v>
      </c>
      <c r="BK78" s="469">
        <f t="shared" si="206"/>
        <v>0</v>
      </c>
      <c r="BL78" s="469">
        <f t="shared" si="206"/>
        <v>0</v>
      </c>
      <c r="BM78" s="562">
        <f t="shared" si="206"/>
        <v>0</v>
      </c>
      <c r="BN78" s="472">
        <f t="shared" si="206"/>
        <v>23937572</v>
      </c>
      <c r="BO78" s="468">
        <f t="shared" si="206"/>
        <v>17737669</v>
      </c>
      <c r="BP78" s="468">
        <f t="shared" si="206"/>
        <v>17087355</v>
      </c>
      <c r="BQ78" s="468">
        <f t="shared" si="206"/>
        <v>650314</v>
      </c>
      <c r="BR78" s="468">
        <f t="shared" si="206"/>
        <v>0</v>
      </c>
      <c r="BS78" s="468">
        <f t="shared" si="206"/>
        <v>0</v>
      </c>
      <c r="BT78" s="468">
        <f t="shared" si="206"/>
        <v>0</v>
      </c>
      <c r="BU78" s="468">
        <f t="shared" si="206"/>
        <v>5995332</v>
      </c>
      <c r="BV78" s="468">
        <f t="shared" ref="BV78:CF78" si="208">SUM(BV77)</f>
        <v>177377</v>
      </c>
      <c r="BW78" s="468">
        <f t="shared" si="208"/>
        <v>27194</v>
      </c>
      <c r="BX78" s="469">
        <f t="shared" si="208"/>
        <v>28.907799999999998</v>
      </c>
      <c r="BY78" s="469">
        <f t="shared" si="208"/>
        <v>27.082999999999998</v>
      </c>
      <c r="BZ78" s="562">
        <f t="shared" si="208"/>
        <v>1.8248</v>
      </c>
      <c r="CA78" s="873">
        <f t="shared" si="208"/>
        <v>0</v>
      </c>
      <c r="CB78" s="850">
        <f t="shared" si="208"/>
        <v>0</v>
      </c>
      <c r="CC78" s="850">
        <f t="shared" si="208"/>
        <v>0</v>
      </c>
      <c r="CD78" s="850">
        <f t="shared" si="208"/>
        <v>0</v>
      </c>
      <c r="CE78" s="850">
        <f t="shared" si="208"/>
        <v>0</v>
      </c>
      <c r="CF78" s="841">
        <f t="shared" si="208"/>
        <v>0</v>
      </c>
    </row>
    <row r="79" spans="1:84" ht="12.95" customHeight="1" x14ac:dyDescent="0.25">
      <c r="A79" s="282">
        <v>16</v>
      </c>
      <c r="B79" s="378">
        <v>5482</v>
      </c>
      <c r="C79" s="378">
        <v>600098982</v>
      </c>
      <c r="D79" s="378">
        <v>71006923</v>
      </c>
      <c r="E79" s="374" t="s">
        <v>480</v>
      </c>
      <c r="F79" s="213">
        <v>3111</v>
      </c>
      <c r="G79" s="375" t="s">
        <v>305</v>
      </c>
      <c r="H79" s="287" t="s">
        <v>271</v>
      </c>
      <c r="I79" s="423">
        <f t="shared" ref="I79:I84" si="209">J79+P79+Q79+R79</f>
        <v>1798273</v>
      </c>
      <c r="J79" s="418">
        <f t="shared" ref="J79:J84" si="210">K79+L79</f>
        <v>1328484</v>
      </c>
      <c r="K79" s="418">
        <v>1261916</v>
      </c>
      <c r="L79" s="418">
        <v>66568</v>
      </c>
      <c r="M79" s="418">
        <f t="shared" ref="M79:M84" si="211">N79+O79</f>
        <v>0</v>
      </c>
      <c r="N79" s="418">
        <v>0</v>
      </c>
      <c r="O79" s="418">
        <v>0</v>
      </c>
      <c r="P79" s="68">
        <f t="shared" ref="P79:P84" si="212">ROUND((J79+M79)*33.8%,0)</f>
        <v>449028</v>
      </c>
      <c r="Q79" s="68">
        <f t="shared" ref="Q79:Q84" si="213">ROUND(J79*1%,0)</f>
        <v>13285</v>
      </c>
      <c r="R79" s="418">
        <v>7476</v>
      </c>
      <c r="S79" s="419">
        <f t="shared" si="205"/>
        <v>2.2667000000000002</v>
      </c>
      <c r="T79" s="419">
        <v>2</v>
      </c>
      <c r="U79" s="527">
        <v>0.26669999999999999</v>
      </c>
      <c r="V79" s="427">
        <f t="shared" ref="V79:W84" si="214">AI79*-1</f>
        <v>0</v>
      </c>
      <c r="W79" s="421">
        <f t="shared" si="214"/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 t="shared" ref="AF79:AF84" si="215">V79+X79+Y79+AA79+AB79+AD79</f>
        <v>0</v>
      </c>
      <c r="AG79" s="421">
        <f t="shared" ref="AG79:AG84" si="216">W79+Z79+AC79+AE79</f>
        <v>0</v>
      </c>
      <c r="AH79" s="421">
        <f t="shared" ref="AH79:AH84" si="217">SUM(AF79:AG79)</f>
        <v>0</v>
      </c>
      <c r="AI79" s="421">
        <v>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ref="AO79:AO84" si="218">AI79+AK79+AL79+AM79</f>
        <v>0</v>
      </c>
      <c r="AP79" s="421">
        <f t="shared" ref="AP79:AP84" si="219">AJ79+AN79</f>
        <v>0</v>
      </c>
      <c r="AQ79" s="421">
        <f t="shared" ref="AQ79:AQ84" si="220">SUM(AO79:AP79)</f>
        <v>0</v>
      </c>
      <c r="AR79" s="421">
        <f t="shared" ref="AR79:AS84" si="221">AF79+AO79</f>
        <v>0</v>
      </c>
      <c r="AS79" s="421">
        <f t="shared" si="221"/>
        <v>0</v>
      </c>
      <c r="AT79" s="421">
        <f t="shared" ref="AT79:AT84" si="222">SUM(AR79:AS79)</f>
        <v>0</v>
      </c>
      <c r="AU79" s="68">
        <f t="shared" ref="AU79:AU84" si="223">ROUND((AH79+AI79+AJ79+AK79+AL79)*33.8%,0)</f>
        <v>0</v>
      </c>
      <c r="AV79" s="68">
        <f t="shared" ref="AV79:AV84" si="224">ROUND(AH79*1%,0)</f>
        <v>0</v>
      </c>
      <c r="AW79" s="421">
        <v>0</v>
      </c>
      <c r="AX79" s="421">
        <v>0</v>
      </c>
      <c r="AY79" s="421">
        <f t="shared" ref="AY79:AY84" si="225">AW79+AX79</f>
        <v>0</v>
      </c>
      <c r="AZ79" s="421">
        <f t="shared" ref="AZ79:AZ84" si="226">AT79+AU79+AV79+AY79</f>
        <v>0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 t="shared" ref="BK79:BK84" si="227">BA79+BC79+BD79+BF79+BH79+BI79</f>
        <v>0</v>
      </c>
      <c r="BL79" s="422">
        <f t="shared" ref="BL79:BL84" si="228">BB79+BE79+BG79+BJ79</f>
        <v>0</v>
      </c>
      <c r="BM79" s="611">
        <f t="shared" ref="BM79:BM84" si="229">SUM(BK79:BL79)</f>
        <v>0</v>
      </c>
      <c r="BN79" s="428">
        <f t="shared" ref="BN79:BN84" si="230">I79+AZ79</f>
        <v>1798273</v>
      </c>
      <c r="BO79" s="421">
        <f t="shared" ref="BO79:BO84" si="231">J79+AH79</f>
        <v>1328484</v>
      </c>
      <c r="BP79" s="421">
        <f t="shared" ref="BP79:BQ84" si="232">K79+AF79</f>
        <v>1261916</v>
      </c>
      <c r="BQ79" s="421">
        <f t="shared" si="232"/>
        <v>66568</v>
      </c>
      <c r="BR79" s="421">
        <f t="shared" ref="BR79:BR84" si="233">M79+AQ79</f>
        <v>0</v>
      </c>
      <c r="BS79" s="421">
        <f t="shared" ref="BS79:BT84" si="234">N79+AO79</f>
        <v>0</v>
      </c>
      <c r="BT79" s="421">
        <f t="shared" si="234"/>
        <v>0</v>
      </c>
      <c r="BU79" s="421">
        <f t="shared" ref="BU79:BV84" si="235">P79+AU79</f>
        <v>449028</v>
      </c>
      <c r="BV79" s="421">
        <f t="shared" si="235"/>
        <v>13285</v>
      </c>
      <c r="BW79" s="421">
        <f t="shared" ref="BW79:BW84" si="236">R79+AY79</f>
        <v>7476</v>
      </c>
      <c r="BX79" s="422">
        <f t="shared" ref="BX79:BX84" si="237">S79+BM79</f>
        <v>2.2667000000000002</v>
      </c>
      <c r="BY79" s="422">
        <f t="shared" ref="BY79:BZ84" si="238">T79+BK79</f>
        <v>2</v>
      </c>
      <c r="BZ79" s="611">
        <f t="shared" si="238"/>
        <v>0.26669999999999999</v>
      </c>
      <c r="CA79" s="423"/>
      <c r="CB79" s="418"/>
      <c r="CC79" s="418"/>
      <c r="CD79" s="418"/>
      <c r="CE79" s="418"/>
      <c r="CF79" s="527"/>
    </row>
    <row r="80" spans="1:84" ht="12.95" customHeight="1" x14ac:dyDescent="0.25">
      <c r="A80" s="282">
        <v>16</v>
      </c>
      <c r="B80" s="213">
        <v>5482</v>
      </c>
      <c r="C80" s="213">
        <v>600098982</v>
      </c>
      <c r="D80" s="213">
        <v>71006923</v>
      </c>
      <c r="E80" s="374" t="s">
        <v>480</v>
      </c>
      <c r="F80" s="213">
        <v>3117</v>
      </c>
      <c r="G80" s="374" t="s">
        <v>309</v>
      </c>
      <c r="H80" s="287" t="s">
        <v>271</v>
      </c>
      <c r="I80" s="423">
        <f t="shared" si="209"/>
        <v>4582779</v>
      </c>
      <c r="J80" s="418">
        <f t="shared" si="210"/>
        <v>3347324</v>
      </c>
      <c r="K80" s="418">
        <v>2957310</v>
      </c>
      <c r="L80" s="418">
        <v>390014</v>
      </c>
      <c r="M80" s="418">
        <f t="shared" si="211"/>
        <v>0</v>
      </c>
      <c r="N80" s="418">
        <v>0</v>
      </c>
      <c r="O80" s="418">
        <v>0</v>
      </c>
      <c r="P80" s="68">
        <f t="shared" si="212"/>
        <v>1131396</v>
      </c>
      <c r="Q80" s="68">
        <f t="shared" si="213"/>
        <v>33473</v>
      </c>
      <c r="R80" s="418">
        <v>70586</v>
      </c>
      <c r="S80" s="419">
        <f t="shared" si="205"/>
        <v>5.5058000000000007</v>
      </c>
      <c r="T80" s="419">
        <v>4.4545000000000003</v>
      </c>
      <c r="U80" s="527">
        <v>1.0512999999999999</v>
      </c>
      <c r="V80" s="427">
        <f t="shared" si="214"/>
        <v>0</v>
      </c>
      <c r="W80" s="421">
        <f t="shared" si="214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 t="shared" si="215"/>
        <v>0</v>
      </c>
      <c r="AG80" s="421">
        <f t="shared" si="216"/>
        <v>0</v>
      </c>
      <c r="AH80" s="421">
        <f t="shared" si="217"/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218"/>
        <v>0</v>
      </c>
      <c r="AP80" s="421">
        <f t="shared" si="219"/>
        <v>0</v>
      </c>
      <c r="AQ80" s="421">
        <f t="shared" si="220"/>
        <v>0</v>
      </c>
      <c r="AR80" s="421">
        <f t="shared" si="221"/>
        <v>0</v>
      </c>
      <c r="AS80" s="421">
        <f t="shared" si="221"/>
        <v>0</v>
      </c>
      <c r="AT80" s="421">
        <f t="shared" si="222"/>
        <v>0</v>
      </c>
      <c r="AU80" s="68">
        <f t="shared" si="223"/>
        <v>0</v>
      </c>
      <c r="AV80" s="68">
        <f t="shared" si="224"/>
        <v>0</v>
      </c>
      <c r="AW80" s="421">
        <v>0</v>
      </c>
      <c r="AX80" s="421">
        <v>0</v>
      </c>
      <c r="AY80" s="421">
        <f t="shared" si="225"/>
        <v>0</v>
      </c>
      <c r="AZ80" s="421">
        <f t="shared" si="226"/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 t="shared" si="227"/>
        <v>0</v>
      </c>
      <c r="BL80" s="422">
        <f t="shared" si="228"/>
        <v>0</v>
      </c>
      <c r="BM80" s="611">
        <f t="shared" si="229"/>
        <v>0</v>
      </c>
      <c r="BN80" s="428">
        <f t="shared" si="230"/>
        <v>4582779</v>
      </c>
      <c r="BO80" s="421">
        <f t="shared" si="231"/>
        <v>3347324</v>
      </c>
      <c r="BP80" s="421">
        <f t="shared" si="232"/>
        <v>2957310</v>
      </c>
      <c r="BQ80" s="421">
        <f t="shared" si="232"/>
        <v>390014</v>
      </c>
      <c r="BR80" s="421">
        <f t="shared" si="233"/>
        <v>0</v>
      </c>
      <c r="BS80" s="421">
        <f t="shared" si="234"/>
        <v>0</v>
      </c>
      <c r="BT80" s="421">
        <f t="shared" si="234"/>
        <v>0</v>
      </c>
      <c r="BU80" s="421">
        <f t="shared" si="235"/>
        <v>1131396</v>
      </c>
      <c r="BV80" s="421">
        <f t="shared" si="235"/>
        <v>33473</v>
      </c>
      <c r="BW80" s="421">
        <f t="shared" si="236"/>
        <v>70586</v>
      </c>
      <c r="BX80" s="422">
        <f t="shared" si="237"/>
        <v>5.5058000000000007</v>
      </c>
      <c r="BY80" s="422">
        <f t="shared" si="238"/>
        <v>4.4545000000000003</v>
      </c>
      <c r="BZ80" s="611">
        <f t="shared" si="238"/>
        <v>1.0512999999999999</v>
      </c>
      <c r="CA80" s="423"/>
      <c r="CB80" s="418"/>
      <c r="CC80" s="418"/>
      <c r="CD80" s="418"/>
      <c r="CE80" s="418"/>
      <c r="CF80" s="527"/>
    </row>
    <row r="81" spans="1:84" ht="12.95" customHeight="1" x14ac:dyDescent="0.25">
      <c r="A81" s="282">
        <v>16</v>
      </c>
      <c r="B81" s="213">
        <v>5482</v>
      </c>
      <c r="C81" s="213">
        <v>600098982</v>
      </c>
      <c r="D81" s="213">
        <v>71006923</v>
      </c>
      <c r="E81" s="374" t="s">
        <v>480</v>
      </c>
      <c r="F81" s="213">
        <v>3117</v>
      </c>
      <c r="G81" s="325" t="s">
        <v>292</v>
      </c>
      <c r="H81" s="287" t="s">
        <v>272</v>
      </c>
      <c r="I81" s="423">
        <f t="shared" si="209"/>
        <v>0</v>
      </c>
      <c r="J81" s="418">
        <f t="shared" si="210"/>
        <v>0</v>
      </c>
      <c r="K81" s="418">
        <v>0</v>
      </c>
      <c r="L81" s="418">
        <v>0</v>
      </c>
      <c r="M81" s="418">
        <f t="shared" si="211"/>
        <v>0</v>
      </c>
      <c r="N81" s="418">
        <v>0</v>
      </c>
      <c r="O81" s="418">
        <v>0</v>
      </c>
      <c r="P81" s="68">
        <f t="shared" si="212"/>
        <v>0</v>
      </c>
      <c r="Q81" s="68">
        <f t="shared" si="213"/>
        <v>0</v>
      </c>
      <c r="R81" s="418">
        <v>0</v>
      </c>
      <c r="S81" s="419">
        <f t="shared" si="205"/>
        <v>0</v>
      </c>
      <c r="T81" s="419">
        <v>0</v>
      </c>
      <c r="U81" s="527">
        <v>0</v>
      </c>
      <c r="V81" s="427">
        <f t="shared" si="214"/>
        <v>0</v>
      </c>
      <c r="W81" s="421">
        <f t="shared" si="214"/>
        <v>0</v>
      </c>
      <c r="X81" s="421">
        <v>185401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 t="shared" si="215"/>
        <v>185401</v>
      </c>
      <c r="AG81" s="421">
        <f t="shared" si="216"/>
        <v>0</v>
      </c>
      <c r="AH81" s="421">
        <f t="shared" si="217"/>
        <v>185401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218"/>
        <v>0</v>
      </c>
      <c r="AP81" s="421">
        <f t="shared" si="219"/>
        <v>0</v>
      </c>
      <c r="AQ81" s="421">
        <f t="shared" si="220"/>
        <v>0</v>
      </c>
      <c r="AR81" s="421">
        <f t="shared" si="221"/>
        <v>185401</v>
      </c>
      <c r="AS81" s="421">
        <f t="shared" si="221"/>
        <v>0</v>
      </c>
      <c r="AT81" s="421">
        <f t="shared" si="222"/>
        <v>185401</v>
      </c>
      <c r="AU81" s="68">
        <f t="shared" si="223"/>
        <v>62666</v>
      </c>
      <c r="AV81" s="68">
        <f t="shared" si="224"/>
        <v>1854</v>
      </c>
      <c r="AW81" s="421">
        <v>0</v>
      </c>
      <c r="AX81" s="421">
        <v>0</v>
      </c>
      <c r="AY81" s="421">
        <f t="shared" si="225"/>
        <v>0</v>
      </c>
      <c r="AZ81" s="421">
        <f t="shared" si="226"/>
        <v>249921</v>
      </c>
      <c r="BA81" s="422">
        <v>0</v>
      </c>
      <c r="BB81" s="422">
        <v>0</v>
      </c>
      <c r="BC81" s="422">
        <v>0.5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 t="shared" si="227"/>
        <v>0.5</v>
      </c>
      <c r="BL81" s="422">
        <f t="shared" si="228"/>
        <v>0</v>
      </c>
      <c r="BM81" s="611">
        <f t="shared" si="229"/>
        <v>0.5</v>
      </c>
      <c r="BN81" s="428">
        <f t="shared" si="230"/>
        <v>249921</v>
      </c>
      <c r="BO81" s="421">
        <f t="shared" si="231"/>
        <v>185401</v>
      </c>
      <c r="BP81" s="421">
        <f t="shared" si="232"/>
        <v>185401</v>
      </c>
      <c r="BQ81" s="421">
        <f t="shared" si="232"/>
        <v>0</v>
      </c>
      <c r="BR81" s="421">
        <f t="shared" si="233"/>
        <v>0</v>
      </c>
      <c r="BS81" s="421">
        <f t="shared" si="234"/>
        <v>0</v>
      </c>
      <c r="BT81" s="421">
        <f t="shared" si="234"/>
        <v>0</v>
      </c>
      <c r="BU81" s="421">
        <f t="shared" si="235"/>
        <v>62666</v>
      </c>
      <c r="BV81" s="421">
        <f t="shared" si="235"/>
        <v>1854</v>
      </c>
      <c r="BW81" s="421">
        <f t="shared" si="236"/>
        <v>0</v>
      </c>
      <c r="BX81" s="422">
        <f t="shared" si="237"/>
        <v>0.5</v>
      </c>
      <c r="BY81" s="422">
        <f t="shared" si="238"/>
        <v>0.5</v>
      </c>
      <c r="BZ81" s="611">
        <f t="shared" si="238"/>
        <v>0</v>
      </c>
      <c r="CA81" s="423"/>
      <c r="CB81" s="418"/>
      <c r="CC81" s="418"/>
      <c r="CD81" s="418"/>
      <c r="CE81" s="418"/>
      <c r="CF81" s="527"/>
    </row>
    <row r="82" spans="1:84" ht="12.95" customHeight="1" x14ac:dyDescent="0.25">
      <c r="A82" s="282">
        <v>16</v>
      </c>
      <c r="B82" s="378">
        <v>5482</v>
      </c>
      <c r="C82" s="378">
        <v>600098982</v>
      </c>
      <c r="D82" s="378">
        <v>71006923</v>
      </c>
      <c r="E82" s="374" t="s">
        <v>480</v>
      </c>
      <c r="F82" s="213">
        <v>3141</v>
      </c>
      <c r="G82" s="375" t="s">
        <v>295</v>
      </c>
      <c r="H82" s="287" t="s">
        <v>272</v>
      </c>
      <c r="I82" s="423">
        <f t="shared" si="209"/>
        <v>701266</v>
      </c>
      <c r="J82" s="418">
        <f t="shared" si="210"/>
        <v>517994</v>
      </c>
      <c r="K82" s="418">
        <v>0</v>
      </c>
      <c r="L82" s="418">
        <v>517994</v>
      </c>
      <c r="M82" s="418">
        <f t="shared" si="211"/>
        <v>0</v>
      </c>
      <c r="N82" s="418">
        <v>0</v>
      </c>
      <c r="O82" s="418">
        <v>0</v>
      </c>
      <c r="P82" s="68">
        <f t="shared" si="212"/>
        <v>175082</v>
      </c>
      <c r="Q82" s="68">
        <f t="shared" si="213"/>
        <v>5180</v>
      </c>
      <c r="R82" s="418">
        <v>3010</v>
      </c>
      <c r="S82" s="419">
        <f t="shared" si="205"/>
        <v>1.5532999999999999</v>
      </c>
      <c r="T82" s="419">
        <v>0</v>
      </c>
      <c r="U82" s="527">
        <v>1.5532999999999999</v>
      </c>
      <c r="V82" s="427">
        <f t="shared" si="214"/>
        <v>0</v>
      </c>
      <c r="W82" s="421">
        <f t="shared" si="214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 t="shared" si="215"/>
        <v>0</v>
      </c>
      <c r="AG82" s="421">
        <f t="shared" si="216"/>
        <v>0</v>
      </c>
      <c r="AH82" s="421">
        <f t="shared" si="217"/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218"/>
        <v>0</v>
      </c>
      <c r="AP82" s="421">
        <f t="shared" si="219"/>
        <v>0</v>
      </c>
      <c r="AQ82" s="421">
        <f t="shared" si="220"/>
        <v>0</v>
      </c>
      <c r="AR82" s="421">
        <f t="shared" si="221"/>
        <v>0</v>
      </c>
      <c r="AS82" s="421">
        <f t="shared" si="221"/>
        <v>0</v>
      </c>
      <c r="AT82" s="421">
        <f t="shared" si="222"/>
        <v>0</v>
      </c>
      <c r="AU82" s="68">
        <f t="shared" si="223"/>
        <v>0</v>
      </c>
      <c r="AV82" s="68">
        <f t="shared" si="224"/>
        <v>0</v>
      </c>
      <c r="AW82" s="421">
        <v>0</v>
      </c>
      <c r="AX82" s="421">
        <v>0</v>
      </c>
      <c r="AY82" s="421">
        <f t="shared" si="225"/>
        <v>0</v>
      </c>
      <c r="AZ82" s="421">
        <f t="shared" si="226"/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 t="shared" si="227"/>
        <v>0</v>
      </c>
      <c r="BL82" s="422">
        <f t="shared" si="228"/>
        <v>0</v>
      </c>
      <c r="BM82" s="611">
        <f t="shared" si="229"/>
        <v>0</v>
      </c>
      <c r="BN82" s="428">
        <f t="shared" si="230"/>
        <v>701266</v>
      </c>
      <c r="BO82" s="421">
        <f t="shared" si="231"/>
        <v>517994</v>
      </c>
      <c r="BP82" s="421">
        <f t="shared" si="232"/>
        <v>0</v>
      </c>
      <c r="BQ82" s="421">
        <f t="shared" si="232"/>
        <v>517994</v>
      </c>
      <c r="BR82" s="421">
        <f t="shared" si="233"/>
        <v>0</v>
      </c>
      <c r="BS82" s="421">
        <f t="shared" si="234"/>
        <v>0</v>
      </c>
      <c r="BT82" s="421">
        <f t="shared" si="234"/>
        <v>0</v>
      </c>
      <c r="BU82" s="421">
        <f t="shared" si="235"/>
        <v>175082</v>
      </c>
      <c r="BV82" s="421">
        <f t="shared" si="235"/>
        <v>5180</v>
      </c>
      <c r="BW82" s="421">
        <f t="shared" si="236"/>
        <v>3010</v>
      </c>
      <c r="BX82" s="422">
        <f t="shared" si="237"/>
        <v>1.5532999999999999</v>
      </c>
      <c r="BY82" s="422">
        <f t="shared" si="238"/>
        <v>0</v>
      </c>
      <c r="BZ82" s="611">
        <f t="shared" si="238"/>
        <v>1.5532999999999999</v>
      </c>
      <c r="CA82" s="423"/>
      <c r="CB82" s="418"/>
      <c r="CC82" s="418"/>
      <c r="CD82" s="418"/>
      <c r="CE82" s="418"/>
      <c r="CF82" s="527"/>
    </row>
    <row r="83" spans="1:84" ht="12.95" customHeight="1" x14ac:dyDescent="0.25">
      <c r="A83" s="282">
        <v>16</v>
      </c>
      <c r="B83" s="213">
        <v>5482</v>
      </c>
      <c r="C83" s="213">
        <v>600098982</v>
      </c>
      <c r="D83" s="213">
        <v>71006923</v>
      </c>
      <c r="E83" s="374" t="s">
        <v>480</v>
      </c>
      <c r="F83" s="213">
        <v>3143</v>
      </c>
      <c r="G83" s="325" t="s">
        <v>596</v>
      </c>
      <c r="H83" s="287" t="s">
        <v>271</v>
      </c>
      <c r="I83" s="423">
        <f t="shared" si="209"/>
        <v>1150555</v>
      </c>
      <c r="J83" s="418">
        <f t="shared" si="210"/>
        <v>853528</v>
      </c>
      <c r="K83" s="418">
        <v>853528</v>
      </c>
      <c r="L83" s="418">
        <v>0</v>
      </c>
      <c r="M83" s="418">
        <f t="shared" si="211"/>
        <v>0</v>
      </c>
      <c r="N83" s="418">
        <v>0</v>
      </c>
      <c r="O83" s="418">
        <v>0</v>
      </c>
      <c r="P83" s="68">
        <f t="shared" si="212"/>
        <v>288492</v>
      </c>
      <c r="Q83" s="68">
        <f t="shared" si="213"/>
        <v>8535</v>
      </c>
      <c r="R83" s="418">
        <v>0</v>
      </c>
      <c r="S83" s="419">
        <f t="shared" si="205"/>
        <v>1.75</v>
      </c>
      <c r="T83" s="419">
        <v>1.75</v>
      </c>
      <c r="U83" s="527">
        <v>0</v>
      </c>
      <c r="V83" s="427">
        <f t="shared" si="214"/>
        <v>0</v>
      </c>
      <c r="W83" s="421">
        <f t="shared" si="214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215"/>
        <v>0</v>
      </c>
      <c r="AG83" s="421">
        <f t="shared" si="216"/>
        <v>0</v>
      </c>
      <c r="AH83" s="421">
        <f t="shared" si="217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218"/>
        <v>0</v>
      </c>
      <c r="AP83" s="421">
        <f t="shared" si="219"/>
        <v>0</v>
      </c>
      <c r="AQ83" s="421">
        <f t="shared" si="220"/>
        <v>0</v>
      </c>
      <c r="AR83" s="421">
        <f t="shared" si="221"/>
        <v>0</v>
      </c>
      <c r="AS83" s="421">
        <f t="shared" si="221"/>
        <v>0</v>
      </c>
      <c r="AT83" s="421">
        <f t="shared" si="222"/>
        <v>0</v>
      </c>
      <c r="AU83" s="68">
        <f t="shared" si="223"/>
        <v>0</v>
      </c>
      <c r="AV83" s="68">
        <f t="shared" si="224"/>
        <v>0</v>
      </c>
      <c r="AW83" s="421">
        <v>0</v>
      </c>
      <c r="AX83" s="421">
        <v>0</v>
      </c>
      <c r="AY83" s="421">
        <f t="shared" si="225"/>
        <v>0</v>
      </c>
      <c r="AZ83" s="421">
        <f t="shared" si="226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 t="shared" si="227"/>
        <v>0</v>
      </c>
      <c r="BL83" s="422">
        <f t="shared" si="228"/>
        <v>0</v>
      </c>
      <c r="BM83" s="611">
        <f t="shared" si="229"/>
        <v>0</v>
      </c>
      <c r="BN83" s="428">
        <f t="shared" si="230"/>
        <v>1150555</v>
      </c>
      <c r="BO83" s="421">
        <f t="shared" si="231"/>
        <v>853528</v>
      </c>
      <c r="BP83" s="421">
        <f t="shared" si="232"/>
        <v>853528</v>
      </c>
      <c r="BQ83" s="421">
        <f t="shared" si="232"/>
        <v>0</v>
      </c>
      <c r="BR83" s="421">
        <f t="shared" si="233"/>
        <v>0</v>
      </c>
      <c r="BS83" s="421">
        <f t="shared" si="234"/>
        <v>0</v>
      </c>
      <c r="BT83" s="421">
        <f t="shared" si="234"/>
        <v>0</v>
      </c>
      <c r="BU83" s="421">
        <f t="shared" si="235"/>
        <v>288492</v>
      </c>
      <c r="BV83" s="421">
        <f t="shared" si="235"/>
        <v>8535</v>
      </c>
      <c r="BW83" s="421">
        <f t="shared" si="236"/>
        <v>0</v>
      </c>
      <c r="BX83" s="422">
        <f t="shared" si="237"/>
        <v>1.75</v>
      </c>
      <c r="BY83" s="422">
        <f t="shared" si="238"/>
        <v>1.75</v>
      </c>
      <c r="BZ83" s="611">
        <f t="shared" si="238"/>
        <v>0</v>
      </c>
      <c r="CA83" s="423"/>
      <c r="CB83" s="418"/>
      <c r="CC83" s="418"/>
      <c r="CD83" s="418"/>
      <c r="CE83" s="418"/>
      <c r="CF83" s="527"/>
    </row>
    <row r="84" spans="1:84" ht="12.95" customHeight="1" x14ac:dyDescent="0.25">
      <c r="A84" s="282">
        <v>16</v>
      </c>
      <c r="B84" s="213">
        <v>5482</v>
      </c>
      <c r="C84" s="213">
        <v>600098982</v>
      </c>
      <c r="D84" s="213">
        <v>71006923</v>
      </c>
      <c r="E84" s="374" t="s">
        <v>480</v>
      </c>
      <c r="F84" s="213">
        <v>3143</v>
      </c>
      <c r="G84" s="325" t="s">
        <v>597</v>
      </c>
      <c r="H84" s="287" t="s">
        <v>272</v>
      </c>
      <c r="I84" s="423">
        <f t="shared" si="209"/>
        <v>20506</v>
      </c>
      <c r="J84" s="418">
        <f t="shared" si="210"/>
        <v>14678</v>
      </c>
      <c r="K84" s="418">
        <v>0</v>
      </c>
      <c r="L84" s="418">
        <v>14678</v>
      </c>
      <c r="M84" s="418">
        <f t="shared" si="211"/>
        <v>0</v>
      </c>
      <c r="N84" s="418">
        <v>0</v>
      </c>
      <c r="O84" s="418">
        <v>0</v>
      </c>
      <c r="P84" s="68">
        <f t="shared" si="212"/>
        <v>4961</v>
      </c>
      <c r="Q84" s="68">
        <f t="shared" si="213"/>
        <v>147</v>
      </c>
      <c r="R84" s="418">
        <v>720</v>
      </c>
      <c r="S84" s="419">
        <f t="shared" si="205"/>
        <v>5.5599999999999997E-2</v>
      </c>
      <c r="T84" s="419">
        <v>0</v>
      </c>
      <c r="U84" s="527">
        <v>5.5599999999999997E-2</v>
      </c>
      <c r="V84" s="427">
        <f t="shared" si="214"/>
        <v>0</v>
      </c>
      <c r="W84" s="421">
        <f t="shared" si="214"/>
        <v>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 t="shared" si="215"/>
        <v>0</v>
      </c>
      <c r="AG84" s="421">
        <f t="shared" si="216"/>
        <v>0</v>
      </c>
      <c r="AH84" s="421">
        <f t="shared" si="217"/>
        <v>0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si="218"/>
        <v>0</v>
      </c>
      <c r="AP84" s="421">
        <f t="shared" si="219"/>
        <v>0</v>
      </c>
      <c r="AQ84" s="421">
        <f t="shared" si="220"/>
        <v>0</v>
      </c>
      <c r="AR84" s="421">
        <f t="shared" si="221"/>
        <v>0</v>
      </c>
      <c r="AS84" s="421">
        <f t="shared" si="221"/>
        <v>0</v>
      </c>
      <c r="AT84" s="421">
        <f t="shared" si="222"/>
        <v>0</v>
      </c>
      <c r="AU84" s="68">
        <f t="shared" si="223"/>
        <v>0</v>
      </c>
      <c r="AV84" s="68">
        <f t="shared" si="224"/>
        <v>0</v>
      </c>
      <c r="AW84" s="421">
        <v>0</v>
      </c>
      <c r="AX84" s="421">
        <v>0</v>
      </c>
      <c r="AY84" s="421">
        <f t="shared" si="225"/>
        <v>0</v>
      </c>
      <c r="AZ84" s="421">
        <f t="shared" si="226"/>
        <v>0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 t="shared" si="227"/>
        <v>0</v>
      </c>
      <c r="BL84" s="422">
        <f t="shared" si="228"/>
        <v>0</v>
      </c>
      <c r="BM84" s="611">
        <f t="shared" si="229"/>
        <v>0</v>
      </c>
      <c r="BN84" s="428">
        <f t="shared" si="230"/>
        <v>20506</v>
      </c>
      <c r="BO84" s="421">
        <f t="shared" si="231"/>
        <v>14678</v>
      </c>
      <c r="BP84" s="421">
        <f t="shared" si="232"/>
        <v>0</v>
      </c>
      <c r="BQ84" s="421">
        <f t="shared" si="232"/>
        <v>14678</v>
      </c>
      <c r="BR84" s="421">
        <f t="shared" si="233"/>
        <v>0</v>
      </c>
      <c r="BS84" s="421">
        <f t="shared" si="234"/>
        <v>0</v>
      </c>
      <c r="BT84" s="421">
        <f t="shared" si="234"/>
        <v>0</v>
      </c>
      <c r="BU84" s="421">
        <f t="shared" si="235"/>
        <v>4961</v>
      </c>
      <c r="BV84" s="421">
        <f t="shared" si="235"/>
        <v>147</v>
      </c>
      <c r="BW84" s="421">
        <f t="shared" si="236"/>
        <v>720</v>
      </c>
      <c r="BX84" s="422">
        <f t="shared" si="237"/>
        <v>5.5599999999999997E-2</v>
      </c>
      <c r="BY84" s="422">
        <f t="shared" si="238"/>
        <v>0</v>
      </c>
      <c r="BZ84" s="611">
        <f t="shared" si="238"/>
        <v>5.5599999999999997E-2</v>
      </c>
      <c r="CA84" s="423"/>
      <c r="CB84" s="418"/>
      <c r="CC84" s="418"/>
      <c r="CD84" s="418"/>
      <c r="CE84" s="418"/>
      <c r="CF84" s="527"/>
    </row>
    <row r="85" spans="1:84" ht="12.95" customHeight="1" x14ac:dyDescent="0.25">
      <c r="A85" s="214">
        <v>16</v>
      </c>
      <c r="B85" s="45">
        <v>5482</v>
      </c>
      <c r="C85" s="45">
        <v>600098982</v>
      </c>
      <c r="D85" s="45">
        <v>71006923</v>
      </c>
      <c r="E85" s="376" t="s">
        <v>481</v>
      </c>
      <c r="F85" s="45"/>
      <c r="G85" s="376"/>
      <c r="H85" s="183"/>
      <c r="I85" s="472">
        <f t="shared" ref="I85:BU85" si="239">SUM(I79:I84)</f>
        <v>8253379</v>
      </c>
      <c r="J85" s="468">
        <f t="shared" si="239"/>
        <v>6062008</v>
      </c>
      <c r="K85" s="468">
        <f t="shared" si="239"/>
        <v>5072754</v>
      </c>
      <c r="L85" s="468">
        <f t="shared" si="239"/>
        <v>989254</v>
      </c>
      <c r="M85" s="468">
        <f t="shared" si="239"/>
        <v>0</v>
      </c>
      <c r="N85" s="468">
        <f t="shared" si="239"/>
        <v>0</v>
      </c>
      <c r="O85" s="468">
        <f t="shared" si="239"/>
        <v>0</v>
      </c>
      <c r="P85" s="468">
        <f t="shared" si="239"/>
        <v>2048959</v>
      </c>
      <c r="Q85" s="468">
        <f t="shared" si="239"/>
        <v>60620</v>
      </c>
      <c r="R85" s="468">
        <f t="shared" si="239"/>
        <v>81792</v>
      </c>
      <c r="S85" s="469">
        <f t="shared" si="239"/>
        <v>11.131400000000001</v>
      </c>
      <c r="T85" s="469">
        <f t="shared" si="239"/>
        <v>8.2044999999999995</v>
      </c>
      <c r="U85" s="281">
        <f t="shared" si="239"/>
        <v>2.9268999999999998</v>
      </c>
      <c r="V85" s="474">
        <f t="shared" si="239"/>
        <v>0</v>
      </c>
      <c r="W85" s="468">
        <f t="shared" si="239"/>
        <v>0</v>
      </c>
      <c r="X85" s="468">
        <f t="shared" si="239"/>
        <v>185401</v>
      </c>
      <c r="Y85" s="468">
        <f t="shared" si="239"/>
        <v>0</v>
      </c>
      <c r="Z85" s="468">
        <f t="shared" si="239"/>
        <v>0</v>
      </c>
      <c r="AA85" s="468">
        <f t="shared" si="239"/>
        <v>0</v>
      </c>
      <c r="AB85" s="468">
        <f t="shared" si="239"/>
        <v>0</v>
      </c>
      <c r="AC85" s="468">
        <f t="shared" si="239"/>
        <v>0</v>
      </c>
      <c r="AD85" s="468">
        <f t="shared" si="239"/>
        <v>0</v>
      </c>
      <c r="AE85" s="468">
        <f t="shared" si="239"/>
        <v>0</v>
      </c>
      <c r="AF85" s="468">
        <f t="shared" si="239"/>
        <v>185401</v>
      </c>
      <c r="AG85" s="468">
        <f t="shared" si="239"/>
        <v>0</v>
      </c>
      <c r="AH85" s="468">
        <f t="shared" si="239"/>
        <v>185401</v>
      </c>
      <c r="AI85" s="468">
        <f t="shared" si="239"/>
        <v>0</v>
      </c>
      <c r="AJ85" s="468">
        <f t="shared" si="239"/>
        <v>0</v>
      </c>
      <c r="AK85" s="468">
        <f t="shared" ref="AK85" si="240">SUM(AK79:AK84)</f>
        <v>0</v>
      </c>
      <c r="AL85" s="468">
        <f t="shared" si="239"/>
        <v>0</v>
      </c>
      <c r="AM85" s="468">
        <f t="shared" si="239"/>
        <v>0</v>
      </c>
      <c r="AN85" s="468">
        <f t="shared" si="239"/>
        <v>0</v>
      </c>
      <c r="AO85" s="468">
        <f t="shared" si="239"/>
        <v>0</v>
      </c>
      <c r="AP85" s="468">
        <f t="shared" si="239"/>
        <v>0</v>
      </c>
      <c r="AQ85" s="468">
        <f t="shared" si="239"/>
        <v>0</v>
      </c>
      <c r="AR85" s="468">
        <f t="shared" si="239"/>
        <v>185401</v>
      </c>
      <c r="AS85" s="468">
        <f t="shared" si="239"/>
        <v>0</v>
      </c>
      <c r="AT85" s="468">
        <f t="shared" si="239"/>
        <v>185401</v>
      </c>
      <c r="AU85" s="468">
        <f t="shared" si="239"/>
        <v>62666</v>
      </c>
      <c r="AV85" s="468">
        <f t="shared" si="239"/>
        <v>1854</v>
      </c>
      <c r="AW85" s="468">
        <f t="shared" si="239"/>
        <v>0</v>
      </c>
      <c r="AX85" s="468">
        <f t="shared" si="239"/>
        <v>0</v>
      </c>
      <c r="AY85" s="468">
        <f t="shared" si="239"/>
        <v>0</v>
      </c>
      <c r="AZ85" s="468">
        <f t="shared" si="239"/>
        <v>249921</v>
      </c>
      <c r="BA85" s="469">
        <f t="shared" si="239"/>
        <v>0</v>
      </c>
      <c r="BB85" s="469">
        <f t="shared" si="239"/>
        <v>0</v>
      </c>
      <c r="BC85" s="469">
        <f t="shared" si="239"/>
        <v>0.5</v>
      </c>
      <c r="BD85" s="469">
        <f t="shared" si="239"/>
        <v>0</v>
      </c>
      <c r="BE85" s="469">
        <f t="shared" si="239"/>
        <v>0</v>
      </c>
      <c r="BF85" s="469">
        <f t="shared" si="239"/>
        <v>0</v>
      </c>
      <c r="BG85" s="469">
        <f t="shared" si="239"/>
        <v>0</v>
      </c>
      <c r="BH85" s="469">
        <f t="shared" si="239"/>
        <v>0</v>
      </c>
      <c r="BI85" s="469">
        <f t="shared" si="239"/>
        <v>0</v>
      </c>
      <c r="BJ85" s="469">
        <f t="shared" si="239"/>
        <v>0</v>
      </c>
      <c r="BK85" s="469">
        <f t="shared" si="239"/>
        <v>0.5</v>
      </c>
      <c r="BL85" s="469">
        <f t="shared" si="239"/>
        <v>0</v>
      </c>
      <c r="BM85" s="562">
        <f t="shared" si="239"/>
        <v>0.5</v>
      </c>
      <c r="BN85" s="472">
        <f t="shared" si="239"/>
        <v>8503300</v>
      </c>
      <c r="BO85" s="468">
        <f t="shared" si="239"/>
        <v>6247409</v>
      </c>
      <c r="BP85" s="468">
        <f t="shared" si="239"/>
        <v>5258155</v>
      </c>
      <c r="BQ85" s="468">
        <f t="shared" si="239"/>
        <v>989254</v>
      </c>
      <c r="BR85" s="468">
        <f t="shared" si="239"/>
        <v>0</v>
      </c>
      <c r="BS85" s="468">
        <f t="shared" si="239"/>
        <v>0</v>
      </c>
      <c r="BT85" s="468">
        <f t="shared" si="239"/>
        <v>0</v>
      </c>
      <c r="BU85" s="468">
        <f t="shared" si="239"/>
        <v>2111625</v>
      </c>
      <c r="BV85" s="468">
        <f t="shared" ref="BV85:CF85" si="241">SUM(BV79:BV84)</f>
        <v>62474</v>
      </c>
      <c r="BW85" s="468">
        <f t="shared" si="241"/>
        <v>81792</v>
      </c>
      <c r="BX85" s="469">
        <f t="shared" si="241"/>
        <v>11.631400000000001</v>
      </c>
      <c r="BY85" s="469">
        <f t="shared" si="241"/>
        <v>8.7044999999999995</v>
      </c>
      <c r="BZ85" s="562">
        <f t="shared" si="241"/>
        <v>2.9268999999999998</v>
      </c>
      <c r="CA85" s="873">
        <f t="shared" si="241"/>
        <v>0</v>
      </c>
      <c r="CB85" s="850">
        <f t="shared" si="241"/>
        <v>0</v>
      </c>
      <c r="CC85" s="850">
        <f t="shared" si="241"/>
        <v>0</v>
      </c>
      <c r="CD85" s="850">
        <f t="shared" si="241"/>
        <v>0</v>
      </c>
      <c r="CE85" s="850">
        <f t="shared" si="241"/>
        <v>0</v>
      </c>
      <c r="CF85" s="841">
        <f t="shared" si="241"/>
        <v>0</v>
      </c>
    </row>
    <row r="86" spans="1:84" ht="12.95" customHeight="1" x14ac:dyDescent="0.25">
      <c r="A86" s="282">
        <v>17</v>
      </c>
      <c r="B86" s="383">
        <v>3421</v>
      </c>
      <c r="C86" s="383">
        <v>600077985</v>
      </c>
      <c r="D86" s="283">
        <v>72741651</v>
      </c>
      <c r="E86" s="382" t="s">
        <v>482</v>
      </c>
      <c r="F86" s="383">
        <v>3111</v>
      </c>
      <c r="G86" s="375" t="s">
        <v>305</v>
      </c>
      <c r="H86" s="287" t="s">
        <v>271</v>
      </c>
      <c r="I86" s="423">
        <f>J86+P86+Q86+R86</f>
        <v>5886812</v>
      </c>
      <c r="J86" s="418">
        <f>K86+L86</f>
        <v>4351028</v>
      </c>
      <c r="K86" s="418">
        <v>3907482</v>
      </c>
      <c r="L86" s="418">
        <v>443546</v>
      </c>
      <c r="M86" s="418">
        <f t="shared" ref="M86:M88" si="242">N86+O86</f>
        <v>0</v>
      </c>
      <c r="N86" s="418">
        <v>0</v>
      </c>
      <c r="O86" s="418">
        <v>0</v>
      </c>
      <c r="P86" s="68">
        <f>ROUND((J86+M86)*33.8%,0)</f>
        <v>1470647</v>
      </c>
      <c r="Q86" s="68">
        <f>ROUND(J86*1%,0)</f>
        <v>43510</v>
      </c>
      <c r="R86" s="418">
        <v>21627</v>
      </c>
      <c r="S86" s="419">
        <f t="shared" si="205"/>
        <v>8.7516999999999996</v>
      </c>
      <c r="T86" s="419">
        <v>7.2584</v>
      </c>
      <c r="U86" s="527">
        <v>1.4933000000000001</v>
      </c>
      <c r="V86" s="427">
        <f t="shared" ref="V86:W88" si="243">AI86*-1</f>
        <v>-19200</v>
      </c>
      <c r="W86" s="421">
        <f t="shared" si="243"/>
        <v>-19200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>V86+X86+Y86+AA86+AB86+AD86</f>
        <v>-19200</v>
      </c>
      <c r="AG86" s="421">
        <f>W86+Z86+AC86+AE86</f>
        <v>-19200</v>
      </c>
      <c r="AH86" s="421">
        <f>SUM(AF86:AG86)</f>
        <v>-38400</v>
      </c>
      <c r="AI86" s="421">
        <v>19200</v>
      </c>
      <c r="AJ86" s="421">
        <v>19200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ref="AO86:AO88" si="244">AI86+AK86+AL86+AM86</f>
        <v>19200</v>
      </c>
      <c r="AP86" s="421">
        <f>AJ86+AN86</f>
        <v>19200</v>
      </c>
      <c r="AQ86" s="421">
        <f>SUM(AO86:AP86)</f>
        <v>38400</v>
      </c>
      <c r="AR86" s="421">
        <f t="shared" ref="AR86:AS88" si="245">AF86+AO86</f>
        <v>0</v>
      </c>
      <c r="AS86" s="421">
        <f t="shared" si="245"/>
        <v>0</v>
      </c>
      <c r="AT86" s="421">
        <f>SUM(AR86:AS86)</f>
        <v>0</v>
      </c>
      <c r="AU86" s="68">
        <f t="shared" ref="AU86:AU88" si="246">ROUND((AH86+AI86+AJ86+AK86+AL86)*33.8%,0)</f>
        <v>0</v>
      </c>
      <c r="AV86" s="68">
        <f>ROUND(AH86*1%,0)</f>
        <v>-384</v>
      </c>
      <c r="AW86" s="421">
        <v>0</v>
      </c>
      <c r="AX86" s="421">
        <v>0</v>
      </c>
      <c r="AY86" s="421">
        <f>AW86+AX86</f>
        <v>0</v>
      </c>
      <c r="AZ86" s="421">
        <f>AT86+AU86+AV86+AY86</f>
        <v>-384</v>
      </c>
      <c r="BA86" s="422">
        <v>-0.03</v>
      </c>
      <c r="BB86" s="422">
        <v>-7.0000000000000007E-2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>BA86+BC86+BD86+BF86+BH86+BI86</f>
        <v>-0.03</v>
      </c>
      <c r="BL86" s="422">
        <f>BB86+BE86+BG86+BJ86</f>
        <v>-7.0000000000000007E-2</v>
      </c>
      <c r="BM86" s="611">
        <f>SUM(BK86:BL86)</f>
        <v>-0.1</v>
      </c>
      <c r="BN86" s="428">
        <f>I86+AZ86</f>
        <v>5886428</v>
      </c>
      <c r="BO86" s="421">
        <f>J86+AH86</f>
        <v>4312628</v>
      </c>
      <c r="BP86" s="421">
        <f t="shared" ref="BP86:BQ88" si="247">K86+AF86</f>
        <v>3888282</v>
      </c>
      <c r="BQ86" s="421">
        <f t="shared" si="247"/>
        <v>424346</v>
      </c>
      <c r="BR86" s="421">
        <f>M86+AQ86</f>
        <v>38400</v>
      </c>
      <c r="BS86" s="421">
        <f t="shared" ref="BS86:BT88" si="248">N86+AO86</f>
        <v>19200</v>
      </c>
      <c r="BT86" s="421">
        <f t="shared" si="248"/>
        <v>19200</v>
      </c>
      <c r="BU86" s="421">
        <f t="shared" ref="BU86:BV88" si="249">P86+AU86</f>
        <v>1470647</v>
      </c>
      <c r="BV86" s="421">
        <f t="shared" si="249"/>
        <v>43126</v>
      </c>
      <c r="BW86" s="421">
        <f>R86+AY86</f>
        <v>21627</v>
      </c>
      <c r="BX86" s="422">
        <f>S86+BM86</f>
        <v>8.6516999999999999</v>
      </c>
      <c r="BY86" s="422">
        <f t="shared" ref="BY86:BZ88" si="250">T86+BK86</f>
        <v>7.2283999999999997</v>
      </c>
      <c r="BZ86" s="611">
        <f t="shared" si="250"/>
        <v>1.4233</v>
      </c>
      <c r="CA86" s="423"/>
      <c r="CB86" s="418"/>
      <c r="CC86" s="418"/>
      <c r="CD86" s="418"/>
      <c r="CE86" s="418"/>
      <c r="CF86" s="527"/>
    </row>
    <row r="87" spans="1:84" ht="12.95" customHeight="1" x14ac:dyDescent="0.25">
      <c r="A87" s="282">
        <v>17</v>
      </c>
      <c r="B87" s="213">
        <v>3421</v>
      </c>
      <c r="C87" s="213">
        <v>600077985</v>
      </c>
      <c r="D87" s="283">
        <v>72741651</v>
      </c>
      <c r="E87" s="212" t="s">
        <v>482</v>
      </c>
      <c r="F87" s="383">
        <v>3111</v>
      </c>
      <c r="G87" s="325" t="s">
        <v>292</v>
      </c>
      <c r="H87" s="287" t="s">
        <v>272</v>
      </c>
      <c r="I87" s="423">
        <f>J87+P87+Q87+R87</f>
        <v>0</v>
      </c>
      <c r="J87" s="418">
        <f>K87+L87</f>
        <v>0</v>
      </c>
      <c r="K87" s="418">
        <v>0</v>
      </c>
      <c r="L87" s="418">
        <v>0</v>
      </c>
      <c r="M87" s="418">
        <f t="shared" si="242"/>
        <v>0</v>
      </c>
      <c r="N87" s="418">
        <v>0</v>
      </c>
      <c r="O87" s="418">
        <v>0</v>
      </c>
      <c r="P87" s="68">
        <f t="shared" ref="P87" si="251">ROUND((J87+M87)*33.8%,0)</f>
        <v>0</v>
      </c>
      <c r="Q87" s="68">
        <f t="shared" ref="Q87" si="252">ROUND(J87*1%,0)</f>
        <v>0</v>
      </c>
      <c r="R87" s="418">
        <v>0</v>
      </c>
      <c r="S87" s="419">
        <f t="shared" si="205"/>
        <v>0</v>
      </c>
      <c r="T87" s="419">
        <v>0</v>
      </c>
      <c r="U87" s="527">
        <v>0</v>
      </c>
      <c r="V87" s="427">
        <f t="shared" si="243"/>
        <v>0</v>
      </c>
      <c r="W87" s="421">
        <f t="shared" si="243"/>
        <v>0</v>
      </c>
      <c r="X87" s="421">
        <v>370801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>V87+X87+Y87+AA87+AB87+AD87</f>
        <v>370801</v>
      </c>
      <c r="AG87" s="421">
        <f>W87+Z87+AC87+AE87</f>
        <v>0</v>
      </c>
      <c r="AH87" s="421">
        <f>SUM(AF87:AG87)</f>
        <v>370801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44"/>
        <v>0</v>
      </c>
      <c r="AP87" s="421">
        <f>AJ87+AN87</f>
        <v>0</v>
      </c>
      <c r="AQ87" s="421">
        <f>SUM(AO87:AP87)</f>
        <v>0</v>
      </c>
      <c r="AR87" s="421">
        <f t="shared" si="245"/>
        <v>370801</v>
      </c>
      <c r="AS87" s="421">
        <f t="shared" si="245"/>
        <v>0</v>
      </c>
      <c r="AT87" s="421">
        <f>SUM(AR87:AS87)</f>
        <v>370801</v>
      </c>
      <c r="AU87" s="68">
        <f t="shared" si="246"/>
        <v>125331</v>
      </c>
      <c r="AV87" s="68">
        <f>ROUND(AH87*1%,0)</f>
        <v>3708</v>
      </c>
      <c r="AW87" s="421">
        <v>0</v>
      </c>
      <c r="AX87" s="421">
        <v>0</v>
      </c>
      <c r="AY87" s="421">
        <f>AW87+AX87</f>
        <v>0</v>
      </c>
      <c r="AZ87" s="421">
        <f>AT87+AU87+AV87+AY87</f>
        <v>499840</v>
      </c>
      <c r="BA87" s="422">
        <v>0</v>
      </c>
      <c r="BB87" s="422">
        <v>0</v>
      </c>
      <c r="BC87" s="422">
        <v>1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>BA87+BC87+BD87+BF87+BH87+BI87</f>
        <v>1</v>
      </c>
      <c r="BL87" s="422">
        <f>BB87+BE87+BG87+BJ87</f>
        <v>0</v>
      </c>
      <c r="BM87" s="611">
        <f>SUM(BK87:BL87)</f>
        <v>1</v>
      </c>
      <c r="BN87" s="428">
        <f>I87+AZ87</f>
        <v>499840</v>
      </c>
      <c r="BO87" s="421">
        <f>J87+AH87</f>
        <v>370801</v>
      </c>
      <c r="BP87" s="421">
        <f t="shared" si="247"/>
        <v>370801</v>
      </c>
      <c r="BQ87" s="421">
        <f t="shared" si="247"/>
        <v>0</v>
      </c>
      <c r="BR87" s="421">
        <f>M87+AQ87</f>
        <v>0</v>
      </c>
      <c r="BS87" s="421">
        <f t="shared" si="248"/>
        <v>0</v>
      </c>
      <c r="BT87" s="421">
        <f t="shared" si="248"/>
        <v>0</v>
      </c>
      <c r="BU87" s="421">
        <f t="shared" si="249"/>
        <v>125331</v>
      </c>
      <c r="BV87" s="421">
        <f t="shared" si="249"/>
        <v>3708</v>
      </c>
      <c r="BW87" s="421">
        <f>R87+AY87</f>
        <v>0</v>
      </c>
      <c r="BX87" s="422">
        <f>S87+BM87</f>
        <v>1</v>
      </c>
      <c r="BY87" s="422">
        <f t="shared" si="250"/>
        <v>1</v>
      </c>
      <c r="BZ87" s="611">
        <f t="shared" si="250"/>
        <v>0</v>
      </c>
      <c r="CA87" s="423"/>
      <c r="CB87" s="418"/>
      <c r="CC87" s="418"/>
      <c r="CD87" s="418"/>
      <c r="CE87" s="418"/>
      <c r="CF87" s="527"/>
    </row>
    <row r="88" spans="1:84" ht="12.95" customHeight="1" x14ac:dyDescent="0.25">
      <c r="A88" s="282">
        <v>17</v>
      </c>
      <c r="B88" s="213">
        <v>3421</v>
      </c>
      <c r="C88" s="213">
        <v>600077985</v>
      </c>
      <c r="D88" s="283">
        <v>72741651</v>
      </c>
      <c r="E88" s="212" t="s">
        <v>482</v>
      </c>
      <c r="F88" s="213">
        <v>3141</v>
      </c>
      <c r="G88" s="375" t="s">
        <v>295</v>
      </c>
      <c r="H88" s="287" t="s">
        <v>272</v>
      </c>
      <c r="I88" s="423">
        <f>J88+P88+Q88+R88</f>
        <v>644181</v>
      </c>
      <c r="J88" s="418">
        <f>K88+L88</f>
        <v>475776</v>
      </c>
      <c r="K88" s="418">
        <v>0</v>
      </c>
      <c r="L88" s="418">
        <v>475776</v>
      </c>
      <c r="M88" s="418">
        <f t="shared" si="242"/>
        <v>0</v>
      </c>
      <c r="N88" s="418">
        <v>0</v>
      </c>
      <c r="O88" s="418">
        <v>0</v>
      </c>
      <c r="P88" s="68">
        <f>ROUND((J88+M88)*33.8%,0)</f>
        <v>160812</v>
      </c>
      <c r="Q88" s="68">
        <f>ROUND(J88*1%,0)</f>
        <v>4758</v>
      </c>
      <c r="R88" s="418">
        <v>2835</v>
      </c>
      <c r="S88" s="419">
        <f t="shared" si="205"/>
        <v>1.4267000000000001</v>
      </c>
      <c r="T88" s="419">
        <v>0</v>
      </c>
      <c r="U88" s="527">
        <v>1.4267000000000001</v>
      </c>
      <c r="V88" s="427">
        <f t="shared" si="243"/>
        <v>0</v>
      </c>
      <c r="W88" s="421">
        <f t="shared" si="243"/>
        <v>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>V88+X88+Y88+AA88+AB88+AD88</f>
        <v>0</v>
      </c>
      <c r="AG88" s="421">
        <f>W88+Z88+AC88+AE88</f>
        <v>0</v>
      </c>
      <c r="AH88" s="421">
        <f>SUM(AF88:AG88)</f>
        <v>0</v>
      </c>
      <c r="AI88" s="421">
        <v>0</v>
      </c>
      <c r="AJ88" s="421">
        <v>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244"/>
        <v>0</v>
      </c>
      <c r="AP88" s="421">
        <f>AJ88+AN88</f>
        <v>0</v>
      </c>
      <c r="AQ88" s="421">
        <f>SUM(AO88:AP88)</f>
        <v>0</v>
      </c>
      <c r="AR88" s="421">
        <f t="shared" si="245"/>
        <v>0</v>
      </c>
      <c r="AS88" s="421">
        <f t="shared" si="245"/>
        <v>0</v>
      </c>
      <c r="AT88" s="421">
        <f>SUM(AR88:AS88)</f>
        <v>0</v>
      </c>
      <c r="AU88" s="68">
        <f t="shared" si="246"/>
        <v>0</v>
      </c>
      <c r="AV88" s="68">
        <f>ROUND(AH88*1%,0)</f>
        <v>0</v>
      </c>
      <c r="AW88" s="421">
        <v>0</v>
      </c>
      <c r="AX88" s="421">
        <v>0</v>
      </c>
      <c r="AY88" s="421">
        <f>AW88+AX88</f>
        <v>0</v>
      </c>
      <c r="AZ88" s="421">
        <f>AT88+AU88+AV88+AY88</f>
        <v>0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>BA88+BC88+BD88+BF88+BH88+BI88</f>
        <v>0</v>
      </c>
      <c r="BL88" s="422">
        <f>BB88+BE88+BG88+BJ88</f>
        <v>0</v>
      </c>
      <c r="BM88" s="611">
        <f>SUM(BK88:BL88)</f>
        <v>0</v>
      </c>
      <c r="BN88" s="428">
        <f>I88+AZ88</f>
        <v>644181</v>
      </c>
      <c r="BO88" s="421">
        <f>J88+AH88</f>
        <v>475776</v>
      </c>
      <c r="BP88" s="421">
        <f t="shared" si="247"/>
        <v>0</v>
      </c>
      <c r="BQ88" s="421">
        <f t="shared" si="247"/>
        <v>475776</v>
      </c>
      <c r="BR88" s="421">
        <f>M88+AQ88</f>
        <v>0</v>
      </c>
      <c r="BS88" s="421">
        <f t="shared" si="248"/>
        <v>0</v>
      </c>
      <c r="BT88" s="421">
        <f t="shared" si="248"/>
        <v>0</v>
      </c>
      <c r="BU88" s="421">
        <f t="shared" si="249"/>
        <v>160812</v>
      </c>
      <c r="BV88" s="421">
        <f t="shared" si="249"/>
        <v>4758</v>
      </c>
      <c r="BW88" s="421">
        <f>R88+AY88</f>
        <v>2835</v>
      </c>
      <c r="BX88" s="422">
        <f>S88+BM88</f>
        <v>1.4267000000000001</v>
      </c>
      <c r="BY88" s="422">
        <f t="shared" si="250"/>
        <v>0</v>
      </c>
      <c r="BZ88" s="611">
        <f t="shared" si="250"/>
        <v>1.4267000000000001</v>
      </c>
      <c r="CA88" s="423"/>
      <c r="CB88" s="418"/>
      <c r="CC88" s="418"/>
      <c r="CD88" s="418"/>
      <c r="CE88" s="418"/>
      <c r="CF88" s="527"/>
    </row>
    <row r="89" spans="1:84" ht="12.95" customHeight="1" x14ac:dyDescent="0.25">
      <c r="A89" s="214">
        <v>17</v>
      </c>
      <c r="B89" s="46">
        <v>3421</v>
      </c>
      <c r="C89" s="46">
        <v>600077985</v>
      </c>
      <c r="D89" s="48">
        <v>72741651</v>
      </c>
      <c r="E89" s="376" t="s">
        <v>483</v>
      </c>
      <c r="F89" s="48"/>
      <c r="G89" s="389"/>
      <c r="H89" s="186"/>
      <c r="I89" s="489">
        <f t="shared" ref="I89:BU89" si="253">SUM(I86:I88)</f>
        <v>6530993</v>
      </c>
      <c r="J89" s="487">
        <f t="shared" si="253"/>
        <v>4826804</v>
      </c>
      <c r="K89" s="487">
        <f t="shared" si="253"/>
        <v>3907482</v>
      </c>
      <c r="L89" s="487">
        <f t="shared" si="253"/>
        <v>919322</v>
      </c>
      <c r="M89" s="487">
        <f t="shared" si="253"/>
        <v>0</v>
      </c>
      <c r="N89" s="487">
        <f t="shared" si="253"/>
        <v>0</v>
      </c>
      <c r="O89" s="487">
        <f t="shared" si="253"/>
        <v>0</v>
      </c>
      <c r="P89" s="487">
        <f t="shared" si="253"/>
        <v>1631459</v>
      </c>
      <c r="Q89" s="487">
        <f t="shared" si="253"/>
        <v>48268</v>
      </c>
      <c r="R89" s="487">
        <f t="shared" si="253"/>
        <v>24462</v>
      </c>
      <c r="S89" s="488">
        <f t="shared" si="253"/>
        <v>10.1784</v>
      </c>
      <c r="T89" s="488">
        <f t="shared" si="253"/>
        <v>7.2584</v>
      </c>
      <c r="U89" s="353">
        <f t="shared" si="253"/>
        <v>2.92</v>
      </c>
      <c r="V89" s="490">
        <f t="shared" si="253"/>
        <v>-19200</v>
      </c>
      <c r="W89" s="487">
        <f t="shared" si="253"/>
        <v>-19200</v>
      </c>
      <c r="X89" s="487">
        <f t="shared" si="253"/>
        <v>370801</v>
      </c>
      <c r="Y89" s="487">
        <f t="shared" si="253"/>
        <v>0</v>
      </c>
      <c r="Z89" s="487">
        <f t="shared" si="253"/>
        <v>0</v>
      </c>
      <c r="AA89" s="487">
        <f t="shared" si="253"/>
        <v>0</v>
      </c>
      <c r="AB89" s="487">
        <f t="shared" si="253"/>
        <v>0</v>
      </c>
      <c r="AC89" s="487">
        <f t="shared" si="253"/>
        <v>0</v>
      </c>
      <c r="AD89" s="487">
        <f t="shared" si="253"/>
        <v>0</v>
      </c>
      <c r="AE89" s="487">
        <f t="shared" si="253"/>
        <v>0</v>
      </c>
      <c r="AF89" s="487">
        <f t="shared" si="253"/>
        <v>351601</v>
      </c>
      <c r="AG89" s="487">
        <f t="shared" si="253"/>
        <v>-19200</v>
      </c>
      <c r="AH89" s="487">
        <f t="shared" si="253"/>
        <v>332401</v>
      </c>
      <c r="AI89" s="487">
        <f t="shared" si="253"/>
        <v>19200</v>
      </c>
      <c r="AJ89" s="487">
        <f t="shared" si="253"/>
        <v>19200</v>
      </c>
      <c r="AK89" s="487">
        <f t="shared" ref="AK89" si="254">SUM(AK86:AK88)</f>
        <v>0</v>
      </c>
      <c r="AL89" s="487">
        <f t="shared" si="253"/>
        <v>0</v>
      </c>
      <c r="AM89" s="487">
        <f t="shared" si="253"/>
        <v>0</v>
      </c>
      <c r="AN89" s="487">
        <f t="shared" si="253"/>
        <v>0</v>
      </c>
      <c r="AO89" s="487">
        <f t="shared" si="253"/>
        <v>19200</v>
      </c>
      <c r="AP89" s="487">
        <f t="shared" si="253"/>
        <v>19200</v>
      </c>
      <c r="AQ89" s="487">
        <f t="shared" si="253"/>
        <v>38400</v>
      </c>
      <c r="AR89" s="487">
        <f t="shared" si="253"/>
        <v>370801</v>
      </c>
      <c r="AS89" s="487">
        <f t="shared" si="253"/>
        <v>0</v>
      </c>
      <c r="AT89" s="487">
        <f t="shared" si="253"/>
        <v>370801</v>
      </c>
      <c r="AU89" s="487">
        <f t="shared" si="253"/>
        <v>125331</v>
      </c>
      <c r="AV89" s="487">
        <f t="shared" si="253"/>
        <v>3324</v>
      </c>
      <c r="AW89" s="487">
        <f t="shared" si="253"/>
        <v>0</v>
      </c>
      <c r="AX89" s="487">
        <f t="shared" si="253"/>
        <v>0</v>
      </c>
      <c r="AY89" s="487">
        <f t="shared" si="253"/>
        <v>0</v>
      </c>
      <c r="AZ89" s="487">
        <f t="shared" si="253"/>
        <v>499456</v>
      </c>
      <c r="BA89" s="488">
        <f t="shared" si="253"/>
        <v>-0.03</v>
      </c>
      <c r="BB89" s="488">
        <f t="shared" si="253"/>
        <v>-7.0000000000000007E-2</v>
      </c>
      <c r="BC89" s="488">
        <f t="shared" si="253"/>
        <v>1</v>
      </c>
      <c r="BD89" s="488">
        <f t="shared" si="253"/>
        <v>0</v>
      </c>
      <c r="BE89" s="488">
        <f t="shared" si="253"/>
        <v>0</v>
      </c>
      <c r="BF89" s="488">
        <f t="shared" si="253"/>
        <v>0</v>
      </c>
      <c r="BG89" s="488">
        <f t="shared" si="253"/>
        <v>0</v>
      </c>
      <c r="BH89" s="488">
        <f t="shared" si="253"/>
        <v>0</v>
      </c>
      <c r="BI89" s="488">
        <f t="shared" si="253"/>
        <v>0</v>
      </c>
      <c r="BJ89" s="488">
        <f t="shared" si="253"/>
        <v>0</v>
      </c>
      <c r="BK89" s="488">
        <f t="shared" si="253"/>
        <v>0.97</v>
      </c>
      <c r="BL89" s="488">
        <f t="shared" si="253"/>
        <v>-7.0000000000000007E-2</v>
      </c>
      <c r="BM89" s="563">
        <f t="shared" si="253"/>
        <v>0.9</v>
      </c>
      <c r="BN89" s="489">
        <f t="shared" si="253"/>
        <v>7030449</v>
      </c>
      <c r="BO89" s="487">
        <f t="shared" si="253"/>
        <v>5159205</v>
      </c>
      <c r="BP89" s="487">
        <f t="shared" si="253"/>
        <v>4259083</v>
      </c>
      <c r="BQ89" s="487">
        <f t="shared" si="253"/>
        <v>900122</v>
      </c>
      <c r="BR89" s="487">
        <f t="shared" si="253"/>
        <v>38400</v>
      </c>
      <c r="BS89" s="487">
        <f t="shared" si="253"/>
        <v>19200</v>
      </c>
      <c r="BT89" s="487">
        <f t="shared" si="253"/>
        <v>19200</v>
      </c>
      <c r="BU89" s="487">
        <f t="shared" si="253"/>
        <v>1756790</v>
      </c>
      <c r="BV89" s="487">
        <f t="shared" ref="BV89:CF89" si="255">SUM(BV86:BV88)</f>
        <v>51592</v>
      </c>
      <c r="BW89" s="487">
        <f t="shared" si="255"/>
        <v>24462</v>
      </c>
      <c r="BX89" s="488">
        <f t="shared" si="255"/>
        <v>11.0784</v>
      </c>
      <c r="BY89" s="488">
        <f t="shared" si="255"/>
        <v>8.2284000000000006</v>
      </c>
      <c r="BZ89" s="563">
        <f t="shared" si="255"/>
        <v>2.85</v>
      </c>
      <c r="CA89" s="888">
        <f t="shared" si="255"/>
        <v>0</v>
      </c>
      <c r="CB89" s="887">
        <f t="shared" si="255"/>
        <v>0</v>
      </c>
      <c r="CC89" s="887">
        <f t="shared" si="255"/>
        <v>0</v>
      </c>
      <c r="CD89" s="887">
        <f t="shared" si="255"/>
        <v>0</v>
      </c>
      <c r="CE89" s="887">
        <f t="shared" si="255"/>
        <v>0</v>
      </c>
      <c r="CF89" s="843">
        <f t="shared" si="255"/>
        <v>0</v>
      </c>
    </row>
    <row r="90" spans="1:84" ht="12.95" customHeight="1" x14ac:dyDescent="0.25">
      <c r="A90" s="282">
        <v>18</v>
      </c>
      <c r="B90" s="213">
        <v>3420</v>
      </c>
      <c r="C90" s="213">
        <v>600078442</v>
      </c>
      <c r="D90" s="283">
        <v>72741571</v>
      </c>
      <c r="E90" s="374" t="s">
        <v>484</v>
      </c>
      <c r="F90" s="213">
        <v>3113</v>
      </c>
      <c r="G90" s="374" t="s">
        <v>309</v>
      </c>
      <c r="H90" s="287" t="s">
        <v>271</v>
      </c>
      <c r="I90" s="423">
        <f>J90+P90+Q90+R90</f>
        <v>15516792</v>
      </c>
      <c r="J90" s="418">
        <f>K90+L90</f>
        <v>11344664</v>
      </c>
      <c r="K90" s="418">
        <v>10269480</v>
      </c>
      <c r="L90" s="418">
        <v>1075184</v>
      </c>
      <c r="M90" s="418">
        <f t="shared" ref="M90:M94" si="256">N90+O90</f>
        <v>0</v>
      </c>
      <c r="N90" s="418">
        <v>0</v>
      </c>
      <c r="O90" s="418">
        <v>0</v>
      </c>
      <c r="P90" s="68">
        <f>ROUND((J90+M90)*33.8%,0)</f>
        <v>3834496</v>
      </c>
      <c r="Q90" s="68">
        <f>ROUND(J90*1%,0)</f>
        <v>113447</v>
      </c>
      <c r="R90" s="418">
        <v>224185</v>
      </c>
      <c r="S90" s="419">
        <f t="shared" si="205"/>
        <v>18.379100000000001</v>
      </c>
      <c r="T90" s="419">
        <v>15.2728</v>
      </c>
      <c r="U90" s="527">
        <v>3.1063000000000001</v>
      </c>
      <c r="V90" s="427">
        <f t="shared" ref="V90:W94" si="257">AI90*-1</f>
        <v>-33920</v>
      </c>
      <c r="W90" s="421">
        <f t="shared" si="257"/>
        <v>0</v>
      </c>
      <c r="X90" s="421">
        <v>0</v>
      </c>
      <c r="Y90" s="421">
        <v>0</v>
      </c>
      <c r="Z90" s="421">
        <v>0</v>
      </c>
      <c r="AA90" s="421">
        <v>0</v>
      </c>
      <c r="AB90" s="421">
        <v>282000</v>
      </c>
      <c r="AC90" s="421">
        <v>0</v>
      </c>
      <c r="AD90" s="421">
        <v>0</v>
      </c>
      <c r="AE90" s="421">
        <v>0</v>
      </c>
      <c r="AF90" s="421">
        <f>V90+X90+Y90+AA90+AB90+AD90</f>
        <v>248080</v>
      </c>
      <c r="AG90" s="421">
        <f>W90+Z90+AC90+AE90</f>
        <v>0</v>
      </c>
      <c r="AH90" s="421">
        <f>SUM(AF90:AG90)</f>
        <v>248080</v>
      </c>
      <c r="AI90" s="421">
        <v>33920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ref="AO90:AO94" si="258">AI90+AK90+AL90+AM90</f>
        <v>33920</v>
      </c>
      <c r="AP90" s="421">
        <f>AJ90+AN90</f>
        <v>0</v>
      </c>
      <c r="AQ90" s="421">
        <f>SUM(AO90:AP90)</f>
        <v>33920</v>
      </c>
      <c r="AR90" s="421">
        <f t="shared" ref="AR90:AS94" si="259">AF90+AO90</f>
        <v>282000</v>
      </c>
      <c r="AS90" s="421">
        <f t="shared" si="259"/>
        <v>0</v>
      </c>
      <c r="AT90" s="421">
        <f>SUM(AR90:AS90)</f>
        <v>282000</v>
      </c>
      <c r="AU90" s="68">
        <f t="shared" ref="AU90:AU94" si="260">ROUND((AH90+AI90+AJ90+AK90+AL90)*33.8%,0)</f>
        <v>95316</v>
      </c>
      <c r="AV90" s="68">
        <f>ROUND(AH90*1%,0)</f>
        <v>2481</v>
      </c>
      <c r="AW90" s="421">
        <v>0</v>
      </c>
      <c r="AX90" s="421">
        <v>0</v>
      </c>
      <c r="AY90" s="421">
        <f>AW90+AX90</f>
        <v>0</v>
      </c>
      <c r="AZ90" s="421">
        <f>AT90+AU90+AV90+AY90</f>
        <v>379797</v>
      </c>
      <c r="BA90" s="422">
        <v>-0.05</v>
      </c>
      <c r="BB90" s="422">
        <v>0</v>
      </c>
      <c r="BC90" s="422">
        <v>0</v>
      </c>
      <c r="BD90" s="422">
        <v>0.5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>BA90+BC90+BD90+BF90+BH90+BI90</f>
        <v>0.45</v>
      </c>
      <c r="BL90" s="422">
        <f>BB90+BE90+BG90+BJ90</f>
        <v>0</v>
      </c>
      <c r="BM90" s="611">
        <f>SUM(BK90:BL90)</f>
        <v>0.45</v>
      </c>
      <c r="BN90" s="428">
        <f>I90+AZ90</f>
        <v>15896589</v>
      </c>
      <c r="BO90" s="421">
        <f>J90+AH90</f>
        <v>11592744</v>
      </c>
      <c r="BP90" s="421">
        <f t="shared" ref="BP90:BQ94" si="261">K90+AF90</f>
        <v>10517560</v>
      </c>
      <c r="BQ90" s="421">
        <f t="shared" si="261"/>
        <v>1075184</v>
      </c>
      <c r="BR90" s="421">
        <f>M90+AQ90</f>
        <v>33920</v>
      </c>
      <c r="BS90" s="421">
        <f t="shared" ref="BS90:BT94" si="262">N90+AO90</f>
        <v>33920</v>
      </c>
      <c r="BT90" s="421">
        <f t="shared" si="262"/>
        <v>0</v>
      </c>
      <c r="BU90" s="421">
        <f t="shared" ref="BU90:BV94" si="263">P90+AU90</f>
        <v>3929812</v>
      </c>
      <c r="BV90" s="421">
        <f t="shared" si="263"/>
        <v>115928</v>
      </c>
      <c r="BW90" s="421">
        <f>R90+AY90</f>
        <v>224185</v>
      </c>
      <c r="BX90" s="422">
        <f>S90+BM90</f>
        <v>18.8291</v>
      </c>
      <c r="BY90" s="422">
        <f t="shared" ref="BY90:BZ94" si="264">T90+BK90</f>
        <v>15.722799999999999</v>
      </c>
      <c r="BZ90" s="611">
        <f t="shared" si="264"/>
        <v>3.1063000000000001</v>
      </c>
      <c r="CA90" s="423">
        <v>380136</v>
      </c>
      <c r="CB90" s="418">
        <v>282000</v>
      </c>
      <c r="CC90" s="418">
        <v>0</v>
      </c>
      <c r="CD90" s="418">
        <v>95316</v>
      </c>
      <c r="CE90" s="418">
        <v>2820</v>
      </c>
      <c r="CF90" s="527">
        <v>0.5</v>
      </c>
    </row>
    <row r="91" spans="1:84" ht="12.95" customHeight="1" x14ac:dyDescent="0.25">
      <c r="A91" s="282">
        <v>18</v>
      </c>
      <c r="B91" s="378">
        <v>3420</v>
      </c>
      <c r="C91" s="378">
        <v>600078442</v>
      </c>
      <c r="D91" s="283">
        <v>72741571</v>
      </c>
      <c r="E91" s="374" t="s">
        <v>484</v>
      </c>
      <c r="F91" s="213">
        <v>3113</v>
      </c>
      <c r="G91" s="325" t="s">
        <v>292</v>
      </c>
      <c r="H91" s="287" t="s">
        <v>272</v>
      </c>
      <c r="I91" s="423">
        <f>J91+P91+Q91+R91</f>
        <v>0</v>
      </c>
      <c r="J91" s="418">
        <f>K91+L91</f>
        <v>0</v>
      </c>
      <c r="K91" s="418">
        <v>0</v>
      </c>
      <c r="L91" s="418">
        <v>0</v>
      </c>
      <c r="M91" s="418">
        <f t="shared" si="256"/>
        <v>0</v>
      </c>
      <c r="N91" s="418">
        <v>0</v>
      </c>
      <c r="O91" s="418">
        <v>0</v>
      </c>
      <c r="P91" s="68">
        <f t="shared" ref="P91" si="265">ROUND((J91+M91)*33.8%,0)</f>
        <v>0</v>
      </c>
      <c r="Q91" s="68">
        <f t="shared" ref="Q91" si="266">ROUND(J91*1%,0)</f>
        <v>0</v>
      </c>
      <c r="R91" s="418">
        <v>0</v>
      </c>
      <c r="S91" s="419">
        <f t="shared" si="205"/>
        <v>0</v>
      </c>
      <c r="T91" s="419">
        <v>0</v>
      </c>
      <c r="U91" s="527">
        <v>0</v>
      </c>
      <c r="V91" s="427">
        <f t="shared" si="257"/>
        <v>0</v>
      </c>
      <c r="W91" s="421">
        <f t="shared" si="257"/>
        <v>0</v>
      </c>
      <c r="X91" s="421">
        <v>370802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>V91+X91+Y91+AA91+AB91+AD91</f>
        <v>370802</v>
      </c>
      <c r="AG91" s="421">
        <f>W91+Z91+AC91+AE91</f>
        <v>0</v>
      </c>
      <c r="AH91" s="421">
        <f>SUM(AF91:AG91)</f>
        <v>370802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258"/>
        <v>0</v>
      </c>
      <c r="AP91" s="421">
        <f>AJ91+AN91</f>
        <v>0</v>
      </c>
      <c r="AQ91" s="421">
        <f>SUM(AO91:AP91)</f>
        <v>0</v>
      </c>
      <c r="AR91" s="421">
        <f t="shared" si="259"/>
        <v>370802</v>
      </c>
      <c r="AS91" s="421">
        <f t="shared" si="259"/>
        <v>0</v>
      </c>
      <c r="AT91" s="421">
        <f>SUM(AR91:AS91)</f>
        <v>370802</v>
      </c>
      <c r="AU91" s="68">
        <f t="shared" si="260"/>
        <v>125331</v>
      </c>
      <c r="AV91" s="68">
        <f>ROUND(AH91*1%,0)</f>
        <v>3708</v>
      </c>
      <c r="AW91" s="421">
        <v>0</v>
      </c>
      <c r="AX91" s="421">
        <v>0</v>
      </c>
      <c r="AY91" s="421">
        <f>AW91+AX91</f>
        <v>0</v>
      </c>
      <c r="AZ91" s="421">
        <f>AT91+AU91+AV91+AY91</f>
        <v>499841</v>
      </c>
      <c r="BA91" s="422">
        <v>0</v>
      </c>
      <c r="BB91" s="422">
        <v>0</v>
      </c>
      <c r="BC91" s="422">
        <v>1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1</v>
      </c>
      <c r="BL91" s="422">
        <f>BB91+BE91+BG91+BJ91</f>
        <v>0</v>
      </c>
      <c r="BM91" s="611">
        <f>SUM(BK91:BL91)</f>
        <v>1</v>
      </c>
      <c r="BN91" s="428">
        <f>I91+AZ91</f>
        <v>499841</v>
      </c>
      <c r="BO91" s="421">
        <f>J91+AH91</f>
        <v>370802</v>
      </c>
      <c r="BP91" s="421">
        <f t="shared" si="261"/>
        <v>370802</v>
      </c>
      <c r="BQ91" s="421">
        <f t="shared" si="261"/>
        <v>0</v>
      </c>
      <c r="BR91" s="421">
        <f>M91+AQ91</f>
        <v>0</v>
      </c>
      <c r="BS91" s="421">
        <f t="shared" si="262"/>
        <v>0</v>
      </c>
      <c r="BT91" s="421">
        <f t="shared" si="262"/>
        <v>0</v>
      </c>
      <c r="BU91" s="421">
        <f t="shared" si="263"/>
        <v>125331</v>
      </c>
      <c r="BV91" s="421">
        <f t="shared" si="263"/>
        <v>3708</v>
      </c>
      <c r="BW91" s="421">
        <f>R91+AY91</f>
        <v>0</v>
      </c>
      <c r="BX91" s="422">
        <f>S91+BM91</f>
        <v>1</v>
      </c>
      <c r="BY91" s="422">
        <f t="shared" si="264"/>
        <v>1</v>
      </c>
      <c r="BZ91" s="611">
        <f t="shared" si="264"/>
        <v>0</v>
      </c>
      <c r="CA91" s="423"/>
      <c r="CB91" s="418"/>
      <c r="CC91" s="418"/>
      <c r="CD91" s="418"/>
      <c r="CE91" s="418"/>
      <c r="CF91" s="527"/>
    </row>
    <row r="92" spans="1:84" ht="12.95" customHeight="1" x14ac:dyDescent="0.25">
      <c r="A92" s="282">
        <v>18</v>
      </c>
      <c r="B92" s="213">
        <v>3420</v>
      </c>
      <c r="C92" s="213">
        <v>600078442</v>
      </c>
      <c r="D92" s="283">
        <v>72741571</v>
      </c>
      <c r="E92" s="212" t="s">
        <v>484</v>
      </c>
      <c r="F92" s="213">
        <v>3141</v>
      </c>
      <c r="G92" s="375" t="s">
        <v>295</v>
      </c>
      <c r="H92" s="287" t="s">
        <v>272</v>
      </c>
      <c r="I92" s="423">
        <f>J92+P92+Q92+R92</f>
        <v>1016927</v>
      </c>
      <c r="J92" s="418">
        <f>K92+L92</f>
        <v>749230</v>
      </c>
      <c r="K92" s="418">
        <v>0</v>
      </c>
      <c r="L92" s="418">
        <v>749230</v>
      </c>
      <c r="M92" s="418">
        <f t="shared" si="256"/>
        <v>0</v>
      </c>
      <c r="N92" s="418">
        <v>0</v>
      </c>
      <c r="O92" s="418">
        <v>0</v>
      </c>
      <c r="P92" s="68">
        <f>ROUND((J92+M92)*33.8%,0)</f>
        <v>253240</v>
      </c>
      <c r="Q92" s="68">
        <f>ROUND(J92*1%,0)</f>
        <v>7492</v>
      </c>
      <c r="R92" s="418">
        <v>6965</v>
      </c>
      <c r="S92" s="419">
        <f t="shared" si="205"/>
        <v>2.2467000000000001</v>
      </c>
      <c r="T92" s="419">
        <v>0</v>
      </c>
      <c r="U92" s="527">
        <v>2.2467000000000001</v>
      </c>
      <c r="V92" s="427">
        <f t="shared" si="257"/>
        <v>0</v>
      </c>
      <c r="W92" s="421">
        <f t="shared" si="257"/>
        <v>0</v>
      </c>
      <c r="X92" s="421">
        <v>0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f>V92+X92+Y92+AA92+AB92+AD92</f>
        <v>0</v>
      </c>
      <c r="AG92" s="421">
        <f>W92+Z92+AC92+AE92</f>
        <v>0</v>
      </c>
      <c r="AH92" s="421">
        <f>SUM(AF92:AG92)</f>
        <v>0</v>
      </c>
      <c r="AI92" s="421">
        <v>0</v>
      </c>
      <c r="AJ92" s="421">
        <v>0</v>
      </c>
      <c r="AK92" s="421">
        <v>0</v>
      </c>
      <c r="AL92" s="421">
        <v>0</v>
      </c>
      <c r="AM92" s="421">
        <v>0</v>
      </c>
      <c r="AN92" s="421">
        <v>0</v>
      </c>
      <c r="AO92" s="421">
        <f t="shared" si="258"/>
        <v>0</v>
      </c>
      <c r="AP92" s="421">
        <f>AJ92+AN92</f>
        <v>0</v>
      </c>
      <c r="AQ92" s="421">
        <f>SUM(AO92:AP92)</f>
        <v>0</v>
      </c>
      <c r="AR92" s="421">
        <f t="shared" si="259"/>
        <v>0</v>
      </c>
      <c r="AS92" s="421">
        <f t="shared" si="259"/>
        <v>0</v>
      </c>
      <c r="AT92" s="421">
        <f>SUM(AR92:AS92)</f>
        <v>0</v>
      </c>
      <c r="AU92" s="68">
        <f t="shared" si="260"/>
        <v>0</v>
      </c>
      <c r="AV92" s="68">
        <f>ROUND(AH92*1%,0)</f>
        <v>0</v>
      </c>
      <c r="AW92" s="421">
        <v>0</v>
      </c>
      <c r="AX92" s="421">
        <v>0</v>
      </c>
      <c r="AY92" s="421">
        <f>AW92+AX92</f>
        <v>0</v>
      </c>
      <c r="AZ92" s="421">
        <f>AT92+AU92+AV92+AY92</f>
        <v>0</v>
      </c>
      <c r="BA92" s="422">
        <v>0</v>
      </c>
      <c r="BB92" s="422">
        <v>0</v>
      </c>
      <c r="BC92" s="422">
        <v>0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>BA92+BC92+BD92+BF92+BH92+BI92</f>
        <v>0</v>
      </c>
      <c r="BL92" s="422">
        <f>BB92+BE92+BG92+BJ92</f>
        <v>0</v>
      </c>
      <c r="BM92" s="611">
        <f>SUM(BK92:BL92)</f>
        <v>0</v>
      </c>
      <c r="BN92" s="428">
        <f>I92+AZ92</f>
        <v>1016927</v>
      </c>
      <c r="BO92" s="421">
        <f>J92+AH92</f>
        <v>749230</v>
      </c>
      <c r="BP92" s="421">
        <f t="shared" si="261"/>
        <v>0</v>
      </c>
      <c r="BQ92" s="421">
        <f t="shared" si="261"/>
        <v>749230</v>
      </c>
      <c r="BR92" s="421">
        <f>M92+AQ92</f>
        <v>0</v>
      </c>
      <c r="BS92" s="421">
        <f t="shared" si="262"/>
        <v>0</v>
      </c>
      <c r="BT92" s="421">
        <f t="shared" si="262"/>
        <v>0</v>
      </c>
      <c r="BU92" s="421">
        <f t="shared" si="263"/>
        <v>253240</v>
      </c>
      <c r="BV92" s="421">
        <f t="shared" si="263"/>
        <v>7492</v>
      </c>
      <c r="BW92" s="421">
        <f>R92+AY92</f>
        <v>6965</v>
      </c>
      <c r="BX92" s="422">
        <f>S92+BM92</f>
        <v>2.2467000000000001</v>
      </c>
      <c r="BY92" s="422">
        <f t="shared" si="264"/>
        <v>0</v>
      </c>
      <c r="BZ92" s="611">
        <f t="shared" si="264"/>
        <v>2.2467000000000001</v>
      </c>
      <c r="CA92" s="423"/>
      <c r="CB92" s="418"/>
      <c r="CC92" s="418"/>
      <c r="CD92" s="418"/>
      <c r="CE92" s="418"/>
      <c r="CF92" s="527"/>
    </row>
    <row r="93" spans="1:84" ht="12.95" customHeight="1" x14ac:dyDescent="0.25">
      <c r="A93" s="282">
        <v>18</v>
      </c>
      <c r="B93" s="378">
        <v>3420</v>
      </c>
      <c r="C93" s="378">
        <v>600078442</v>
      </c>
      <c r="D93" s="283">
        <v>72741571</v>
      </c>
      <c r="E93" s="374" t="s">
        <v>484</v>
      </c>
      <c r="F93" s="213">
        <v>3143</v>
      </c>
      <c r="G93" s="325" t="s">
        <v>596</v>
      </c>
      <c r="H93" s="287" t="s">
        <v>271</v>
      </c>
      <c r="I93" s="423">
        <f>J93+P93+Q93+R93</f>
        <v>965637</v>
      </c>
      <c r="J93" s="418">
        <f>K93+L93</f>
        <v>716348</v>
      </c>
      <c r="K93" s="418">
        <v>716348</v>
      </c>
      <c r="L93" s="418">
        <v>0</v>
      </c>
      <c r="M93" s="418">
        <f t="shared" si="256"/>
        <v>0</v>
      </c>
      <c r="N93" s="418">
        <v>0</v>
      </c>
      <c r="O93" s="418">
        <v>0</v>
      </c>
      <c r="P93" s="68">
        <f>ROUND((J93+M93)*33.8%,0)</f>
        <v>242126</v>
      </c>
      <c r="Q93" s="68">
        <f>ROUND(J93*1%,0)</f>
        <v>7163</v>
      </c>
      <c r="R93" s="418">
        <v>0</v>
      </c>
      <c r="S93" s="419">
        <f t="shared" si="205"/>
        <v>1.5</v>
      </c>
      <c r="T93" s="419">
        <v>1.5</v>
      </c>
      <c r="U93" s="527">
        <v>0</v>
      </c>
      <c r="V93" s="427">
        <f t="shared" si="257"/>
        <v>0</v>
      </c>
      <c r="W93" s="421">
        <f t="shared" si="257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>V93+X93+Y93+AA93+AB93+AD93</f>
        <v>0</v>
      </c>
      <c r="AG93" s="421">
        <f>W93+Z93+AC93+AE93</f>
        <v>0</v>
      </c>
      <c r="AH93" s="421">
        <f>SUM(AF93:AG93)</f>
        <v>0</v>
      </c>
      <c r="AI93" s="421">
        <v>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si="258"/>
        <v>0</v>
      </c>
      <c r="AP93" s="421">
        <f>AJ93+AN93</f>
        <v>0</v>
      </c>
      <c r="AQ93" s="421">
        <f>SUM(AO93:AP93)</f>
        <v>0</v>
      </c>
      <c r="AR93" s="421">
        <f t="shared" si="259"/>
        <v>0</v>
      </c>
      <c r="AS93" s="421">
        <f t="shared" si="259"/>
        <v>0</v>
      </c>
      <c r="AT93" s="421">
        <f>SUM(AR93:AS93)</f>
        <v>0</v>
      </c>
      <c r="AU93" s="68">
        <f t="shared" si="260"/>
        <v>0</v>
      </c>
      <c r="AV93" s="68">
        <f>ROUND(AH93*1%,0)</f>
        <v>0</v>
      </c>
      <c r="AW93" s="421">
        <v>0</v>
      </c>
      <c r="AX93" s="421">
        <v>0</v>
      </c>
      <c r="AY93" s="421">
        <f>AW93+AX93</f>
        <v>0</v>
      </c>
      <c r="AZ93" s="421">
        <f>AT93+AU93+AV93+AY93</f>
        <v>0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611">
        <f>SUM(BK93:BL93)</f>
        <v>0</v>
      </c>
      <c r="BN93" s="428">
        <f>I93+AZ93</f>
        <v>965637</v>
      </c>
      <c r="BO93" s="421">
        <f>J93+AH93</f>
        <v>716348</v>
      </c>
      <c r="BP93" s="421">
        <f t="shared" si="261"/>
        <v>716348</v>
      </c>
      <c r="BQ93" s="421">
        <f t="shared" si="261"/>
        <v>0</v>
      </c>
      <c r="BR93" s="421">
        <f>M93+AQ93</f>
        <v>0</v>
      </c>
      <c r="BS93" s="421">
        <f t="shared" si="262"/>
        <v>0</v>
      </c>
      <c r="BT93" s="421">
        <f t="shared" si="262"/>
        <v>0</v>
      </c>
      <c r="BU93" s="421">
        <f t="shared" si="263"/>
        <v>242126</v>
      </c>
      <c r="BV93" s="421">
        <f t="shared" si="263"/>
        <v>7163</v>
      </c>
      <c r="BW93" s="421">
        <f>R93+AY93</f>
        <v>0</v>
      </c>
      <c r="BX93" s="422">
        <f>S93+BM93</f>
        <v>1.5</v>
      </c>
      <c r="BY93" s="422">
        <f t="shared" si="264"/>
        <v>1.5</v>
      </c>
      <c r="BZ93" s="611">
        <f t="shared" si="264"/>
        <v>0</v>
      </c>
      <c r="CA93" s="423"/>
      <c r="CB93" s="418"/>
      <c r="CC93" s="418"/>
      <c r="CD93" s="418"/>
      <c r="CE93" s="418"/>
      <c r="CF93" s="527"/>
    </row>
    <row r="94" spans="1:84" ht="12.95" customHeight="1" x14ac:dyDescent="0.25">
      <c r="A94" s="282">
        <v>18</v>
      </c>
      <c r="B94" s="378">
        <v>3420</v>
      </c>
      <c r="C94" s="378">
        <v>600078442</v>
      </c>
      <c r="D94" s="283">
        <v>72741571</v>
      </c>
      <c r="E94" s="374" t="s">
        <v>484</v>
      </c>
      <c r="F94" s="213">
        <v>3143</v>
      </c>
      <c r="G94" s="325" t="s">
        <v>597</v>
      </c>
      <c r="H94" s="287" t="s">
        <v>272</v>
      </c>
      <c r="I94" s="423">
        <f>J94+P94+Q94+R94</f>
        <v>26114</v>
      </c>
      <c r="J94" s="418">
        <f>K94+L94</f>
        <v>18691</v>
      </c>
      <c r="K94" s="418">
        <v>0</v>
      </c>
      <c r="L94" s="418">
        <v>18691</v>
      </c>
      <c r="M94" s="418">
        <f t="shared" si="256"/>
        <v>0</v>
      </c>
      <c r="N94" s="418">
        <v>0</v>
      </c>
      <c r="O94" s="418">
        <v>0</v>
      </c>
      <c r="P94" s="68">
        <f>ROUND((J94+M94)*33.8%,0)</f>
        <v>6318</v>
      </c>
      <c r="Q94" s="68">
        <f>ROUND(J94*1%,0)</f>
        <v>187</v>
      </c>
      <c r="R94" s="418">
        <v>918</v>
      </c>
      <c r="S94" s="419">
        <f t="shared" si="205"/>
        <v>7.0800000000000002E-2</v>
      </c>
      <c r="T94" s="419">
        <v>0</v>
      </c>
      <c r="U94" s="527">
        <v>7.0800000000000002E-2</v>
      </c>
      <c r="V94" s="427">
        <f t="shared" si="257"/>
        <v>0</v>
      </c>
      <c r="W94" s="421">
        <f t="shared" si="257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>V94+X94+Y94+AA94+AB94+AD94</f>
        <v>0</v>
      </c>
      <c r="AG94" s="421">
        <f>W94+Z94+AC94+AE94</f>
        <v>0</v>
      </c>
      <c r="AH94" s="421">
        <f>SUM(AF94:AG94)</f>
        <v>0</v>
      </c>
      <c r="AI94" s="421">
        <v>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258"/>
        <v>0</v>
      </c>
      <c r="AP94" s="421">
        <f>AJ94+AN94</f>
        <v>0</v>
      </c>
      <c r="AQ94" s="421">
        <f>SUM(AO94:AP94)</f>
        <v>0</v>
      </c>
      <c r="AR94" s="421">
        <f t="shared" si="259"/>
        <v>0</v>
      </c>
      <c r="AS94" s="421">
        <f t="shared" si="259"/>
        <v>0</v>
      </c>
      <c r="AT94" s="421">
        <f>SUM(AR94:AS94)</f>
        <v>0</v>
      </c>
      <c r="AU94" s="68">
        <f t="shared" si="260"/>
        <v>0</v>
      </c>
      <c r="AV94" s="68">
        <f>ROUND(AH94*1%,0)</f>
        <v>0</v>
      </c>
      <c r="AW94" s="421">
        <v>0</v>
      </c>
      <c r="AX94" s="421">
        <v>0</v>
      </c>
      <c r="AY94" s="421">
        <f>AW94+AX94</f>
        <v>0</v>
      </c>
      <c r="AZ94" s="421">
        <f>AT94+AU94+AV94+AY94</f>
        <v>0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>BA94+BC94+BD94+BF94+BH94+BI94</f>
        <v>0</v>
      </c>
      <c r="BL94" s="422">
        <f>BB94+BE94+BG94+BJ94</f>
        <v>0</v>
      </c>
      <c r="BM94" s="611">
        <f>SUM(BK94:BL94)</f>
        <v>0</v>
      </c>
      <c r="BN94" s="428">
        <f>I94+AZ94</f>
        <v>26114</v>
      </c>
      <c r="BO94" s="421">
        <f>J94+AH94</f>
        <v>18691</v>
      </c>
      <c r="BP94" s="421">
        <f t="shared" si="261"/>
        <v>0</v>
      </c>
      <c r="BQ94" s="421">
        <f t="shared" si="261"/>
        <v>18691</v>
      </c>
      <c r="BR94" s="421">
        <f>M94+AQ94</f>
        <v>0</v>
      </c>
      <c r="BS94" s="421">
        <f t="shared" si="262"/>
        <v>0</v>
      </c>
      <c r="BT94" s="421">
        <f t="shared" si="262"/>
        <v>0</v>
      </c>
      <c r="BU94" s="421">
        <f t="shared" si="263"/>
        <v>6318</v>
      </c>
      <c r="BV94" s="421">
        <f t="shared" si="263"/>
        <v>187</v>
      </c>
      <c r="BW94" s="421">
        <f>R94+AY94</f>
        <v>918</v>
      </c>
      <c r="BX94" s="422">
        <f>S94+BM94</f>
        <v>7.0800000000000002E-2</v>
      </c>
      <c r="BY94" s="422">
        <f t="shared" si="264"/>
        <v>0</v>
      </c>
      <c r="BZ94" s="611">
        <f t="shared" si="264"/>
        <v>7.0800000000000002E-2</v>
      </c>
      <c r="CA94" s="423"/>
      <c r="CB94" s="418"/>
      <c r="CC94" s="418"/>
      <c r="CD94" s="418"/>
      <c r="CE94" s="418"/>
      <c r="CF94" s="527"/>
    </row>
    <row r="95" spans="1:84" ht="12.95" customHeight="1" x14ac:dyDescent="0.25">
      <c r="A95" s="214">
        <v>18</v>
      </c>
      <c r="B95" s="46">
        <v>3420</v>
      </c>
      <c r="C95" s="46">
        <v>600078442</v>
      </c>
      <c r="D95" s="46">
        <v>72741571</v>
      </c>
      <c r="E95" s="376" t="s">
        <v>485</v>
      </c>
      <c r="F95" s="45"/>
      <c r="G95" s="376"/>
      <c r="H95" s="183"/>
      <c r="I95" s="472">
        <f t="shared" ref="I95:BU95" si="267">SUM(I90:I94)</f>
        <v>17525470</v>
      </c>
      <c r="J95" s="468">
        <f t="shared" si="267"/>
        <v>12828933</v>
      </c>
      <c r="K95" s="468">
        <f t="shared" si="267"/>
        <v>10985828</v>
      </c>
      <c r="L95" s="468">
        <f t="shared" si="267"/>
        <v>1843105</v>
      </c>
      <c r="M95" s="468">
        <f t="shared" si="267"/>
        <v>0</v>
      </c>
      <c r="N95" s="468">
        <f t="shared" si="267"/>
        <v>0</v>
      </c>
      <c r="O95" s="468">
        <f t="shared" si="267"/>
        <v>0</v>
      </c>
      <c r="P95" s="468">
        <f t="shared" si="267"/>
        <v>4336180</v>
      </c>
      <c r="Q95" s="468">
        <f t="shared" si="267"/>
        <v>128289</v>
      </c>
      <c r="R95" s="468">
        <f t="shared" si="267"/>
        <v>232068</v>
      </c>
      <c r="S95" s="469">
        <f t="shared" si="267"/>
        <v>22.1966</v>
      </c>
      <c r="T95" s="469">
        <f t="shared" si="267"/>
        <v>16.7728</v>
      </c>
      <c r="U95" s="281">
        <f t="shared" si="267"/>
        <v>5.4238</v>
      </c>
      <c r="V95" s="474">
        <f t="shared" si="267"/>
        <v>-33920</v>
      </c>
      <c r="W95" s="468">
        <f t="shared" si="267"/>
        <v>0</v>
      </c>
      <c r="X95" s="468">
        <f t="shared" si="267"/>
        <v>370802</v>
      </c>
      <c r="Y95" s="468">
        <f t="shared" si="267"/>
        <v>0</v>
      </c>
      <c r="Z95" s="468">
        <f t="shared" si="267"/>
        <v>0</v>
      </c>
      <c r="AA95" s="468">
        <f t="shared" si="267"/>
        <v>0</v>
      </c>
      <c r="AB95" s="468">
        <f t="shared" si="267"/>
        <v>282000</v>
      </c>
      <c r="AC95" s="468">
        <f t="shared" si="267"/>
        <v>0</v>
      </c>
      <c r="AD95" s="468">
        <f t="shared" si="267"/>
        <v>0</v>
      </c>
      <c r="AE95" s="468">
        <f t="shared" si="267"/>
        <v>0</v>
      </c>
      <c r="AF95" s="468">
        <f t="shared" si="267"/>
        <v>618882</v>
      </c>
      <c r="AG95" s="468">
        <f t="shared" si="267"/>
        <v>0</v>
      </c>
      <c r="AH95" s="468">
        <f t="shared" si="267"/>
        <v>618882</v>
      </c>
      <c r="AI95" s="468">
        <f t="shared" si="267"/>
        <v>33920</v>
      </c>
      <c r="AJ95" s="468">
        <f t="shared" si="267"/>
        <v>0</v>
      </c>
      <c r="AK95" s="468">
        <f t="shared" ref="AK95" si="268">SUM(AK90:AK94)</f>
        <v>0</v>
      </c>
      <c r="AL95" s="468">
        <f t="shared" si="267"/>
        <v>0</v>
      </c>
      <c r="AM95" s="468">
        <f t="shared" si="267"/>
        <v>0</v>
      </c>
      <c r="AN95" s="468">
        <f t="shared" si="267"/>
        <v>0</v>
      </c>
      <c r="AO95" s="468">
        <f t="shared" si="267"/>
        <v>33920</v>
      </c>
      <c r="AP95" s="468">
        <f t="shared" si="267"/>
        <v>0</v>
      </c>
      <c r="AQ95" s="468">
        <f t="shared" si="267"/>
        <v>33920</v>
      </c>
      <c r="AR95" s="468">
        <f t="shared" si="267"/>
        <v>652802</v>
      </c>
      <c r="AS95" s="468">
        <f t="shared" si="267"/>
        <v>0</v>
      </c>
      <c r="AT95" s="468">
        <f t="shared" si="267"/>
        <v>652802</v>
      </c>
      <c r="AU95" s="468">
        <f t="shared" si="267"/>
        <v>220647</v>
      </c>
      <c r="AV95" s="468">
        <f t="shared" si="267"/>
        <v>6189</v>
      </c>
      <c r="AW95" s="468">
        <f t="shared" si="267"/>
        <v>0</v>
      </c>
      <c r="AX95" s="468">
        <f t="shared" si="267"/>
        <v>0</v>
      </c>
      <c r="AY95" s="468">
        <f t="shared" si="267"/>
        <v>0</v>
      </c>
      <c r="AZ95" s="468">
        <f t="shared" si="267"/>
        <v>879638</v>
      </c>
      <c r="BA95" s="469">
        <f t="shared" si="267"/>
        <v>-0.05</v>
      </c>
      <c r="BB95" s="469">
        <f t="shared" si="267"/>
        <v>0</v>
      </c>
      <c r="BC95" s="469">
        <f t="shared" si="267"/>
        <v>1</v>
      </c>
      <c r="BD95" s="469">
        <f t="shared" si="267"/>
        <v>0.5</v>
      </c>
      <c r="BE95" s="469">
        <f t="shared" si="267"/>
        <v>0</v>
      </c>
      <c r="BF95" s="469">
        <f t="shared" si="267"/>
        <v>0</v>
      </c>
      <c r="BG95" s="469">
        <f t="shared" si="267"/>
        <v>0</v>
      </c>
      <c r="BH95" s="469">
        <f t="shared" si="267"/>
        <v>0</v>
      </c>
      <c r="BI95" s="469">
        <f t="shared" si="267"/>
        <v>0</v>
      </c>
      <c r="BJ95" s="469">
        <f t="shared" si="267"/>
        <v>0</v>
      </c>
      <c r="BK95" s="469">
        <f t="shared" si="267"/>
        <v>1.45</v>
      </c>
      <c r="BL95" s="469">
        <f t="shared" si="267"/>
        <v>0</v>
      </c>
      <c r="BM95" s="562">
        <f t="shared" si="267"/>
        <v>1.45</v>
      </c>
      <c r="BN95" s="472">
        <f t="shared" si="267"/>
        <v>18405108</v>
      </c>
      <c r="BO95" s="468">
        <f t="shared" si="267"/>
        <v>13447815</v>
      </c>
      <c r="BP95" s="468">
        <f t="shared" si="267"/>
        <v>11604710</v>
      </c>
      <c r="BQ95" s="468">
        <f t="shared" si="267"/>
        <v>1843105</v>
      </c>
      <c r="BR95" s="468">
        <f t="shared" si="267"/>
        <v>33920</v>
      </c>
      <c r="BS95" s="468">
        <f t="shared" si="267"/>
        <v>33920</v>
      </c>
      <c r="BT95" s="468">
        <f t="shared" si="267"/>
        <v>0</v>
      </c>
      <c r="BU95" s="468">
        <f t="shared" si="267"/>
        <v>4556827</v>
      </c>
      <c r="BV95" s="468">
        <f t="shared" ref="BV95:CF95" si="269">SUM(BV90:BV94)</f>
        <v>134478</v>
      </c>
      <c r="BW95" s="468">
        <f t="shared" si="269"/>
        <v>232068</v>
      </c>
      <c r="BX95" s="469">
        <f t="shared" si="269"/>
        <v>23.646599999999999</v>
      </c>
      <c r="BY95" s="469">
        <f t="shared" si="269"/>
        <v>18.222799999999999</v>
      </c>
      <c r="BZ95" s="562">
        <f t="shared" si="269"/>
        <v>5.4238</v>
      </c>
      <c r="CA95" s="873">
        <f t="shared" si="269"/>
        <v>380136</v>
      </c>
      <c r="CB95" s="850">
        <f t="shared" si="269"/>
        <v>282000</v>
      </c>
      <c r="CC95" s="850">
        <f t="shared" si="269"/>
        <v>0</v>
      </c>
      <c r="CD95" s="850">
        <f t="shared" si="269"/>
        <v>95316</v>
      </c>
      <c r="CE95" s="850">
        <f t="shared" si="269"/>
        <v>2820</v>
      </c>
      <c r="CF95" s="841">
        <f t="shared" si="269"/>
        <v>0.5</v>
      </c>
    </row>
    <row r="96" spans="1:84" ht="12.95" customHeight="1" x14ac:dyDescent="0.25">
      <c r="A96" s="282">
        <v>19</v>
      </c>
      <c r="B96" s="372">
        <v>5493</v>
      </c>
      <c r="C96" s="372">
        <v>691009813</v>
      </c>
      <c r="D96" s="283">
        <v>6181457</v>
      </c>
      <c r="E96" s="373" t="s">
        <v>486</v>
      </c>
      <c r="F96" s="372">
        <v>3111</v>
      </c>
      <c r="G96" s="375" t="s">
        <v>305</v>
      </c>
      <c r="H96" s="287" t="s">
        <v>271</v>
      </c>
      <c r="I96" s="423">
        <f>J96+P96+Q96+R96</f>
        <v>3500050</v>
      </c>
      <c r="J96" s="418">
        <f>K96+L96</f>
        <v>2588553</v>
      </c>
      <c r="K96" s="418">
        <v>2366761</v>
      </c>
      <c r="L96" s="418">
        <v>221792</v>
      </c>
      <c r="M96" s="418">
        <f t="shared" ref="M96:M98" si="270">N96+O96</f>
        <v>0</v>
      </c>
      <c r="N96" s="418">
        <v>0</v>
      </c>
      <c r="O96" s="418">
        <v>0</v>
      </c>
      <c r="P96" s="68">
        <f>ROUND((J96+M96)*33.8%,0)</f>
        <v>874931</v>
      </c>
      <c r="Q96" s="68">
        <f>ROUND(J96*1%,0)</f>
        <v>25886</v>
      </c>
      <c r="R96" s="418">
        <v>10680</v>
      </c>
      <c r="S96" s="419">
        <f t="shared" si="205"/>
        <v>4.9726999999999997</v>
      </c>
      <c r="T96" s="419">
        <v>4.226</v>
      </c>
      <c r="U96" s="527">
        <v>0.74669999999999992</v>
      </c>
      <c r="V96" s="427">
        <f t="shared" ref="V96:W98" si="271">AI96*-1</f>
        <v>0</v>
      </c>
      <c r="W96" s="421">
        <f t="shared" si="271"/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>V96+X96+Y96+AA96+AB96+AD96</f>
        <v>0</v>
      </c>
      <c r="AG96" s="421">
        <f>W96+Z96+AC96+AE96</f>
        <v>0</v>
      </c>
      <c r="AH96" s="421">
        <f>SUM(AF96:AG96)</f>
        <v>0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ref="AO96:AO98" si="272">AI96+AK96+AL96+AM96</f>
        <v>0</v>
      </c>
      <c r="AP96" s="421">
        <f>AJ96+AN96</f>
        <v>0</v>
      </c>
      <c r="AQ96" s="421">
        <f>SUM(AO96:AP96)</f>
        <v>0</v>
      </c>
      <c r="AR96" s="421">
        <f t="shared" ref="AR96:AS98" si="273">AF96+AO96</f>
        <v>0</v>
      </c>
      <c r="AS96" s="421">
        <f t="shared" si="273"/>
        <v>0</v>
      </c>
      <c r="AT96" s="421">
        <f>SUM(AR96:AS96)</f>
        <v>0</v>
      </c>
      <c r="AU96" s="68">
        <f t="shared" ref="AU96:AU98" si="274">ROUND((AH96+AI96+AJ96+AK96+AL96)*33.8%,0)</f>
        <v>0</v>
      </c>
      <c r="AV96" s="68">
        <f>ROUND(AH96*1%,0)</f>
        <v>0</v>
      </c>
      <c r="AW96" s="421">
        <v>0</v>
      </c>
      <c r="AX96" s="421">
        <v>0</v>
      </c>
      <c r="AY96" s="421">
        <f>AW96+AX96</f>
        <v>0</v>
      </c>
      <c r="AZ96" s="421">
        <f>AT96+AU96+AV96+AY96</f>
        <v>0</v>
      </c>
      <c r="BA96" s="422">
        <v>0</v>
      </c>
      <c r="BB96" s="422">
        <v>0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>BA96+BC96+BD96+BF96+BH96+BI96</f>
        <v>0</v>
      </c>
      <c r="BL96" s="422">
        <f>BB96+BE96+BG96+BJ96</f>
        <v>0</v>
      </c>
      <c r="BM96" s="611">
        <f>SUM(BK96:BL96)</f>
        <v>0</v>
      </c>
      <c r="BN96" s="428">
        <f>I96+AZ96</f>
        <v>3500050</v>
      </c>
      <c r="BO96" s="421">
        <f>J96+AH96</f>
        <v>2588553</v>
      </c>
      <c r="BP96" s="421">
        <f t="shared" ref="BP96:BQ98" si="275">K96+AF96</f>
        <v>2366761</v>
      </c>
      <c r="BQ96" s="421">
        <f t="shared" si="275"/>
        <v>221792</v>
      </c>
      <c r="BR96" s="421">
        <f>M96+AQ96</f>
        <v>0</v>
      </c>
      <c r="BS96" s="421">
        <f t="shared" ref="BS96:BT98" si="276">N96+AO96</f>
        <v>0</v>
      </c>
      <c r="BT96" s="421">
        <f t="shared" si="276"/>
        <v>0</v>
      </c>
      <c r="BU96" s="421">
        <f t="shared" ref="BU96:BV98" si="277">P96+AU96</f>
        <v>874931</v>
      </c>
      <c r="BV96" s="421">
        <f t="shared" si="277"/>
        <v>25886</v>
      </c>
      <c r="BW96" s="421">
        <f>R96+AY96</f>
        <v>10680</v>
      </c>
      <c r="BX96" s="422">
        <f>S96+BM96</f>
        <v>4.9726999999999997</v>
      </c>
      <c r="BY96" s="422">
        <f t="shared" ref="BY96:BZ98" si="278">T96+BK96</f>
        <v>4.226</v>
      </c>
      <c r="BZ96" s="611">
        <f t="shared" si="278"/>
        <v>0.74669999999999992</v>
      </c>
      <c r="CA96" s="423"/>
      <c r="CB96" s="418"/>
      <c r="CC96" s="418"/>
      <c r="CD96" s="418"/>
      <c r="CE96" s="418"/>
      <c r="CF96" s="527"/>
    </row>
    <row r="97" spans="1:84" ht="12.95" customHeight="1" x14ac:dyDescent="0.25">
      <c r="A97" s="282">
        <v>19</v>
      </c>
      <c r="B97" s="372">
        <v>5493</v>
      </c>
      <c r="C97" s="372">
        <v>691009813</v>
      </c>
      <c r="D97" s="283">
        <v>6181457</v>
      </c>
      <c r="E97" s="373" t="s">
        <v>486</v>
      </c>
      <c r="F97" s="372">
        <v>3111</v>
      </c>
      <c r="G97" s="325" t="s">
        <v>292</v>
      </c>
      <c r="H97" s="287" t="s">
        <v>272</v>
      </c>
      <c r="I97" s="423">
        <f>J97+P97+Q97+R97</f>
        <v>0</v>
      </c>
      <c r="J97" s="418">
        <f>K97+L97</f>
        <v>0</v>
      </c>
      <c r="K97" s="418">
        <v>0</v>
      </c>
      <c r="L97" s="418">
        <v>0</v>
      </c>
      <c r="M97" s="418">
        <f t="shared" si="270"/>
        <v>0</v>
      </c>
      <c r="N97" s="418">
        <v>0</v>
      </c>
      <c r="O97" s="418">
        <v>0</v>
      </c>
      <c r="P97" s="68">
        <f t="shared" ref="P97" si="279">ROUND((J97+M97)*33.8%,0)</f>
        <v>0</v>
      </c>
      <c r="Q97" s="68">
        <f t="shared" ref="Q97" si="280">ROUND(J97*1%,0)</f>
        <v>0</v>
      </c>
      <c r="R97" s="418">
        <v>0</v>
      </c>
      <c r="S97" s="419">
        <f t="shared" si="205"/>
        <v>0</v>
      </c>
      <c r="T97" s="419">
        <v>0</v>
      </c>
      <c r="U97" s="527">
        <v>0</v>
      </c>
      <c r="V97" s="427">
        <f t="shared" si="271"/>
        <v>0</v>
      </c>
      <c r="W97" s="421">
        <f t="shared" si="271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>V97+X97+Y97+AA97+AB97+AD97</f>
        <v>0</v>
      </c>
      <c r="AG97" s="421">
        <f>W97+Z97+AC97+AE97</f>
        <v>0</v>
      </c>
      <c r="AH97" s="421">
        <f>SUM(AF97:AG97)</f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272"/>
        <v>0</v>
      </c>
      <c r="AP97" s="421">
        <f>AJ97+AN97</f>
        <v>0</v>
      </c>
      <c r="AQ97" s="421">
        <f>SUM(AO97:AP97)</f>
        <v>0</v>
      </c>
      <c r="AR97" s="421">
        <f t="shared" si="273"/>
        <v>0</v>
      </c>
      <c r="AS97" s="421">
        <f t="shared" si="273"/>
        <v>0</v>
      </c>
      <c r="AT97" s="421">
        <f>SUM(AR97:AS97)</f>
        <v>0</v>
      </c>
      <c r="AU97" s="68">
        <f t="shared" si="274"/>
        <v>0</v>
      </c>
      <c r="AV97" s="68">
        <f>ROUND(AH97*1%,0)</f>
        <v>0</v>
      </c>
      <c r="AW97" s="421">
        <v>0</v>
      </c>
      <c r="AX97" s="421">
        <v>0</v>
      </c>
      <c r="AY97" s="421">
        <f>AW97+AX97</f>
        <v>0</v>
      </c>
      <c r="AZ97" s="421">
        <f>AT97+AU97+AV97+AY97</f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>BA97+BC97+BD97+BF97+BH97+BI97</f>
        <v>0</v>
      </c>
      <c r="BL97" s="422">
        <f>BB97+BE97+BG97+BJ97</f>
        <v>0</v>
      </c>
      <c r="BM97" s="611">
        <f>SUM(BK97:BL97)</f>
        <v>0</v>
      </c>
      <c r="BN97" s="428">
        <f>I97+AZ97</f>
        <v>0</v>
      </c>
      <c r="BO97" s="421">
        <f>J97+AH97</f>
        <v>0</v>
      </c>
      <c r="BP97" s="421">
        <f t="shared" si="275"/>
        <v>0</v>
      </c>
      <c r="BQ97" s="421">
        <f t="shared" si="275"/>
        <v>0</v>
      </c>
      <c r="BR97" s="421">
        <f>M97+AQ97</f>
        <v>0</v>
      </c>
      <c r="BS97" s="421">
        <f t="shared" si="276"/>
        <v>0</v>
      </c>
      <c r="BT97" s="421">
        <f t="shared" si="276"/>
        <v>0</v>
      </c>
      <c r="BU97" s="421">
        <f t="shared" si="277"/>
        <v>0</v>
      </c>
      <c r="BV97" s="421">
        <f t="shared" si="277"/>
        <v>0</v>
      </c>
      <c r="BW97" s="421">
        <f>R97+AY97</f>
        <v>0</v>
      </c>
      <c r="BX97" s="422">
        <f>S97+BM97</f>
        <v>0</v>
      </c>
      <c r="BY97" s="422">
        <f t="shared" si="278"/>
        <v>0</v>
      </c>
      <c r="BZ97" s="611">
        <f t="shared" si="278"/>
        <v>0</v>
      </c>
      <c r="CA97" s="423"/>
      <c r="CB97" s="418"/>
      <c r="CC97" s="418"/>
      <c r="CD97" s="418"/>
      <c r="CE97" s="418"/>
      <c r="CF97" s="527"/>
    </row>
    <row r="98" spans="1:84" ht="12.95" customHeight="1" x14ac:dyDescent="0.25">
      <c r="A98" s="282">
        <v>19</v>
      </c>
      <c r="B98" s="383">
        <v>5493</v>
      </c>
      <c r="C98" s="383">
        <v>691009813</v>
      </c>
      <c r="D98" s="283">
        <v>6181457</v>
      </c>
      <c r="E98" s="382" t="s">
        <v>486</v>
      </c>
      <c r="F98" s="383">
        <v>3141</v>
      </c>
      <c r="G98" s="375" t="s">
        <v>295</v>
      </c>
      <c r="H98" s="287" t="s">
        <v>272</v>
      </c>
      <c r="I98" s="423">
        <f>J98+P98+Q98+R98</f>
        <v>156750</v>
      </c>
      <c r="J98" s="418">
        <f>K98+L98</f>
        <v>115618</v>
      </c>
      <c r="K98" s="418">
        <v>0</v>
      </c>
      <c r="L98" s="418">
        <v>115618</v>
      </c>
      <c r="M98" s="418">
        <f t="shared" si="270"/>
        <v>0</v>
      </c>
      <c r="N98" s="418">
        <v>0</v>
      </c>
      <c r="O98" s="418">
        <v>0</v>
      </c>
      <c r="P98" s="68">
        <f>ROUND((J98+M98)*33.8%,0)</f>
        <v>39079</v>
      </c>
      <c r="Q98" s="68">
        <f>ROUND(J98*1%,0)</f>
        <v>1156</v>
      </c>
      <c r="R98" s="418">
        <v>897</v>
      </c>
      <c r="S98" s="419">
        <f t="shared" si="205"/>
        <v>0.34670000000000001</v>
      </c>
      <c r="T98" s="419">
        <v>0</v>
      </c>
      <c r="U98" s="527">
        <v>0.34670000000000001</v>
      </c>
      <c r="V98" s="427">
        <f t="shared" si="271"/>
        <v>0</v>
      </c>
      <c r="W98" s="421">
        <f t="shared" si="271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>V98+X98+Y98+AA98+AB98+AD98</f>
        <v>0</v>
      </c>
      <c r="AG98" s="421">
        <f>W98+Z98+AC98+AE98</f>
        <v>0</v>
      </c>
      <c r="AH98" s="421">
        <f>SUM(AF98:AG98)</f>
        <v>0</v>
      </c>
      <c r="AI98" s="421">
        <v>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si="272"/>
        <v>0</v>
      </c>
      <c r="AP98" s="421">
        <f>AJ98+AN98</f>
        <v>0</v>
      </c>
      <c r="AQ98" s="421">
        <f>SUM(AO98:AP98)</f>
        <v>0</v>
      </c>
      <c r="AR98" s="421">
        <f t="shared" si="273"/>
        <v>0</v>
      </c>
      <c r="AS98" s="421">
        <f t="shared" si="273"/>
        <v>0</v>
      </c>
      <c r="AT98" s="421">
        <f>SUM(AR98:AS98)</f>
        <v>0</v>
      </c>
      <c r="AU98" s="68">
        <f t="shared" si="274"/>
        <v>0</v>
      </c>
      <c r="AV98" s="68">
        <f>ROUND(AH98*1%,0)</f>
        <v>0</v>
      </c>
      <c r="AW98" s="421">
        <v>0</v>
      </c>
      <c r="AX98" s="421">
        <v>0</v>
      </c>
      <c r="AY98" s="421">
        <f>AW98+AX98</f>
        <v>0</v>
      </c>
      <c r="AZ98" s="421">
        <f>AT98+AU98+AV98+AY98</f>
        <v>0</v>
      </c>
      <c r="BA98" s="422">
        <v>0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>BA98+BC98+BD98+BF98+BH98+BI98</f>
        <v>0</v>
      </c>
      <c r="BL98" s="422">
        <f>BB98+BE98+BG98+BJ98</f>
        <v>0</v>
      </c>
      <c r="BM98" s="611">
        <f>SUM(BK98:BL98)</f>
        <v>0</v>
      </c>
      <c r="BN98" s="428">
        <f>I98+AZ98</f>
        <v>156750</v>
      </c>
      <c r="BO98" s="421">
        <f>J98+AH98</f>
        <v>115618</v>
      </c>
      <c r="BP98" s="421">
        <f t="shared" si="275"/>
        <v>0</v>
      </c>
      <c r="BQ98" s="421">
        <f t="shared" si="275"/>
        <v>115618</v>
      </c>
      <c r="BR98" s="421">
        <f>M98+AQ98</f>
        <v>0</v>
      </c>
      <c r="BS98" s="421">
        <f t="shared" si="276"/>
        <v>0</v>
      </c>
      <c r="BT98" s="421">
        <f t="shared" si="276"/>
        <v>0</v>
      </c>
      <c r="BU98" s="421">
        <f t="shared" si="277"/>
        <v>39079</v>
      </c>
      <c r="BV98" s="421">
        <f t="shared" si="277"/>
        <v>1156</v>
      </c>
      <c r="BW98" s="421">
        <f>R98+AY98</f>
        <v>897</v>
      </c>
      <c r="BX98" s="422">
        <f>S98+BM98</f>
        <v>0.34670000000000001</v>
      </c>
      <c r="BY98" s="422">
        <f t="shared" si="278"/>
        <v>0</v>
      </c>
      <c r="BZ98" s="611">
        <f t="shared" si="278"/>
        <v>0.34670000000000001</v>
      </c>
      <c r="CA98" s="423"/>
      <c r="CB98" s="418"/>
      <c r="CC98" s="418"/>
      <c r="CD98" s="418"/>
      <c r="CE98" s="418"/>
      <c r="CF98" s="527"/>
    </row>
    <row r="99" spans="1:84" ht="12.95" customHeight="1" x14ac:dyDescent="0.25">
      <c r="A99" s="214">
        <v>19</v>
      </c>
      <c r="B99" s="47">
        <v>5493</v>
      </c>
      <c r="C99" s="47">
        <v>691009813</v>
      </c>
      <c r="D99" s="47">
        <v>6181457</v>
      </c>
      <c r="E99" s="388" t="s">
        <v>487</v>
      </c>
      <c r="F99" s="47"/>
      <c r="G99" s="388"/>
      <c r="H99" s="185"/>
      <c r="I99" s="472">
        <f t="shared" ref="I99:BU99" si="281">SUM(I96:I98)</f>
        <v>3656800</v>
      </c>
      <c r="J99" s="468">
        <f t="shared" si="281"/>
        <v>2704171</v>
      </c>
      <c r="K99" s="468">
        <f t="shared" si="281"/>
        <v>2366761</v>
      </c>
      <c r="L99" s="468">
        <f t="shared" si="281"/>
        <v>337410</v>
      </c>
      <c r="M99" s="468">
        <f t="shared" si="281"/>
        <v>0</v>
      </c>
      <c r="N99" s="468">
        <f t="shared" si="281"/>
        <v>0</v>
      </c>
      <c r="O99" s="468">
        <f t="shared" si="281"/>
        <v>0</v>
      </c>
      <c r="P99" s="468">
        <f t="shared" si="281"/>
        <v>914010</v>
      </c>
      <c r="Q99" s="468">
        <f t="shared" si="281"/>
        <v>27042</v>
      </c>
      <c r="R99" s="468">
        <f t="shared" si="281"/>
        <v>11577</v>
      </c>
      <c r="S99" s="469">
        <f t="shared" si="281"/>
        <v>5.3193999999999999</v>
      </c>
      <c r="T99" s="469">
        <f t="shared" si="281"/>
        <v>4.226</v>
      </c>
      <c r="U99" s="281">
        <f t="shared" si="281"/>
        <v>1.0933999999999999</v>
      </c>
      <c r="V99" s="474">
        <f t="shared" si="281"/>
        <v>0</v>
      </c>
      <c r="W99" s="468">
        <f t="shared" si="281"/>
        <v>0</v>
      </c>
      <c r="X99" s="468">
        <f t="shared" si="281"/>
        <v>0</v>
      </c>
      <c r="Y99" s="468">
        <f t="shared" si="281"/>
        <v>0</v>
      </c>
      <c r="Z99" s="468">
        <f t="shared" si="281"/>
        <v>0</v>
      </c>
      <c r="AA99" s="468">
        <f t="shared" si="281"/>
        <v>0</v>
      </c>
      <c r="AB99" s="468">
        <f t="shared" si="281"/>
        <v>0</v>
      </c>
      <c r="AC99" s="468">
        <f t="shared" si="281"/>
        <v>0</v>
      </c>
      <c r="AD99" s="468">
        <f t="shared" si="281"/>
        <v>0</v>
      </c>
      <c r="AE99" s="468">
        <f t="shared" si="281"/>
        <v>0</v>
      </c>
      <c r="AF99" s="468">
        <f t="shared" si="281"/>
        <v>0</v>
      </c>
      <c r="AG99" s="468">
        <f t="shared" si="281"/>
        <v>0</v>
      </c>
      <c r="AH99" s="468">
        <f t="shared" si="281"/>
        <v>0</v>
      </c>
      <c r="AI99" s="468">
        <f t="shared" si="281"/>
        <v>0</v>
      </c>
      <c r="AJ99" s="468">
        <f t="shared" si="281"/>
        <v>0</v>
      </c>
      <c r="AK99" s="468">
        <f t="shared" ref="AK99" si="282">SUM(AK96:AK98)</f>
        <v>0</v>
      </c>
      <c r="AL99" s="468">
        <f t="shared" si="281"/>
        <v>0</v>
      </c>
      <c r="AM99" s="468">
        <f t="shared" si="281"/>
        <v>0</v>
      </c>
      <c r="AN99" s="468">
        <f t="shared" si="281"/>
        <v>0</v>
      </c>
      <c r="AO99" s="468">
        <f t="shared" si="281"/>
        <v>0</v>
      </c>
      <c r="AP99" s="468">
        <f t="shared" si="281"/>
        <v>0</v>
      </c>
      <c r="AQ99" s="468">
        <f t="shared" si="281"/>
        <v>0</v>
      </c>
      <c r="AR99" s="468">
        <f t="shared" si="281"/>
        <v>0</v>
      </c>
      <c r="AS99" s="468">
        <f t="shared" si="281"/>
        <v>0</v>
      </c>
      <c r="AT99" s="468">
        <f t="shared" si="281"/>
        <v>0</v>
      </c>
      <c r="AU99" s="468">
        <f t="shared" si="281"/>
        <v>0</v>
      </c>
      <c r="AV99" s="468">
        <f t="shared" si="281"/>
        <v>0</v>
      </c>
      <c r="AW99" s="468">
        <f t="shared" si="281"/>
        <v>0</v>
      </c>
      <c r="AX99" s="468">
        <f t="shared" si="281"/>
        <v>0</v>
      </c>
      <c r="AY99" s="468">
        <f t="shared" si="281"/>
        <v>0</v>
      </c>
      <c r="AZ99" s="468">
        <f t="shared" si="281"/>
        <v>0</v>
      </c>
      <c r="BA99" s="469">
        <f t="shared" si="281"/>
        <v>0</v>
      </c>
      <c r="BB99" s="469">
        <f t="shared" si="281"/>
        <v>0</v>
      </c>
      <c r="BC99" s="469">
        <f t="shared" si="281"/>
        <v>0</v>
      </c>
      <c r="BD99" s="469">
        <f t="shared" si="281"/>
        <v>0</v>
      </c>
      <c r="BE99" s="469">
        <f t="shared" si="281"/>
        <v>0</v>
      </c>
      <c r="BF99" s="469">
        <f t="shared" si="281"/>
        <v>0</v>
      </c>
      <c r="BG99" s="469">
        <f t="shared" si="281"/>
        <v>0</v>
      </c>
      <c r="BH99" s="469">
        <f t="shared" si="281"/>
        <v>0</v>
      </c>
      <c r="BI99" s="469">
        <f t="shared" si="281"/>
        <v>0</v>
      </c>
      <c r="BJ99" s="469">
        <f t="shared" si="281"/>
        <v>0</v>
      </c>
      <c r="BK99" s="469">
        <f t="shared" si="281"/>
        <v>0</v>
      </c>
      <c r="BL99" s="469">
        <f t="shared" si="281"/>
        <v>0</v>
      </c>
      <c r="BM99" s="562">
        <f t="shared" si="281"/>
        <v>0</v>
      </c>
      <c r="BN99" s="472">
        <f t="shared" si="281"/>
        <v>3656800</v>
      </c>
      <c r="BO99" s="468">
        <f t="shared" si="281"/>
        <v>2704171</v>
      </c>
      <c r="BP99" s="468">
        <f t="shared" si="281"/>
        <v>2366761</v>
      </c>
      <c r="BQ99" s="468">
        <f t="shared" si="281"/>
        <v>337410</v>
      </c>
      <c r="BR99" s="468">
        <f t="shared" si="281"/>
        <v>0</v>
      </c>
      <c r="BS99" s="468">
        <f t="shared" si="281"/>
        <v>0</v>
      </c>
      <c r="BT99" s="468">
        <f t="shared" si="281"/>
        <v>0</v>
      </c>
      <c r="BU99" s="468">
        <f t="shared" si="281"/>
        <v>914010</v>
      </c>
      <c r="BV99" s="468">
        <f t="shared" ref="BV99:CF99" si="283">SUM(BV96:BV98)</f>
        <v>27042</v>
      </c>
      <c r="BW99" s="468">
        <f t="shared" si="283"/>
        <v>11577</v>
      </c>
      <c r="BX99" s="469">
        <f t="shared" si="283"/>
        <v>5.3193999999999999</v>
      </c>
      <c r="BY99" s="469">
        <f t="shared" si="283"/>
        <v>4.226</v>
      </c>
      <c r="BZ99" s="562">
        <f t="shared" si="283"/>
        <v>1.0933999999999999</v>
      </c>
      <c r="CA99" s="873">
        <f t="shared" si="283"/>
        <v>0</v>
      </c>
      <c r="CB99" s="850">
        <f t="shared" si="283"/>
        <v>0</v>
      </c>
      <c r="CC99" s="850">
        <f t="shared" si="283"/>
        <v>0</v>
      </c>
      <c r="CD99" s="850">
        <f t="shared" si="283"/>
        <v>0</v>
      </c>
      <c r="CE99" s="850">
        <f t="shared" si="283"/>
        <v>0</v>
      </c>
      <c r="CF99" s="841">
        <f t="shared" si="283"/>
        <v>0</v>
      </c>
    </row>
    <row r="100" spans="1:84" ht="12.95" customHeight="1" x14ac:dyDescent="0.25">
      <c r="A100" s="282">
        <v>20</v>
      </c>
      <c r="B100" s="213">
        <v>2463</v>
      </c>
      <c r="C100" s="213">
        <v>600080056</v>
      </c>
      <c r="D100" s="283">
        <v>70982066</v>
      </c>
      <c r="E100" s="374" t="s">
        <v>488</v>
      </c>
      <c r="F100" s="213">
        <v>3113</v>
      </c>
      <c r="G100" s="374" t="s">
        <v>309</v>
      </c>
      <c r="H100" s="287" t="s">
        <v>271</v>
      </c>
      <c r="I100" s="423">
        <f>J100+P100+Q100+R100</f>
        <v>9288880</v>
      </c>
      <c r="J100" s="418">
        <f>K100+L100</f>
        <v>6803580</v>
      </c>
      <c r="K100" s="418">
        <v>6214020</v>
      </c>
      <c r="L100" s="418">
        <v>589560</v>
      </c>
      <c r="M100" s="418">
        <f t="shared" ref="M100:M104" si="284">N100+O100</f>
        <v>0</v>
      </c>
      <c r="N100" s="418">
        <v>0</v>
      </c>
      <c r="O100" s="418">
        <v>0</v>
      </c>
      <c r="P100" s="68">
        <f>ROUND((J100+M100)*33.8%,0)</f>
        <v>2299610</v>
      </c>
      <c r="Q100" s="68">
        <f>ROUND(J100*1%,0)</f>
        <v>68036</v>
      </c>
      <c r="R100" s="418">
        <v>117654</v>
      </c>
      <c r="S100" s="419">
        <f t="shared" si="205"/>
        <v>11.043200000000001</v>
      </c>
      <c r="T100" s="419">
        <v>9.3634000000000004</v>
      </c>
      <c r="U100" s="527">
        <v>1.6798</v>
      </c>
      <c r="V100" s="427">
        <f t="shared" ref="V100:W104" si="285">AI100*-1</f>
        <v>0</v>
      </c>
      <c r="W100" s="421">
        <f t="shared" si="285"/>
        <v>-5120</v>
      </c>
      <c r="X100" s="421">
        <v>0</v>
      </c>
      <c r="Y100" s="421">
        <v>0</v>
      </c>
      <c r="Z100" s="421">
        <v>0</v>
      </c>
      <c r="AA100" s="421">
        <v>56270</v>
      </c>
      <c r="AB100" s="421">
        <v>0</v>
      </c>
      <c r="AC100" s="421">
        <v>0</v>
      </c>
      <c r="AD100" s="421">
        <v>0</v>
      </c>
      <c r="AE100" s="421">
        <v>0</v>
      </c>
      <c r="AF100" s="421">
        <f>V100+X100+Y100+AA100+AB100+AD100</f>
        <v>56270</v>
      </c>
      <c r="AG100" s="421">
        <f>W100+Z100+AC100+AE100</f>
        <v>-5120</v>
      </c>
      <c r="AH100" s="421">
        <f>SUM(AF100:AG100)</f>
        <v>51150</v>
      </c>
      <c r="AI100" s="421">
        <v>0</v>
      </c>
      <c r="AJ100" s="421">
        <v>5120</v>
      </c>
      <c r="AK100" s="421">
        <v>0</v>
      </c>
      <c r="AL100" s="421">
        <v>0</v>
      </c>
      <c r="AM100" s="421">
        <v>0</v>
      </c>
      <c r="AN100" s="421">
        <v>0</v>
      </c>
      <c r="AO100" s="421">
        <f t="shared" ref="AO100:AO104" si="286">AI100+AK100+AL100+AM100</f>
        <v>0</v>
      </c>
      <c r="AP100" s="421">
        <f>AJ100+AN100</f>
        <v>5120</v>
      </c>
      <c r="AQ100" s="421">
        <f>SUM(AO100:AP100)</f>
        <v>5120</v>
      </c>
      <c r="AR100" s="421">
        <f t="shared" ref="AR100:AS104" si="287">AF100+AO100</f>
        <v>56270</v>
      </c>
      <c r="AS100" s="421">
        <f t="shared" si="287"/>
        <v>0</v>
      </c>
      <c r="AT100" s="421">
        <f>SUM(AR100:AS100)</f>
        <v>56270</v>
      </c>
      <c r="AU100" s="68">
        <f t="shared" ref="AU100:AU104" si="288">ROUND((AH100+AI100+AJ100+AK100+AL100)*33.8%,0)</f>
        <v>19019</v>
      </c>
      <c r="AV100" s="68">
        <f>ROUND(AH100*1%,0)</f>
        <v>512</v>
      </c>
      <c r="AW100" s="421">
        <v>0</v>
      </c>
      <c r="AX100" s="421">
        <v>0</v>
      </c>
      <c r="AY100" s="421">
        <f>AW100+AX100</f>
        <v>0</v>
      </c>
      <c r="AZ100" s="421">
        <f>AT100+AU100+AV100+AY100</f>
        <v>75801</v>
      </c>
      <c r="BA100" s="422">
        <v>0</v>
      </c>
      <c r="BB100" s="422">
        <v>-0.02</v>
      </c>
      <c r="BC100" s="422">
        <v>0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0.08</v>
      </c>
      <c r="BI100" s="422">
        <v>0</v>
      </c>
      <c r="BJ100" s="422">
        <v>0</v>
      </c>
      <c r="BK100" s="422">
        <f>BA100+BC100+BD100+BF100+BH100+BI100</f>
        <v>0.08</v>
      </c>
      <c r="BL100" s="422">
        <f>BB100+BE100+BG100+BJ100</f>
        <v>-0.02</v>
      </c>
      <c r="BM100" s="611">
        <f>SUM(BK100:BL100)</f>
        <v>0.06</v>
      </c>
      <c r="BN100" s="428">
        <f>I100+AZ100</f>
        <v>9364681</v>
      </c>
      <c r="BO100" s="421">
        <f>J100+AH100</f>
        <v>6854730</v>
      </c>
      <c r="BP100" s="421">
        <f t="shared" ref="BP100:BQ104" si="289">K100+AF100</f>
        <v>6270290</v>
      </c>
      <c r="BQ100" s="421">
        <f t="shared" si="289"/>
        <v>584440</v>
      </c>
      <c r="BR100" s="421">
        <f>M100+AQ100</f>
        <v>5120</v>
      </c>
      <c r="BS100" s="421">
        <f t="shared" ref="BS100:BT104" si="290">N100+AO100</f>
        <v>0</v>
      </c>
      <c r="BT100" s="421">
        <f t="shared" si="290"/>
        <v>5120</v>
      </c>
      <c r="BU100" s="421">
        <f t="shared" ref="BU100:BV104" si="291">P100+AU100</f>
        <v>2318629</v>
      </c>
      <c r="BV100" s="421">
        <f t="shared" si="291"/>
        <v>68548</v>
      </c>
      <c r="BW100" s="421">
        <f>R100+AY100</f>
        <v>117654</v>
      </c>
      <c r="BX100" s="422">
        <f>S100+BM100</f>
        <v>11.103200000000001</v>
      </c>
      <c r="BY100" s="422">
        <f t="shared" ref="BY100:BZ104" si="292">T100+BK100</f>
        <v>9.4434000000000005</v>
      </c>
      <c r="BZ100" s="611">
        <f t="shared" si="292"/>
        <v>1.6597999999999999</v>
      </c>
      <c r="CA100" s="423"/>
      <c r="CB100" s="418"/>
      <c r="CC100" s="418"/>
      <c r="CD100" s="418"/>
      <c r="CE100" s="418"/>
      <c r="CF100" s="527"/>
    </row>
    <row r="101" spans="1:84" ht="12.95" customHeight="1" x14ac:dyDescent="0.25">
      <c r="A101" s="282">
        <v>20</v>
      </c>
      <c r="B101" s="378">
        <v>2463</v>
      </c>
      <c r="C101" s="378">
        <v>600080056</v>
      </c>
      <c r="D101" s="283">
        <v>70982066</v>
      </c>
      <c r="E101" s="374" t="s">
        <v>488</v>
      </c>
      <c r="F101" s="213">
        <v>3113</v>
      </c>
      <c r="G101" s="325" t="s">
        <v>292</v>
      </c>
      <c r="H101" s="287" t="s">
        <v>272</v>
      </c>
      <c r="I101" s="423">
        <f>J101+P101+Q101+R101</f>
        <v>0</v>
      </c>
      <c r="J101" s="418">
        <f>K101+L101</f>
        <v>0</v>
      </c>
      <c r="K101" s="418">
        <v>0</v>
      </c>
      <c r="L101" s="418">
        <v>0</v>
      </c>
      <c r="M101" s="418">
        <f t="shared" si="284"/>
        <v>0</v>
      </c>
      <c r="N101" s="418">
        <v>0</v>
      </c>
      <c r="O101" s="418">
        <v>0</v>
      </c>
      <c r="P101" s="68">
        <f t="shared" ref="P101" si="293">ROUND((J101+M101)*33.8%,0)</f>
        <v>0</v>
      </c>
      <c r="Q101" s="68">
        <f t="shared" ref="Q101" si="294">ROUND(J101*1%,0)</f>
        <v>0</v>
      </c>
      <c r="R101" s="418">
        <v>0</v>
      </c>
      <c r="S101" s="419">
        <f t="shared" si="205"/>
        <v>0</v>
      </c>
      <c r="T101" s="419">
        <v>0</v>
      </c>
      <c r="U101" s="527">
        <v>0</v>
      </c>
      <c r="V101" s="427">
        <f t="shared" si="285"/>
        <v>0</v>
      </c>
      <c r="W101" s="421">
        <f t="shared" si="285"/>
        <v>0</v>
      </c>
      <c r="X101" s="421">
        <v>834303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>V101+X101+Y101+AA101+AB101+AD101</f>
        <v>834303</v>
      </c>
      <c r="AG101" s="421">
        <f>W101+Z101+AC101+AE101</f>
        <v>0</v>
      </c>
      <c r="AH101" s="421">
        <f>SUM(AF101:AG101)</f>
        <v>834303</v>
      </c>
      <c r="AI101" s="421">
        <v>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286"/>
        <v>0</v>
      </c>
      <c r="AP101" s="421">
        <f>AJ101+AN101</f>
        <v>0</v>
      </c>
      <c r="AQ101" s="421">
        <f>SUM(AO101:AP101)</f>
        <v>0</v>
      </c>
      <c r="AR101" s="421">
        <f t="shared" si="287"/>
        <v>834303</v>
      </c>
      <c r="AS101" s="421">
        <f t="shared" si="287"/>
        <v>0</v>
      </c>
      <c r="AT101" s="421">
        <f>SUM(AR101:AS101)</f>
        <v>834303</v>
      </c>
      <c r="AU101" s="68">
        <f t="shared" si="288"/>
        <v>281994</v>
      </c>
      <c r="AV101" s="68">
        <f>ROUND(AH101*1%,0)</f>
        <v>8343</v>
      </c>
      <c r="AW101" s="421">
        <v>0</v>
      </c>
      <c r="AX101" s="421">
        <v>0</v>
      </c>
      <c r="AY101" s="421">
        <f>AW101+AX101</f>
        <v>0</v>
      </c>
      <c r="AZ101" s="421">
        <f>AT101+AU101+AV101+AY101</f>
        <v>1124640</v>
      </c>
      <c r="BA101" s="422">
        <v>0</v>
      </c>
      <c r="BB101" s="422">
        <v>0</v>
      </c>
      <c r="BC101" s="422">
        <v>2.25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>BA101+BC101+BD101+BF101+BH101+BI101</f>
        <v>2.25</v>
      </c>
      <c r="BL101" s="422">
        <f>BB101+BE101+BG101+BJ101</f>
        <v>0</v>
      </c>
      <c r="BM101" s="611">
        <f>SUM(BK101:BL101)</f>
        <v>2.25</v>
      </c>
      <c r="BN101" s="428">
        <f>I101+AZ101</f>
        <v>1124640</v>
      </c>
      <c r="BO101" s="421">
        <f>J101+AH101</f>
        <v>834303</v>
      </c>
      <c r="BP101" s="421">
        <f t="shared" si="289"/>
        <v>834303</v>
      </c>
      <c r="BQ101" s="421">
        <f t="shared" si="289"/>
        <v>0</v>
      </c>
      <c r="BR101" s="421">
        <f>M101+AQ101</f>
        <v>0</v>
      </c>
      <c r="BS101" s="421">
        <f t="shared" si="290"/>
        <v>0</v>
      </c>
      <c r="BT101" s="421">
        <f t="shared" si="290"/>
        <v>0</v>
      </c>
      <c r="BU101" s="421">
        <f t="shared" si="291"/>
        <v>281994</v>
      </c>
      <c r="BV101" s="421">
        <f t="shared" si="291"/>
        <v>8343</v>
      </c>
      <c r="BW101" s="421">
        <f>R101+AY101</f>
        <v>0</v>
      </c>
      <c r="BX101" s="422">
        <f>S101+BM101</f>
        <v>2.25</v>
      </c>
      <c r="BY101" s="422">
        <f t="shared" si="292"/>
        <v>2.25</v>
      </c>
      <c r="BZ101" s="611">
        <f t="shared" si="292"/>
        <v>0</v>
      </c>
      <c r="CA101" s="423"/>
      <c r="CB101" s="418"/>
      <c r="CC101" s="418"/>
      <c r="CD101" s="418"/>
      <c r="CE101" s="418"/>
      <c r="CF101" s="527"/>
    </row>
    <row r="102" spans="1:84" ht="12.95" customHeight="1" x14ac:dyDescent="0.25">
      <c r="A102" s="282">
        <v>20</v>
      </c>
      <c r="B102" s="213">
        <v>2463</v>
      </c>
      <c r="C102" s="213">
        <v>600080056</v>
      </c>
      <c r="D102" s="283">
        <v>70982066</v>
      </c>
      <c r="E102" s="374" t="s">
        <v>488</v>
      </c>
      <c r="F102" s="213">
        <v>3141</v>
      </c>
      <c r="G102" s="375" t="s">
        <v>295</v>
      </c>
      <c r="H102" s="287" t="s">
        <v>272</v>
      </c>
      <c r="I102" s="423">
        <f>J102+P102+Q102+R102</f>
        <v>615002</v>
      </c>
      <c r="J102" s="418">
        <f>K102+L102</f>
        <v>453533</v>
      </c>
      <c r="K102" s="418">
        <v>0</v>
      </c>
      <c r="L102" s="418">
        <v>453533</v>
      </c>
      <c r="M102" s="418">
        <f t="shared" si="284"/>
        <v>0</v>
      </c>
      <c r="N102" s="418">
        <v>0</v>
      </c>
      <c r="O102" s="418">
        <v>0</v>
      </c>
      <c r="P102" s="68">
        <f>ROUND((J102+M102)*33.8%,0)</f>
        <v>153294</v>
      </c>
      <c r="Q102" s="68">
        <f>ROUND(J102*1%,0)</f>
        <v>4535</v>
      </c>
      <c r="R102" s="418">
        <v>3640</v>
      </c>
      <c r="S102" s="419">
        <f t="shared" si="205"/>
        <v>1.36</v>
      </c>
      <c r="T102" s="419">
        <v>0</v>
      </c>
      <c r="U102" s="527">
        <v>1.36</v>
      </c>
      <c r="V102" s="427">
        <f t="shared" si="285"/>
        <v>0</v>
      </c>
      <c r="W102" s="421">
        <f t="shared" si="285"/>
        <v>0</v>
      </c>
      <c r="X102" s="421">
        <v>0</v>
      </c>
      <c r="Y102" s="421">
        <v>0</v>
      </c>
      <c r="Z102" s="421">
        <v>0</v>
      </c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f>V102+X102+Y102+AA102+AB102+AD102</f>
        <v>0</v>
      </c>
      <c r="AG102" s="421">
        <f>W102+Z102+AC102+AE102</f>
        <v>0</v>
      </c>
      <c r="AH102" s="421">
        <f>SUM(AF102:AG102)</f>
        <v>0</v>
      </c>
      <c r="AI102" s="421">
        <v>0</v>
      </c>
      <c r="AJ102" s="421">
        <v>0</v>
      </c>
      <c r="AK102" s="421">
        <v>0</v>
      </c>
      <c r="AL102" s="421">
        <v>0</v>
      </c>
      <c r="AM102" s="421">
        <v>0</v>
      </c>
      <c r="AN102" s="421">
        <v>0</v>
      </c>
      <c r="AO102" s="421">
        <f t="shared" si="286"/>
        <v>0</v>
      </c>
      <c r="AP102" s="421">
        <f>AJ102+AN102</f>
        <v>0</v>
      </c>
      <c r="AQ102" s="421">
        <f>SUM(AO102:AP102)</f>
        <v>0</v>
      </c>
      <c r="AR102" s="421">
        <f t="shared" si="287"/>
        <v>0</v>
      </c>
      <c r="AS102" s="421">
        <f t="shared" si="287"/>
        <v>0</v>
      </c>
      <c r="AT102" s="421">
        <f>SUM(AR102:AS102)</f>
        <v>0</v>
      </c>
      <c r="AU102" s="68">
        <f t="shared" si="288"/>
        <v>0</v>
      </c>
      <c r="AV102" s="68">
        <f>ROUND(AH102*1%,0)</f>
        <v>0</v>
      </c>
      <c r="AW102" s="421">
        <v>0</v>
      </c>
      <c r="AX102" s="421">
        <v>0</v>
      </c>
      <c r="AY102" s="421">
        <f>AW102+AX102</f>
        <v>0</v>
      </c>
      <c r="AZ102" s="421">
        <f>AT102+AU102+AV102+AY102</f>
        <v>0</v>
      </c>
      <c r="BA102" s="422">
        <v>0</v>
      </c>
      <c r="BB102" s="422">
        <v>0</v>
      </c>
      <c r="BC102" s="422">
        <v>0</v>
      </c>
      <c r="BD102" s="422">
        <v>0</v>
      </c>
      <c r="BE102" s="422">
        <v>0</v>
      </c>
      <c r="BF102" s="422">
        <v>0</v>
      </c>
      <c r="BG102" s="422">
        <v>0</v>
      </c>
      <c r="BH102" s="422">
        <v>0</v>
      </c>
      <c r="BI102" s="422">
        <v>0</v>
      </c>
      <c r="BJ102" s="422">
        <v>0</v>
      </c>
      <c r="BK102" s="422">
        <f>BA102+BC102+BD102+BF102+BH102+BI102</f>
        <v>0</v>
      </c>
      <c r="BL102" s="422">
        <f>BB102+BE102+BG102+BJ102</f>
        <v>0</v>
      </c>
      <c r="BM102" s="611">
        <f>SUM(BK102:BL102)</f>
        <v>0</v>
      </c>
      <c r="BN102" s="428">
        <f>I102+AZ102</f>
        <v>615002</v>
      </c>
      <c r="BO102" s="421">
        <f>J102+AH102</f>
        <v>453533</v>
      </c>
      <c r="BP102" s="421">
        <f t="shared" si="289"/>
        <v>0</v>
      </c>
      <c r="BQ102" s="421">
        <f t="shared" si="289"/>
        <v>453533</v>
      </c>
      <c r="BR102" s="421">
        <f>M102+AQ102</f>
        <v>0</v>
      </c>
      <c r="BS102" s="421">
        <f t="shared" si="290"/>
        <v>0</v>
      </c>
      <c r="BT102" s="421">
        <f t="shared" si="290"/>
        <v>0</v>
      </c>
      <c r="BU102" s="421">
        <f t="shared" si="291"/>
        <v>153294</v>
      </c>
      <c r="BV102" s="421">
        <f t="shared" si="291"/>
        <v>4535</v>
      </c>
      <c r="BW102" s="421">
        <f>R102+AY102</f>
        <v>3640</v>
      </c>
      <c r="BX102" s="422">
        <f>S102+BM102</f>
        <v>1.36</v>
      </c>
      <c r="BY102" s="422">
        <f t="shared" si="292"/>
        <v>0</v>
      </c>
      <c r="BZ102" s="611">
        <f t="shared" si="292"/>
        <v>1.36</v>
      </c>
      <c r="CA102" s="423"/>
      <c r="CB102" s="418"/>
      <c r="CC102" s="418"/>
      <c r="CD102" s="418"/>
      <c r="CE102" s="418"/>
      <c r="CF102" s="527"/>
    </row>
    <row r="103" spans="1:84" ht="12.95" customHeight="1" x14ac:dyDescent="0.25">
      <c r="A103" s="282">
        <v>20</v>
      </c>
      <c r="B103" s="378">
        <v>2463</v>
      </c>
      <c r="C103" s="378">
        <v>600080056</v>
      </c>
      <c r="D103" s="283">
        <v>70982066</v>
      </c>
      <c r="E103" s="374" t="s">
        <v>488</v>
      </c>
      <c r="F103" s="213">
        <v>3143</v>
      </c>
      <c r="G103" s="325" t="s">
        <v>596</v>
      </c>
      <c r="H103" s="287" t="s">
        <v>271</v>
      </c>
      <c r="I103" s="423">
        <f>J103+P103+Q103+R103</f>
        <v>1068031</v>
      </c>
      <c r="J103" s="418">
        <f>K103+L103</f>
        <v>792308</v>
      </c>
      <c r="K103" s="418">
        <v>792308</v>
      </c>
      <c r="L103" s="418"/>
      <c r="M103" s="418">
        <f t="shared" si="284"/>
        <v>0</v>
      </c>
      <c r="N103" s="418">
        <v>0</v>
      </c>
      <c r="O103" s="418">
        <v>0</v>
      </c>
      <c r="P103" s="68">
        <f>ROUND((J103+M103)*33.8%,0)</f>
        <v>267800</v>
      </c>
      <c r="Q103" s="68">
        <f>ROUND(J103*1%,0)</f>
        <v>7923</v>
      </c>
      <c r="R103" s="418">
        <v>0</v>
      </c>
      <c r="S103" s="419">
        <f t="shared" si="205"/>
        <v>1.5806</v>
      </c>
      <c r="T103" s="419">
        <v>1.5806</v>
      </c>
      <c r="U103" s="527">
        <v>0</v>
      </c>
      <c r="V103" s="427">
        <f t="shared" si="285"/>
        <v>0</v>
      </c>
      <c r="W103" s="421">
        <f t="shared" si="285"/>
        <v>0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>V103+X103+Y103+AA103+AB103+AD103</f>
        <v>0</v>
      </c>
      <c r="AG103" s="421">
        <f>W103+Z103+AC103+AE103</f>
        <v>0</v>
      </c>
      <c r="AH103" s="421">
        <f>SUM(AF103:AG103)</f>
        <v>0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286"/>
        <v>0</v>
      </c>
      <c r="AP103" s="421">
        <f>AJ103+AN103</f>
        <v>0</v>
      </c>
      <c r="AQ103" s="421">
        <f>SUM(AO103:AP103)</f>
        <v>0</v>
      </c>
      <c r="AR103" s="421">
        <f t="shared" si="287"/>
        <v>0</v>
      </c>
      <c r="AS103" s="421">
        <f t="shared" si="287"/>
        <v>0</v>
      </c>
      <c r="AT103" s="421">
        <f>SUM(AR103:AS103)</f>
        <v>0</v>
      </c>
      <c r="AU103" s="68">
        <f t="shared" si="288"/>
        <v>0</v>
      </c>
      <c r="AV103" s="68">
        <f>ROUND(AH103*1%,0)</f>
        <v>0</v>
      </c>
      <c r="AW103" s="421">
        <v>0</v>
      </c>
      <c r="AX103" s="421">
        <v>0</v>
      </c>
      <c r="AY103" s="421">
        <f>AW103+AX103</f>
        <v>0</v>
      </c>
      <c r="AZ103" s="421">
        <f>AT103+AU103+AV103+AY103</f>
        <v>0</v>
      </c>
      <c r="BA103" s="422">
        <v>0</v>
      </c>
      <c r="BB103" s="422">
        <v>0</v>
      </c>
      <c r="BC103" s="422">
        <v>0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>BA103+BC103+BD103+BF103+BH103+BI103</f>
        <v>0</v>
      </c>
      <c r="BL103" s="422">
        <f>BB103+BE103+BG103+BJ103</f>
        <v>0</v>
      </c>
      <c r="BM103" s="611">
        <f>SUM(BK103:BL103)</f>
        <v>0</v>
      </c>
      <c r="BN103" s="428">
        <f>I103+AZ103</f>
        <v>1068031</v>
      </c>
      <c r="BO103" s="421">
        <f>J103+AH103</f>
        <v>792308</v>
      </c>
      <c r="BP103" s="421">
        <f t="shared" si="289"/>
        <v>792308</v>
      </c>
      <c r="BQ103" s="421">
        <f t="shared" si="289"/>
        <v>0</v>
      </c>
      <c r="BR103" s="421">
        <f>M103+AQ103</f>
        <v>0</v>
      </c>
      <c r="BS103" s="421">
        <f t="shared" si="290"/>
        <v>0</v>
      </c>
      <c r="BT103" s="421">
        <f t="shared" si="290"/>
        <v>0</v>
      </c>
      <c r="BU103" s="421">
        <f t="shared" si="291"/>
        <v>267800</v>
      </c>
      <c r="BV103" s="421">
        <f t="shared" si="291"/>
        <v>7923</v>
      </c>
      <c r="BW103" s="421">
        <f>R103+AY103</f>
        <v>0</v>
      </c>
      <c r="BX103" s="422">
        <f>S103+BM103</f>
        <v>1.5806</v>
      </c>
      <c r="BY103" s="422">
        <f t="shared" si="292"/>
        <v>1.5806</v>
      </c>
      <c r="BZ103" s="611">
        <f t="shared" si="292"/>
        <v>0</v>
      </c>
      <c r="CA103" s="423"/>
      <c r="CB103" s="418"/>
      <c r="CC103" s="418"/>
      <c r="CD103" s="418"/>
      <c r="CE103" s="418"/>
      <c r="CF103" s="527"/>
    </row>
    <row r="104" spans="1:84" ht="12.95" customHeight="1" x14ac:dyDescent="0.25">
      <c r="A104" s="282">
        <v>20</v>
      </c>
      <c r="B104" s="378">
        <v>2463</v>
      </c>
      <c r="C104" s="378">
        <v>600080056</v>
      </c>
      <c r="D104" s="283">
        <v>70982066</v>
      </c>
      <c r="E104" s="374" t="s">
        <v>488</v>
      </c>
      <c r="F104" s="213">
        <v>3143</v>
      </c>
      <c r="G104" s="325" t="s">
        <v>597</v>
      </c>
      <c r="H104" s="287" t="s">
        <v>272</v>
      </c>
      <c r="I104" s="423">
        <f>J104+P104+Q104+R104</f>
        <v>21503</v>
      </c>
      <c r="J104" s="418">
        <f>K104+L104</f>
        <v>15391</v>
      </c>
      <c r="K104" s="418">
        <v>0</v>
      </c>
      <c r="L104" s="418">
        <v>15391</v>
      </c>
      <c r="M104" s="418">
        <f t="shared" si="284"/>
        <v>0</v>
      </c>
      <c r="N104" s="418">
        <v>0</v>
      </c>
      <c r="O104" s="418">
        <v>0</v>
      </c>
      <c r="P104" s="68">
        <f>ROUND((J104+M104)*33.8%,0)</f>
        <v>5202</v>
      </c>
      <c r="Q104" s="68">
        <f>ROUND(J104*1%,0)</f>
        <v>154</v>
      </c>
      <c r="R104" s="418">
        <v>756</v>
      </c>
      <c r="S104" s="419">
        <f t="shared" si="205"/>
        <v>5.8299999999999998E-2</v>
      </c>
      <c r="T104" s="419">
        <v>0</v>
      </c>
      <c r="U104" s="527">
        <v>5.8299999999999998E-2</v>
      </c>
      <c r="V104" s="427">
        <f t="shared" si="285"/>
        <v>0</v>
      </c>
      <c r="W104" s="421">
        <f t="shared" si="285"/>
        <v>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>V104+X104+Y104+AA104+AB104+AD104</f>
        <v>0</v>
      </c>
      <c r="AG104" s="421">
        <f>W104+Z104+AC104+AE104</f>
        <v>0</v>
      </c>
      <c r="AH104" s="421">
        <f>SUM(AF104:AG104)</f>
        <v>0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286"/>
        <v>0</v>
      </c>
      <c r="AP104" s="421">
        <f>AJ104+AN104</f>
        <v>0</v>
      </c>
      <c r="AQ104" s="421">
        <f>SUM(AO104:AP104)</f>
        <v>0</v>
      </c>
      <c r="AR104" s="421">
        <f t="shared" si="287"/>
        <v>0</v>
      </c>
      <c r="AS104" s="421">
        <f t="shared" si="287"/>
        <v>0</v>
      </c>
      <c r="AT104" s="421">
        <f>SUM(AR104:AS104)</f>
        <v>0</v>
      </c>
      <c r="AU104" s="68">
        <f t="shared" si="288"/>
        <v>0</v>
      </c>
      <c r="AV104" s="68">
        <f>ROUND(AH104*1%,0)</f>
        <v>0</v>
      </c>
      <c r="AW104" s="421">
        <v>0</v>
      </c>
      <c r="AX104" s="421">
        <v>0</v>
      </c>
      <c r="AY104" s="421">
        <f>AW104+AX104</f>
        <v>0</v>
      </c>
      <c r="AZ104" s="421">
        <f>AT104+AU104+AV104+AY104</f>
        <v>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>BA104+BC104+BD104+BF104+BH104+BI104</f>
        <v>0</v>
      </c>
      <c r="BL104" s="422">
        <f>BB104+BE104+BG104+BJ104</f>
        <v>0</v>
      </c>
      <c r="BM104" s="611">
        <f>SUM(BK104:BL104)</f>
        <v>0</v>
      </c>
      <c r="BN104" s="428">
        <f>I104+AZ104</f>
        <v>21503</v>
      </c>
      <c r="BO104" s="421">
        <f>J104+AH104</f>
        <v>15391</v>
      </c>
      <c r="BP104" s="421">
        <f t="shared" si="289"/>
        <v>0</v>
      </c>
      <c r="BQ104" s="421">
        <f t="shared" si="289"/>
        <v>15391</v>
      </c>
      <c r="BR104" s="421">
        <f>M104+AQ104</f>
        <v>0</v>
      </c>
      <c r="BS104" s="421">
        <f t="shared" si="290"/>
        <v>0</v>
      </c>
      <c r="BT104" s="421">
        <f t="shared" si="290"/>
        <v>0</v>
      </c>
      <c r="BU104" s="421">
        <f t="shared" si="291"/>
        <v>5202</v>
      </c>
      <c r="BV104" s="421">
        <f t="shared" si="291"/>
        <v>154</v>
      </c>
      <c r="BW104" s="421">
        <f>R104+AY104</f>
        <v>756</v>
      </c>
      <c r="BX104" s="422">
        <f>S104+BM104</f>
        <v>5.8299999999999998E-2</v>
      </c>
      <c r="BY104" s="422">
        <f t="shared" si="292"/>
        <v>0</v>
      </c>
      <c r="BZ104" s="611">
        <f t="shared" si="292"/>
        <v>5.8299999999999998E-2</v>
      </c>
      <c r="CA104" s="423"/>
      <c r="CB104" s="418"/>
      <c r="CC104" s="418"/>
      <c r="CD104" s="418"/>
      <c r="CE104" s="418"/>
      <c r="CF104" s="527"/>
    </row>
    <row r="105" spans="1:84" ht="12.75" customHeight="1" x14ac:dyDescent="0.25">
      <c r="A105" s="214">
        <v>20</v>
      </c>
      <c r="B105" s="46">
        <v>2463</v>
      </c>
      <c r="C105" s="46">
        <v>600080056</v>
      </c>
      <c r="D105" s="46">
        <v>70982066</v>
      </c>
      <c r="E105" s="376" t="s">
        <v>489</v>
      </c>
      <c r="F105" s="48"/>
      <c r="G105" s="389"/>
      <c r="H105" s="186"/>
      <c r="I105" s="489">
        <f t="shared" ref="I105:BU105" si="295">SUM(I100:I104)</f>
        <v>10993416</v>
      </c>
      <c r="J105" s="487">
        <f t="shared" si="295"/>
        <v>8064812</v>
      </c>
      <c r="K105" s="487">
        <f t="shared" si="295"/>
        <v>7006328</v>
      </c>
      <c r="L105" s="487">
        <f t="shared" si="295"/>
        <v>1058484</v>
      </c>
      <c r="M105" s="487">
        <f t="shared" si="295"/>
        <v>0</v>
      </c>
      <c r="N105" s="487">
        <f t="shared" si="295"/>
        <v>0</v>
      </c>
      <c r="O105" s="487">
        <f t="shared" si="295"/>
        <v>0</v>
      </c>
      <c r="P105" s="487">
        <f t="shared" si="295"/>
        <v>2725906</v>
      </c>
      <c r="Q105" s="487">
        <f t="shared" si="295"/>
        <v>80648</v>
      </c>
      <c r="R105" s="487">
        <f t="shared" si="295"/>
        <v>122050</v>
      </c>
      <c r="S105" s="488">
        <f t="shared" si="295"/>
        <v>14.0421</v>
      </c>
      <c r="T105" s="488">
        <f t="shared" si="295"/>
        <v>10.944000000000001</v>
      </c>
      <c r="U105" s="353">
        <f t="shared" si="295"/>
        <v>3.0981000000000001</v>
      </c>
      <c r="V105" s="490">
        <f t="shared" si="295"/>
        <v>0</v>
      </c>
      <c r="W105" s="487">
        <f t="shared" si="295"/>
        <v>-5120</v>
      </c>
      <c r="X105" s="487">
        <f t="shared" si="295"/>
        <v>834303</v>
      </c>
      <c r="Y105" s="487">
        <f t="shared" si="295"/>
        <v>0</v>
      </c>
      <c r="Z105" s="487">
        <f t="shared" si="295"/>
        <v>0</v>
      </c>
      <c r="AA105" s="487">
        <f t="shared" si="295"/>
        <v>56270</v>
      </c>
      <c r="AB105" s="487">
        <f t="shared" si="295"/>
        <v>0</v>
      </c>
      <c r="AC105" s="487">
        <f t="shared" si="295"/>
        <v>0</v>
      </c>
      <c r="AD105" s="487">
        <f t="shared" si="295"/>
        <v>0</v>
      </c>
      <c r="AE105" s="487">
        <f t="shared" si="295"/>
        <v>0</v>
      </c>
      <c r="AF105" s="487">
        <f t="shared" si="295"/>
        <v>890573</v>
      </c>
      <c r="AG105" s="487">
        <f t="shared" si="295"/>
        <v>-5120</v>
      </c>
      <c r="AH105" s="487">
        <f t="shared" si="295"/>
        <v>885453</v>
      </c>
      <c r="AI105" s="487">
        <f t="shared" si="295"/>
        <v>0</v>
      </c>
      <c r="AJ105" s="487">
        <f t="shared" si="295"/>
        <v>5120</v>
      </c>
      <c r="AK105" s="487">
        <f t="shared" ref="AK105" si="296">SUM(AK100:AK104)</f>
        <v>0</v>
      </c>
      <c r="AL105" s="487">
        <f t="shared" si="295"/>
        <v>0</v>
      </c>
      <c r="AM105" s="487">
        <f t="shared" si="295"/>
        <v>0</v>
      </c>
      <c r="AN105" s="487">
        <f t="shared" si="295"/>
        <v>0</v>
      </c>
      <c r="AO105" s="487">
        <f t="shared" si="295"/>
        <v>0</v>
      </c>
      <c r="AP105" s="487">
        <f t="shared" si="295"/>
        <v>5120</v>
      </c>
      <c r="AQ105" s="487">
        <f t="shared" si="295"/>
        <v>5120</v>
      </c>
      <c r="AR105" s="487">
        <f t="shared" si="295"/>
        <v>890573</v>
      </c>
      <c r="AS105" s="487">
        <f t="shared" si="295"/>
        <v>0</v>
      </c>
      <c r="AT105" s="487">
        <f t="shared" si="295"/>
        <v>890573</v>
      </c>
      <c r="AU105" s="487">
        <f t="shared" si="295"/>
        <v>301013</v>
      </c>
      <c r="AV105" s="487">
        <f t="shared" si="295"/>
        <v>8855</v>
      </c>
      <c r="AW105" s="487">
        <f t="shared" si="295"/>
        <v>0</v>
      </c>
      <c r="AX105" s="487">
        <f t="shared" si="295"/>
        <v>0</v>
      </c>
      <c r="AY105" s="487">
        <f t="shared" si="295"/>
        <v>0</v>
      </c>
      <c r="AZ105" s="487">
        <f t="shared" si="295"/>
        <v>1200441</v>
      </c>
      <c r="BA105" s="488">
        <f t="shared" si="295"/>
        <v>0</v>
      </c>
      <c r="BB105" s="488">
        <f t="shared" si="295"/>
        <v>-0.02</v>
      </c>
      <c r="BC105" s="488">
        <f t="shared" si="295"/>
        <v>2.25</v>
      </c>
      <c r="BD105" s="488">
        <f t="shared" si="295"/>
        <v>0</v>
      </c>
      <c r="BE105" s="488">
        <f t="shared" si="295"/>
        <v>0</v>
      </c>
      <c r="BF105" s="488">
        <f t="shared" si="295"/>
        <v>0</v>
      </c>
      <c r="BG105" s="488">
        <f t="shared" si="295"/>
        <v>0</v>
      </c>
      <c r="BH105" s="488">
        <f t="shared" si="295"/>
        <v>0.08</v>
      </c>
      <c r="BI105" s="488">
        <f t="shared" si="295"/>
        <v>0</v>
      </c>
      <c r="BJ105" s="488">
        <f t="shared" si="295"/>
        <v>0</v>
      </c>
      <c r="BK105" s="488">
        <f t="shared" si="295"/>
        <v>2.33</v>
      </c>
      <c r="BL105" s="488">
        <f t="shared" si="295"/>
        <v>-0.02</v>
      </c>
      <c r="BM105" s="563">
        <f t="shared" si="295"/>
        <v>2.31</v>
      </c>
      <c r="BN105" s="489">
        <f t="shared" si="295"/>
        <v>12193857</v>
      </c>
      <c r="BO105" s="487">
        <f t="shared" si="295"/>
        <v>8950265</v>
      </c>
      <c r="BP105" s="487">
        <f t="shared" si="295"/>
        <v>7896901</v>
      </c>
      <c r="BQ105" s="487">
        <f t="shared" si="295"/>
        <v>1053364</v>
      </c>
      <c r="BR105" s="487">
        <f t="shared" si="295"/>
        <v>5120</v>
      </c>
      <c r="BS105" s="487">
        <f t="shared" si="295"/>
        <v>0</v>
      </c>
      <c r="BT105" s="487">
        <f t="shared" si="295"/>
        <v>5120</v>
      </c>
      <c r="BU105" s="487">
        <f t="shared" si="295"/>
        <v>3026919</v>
      </c>
      <c r="BV105" s="487">
        <f t="shared" ref="BV105:CF105" si="297">SUM(BV100:BV104)</f>
        <v>89503</v>
      </c>
      <c r="BW105" s="487">
        <f t="shared" si="297"/>
        <v>122050</v>
      </c>
      <c r="BX105" s="488">
        <f t="shared" si="297"/>
        <v>16.3521</v>
      </c>
      <c r="BY105" s="488">
        <f t="shared" si="297"/>
        <v>13.274000000000001</v>
      </c>
      <c r="BZ105" s="563">
        <f t="shared" si="297"/>
        <v>3.0781000000000001</v>
      </c>
      <c r="CA105" s="888">
        <f t="shared" si="297"/>
        <v>0</v>
      </c>
      <c r="CB105" s="887">
        <f t="shared" si="297"/>
        <v>0</v>
      </c>
      <c r="CC105" s="887">
        <f t="shared" si="297"/>
        <v>0</v>
      </c>
      <c r="CD105" s="887">
        <f t="shared" si="297"/>
        <v>0</v>
      </c>
      <c r="CE105" s="887">
        <f t="shared" si="297"/>
        <v>0</v>
      </c>
      <c r="CF105" s="843">
        <f t="shared" si="297"/>
        <v>0</v>
      </c>
    </row>
    <row r="106" spans="1:84" ht="12.95" customHeight="1" x14ac:dyDescent="0.25">
      <c r="A106" s="282">
        <v>21</v>
      </c>
      <c r="B106" s="213">
        <v>3427</v>
      </c>
      <c r="C106" s="213">
        <v>650023340</v>
      </c>
      <c r="D106" s="283">
        <v>70982988</v>
      </c>
      <c r="E106" s="212" t="s">
        <v>490</v>
      </c>
      <c r="F106" s="213">
        <v>3111</v>
      </c>
      <c r="G106" s="375" t="s">
        <v>305</v>
      </c>
      <c r="H106" s="287" t="s">
        <v>271</v>
      </c>
      <c r="I106" s="423">
        <f t="shared" ref="I106:I111" si="298">J106+P106+Q106+R106</f>
        <v>3263145</v>
      </c>
      <c r="J106" s="418">
        <f t="shared" ref="J106:J111" si="299">K106+L106</f>
        <v>2411818</v>
      </c>
      <c r="K106" s="418">
        <v>2278682</v>
      </c>
      <c r="L106" s="418">
        <v>133136</v>
      </c>
      <c r="M106" s="418">
        <f t="shared" ref="M106:M111" si="300">N106+O106</f>
        <v>0</v>
      </c>
      <c r="N106" s="418">
        <v>0</v>
      </c>
      <c r="O106" s="418">
        <v>0</v>
      </c>
      <c r="P106" s="68">
        <f t="shared" ref="P106:P111" si="301">ROUND((J106+M106)*33.8%,0)</f>
        <v>815194</v>
      </c>
      <c r="Q106" s="68">
        <f t="shared" ref="Q106:Q111" si="302">ROUND(J106*1%,0)</f>
        <v>24118</v>
      </c>
      <c r="R106" s="418">
        <v>12015</v>
      </c>
      <c r="S106" s="419">
        <f t="shared" si="205"/>
        <v>4.4043000000000001</v>
      </c>
      <c r="T106" s="419">
        <v>3.8708999999999998</v>
      </c>
      <c r="U106" s="527">
        <v>0.53339999999999999</v>
      </c>
      <c r="V106" s="427">
        <f t="shared" ref="V106:W111" si="303">AI106*-1</f>
        <v>0</v>
      </c>
      <c r="W106" s="421">
        <f t="shared" si="303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ref="AF106:AF111" si="304">V106+X106+Y106+AA106+AB106+AD106</f>
        <v>0</v>
      </c>
      <c r="AG106" s="421">
        <f t="shared" ref="AG106:AG111" si="305">W106+Z106+AC106+AE106</f>
        <v>0</v>
      </c>
      <c r="AH106" s="421">
        <f t="shared" ref="AH106:AH111" si="306">SUM(AF106:AG106)</f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ref="AO106:AO111" si="307">AI106+AK106+AL106+AM106</f>
        <v>0</v>
      </c>
      <c r="AP106" s="421">
        <f t="shared" ref="AP106:AP111" si="308">AJ106+AN106</f>
        <v>0</v>
      </c>
      <c r="AQ106" s="421">
        <f t="shared" ref="AQ106:AQ111" si="309">SUM(AO106:AP106)</f>
        <v>0</v>
      </c>
      <c r="AR106" s="421">
        <f t="shared" ref="AR106:AS111" si="310">AF106+AO106</f>
        <v>0</v>
      </c>
      <c r="AS106" s="421">
        <f t="shared" si="310"/>
        <v>0</v>
      </c>
      <c r="AT106" s="421">
        <f t="shared" ref="AT106:AT111" si="311">SUM(AR106:AS106)</f>
        <v>0</v>
      </c>
      <c r="AU106" s="68">
        <f t="shared" ref="AU106:AU111" si="312">ROUND((AH106+AI106+AJ106+AK106+AL106)*33.8%,0)</f>
        <v>0</v>
      </c>
      <c r="AV106" s="68">
        <f t="shared" ref="AV106:AV111" si="313">ROUND(AH106*1%,0)</f>
        <v>0</v>
      </c>
      <c r="AW106" s="421">
        <v>0</v>
      </c>
      <c r="AX106" s="421">
        <v>0</v>
      </c>
      <c r="AY106" s="421">
        <f t="shared" ref="AY106:AY111" si="314">AW106+AX106</f>
        <v>0</v>
      </c>
      <c r="AZ106" s="421">
        <f t="shared" ref="AZ106:AZ111" si="315">AT106+AU106+AV106+AY106</f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 t="shared" ref="BK106:BK111" si="316">BA106+BC106+BD106+BF106+BH106+BI106</f>
        <v>0</v>
      </c>
      <c r="BL106" s="422">
        <f t="shared" ref="BL106:BL111" si="317">BB106+BE106+BG106+BJ106</f>
        <v>0</v>
      </c>
      <c r="BM106" s="611">
        <f t="shared" ref="BM106:BM111" si="318">SUM(BK106:BL106)</f>
        <v>0</v>
      </c>
      <c r="BN106" s="428">
        <f t="shared" ref="BN106:BN111" si="319">I106+AZ106</f>
        <v>3263145</v>
      </c>
      <c r="BO106" s="421">
        <f t="shared" ref="BO106:BO111" si="320">J106+AH106</f>
        <v>2411818</v>
      </c>
      <c r="BP106" s="421">
        <f t="shared" ref="BP106:BQ111" si="321">K106+AF106</f>
        <v>2278682</v>
      </c>
      <c r="BQ106" s="421">
        <f t="shared" si="321"/>
        <v>133136</v>
      </c>
      <c r="BR106" s="421">
        <f t="shared" ref="BR106:BR111" si="322">M106+AQ106</f>
        <v>0</v>
      </c>
      <c r="BS106" s="421">
        <f t="shared" ref="BS106:BT111" si="323">N106+AO106</f>
        <v>0</v>
      </c>
      <c r="BT106" s="421">
        <f t="shared" si="323"/>
        <v>0</v>
      </c>
      <c r="BU106" s="421">
        <f t="shared" ref="BU106:BV111" si="324">P106+AU106</f>
        <v>815194</v>
      </c>
      <c r="BV106" s="421">
        <f t="shared" si="324"/>
        <v>24118</v>
      </c>
      <c r="BW106" s="421">
        <f t="shared" ref="BW106:BW111" si="325">R106+AY106</f>
        <v>12015</v>
      </c>
      <c r="BX106" s="422">
        <f t="shared" ref="BX106:BX111" si="326">S106+BM106</f>
        <v>4.4043000000000001</v>
      </c>
      <c r="BY106" s="422">
        <f t="shared" ref="BY106:BZ111" si="327">T106+BK106</f>
        <v>3.8708999999999998</v>
      </c>
      <c r="BZ106" s="611">
        <f t="shared" si="327"/>
        <v>0.53339999999999999</v>
      </c>
      <c r="CA106" s="423"/>
      <c r="CB106" s="418"/>
      <c r="CC106" s="418"/>
      <c r="CD106" s="418"/>
      <c r="CE106" s="418"/>
      <c r="CF106" s="527"/>
    </row>
    <row r="107" spans="1:84" ht="12.95" customHeight="1" x14ac:dyDescent="0.25">
      <c r="A107" s="282">
        <v>21</v>
      </c>
      <c r="B107" s="213">
        <v>3427</v>
      </c>
      <c r="C107" s="213">
        <v>650023340</v>
      </c>
      <c r="D107" s="283">
        <v>70982988</v>
      </c>
      <c r="E107" s="374" t="s">
        <v>490</v>
      </c>
      <c r="F107" s="213">
        <v>3113</v>
      </c>
      <c r="G107" s="374" t="s">
        <v>309</v>
      </c>
      <c r="H107" s="287" t="s">
        <v>271</v>
      </c>
      <c r="I107" s="423">
        <f t="shared" si="298"/>
        <v>13102312</v>
      </c>
      <c r="J107" s="418">
        <f t="shared" si="299"/>
        <v>9600795</v>
      </c>
      <c r="K107" s="418">
        <v>8623249</v>
      </c>
      <c r="L107" s="418">
        <v>977546</v>
      </c>
      <c r="M107" s="418">
        <f t="shared" si="300"/>
        <v>0</v>
      </c>
      <c r="N107" s="418">
        <v>0</v>
      </c>
      <c r="O107" s="418">
        <v>0</v>
      </c>
      <c r="P107" s="68">
        <f t="shared" si="301"/>
        <v>3245069</v>
      </c>
      <c r="Q107" s="68">
        <f t="shared" si="302"/>
        <v>96008</v>
      </c>
      <c r="R107" s="418">
        <v>160440</v>
      </c>
      <c r="S107" s="419">
        <f t="shared" si="205"/>
        <v>15.930399999999999</v>
      </c>
      <c r="T107" s="419">
        <v>13.0907</v>
      </c>
      <c r="U107" s="527">
        <v>2.8396999999999997</v>
      </c>
      <c r="V107" s="427">
        <f t="shared" si="303"/>
        <v>0</v>
      </c>
      <c r="W107" s="421">
        <f t="shared" si="303"/>
        <v>-5120</v>
      </c>
      <c r="X107" s="421">
        <v>0</v>
      </c>
      <c r="Y107" s="421">
        <v>0</v>
      </c>
      <c r="Z107" s="421">
        <v>0</v>
      </c>
      <c r="AA107" s="421">
        <v>0</v>
      </c>
      <c r="AB107" s="421">
        <v>225600</v>
      </c>
      <c r="AC107" s="421">
        <v>0</v>
      </c>
      <c r="AD107" s="421">
        <v>0</v>
      </c>
      <c r="AE107" s="421">
        <v>0</v>
      </c>
      <c r="AF107" s="421">
        <f t="shared" si="304"/>
        <v>225600</v>
      </c>
      <c r="AG107" s="421">
        <f t="shared" si="305"/>
        <v>-5120</v>
      </c>
      <c r="AH107" s="421">
        <f t="shared" si="306"/>
        <v>220480</v>
      </c>
      <c r="AI107" s="421">
        <v>0</v>
      </c>
      <c r="AJ107" s="421">
        <v>5120</v>
      </c>
      <c r="AK107" s="421">
        <v>0</v>
      </c>
      <c r="AL107" s="421">
        <v>0</v>
      </c>
      <c r="AM107" s="421">
        <v>0</v>
      </c>
      <c r="AN107" s="421">
        <v>0</v>
      </c>
      <c r="AO107" s="421">
        <f t="shared" si="307"/>
        <v>0</v>
      </c>
      <c r="AP107" s="421">
        <f t="shared" si="308"/>
        <v>5120</v>
      </c>
      <c r="AQ107" s="421">
        <f t="shared" si="309"/>
        <v>5120</v>
      </c>
      <c r="AR107" s="421">
        <f t="shared" si="310"/>
        <v>225600</v>
      </c>
      <c r="AS107" s="421">
        <f t="shared" si="310"/>
        <v>0</v>
      </c>
      <c r="AT107" s="421">
        <f t="shared" si="311"/>
        <v>225600</v>
      </c>
      <c r="AU107" s="68">
        <f t="shared" si="312"/>
        <v>76253</v>
      </c>
      <c r="AV107" s="68">
        <f t="shared" si="313"/>
        <v>2205</v>
      </c>
      <c r="AW107" s="421">
        <v>0</v>
      </c>
      <c r="AX107" s="421">
        <v>0</v>
      </c>
      <c r="AY107" s="421">
        <f t="shared" si="314"/>
        <v>0</v>
      </c>
      <c r="AZ107" s="421">
        <f t="shared" si="315"/>
        <v>304058</v>
      </c>
      <c r="BA107" s="422">
        <v>0</v>
      </c>
      <c r="BB107" s="422">
        <v>-0.02</v>
      </c>
      <c r="BC107" s="422">
        <v>0</v>
      </c>
      <c r="BD107" s="422">
        <v>0.4</v>
      </c>
      <c r="BE107" s="422">
        <v>0</v>
      </c>
      <c r="BF107" s="422">
        <v>0</v>
      </c>
      <c r="BG107" s="422">
        <v>0</v>
      </c>
      <c r="BH107" s="422">
        <v>0</v>
      </c>
      <c r="BI107" s="422">
        <v>0</v>
      </c>
      <c r="BJ107" s="422">
        <v>0</v>
      </c>
      <c r="BK107" s="422">
        <f t="shared" si="316"/>
        <v>0.4</v>
      </c>
      <c r="BL107" s="422">
        <f t="shared" si="317"/>
        <v>-0.02</v>
      </c>
      <c r="BM107" s="611">
        <f t="shared" si="318"/>
        <v>0.38</v>
      </c>
      <c r="BN107" s="428">
        <f t="shared" si="319"/>
        <v>13406370</v>
      </c>
      <c r="BO107" s="421">
        <f t="shared" si="320"/>
        <v>9821275</v>
      </c>
      <c r="BP107" s="421">
        <f t="shared" si="321"/>
        <v>8848849</v>
      </c>
      <c r="BQ107" s="421">
        <f t="shared" si="321"/>
        <v>972426</v>
      </c>
      <c r="BR107" s="421">
        <f t="shared" si="322"/>
        <v>5120</v>
      </c>
      <c r="BS107" s="421">
        <f t="shared" si="323"/>
        <v>0</v>
      </c>
      <c r="BT107" s="421">
        <f t="shared" si="323"/>
        <v>5120</v>
      </c>
      <c r="BU107" s="421">
        <f t="shared" si="324"/>
        <v>3321322</v>
      </c>
      <c r="BV107" s="421">
        <f t="shared" si="324"/>
        <v>98213</v>
      </c>
      <c r="BW107" s="421">
        <f t="shared" si="325"/>
        <v>160440</v>
      </c>
      <c r="BX107" s="422">
        <f t="shared" si="326"/>
        <v>16.310399999999998</v>
      </c>
      <c r="BY107" s="422">
        <f t="shared" si="327"/>
        <v>13.4907</v>
      </c>
      <c r="BZ107" s="611">
        <f t="shared" si="327"/>
        <v>2.8196999999999997</v>
      </c>
      <c r="CA107" s="423">
        <v>304109</v>
      </c>
      <c r="CB107" s="418">
        <v>225600</v>
      </c>
      <c r="CC107" s="418">
        <v>0</v>
      </c>
      <c r="CD107" s="418">
        <v>76253</v>
      </c>
      <c r="CE107" s="418">
        <v>2256</v>
      </c>
      <c r="CF107" s="527">
        <v>0.4</v>
      </c>
    </row>
    <row r="108" spans="1:84" ht="12.95" customHeight="1" x14ac:dyDescent="0.25">
      <c r="A108" s="282">
        <v>21</v>
      </c>
      <c r="B108" s="213">
        <v>3427</v>
      </c>
      <c r="C108" s="213">
        <v>650023340</v>
      </c>
      <c r="D108" s="283">
        <v>70982988</v>
      </c>
      <c r="E108" s="374" t="s">
        <v>490</v>
      </c>
      <c r="F108" s="213">
        <v>3113</v>
      </c>
      <c r="G108" s="325" t="s">
        <v>292</v>
      </c>
      <c r="H108" s="287" t="s">
        <v>272</v>
      </c>
      <c r="I108" s="423">
        <f t="shared" si="298"/>
        <v>0</v>
      </c>
      <c r="J108" s="418">
        <f t="shared" si="299"/>
        <v>0</v>
      </c>
      <c r="K108" s="418">
        <v>0</v>
      </c>
      <c r="L108" s="418">
        <v>0</v>
      </c>
      <c r="M108" s="418">
        <f t="shared" si="300"/>
        <v>0</v>
      </c>
      <c r="N108" s="418">
        <v>0</v>
      </c>
      <c r="O108" s="418">
        <v>0</v>
      </c>
      <c r="P108" s="68">
        <f t="shared" si="301"/>
        <v>0</v>
      </c>
      <c r="Q108" s="68">
        <f t="shared" si="302"/>
        <v>0</v>
      </c>
      <c r="R108" s="418">
        <v>0</v>
      </c>
      <c r="S108" s="419">
        <f t="shared" si="205"/>
        <v>0</v>
      </c>
      <c r="T108" s="419">
        <v>0</v>
      </c>
      <c r="U108" s="527">
        <v>0</v>
      </c>
      <c r="V108" s="427">
        <f t="shared" si="303"/>
        <v>0</v>
      </c>
      <c r="W108" s="421">
        <f t="shared" si="303"/>
        <v>0</v>
      </c>
      <c r="X108" s="421">
        <f>2214806+20631</f>
        <v>2235437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 t="shared" si="304"/>
        <v>2235437</v>
      </c>
      <c r="AG108" s="421">
        <f t="shared" si="305"/>
        <v>0</v>
      </c>
      <c r="AH108" s="421">
        <f t="shared" si="306"/>
        <v>2235437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si="307"/>
        <v>0</v>
      </c>
      <c r="AP108" s="421">
        <f t="shared" si="308"/>
        <v>0</v>
      </c>
      <c r="AQ108" s="421">
        <f t="shared" si="309"/>
        <v>0</v>
      </c>
      <c r="AR108" s="421">
        <f t="shared" si="310"/>
        <v>2235437</v>
      </c>
      <c r="AS108" s="421">
        <f t="shared" si="310"/>
        <v>0</v>
      </c>
      <c r="AT108" s="421">
        <f t="shared" si="311"/>
        <v>2235437</v>
      </c>
      <c r="AU108" s="68">
        <f t="shared" si="312"/>
        <v>755578</v>
      </c>
      <c r="AV108" s="68">
        <f t="shared" si="313"/>
        <v>22354</v>
      </c>
      <c r="AW108" s="421">
        <v>0</v>
      </c>
      <c r="AX108" s="421">
        <v>0</v>
      </c>
      <c r="AY108" s="421">
        <f t="shared" si="314"/>
        <v>0</v>
      </c>
      <c r="AZ108" s="421">
        <f t="shared" si="315"/>
        <v>3013369</v>
      </c>
      <c r="BA108" s="422">
        <v>0</v>
      </c>
      <c r="BB108" s="422">
        <v>0</v>
      </c>
      <c r="BC108" s="422">
        <f>6.04+0.04</f>
        <v>6.08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 t="shared" si="316"/>
        <v>6.08</v>
      </c>
      <c r="BL108" s="422">
        <f t="shared" si="317"/>
        <v>0</v>
      </c>
      <c r="BM108" s="611">
        <f t="shared" si="318"/>
        <v>6.08</v>
      </c>
      <c r="BN108" s="428">
        <f t="shared" si="319"/>
        <v>3013369</v>
      </c>
      <c r="BO108" s="421">
        <f t="shared" si="320"/>
        <v>2235437</v>
      </c>
      <c r="BP108" s="421">
        <f t="shared" si="321"/>
        <v>2235437</v>
      </c>
      <c r="BQ108" s="421">
        <f t="shared" si="321"/>
        <v>0</v>
      </c>
      <c r="BR108" s="421">
        <f t="shared" si="322"/>
        <v>0</v>
      </c>
      <c r="BS108" s="421">
        <f t="shared" si="323"/>
        <v>0</v>
      </c>
      <c r="BT108" s="421">
        <f t="shared" si="323"/>
        <v>0</v>
      </c>
      <c r="BU108" s="421">
        <f t="shared" si="324"/>
        <v>755578</v>
      </c>
      <c r="BV108" s="421">
        <f t="shared" si="324"/>
        <v>22354</v>
      </c>
      <c r="BW108" s="421">
        <f t="shared" si="325"/>
        <v>0</v>
      </c>
      <c r="BX108" s="422">
        <f t="shared" si="326"/>
        <v>6.08</v>
      </c>
      <c r="BY108" s="422">
        <f t="shared" si="327"/>
        <v>6.08</v>
      </c>
      <c r="BZ108" s="611">
        <f t="shared" si="327"/>
        <v>0</v>
      </c>
      <c r="CA108" s="423"/>
      <c r="CB108" s="418"/>
      <c r="CC108" s="418"/>
      <c r="CD108" s="418"/>
      <c r="CE108" s="418"/>
      <c r="CF108" s="527"/>
    </row>
    <row r="109" spans="1:84" ht="12.95" customHeight="1" x14ac:dyDescent="0.25">
      <c r="A109" s="282">
        <v>21</v>
      </c>
      <c r="B109" s="213">
        <v>3427</v>
      </c>
      <c r="C109" s="213">
        <v>650023340</v>
      </c>
      <c r="D109" s="283">
        <v>70982988</v>
      </c>
      <c r="E109" s="373" t="s">
        <v>490</v>
      </c>
      <c r="F109" s="384">
        <v>3141</v>
      </c>
      <c r="G109" s="375" t="s">
        <v>295</v>
      </c>
      <c r="H109" s="287" t="s">
        <v>272</v>
      </c>
      <c r="I109" s="423">
        <f t="shared" si="298"/>
        <v>1235952</v>
      </c>
      <c r="J109" s="418">
        <f t="shared" si="299"/>
        <v>911500</v>
      </c>
      <c r="K109" s="418">
        <v>0</v>
      </c>
      <c r="L109" s="418">
        <v>911500</v>
      </c>
      <c r="M109" s="418">
        <f t="shared" si="300"/>
        <v>0</v>
      </c>
      <c r="N109" s="418">
        <v>0</v>
      </c>
      <c r="O109" s="418">
        <v>0</v>
      </c>
      <c r="P109" s="68">
        <f t="shared" si="301"/>
        <v>308087</v>
      </c>
      <c r="Q109" s="68">
        <f t="shared" si="302"/>
        <v>9115</v>
      </c>
      <c r="R109" s="418">
        <v>7250</v>
      </c>
      <c r="S109" s="419">
        <f t="shared" si="205"/>
        <v>2.7332999999999998</v>
      </c>
      <c r="T109" s="419">
        <v>0</v>
      </c>
      <c r="U109" s="527">
        <v>2.7332999999999998</v>
      </c>
      <c r="V109" s="427">
        <f t="shared" si="303"/>
        <v>0</v>
      </c>
      <c r="W109" s="421">
        <f t="shared" si="303"/>
        <v>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 t="shared" si="304"/>
        <v>0</v>
      </c>
      <c r="AG109" s="421">
        <f t="shared" si="305"/>
        <v>0</v>
      </c>
      <c r="AH109" s="421">
        <f t="shared" si="306"/>
        <v>0</v>
      </c>
      <c r="AI109" s="421">
        <v>0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f t="shared" si="307"/>
        <v>0</v>
      </c>
      <c r="AP109" s="421">
        <f t="shared" si="308"/>
        <v>0</v>
      </c>
      <c r="AQ109" s="421">
        <f t="shared" si="309"/>
        <v>0</v>
      </c>
      <c r="AR109" s="421">
        <f t="shared" si="310"/>
        <v>0</v>
      </c>
      <c r="AS109" s="421">
        <f t="shared" si="310"/>
        <v>0</v>
      </c>
      <c r="AT109" s="421">
        <f t="shared" si="311"/>
        <v>0</v>
      </c>
      <c r="AU109" s="68">
        <f t="shared" si="312"/>
        <v>0</v>
      </c>
      <c r="AV109" s="68">
        <f t="shared" si="313"/>
        <v>0</v>
      </c>
      <c r="AW109" s="421">
        <v>0</v>
      </c>
      <c r="AX109" s="421">
        <v>0</v>
      </c>
      <c r="AY109" s="421">
        <f t="shared" si="314"/>
        <v>0</v>
      </c>
      <c r="AZ109" s="421">
        <f t="shared" si="315"/>
        <v>0</v>
      </c>
      <c r="BA109" s="422">
        <v>0</v>
      </c>
      <c r="BB109" s="422">
        <v>0</v>
      </c>
      <c r="BC109" s="422">
        <v>0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 t="shared" si="316"/>
        <v>0</v>
      </c>
      <c r="BL109" s="422">
        <f t="shared" si="317"/>
        <v>0</v>
      </c>
      <c r="BM109" s="611">
        <f t="shared" si="318"/>
        <v>0</v>
      </c>
      <c r="BN109" s="428">
        <f t="shared" si="319"/>
        <v>1235952</v>
      </c>
      <c r="BO109" s="421">
        <f t="shared" si="320"/>
        <v>911500</v>
      </c>
      <c r="BP109" s="421">
        <f t="shared" si="321"/>
        <v>0</v>
      </c>
      <c r="BQ109" s="421">
        <f t="shared" si="321"/>
        <v>911500</v>
      </c>
      <c r="BR109" s="421">
        <f t="shared" si="322"/>
        <v>0</v>
      </c>
      <c r="BS109" s="421">
        <f t="shared" si="323"/>
        <v>0</v>
      </c>
      <c r="BT109" s="421">
        <f t="shared" si="323"/>
        <v>0</v>
      </c>
      <c r="BU109" s="421">
        <f t="shared" si="324"/>
        <v>308087</v>
      </c>
      <c r="BV109" s="421">
        <f t="shared" si="324"/>
        <v>9115</v>
      </c>
      <c r="BW109" s="421">
        <f t="shared" si="325"/>
        <v>7250</v>
      </c>
      <c r="BX109" s="422">
        <f t="shared" si="326"/>
        <v>2.7332999999999998</v>
      </c>
      <c r="BY109" s="422">
        <f t="shared" si="327"/>
        <v>0</v>
      </c>
      <c r="BZ109" s="611">
        <f t="shared" si="327"/>
        <v>2.7332999999999998</v>
      </c>
      <c r="CA109" s="423"/>
      <c r="CB109" s="418"/>
      <c r="CC109" s="418"/>
      <c r="CD109" s="418"/>
      <c r="CE109" s="418"/>
      <c r="CF109" s="527"/>
    </row>
    <row r="110" spans="1:84" ht="12.95" customHeight="1" x14ac:dyDescent="0.25">
      <c r="A110" s="282">
        <v>21</v>
      </c>
      <c r="B110" s="213">
        <v>3427</v>
      </c>
      <c r="C110" s="213">
        <v>650023340</v>
      </c>
      <c r="D110" s="283">
        <v>70982988</v>
      </c>
      <c r="E110" s="374" t="s">
        <v>490</v>
      </c>
      <c r="F110" s="213">
        <v>3143</v>
      </c>
      <c r="G110" s="325" t="s">
        <v>596</v>
      </c>
      <c r="H110" s="287" t="s">
        <v>271</v>
      </c>
      <c r="I110" s="423">
        <f t="shared" si="298"/>
        <v>1379910</v>
      </c>
      <c r="J110" s="418">
        <f t="shared" si="299"/>
        <v>1023672</v>
      </c>
      <c r="K110" s="418">
        <v>1023672</v>
      </c>
      <c r="L110" s="418">
        <v>0</v>
      </c>
      <c r="M110" s="418">
        <f t="shared" si="300"/>
        <v>0</v>
      </c>
      <c r="N110" s="418">
        <v>0</v>
      </c>
      <c r="O110" s="418">
        <v>0</v>
      </c>
      <c r="P110" s="68">
        <f t="shared" si="301"/>
        <v>346001</v>
      </c>
      <c r="Q110" s="68">
        <f t="shared" si="302"/>
        <v>10237</v>
      </c>
      <c r="R110" s="418">
        <v>0</v>
      </c>
      <c r="S110" s="419">
        <f t="shared" si="205"/>
        <v>2.0535999999999999</v>
      </c>
      <c r="T110" s="419">
        <v>2.0535999999999999</v>
      </c>
      <c r="U110" s="527">
        <v>0</v>
      </c>
      <c r="V110" s="427">
        <f t="shared" si="303"/>
        <v>0</v>
      </c>
      <c r="W110" s="421">
        <f t="shared" si="303"/>
        <v>0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 t="shared" si="304"/>
        <v>0</v>
      </c>
      <c r="AG110" s="421">
        <f t="shared" si="305"/>
        <v>0</v>
      </c>
      <c r="AH110" s="421">
        <f t="shared" si="306"/>
        <v>0</v>
      </c>
      <c r="AI110" s="421">
        <v>0</v>
      </c>
      <c r="AJ110" s="421">
        <v>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si="307"/>
        <v>0</v>
      </c>
      <c r="AP110" s="421">
        <f t="shared" si="308"/>
        <v>0</v>
      </c>
      <c r="AQ110" s="421">
        <f t="shared" si="309"/>
        <v>0</v>
      </c>
      <c r="AR110" s="421">
        <f t="shared" si="310"/>
        <v>0</v>
      </c>
      <c r="AS110" s="421">
        <f t="shared" si="310"/>
        <v>0</v>
      </c>
      <c r="AT110" s="421">
        <f t="shared" si="311"/>
        <v>0</v>
      </c>
      <c r="AU110" s="68">
        <f t="shared" si="312"/>
        <v>0</v>
      </c>
      <c r="AV110" s="68">
        <f t="shared" si="313"/>
        <v>0</v>
      </c>
      <c r="AW110" s="421">
        <v>0</v>
      </c>
      <c r="AX110" s="421">
        <v>0</v>
      </c>
      <c r="AY110" s="421">
        <f t="shared" si="314"/>
        <v>0</v>
      </c>
      <c r="AZ110" s="421">
        <f t="shared" si="315"/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 t="shared" si="316"/>
        <v>0</v>
      </c>
      <c r="BL110" s="422">
        <f t="shared" si="317"/>
        <v>0</v>
      </c>
      <c r="BM110" s="611">
        <f t="shared" si="318"/>
        <v>0</v>
      </c>
      <c r="BN110" s="428">
        <f t="shared" si="319"/>
        <v>1379910</v>
      </c>
      <c r="BO110" s="421">
        <f t="shared" si="320"/>
        <v>1023672</v>
      </c>
      <c r="BP110" s="421">
        <f t="shared" si="321"/>
        <v>1023672</v>
      </c>
      <c r="BQ110" s="421">
        <f t="shared" si="321"/>
        <v>0</v>
      </c>
      <c r="BR110" s="421">
        <f t="shared" si="322"/>
        <v>0</v>
      </c>
      <c r="BS110" s="421">
        <f t="shared" si="323"/>
        <v>0</v>
      </c>
      <c r="BT110" s="421">
        <f t="shared" si="323"/>
        <v>0</v>
      </c>
      <c r="BU110" s="421">
        <f t="shared" si="324"/>
        <v>346001</v>
      </c>
      <c r="BV110" s="421">
        <f t="shared" si="324"/>
        <v>10237</v>
      </c>
      <c r="BW110" s="421">
        <f t="shared" si="325"/>
        <v>0</v>
      </c>
      <c r="BX110" s="422">
        <f t="shared" si="326"/>
        <v>2.0535999999999999</v>
      </c>
      <c r="BY110" s="422">
        <f t="shared" si="327"/>
        <v>2.0535999999999999</v>
      </c>
      <c r="BZ110" s="611">
        <f t="shared" si="327"/>
        <v>0</v>
      </c>
      <c r="CA110" s="423"/>
      <c r="CB110" s="418"/>
      <c r="CC110" s="418"/>
      <c r="CD110" s="418"/>
      <c r="CE110" s="418"/>
      <c r="CF110" s="527"/>
    </row>
    <row r="111" spans="1:84" ht="12.95" customHeight="1" x14ac:dyDescent="0.25">
      <c r="A111" s="282">
        <v>21</v>
      </c>
      <c r="B111" s="213">
        <v>3427</v>
      </c>
      <c r="C111" s="213">
        <v>650023340</v>
      </c>
      <c r="D111" s="283">
        <v>70982988</v>
      </c>
      <c r="E111" s="374" t="s">
        <v>490</v>
      </c>
      <c r="F111" s="213">
        <v>3143</v>
      </c>
      <c r="G111" s="325" t="s">
        <v>597</v>
      </c>
      <c r="H111" s="287" t="s">
        <v>272</v>
      </c>
      <c r="I111" s="423">
        <f t="shared" si="298"/>
        <v>22535</v>
      </c>
      <c r="J111" s="418">
        <f t="shared" si="299"/>
        <v>16130</v>
      </c>
      <c r="K111" s="418">
        <v>0</v>
      </c>
      <c r="L111" s="418">
        <v>16130</v>
      </c>
      <c r="M111" s="418">
        <f t="shared" si="300"/>
        <v>0</v>
      </c>
      <c r="N111" s="418">
        <v>0</v>
      </c>
      <c r="O111" s="418">
        <v>0</v>
      </c>
      <c r="P111" s="68">
        <f t="shared" si="301"/>
        <v>5452</v>
      </c>
      <c r="Q111" s="68">
        <f t="shared" si="302"/>
        <v>161</v>
      </c>
      <c r="R111" s="418">
        <v>792</v>
      </c>
      <c r="S111" s="419">
        <f t="shared" si="205"/>
        <v>6.1100000000000002E-2</v>
      </c>
      <c r="T111" s="419">
        <v>0</v>
      </c>
      <c r="U111" s="527">
        <v>6.1100000000000002E-2</v>
      </c>
      <c r="V111" s="427">
        <f t="shared" si="303"/>
        <v>0</v>
      </c>
      <c r="W111" s="421">
        <f t="shared" si="303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 t="shared" si="304"/>
        <v>0</v>
      </c>
      <c r="AG111" s="421">
        <f t="shared" si="305"/>
        <v>0</v>
      </c>
      <c r="AH111" s="421">
        <f t="shared" si="306"/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307"/>
        <v>0</v>
      </c>
      <c r="AP111" s="421">
        <f t="shared" si="308"/>
        <v>0</v>
      </c>
      <c r="AQ111" s="421">
        <f t="shared" si="309"/>
        <v>0</v>
      </c>
      <c r="AR111" s="421">
        <f t="shared" si="310"/>
        <v>0</v>
      </c>
      <c r="AS111" s="421">
        <f t="shared" si="310"/>
        <v>0</v>
      </c>
      <c r="AT111" s="421">
        <f t="shared" si="311"/>
        <v>0</v>
      </c>
      <c r="AU111" s="68">
        <f t="shared" si="312"/>
        <v>0</v>
      </c>
      <c r="AV111" s="68">
        <f t="shared" si="313"/>
        <v>0</v>
      </c>
      <c r="AW111" s="421">
        <v>0</v>
      </c>
      <c r="AX111" s="421">
        <v>0</v>
      </c>
      <c r="AY111" s="421">
        <f t="shared" si="314"/>
        <v>0</v>
      </c>
      <c r="AZ111" s="421">
        <f t="shared" si="315"/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 t="shared" si="316"/>
        <v>0</v>
      </c>
      <c r="BL111" s="422">
        <f t="shared" si="317"/>
        <v>0</v>
      </c>
      <c r="BM111" s="611">
        <f t="shared" si="318"/>
        <v>0</v>
      </c>
      <c r="BN111" s="428">
        <f t="shared" si="319"/>
        <v>22535</v>
      </c>
      <c r="BO111" s="421">
        <f t="shared" si="320"/>
        <v>16130</v>
      </c>
      <c r="BP111" s="421">
        <f t="shared" si="321"/>
        <v>0</v>
      </c>
      <c r="BQ111" s="421">
        <f t="shared" si="321"/>
        <v>16130</v>
      </c>
      <c r="BR111" s="421">
        <f t="shared" si="322"/>
        <v>0</v>
      </c>
      <c r="BS111" s="421">
        <f t="shared" si="323"/>
        <v>0</v>
      </c>
      <c r="BT111" s="421">
        <f t="shared" si="323"/>
        <v>0</v>
      </c>
      <c r="BU111" s="421">
        <f t="shared" si="324"/>
        <v>5452</v>
      </c>
      <c r="BV111" s="421">
        <f t="shared" si="324"/>
        <v>161</v>
      </c>
      <c r="BW111" s="421">
        <f t="shared" si="325"/>
        <v>792</v>
      </c>
      <c r="BX111" s="422">
        <f t="shared" si="326"/>
        <v>6.1100000000000002E-2</v>
      </c>
      <c r="BY111" s="422">
        <f t="shared" si="327"/>
        <v>0</v>
      </c>
      <c r="BZ111" s="611">
        <f t="shared" si="327"/>
        <v>6.1100000000000002E-2</v>
      </c>
      <c r="CA111" s="423"/>
      <c r="CB111" s="418"/>
      <c r="CC111" s="418"/>
      <c r="CD111" s="418"/>
      <c r="CE111" s="418"/>
      <c r="CF111" s="527"/>
    </row>
    <row r="112" spans="1:84" ht="12.95" customHeight="1" x14ac:dyDescent="0.25">
      <c r="A112" s="214">
        <v>21</v>
      </c>
      <c r="B112" s="46">
        <v>3427</v>
      </c>
      <c r="C112" s="46">
        <v>650023340</v>
      </c>
      <c r="D112" s="46">
        <v>70982988</v>
      </c>
      <c r="E112" s="376" t="s">
        <v>491</v>
      </c>
      <c r="F112" s="45"/>
      <c r="G112" s="376"/>
      <c r="H112" s="183"/>
      <c r="I112" s="500">
        <f t="shared" ref="I112:BT112" si="328">SUM(I106:I111)</f>
        <v>19003854</v>
      </c>
      <c r="J112" s="497">
        <f t="shared" si="328"/>
        <v>13963915</v>
      </c>
      <c r="K112" s="497">
        <f t="shared" si="328"/>
        <v>11925603</v>
      </c>
      <c r="L112" s="497">
        <f t="shared" si="328"/>
        <v>2038312</v>
      </c>
      <c r="M112" s="497">
        <f t="shared" si="328"/>
        <v>0</v>
      </c>
      <c r="N112" s="497">
        <f t="shared" si="328"/>
        <v>0</v>
      </c>
      <c r="O112" s="497">
        <f t="shared" si="328"/>
        <v>0</v>
      </c>
      <c r="P112" s="497">
        <f t="shared" si="328"/>
        <v>4719803</v>
      </c>
      <c r="Q112" s="497">
        <f t="shared" si="328"/>
        <v>139639</v>
      </c>
      <c r="R112" s="497">
        <f t="shared" si="328"/>
        <v>180497</v>
      </c>
      <c r="S112" s="498">
        <f t="shared" si="328"/>
        <v>25.182699999999997</v>
      </c>
      <c r="T112" s="498">
        <f t="shared" si="328"/>
        <v>19.0152</v>
      </c>
      <c r="U112" s="381">
        <f t="shared" si="328"/>
        <v>6.1674999999999986</v>
      </c>
      <c r="V112" s="502">
        <f t="shared" si="328"/>
        <v>0</v>
      </c>
      <c r="W112" s="497">
        <f t="shared" si="328"/>
        <v>-5120</v>
      </c>
      <c r="X112" s="497">
        <f t="shared" si="328"/>
        <v>2235437</v>
      </c>
      <c r="Y112" s="497">
        <f t="shared" si="328"/>
        <v>0</v>
      </c>
      <c r="Z112" s="497">
        <f t="shared" si="328"/>
        <v>0</v>
      </c>
      <c r="AA112" s="497">
        <f t="shared" si="328"/>
        <v>0</v>
      </c>
      <c r="AB112" s="497">
        <f t="shared" si="328"/>
        <v>225600</v>
      </c>
      <c r="AC112" s="497">
        <f t="shared" si="328"/>
        <v>0</v>
      </c>
      <c r="AD112" s="497">
        <f t="shared" si="328"/>
        <v>0</v>
      </c>
      <c r="AE112" s="497">
        <f t="shared" si="328"/>
        <v>0</v>
      </c>
      <c r="AF112" s="497">
        <f t="shared" si="328"/>
        <v>2461037</v>
      </c>
      <c r="AG112" s="497">
        <f t="shared" si="328"/>
        <v>-5120</v>
      </c>
      <c r="AH112" s="497">
        <f t="shared" si="328"/>
        <v>2455917</v>
      </c>
      <c r="AI112" s="497">
        <f t="shared" si="328"/>
        <v>0</v>
      </c>
      <c r="AJ112" s="497">
        <f t="shared" si="328"/>
        <v>5120</v>
      </c>
      <c r="AK112" s="497">
        <f t="shared" ref="AK112" si="329">SUM(AK106:AK111)</f>
        <v>0</v>
      </c>
      <c r="AL112" s="497">
        <f t="shared" si="328"/>
        <v>0</v>
      </c>
      <c r="AM112" s="497">
        <f t="shared" si="328"/>
        <v>0</v>
      </c>
      <c r="AN112" s="497">
        <f t="shared" si="328"/>
        <v>0</v>
      </c>
      <c r="AO112" s="497">
        <f t="shared" si="328"/>
        <v>0</v>
      </c>
      <c r="AP112" s="497">
        <f t="shared" si="328"/>
        <v>5120</v>
      </c>
      <c r="AQ112" s="497">
        <f t="shared" si="328"/>
        <v>5120</v>
      </c>
      <c r="AR112" s="497">
        <f t="shared" si="328"/>
        <v>2461037</v>
      </c>
      <c r="AS112" s="497">
        <f t="shared" si="328"/>
        <v>0</v>
      </c>
      <c r="AT112" s="497">
        <f t="shared" si="328"/>
        <v>2461037</v>
      </c>
      <c r="AU112" s="497">
        <f t="shared" si="328"/>
        <v>831831</v>
      </c>
      <c r="AV112" s="497">
        <f t="shared" si="328"/>
        <v>24559</v>
      </c>
      <c r="AW112" s="497">
        <f t="shared" si="328"/>
        <v>0</v>
      </c>
      <c r="AX112" s="497">
        <f t="shared" si="328"/>
        <v>0</v>
      </c>
      <c r="AY112" s="497">
        <f t="shared" si="328"/>
        <v>0</v>
      </c>
      <c r="AZ112" s="497">
        <f t="shared" si="328"/>
        <v>3317427</v>
      </c>
      <c r="BA112" s="498">
        <f t="shared" si="328"/>
        <v>0</v>
      </c>
      <c r="BB112" s="498">
        <f t="shared" si="328"/>
        <v>-0.02</v>
      </c>
      <c r="BC112" s="498">
        <f t="shared" si="328"/>
        <v>6.08</v>
      </c>
      <c r="BD112" s="498">
        <f t="shared" si="328"/>
        <v>0.4</v>
      </c>
      <c r="BE112" s="498">
        <f t="shared" si="328"/>
        <v>0</v>
      </c>
      <c r="BF112" s="498">
        <f t="shared" si="328"/>
        <v>0</v>
      </c>
      <c r="BG112" s="498">
        <f t="shared" si="328"/>
        <v>0</v>
      </c>
      <c r="BH112" s="498">
        <f t="shared" si="328"/>
        <v>0</v>
      </c>
      <c r="BI112" s="498">
        <f t="shared" si="328"/>
        <v>0</v>
      </c>
      <c r="BJ112" s="498">
        <f t="shared" si="328"/>
        <v>0</v>
      </c>
      <c r="BK112" s="498">
        <f t="shared" si="328"/>
        <v>6.48</v>
      </c>
      <c r="BL112" s="498">
        <f t="shared" si="328"/>
        <v>-0.02</v>
      </c>
      <c r="BM112" s="746">
        <f t="shared" si="328"/>
        <v>6.46</v>
      </c>
      <c r="BN112" s="500">
        <f t="shared" si="328"/>
        <v>22321281</v>
      </c>
      <c r="BO112" s="497">
        <f t="shared" si="328"/>
        <v>16419832</v>
      </c>
      <c r="BP112" s="497">
        <f t="shared" si="328"/>
        <v>14386640</v>
      </c>
      <c r="BQ112" s="497">
        <f t="shared" si="328"/>
        <v>2033192</v>
      </c>
      <c r="BR112" s="497">
        <f t="shared" si="328"/>
        <v>5120</v>
      </c>
      <c r="BS112" s="497">
        <f t="shared" si="328"/>
        <v>0</v>
      </c>
      <c r="BT112" s="497">
        <f t="shared" si="328"/>
        <v>5120</v>
      </c>
      <c r="BU112" s="497">
        <f t="shared" ref="BU112:CF112" si="330">SUM(BU106:BU111)</f>
        <v>5551634</v>
      </c>
      <c r="BV112" s="497">
        <f t="shared" si="330"/>
        <v>164198</v>
      </c>
      <c r="BW112" s="497">
        <f t="shared" si="330"/>
        <v>180497</v>
      </c>
      <c r="BX112" s="498">
        <f t="shared" si="330"/>
        <v>31.642699999999998</v>
      </c>
      <c r="BY112" s="498">
        <f t="shared" si="330"/>
        <v>25.495200000000001</v>
      </c>
      <c r="BZ112" s="746">
        <f t="shared" si="330"/>
        <v>6.1474999999999991</v>
      </c>
      <c r="CA112" s="902">
        <f t="shared" si="330"/>
        <v>304109</v>
      </c>
      <c r="CB112" s="897">
        <f t="shared" si="330"/>
        <v>225600</v>
      </c>
      <c r="CC112" s="897">
        <f t="shared" si="330"/>
        <v>0</v>
      </c>
      <c r="CD112" s="897">
        <f t="shared" si="330"/>
        <v>76253</v>
      </c>
      <c r="CE112" s="897">
        <f t="shared" si="330"/>
        <v>2256</v>
      </c>
      <c r="CF112" s="842">
        <f t="shared" si="330"/>
        <v>0.4</v>
      </c>
    </row>
    <row r="113" spans="1:84" ht="12.95" customHeight="1" x14ac:dyDescent="0.25">
      <c r="A113" s="282">
        <v>22</v>
      </c>
      <c r="B113" s="213">
        <v>5484</v>
      </c>
      <c r="C113" s="213">
        <v>600098532</v>
      </c>
      <c r="D113" s="283">
        <v>72743255</v>
      </c>
      <c r="E113" s="374" t="s">
        <v>492</v>
      </c>
      <c r="F113" s="213">
        <v>3111</v>
      </c>
      <c r="G113" s="375" t="s">
        <v>305</v>
      </c>
      <c r="H113" s="287" t="s">
        <v>271</v>
      </c>
      <c r="I113" s="423">
        <f>J113+P113+Q113+R113</f>
        <v>6618496</v>
      </c>
      <c r="J113" s="418">
        <f>K113+L113</f>
        <v>4893377</v>
      </c>
      <c r="K113" s="418">
        <v>4449831</v>
      </c>
      <c r="L113" s="418">
        <v>443546</v>
      </c>
      <c r="M113" s="418">
        <f t="shared" ref="M113:M114" si="331">N113+O113</f>
        <v>0</v>
      </c>
      <c r="N113" s="418">
        <v>0</v>
      </c>
      <c r="O113" s="418">
        <v>0</v>
      </c>
      <c r="P113" s="68">
        <f>ROUND((J113+M113)*33.8%,0)</f>
        <v>1653961</v>
      </c>
      <c r="Q113" s="68">
        <f>ROUND(J113*1%,0)</f>
        <v>48934</v>
      </c>
      <c r="R113" s="418">
        <v>22224</v>
      </c>
      <c r="S113" s="419">
        <f t="shared" si="205"/>
        <v>9.4932999999999996</v>
      </c>
      <c r="T113" s="419">
        <v>8</v>
      </c>
      <c r="U113" s="527">
        <v>1.4933000000000001</v>
      </c>
      <c r="V113" s="427">
        <f>AI113*-1</f>
        <v>0</v>
      </c>
      <c r="W113" s="421">
        <f>AJ113*-1</f>
        <v>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f>V113+X113+Y113+AA113+AB113+AD113</f>
        <v>0</v>
      </c>
      <c r="AG113" s="421">
        <f>W113+Z113+AC113+AE113</f>
        <v>0</v>
      </c>
      <c r="AH113" s="421">
        <f>SUM(AF113:AG113)</f>
        <v>0</v>
      </c>
      <c r="AI113" s="421">
        <v>0</v>
      </c>
      <c r="AJ113" s="421">
        <v>0</v>
      </c>
      <c r="AK113" s="421">
        <v>0</v>
      </c>
      <c r="AL113" s="421">
        <v>0</v>
      </c>
      <c r="AM113" s="421">
        <v>0</v>
      </c>
      <c r="AN113" s="421">
        <v>0</v>
      </c>
      <c r="AO113" s="421">
        <f t="shared" ref="AO113:AO114" si="332">AI113+AK113+AL113+AM113</f>
        <v>0</v>
      </c>
      <c r="AP113" s="421">
        <f>AJ113+AN113</f>
        <v>0</v>
      </c>
      <c r="AQ113" s="421">
        <f>SUM(AO113:AP113)</f>
        <v>0</v>
      </c>
      <c r="AR113" s="421">
        <f>AF113+AO113</f>
        <v>0</v>
      </c>
      <c r="AS113" s="421">
        <f>AG113+AP113</f>
        <v>0</v>
      </c>
      <c r="AT113" s="421">
        <f>SUM(AR113:AS113)</f>
        <v>0</v>
      </c>
      <c r="AU113" s="68">
        <f t="shared" ref="AU113:AU114" si="333">ROUND((AH113+AI113+AJ113+AK113+AL113)*33.8%,0)</f>
        <v>0</v>
      </c>
      <c r="AV113" s="68">
        <f>ROUND(AH113*1%,0)</f>
        <v>0</v>
      </c>
      <c r="AW113" s="421">
        <v>0</v>
      </c>
      <c r="AX113" s="421">
        <v>0</v>
      </c>
      <c r="AY113" s="421">
        <f>AW113+AX113</f>
        <v>0</v>
      </c>
      <c r="AZ113" s="421">
        <f>AT113+AU113+AV113+AY113</f>
        <v>0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0</v>
      </c>
      <c r="BG113" s="422">
        <v>0</v>
      </c>
      <c r="BH113" s="422">
        <v>0</v>
      </c>
      <c r="BI113" s="422">
        <v>0</v>
      </c>
      <c r="BJ113" s="422">
        <v>0</v>
      </c>
      <c r="BK113" s="422">
        <f>BA113+BC113+BD113+BF113+BH113+BI113</f>
        <v>0</v>
      </c>
      <c r="BL113" s="422">
        <f>BB113+BE113+BG113+BJ113</f>
        <v>0</v>
      </c>
      <c r="BM113" s="611">
        <f>SUM(BK113:BL113)</f>
        <v>0</v>
      </c>
      <c r="BN113" s="428">
        <f>I113+AZ113</f>
        <v>6618496</v>
      </c>
      <c r="BO113" s="421">
        <f>J113+AH113</f>
        <v>4893377</v>
      </c>
      <c r="BP113" s="421">
        <f>K113+AF113</f>
        <v>4449831</v>
      </c>
      <c r="BQ113" s="421">
        <f>L113+AG113</f>
        <v>443546</v>
      </c>
      <c r="BR113" s="421">
        <f>M113+AQ113</f>
        <v>0</v>
      </c>
      <c r="BS113" s="421">
        <f>N113+AO113</f>
        <v>0</v>
      </c>
      <c r="BT113" s="421">
        <f>O113+AP113</f>
        <v>0</v>
      </c>
      <c r="BU113" s="421">
        <f>P113+AU113</f>
        <v>1653961</v>
      </c>
      <c r="BV113" s="421">
        <f>Q113+AV113</f>
        <v>48934</v>
      </c>
      <c r="BW113" s="421">
        <f>R113+AY113</f>
        <v>22224</v>
      </c>
      <c r="BX113" s="422">
        <f>S113+BM113</f>
        <v>9.4932999999999996</v>
      </c>
      <c r="BY113" s="422">
        <f>T113+BK113</f>
        <v>8</v>
      </c>
      <c r="BZ113" s="611">
        <f>U113+BL113</f>
        <v>1.4933000000000001</v>
      </c>
      <c r="CA113" s="423"/>
      <c r="CB113" s="418"/>
      <c r="CC113" s="418"/>
      <c r="CD113" s="418"/>
      <c r="CE113" s="418"/>
      <c r="CF113" s="527"/>
    </row>
    <row r="114" spans="1:84" ht="12.95" customHeight="1" x14ac:dyDescent="0.25">
      <c r="A114" s="282">
        <v>22</v>
      </c>
      <c r="B114" s="213">
        <v>5484</v>
      </c>
      <c r="C114" s="213">
        <v>600098532</v>
      </c>
      <c r="D114" s="283">
        <v>72743255</v>
      </c>
      <c r="E114" s="374" t="s">
        <v>492</v>
      </c>
      <c r="F114" s="213">
        <v>3141</v>
      </c>
      <c r="G114" s="375" t="s">
        <v>295</v>
      </c>
      <c r="H114" s="287" t="s">
        <v>272</v>
      </c>
      <c r="I114" s="423">
        <f>J114+P114+Q114+R114</f>
        <v>885349</v>
      </c>
      <c r="J114" s="418">
        <f>K114+L114</f>
        <v>653621</v>
      </c>
      <c r="K114" s="418">
        <v>0</v>
      </c>
      <c r="L114" s="418">
        <v>653621</v>
      </c>
      <c r="M114" s="418">
        <f t="shared" si="331"/>
        <v>0</v>
      </c>
      <c r="N114" s="418">
        <v>0</v>
      </c>
      <c r="O114" s="418">
        <v>0</v>
      </c>
      <c r="P114" s="68">
        <f>ROUND((J114+M114)*33.8%,0)</f>
        <v>220924</v>
      </c>
      <c r="Q114" s="68">
        <f>ROUND(J114*1%,0)</f>
        <v>6536</v>
      </c>
      <c r="R114" s="418">
        <v>4268</v>
      </c>
      <c r="S114" s="419">
        <f t="shared" si="205"/>
        <v>1.96</v>
      </c>
      <c r="T114" s="419">
        <v>0</v>
      </c>
      <c r="U114" s="527">
        <v>1.96</v>
      </c>
      <c r="V114" s="427">
        <f>AI114*-1</f>
        <v>0</v>
      </c>
      <c r="W114" s="421">
        <f>AJ114*-1</f>
        <v>0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1">
        <v>0</v>
      </c>
      <c r="AE114" s="421">
        <v>0</v>
      </c>
      <c r="AF114" s="421">
        <f>V114+X114+Y114+AA114+AB114+AD114</f>
        <v>0</v>
      </c>
      <c r="AG114" s="421">
        <f>W114+Z114+AC114+AE114</f>
        <v>0</v>
      </c>
      <c r="AH114" s="421">
        <f>SUM(AF114:AG114)</f>
        <v>0</v>
      </c>
      <c r="AI114" s="421">
        <v>0</v>
      </c>
      <c r="AJ114" s="421">
        <v>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si="332"/>
        <v>0</v>
      </c>
      <c r="AP114" s="421">
        <f>AJ114+AN114</f>
        <v>0</v>
      </c>
      <c r="AQ114" s="421">
        <f>SUM(AO114:AP114)</f>
        <v>0</v>
      </c>
      <c r="AR114" s="421">
        <f>AF114+AO114</f>
        <v>0</v>
      </c>
      <c r="AS114" s="421">
        <f>AG114+AP114</f>
        <v>0</v>
      </c>
      <c r="AT114" s="421">
        <f>SUM(AR114:AS114)</f>
        <v>0</v>
      </c>
      <c r="AU114" s="68">
        <f t="shared" si="333"/>
        <v>0</v>
      </c>
      <c r="AV114" s="68">
        <f>ROUND(AH114*1%,0)</f>
        <v>0</v>
      </c>
      <c r="AW114" s="421">
        <v>0</v>
      </c>
      <c r="AX114" s="421">
        <v>0</v>
      </c>
      <c r="AY114" s="421">
        <f>AW114+AX114</f>
        <v>0</v>
      </c>
      <c r="AZ114" s="421">
        <f>AT114+AU114+AV114+AY114</f>
        <v>0</v>
      </c>
      <c r="BA114" s="422">
        <v>0</v>
      </c>
      <c r="BB114" s="422">
        <v>0</v>
      </c>
      <c r="BC114" s="422">
        <v>0</v>
      </c>
      <c r="BD114" s="422">
        <v>0</v>
      </c>
      <c r="BE114" s="422">
        <v>0</v>
      </c>
      <c r="BF114" s="422">
        <v>0</v>
      </c>
      <c r="BG114" s="422">
        <v>0</v>
      </c>
      <c r="BH114" s="422">
        <v>0</v>
      </c>
      <c r="BI114" s="422">
        <v>0</v>
      </c>
      <c r="BJ114" s="422">
        <v>0</v>
      </c>
      <c r="BK114" s="422">
        <f>BA114+BC114+BD114+BF114+BH114+BI114</f>
        <v>0</v>
      </c>
      <c r="BL114" s="422">
        <f>BB114+BE114+BG114+BJ114</f>
        <v>0</v>
      </c>
      <c r="BM114" s="611">
        <f>SUM(BK114:BL114)</f>
        <v>0</v>
      </c>
      <c r="BN114" s="428">
        <f>I114+AZ114</f>
        <v>885349</v>
      </c>
      <c r="BO114" s="421">
        <f>J114+AH114</f>
        <v>653621</v>
      </c>
      <c r="BP114" s="421">
        <f>K114+AF114</f>
        <v>0</v>
      </c>
      <c r="BQ114" s="421">
        <f>L114+AG114</f>
        <v>653621</v>
      </c>
      <c r="BR114" s="421">
        <f>M114+AQ114</f>
        <v>0</v>
      </c>
      <c r="BS114" s="421">
        <f>N114+AO114</f>
        <v>0</v>
      </c>
      <c r="BT114" s="421">
        <f>O114+AP114</f>
        <v>0</v>
      </c>
      <c r="BU114" s="421">
        <f>P114+AU114</f>
        <v>220924</v>
      </c>
      <c r="BV114" s="421">
        <f>Q114+AV114</f>
        <v>6536</v>
      </c>
      <c r="BW114" s="421">
        <f>R114+AY114</f>
        <v>4268</v>
      </c>
      <c r="BX114" s="422">
        <f>S114+BM114</f>
        <v>1.96</v>
      </c>
      <c r="BY114" s="422">
        <f>T114+BK114</f>
        <v>0</v>
      </c>
      <c r="BZ114" s="611">
        <f>U114+BL114</f>
        <v>1.96</v>
      </c>
      <c r="CA114" s="875"/>
      <c r="CB114" s="872"/>
      <c r="CC114" s="872"/>
      <c r="CD114" s="872"/>
      <c r="CE114" s="872"/>
      <c r="CF114" s="876"/>
    </row>
    <row r="115" spans="1:84" ht="12.95" customHeight="1" x14ac:dyDescent="0.25">
      <c r="A115" s="214">
        <v>22</v>
      </c>
      <c r="B115" s="45">
        <v>5484</v>
      </c>
      <c r="C115" s="45">
        <v>600098532</v>
      </c>
      <c r="D115" s="45">
        <v>72743255</v>
      </c>
      <c r="E115" s="376" t="s">
        <v>493</v>
      </c>
      <c r="F115" s="45"/>
      <c r="G115" s="376"/>
      <c r="H115" s="183"/>
      <c r="I115" s="472">
        <f t="shared" ref="I115:BU115" si="334">SUM(I113:I114)</f>
        <v>7503845</v>
      </c>
      <c r="J115" s="468">
        <f t="shared" si="334"/>
        <v>5546998</v>
      </c>
      <c r="K115" s="468">
        <f t="shared" si="334"/>
        <v>4449831</v>
      </c>
      <c r="L115" s="468">
        <f t="shared" si="334"/>
        <v>1097167</v>
      </c>
      <c r="M115" s="468">
        <f t="shared" si="334"/>
        <v>0</v>
      </c>
      <c r="N115" s="468">
        <f t="shared" si="334"/>
        <v>0</v>
      </c>
      <c r="O115" s="468">
        <f t="shared" si="334"/>
        <v>0</v>
      </c>
      <c r="P115" s="468">
        <f t="shared" si="334"/>
        <v>1874885</v>
      </c>
      <c r="Q115" s="468">
        <f t="shared" si="334"/>
        <v>55470</v>
      </c>
      <c r="R115" s="468">
        <f t="shared" si="334"/>
        <v>26492</v>
      </c>
      <c r="S115" s="469">
        <f t="shared" si="334"/>
        <v>11.453299999999999</v>
      </c>
      <c r="T115" s="469">
        <f t="shared" si="334"/>
        <v>8</v>
      </c>
      <c r="U115" s="281">
        <f t="shared" si="334"/>
        <v>3.4533</v>
      </c>
      <c r="V115" s="474">
        <f t="shared" si="334"/>
        <v>0</v>
      </c>
      <c r="W115" s="468">
        <f t="shared" si="334"/>
        <v>0</v>
      </c>
      <c r="X115" s="468">
        <f t="shared" si="334"/>
        <v>0</v>
      </c>
      <c r="Y115" s="468">
        <f t="shared" si="334"/>
        <v>0</v>
      </c>
      <c r="Z115" s="468">
        <f t="shared" si="334"/>
        <v>0</v>
      </c>
      <c r="AA115" s="468">
        <f t="shared" si="334"/>
        <v>0</v>
      </c>
      <c r="AB115" s="468">
        <f t="shared" si="334"/>
        <v>0</v>
      </c>
      <c r="AC115" s="468">
        <f t="shared" si="334"/>
        <v>0</v>
      </c>
      <c r="AD115" s="468">
        <f t="shared" si="334"/>
        <v>0</v>
      </c>
      <c r="AE115" s="468">
        <f t="shared" si="334"/>
        <v>0</v>
      </c>
      <c r="AF115" s="468">
        <f t="shared" si="334"/>
        <v>0</v>
      </c>
      <c r="AG115" s="468">
        <f t="shared" si="334"/>
        <v>0</v>
      </c>
      <c r="AH115" s="468">
        <f t="shared" si="334"/>
        <v>0</v>
      </c>
      <c r="AI115" s="468">
        <f t="shared" si="334"/>
        <v>0</v>
      </c>
      <c r="AJ115" s="468">
        <f t="shared" si="334"/>
        <v>0</v>
      </c>
      <c r="AK115" s="468">
        <f t="shared" ref="AK115" si="335">SUM(AK113:AK114)</f>
        <v>0</v>
      </c>
      <c r="AL115" s="468">
        <f t="shared" si="334"/>
        <v>0</v>
      </c>
      <c r="AM115" s="468">
        <f t="shared" si="334"/>
        <v>0</v>
      </c>
      <c r="AN115" s="468">
        <f t="shared" si="334"/>
        <v>0</v>
      </c>
      <c r="AO115" s="468">
        <f t="shared" si="334"/>
        <v>0</v>
      </c>
      <c r="AP115" s="468">
        <f t="shared" si="334"/>
        <v>0</v>
      </c>
      <c r="AQ115" s="468">
        <f t="shared" si="334"/>
        <v>0</v>
      </c>
      <c r="AR115" s="468">
        <f t="shared" si="334"/>
        <v>0</v>
      </c>
      <c r="AS115" s="468">
        <f t="shared" si="334"/>
        <v>0</v>
      </c>
      <c r="AT115" s="468">
        <f t="shared" si="334"/>
        <v>0</v>
      </c>
      <c r="AU115" s="468">
        <f t="shared" si="334"/>
        <v>0</v>
      </c>
      <c r="AV115" s="468">
        <f t="shared" si="334"/>
        <v>0</v>
      </c>
      <c r="AW115" s="468">
        <f t="shared" si="334"/>
        <v>0</v>
      </c>
      <c r="AX115" s="468">
        <f t="shared" si="334"/>
        <v>0</v>
      </c>
      <c r="AY115" s="468">
        <f t="shared" si="334"/>
        <v>0</v>
      </c>
      <c r="AZ115" s="468">
        <f t="shared" si="334"/>
        <v>0</v>
      </c>
      <c r="BA115" s="469">
        <f t="shared" si="334"/>
        <v>0</v>
      </c>
      <c r="BB115" s="469">
        <f t="shared" si="334"/>
        <v>0</v>
      </c>
      <c r="BC115" s="469">
        <f t="shared" si="334"/>
        <v>0</v>
      </c>
      <c r="BD115" s="469">
        <f t="shared" si="334"/>
        <v>0</v>
      </c>
      <c r="BE115" s="469">
        <f t="shared" si="334"/>
        <v>0</v>
      </c>
      <c r="BF115" s="469">
        <f t="shared" si="334"/>
        <v>0</v>
      </c>
      <c r="BG115" s="469">
        <f t="shared" si="334"/>
        <v>0</v>
      </c>
      <c r="BH115" s="469">
        <f t="shared" si="334"/>
        <v>0</v>
      </c>
      <c r="BI115" s="469">
        <f t="shared" si="334"/>
        <v>0</v>
      </c>
      <c r="BJ115" s="469">
        <f t="shared" si="334"/>
        <v>0</v>
      </c>
      <c r="BK115" s="469">
        <f t="shared" si="334"/>
        <v>0</v>
      </c>
      <c r="BL115" s="469">
        <f t="shared" si="334"/>
        <v>0</v>
      </c>
      <c r="BM115" s="562">
        <f t="shared" si="334"/>
        <v>0</v>
      </c>
      <c r="BN115" s="472">
        <f t="shared" si="334"/>
        <v>7503845</v>
      </c>
      <c r="BO115" s="468">
        <f t="shared" si="334"/>
        <v>5546998</v>
      </c>
      <c r="BP115" s="468">
        <f t="shared" si="334"/>
        <v>4449831</v>
      </c>
      <c r="BQ115" s="468">
        <f t="shared" si="334"/>
        <v>1097167</v>
      </c>
      <c r="BR115" s="468">
        <f t="shared" si="334"/>
        <v>0</v>
      </c>
      <c r="BS115" s="468">
        <f t="shared" si="334"/>
        <v>0</v>
      </c>
      <c r="BT115" s="468">
        <f t="shared" si="334"/>
        <v>0</v>
      </c>
      <c r="BU115" s="468">
        <f t="shared" si="334"/>
        <v>1874885</v>
      </c>
      <c r="BV115" s="468">
        <f t="shared" ref="BV115:CF115" si="336">SUM(BV113:BV114)</f>
        <v>55470</v>
      </c>
      <c r="BW115" s="468">
        <f t="shared" si="336"/>
        <v>26492</v>
      </c>
      <c r="BX115" s="469">
        <f t="shared" si="336"/>
        <v>11.453299999999999</v>
      </c>
      <c r="BY115" s="469">
        <f t="shared" si="336"/>
        <v>8</v>
      </c>
      <c r="BZ115" s="562">
        <f t="shared" si="336"/>
        <v>3.4533</v>
      </c>
      <c r="CA115" s="873">
        <f t="shared" si="336"/>
        <v>0</v>
      </c>
      <c r="CB115" s="850">
        <f t="shared" si="336"/>
        <v>0</v>
      </c>
      <c r="CC115" s="850">
        <f t="shared" si="336"/>
        <v>0</v>
      </c>
      <c r="CD115" s="850">
        <f t="shared" si="336"/>
        <v>0</v>
      </c>
      <c r="CE115" s="850">
        <f t="shared" si="336"/>
        <v>0</v>
      </c>
      <c r="CF115" s="841">
        <f t="shared" si="336"/>
        <v>0</v>
      </c>
    </row>
    <row r="116" spans="1:84" ht="12.95" customHeight="1" x14ac:dyDescent="0.25">
      <c r="A116" s="282">
        <v>23</v>
      </c>
      <c r="B116" s="213">
        <v>5485</v>
      </c>
      <c r="C116" s="213">
        <v>600099300</v>
      </c>
      <c r="D116" s="283">
        <v>72743174</v>
      </c>
      <c r="E116" s="374" t="s">
        <v>494</v>
      </c>
      <c r="F116" s="213">
        <v>3117</v>
      </c>
      <c r="G116" s="374" t="s">
        <v>309</v>
      </c>
      <c r="H116" s="287" t="s">
        <v>271</v>
      </c>
      <c r="I116" s="423">
        <f>J116+P116+Q116+R116</f>
        <v>5721090</v>
      </c>
      <c r="J116" s="418">
        <f>K116+L116</f>
        <v>4175518</v>
      </c>
      <c r="K116" s="418">
        <v>3745662</v>
      </c>
      <c r="L116" s="418">
        <v>429856</v>
      </c>
      <c r="M116" s="418">
        <f t="shared" ref="M116:M120" si="337">N116+O116</f>
        <v>0</v>
      </c>
      <c r="N116" s="418">
        <v>0</v>
      </c>
      <c r="O116" s="418">
        <v>0</v>
      </c>
      <c r="P116" s="68">
        <f>ROUND((J116+M116)*33.8%,0)</f>
        <v>1411325</v>
      </c>
      <c r="Q116" s="68">
        <f>ROUND(J116*1%,0)</f>
        <v>41755</v>
      </c>
      <c r="R116" s="418">
        <v>92492</v>
      </c>
      <c r="S116" s="419">
        <f t="shared" si="205"/>
        <v>7.1941000000000006</v>
      </c>
      <c r="T116" s="419">
        <v>6.0273000000000003</v>
      </c>
      <c r="U116" s="527">
        <v>1.1668000000000001</v>
      </c>
      <c r="V116" s="427">
        <f t="shared" ref="V116:W120" si="338">AI116*-1</f>
        <v>0</v>
      </c>
      <c r="W116" s="421">
        <f t="shared" si="338"/>
        <v>0</v>
      </c>
      <c r="X116" s="421">
        <v>0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>V116+X116+Y116+AA116+AB116+AD116</f>
        <v>0</v>
      </c>
      <c r="AG116" s="421">
        <f>W116+Z116+AC116+AE116</f>
        <v>0</v>
      </c>
      <c r="AH116" s="421">
        <f>SUM(AF116:AG116)</f>
        <v>0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ref="AO116:AO120" si="339">AI116+AK116+AL116+AM116</f>
        <v>0</v>
      </c>
      <c r="AP116" s="421">
        <f>AJ116+AN116</f>
        <v>0</v>
      </c>
      <c r="AQ116" s="421">
        <f>SUM(AO116:AP116)</f>
        <v>0</v>
      </c>
      <c r="AR116" s="421">
        <f t="shared" ref="AR116:AS120" si="340">AF116+AO116</f>
        <v>0</v>
      </c>
      <c r="AS116" s="421">
        <f t="shared" si="340"/>
        <v>0</v>
      </c>
      <c r="AT116" s="421">
        <f>SUM(AR116:AS116)</f>
        <v>0</v>
      </c>
      <c r="AU116" s="68">
        <f t="shared" ref="AU116:AU120" si="341">ROUND((AH116+AI116+AJ116+AK116+AL116)*33.8%,0)</f>
        <v>0</v>
      </c>
      <c r="AV116" s="68">
        <f>ROUND(AH116*1%,0)</f>
        <v>0</v>
      </c>
      <c r="AW116" s="421">
        <v>0</v>
      </c>
      <c r="AX116" s="421">
        <v>0</v>
      </c>
      <c r="AY116" s="421">
        <f>AW116+AX116</f>
        <v>0</v>
      </c>
      <c r="AZ116" s="421">
        <f>AT116+AU116+AV116+AY116</f>
        <v>0</v>
      </c>
      <c r="BA116" s="422">
        <v>0</v>
      </c>
      <c r="BB116" s="422">
        <v>0</v>
      </c>
      <c r="BC116" s="422">
        <v>0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>BA116+BC116+BD116+BF116+BH116+BI116</f>
        <v>0</v>
      </c>
      <c r="BL116" s="422">
        <f>BB116+BE116+BG116+BJ116</f>
        <v>0</v>
      </c>
      <c r="BM116" s="611">
        <f>SUM(BK116:BL116)</f>
        <v>0</v>
      </c>
      <c r="BN116" s="428">
        <f>I116+AZ116</f>
        <v>5721090</v>
      </c>
      <c r="BO116" s="421">
        <f>J116+AH116</f>
        <v>4175518</v>
      </c>
      <c r="BP116" s="421">
        <f t="shared" ref="BP116:BQ120" si="342">K116+AF116</f>
        <v>3745662</v>
      </c>
      <c r="BQ116" s="421">
        <f t="shared" si="342"/>
        <v>429856</v>
      </c>
      <c r="BR116" s="421">
        <f>M116+AQ116</f>
        <v>0</v>
      </c>
      <c r="BS116" s="421">
        <f t="shared" ref="BS116:BT120" si="343">N116+AO116</f>
        <v>0</v>
      </c>
      <c r="BT116" s="421">
        <f t="shared" si="343"/>
        <v>0</v>
      </c>
      <c r="BU116" s="421">
        <f t="shared" ref="BU116:BV120" si="344">P116+AU116</f>
        <v>1411325</v>
      </c>
      <c r="BV116" s="421">
        <f t="shared" si="344"/>
        <v>41755</v>
      </c>
      <c r="BW116" s="421">
        <f>R116+AY116</f>
        <v>92492</v>
      </c>
      <c r="BX116" s="422">
        <f>S116+BM116</f>
        <v>7.1941000000000006</v>
      </c>
      <c r="BY116" s="422">
        <f t="shared" ref="BY116:BZ120" si="345">T116+BK116</f>
        <v>6.0273000000000003</v>
      </c>
      <c r="BZ116" s="611">
        <f t="shared" si="345"/>
        <v>1.1668000000000001</v>
      </c>
      <c r="CA116" s="875"/>
      <c r="CB116" s="872"/>
      <c r="CC116" s="872"/>
      <c r="CD116" s="872"/>
      <c r="CE116" s="872"/>
      <c r="CF116" s="876"/>
    </row>
    <row r="117" spans="1:84" ht="12.95" customHeight="1" x14ac:dyDescent="0.25">
      <c r="A117" s="282">
        <v>23</v>
      </c>
      <c r="B117" s="213">
        <v>5485</v>
      </c>
      <c r="C117" s="213">
        <v>600099300</v>
      </c>
      <c r="D117" s="283">
        <v>72743174</v>
      </c>
      <c r="E117" s="373" t="s">
        <v>494</v>
      </c>
      <c r="F117" s="213">
        <v>3117</v>
      </c>
      <c r="G117" s="325" t="s">
        <v>292</v>
      </c>
      <c r="H117" s="287" t="s">
        <v>272</v>
      </c>
      <c r="I117" s="423">
        <f>J117+P117+Q117+R117</f>
        <v>0</v>
      </c>
      <c r="J117" s="418">
        <f>K117+L117</f>
        <v>0</v>
      </c>
      <c r="K117" s="418">
        <v>0</v>
      </c>
      <c r="L117" s="418">
        <v>0</v>
      </c>
      <c r="M117" s="418">
        <f t="shared" si="337"/>
        <v>0</v>
      </c>
      <c r="N117" s="418">
        <v>0</v>
      </c>
      <c r="O117" s="418">
        <v>0</v>
      </c>
      <c r="P117" s="68">
        <f t="shared" ref="P117" si="346">ROUND((J117+M117)*33.8%,0)</f>
        <v>0</v>
      </c>
      <c r="Q117" s="68">
        <f t="shared" ref="Q117" si="347">ROUND(J117*1%,0)</f>
        <v>0</v>
      </c>
      <c r="R117" s="418">
        <v>0</v>
      </c>
      <c r="S117" s="419">
        <f t="shared" si="205"/>
        <v>0</v>
      </c>
      <c r="T117" s="419">
        <v>0</v>
      </c>
      <c r="U117" s="527">
        <v>0</v>
      </c>
      <c r="V117" s="427">
        <f t="shared" si="338"/>
        <v>0</v>
      </c>
      <c r="W117" s="421">
        <f t="shared" si="338"/>
        <v>0</v>
      </c>
      <c r="X117" s="421">
        <f>521334+22694</f>
        <v>544028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>V117+X117+Y117+AA117+AB117+AD117</f>
        <v>544028</v>
      </c>
      <c r="AG117" s="421">
        <f>W117+Z117+AC117+AE117</f>
        <v>0</v>
      </c>
      <c r="AH117" s="421">
        <f>SUM(AF117:AG117)</f>
        <v>544028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339"/>
        <v>0</v>
      </c>
      <c r="AP117" s="421">
        <f>AJ117+AN117</f>
        <v>0</v>
      </c>
      <c r="AQ117" s="421">
        <f>SUM(AO117:AP117)</f>
        <v>0</v>
      </c>
      <c r="AR117" s="421">
        <f t="shared" si="340"/>
        <v>544028</v>
      </c>
      <c r="AS117" s="421">
        <f t="shared" si="340"/>
        <v>0</v>
      </c>
      <c r="AT117" s="421">
        <f>SUM(AR117:AS117)</f>
        <v>544028</v>
      </c>
      <c r="AU117" s="68">
        <f t="shared" si="341"/>
        <v>183881</v>
      </c>
      <c r="AV117" s="68">
        <f>ROUND(AH117*1%,0)</f>
        <v>5440</v>
      </c>
      <c r="AW117" s="421">
        <v>0</v>
      </c>
      <c r="AX117" s="421">
        <v>0</v>
      </c>
      <c r="AY117" s="421">
        <f>AW117+AX117</f>
        <v>0</v>
      </c>
      <c r="AZ117" s="421">
        <f>AT117+AU117+AV117+AY117</f>
        <v>733349</v>
      </c>
      <c r="BA117" s="422">
        <v>0</v>
      </c>
      <c r="BB117" s="422">
        <v>0</v>
      </c>
      <c r="BC117" s="422">
        <f>1.33+0.05</f>
        <v>1.3800000000000001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>BA117+BC117+BD117+BF117+BH117+BI117</f>
        <v>1.3800000000000001</v>
      </c>
      <c r="BL117" s="422">
        <f>BB117+BE117+BG117+BJ117</f>
        <v>0</v>
      </c>
      <c r="BM117" s="611">
        <f>SUM(BK117:BL117)</f>
        <v>1.3800000000000001</v>
      </c>
      <c r="BN117" s="428">
        <f>I117+AZ117</f>
        <v>733349</v>
      </c>
      <c r="BO117" s="421">
        <f>J117+AH117</f>
        <v>544028</v>
      </c>
      <c r="BP117" s="421">
        <f t="shared" si="342"/>
        <v>544028</v>
      </c>
      <c r="BQ117" s="421">
        <f t="shared" si="342"/>
        <v>0</v>
      </c>
      <c r="BR117" s="421">
        <f>M117+AQ117</f>
        <v>0</v>
      </c>
      <c r="BS117" s="421">
        <f t="shared" si="343"/>
        <v>0</v>
      </c>
      <c r="BT117" s="421">
        <f t="shared" si="343"/>
        <v>0</v>
      </c>
      <c r="BU117" s="421">
        <f t="shared" si="344"/>
        <v>183881</v>
      </c>
      <c r="BV117" s="421">
        <f t="shared" si="344"/>
        <v>5440</v>
      </c>
      <c r="BW117" s="421">
        <f>R117+AY117</f>
        <v>0</v>
      </c>
      <c r="BX117" s="422">
        <f>S117+BM117</f>
        <v>1.3800000000000001</v>
      </c>
      <c r="BY117" s="422">
        <f t="shared" si="345"/>
        <v>1.3800000000000001</v>
      </c>
      <c r="BZ117" s="611">
        <f t="shared" si="345"/>
        <v>0</v>
      </c>
      <c r="CA117" s="875"/>
      <c r="CB117" s="872"/>
      <c r="CC117" s="872"/>
      <c r="CD117" s="872"/>
      <c r="CE117" s="872"/>
      <c r="CF117" s="876"/>
    </row>
    <row r="118" spans="1:84" ht="12.95" customHeight="1" x14ac:dyDescent="0.25">
      <c r="A118" s="282">
        <v>23</v>
      </c>
      <c r="B118" s="213">
        <v>5485</v>
      </c>
      <c r="C118" s="213">
        <v>600099300</v>
      </c>
      <c r="D118" s="283">
        <v>72743174</v>
      </c>
      <c r="E118" s="374" t="s">
        <v>494</v>
      </c>
      <c r="F118" s="213">
        <v>3141</v>
      </c>
      <c r="G118" s="375" t="s">
        <v>295</v>
      </c>
      <c r="H118" s="287" t="s">
        <v>272</v>
      </c>
      <c r="I118" s="423">
        <f>J118+P118+Q118+R118</f>
        <v>193563</v>
      </c>
      <c r="J118" s="418">
        <f>K118+L118</f>
        <v>142296</v>
      </c>
      <c r="K118" s="418">
        <v>0</v>
      </c>
      <c r="L118" s="418">
        <v>142296</v>
      </c>
      <c r="M118" s="418">
        <f t="shared" si="337"/>
        <v>0</v>
      </c>
      <c r="N118" s="418">
        <v>0</v>
      </c>
      <c r="O118" s="418">
        <v>0</v>
      </c>
      <c r="P118" s="68">
        <f>ROUND((J118+M118)*33.8%,0)</f>
        <v>48096</v>
      </c>
      <c r="Q118" s="68">
        <f>ROUND(J118*1%,0)</f>
        <v>1423</v>
      </c>
      <c r="R118" s="418">
        <v>1748</v>
      </c>
      <c r="S118" s="419">
        <f t="shared" si="205"/>
        <v>0.42670000000000002</v>
      </c>
      <c r="T118" s="419">
        <v>0</v>
      </c>
      <c r="U118" s="527">
        <v>0.42670000000000002</v>
      </c>
      <c r="V118" s="427">
        <f t="shared" si="338"/>
        <v>0</v>
      </c>
      <c r="W118" s="421">
        <f t="shared" si="338"/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f>V118+X118+Y118+AA118+AB118+AD118</f>
        <v>0</v>
      </c>
      <c r="AG118" s="421">
        <f>W118+Z118+AC118+AE118</f>
        <v>0</v>
      </c>
      <c r="AH118" s="421">
        <f>SUM(AF118:AG118)</f>
        <v>0</v>
      </c>
      <c r="AI118" s="421">
        <v>0</v>
      </c>
      <c r="AJ118" s="421">
        <v>0</v>
      </c>
      <c r="AK118" s="421">
        <v>0</v>
      </c>
      <c r="AL118" s="421">
        <v>0</v>
      </c>
      <c r="AM118" s="421">
        <v>0</v>
      </c>
      <c r="AN118" s="421">
        <v>0</v>
      </c>
      <c r="AO118" s="421">
        <f t="shared" si="339"/>
        <v>0</v>
      </c>
      <c r="AP118" s="421">
        <f>AJ118+AN118</f>
        <v>0</v>
      </c>
      <c r="AQ118" s="421">
        <f>SUM(AO118:AP118)</f>
        <v>0</v>
      </c>
      <c r="AR118" s="421">
        <f t="shared" si="340"/>
        <v>0</v>
      </c>
      <c r="AS118" s="421">
        <f t="shared" si="340"/>
        <v>0</v>
      </c>
      <c r="AT118" s="421">
        <f>SUM(AR118:AS118)</f>
        <v>0</v>
      </c>
      <c r="AU118" s="68">
        <f t="shared" si="341"/>
        <v>0</v>
      </c>
      <c r="AV118" s="68">
        <f>ROUND(AH118*1%,0)</f>
        <v>0</v>
      </c>
      <c r="AW118" s="421">
        <v>0</v>
      </c>
      <c r="AX118" s="421">
        <v>0</v>
      </c>
      <c r="AY118" s="421">
        <f>AW118+AX118</f>
        <v>0</v>
      </c>
      <c r="AZ118" s="421">
        <f>AT118+AU118+AV118+AY118</f>
        <v>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>BA118+BC118+BD118+BF118+BH118+BI118</f>
        <v>0</v>
      </c>
      <c r="BL118" s="422">
        <f>BB118+BE118+BG118+BJ118</f>
        <v>0</v>
      </c>
      <c r="BM118" s="611">
        <f>SUM(BK118:BL118)</f>
        <v>0</v>
      </c>
      <c r="BN118" s="428">
        <f>I118+AZ118</f>
        <v>193563</v>
      </c>
      <c r="BO118" s="421">
        <f>J118+AH118</f>
        <v>142296</v>
      </c>
      <c r="BP118" s="421">
        <f t="shared" si="342"/>
        <v>0</v>
      </c>
      <c r="BQ118" s="421">
        <f t="shared" si="342"/>
        <v>142296</v>
      </c>
      <c r="BR118" s="421">
        <f>M118+AQ118</f>
        <v>0</v>
      </c>
      <c r="BS118" s="421">
        <f t="shared" si="343"/>
        <v>0</v>
      </c>
      <c r="BT118" s="421">
        <f t="shared" si="343"/>
        <v>0</v>
      </c>
      <c r="BU118" s="421">
        <f t="shared" si="344"/>
        <v>48096</v>
      </c>
      <c r="BV118" s="421">
        <f t="shared" si="344"/>
        <v>1423</v>
      </c>
      <c r="BW118" s="421">
        <f>R118+AY118</f>
        <v>1748</v>
      </c>
      <c r="BX118" s="422">
        <f>S118+BM118</f>
        <v>0.42670000000000002</v>
      </c>
      <c r="BY118" s="422">
        <f t="shared" si="345"/>
        <v>0</v>
      </c>
      <c r="BZ118" s="611">
        <f t="shared" si="345"/>
        <v>0.42670000000000002</v>
      </c>
      <c r="CA118" s="875"/>
      <c r="CB118" s="872"/>
      <c r="CC118" s="872"/>
      <c r="CD118" s="872"/>
      <c r="CE118" s="872"/>
      <c r="CF118" s="876"/>
    </row>
    <row r="119" spans="1:84" ht="12.95" customHeight="1" x14ac:dyDescent="0.25">
      <c r="A119" s="282">
        <v>23</v>
      </c>
      <c r="B119" s="213">
        <v>5485</v>
      </c>
      <c r="C119" s="213">
        <v>600099300</v>
      </c>
      <c r="D119" s="283">
        <v>72743174</v>
      </c>
      <c r="E119" s="373" t="s">
        <v>494</v>
      </c>
      <c r="F119" s="384">
        <v>3143</v>
      </c>
      <c r="G119" s="325" t="s">
        <v>596</v>
      </c>
      <c r="H119" s="287" t="s">
        <v>271</v>
      </c>
      <c r="I119" s="423">
        <f>J119+P119+Q119+R119</f>
        <v>933644</v>
      </c>
      <c r="J119" s="418">
        <f>K119+L119</f>
        <v>692614</v>
      </c>
      <c r="K119" s="418">
        <v>692614</v>
      </c>
      <c r="L119" s="418">
        <v>0</v>
      </c>
      <c r="M119" s="418">
        <f t="shared" si="337"/>
        <v>0</v>
      </c>
      <c r="N119" s="418">
        <v>0</v>
      </c>
      <c r="O119" s="418">
        <v>0</v>
      </c>
      <c r="P119" s="68">
        <f>ROUND((J119+M119)*33.8%,0)</f>
        <v>234104</v>
      </c>
      <c r="Q119" s="68">
        <f>ROUND(J119*1%,0)</f>
        <v>6926</v>
      </c>
      <c r="R119" s="418">
        <v>0</v>
      </c>
      <c r="S119" s="419">
        <f t="shared" si="205"/>
        <v>1.35</v>
      </c>
      <c r="T119" s="419">
        <v>1.35</v>
      </c>
      <c r="U119" s="527">
        <v>0</v>
      </c>
      <c r="V119" s="427">
        <f t="shared" si="338"/>
        <v>0</v>
      </c>
      <c r="W119" s="421">
        <f t="shared" si="338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>V119+X119+Y119+AA119+AB119+AD119</f>
        <v>0</v>
      </c>
      <c r="AG119" s="421">
        <f>W119+Z119+AC119+AE119</f>
        <v>0</v>
      </c>
      <c r="AH119" s="421">
        <f>SUM(AF119:AG119)</f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si="339"/>
        <v>0</v>
      </c>
      <c r="AP119" s="421">
        <f>AJ119+AN119</f>
        <v>0</v>
      </c>
      <c r="AQ119" s="421">
        <f>SUM(AO119:AP119)</f>
        <v>0</v>
      </c>
      <c r="AR119" s="421">
        <f t="shared" si="340"/>
        <v>0</v>
      </c>
      <c r="AS119" s="421">
        <f t="shared" si="340"/>
        <v>0</v>
      </c>
      <c r="AT119" s="421">
        <f>SUM(AR119:AS119)</f>
        <v>0</v>
      </c>
      <c r="AU119" s="68">
        <f t="shared" si="341"/>
        <v>0</v>
      </c>
      <c r="AV119" s="68">
        <f>ROUND(AH119*1%,0)</f>
        <v>0</v>
      </c>
      <c r="AW119" s="421">
        <v>0</v>
      </c>
      <c r="AX119" s="421">
        <v>0</v>
      </c>
      <c r="AY119" s="421">
        <f>AW119+AX119</f>
        <v>0</v>
      </c>
      <c r="AZ119" s="421">
        <f>AT119+AU119+AV119+AY119</f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>BA119+BC119+BD119+BF119+BH119+BI119</f>
        <v>0</v>
      </c>
      <c r="BL119" s="422">
        <f>BB119+BE119+BG119+BJ119</f>
        <v>0</v>
      </c>
      <c r="BM119" s="611">
        <f>SUM(BK119:BL119)</f>
        <v>0</v>
      </c>
      <c r="BN119" s="428">
        <f>I119+AZ119</f>
        <v>933644</v>
      </c>
      <c r="BO119" s="421">
        <f>J119+AH119</f>
        <v>692614</v>
      </c>
      <c r="BP119" s="421">
        <f t="shared" si="342"/>
        <v>692614</v>
      </c>
      <c r="BQ119" s="421">
        <f t="shared" si="342"/>
        <v>0</v>
      </c>
      <c r="BR119" s="421">
        <f>M119+AQ119</f>
        <v>0</v>
      </c>
      <c r="BS119" s="421">
        <f t="shared" si="343"/>
        <v>0</v>
      </c>
      <c r="BT119" s="421">
        <f t="shared" si="343"/>
        <v>0</v>
      </c>
      <c r="BU119" s="421">
        <f t="shared" si="344"/>
        <v>234104</v>
      </c>
      <c r="BV119" s="421">
        <f t="shared" si="344"/>
        <v>6926</v>
      </c>
      <c r="BW119" s="421">
        <f>R119+AY119</f>
        <v>0</v>
      </c>
      <c r="BX119" s="422">
        <f>S119+BM119</f>
        <v>1.35</v>
      </c>
      <c r="BY119" s="422">
        <f t="shared" si="345"/>
        <v>1.35</v>
      </c>
      <c r="BZ119" s="611">
        <f t="shared" si="345"/>
        <v>0</v>
      </c>
      <c r="CA119" s="875"/>
      <c r="CB119" s="872"/>
      <c r="CC119" s="872"/>
      <c r="CD119" s="872"/>
      <c r="CE119" s="872"/>
      <c r="CF119" s="876"/>
    </row>
    <row r="120" spans="1:84" ht="12.95" customHeight="1" x14ac:dyDescent="0.25">
      <c r="A120" s="282">
        <v>23</v>
      </c>
      <c r="B120" s="213">
        <v>5485</v>
      </c>
      <c r="C120" s="213">
        <v>600099300</v>
      </c>
      <c r="D120" s="283">
        <v>72743174</v>
      </c>
      <c r="E120" s="373" t="s">
        <v>494</v>
      </c>
      <c r="F120" s="384">
        <v>3143</v>
      </c>
      <c r="G120" s="325" t="s">
        <v>597</v>
      </c>
      <c r="H120" s="287" t="s">
        <v>272</v>
      </c>
      <c r="I120" s="423">
        <f>J120+P120+Q120+R120</f>
        <v>30724</v>
      </c>
      <c r="J120" s="418">
        <f>K120+L120</f>
        <v>21991</v>
      </c>
      <c r="K120" s="418">
        <v>0</v>
      </c>
      <c r="L120" s="418">
        <v>21991</v>
      </c>
      <c r="M120" s="418">
        <f t="shared" si="337"/>
        <v>0</v>
      </c>
      <c r="N120" s="418">
        <v>0</v>
      </c>
      <c r="O120" s="418">
        <v>0</v>
      </c>
      <c r="P120" s="68">
        <f>ROUND((J120+M120)*33.8%,0)</f>
        <v>7433</v>
      </c>
      <c r="Q120" s="68">
        <f>ROUND(J120*1%,0)</f>
        <v>220</v>
      </c>
      <c r="R120" s="418">
        <v>1080</v>
      </c>
      <c r="S120" s="419">
        <f t="shared" si="205"/>
        <v>8.3299999999999999E-2</v>
      </c>
      <c r="T120" s="419">
        <v>0</v>
      </c>
      <c r="U120" s="527">
        <v>8.3299999999999999E-2</v>
      </c>
      <c r="V120" s="427">
        <f t="shared" si="338"/>
        <v>0</v>
      </c>
      <c r="W120" s="421">
        <f t="shared" si="338"/>
        <v>0</v>
      </c>
      <c r="X120" s="421">
        <v>0</v>
      </c>
      <c r="Y120" s="421">
        <v>0</v>
      </c>
      <c r="Z120" s="421">
        <v>0</v>
      </c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f>V120+X120+Y120+AA120+AB120+AD120</f>
        <v>0</v>
      </c>
      <c r="AG120" s="421">
        <f>W120+Z120+AC120+AE120</f>
        <v>0</v>
      </c>
      <c r="AH120" s="421">
        <f>SUM(AF120:AG120)</f>
        <v>0</v>
      </c>
      <c r="AI120" s="421">
        <v>0</v>
      </c>
      <c r="AJ120" s="421">
        <v>0</v>
      </c>
      <c r="AK120" s="421">
        <v>0</v>
      </c>
      <c r="AL120" s="421">
        <v>0</v>
      </c>
      <c r="AM120" s="421">
        <v>0</v>
      </c>
      <c r="AN120" s="421">
        <v>0</v>
      </c>
      <c r="AO120" s="421">
        <f t="shared" si="339"/>
        <v>0</v>
      </c>
      <c r="AP120" s="421">
        <f>AJ120+AN120</f>
        <v>0</v>
      </c>
      <c r="AQ120" s="421">
        <f>SUM(AO120:AP120)</f>
        <v>0</v>
      </c>
      <c r="AR120" s="421">
        <f t="shared" si="340"/>
        <v>0</v>
      </c>
      <c r="AS120" s="421">
        <f t="shared" si="340"/>
        <v>0</v>
      </c>
      <c r="AT120" s="421">
        <f>SUM(AR120:AS120)</f>
        <v>0</v>
      </c>
      <c r="AU120" s="68">
        <f t="shared" si="341"/>
        <v>0</v>
      </c>
      <c r="AV120" s="68">
        <f>ROUND(AH120*1%,0)</f>
        <v>0</v>
      </c>
      <c r="AW120" s="421">
        <v>0</v>
      </c>
      <c r="AX120" s="421">
        <v>0</v>
      </c>
      <c r="AY120" s="421">
        <f>AW120+AX120</f>
        <v>0</v>
      </c>
      <c r="AZ120" s="421">
        <f>AT120+AU120+AV120+AY120</f>
        <v>0</v>
      </c>
      <c r="BA120" s="422">
        <v>0</v>
      </c>
      <c r="BB120" s="422">
        <v>0</v>
      </c>
      <c r="BC120" s="422">
        <v>0</v>
      </c>
      <c r="BD120" s="422">
        <v>0</v>
      </c>
      <c r="BE120" s="422">
        <v>0</v>
      </c>
      <c r="BF120" s="422">
        <v>0</v>
      </c>
      <c r="BG120" s="422">
        <v>0</v>
      </c>
      <c r="BH120" s="422">
        <v>0</v>
      </c>
      <c r="BI120" s="422">
        <v>0</v>
      </c>
      <c r="BJ120" s="422">
        <v>0</v>
      </c>
      <c r="BK120" s="422">
        <f>BA120+BC120+BD120+BF120+BH120+BI120</f>
        <v>0</v>
      </c>
      <c r="BL120" s="422">
        <f>BB120+BE120+BG120+BJ120</f>
        <v>0</v>
      </c>
      <c r="BM120" s="611">
        <f>SUM(BK120:BL120)</f>
        <v>0</v>
      </c>
      <c r="BN120" s="428">
        <f>I120+AZ120</f>
        <v>30724</v>
      </c>
      <c r="BO120" s="421">
        <f>J120+AH120</f>
        <v>21991</v>
      </c>
      <c r="BP120" s="421">
        <f t="shared" si="342"/>
        <v>0</v>
      </c>
      <c r="BQ120" s="421">
        <f t="shared" si="342"/>
        <v>21991</v>
      </c>
      <c r="BR120" s="421">
        <f>M120+AQ120</f>
        <v>0</v>
      </c>
      <c r="BS120" s="421">
        <f t="shared" si="343"/>
        <v>0</v>
      </c>
      <c r="BT120" s="421">
        <f t="shared" si="343"/>
        <v>0</v>
      </c>
      <c r="BU120" s="421">
        <f t="shared" si="344"/>
        <v>7433</v>
      </c>
      <c r="BV120" s="421">
        <f t="shared" si="344"/>
        <v>220</v>
      </c>
      <c r="BW120" s="421">
        <f>R120+AY120</f>
        <v>1080</v>
      </c>
      <c r="BX120" s="422">
        <f>S120+BM120</f>
        <v>8.3299999999999999E-2</v>
      </c>
      <c r="BY120" s="422">
        <f t="shared" si="345"/>
        <v>0</v>
      </c>
      <c r="BZ120" s="611">
        <f t="shared" si="345"/>
        <v>8.3299999999999999E-2</v>
      </c>
      <c r="CA120" s="875"/>
      <c r="CB120" s="872"/>
      <c r="CC120" s="872"/>
      <c r="CD120" s="872"/>
      <c r="CE120" s="872"/>
      <c r="CF120" s="876"/>
    </row>
    <row r="121" spans="1:84" ht="12.95" customHeight="1" x14ac:dyDescent="0.25">
      <c r="A121" s="214">
        <v>23</v>
      </c>
      <c r="B121" s="46">
        <v>5485</v>
      </c>
      <c r="C121" s="46">
        <v>600099300</v>
      </c>
      <c r="D121" s="46">
        <v>72743174</v>
      </c>
      <c r="E121" s="385" t="s">
        <v>495</v>
      </c>
      <c r="F121" s="390"/>
      <c r="G121" s="389"/>
      <c r="H121" s="186"/>
      <c r="I121" s="472">
        <f t="shared" ref="I121:BU121" si="348">SUM(I116:I120)</f>
        <v>6879021</v>
      </c>
      <c r="J121" s="468">
        <f t="shared" si="348"/>
        <v>5032419</v>
      </c>
      <c r="K121" s="468">
        <f t="shared" si="348"/>
        <v>4438276</v>
      </c>
      <c r="L121" s="468">
        <f t="shared" si="348"/>
        <v>594143</v>
      </c>
      <c r="M121" s="468">
        <f t="shared" si="348"/>
        <v>0</v>
      </c>
      <c r="N121" s="468">
        <f t="shared" si="348"/>
        <v>0</v>
      </c>
      <c r="O121" s="468">
        <f t="shared" si="348"/>
        <v>0</v>
      </c>
      <c r="P121" s="468">
        <f t="shared" si="348"/>
        <v>1700958</v>
      </c>
      <c r="Q121" s="468">
        <f t="shared" si="348"/>
        <v>50324</v>
      </c>
      <c r="R121" s="468">
        <f t="shared" si="348"/>
        <v>95320</v>
      </c>
      <c r="S121" s="469">
        <f t="shared" si="348"/>
        <v>9.0541</v>
      </c>
      <c r="T121" s="469">
        <f t="shared" si="348"/>
        <v>7.3773</v>
      </c>
      <c r="U121" s="281">
        <f t="shared" si="348"/>
        <v>1.6768000000000001</v>
      </c>
      <c r="V121" s="474">
        <f t="shared" si="348"/>
        <v>0</v>
      </c>
      <c r="W121" s="468">
        <f t="shared" si="348"/>
        <v>0</v>
      </c>
      <c r="X121" s="468">
        <f t="shared" si="348"/>
        <v>544028</v>
      </c>
      <c r="Y121" s="468">
        <f t="shared" si="348"/>
        <v>0</v>
      </c>
      <c r="Z121" s="468">
        <f t="shared" si="348"/>
        <v>0</v>
      </c>
      <c r="AA121" s="468">
        <f t="shared" si="348"/>
        <v>0</v>
      </c>
      <c r="AB121" s="468">
        <f t="shared" si="348"/>
        <v>0</v>
      </c>
      <c r="AC121" s="468">
        <f t="shared" si="348"/>
        <v>0</v>
      </c>
      <c r="AD121" s="468">
        <f t="shared" si="348"/>
        <v>0</v>
      </c>
      <c r="AE121" s="468">
        <f t="shared" si="348"/>
        <v>0</v>
      </c>
      <c r="AF121" s="468">
        <f t="shared" si="348"/>
        <v>544028</v>
      </c>
      <c r="AG121" s="468">
        <f t="shared" si="348"/>
        <v>0</v>
      </c>
      <c r="AH121" s="468">
        <f t="shared" si="348"/>
        <v>544028</v>
      </c>
      <c r="AI121" s="468">
        <f t="shared" si="348"/>
        <v>0</v>
      </c>
      <c r="AJ121" s="468">
        <f t="shared" si="348"/>
        <v>0</v>
      </c>
      <c r="AK121" s="468">
        <f t="shared" ref="AK121" si="349">SUM(AK116:AK120)</f>
        <v>0</v>
      </c>
      <c r="AL121" s="468">
        <f t="shared" si="348"/>
        <v>0</v>
      </c>
      <c r="AM121" s="468">
        <f t="shared" si="348"/>
        <v>0</v>
      </c>
      <c r="AN121" s="468">
        <f t="shared" si="348"/>
        <v>0</v>
      </c>
      <c r="AO121" s="468">
        <f t="shared" si="348"/>
        <v>0</v>
      </c>
      <c r="AP121" s="468">
        <f t="shared" si="348"/>
        <v>0</v>
      </c>
      <c r="AQ121" s="468">
        <f t="shared" si="348"/>
        <v>0</v>
      </c>
      <c r="AR121" s="468">
        <f t="shared" si="348"/>
        <v>544028</v>
      </c>
      <c r="AS121" s="468">
        <f t="shared" si="348"/>
        <v>0</v>
      </c>
      <c r="AT121" s="468">
        <f t="shared" si="348"/>
        <v>544028</v>
      </c>
      <c r="AU121" s="468">
        <f t="shared" si="348"/>
        <v>183881</v>
      </c>
      <c r="AV121" s="468">
        <f t="shared" si="348"/>
        <v>5440</v>
      </c>
      <c r="AW121" s="468">
        <f t="shared" si="348"/>
        <v>0</v>
      </c>
      <c r="AX121" s="468">
        <f t="shared" si="348"/>
        <v>0</v>
      </c>
      <c r="AY121" s="468">
        <f t="shared" si="348"/>
        <v>0</v>
      </c>
      <c r="AZ121" s="468">
        <f t="shared" si="348"/>
        <v>733349</v>
      </c>
      <c r="BA121" s="469">
        <f t="shared" si="348"/>
        <v>0</v>
      </c>
      <c r="BB121" s="469">
        <f t="shared" si="348"/>
        <v>0</v>
      </c>
      <c r="BC121" s="469">
        <f t="shared" si="348"/>
        <v>1.3800000000000001</v>
      </c>
      <c r="BD121" s="469">
        <f t="shared" si="348"/>
        <v>0</v>
      </c>
      <c r="BE121" s="469">
        <f t="shared" si="348"/>
        <v>0</v>
      </c>
      <c r="BF121" s="469">
        <f t="shared" si="348"/>
        <v>0</v>
      </c>
      <c r="BG121" s="469">
        <f t="shared" si="348"/>
        <v>0</v>
      </c>
      <c r="BH121" s="469">
        <f t="shared" si="348"/>
        <v>0</v>
      </c>
      <c r="BI121" s="469">
        <f t="shared" si="348"/>
        <v>0</v>
      </c>
      <c r="BJ121" s="469">
        <f t="shared" si="348"/>
        <v>0</v>
      </c>
      <c r="BK121" s="469">
        <f t="shared" si="348"/>
        <v>1.3800000000000001</v>
      </c>
      <c r="BL121" s="469">
        <f t="shared" si="348"/>
        <v>0</v>
      </c>
      <c r="BM121" s="562">
        <f t="shared" si="348"/>
        <v>1.3800000000000001</v>
      </c>
      <c r="BN121" s="472">
        <f t="shared" si="348"/>
        <v>7612370</v>
      </c>
      <c r="BO121" s="468">
        <f t="shared" si="348"/>
        <v>5576447</v>
      </c>
      <c r="BP121" s="468">
        <f t="shared" si="348"/>
        <v>4982304</v>
      </c>
      <c r="BQ121" s="468">
        <f t="shared" si="348"/>
        <v>594143</v>
      </c>
      <c r="BR121" s="468">
        <f t="shared" si="348"/>
        <v>0</v>
      </c>
      <c r="BS121" s="468">
        <f t="shared" si="348"/>
        <v>0</v>
      </c>
      <c r="BT121" s="468">
        <f t="shared" si="348"/>
        <v>0</v>
      </c>
      <c r="BU121" s="468">
        <f t="shared" si="348"/>
        <v>1884839</v>
      </c>
      <c r="BV121" s="468">
        <f t="shared" ref="BV121:CF121" si="350">SUM(BV116:BV120)</f>
        <v>55764</v>
      </c>
      <c r="BW121" s="468">
        <f t="shared" si="350"/>
        <v>95320</v>
      </c>
      <c r="BX121" s="469">
        <f t="shared" si="350"/>
        <v>10.434100000000001</v>
      </c>
      <c r="BY121" s="469">
        <f t="shared" si="350"/>
        <v>8.7573000000000008</v>
      </c>
      <c r="BZ121" s="562">
        <f t="shared" si="350"/>
        <v>1.6768000000000001</v>
      </c>
      <c r="CA121" s="873">
        <f t="shared" si="350"/>
        <v>0</v>
      </c>
      <c r="CB121" s="850">
        <f t="shared" si="350"/>
        <v>0</v>
      </c>
      <c r="CC121" s="850">
        <f t="shared" si="350"/>
        <v>0</v>
      </c>
      <c r="CD121" s="850">
        <f t="shared" si="350"/>
        <v>0</v>
      </c>
      <c r="CE121" s="850">
        <f t="shared" si="350"/>
        <v>0</v>
      </c>
      <c r="CF121" s="841">
        <f t="shared" si="350"/>
        <v>0</v>
      </c>
    </row>
    <row r="122" spans="1:84" ht="12.95" customHeight="1" x14ac:dyDescent="0.25">
      <c r="A122" s="282">
        <v>24</v>
      </c>
      <c r="B122" s="213">
        <v>5434</v>
      </c>
      <c r="C122" s="213">
        <v>600098923</v>
      </c>
      <c r="D122" s="283">
        <v>70695318</v>
      </c>
      <c r="E122" s="374" t="s">
        <v>496</v>
      </c>
      <c r="F122" s="213">
        <v>3111</v>
      </c>
      <c r="G122" s="375" t="s">
        <v>305</v>
      </c>
      <c r="H122" s="287" t="s">
        <v>271</v>
      </c>
      <c r="I122" s="423">
        <f>J122+P122+Q122+R122</f>
        <v>3467616</v>
      </c>
      <c r="J122" s="418">
        <f>K122+L122</f>
        <v>2561871</v>
      </c>
      <c r="K122" s="418">
        <v>2326751</v>
      </c>
      <c r="L122" s="418">
        <v>235120</v>
      </c>
      <c r="M122" s="418">
        <f t="shared" ref="M122:M124" si="351">N122+O122</f>
        <v>0</v>
      </c>
      <c r="N122" s="418">
        <v>0</v>
      </c>
      <c r="O122" s="418">
        <v>0</v>
      </c>
      <c r="P122" s="68">
        <f>ROUND((J122+M122)*33.8%,0)</f>
        <v>865912</v>
      </c>
      <c r="Q122" s="68">
        <f>ROUND(J122*1%,0)</f>
        <v>25619</v>
      </c>
      <c r="R122" s="418">
        <v>14214</v>
      </c>
      <c r="S122" s="419">
        <f t="shared" si="205"/>
        <v>4.8001000000000005</v>
      </c>
      <c r="T122" s="419">
        <v>4</v>
      </c>
      <c r="U122" s="527">
        <v>0.80010000000000003</v>
      </c>
      <c r="V122" s="427">
        <f t="shared" ref="V122:W124" si="352">AI122*-1</f>
        <v>0</v>
      </c>
      <c r="W122" s="421">
        <f t="shared" si="352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0</v>
      </c>
      <c r="AG122" s="421">
        <f>W122+Z122+AC122+AE122</f>
        <v>0</v>
      </c>
      <c r="AH122" s="421">
        <f>SUM(AF122:AG122)</f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ref="AO122:AO124" si="353">AI122+AK122+AL122+AM122</f>
        <v>0</v>
      </c>
      <c r="AP122" s="421">
        <f>AJ122+AN122</f>
        <v>0</v>
      </c>
      <c r="AQ122" s="421">
        <f>SUM(AO122:AP122)</f>
        <v>0</v>
      </c>
      <c r="AR122" s="421">
        <f t="shared" ref="AR122:AS124" si="354">AF122+AO122</f>
        <v>0</v>
      </c>
      <c r="AS122" s="421">
        <f t="shared" si="354"/>
        <v>0</v>
      </c>
      <c r="AT122" s="421">
        <f>SUM(AR122:AS122)</f>
        <v>0</v>
      </c>
      <c r="AU122" s="68">
        <f t="shared" ref="AU122:AU124" si="355">ROUND((AH122+AI122+AJ122+AK122+AL122)*33.8%,0)</f>
        <v>0</v>
      </c>
      <c r="AV122" s="68">
        <f>ROUND(AH122*1%,0)</f>
        <v>0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611">
        <f>SUM(BK122:BL122)</f>
        <v>0</v>
      </c>
      <c r="BN122" s="428">
        <f>I122+AZ122</f>
        <v>3467616</v>
      </c>
      <c r="BO122" s="421">
        <f>J122+AH122</f>
        <v>2561871</v>
      </c>
      <c r="BP122" s="421">
        <f t="shared" ref="BP122:BQ124" si="356">K122+AF122</f>
        <v>2326751</v>
      </c>
      <c r="BQ122" s="421">
        <f t="shared" si="356"/>
        <v>235120</v>
      </c>
      <c r="BR122" s="421">
        <f>M122+AQ122</f>
        <v>0</v>
      </c>
      <c r="BS122" s="421">
        <f t="shared" ref="BS122:BT124" si="357">N122+AO122</f>
        <v>0</v>
      </c>
      <c r="BT122" s="421">
        <f t="shared" si="357"/>
        <v>0</v>
      </c>
      <c r="BU122" s="421">
        <f t="shared" ref="BU122:BV124" si="358">P122+AU122</f>
        <v>865912</v>
      </c>
      <c r="BV122" s="421">
        <f t="shared" si="358"/>
        <v>25619</v>
      </c>
      <c r="BW122" s="421">
        <f>R122+AY122</f>
        <v>14214</v>
      </c>
      <c r="BX122" s="422">
        <f>S122+BM122</f>
        <v>4.8001000000000005</v>
      </c>
      <c r="BY122" s="422">
        <f t="shared" ref="BY122:BZ124" si="359">T122+BK122</f>
        <v>4</v>
      </c>
      <c r="BZ122" s="611">
        <f t="shared" si="359"/>
        <v>0.80010000000000003</v>
      </c>
      <c r="CA122" s="875"/>
      <c r="CB122" s="872"/>
      <c r="CC122" s="872"/>
      <c r="CD122" s="872"/>
      <c r="CE122" s="872"/>
      <c r="CF122" s="876"/>
    </row>
    <row r="123" spans="1:84" ht="12.95" customHeight="1" x14ac:dyDescent="0.25">
      <c r="A123" s="282">
        <v>24</v>
      </c>
      <c r="B123" s="213">
        <v>5434</v>
      </c>
      <c r="C123" s="213">
        <v>600098923</v>
      </c>
      <c r="D123" s="283">
        <v>70695318</v>
      </c>
      <c r="E123" s="373" t="s">
        <v>496</v>
      </c>
      <c r="F123" s="213">
        <v>3111</v>
      </c>
      <c r="G123" s="325" t="s">
        <v>292</v>
      </c>
      <c r="H123" s="287" t="s">
        <v>272</v>
      </c>
      <c r="I123" s="423">
        <f>J123+P123+Q123+R123</f>
        <v>0</v>
      </c>
      <c r="J123" s="418">
        <f>K123+L123</f>
        <v>0</v>
      </c>
      <c r="K123" s="418">
        <v>0</v>
      </c>
      <c r="L123" s="418">
        <v>0</v>
      </c>
      <c r="M123" s="418">
        <f t="shared" si="351"/>
        <v>0</v>
      </c>
      <c r="N123" s="418">
        <v>0</v>
      </c>
      <c r="O123" s="418">
        <v>0</v>
      </c>
      <c r="P123" s="68">
        <f t="shared" ref="P123" si="360">ROUND((J123+M123)*33.8%,0)</f>
        <v>0</v>
      </c>
      <c r="Q123" s="68">
        <f t="shared" ref="Q123" si="361">ROUND(J123*1%,0)</f>
        <v>0</v>
      </c>
      <c r="R123" s="418">
        <v>0</v>
      </c>
      <c r="S123" s="419">
        <f t="shared" si="205"/>
        <v>0</v>
      </c>
      <c r="T123" s="419">
        <v>0</v>
      </c>
      <c r="U123" s="527">
        <v>0</v>
      </c>
      <c r="V123" s="427">
        <f t="shared" si="352"/>
        <v>0</v>
      </c>
      <c r="W123" s="421">
        <f t="shared" si="352"/>
        <v>0</v>
      </c>
      <c r="X123" s="421">
        <v>607706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f>V123+X123+Y123+AA123+AB123+AD123</f>
        <v>607706</v>
      </c>
      <c r="AG123" s="421">
        <f>W123+Z123+AC123+AE123</f>
        <v>0</v>
      </c>
      <c r="AH123" s="421">
        <f>SUM(AF123:AG123)</f>
        <v>607706</v>
      </c>
      <c r="AI123" s="421">
        <v>0</v>
      </c>
      <c r="AJ123" s="421">
        <v>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353"/>
        <v>0</v>
      </c>
      <c r="AP123" s="421">
        <f>AJ123+AN123</f>
        <v>0</v>
      </c>
      <c r="AQ123" s="421">
        <f>SUM(AO123:AP123)</f>
        <v>0</v>
      </c>
      <c r="AR123" s="421">
        <f t="shared" si="354"/>
        <v>607706</v>
      </c>
      <c r="AS123" s="421">
        <f t="shared" si="354"/>
        <v>0</v>
      </c>
      <c r="AT123" s="421">
        <f>SUM(AR123:AS123)</f>
        <v>607706</v>
      </c>
      <c r="AU123" s="68">
        <f t="shared" si="355"/>
        <v>205405</v>
      </c>
      <c r="AV123" s="68">
        <f>ROUND(AH123*1%,0)</f>
        <v>6077</v>
      </c>
      <c r="AW123" s="421">
        <v>0</v>
      </c>
      <c r="AX123" s="421">
        <v>0</v>
      </c>
      <c r="AY123" s="421">
        <f>AW123+AX123</f>
        <v>0</v>
      </c>
      <c r="AZ123" s="421">
        <f>AT123+AU123+AV123+AY123</f>
        <v>819188</v>
      </c>
      <c r="BA123" s="422">
        <v>0</v>
      </c>
      <c r="BB123" s="422">
        <v>0</v>
      </c>
      <c r="BC123" s="422">
        <v>1.64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>BA123+BC123+BD123+BF123+BH123+BI123</f>
        <v>1.64</v>
      </c>
      <c r="BL123" s="422">
        <f>BB123+BE123+BG123+BJ123</f>
        <v>0</v>
      </c>
      <c r="BM123" s="611">
        <f>SUM(BK123:BL123)</f>
        <v>1.64</v>
      </c>
      <c r="BN123" s="428">
        <f>I123+AZ123</f>
        <v>819188</v>
      </c>
      <c r="BO123" s="421">
        <f>J123+AH123</f>
        <v>607706</v>
      </c>
      <c r="BP123" s="421">
        <f t="shared" si="356"/>
        <v>607706</v>
      </c>
      <c r="BQ123" s="421">
        <f t="shared" si="356"/>
        <v>0</v>
      </c>
      <c r="BR123" s="421">
        <f>M123+AQ123</f>
        <v>0</v>
      </c>
      <c r="BS123" s="421">
        <f t="shared" si="357"/>
        <v>0</v>
      </c>
      <c r="BT123" s="421">
        <f t="shared" si="357"/>
        <v>0</v>
      </c>
      <c r="BU123" s="421">
        <f t="shared" si="358"/>
        <v>205405</v>
      </c>
      <c r="BV123" s="421">
        <f t="shared" si="358"/>
        <v>6077</v>
      </c>
      <c r="BW123" s="421">
        <f>R123+AY123</f>
        <v>0</v>
      </c>
      <c r="BX123" s="422">
        <f>S123+BM123</f>
        <v>1.64</v>
      </c>
      <c r="BY123" s="422">
        <f t="shared" si="359"/>
        <v>1.64</v>
      </c>
      <c r="BZ123" s="611">
        <f t="shared" si="359"/>
        <v>0</v>
      </c>
      <c r="CA123" s="875"/>
      <c r="CB123" s="872"/>
      <c r="CC123" s="872"/>
      <c r="CD123" s="872"/>
      <c r="CE123" s="872"/>
      <c r="CF123" s="876"/>
    </row>
    <row r="124" spans="1:84" ht="12.75" customHeight="1" x14ac:dyDescent="0.25">
      <c r="A124" s="282">
        <v>24</v>
      </c>
      <c r="B124" s="213">
        <v>5434</v>
      </c>
      <c r="C124" s="213">
        <v>600098923</v>
      </c>
      <c r="D124" s="283">
        <v>70695318</v>
      </c>
      <c r="E124" s="373" t="s">
        <v>496</v>
      </c>
      <c r="F124" s="384">
        <v>3141</v>
      </c>
      <c r="G124" s="375" t="s">
        <v>295</v>
      </c>
      <c r="H124" s="287" t="s">
        <v>272</v>
      </c>
      <c r="I124" s="423">
        <f>J124+P124+Q124+R124</f>
        <v>412027</v>
      </c>
      <c r="J124" s="418">
        <f>K124+L124</f>
        <v>304567</v>
      </c>
      <c r="K124" s="418">
        <v>0</v>
      </c>
      <c r="L124" s="418">
        <v>304567</v>
      </c>
      <c r="M124" s="418">
        <f t="shared" si="351"/>
        <v>0</v>
      </c>
      <c r="N124" s="418">
        <v>0</v>
      </c>
      <c r="O124" s="418">
        <v>0</v>
      </c>
      <c r="P124" s="68">
        <f>ROUND((J124+M124)*33.8%,0)</f>
        <v>102944</v>
      </c>
      <c r="Q124" s="68">
        <f>ROUND(J124*1%,0)</f>
        <v>3046</v>
      </c>
      <c r="R124" s="418">
        <v>1470</v>
      </c>
      <c r="S124" s="419">
        <f t="shared" si="205"/>
        <v>0.9133</v>
      </c>
      <c r="T124" s="419">
        <v>0</v>
      </c>
      <c r="U124" s="527">
        <v>0.9133</v>
      </c>
      <c r="V124" s="427">
        <f t="shared" si="352"/>
        <v>0</v>
      </c>
      <c r="W124" s="421">
        <f t="shared" si="352"/>
        <v>0</v>
      </c>
      <c r="X124" s="421">
        <v>0</v>
      </c>
      <c r="Y124" s="421">
        <v>0</v>
      </c>
      <c r="Z124" s="421">
        <v>0</v>
      </c>
      <c r="AA124" s="421">
        <v>0</v>
      </c>
      <c r="AB124" s="421">
        <v>0</v>
      </c>
      <c r="AC124" s="421">
        <v>0</v>
      </c>
      <c r="AD124" s="421">
        <v>0</v>
      </c>
      <c r="AE124" s="421">
        <v>0</v>
      </c>
      <c r="AF124" s="421">
        <f>V124+X124+Y124+AA124+AB124+AD124</f>
        <v>0</v>
      </c>
      <c r="AG124" s="421">
        <f>W124+Z124+AC124+AE124</f>
        <v>0</v>
      </c>
      <c r="AH124" s="421">
        <f>SUM(AF124:AG124)</f>
        <v>0</v>
      </c>
      <c r="AI124" s="421">
        <v>0</v>
      </c>
      <c r="AJ124" s="421">
        <v>0</v>
      </c>
      <c r="AK124" s="421">
        <v>0</v>
      </c>
      <c r="AL124" s="421">
        <v>0</v>
      </c>
      <c r="AM124" s="421">
        <v>0</v>
      </c>
      <c r="AN124" s="421">
        <v>0</v>
      </c>
      <c r="AO124" s="421">
        <f t="shared" si="353"/>
        <v>0</v>
      </c>
      <c r="AP124" s="421">
        <f>AJ124+AN124</f>
        <v>0</v>
      </c>
      <c r="AQ124" s="421">
        <f>SUM(AO124:AP124)</f>
        <v>0</v>
      </c>
      <c r="AR124" s="421">
        <f t="shared" si="354"/>
        <v>0</v>
      </c>
      <c r="AS124" s="421">
        <f t="shared" si="354"/>
        <v>0</v>
      </c>
      <c r="AT124" s="421">
        <f>SUM(AR124:AS124)</f>
        <v>0</v>
      </c>
      <c r="AU124" s="68">
        <f t="shared" si="355"/>
        <v>0</v>
      </c>
      <c r="AV124" s="68">
        <f>ROUND(AH124*1%,0)</f>
        <v>0</v>
      </c>
      <c r="AW124" s="421">
        <v>0</v>
      </c>
      <c r="AX124" s="421">
        <v>0</v>
      </c>
      <c r="AY124" s="421">
        <f>AW124+AX124</f>
        <v>0</v>
      </c>
      <c r="AZ124" s="421">
        <f>AT124+AU124+AV124+AY124</f>
        <v>0</v>
      </c>
      <c r="BA124" s="422">
        <v>0</v>
      </c>
      <c r="BB124" s="422">
        <v>0</v>
      </c>
      <c r="BC124" s="422">
        <v>0</v>
      </c>
      <c r="BD124" s="422">
        <v>0</v>
      </c>
      <c r="BE124" s="422">
        <v>0</v>
      </c>
      <c r="BF124" s="422">
        <v>0</v>
      </c>
      <c r="BG124" s="422">
        <v>0</v>
      </c>
      <c r="BH124" s="422">
        <v>0</v>
      </c>
      <c r="BI124" s="422">
        <v>0</v>
      </c>
      <c r="BJ124" s="422">
        <v>0</v>
      </c>
      <c r="BK124" s="422">
        <f>BA124+BC124+BD124+BF124+BH124+BI124</f>
        <v>0</v>
      </c>
      <c r="BL124" s="422">
        <f>BB124+BE124+BG124+BJ124</f>
        <v>0</v>
      </c>
      <c r="BM124" s="611">
        <f>SUM(BK124:BL124)</f>
        <v>0</v>
      </c>
      <c r="BN124" s="428">
        <f>I124+AZ124</f>
        <v>412027</v>
      </c>
      <c r="BO124" s="421">
        <f>J124+AH124</f>
        <v>304567</v>
      </c>
      <c r="BP124" s="421">
        <f t="shared" si="356"/>
        <v>0</v>
      </c>
      <c r="BQ124" s="421">
        <f t="shared" si="356"/>
        <v>304567</v>
      </c>
      <c r="BR124" s="421">
        <f>M124+AQ124</f>
        <v>0</v>
      </c>
      <c r="BS124" s="421">
        <f t="shared" si="357"/>
        <v>0</v>
      </c>
      <c r="BT124" s="421">
        <f t="shared" si="357"/>
        <v>0</v>
      </c>
      <c r="BU124" s="421">
        <f t="shared" si="358"/>
        <v>102944</v>
      </c>
      <c r="BV124" s="421">
        <f t="shared" si="358"/>
        <v>3046</v>
      </c>
      <c r="BW124" s="421">
        <f>R124+AY124</f>
        <v>1470</v>
      </c>
      <c r="BX124" s="422">
        <f>S124+BM124</f>
        <v>0.9133</v>
      </c>
      <c r="BY124" s="422">
        <f t="shared" si="359"/>
        <v>0</v>
      </c>
      <c r="BZ124" s="611">
        <f t="shared" si="359"/>
        <v>0.9133</v>
      </c>
      <c r="CA124" s="875"/>
      <c r="CB124" s="872"/>
      <c r="CC124" s="872"/>
      <c r="CD124" s="872"/>
      <c r="CE124" s="872"/>
      <c r="CF124" s="876"/>
    </row>
    <row r="125" spans="1:84" ht="12.75" customHeight="1" x14ac:dyDescent="0.25">
      <c r="A125" s="214">
        <v>24</v>
      </c>
      <c r="B125" s="46">
        <v>5434</v>
      </c>
      <c r="C125" s="46">
        <v>600098923</v>
      </c>
      <c r="D125" s="46">
        <v>70695318</v>
      </c>
      <c r="E125" s="385" t="s">
        <v>497</v>
      </c>
      <c r="F125" s="386"/>
      <c r="G125" s="385"/>
      <c r="H125" s="387"/>
      <c r="I125" s="472">
        <f t="shared" ref="I125:BU125" si="362">SUM(I122:I124)</f>
        <v>3879643</v>
      </c>
      <c r="J125" s="468">
        <f t="shared" si="362"/>
        <v>2866438</v>
      </c>
      <c r="K125" s="468">
        <f t="shared" si="362"/>
        <v>2326751</v>
      </c>
      <c r="L125" s="468">
        <f t="shared" si="362"/>
        <v>539687</v>
      </c>
      <c r="M125" s="468">
        <f t="shared" si="362"/>
        <v>0</v>
      </c>
      <c r="N125" s="468">
        <f t="shared" si="362"/>
        <v>0</v>
      </c>
      <c r="O125" s="468">
        <f t="shared" si="362"/>
        <v>0</v>
      </c>
      <c r="P125" s="468">
        <f t="shared" si="362"/>
        <v>968856</v>
      </c>
      <c r="Q125" s="468">
        <f t="shared" si="362"/>
        <v>28665</v>
      </c>
      <c r="R125" s="468">
        <f t="shared" si="362"/>
        <v>15684</v>
      </c>
      <c r="S125" s="469">
        <f t="shared" si="362"/>
        <v>5.7134</v>
      </c>
      <c r="T125" s="469">
        <f t="shared" si="362"/>
        <v>4</v>
      </c>
      <c r="U125" s="281">
        <f t="shared" si="362"/>
        <v>1.7134</v>
      </c>
      <c r="V125" s="474">
        <f t="shared" si="362"/>
        <v>0</v>
      </c>
      <c r="W125" s="468">
        <f t="shared" si="362"/>
        <v>0</v>
      </c>
      <c r="X125" s="468">
        <f t="shared" si="362"/>
        <v>607706</v>
      </c>
      <c r="Y125" s="468">
        <f t="shared" si="362"/>
        <v>0</v>
      </c>
      <c r="Z125" s="468">
        <f t="shared" si="362"/>
        <v>0</v>
      </c>
      <c r="AA125" s="468">
        <f t="shared" si="362"/>
        <v>0</v>
      </c>
      <c r="AB125" s="468">
        <f t="shared" si="362"/>
        <v>0</v>
      </c>
      <c r="AC125" s="468">
        <f t="shared" si="362"/>
        <v>0</v>
      </c>
      <c r="AD125" s="468">
        <f t="shared" si="362"/>
        <v>0</v>
      </c>
      <c r="AE125" s="468">
        <f t="shared" si="362"/>
        <v>0</v>
      </c>
      <c r="AF125" s="468">
        <f t="shared" si="362"/>
        <v>607706</v>
      </c>
      <c r="AG125" s="468">
        <f t="shared" si="362"/>
        <v>0</v>
      </c>
      <c r="AH125" s="468">
        <f t="shared" si="362"/>
        <v>607706</v>
      </c>
      <c r="AI125" s="468">
        <f t="shared" si="362"/>
        <v>0</v>
      </c>
      <c r="AJ125" s="468">
        <f t="shared" si="362"/>
        <v>0</v>
      </c>
      <c r="AK125" s="468">
        <f t="shared" ref="AK125" si="363">SUM(AK122:AK124)</f>
        <v>0</v>
      </c>
      <c r="AL125" s="468">
        <f t="shared" si="362"/>
        <v>0</v>
      </c>
      <c r="AM125" s="468">
        <f t="shared" si="362"/>
        <v>0</v>
      </c>
      <c r="AN125" s="468">
        <f t="shared" si="362"/>
        <v>0</v>
      </c>
      <c r="AO125" s="468">
        <f t="shared" si="362"/>
        <v>0</v>
      </c>
      <c r="AP125" s="468">
        <f t="shared" si="362"/>
        <v>0</v>
      </c>
      <c r="AQ125" s="468">
        <f t="shared" si="362"/>
        <v>0</v>
      </c>
      <c r="AR125" s="468">
        <f t="shared" si="362"/>
        <v>607706</v>
      </c>
      <c r="AS125" s="468">
        <f t="shared" si="362"/>
        <v>0</v>
      </c>
      <c r="AT125" s="468">
        <f t="shared" si="362"/>
        <v>607706</v>
      </c>
      <c r="AU125" s="468">
        <f t="shared" si="362"/>
        <v>205405</v>
      </c>
      <c r="AV125" s="468">
        <f t="shared" si="362"/>
        <v>6077</v>
      </c>
      <c r="AW125" s="468">
        <f t="shared" si="362"/>
        <v>0</v>
      </c>
      <c r="AX125" s="468">
        <f t="shared" si="362"/>
        <v>0</v>
      </c>
      <c r="AY125" s="468">
        <f t="shared" si="362"/>
        <v>0</v>
      </c>
      <c r="AZ125" s="468">
        <f t="shared" si="362"/>
        <v>819188</v>
      </c>
      <c r="BA125" s="469">
        <f t="shared" si="362"/>
        <v>0</v>
      </c>
      <c r="BB125" s="469">
        <f t="shared" si="362"/>
        <v>0</v>
      </c>
      <c r="BC125" s="469">
        <f t="shared" si="362"/>
        <v>1.64</v>
      </c>
      <c r="BD125" s="469">
        <f t="shared" si="362"/>
        <v>0</v>
      </c>
      <c r="BE125" s="469">
        <f t="shared" si="362"/>
        <v>0</v>
      </c>
      <c r="BF125" s="469">
        <f t="shared" si="362"/>
        <v>0</v>
      </c>
      <c r="BG125" s="469">
        <f t="shared" si="362"/>
        <v>0</v>
      </c>
      <c r="BH125" s="469">
        <f t="shared" si="362"/>
        <v>0</v>
      </c>
      <c r="BI125" s="469">
        <f t="shared" si="362"/>
        <v>0</v>
      </c>
      <c r="BJ125" s="469">
        <f t="shared" si="362"/>
        <v>0</v>
      </c>
      <c r="BK125" s="469">
        <f t="shared" si="362"/>
        <v>1.64</v>
      </c>
      <c r="BL125" s="469">
        <f t="shared" si="362"/>
        <v>0</v>
      </c>
      <c r="BM125" s="562">
        <f t="shared" si="362"/>
        <v>1.64</v>
      </c>
      <c r="BN125" s="472">
        <f t="shared" si="362"/>
        <v>4698831</v>
      </c>
      <c r="BO125" s="468">
        <f t="shared" si="362"/>
        <v>3474144</v>
      </c>
      <c r="BP125" s="468">
        <f t="shared" si="362"/>
        <v>2934457</v>
      </c>
      <c r="BQ125" s="468">
        <f t="shared" si="362"/>
        <v>539687</v>
      </c>
      <c r="BR125" s="468">
        <f t="shared" si="362"/>
        <v>0</v>
      </c>
      <c r="BS125" s="468">
        <f t="shared" si="362"/>
        <v>0</v>
      </c>
      <c r="BT125" s="468">
        <f t="shared" si="362"/>
        <v>0</v>
      </c>
      <c r="BU125" s="468">
        <f t="shared" si="362"/>
        <v>1174261</v>
      </c>
      <c r="BV125" s="468">
        <f t="shared" ref="BV125:CF125" si="364">SUM(BV122:BV124)</f>
        <v>34742</v>
      </c>
      <c r="BW125" s="468">
        <f t="shared" si="364"/>
        <v>15684</v>
      </c>
      <c r="BX125" s="469">
        <f t="shared" si="364"/>
        <v>7.3534000000000006</v>
      </c>
      <c r="BY125" s="469">
        <f t="shared" si="364"/>
        <v>5.64</v>
      </c>
      <c r="BZ125" s="562">
        <f t="shared" si="364"/>
        <v>1.7134</v>
      </c>
      <c r="CA125" s="873">
        <f t="shared" si="364"/>
        <v>0</v>
      </c>
      <c r="CB125" s="850">
        <f t="shared" si="364"/>
        <v>0</v>
      </c>
      <c r="CC125" s="850">
        <f t="shared" si="364"/>
        <v>0</v>
      </c>
      <c r="CD125" s="850">
        <f t="shared" si="364"/>
        <v>0</v>
      </c>
      <c r="CE125" s="850">
        <f t="shared" si="364"/>
        <v>0</v>
      </c>
      <c r="CF125" s="841">
        <f t="shared" si="364"/>
        <v>0</v>
      </c>
    </row>
    <row r="126" spans="1:84" ht="12.95" customHeight="1" x14ac:dyDescent="0.25">
      <c r="A126" s="282">
        <v>25</v>
      </c>
      <c r="B126" s="213">
        <v>5433</v>
      </c>
      <c r="C126" s="213">
        <v>600099253</v>
      </c>
      <c r="D126" s="283">
        <v>70695300</v>
      </c>
      <c r="E126" s="212" t="s">
        <v>498</v>
      </c>
      <c r="F126" s="213">
        <v>3117</v>
      </c>
      <c r="G126" s="374" t="s">
        <v>309</v>
      </c>
      <c r="H126" s="287" t="s">
        <v>271</v>
      </c>
      <c r="I126" s="423">
        <f>J126+P126+Q126+R126</f>
        <v>3314185</v>
      </c>
      <c r="J126" s="418">
        <f>K126+L126</f>
        <v>2423384</v>
      </c>
      <c r="K126" s="418">
        <v>2193761</v>
      </c>
      <c r="L126" s="418">
        <v>229623</v>
      </c>
      <c r="M126" s="418">
        <f t="shared" ref="M126:M130" si="365">N126+O126</f>
        <v>0</v>
      </c>
      <c r="N126" s="418">
        <v>0</v>
      </c>
      <c r="O126" s="418">
        <v>0</v>
      </c>
      <c r="P126" s="68">
        <f>ROUND((J126+M126)*33.8%,0)</f>
        <v>819104</v>
      </c>
      <c r="Q126" s="68">
        <f>ROUND(J126*1%,0)</f>
        <v>24234</v>
      </c>
      <c r="R126" s="418">
        <v>47463</v>
      </c>
      <c r="S126" s="419">
        <f t="shared" si="205"/>
        <v>4.0275999999999996</v>
      </c>
      <c r="T126" s="419">
        <v>3.4348000000000001</v>
      </c>
      <c r="U126" s="527">
        <v>0.59279999999999999</v>
      </c>
      <c r="V126" s="427">
        <f t="shared" ref="V126:W130" si="366">AI126*-1</f>
        <v>0</v>
      </c>
      <c r="W126" s="421">
        <f t="shared" si="366"/>
        <v>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>V126+X126+Y126+AA126+AB126+AD126</f>
        <v>0</v>
      </c>
      <c r="AG126" s="421">
        <f>W126+Z126+AC126+AE126</f>
        <v>0</v>
      </c>
      <c r="AH126" s="421">
        <f>SUM(AF126:AG126)</f>
        <v>0</v>
      </c>
      <c r="AI126" s="421">
        <v>0</v>
      </c>
      <c r="AJ126" s="421">
        <v>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ref="AO126:AO130" si="367">AI126+AK126+AL126+AM126</f>
        <v>0</v>
      </c>
      <c r="AP126" s="421">
        <f>AJ126+AN126</f>
        <v>0</v>
      </c>
      <c r="AQ126" s="421">
        <f>SUM(AO126:AP126)</f>
        <v>0</v>
      </c>
      <c r="AR126" s="421">
        <f t="shared" ref="AR126:AS130" si="368">AF126+AO126</f>
        <v>0</v>
      </c>
      <c r="AS126" s="421">
        <f t="shared" si="368"/>
        <v>0</v>
      </c>
      <c r="AT126" s="421">
        <f>SUM(AR126:AS126)</f>
        <v>0</v>
      </c>
      <c r="AU126" s="68">
        <f t="shared" ref="AU126:AU130" si="369">ROUND((AH126+AI126+AJ126+AK126+AL126)*33.8%,0)</f>
        <v>0</v>
      </c>
      <c r="AV126" s="68">
        <f>ROUND(AH126*1%,0)</f>
        <v>0</v>
      </c>
      <c r="AW126" s="421">
        <v>0</v>
      </c>
      <c r="AX126" s="421">
        <v>0</v>
      </c>
      <c r="AY126" s="421">
        <f>AW126+AX126</f>
        <v>0</v>
      </c>
      <c r="AZ126" s="421">
        <f>AT126+AU126+AV126+AY126</f>
        <v>0</v>
      </c>
      <c r="BA126" s="422">
        <v>0</v>
      </c>
      <c r="BB126" s="422">
        <v>0</v>
      </c>
      <c r="BC126" s="422">
        <v>0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>BA126+BC126+BD126+BF126+BH126+BI126</f>
        <v>0</v>
      </c>
      <c r="BL126" s="422">
        <f>BB126+BE126+BG126+BJ126</f>
        <v>0</v>
      </c>
      <c r="BM126" s="611">
        <f>SUM(BK126:BL126)</f>
        <v>0</v>
      </c>
      <c r="BN126" s="428">
        <f>I126+AZ126</f>
        <v>3314185</v>
      </c>
      <c r="BO126" s="421">
        <f>J126+AH126</f>
        <v>2423384</v>
      </c>
      <c r="BP126" s="421">
        <f t="shared" ref="BP126:BQ130" si="370">K126+AF126</f>
        <v>2193761</v>
      </c>
      <c r="BQ126" s="421">
        <f t="shared" si="370"/>
        <v>229623</v>
      </c>
      <c r="BR126" s="421">
        <f>M126+AQ126</f>
        <v>0</v>
      </c>
      <c r="BS126" s="421">
        <f t="shared" ref="BS126:BT130" si="371">N126+AO126</f>
        <v>0</v>
      </c>
      <c r="BT126" s="421">
        <f t="shared" si="371"/>
        <v>0</v>
      </c>
      <c r="BU126" s="421">
        <f t="shared" ref="BU126:BV130" si="372">P126+AU126</f>
        <v>819104</v>
      </c>
      <c r="BV126" s="421">
        <f t="shared" si="372"/>
        <v>24234</v>
      </c>
      <c r="BW126" s="421">
        <f>R126+AY126</f>
        <v>47463</v>
      </c>
      <c r="BX126" s="422">
        <f>S126+BM126</f>
        <v>4.0275999999999996</v>
      </c>
      <c r="BY126" s="422">
        <f t="shared" ref="BY126:BZ130" si="373">T126+BK126</f>
        <v>3.4348000000000001</v>
      </c>
      <c r="BZ126" s="611">
        <f t="shared" si="373"/>
        <v>0.59279999999999999</v>
      </c>
      <c r="CA126" s="875"/>
      <c r="CB126" s="872"/>
      <c r="CC126" s="872"/>
      <c r="CD126" s="872"/>
      <c r="CE126" s="872"/>
      <c r="CF126" s="876"/>
    </row>
    <row r="127" spans="1:84" ht="12.95" customHeight="1" x14ac:dyDescent="0.25">
      <c r="A127" s="282">
        <v>25</v>
      </c>
      <c r="B127" s="213">
        <v>5433</v>
      </c>
      <c r="C127" s="213">
        <v>600099253</v>
      </c>
      <c r="D127" s="283">
        <v>70695300</v>
      </c>
      <c r="E127" s="373" t="s">
        <v>498</v>
      </c>
      <c r="F127" s="213">
        <v>3117</v>
      </c>
      <c r="G127" s="325" t="s">
        <v>292</v>
      </c>
      <c r="H127" s="287" t="s">
        <v>272</v>
      </c>
      <c r="I127" s="423">
        <f>J127+P127+Q127+R127</f>
        <v>0</v>
      </c>
      <c r="J127" s="418">
        <f>K127+L127</f>
        <v>0</v>
      </c>
      <c r="K127" s="418">
        <v>0</v>
      </c>
      <c r="L127" s="418">
        <v>0</v>
      </c>
      <c r="M127" s="418">
        <f t="shared" si="365"/>
        <v>0</v>
      </c>
      <c r="N127" s="418">
        <v>0</v>
      </c>
      <c r="O127" s="418">
        <v>0</v>
      </c>
      <c r="P127" s="68">
        <f t="shared" ref="P127" si="374">ROUND((J127+M127)*33.8%,0)</f>
        <v>0</v>
      </c>
      <c r="Q127" s="68">
        <f t="shared" ref="Q127" si="375">ROUND(J127*1%,0)</f>
        <v>0</v>
      </c>
      <c r="R127" s="418">
        <v>0</v>
      </c>
      <c r="S127" s="419">
        <f t="shared" si="205"/>
        <v>0</v>
      </c>
      <c r="T127" s="419">
        <v>0</v>
      </c>
      <c r="U127" s="527">
        <v>0</v>
      </c>
      <c r="V127" s="427">
        <f t="shared" si="366"/>
        <v>0</v>
      </c>
      <c r="W127" s="421">
        <f t="shared" si="366"/>
        <v>0</v>
      </c>
      <c r="X127" s="421">
        <v>0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f>V127+X127+Y127+AA127+AB127+AD127</f>
        <v>0</v>
      </c>
      <c r="AG127" s="421">
        <f>W127+Z127+AC127+AE127</f>
        <v>0</v>
      </c>
      <c r="AH127" s="421">
        <f>SUM(AF127:AG127)</f>
        <v>0</v>
      </c>
      <c r="AI127" s="421">
        <v>0</v>
      </c>
      <c r="AJ127" s="421">
        <v>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367"/>
        <v>0</v>
      </c>
      <c r="AP127" s="421">
        <f>AJ127+AN127</f>
        <v>0</v>
      </c>
      <c r="AQ127" s="421">
        <f>SUM(AO127:AP127)</f>
        <v>0</v>
      </c>
      <c r="AR127" s="421">
        <f t="shared" si="368"/>
        <v>0</v>
      </c>
      <c r="AS127" s="421">
        <f t="shared" si="368"/>
        <v>0</v>
      </c>
      <c r="AT127" s="421">
        <f>SUM(AR127:AS127)</f>
        <v>0</v>
      </c>
      <c r="AU127" s="68">
        <f t="shared" si="369"/>
        <v>0</v>
      </c>
      <c r="AV127" s="68">
        <f>ROUND(AH127*1%,0)</f>
        <v>0</v>
      </c>
      <c r="AW127" s="421">
        <v>0</v>
      </c>
      <c r="AX127" s="421">
        <v>0</v>
      </c>
      <c r="AY127" s="421">
        <f>AW127+AX127</f>
        <v>0</v>
      </c>
      <c r="AZ127" s="421">
        <f>AT127+AU127+AV127+AY127</f>
        <v>0</v>
      </c>
      <c r="BA127" s="422">
        <v>0</v>
      </c>
      <c r="BB127" s="422">
        <v>0</v>
      </c>
      <c r="BC127" s="422">
        <v>0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f>BA127+BC127+BD127+BF127+BH127+BI127</f>
        <v>0</v>
      </c>
      <c r="BL127" s="422">
        <f>BB127+BE127+BG127+BJ127</f>
        <v>0</v>
      </c>
      <c r="BM127" s="611">
        <f>SUM(BK127:BL127)</f>
        <v>0</v>
      </c>
      <c r="BN127" s="428">
        <f>I127+AZ127</f>
        <v>0</v>
      </c>
      <c r="BO127" s="421">
        <f>J127+AH127</f>
        <v>0</v>
      </c>
      <c r="BP127" s="421">
        <f t="shared" si="370"/>
        <v>0</v>
      </c>
      <c r="BQ127" s="421">
        <f t="shared" si="370"/>
        <v>0</v>
      </c>
      <c r="BR127" s="421">
        <f>M127+AQ127</f>
        <v>0</v>
      </c>
      <c r="BS127" s="421">
        <f t="shared" si="371"/>
        <v>0</v>
      </c>
      <c r="BT127" s="421">
        <f t="shared" si="371"/>
        <v>0</v>
      </c>
      <c r="BU127" s="421">
        <f t="shared" si="372"/>
        <v>0</v>
      </c>
      <c r="BV127" s="421">
        <f t="shared" si="372"/>
        <v>0</v>
      </c>
      <c r="BW127" s="421">
        <f>R127+AY127</f>
        <v>0</v>
      </c>
      <c r="BX127" s="422">
        <f>S127+BM127</f>
        <v>0</v>
      </c>
      <c r="BY127" s="422">
        <f t="shared" si="373"/>
        <v>0</v>
      </c>
      <c r="BZ127" s="611">
        <f t="shared" si="373"/>
        <v>0</v>
      </c>
      <c r="CA127" s="875"/>
      <c r="CB127" s="872"/>
      <c r="CC127" s="872"/>
      <c r="CD127" s="872"/>
      <c r="CE127" s="872"/>
      <c r="CF127" s="876"/>
    </row>
    <row r="128" spans="1:84" ht="12.95" customHeight="1" x14ac:dyDescent="0.25">
      <c r="A128" s="282">
        <v>25</v>
      </c>
      <c r="B128" s="213">
        <v>5433</v>
      </c>
      <c r="C128" s="213">
        <v>600099253</v>
      </c>
      <c r="D128" s="283">
        <v>70695300</v>
      </c>
      <c r="E128" s="374" t="s">
        <v>498</v>
      </c>
      <c r="F128" s="213">
        <v>3141</v>
      </c>
      <c r="G128" s="375" t="s">
        <v>295</v>
      </c>
      <c r="H128" s="287" t="s">
        <v>272</v>
      </c>
      <c r="I128" s="423">
        <f>J128+P128+Q128+R128</f>
        <v>298056</v>
      </c>
      <c r="J128" s="418">
        <f>K128+L128</f>
        <v>220097</v>
      </c>
      <c r="K128" s="418">
        <v>0</v>
      </c>
      <c r="L128" s="418">
        <v>220097</v>
      </c>
      <c r="M128" s="418">
        <f t="shared" si="365"/>
        <v>0</v>
      </c>
      <c r="N128" s="418">
        <v>0</v>
      </c>
      <c r="O128" s="418">
        <v>0</v>
      </c>
      <c r="P128" s="68">
        <f>ROUND((J128+M128)*33.8%,0)</f>
        <v>74393</v>
      </c>
      <c r="Q128" s="68">
        <f>ROUND(J128*1%,0)</f>
        <v>2201</v>
      </c>
      <c r="R128" s="418">
        <v>1365</v>
      </c>
      <c r="S128" s="419">
        <f t="shared" si="205"/>
        <v>0.66</v>
      </c>
      <c r="T128" s="419">
        <v>0</v>
      </c>
      <c r="U128" s="527">
        <v>0.66</v>
      </c>
      <c r="V128" s="427">
        <f t="shared" si="366"/>
        <v>0</v>
      </c>
      <c r="W128" s="421">
        <f t="shared" si="366"/>
        <v>0</v>
      </c>
      <c r="X128" s="421">
        <v>0</v>
      </c>
      <c r="Y128" s="421">
        <v>0</v>
      </c>
      <c r="Z128" s="421">
        <v>0</v>
      </c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f>V128+X128+Y128+AA128+AB128+AD128</f>
        <v>0</v>
      </c>
      <c r="AG128" s="421">
        <f>W128+Z128+AC128+AE128</f>
        <v>0</v>
      </c>
      <c r="AH128" s="421">
        <f>SUM(AF128:AG128)</f>
        <v>0</v>
      </c>
      <c r="AI128" s="421">
        <v>0</v>
      </c>
      <c r="AJ128" s="421">
        <v>0</v>
      </c>
      <c r="AK128" s="421">
        <v>0</v>
      </c>
      <c r="AL128" s="421">
        <v>0</v>
      </c>
      <c r="AM128" s="421">
        <v>0</v>
      </c>
      <c r="AN128" s="421">
        <v>0</v>
      </c>
      <c r="AO128" s="421">
        <f t="shared" si="367"/>
        <v>0</v>
      </c>
      <c r="AP128" s="421">
        <f>AJ128+AN128</f>
        <v>0</v>
      </c>
      <c r="AQ128" s="421">
        <f>SUM(AO128:AP128)</f>
        <v>0</v>
      </c>
      <c r="AR128" s="421">
        <f t="shared" si="368"/>
        <v>0</v>
      </c>
      <c r="AS128" s="421">
        <f t="shared" si="368"/>
        <v>0</v>
      </c>
      <c r="AT128" s="421">
        <f>SUM(AR128:AS128)</f>
        <v>0</v>
      </c>
      <c r="AU128" s="68">
        <f t="shared" si="369"/>
        <v>0</v>
      </c>
      <c r="AV128" s="68">
        <f>ROUND(AH128*1%,0)</f>
        <v>0</v>
      </c>
      <c r="AW128" s="421">
        <v>0</v>
      </c>
      <c r="AX128" s="421">
        <v>0</v>
      </c>
      <c r="AY128" s="421">
        <f>AW128+AX128</f>
        <v>0</v>
      </c>
      <c r="AZ128" s="421">
        <f>AT128+AU128+AV128+AY128</f>
        <v>0</v>
      </c>
      <c r="BA128" s="422">
        <v>0</v>
      </c>
      <c r="BB128" s="422">
        <v>0</v>
      </c>
      <c r="BC128" s="422">
        <v>0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>BA128+BC128+BD128+BF128+BH128+BI128</f>
        <v>0</v>
      </c>
      <c r="BL128" s="422">
        <f>BB128+BE128+BG128+BJ128</f>
        <v>0</v>
      </c>
      <c r="BM128" s="611">
        <f>SUM(BK128:BL128)</f>
        <v>0</v>
      </c>
      <c r="BN128" s="428">
        <f>I128+AZ128</f>
        <v>298056</v>
      </c>
      <c r="BO128" s="421">
        <f>J128+AH128</f>
        <v>220097</v>
      </c>
      <c r="BP128" s="421">
        <f t="shared" si="370"/>
        <v>0</v>
      </c>
      <c r="BQ128" s="421">
        <f t="shared" si="370"/>
        <v>220097</v>
      </c>
      <c r="BR128" s="421">
        <f>M128+AQ128</f>
        <v>0</v>
      </c>
      <c r="BS128" s="421">
        <f t="shared" si="371"/>
        <v>0</v>
      </c>
      <c r="BT128" s="421">
        <f t="shared" si="371"/>
        <v>0</v>
      </c>
      <c r="BU128" s="421">
        <f t="shared" si="372"/>
        <v>74393</v>
      </c>
      <c r="BV128" s="421">
        <f t="shared" si="372"/>
        <v>2201</v>
      </c>
      <c r="BW128" s="421">
        <f>R128+AY128</f>
        <v>1365</v>
      </c>
      <c r="BX128" s="422">
        <f>S128+BM128</f>
        <v>0.66</v>
      </c>
      <c r="BY128" s="422">
        <f t="shared" si="373"/>
        <v>0</v>
      </c>
      <c r="BZ128" s="611">
        <f t="shared" si="373"/>
        <v>0.66</v>
      </c>
      <c r="CA128" s="875"/>
      <c r="CB128" s="872"/>
      <c r="CC128" s="872"/>
      <c r="CD128" s="872"/>
      <c r="CE128" s="872"/>
      <c r="CF128" s="876"/>
    </row>
    <row r="129" spans="1:84" ht="12.95" customHeight="1" x14ac:dyDescent="0.25">
      <c r="A129" s="282">
        <v>25</v>
      </c>
      <c r="B129" s="213">
        <v>5433</v>
      </c>
      <c r="C129" s="213">
        <v>600099253</v>
      </c>
      <c r="D129" s="283">
        <v>70695300</v>
      </c>
      <c r="E129" s="373" t="s">
        <v>498</v>
      </c>
      <c r="F129" s="384">
        <v>3143</v>
      </c>
      <c r="G129" s="325" t="s">
        <v>596</v>
      </c>
      <c r="H129" s="287" t="s">
        <v>271</v>
      </c>
      <c r="I129" s="423">
        <f>J129+P129+Q129+R129</f>
        <v>679790</v>
      </c>
      <c r="J129" s="418">
        <f>K129+L129</f>
        <v>504295</v>
      </c>
      <c r="K129" s="418">
        <v>504295</v>
      </c>
      <c r="L129" s="418">
        <v>0</v>
      </c>
      <c r="M129" s="418">
        <f t="shared" si="365"/>
        <v>0</v>
      </c>
      <c r="N129" s="418">
        <v>0</v>
      </c>
      <c r="O129" s="418">
        <v>0</v>
      </c>
      <c r="P129" s="68">
        <f>ROUND((J129+M129)*33.8%,0)</f>
        <v>170452</v>
      </c>
      <c r="Q129" s="68">
        <f>ROUND(J129*1%,0)</f>
        <v>5043</v>
      </c>
      <c r="R129" s="418">
        <v>0</v>
      </c>
      <c r="S129" s="419">
        <f t="shared" si="205"/>
        <v>1</v>
      </c>
      <c r="T129" s="419">
        <v>1</v>
      </c>
      <c r="U129" s="527">
        <v>0</v>
      </c>
      <c r="V129" s="427">
        <f t="shared" si="366"/>
        <v>0</v>
      </c>
      <c r="W129" s="421">
        <f t="shared" si="366"/>
        <v>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f>V129+X129+Y129+AA129+AB129+AD129</f>
        <v>0</v>
      </c>
      <c r="AG129" s="421">
        <f>W129+Z129+AC129+AE129</f>
        <v>0</v>
      </c>
      <c r="AH129" s="421">
        <f>SUM(AF129:AG129)</f>
        <v>0</v>
      </c>
      <c r="AI129" s="421">
        <v>0</v>
      </c>
      <c r="AJ129" s="421">
        <v>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367"/>
        <v>0</v>
      </c>
      <c r="AP129" s="421">
        <f>AJ129+AN129</f>
        <v>0</v>
      </c>
      <c r="AQ129" s="421">
        <f>SUM(AO129:AP129)</f>
        <v>0</v>
      </c>
      <c r="AR129" s="421">
        <f t="shared" si="368"/>
        <v>0</v>
      </c>
      <c r="AS129" s="421">
        <f t="shared" si="368"/>
        <v>0</v>
      </c>
      <c r="AT129" s="421">
        <f>SUM(AR129:AS129)</f>
        <v>0</v>
      </c>
      <c r="AU129" s="68">
        <f t="shared" si="369"/>
        <v>0</v>
      </c>
      <c r="AV129" s="68">
        <f>ROUND(AH129*1%,0)</f>
        <v>0</v>
      </c>
      <c r="AW129" s="421">
        <v>0</v>
      </c>
      <c r="AX129" s="421">
        <v>0</v>
      </c>
      <c r="AY129" s="421">
        <f>AW129+AX129</f>
        <v>0</v>
      </c>
      <c r="AZ129" s="421">
        <f>AT129+AU129+AV129+AY129</f>
        <v>0</v>
      </c>
      <c r="BA129" s="422">
        <v>0</v>
      </c>
      <c r="BB129" s="422">
        <v>0</v>
      </c>
      <c r="BC129" s="422">
        <v>0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</v>
      </c>
      <c r="BK129" s="422">
        <f>BA129+BC129+BD129+BF129+BH129+BI129</f>
        <v>0</v>
      </c>
      <c r="BL129" s="422">
        <f>BB129+BE129+BG129+BJ129</f>
        <v>0</v>
      </c>
      <c r="BM129" s="611">
        <f>SUM(BK129:BL129)</f>
        <v>0</v>
      </c>
      <c r="BN129" s="428">
        <f>I129+AZ129</f>
        <v>679790</v>
      </c>
      <c r="BO129" s="421">
        <f>J129+AH129</f>
        <v>504295</v>
      </c>
      <c r="BP129" s="421">
        <f t="shared" si="370"/>
        <v>504295</v>
      </c>
      <c r="BQ129" s="421">
        <f t="shared" si="370"/>
        <v>0</v>
      </c>
      <c r="BR129" s="421">
        <f>M129+AQ129</f>
        <v>0</v>
      </c>
      <c r="BS129" s="421">
        <f t="shared" si="371"/>
        <v>0</v>
      </c>
      <c r="BT129" s="421">
        <f t="shared" si="371"/>
        <v>0</v>
      </c>
      <c r="BU129" s="421">
        <f t="shared" si="372"/>
        <v>170452</v>
      </c>
      <c r="BV129" s="421">
        <f t="shared" si="372"/>
        <v>5043</v>
      </c>
      <c r="BW129" s="421">
        <f>R129+AY129</f>
        <v>0</v>
      </c>
      <c r="BX129" s="422">
        <f>S129+BM129</f>
        <v>1</v>
      </c>
      <c r="BY129" s="422">
        <f t="shared" si="373"/>
        <v>1</v>
      </c>
      <c r="BZ129" s="611">
        <f t="shared" si="373"/>
        <v>0</v>
      </c>
      <c r="CA129" s="875"/>
      <c r="CB129" s="872"/>
      <c r="CC129" s="872"/>
      <c r="CD129" s="872"/>
      <c r="CE129" s="872"/>
      <c r="CF129" s="876"/>
    </row>
    <row r="130" spans="1:84" ht="12.95" customHeight="1" x14ac:dyDescent="0.25">
      <c r="A130" s="282">
        <v>25</v>
      </c>
      <c r="B130" s="213">
        <v>5433</v>
      </c>
      <c r="C130" s="213">
        <v>600099253</v>
      </c>
      <c r="D130" s="283">
        <v>70695300</v>
      </c>
      <c r="E130" s="373" t="s">
        <v>498</v>
      </c>
      <c r="F130" s="384">
        <v>3143</v>
      </c>
      <c r="G130" s="325" t="s">
        <v>597</v>
      </c>
      <c r="H130" s="287" t="s">
        <v>272</v>
      </c>
      <c r="I130" s="423">
        <f>J130+P130+Q130+R130</f>
        <v>13314</v>
      </c>
      <c r="J130" s="418">
        <f>K130+L130</f>
        <v>9530</v>
      </c>
      <c r="K130" s="418">
        <v>0</v>
      </c>
      <c r="L130" s="418">
        <v>9530</v>
      </c>
      <c r="M130" s="418">
        <f t="shared" si="365"/>
        <v>0</v>
      </c>
      <c r="N130" s="418">
        <v>0</v>
      </c>
      <c r="O130" s="418">
        <v>0</v>
      </c>
      <c r="P130" s="68">
        <f>ROUND((J130+M130)*33.8%,0)</f>
        <v>3221</v>
      </c>
      <c r="Q130" s="68">
        <f>ROUND(J130*1%,0)</f>
        <v>95</v>
      </c>
      <c r="R130" s="418">
        <v>468</v>
      </c>
      <c r="S130" s="419">
        <f t="shared" si="205"/>
        <v>3.61E-2</v>
      </c>
      <c r="T130" s="419">
        <v>0</v>
      </c>
      <c r="U130" s="527">
        <v>3.61E-2</v>
      </c>
      <c r="V130" s="427">
        <f t="shared" si="366"/>
        <v>0</v>
      </c>
      <c r="W130" s="421">
        <f t="shared" si="366"/>
        <v>0</v>
      </c>
      <c r="X130" s="421">
        <v>0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0</v>
      </c>
      <c r="AE130" s="421">
        <v>0</v>
      </c>
      <c r="AF130" s="421">
        <f>V130+X130+Y130+AA130+AB130+AD130</f>
        <v>0</v>
      </c>
      <c r="AG130" s="421">
        <f>W130+Z130+AC130+AE130</f>
        <v>0</v>
      </c>
      <c r="AH130" s="421">
        <f>SUM(AF130:AG130)</f>
        <v>0</v>
      </c>
      <c r="AI130" s="421">
        <v>0</v>
      </c>
      <c r="AJ130" s="421">
        <v>0</v>
      </c>
      <c r="AK130" s="421">
        <v>0</v>
      </c>
      <c r="AL130" s="421">
        <v>0</v>
      </c>
      <c r="AM130" s="421">
        <v>0</v>
      </c>
      <c r="AN130" s="421">
        <v>0</v>
      </c>
      <c r="AO130" s="421">
        <f t="shared" si="367"/>
        <v>0</v>
      </c>
      <c r="AP130" s="421">
        <f>AJ130+AN130</f>
        <v>0</v>
      </c>
      <c r="AQ130" s="421">
        <f>SUM(AO130:AP130)</f>
        <v>0</v>
      </c>
      <c r="AR130" s="421">
        <f t="shared" si="368"/>
        <v>0</v>
      </c>
      <c r="AS130" s="421">
        <f t="shared" si="368"/>
        <v>0</v>
      </c>
      <c r="AT130" s="421">
        <f>SUM(AR130:AS130)</f>
        <v>0</v>
      </c>
      <c r="AU130" s="68">
        <f t="shared" si="369"/>
        <v>0</v>
      </c>
      <c r="AV130" s="68">
        <f>ROUND(AH130*1%,0)</f>
        <v>0</v>
      </c>
      <c r="AW130" s="421">
        <v>0</v>
      </c>
      <c r="AX130" s="421">
        <v>0</v>
      </c>
      <c r="AY130" s="421">
        <f>AW130+AX130</f>
        <v>0</v>
      </c>
      <c r="AZ130" s="421">
        <f>AT130+AU130+AV130+AY130</f>
        <v>0</v>
      </c>
      <c r="BA130" s="422">
        <v>0</v>
      </c>
      <c r="BB130" s="422">
        <v>0</v>
      </c>
      <c r="BC130" s="422">
        <v>0</v>
      </c>
      <c r="BD130" s="422">
        <v>0</v>
      </c>
      <c r="BE130" s="422">
        <v>0</v>
      </c>
      <c r="BF130" s="422">
        <v>0</v>
      </c>
      <c r="BG130" s="422">
        <v>0</v>
      </c>
      <c r="BH130" s="422">
        <v>0</v>
      </c>
      <c r="BI130" s="422">
        <v>0</v>
      </c>
      <c r="BJ130" s="422">
        <v>0</v>
      </c>
      <c r="BK130" s="422">
        <f>BA130+BC130+BD130+BF130+BH130+BI130</f>
        <v>0</v>
      </c>
      <c r="BL130" s="422">
        <f>BB130+BE130+BG130+BJ130</f>
        <v>0</v>
      </c>
      <c r="BM130" s="611">
        <f>SUM(BK130:BL130)</f>
        <v>0</v>
      </c>
      <c r="BN130" s="428">
        <f>I130+AZ130</f>
        <v>13314</v>
      </c>
      <c r="BO130" s="421">
        <f>J130+AH130</f>
        <v>9530</v>
      </c>
      <c r="BP130" s="421">
        <f t="shared" si="370"/>
        <v>0</v>
      </c>
      <c r="BQ130" s="421">
        <f t="shared" si="370"/>
        <v>9530</v>
      </c>
      <c r="BR130" s="421">
        <f>M130+AQ130</f>
        <v>0</v>
      </c>
      <c r="BS130" s="421">
        <f t="shared" si="371"/>
        <v>0</v>
      </c>
      <c r="BT130" s="421">
        <f t="shared" si="371"/>
        <v>0</v>
      </c>
      <c r="BU130" s="421">
        <f t="shared" si="372"/>
        <v>3221</v>
      </c>
      <c r="BV130" s="421">
        <f t="shared" si="372"/>
        <v>95</v>
      </c>
      <c r="BW130" s="421">
        <f>R130+AY130</f>
        <v>468</v>
      </c>
      <c r="BX130" s="422">
        <f>S130+BM130</f>
        <v>3.61E-2</v>
      </c>
      <c r="BY130" s="422">
        <f t="shared" si="373"/>
        <v>0</v>
      </c>
      <c r="BZ130" s="611">
        <f t="shared" si="373"/>
        <v>3.61E-2</v>
      </c>
      <c r="CA130" s="831"/>
      <c r="CB130" s="782"/>
      <c r="CC130" s="782"/>
      <c r="CD130" s="782"/>
      <c r="CE130" s="782"/>
      <c r="CF130" s="832"/>
    </row>
    <row r="131" spans="1:84" ht="12.95" customHeight="1" x14ac:dyDescent="0.25">
      <c r="A131" s="214">
        <v>25</v>
      </c>
      <c r="B131" s="45">
        <v>5433</v>
      </c>
      <c r="C131" s="45">
        <v>600099253</v>
      </c>
      <c r="D131" s="45">
        <v>70695300</v>
      </c>
      <c r="E131" s="385" t="s">
        <v>499</v>
      </c>
      <c r="F131" s="386"/>
      <c r="G131" s="385"/>
      <c r="H131" s="387"/>
      <c r="I131" s="472">
        <f t="shared" ref="I131:BU131" si="376">SUM(I126:I130)</f>
        <v>4305345</v>
      </c>
      <c r="J131" s="468">
        <f t="shared" si="376"/>
        <v>3157306</v>
      </c>
      <c r="K131" s="468">
        <f t="shared" si="376"/>
        <v>2698056</v>
      </c>
      <c r="L131" s="468">
        <f t="shared" si="376"/>
        <v>459250</v>
      </c>
      <c r="M131" s="468">
        <f t="shared" si="376"/>
        <v>0</v>
      </c>
      <c r="N131" s="468">
        <f t="shared" si="376"/>
        <v>0</v>
      </c>
      <c r="O131" s="468">
        <f t="shared" si="376"/>
        <v>0</v>
      </c>
      <c r="P131" s="468">
        <f t="shared" si="376"/>
        <v>1067170</v>
      </c>
      <c r="Q131" s="468">
        <f t="shared" si="376"/>
        <v>31573</v>
      </c>
      <c r="R131" s="468">
        <f t="shared" si="376"/>
        <v>49296</v>
      </c>
      <c r="S131" s="469">
        <f t="shared" si="376"/>
        <v>5.7237</v>
      </c>
      <c r="T131" s="469">
        <f t="shared" si="376"/>
        <v>4.4348000000000001</v>
      </c>
      <c r="U131" s="281">
        <f t="shared" si="376"/>
        <v>1.2889000000000002</v>
      </c>
      <c r="V131" s="474">
        <f t="shared" si="376"/>
        <v>0</v>
      </c>
      <c r="W131" s="468">
        <f t="shared" si="376"/>
        <v>0</v>
      </c>
      <c r="X131" s="468">
        <f t="shared" si="376"/>
        <v>0</v>
      </c>
      <c r="Y131" s="468">
        <f t="shared" si="376"/>
        <v>0</v>
      </c>
      <c r="Z131" s="468">
        <f t="shared" si="376"/>
        <v>0</v>
      </c>
      <c r="AA131" s="468">
        <f t="shared" si="376"/>
        <v>0</v>
      </c>
      <c r="AB131" s="468">
        <f t="shared" si="376"/>
        <v>0</v>
      </c>
      <c r="AC131" s="468">
        <f t="shared" si="376"/>
        <v>0</v>
      </c>
      <c r="AD131" s="468">
        <f t="shared" si="376"/>
        <v>0</v>
      </c>
      <c r="AE131" s="468">
        <f t="shared" si="376"/>
        <v>0</v>
      </c>
      <c r="AF131" s="468">
        <f t="shared" si="376"/>
        <v>0</v>
      </c>
      <c r="AG131" s="468">
        <f t="shared" si="376"/>
        <v>0</v>
      </c>
      <c r="AH131" s="468">
        <f t="shared" si="376"/>
        <v>0</v>
      </c>
      <c r="AI131" s="468">
        <f t="shared" si="376"/>
        <v>0</v>
      </c>
      <c r="AJ131" s="468">
        <f t="shared" si="376"/>
        <v>0</v>
      </c>
      <c r="AK131" s="468">
        <f t="shared" ref="AK131" si="377">SUM(AK126:AK130)</f>
        <v>0</v>
      </c>
      <c r="AL131" s="468">
        <f t="shared" si="376"/>
        <v>0</v>
      </c>
      <c r="AM131" s="468">
        <f t="shared" si="376"/>
        <v>0</v>
      </c>
      <c r="AN131" s="468">
        <f t="shared" si="376"/>
        <v>0</v>
      </c>
      <c r="AO131" s="468">
        <f t="shared" si="376"/>
        <v>0</v>
      </c>
      <c r="AP131" s="468">
        <f t="shared" si="376"/>
        <v>0</v>
      </c>
      <c r="AQ131" s="468">
        <f t="shared" si="376"/>
        <v>0</v>
      </c>
      <c r="AR131" s="468">
        <f t="shared" si="376"/>
        <v>0</v>
      </c>
      <c r="AS131" s="468">
        <f t="shared" si="376"/>
        <v>0</v>
      </c>
      <c r="AT131" s="468">
        <f t="shared" si="376"/>
        <v>0</v>
      </c>
      <c r="AU131" s="468">
        <f t="shared" si="376"/>
        <v>0</v>
      </c>
      <c r="AV131" s="468">
        <f t="shared" si="376"/>
        <v>0</v>
      </c>
      <c r="AW131" s="468">
        <f t="shared" si="376"/>
        <v>0</v>
      </c>
      <c r="AX131" s="468">
        <f t="shared" si="376"/>
        <v>0</v>
      </c>
      <c r="AY131" s="468">
        <f t="shared" si="376"/>
        <v>0</v>
      </c>
      <c r="AZ131" s="468">
        <f t="shared" si="376"/>
        <v>0</v>
      </c>
      <c r="BA131" s="469">
        <f t="shared" si="376"/>
        <v>0</v>
      </c>
      <c r="BB131" s="469">
        <f t="shared" si="376"/>
        <v>0</v>
      </c>
      <c r="BC131" s="469">
        <f t="shared" si="376"/>
        <v>0</v>
      </c>
      <c r="BD131" s="469">
        <f t="shared" si="376"/>
        <v>0</v>
      </c>
      <c r="BE131" s="469">
        <f t="shared" si="376"/>
        <v>0</v>
      </c>
      <c r="BF131" s="469">
        <f t="shared" si="376"/>
        <v>0</v>
      </c>
      <c r="BG131" s="469">
        <f t="shared" si="376"/>
        <v>0</v>
      </c>
      <c r="BH131" s="469">
        <f t="shared" si="376"/>
        <v>0</v>
      </c>
      <c r="BI131" s="469">
        <f t="shared" si="376"/>
        <v>0</v>
      </c>
      <c r="BJ131" s="469">
        <f t="shared" si="376"/>
        <v>0</v>
      </c>
      <c r="BK131" s="469">
        <f t="shared" si="376"/>
        <v>0</v>
      </c>
      <c r="BL131" s="469">
        <f t="shared" si="376"/>
        <v>0</v>
      </c>
      <c r="BM131" s="562">
        <f t="shared" si="376"/>
        <v>0</v>
      </c>
      <c r="BN131" s="472">
        <f t="shared" si="376"/>
        <v>4305345</v>
      </c>
      <c r="BO131" s="468">
        <f t="shared" si="376"/>
        <v>3157306</v>
      </c>
      <c r="BP131" s="468">
        <f t="shared" si="376"/>
        <v>2698056</v>
      </c>
      <c r="BQ131" s="468">
        <f t="shared" si="376"/>
        <v>459250</v>
      </c>
      <c r="BR131" s="468">
        <f t="shared" si="376"/>
        <v>0</v>
      </c>
      <c r="BS131" s="468">
        <f t="shared" si="376"/>
        <v>0</v>
      </c>
      <c r="BT131" s="468">
        <f t="shared" si="376"/>
        <v>0</v>
      </c>
      <c r="BU131" s="468">
        <f t="shared" si="376"/>
        <v>1067170</v>
      </c>
      <c r="BV131" s="468">
        <f t="shared" ref="BV131:CF131" si="378">SUM(BV126:BV130)</f>
        <v>31573</v>
      </c>
      <c r="BW131" s="468">
        <f t="shared" si="378"/>
        <v>49296</v>
      </c>
      <c r="BX131" s="469">
        <f t="shared" si="378"/>
        <v>5.7237</v>
      </c>
      <c r="BY131" s="469">
        <f t="shared" si="378"/>
        <v>4.4348000000000001</v>
      </c>
      <c r="BZ131" s="562">
        <f t="shared" si="378"/>
        <v>1.2889000000000002</v>
      </c>
      <c r="CA131" s="873">
        <f t="shared" si="378"/>
        <v>0</v>
      </c>
      <c r="CB131" s="850">
        <f t="shared" si="378"/>
        <v>0</v>
      </c>
      <c r="CC131" s="850">
        <f t="shared" si="378"/>
        <v>0</v>
      </c>
      <c r="CD131" s="850">
        <f t="shared" si="378"/>
        <v>0</v>
      </c>
      <c r="CE131" s="850">
        <f t="shared" si="378"/>
        <v>0</v>
      </c>
      <c r="CF131" s="841">
        <f t="shared" si="378"/>
        <v>0</v>
      </c>
    </row>
    <row r="132" spans="1:84" ht="12.95" customHeight="1" x14ac:dyDescent="0.25">
      <c r="A132" s="282">
        <v>26</v>
      </c>
      <c r="B132" s="213">
        <v>5486</v>
      </c>
      <c r="C132" s="213">
        <v>600098711</v>
      </c>
      <c r="D132" s="283">
        <v>72744022</v>
      </c>
      <c r="E132" s="374" t="s">
        <v>500</v>
      </c>
      <c r="F132" s="213">
        <v>3111</v>
      </c>
      <c r="G132" s="375" t="s">
        <v>305</v>
      </c>
      <c r="H132" s="287" t="s">
        <v>271</v>
      </c>
      <c r="I132" s="423">
        <f>J132+P132+Q132+R132</f>
        <v>2049549</v>
      </c>
      <c r="J132" s="418">
        <f>K132+L132</f>
        <v>1515683</v>
      </c>
      <c r="K132" s="418">
        <v>1398142</v>
      </c>
      <c r="L132" s="418">
        <v>117541</v>
      </c>
      <c r="M132" s="418">
        <f t="shared" ref="M132:M134" si="379">N132+O132</f>
        <v>0</v>
      </c>
      <c r="N132" s="418">
        <v>0</v>
      </c>
      <c r="O132" s="418">
        <v>0</v>
      </c>
      <c r="P132" s="68">
        <f>ROUND((J132+M132)*33.8%,0)</f>
        <v>512301</v>
      </c>
      <c r="Q132" s="68">
        <f>ROUND(J132*1%,0)</f>
        <v>15157</v>
      </c>
      <c r="R132" s="418">
        <v>6408</v>
      </c>
      <c r="S132" s="419">
        <f t="shared" si="205"/>
        <v>2.69</v>
      </c>
      <c r="T132" s="419">
        <v>2.29</v>
      </c>
      <c r="U132" s="527">
        <v>0.4</v>
      </c>
      <c r="V132" s="427">
        <f t="shared" ref="V132:W134" si="380">AI132*-1</f>
        <v>0</v>
      </c>
      <c r="W132" s="421">
        <f t="shared" si="380"/>
        <v>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f>V132+X132+Y132+AA132+AB132+AD132</f>
        <v>0</v>
      </c>
      <c r="AG132" s="421">
        <f>W132+Z132+AC132+AE132</f>
        <v>0</v>
      </c>
      <c r="AH132" s="421">
        <f>SUM(AF132:AG132)</f>
        <v>0</v>
      </c>
      <c r="AI132" s="421">
        <v>0</v>
      </c>
      <c r="AJ132" s="421">
        <v>0</v>
      </c>
      <c r="AK132" s="421">
        <v>0</v>
      </c>
      <c r="AL132" s="421">
        <v>0</v>
      </c>
      <c r="AM132" s="421">
        <v>0</v>
      </c>
      <c r="AN132" s="421">
        <v>0</v>
      </c>
      <c r="AO132" s="421">
        <f t="shared" ref="AO132:AO134" si="381">AI132+AK132+AL132+AM132</f>
        <v>0</v>
      </c>
      <c r="AP132" s="421">
        <f>AJ132+AN132</f>
        <v>0</v>
      </c>
      <c r="AQ132" s="421">
        <f>SUM(AO132:AP132)</f>
        <v>0</v>
      </c>
      <c r="AR132" s="421">
        <f t="shared" ref="AR132:AS134" si="382">AF132+AO132</f>
        <v>0</v>
      </c>
      <c r="AS132" s="421">
        <f t="shared" si="382"/>
        <v>0</v>
      </c>
      <c r="AT132" s="421">
        <f>SUM(AR132:AS132)</f>
        <v>0</v>
      </c>
      <c r="AU132" s="68">
        <f t="shared" ref="AU132:AU134" si="383">ROUND((AH132+AI132+AJ132+AK132+AL132)*33.8%,0)</f>
        <v>0</v>
      </c>
      <c r="AV132" s="68">
        <f>ROUND(AH132*1%,0)</f>
        <v>0</v>
      </c>
      <c r="AW132" s="421">
        <v>0</v>
      </c>
      <c r="AX132" s="421">
        <v>0</v>
      </c>
      <c r="AY132" s="421">
        <f>AW132+AX132</f>
        <v>0</v>
      </c>
      <c r="AZ132" s="421">
        <f>AT132+AU132+AV132+AY132</f>
        <v>0</v>
      </c>
      <c r="BA132" s="422">
        <v>0</v>
      </c>
      <c r="BB132" s="422">
        <v>0</v>
      </c>
      <c r="BC132" s="422">
        <v>0</v>
      </c>
      <c r="BD132" s="422">
        <v>0</v>
      </c>
      <c r="BE132" s="422">
        <v>0</v>
      </c>
      <c r="BF132" s="422">
        <v>0</v>
      </c>
      <c r="BG132" s="422">
        <v>0</v>
      </c>
      <c r="BH132" s="422">
        <v>0</v>
      </c>
      <c r="BI132" s="422">
        <v>0</v>
      </c>
      <c r="BJ132" s="422">
        <v>0</v>
      </c>
      <c r="BK132" s="422">
        <f>BA132+BC132+BD132+BF132+BH132+BI132</f>
        <v>0</v>
      </c>
      <c r="BL132" s="422">
        <f>BB132+BE132+BG132+BJ132</f>
        <v>0</v>
      </c>
      <c r="BM132" s="611">
        <f>SUM(BK132:BL132)</f>
        <v>0</v>
      </c>
      <c r="BN132" s="428">
        <f>I132+AZ132</f>
        <v>2049549</v>
      </c>
      <c r="BO132" s="421">
        <f>J132+AH132</f>
        <v>1515683</v>
      </c>
      <c r="BP132" s="421">
        <f t="shared" ref="BP132:BQ134" si="384">K132+AF132</f>
        <v>1398142</v>
      </c>
      <c r="BQ132" s="421">
        <f t="shared" si="384"/>
        <v>117541</v>
      </c>
      <c r="BR132" s="421">
        <f>M132+AQ132</f>
        <v>0</v>
      </c>
      <c r="BS132" s="421">
        <f t="shared" ref="BS132:BT134" si="385">N132+AO132</f>
        <v>0</v>
      </c>
      <c r="BT132" s="421">
        <f t="shared" si="385"/>
        <v>0</v>
      </c>
      <c r="BU132" s="421">
        <f t="shared" ref="BU132:BV134" si="386">P132+AU132</f>
        <v>512301</v>
      </c>
      <c r="BV132" s="421">
        <f t="shared" si="386"/>
        <v>15157</v>
      </c>
      <c r="BW132" s="421">
        <f>R132+AY132</f>
        <v>6408</v>
      </c>
      <c r="BX132" s="422">
        <f>S132+BM132</f>
        <v>2.69</v>
      </c>
      <c r="BY132" s="422">
        <f t="shared" ref="BY132:BZ134" si="387">T132+BK132</f>
        <v>2.29</v>
      </c>
      <c r="BZ132" s="611">
        <f t="shared" si="387"/>
        <v>0.4</v>
      </c>
      <c r="CA132" s="875"/>
      <c r="CB132" s="872"/>
      <c r="CC132" s="872"/>
      <c r="CD132" s="872"/>
      <c r="CE132" s="872"/>
      <c r="CF132" s="876"/>
    </row>
    <row r="133" spans="1:84" ht="12.95" customHeight="1" x14ac:dyDescent="0.25">
      <c r="A133" s="282">
        <v>26</v>
      </c>
      <c r="B133" s="213">
        <v>5486</v>
      </c>
      <c r="C133" s="213">
        <v>600098711</v>
      </c>
      <c r="D133" s="283">
        <v>72744022</v>
      </c>
      <c r="E133" s="374" t="s">
        <v>500</v>
      </c>
      <c r="F133" s="213">
        <v>3111</v>
      </c>
      <c r="G133" s="375" t="s">
        <v>292</v>
      </c>
      <c r="H133" s="287" t="s">
        <v>272</v>
      </c>
      <c r="I133" s="423">
        <f>J133+P133+Q133+R133</f>
        <v>0</v>
      </c>
      <c r="J133" s="418">
        <f>K133+L133</f>
        <v>0</v>
      </c>
      <c r="K133" s="418">
        <v>0</v>
      </c>
      <c r="L133" s="418">
        <v>0</v>
      </c>
      <c r="M133" s="418">
        <f t="shared" si="379"/>
        <v>0</v>
      </c>
      <c r="N133" s="418">
        <v>0</v>
      </c>
      <c r="O133" s="418">
        <v>0</v>
      </c>
      <c r="P133" s="68">
        <f t="shared" ref="P133" si="388">ROUND((J133+M133)*33.8%,0)</f>
        <v>0</v>
      </c>
      <c r="Q133" s="68">
        <f t="shared" ref="Q133" si="389">ROUND(J133*1%,0)</f>
        <v>0</v>
      </c>
      <c r="R133" s="418">
        <v>0</v>
      </c>
      <c r="S133" s="419">
        <f t="shared" si="205"/>
        <v>0</v>
      </c>
      <c r="T133" s="419">
        <v>0</v>
      </c>
      <c r="U133" s="527">
        <v>0</v>
      </c>
      <c r="V133" s="427">
        <f t="shared" si="380"/>
        <v>0</v>
      </c>
      <c r="W133" s="421">
        <f t="shared" si="380"/>
        <v>0</v>
      </c>
      <c r="X133" s="421">
        <v>185401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f>V133+X133+Y133+AA133+AB133+AD133</f>
        <v>185401</v>
      </c>
      <c r="AG133" s="421">
        <f>W133+Z133+AC133+AE133</f>
        <v>0</v>
      </c>
      <c r="AH133" s="421">
        <f>SUM(AF133:AG133)</f>
        <v>185401</v>
      </c>
      <c r="AI133" s="421">
        <v>0</v>
      </c>
      <c r="AJ133" s="421">
        <v>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381"/>
        <v>0</v>
      </c>
      <c r="AP133" s="421">
        <f>AJ133+AN133</f>
        <v>0</v>
      </c>
      <c r="AQ133" s="421">
        <f>SUM(AO133:AP133)</f>
        <v>0</v>
      </c>
      <c r="AR133" s="421">
        <f t="shared" si="382"/>
        <v>185401</v>
      </c>
      <c r="AS133" s="421">
        <f t="shared" si="382"/>
        <v>0</v>
      </c>
      <c r="AT133" s="421">
        <f>SUM(AR133:AS133)</f>
        <v>185401</v>
      </c>
      <c r="AU133" s="68">
        <f t="shared" si="383"/>
        <v>62666</v>
      </c>
      <c r="AV133" s="68">
        <f>ROUND(AH133*1%,0)</f>
        <v>1854</v>
      </c>
      <c r="AW133" s="421">
        <v>0</v>
      </c>
      <c r="AX133" s="421">
        <v>0</v>
      </c>
      <c r="AY133" s="421">
        <f>AW133+AX133</f>
        <v>0</v>
      </c>
      <c r="AZ133" s="421">
        <f>AT133+AU133+AV133+AY133</f>
        <v>249921</v>
      </c>
      <c r="BA133" s="422">
        <v>0</v>
      </c>
      <c r="BB133" s="422">
        <v>0</v>
      </c>
      <c r="BC133" s="422">
        <v>0.5</v>
      </c>
      <c r="BD133" s="422">
        <v>0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>BA133+BC133+BD133+BF133+BH133+BI133</f>
        <v>0.5</v>
      </c>
      <c r="BL133" s="422">
        <f>BB133+BE133+BG133+BJ133</f>
        <v>0</v>
      </c>
      <c r="BM133" s="611">
        <f>SUM(BK133:BL133)</f>
        <v>0.5</v>
      </c>
      <c r="BN133" s="428">
        <f>I133+AZ133</f>
        <v>249921</v>
      </c>
      <c r="BO133" s="421">
        <f>J133+AH133</f>
        <v>185401</v>
      </c>
      <c r="BP133" s="421">
        <f t="shared" si="384"/>
        <v>185401</v>
      </c>
      <c r="BQ133" s="421">
        <f t="shared" si="384"/>
        <v>0</v>
      </c>
      <c r="BR133" s="421">
        <f>M133+AQ133</f>
        <v>0</v>
      </c>
      <c r="BS133" s="421">
        <f t="shared" si="385"/>
        <v>0</v>
      </c>
      <c r="BT133" s="421">
        <f t="shared" si="385"/>
        <v>0</v>
      </c>
      <c r="BU133" s="421">
        <f t="shared" si="386"/>
        <v>62666</v>
      </c>
      <c r="BV133" s="421">
        <f t="shared" si="386"/>
        <v>1854</v>
      </c>
      <c r="BW133" s="421">
        <f>R133+AY133</f>
        <v>0</v>
      </c>
      <c r="BX133" s="422">
        <f>S133+BM133</f>
        <v>0.5</v>
      </c>
      <c r="BY133" s="422">
        <f t="shared" si="387"/>
        <v>0.5</v>
      </c>
      <c r="BZ133" s="611">
        <f t="shared" si="387"/>
        <v>0</v>
      </c>
      <c r="CA133" s="875"/>
      <c r="CB133" s="872"/>
      <c r="CC133" s="872"/>
      <c r="CD133" s="872"/>
      <c r="CE133" s="872"/>
      <c r="CF133" s="876"/>
    </row>
    <row r="134" spans="1:84" ht="12.95" customHeight="1" x14ac:dyDescent="0.25">
      <c r="A134" s="282">
        <v>26</v>
      </c>
      <c r="B134" s="213">
        <v>5486</v>
      </c>
      <c r="C134" s="213">
        <v>600098711</v>
      </c>
      <c r="D134" s="283">
        <v>72744022</v>
      </c>
      <c r="E134" s="374" t="s">
        <v>500</v>
      </c>
      <c r="F134" s="213">
        <v>3141</v>
      </c>
      <c r="G134" s="375" t="s">
        <v>295</v>
      </c>
      <c r="H134" s="287" t="s">
        <v>272</v>
      </c>
      <c r="I134" s="423">
        <f>J134+P134+Q134+R134</f>
        <v>273570</v>
      </c>
      <c r="J134" s="418">
        <f>K134+L134</f>
        <v>202322</v>
      </c>
      <c r="K134" s="418">
        <v>0</v>
      </c>
      <c r="L134" s="418">
        <v>202322</v>
      </c>
      <c r="M134" s="418">
        <f t="shared" si="379"/>
        <v>0</v>
      </c>
      <c r="N134" s="418">
        <v>0</v>
      </c>
      <c r="O134" s="418">
        <v>0</v>
      </c>
      <c r="P134" s="68">
        <f>ROUND((J134+M134)*33.8%,0)</f>
        <v>68385</v>
      </c>
      <c r="Q134" s="68">
        <f>ROUND(J134*1%,0)</f>
        <v>2023</v>
      </c>
      <c r="R134" s="418">
        <v>840</v>
      </c>
      <c r="S134" s="419">
        <f t="shared" si="205"/>
        <v>0.60670000000000002</v>
      </c>
      <c r="T134" s="419">
        <v>0</v>
      </c>
      <c r="U134" s="527">
        <v>0.60670000000000002</v>
      </c>
      <c r="V134" s="427">
        <f t="shared" si="380"/>
        <v>0</v>
      </c>
      <c r="W134" s="421">
        <f t="shared" si="380"/>
        <v>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f>V134+X134+Y134+AA134+AB134+AD134</f>
        <v>0</v>
      </c>
      <c r="AG134" s="421">
        <f>W134+Z134+AC134+AE134</f>
        <v>0</v>
      </c>
      <c r="AH134" s="421">
        <f>SUM(AF134:AG134)</f>
        <v>0</v>
      </c>
      <c r="AI134" s="421">
        <v>0</v>
      </c>
      <c r="AJ134" s="421">
        <v>0</v>
      </c>
      <c r="AK134" s="421">
        <v>0</v>
      </c>
      <c r="AL134" s="421">
        <v>0</v>
      </c>
      <c r="AM134" s="421">
        <v>0</v>
      </c>
      <c r="AN134" s="421">
        <v>0</v>
      </c>
      <c r="AO134" s="421">
        <f t="shared" si="381"/>
        <v>0</v>
      </c>
      <c r="AP134" s="421">
        <f>AJ134+AN134</f>
        <v>0</v>
      </c>
      <c r="AQ134" s="421">
        <f>SUM(AO134:AP134)</f>
        <v>0</v>
      </c>
      <c r="AR134" s="421">
        <f t="shared" si="382"/>
        <v>0</v>
      </c>
      <c r="AS134" s="421">
        <f t="shared" si="382"/>
        <v>0</v>
      </c>
      <c r="AT134" s="421">
        <f>SUM(AR134:AS134)</f>
        <v>0</v>
      </c>
      <c r="AU134" s="68">
        <f t="shared" si="383"/>
        <v>0</v>
      </c>
      <c r="AV134" s="68">
        <f>ROUND(AH134*1%,0)</f>
        <v>0</v>
      </c>
      <c r="AW134" s="421">
        <v>0</v>
      </c>
      <c r="AX134" s="421">
        <v>0</v>
      </c>
      <c r="AY134" s="421">
        <f>AW134+AX134</f>
        <v>0</v>
      </c>
      <c r="AZ134" s="421">
        <f>AT134+AU134+AV134+AY134</f>
        <v>0</v>
      </c>
      <c r="BA134" s="422">
        <v>0</v>
      </c>
      <c r="BB134" s="422">
        <v>0</v>
      </c>
      <c r="BC134" s="422">
        <v>0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>BA134+BC134+BD134+BF134+BH134+BI134</f>
        <v>0</v>
      </c>
      <c r="BL134" s="422">
        <f>BB134+BE134+BG134+BJ134</f>
        <v>0</v>
      </c>
      <c r="BM134" s="611">
        <f>SUM(BK134:BL134)</f>
        <v>0</v>
      </c>
      <c r="BN134" s="428">
        <f>I134+AZ134</f>
        <v>273570</v>
      </c>
      <c r="BO134" s="421">
        <f>J134+AH134</f>
        <v>202322</v>
      </c>
      <c r="BP134" s="421">
        <f t="shared" si="384"/>
        <v>0</v>
      </c>
      <c r="BQ134" s="421">
        <f t="shared" si="384"/>
        <v>202322</v>
      </c>
      <c r="BR134" s="421">
        <f>M134+AQ134</f>
        <v>0</v>
      </c>
      <c r="BS134" s="421">
        <f t="shared" si="385"/>
        <v>0</v>
      </c>
      <c r="BT134" s="421">
        <f t="shared" si="385"/>
        <v>0</v>
      </c>
      <c r="BU134" s="421">
        <f t="shared" si="386"/>
        <v>68385</v>
      </c>
      <c r="BV134" s="421">
        <f t="shared" si="386"/>
        <v>2023</v>
      </c>
      <c r="BW134" s="421">
        <f>R134+AY134</f>
        <v>840</v>
      </c>
      <c r="BX134" s="422">
        <f>S134+BM134</f>
        <v>0.60670000000000002</v>
      </c>
      <c r="BY134" s="422">
        <f t="shared" si="387"/>
        <v>0</v>
      </c>
      <c r="BZ134" s="611">
        <f t="shared" si="387"/>
        <v>0.60670000000000002</v>
      </c>
      <c r="CA134" s="875"/>
      <c r="CB134" s="872"/>
      <c r="CC134" s="872"/>
      <c r="CD134" s="872"/>
      <c r="CE134" s="872"/>
      <c r="CF134" s="876"/>
    </row>
    <row r="135" spans="1:84" ht="12.95" customHeight="1" x14ac:dyDescent="0.25">
      <c r="A135" s="214">
        <v>26</v>
      </c>
      <c r="B135" s="45">
        <v>5486</v>
      </c>
      <c r="C135" s="45">
        <v>600098711</v>
      </c>
      <c r="D135" s="45">
        <v>72744022</v>
      </c>
      <c r="E135" s="376" t="s">
        <v>501</v>
      </c>
      <c r="F135" s="45"/>
      <c r="G135" s="376"/>
      <c r="H135" s="183"/>
      <c r="I135" s="500">
        <f t="shared" ref="I135:BU135" si="390">SUM(I132:I134)</f>
        <v>2323119</v>
      </c>
      <c r="J135" s="497">
        <f t="shared" si="390"/>
        <v>1718005</v>
      </c>
      <c r="K135" s="497">
        <f t="shared" si="390"/>
        <v>1398142</v>
      </c>
      <c r="L135" s="497">
        <f t="shared" si="390"/>
        <v>319863</v>
      </c>
      <c r="M135" s="497">
        <f t="shared" si="390"/>
        <v>0</v>
      </c>
      <c r="N135" s="497">
        <f t="shared" si="390"/>
        <v>0</v>
      </c>
      <c r="O135" s="497">
        <f t="shared" si="390"/>
        <v>0</v>
      </c>
      <c r="P135" s="497">
        <f t="shared" si="390"/>
        <v>580686</v>
      </c>
      <c r="Q135" s="497">
        <f t="shared" si="390"/>
        <v>17180</v>
      </c>
      <c r="R135" s="497">
        <f t="shared" si="390"/>
        <v>7248</v>
      </c>
      <c r="S135" s="498">
        <f t="shared" si="390"/>
        <v>3.2967</v>
      </c>
      <c r="T135" s="498">
        <f t="shared" si="390"/>
        <v>2.29</v>
      </c>
      <c r="U135" s="381">
        <f t="shared" si="390"/>
        <v>1.0066999999999999</v>
      </c>
      <c r="V135" s="502">
        <f t="shared" si="390"/>
        <v>0</v>
      </c>
      <c r="W135" s="497">
        <f t="shared" si="390"/>
        <v>0</v>
      </c>
      <c r="X135" s="497">
        <f t="shared" si="390"/>
        <v>185401</v>
      </c>
      <c r="Y135" s="497">
        <f t="shared" si="390"/>
        <v>0</v>
      </c>
      <c r="Z135" s="497">
        <f t="shared" si="390"/>
        <v>0</v>
      </c>
      <c r="AA135" s="497">
        <f t="shared" si="390"/>
        <v>0</v>
      </c>
      <c r="AB135" s="497">
        <f t="shared" si="390"/>
        <v>0</v>
      </c>
      <c r="AC135" s="497">
        <f t="shared" si="390"/>
        <v>0</v>
      </c>
      <c r="AD135" s="497">
        <f t="shared" si="390"/>
        <v>0</v>
      </c>
      <c r="AE135" s="497">
        <f t="shared" si="390"/>
        <v>0</v>
      </c>
      <c r="AF135" s="497">
        <f t="shared" si="390"/>
        <v>185401</v>
      </c>
      <c r="AG135" s="497">
        <f t="shared" si="390"/>
        <v>0</v>
      </c>
      <c r="AH135" s="497">
        <f t="shared" si="390"/>
        <v>185401</v>
      </c>
      <c r="AI135" s="497">
        <f t="shared" si="390"/>
        <v>0</v>
      </c>
      <c r="AJ135" s="497">
        <f t="shared" si="390"/>
        <v>0</v>
      </c>
      <c r="AK135" s="497">
        <f t="shared" ref="AK135" si="391">SUM(AK132:AK134)</f>
        <v>0</v>
      </c>
      <c r="AL135" s="497">
        <f t="shared" si="390"/>
        <v>0</v>
      </c>
      <c r="AM135" s="497">
        <f t="shared" si="390"/>
        <v>0</v>
      </c>
      <c r="AN135" s="497">
        <f t="shared" si="390"/>
        <v>0</v>
      </c>
      <c r="AO135" s="497">
        <f t="shared" si="390"/>
        <v>0</v>
      </c>
      <c r="AP135" s="497">
        <f t="shared" si="390"/>
        <v>0</v>
      </c>
      <c r="AQ135" s="497">
        <f t="shared" si="390"/>
        <v>0</v>
      </c>
      <c r="AR135" s="497">
        <f t="shared" si="390"/>
        <v>185401</v>
      </c>
      <c r="AS135" s="497">
        <f t="shared" si="390"/>
        <v>0</v>
      </c>
      <c r="AT135" s="497">
        <f t="shared" si="390"/>
        <v>185401</v>
      </c>
      <c r="AU135" s="497">
        <f t="shared" si="390"/>
        <v>62666</v>
      </c>
      <c r="AV135" s="497">
        <f t="shared" si="390"/>
        <v>1854</v>
      </c>
      <c r="AW135" s="497">
        <f t="shared" si="390"/>
        <v>0</v>
      </c>
      <c r="AX135" s="497">
        <f t="shared" si="390"/>
        <v>0</v>
      </c>
      <c r="AY135" s="497">
        <f t="shared" si="390"/>
        <v>0</v>
      </c>
      <c r="AZ135" s="497">
        <f t="shared" si="390"/>
        <v>249921</v>
      </c>
      <c r="BA135" s="498">
        <f t="shared" si="390"/>
        <v>0</v>
      </c>
      <c r="BB135" s="498">
        <f t="shared" si="390"/>
        <v>0</v>
      </c>
      <c r="BC135" s="498">
        <f t="shared" si="390"/>
        <v>0.5</v>
      </c>
      <c r="BD135" s="498">
        <f t="shared" si="390"/>
        <v>0</v>
      </c>
      <c r="BE135" s="498">
        <f t="shared" si="390"/>
        <v>0</v>
      </c>
      <c r="BF135" s="498">
        <f t="shared" si="390"/>
        <v>0</v>
      </c>
      <c r="BG135" s="498">
        <f t="shared" si="390"/>
        <v>0</v>
      </c>
      <c r="BH135" s="498">
        <f t="shared" si="390"/>
        <v>0</v>
      </c>
      <c r="BI135" s="498">
        <f t="shared" si="390"/>
        <v>0</v>
      </c>
      <c r="BJ135" s="498">
        <f t="shared" si="390"/>
        <v>0</v>
      </c>
      <c r="BK135" s="498">
        <f t="shared" si="390"/>
        <v>0.5</v>
      </c>
      <c r="BL135" s="498">
        <f t="shared" si="390"/>
        <v>0</v>
      </c>
      <c r="BM135" s="746">
        <f t="shared" si="390"/>
        <v>0.5</v>
      </c>
      <c r="BN135" s="500">
        <f t="shared" si="390"/>
        <v>2573040</v>
      </c>
      <c r="BO135" s="497">
        <f t="shared" si="390"/>
        <v>1903406</v>
      </c>
      <c r="BP135" s="497">
        <f t="shared" si="390"/>
        <v>1583543</v>
      </c>
      <c r="BQ135" s="497">
        <f t="shared" si="390"/>
        <v>319863</v>
      </c>
      <c r="BR135" s="497">
        <f t="shared" si="390"/>
        <v>0</v>
      </c>
      <c r="BS135" s="497">
        <f t="shared" si="390"/>
        <v>0</v>
      </c>
      <c r="BT135" s="497">
        <f t="shared" si="390"/>
        <v>0</v>
      </c>
      <c r="BU135" s="497">
        <f t="shared" si="390"/>
        <v>643352</v>
      </c>
      <c r="BV135" s="497">
        <f t="shared" ref="BV135:CF135" si="392">SUM(BV132:BV134)</f>
        <v>19034</v>
      </c>
      <c r="BW135" s="497">
        <f t="shared" si="392"/>
        <v>7248</v>
      </c>
      <c r="BX135" s="498">
        <f t="shared" si="392"/>
        <v>3.7967</v>
      </c>
      <c r="BY135" s="498">
        <f t="shared" si="392"/>
        <v>2.79</v>
      </c>
      <c r="BZ135" s="746">
        <f t="shared" si="392"/>
        <v>1.0066999999999999</v>
      </c>
      <c r="CA135" s="902">
        <f t="shared" si="392"/>
        <v>0</v>
      </c>
      <c r="CB135" s="897">
        <f t="shared" si="392"/>
        <v>0</v>
      </c>
      <c r="CC135" s="897">
        <f t="shared" si="392"/>
        <v>0</v>
      </c>
      <c r="CD135" s="897">
        <f t="shared" si="392"/>
        <v>0</v>
      </c>
      <c r="CE135" s="897">
        <f t="shared" si="392"/>
        <v>0</v>
      </c>
      <c r="CF135" s="842">
        <f t="shared" si="392"/>
        <v>0</v>
      </c>
    </row>
    <row r="136" spans="1:84" ht="12.95" customHeight="1" x14ac:dyDescent="0.25">
      <c r="A136" s="282">
        <v>27</v>
      </c>
      <c r="B136" s="378">
        <v>2440</v>
      </c>
      <c r="C136" s="378">
        <v>600079392</v>
      </c>
      <c r="D136" s="283">
        <v>70981183</v>
      </c>
      <c r="E136" s="374" t="s">
        <v>502</v>
      </c>
      <c r="F136" s="213">
        <v>3111</v>
      </c>
      <c r="G136" s="375" t="s">
        <v>305</v>
      </c>
      <c r="H136" s="287" t="s">
        <v>271</v>
      </c>
      <c r="I136" s="423">
        <f>J136+P136+Q136+R136</f>
        <v>2475882</v>
      </c>
      <c r="J136" s="418">
        <f>K136+L136</f>
        <v>1830369</v>
      </c>
      <c r="K136" s="418">
        <v>1608577</v>
      </c>
      <c r="L136" s="418">
        <v>221792</v>
      </c>
      <c r="M136" s="418">
        <f t="shared" ref="M136:M137" si="393">N136+O136</f>
        <v>0</v>
      </c>
      <c r="N136" s="418">
        <v>0</v>
      </c>
      <c r="O136" s="418">
        <v>0</v>
      </c>
      <c r="P136" s="68">
        <f>ROUND((J136+M136)*33.8%,0)</f>
        <v>618665</v>
      </c>
      <c r="Q136" s="68">
        <f>ROUND(J136*1%,0)</f>
        <v>18304</v>
      </c>
      <c r="R136" s="418">
        <v>8544</v>
      </c>
      <c r="S136" s="419">
        <f t="shared" si="205"/>
        <v>3.7466999999999997</v>
      </c>
      <c r="T136" s="419">
        <v>3</v>
      </c>
      <c r="U136" s="527">
        <v>0.74669999999999992</v>
      </c>
      <c r="V136" s="427">
        <f>AI136*-1</f>
        <v>0</v>
      </c>
      <c r="W136" s="421">
        <f>AJ136*-1</f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>V136+X136+Y136+AA136+AB136+AD136</f>
        <v>0</v>
      </c>
      <c r="AG136" s="421">
        <f>W136+Z136+AC136+AE136</f>
        <v>0</v>
      </c>
      <c r="AH136" s="421">
        <f>SUM(AF136:AG136)</f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ref="AO136:AO137" si="394">AI136+AK136+AL136+AM136</f>
        <v>0</v>
      </c>
      <c r="AP136" s="421">
        <f>AJ136+AN136</f>
        <v>0</v>
      </c>
      <c r="AQ136" s="421">
        <f>SUM(AO136:AP136)</f>
        <v>0</v>
      </c>
      <c r="AR136" s="421">
        <f>AF136+AO136</f>
        <v>0</v>
      </c>
      <c r="AS136" s="421">
        <f>AG136+AP136</f>
        <v>0</v>
      </c>
      <c r="AT136" s="421">
        <f>SUM(AR136:AS136)</f>
        <v>0</v>
      </c>
      <c r="AU136" s="68">
        <f t="shared" ref="AU136:AU137" si="395">ROUND((AH136+AI136+AJ136+AK136+AL136)*33.8%,0)</f>
        <v>0</v>
      </c>
      <c r="AV136" s="68">
        <f>ROUND(AH136*1%,0)</f>
        <v>0</v>
      </c>
      <c r="AW136" s="421">
        <v>0</v>
      </c>
      <c r="AX136" s="421">
        <v>0</v>
      </c>
      <c r="AY136" s="421">
        <f>AW136+AX136</f>
        <v>0</v>
      </c>
      <c r="AZ136" s="421">
        <f>AT136+AU136+AV136+AY136</f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>BA136+BC136+BD136+BF136+BH136+BI136</f>
        <v>0</v>
      </c>
      <c r="BL136" s="422">
        <f>BB136+BE136+BG136+BJ136</f>
        <v>0</v>
      </c>
      <c r="BM136" s="611">
        <f>SUM(BK136:BL136)</f>
        <v>0</v>
      </c>
      <c r="BN136" s="428">
        <f>I136+AZ136</f>
        <v>2475882</v>
      </c>
      <c r="BO136" s="421">
        <f>J136+AH136</f>
        <v>1830369</v>
      </c>
      <c r="BP136" s="421">
        <f>K136+AF136</f>
        <v>1608577</v>
      </c>
      <c r="BQ136" s="421">
        <f>L136+AG136</f>
        <v>221792</v>
      </c>
      <c r="BR136" s="421">
        <f>M136+AQ136</f>
        <v>0</v>
      </c>
      <c r="BS136" s="421">
        <f>N136+AO136</f>
        <v>0</v>
      </c>
      <c r="BT136" s="421">
        <f>O136+AP136</f>
        <v>0</v>
      </c>
      <c r="BU136" s="421">
        <f>P136+AU136</f>
        <v>618665</v>
      </c>
      <c r="BV136" s="421">
        <f>Q136+AV136</f>
        <v>18304</v>
      </c>
      <c r="BW136" s="421">
        <f>R136+AY136</f>
        <v>8544</v>
      </c>
      <c r="BX136" s="422">
        <f>S136+BM136</f>
        <v>3.7466999999999997</v>
      </c>
      <c r="BY136" s="422">
        <f>T136+BK136</f>
        <v>3</v>
      </c>
      <c r="BZ136" s="611">
        <f>U136+BL136</f>
        <v>0.74669999999999992</v>
      </c>
      <c r="CA136" s="875"/>
      <c r="CB136" s="872"/>
      <c r="CC136" s="872"/>
      <c r="CD136" s="872"/>
      <c r="CE136" s="872"/>
      <c r="CF136" s="876"/>
    </row>
    <row r="137" spans="1:84" ht="12.95" customHeight="1" x14ac:dyDescent="0.25">
      <c r="A137" s="282">
        <v>27</v>
      </c>
      <c r="B137" s="213">
        <v>2440</v>
      </c>
      <c r="C137" s="213">
        <v>600079392</v>
      </c>
      <c r="D137" s="283">
        <v>70981183</v>
      </c>
      <c r="E137" s="374" t="s">
        <v>502</v>
      </c>
      <c r="F137" s="213">
        <v>3141</v>
      </c>
      <c r="G137" s="375" t="s">
        <v>295</v>
      </c>
      <c r="H137" s="287" t="s">
        <v>272</v>
      </c>
      <c r="I137" s="423">
        <f>J137+P137+Q137+R137</f>
        <v>339751</v>
      </c>
      <c r="J137" s="418">
        <f>K137+L137</f>
        <v>251210</v>
      </c>
      <c r="K137" s="418">
        <v>0</v>
      </c>
      <c r="L137" s="418">
        <v>251210</v>
      </c>
      <c r="M137" s="418">
        <f t="shared" si="393"/>
        <v>0</v>
      </c>
      <c r="N137" s="418">
        <v>0</v>
      </c>
      <c r="O137" s="418">
        <v>0</v>
      </c>
      <c r="P137" s="68">
        <f>ROUND((J137+M137)*33.8%,0)</f>
        <v>84909</v>
      </c>
      <c r="Q137" s="68">
        <f>ROUND(J137*1%,0)</f>
        <v>2512</v>
      </c>
      <c r="R137" s="418">
        <v>1120</v>
      </c>
      <c r="S137" s="419">
        <f t="shared" si="205"/>
        <v>0.75329999999999997</v>
      </c>
      <c r="T137" s="419">
        <v>0</v>
      </c>
      <c r="U137" s="527">
        <v>0.75329999999999997</v>
      </c>
      <c r="V137" s="427">
        <f>AI137*-1</f>
        <v>0</v>
      </c>
      <c r="W137" s="421">
        <f>AJ137*-1</f>
        <v>0</v>
      </c>
      <c r="X137" s="421">
        <v>0</v>
      </c>
      <c r="Y137" s="421">
        <v>0</v>
      </c>
      <c r="Z137" s="421">
        <v>0</v>
      </c>
      <c r="AA137" s="421">
        <v>0</v>
      </c>
      <c r="AB137" s="421">
        <v>0</v>
      </c>
      <c r="AC137" s="421">
        <v>0</v>
      </c>
      <c r="AD137" s="421">
        <v>0</v>
      </c>
      <c r="AE137" s="421">
        <v>0</v>
      </c>
      <c r="AF137" s="421">
        <f>V137+X137+Y137+AA137+AB137+AD137</f>
        <v>0</v>
      </c>
      <c r="AG137" s="421">
        <f>W137+Z137+AC137+AE137</f>
        <v>0</v>
      </c>
      <c r="AH137" s="421">
        <f>SUM(AF137:AG137)</f>
        <v>0</v>
      </c>
      <c r="AI137" s="421">
        <v>0</v>
      </c>
      <c r="AJ137" s="421">
        <v>0</v>
      </c>
      <c r="AK137" s="421">
        <v>0</v>
      </c>
      <c r="AL137" s="421">
        <v>0</v>
      </c>
      <c r="AM137" s="421">
        <v>0</v>
      </c>
      <c r="AN137" s="421">
        <v>0</v>
      </c>
      <c r="AO137" s="421">
        <f t="shared" si="394"/>
        <v>0</v>
      </c>
      <c r="AP137" s="421">
        <f>AJ137+AN137</f>
        <v>0</v>
      </c>
      <c r="AQ137" s="421">
        <f>SUM(AO137:AP137)</f>
        <v>0</v>
      </c>
      <c r="AR137" s="421">
        <f>AF137+AO137</f>
        <v>0</v>
      </c>
      <c r="AS137" s="421">
        <f>AG137+AP137</f>
        <v>0</v>
      </c>
      <c r="AT137" s="421">
        <f>SUM(AR137:AS137)</f>
        <v>0</v>
      </c>
      <c r="AU137" s="68">
        <f t="shared" si="395"/>
        <v>0</v>
      </c>
      <c r="AV137" s="68">
        <f>ROUND(AH137*1%,0)</f>
        <v>0</v>
      </c>
      <c r="AW137" s="421">
        <v>0</v>
      </c>
      <c r="AX137" s="421">
        <v>0</v>
      </c>
      <c r="AY137" s="421">
        <f>AW137+AX137</f>
        <v>0</v>
      </c>
      <c r="AZ137" s="421">
        <f>AT137+AU137+AV137+AY137</f>
        <v>0</v>
      </c>
      <c r="BA137" s="422">
        <v>0</v>
      </c>
      <c r="BB137" s="422">
        <v>0</v>
      </c>
      <c r="BC137" s="422">
        <v>0</v>
      </c>
      <c r="BD137" s="422">
        <v>0</v>
      </c>
      <c r="BE137" s="422">
        <v>0</v>
      </c>
      <c r="BF137" s="422">
        <v>0</v>
      </c>
      <c r="BG137" s="422">
        <v>0</v>
      </c>
      <c r="BH137" s="422">
        <v>0</v>
      </c>
      <c r="BI137" s="422">
        <v>0</v>
      </c>
      <c r="BJ137" s="422">
        <v>0</v>
      </c>
      <c r="BK137" s="422">
        <f>BA137+BC137+BD137+BF137+BH137+BI137</f>
        <v>0</v>
      </c>
      <c r="BL137" s="422">
        <f>BB137+BE137+BG137+BJ137</f>
        <v>0</v>
      </c>
      <c r="BM137" s="611">
        <f>SUM(BK137:BL137)</f>
        <v>0</v>
      </c>
      <c r="BN137" s="428">
        <f>I137+AZ137</f>
        <v>339751</v>
      </c>
      <c r="BO137" s="421">
        <f>J137+AH137</f>
        <v>251210</v>
      </c>
      <c r="BP137" s="421">
        <f>K137+AF137</f>
        <v>0</v>
      </c>
      <c r="BQ137" s="421">
        <f>L137+AG137</f>
        <v>251210</v>
      </c>
      <c r="BR137" s="421">
        <f>M137+AQ137</f>
        <v>0</v>
      </c>
      <c r="BS137" s="421">
        <f>N137+AO137</f>
        <v>0</v>
      </c>
      <c r="BT137" s="421">
        <f>O137+AP137</f>
        <v>0</v>
      </c>
      <c r="BU137" s="421">
        <f>P137+AU137</f>
        <v>84909</v>
      </c>
      <c r="BV137" s="421">
        <f>Q137+AV137</f>
        <v>2512</v>
      </c>
      <c r="BW137" s="421">
        <f>R137+AY137</f>
        <v>1120</v>
      </c>
      <c r="BX137" s="422">
        <f>S137+BM137</f>
        <v>0.75329999999999997</v>
      </c>
      <c r="BY137" s="422">
        <f>T137+BK137</f>
        <v>0</v>
      </c>
      <c r="BZ137" s="611">
        <f>U137+BL137</f>
        <v>0.75329999999999997</v>
      </c>
      <c r="CA137" s="875"/>
      <c r="CB137" s="872"/>
      <c r="CC137" s="872"/>
      <c r="CD137" s="872"/>
      <c r="CE137" s="872"/>
      <c r="CF137" s="876"/>
    </row>
    <row r="138" spans="1:84" ht="12.95" customHeight="1" x14ac:dyDescent="0.25">
      <c r="A138" s="214">
        <v>27</v>
      </c>
      <c r="B138" s="45">
        <v>2440</v>
      </c>
      <c r="C138" s="45">
        <v>600079392</v>
      </c>
      <c r="D138" s="45">
        <v>70981183</v>
      </c>
      <c r="E138" s="376" t="s">
        <v>503</v>
      </c>
      <c r="F138" s="45"/>
      <c r="G138" s="376"/>
      <c r="H138" s="183"/>
      <c r="I138" s="500">
        <f t="shared" ref="I138:BU138" si="396">SUM(I136:I137)</f>
        <v>2815633</v>
      </c>
      <c r="J138" s="497">
        <f t="shared" si="396"/>
        <v>2081579</v>
      </c>
      <c r="K138" s="497">
        <f t="shared" si="396"/>
        <v>1608577</v>
      </c>
      <c r="L138" s="497">
        <f t="shared" si="396"/>
        <v>473002</v>
      </c>
      <c r="M138" s="497">
        <f t="shared" si="396"/>
        <v>0</v>
      </c>
      <c r="N138" s="497">
        <f t="shared" si="396"/>
        <v>0</v>
      </c>
      <c r="O138" s="497">
        <f t="shared" si="396"/>
        <v>0</v>
      </c>
      <c r="P138" s="497">
        <f t="shared" si="396"/>
        <v>703574</v>
      </c>
      <c r="Q138" s="497">
        <f t="shared" si="396"/>
        <v>20816</v>
      </c>
      <c r="R138" s="497">
        <f t="shared" si="396"/>
        <v>9664</v>
      </c>
      <c r="S138" s="498">
        <f t="shared" si="396"/>
        <v>4.5</v>
      </c>
      <c r="T138" s="498">
        <f t="shared" si="396"/>
        <v>3</v>
      </c>
      <c r="U138" s="381">
        <f t="shared" si="396"/>
        <v>1.5</v>
      </c>
      <c r="V138" s="502">
        <f t="shared" si="396"/>
        <v>0</v>
      </c>
      <c r="W138" s="497">
        <f t="shared" si="396"/>
        <v>0</v>
      </c>
      <c r="X138" s="497">
        <f t="shared" si="396"/>
        <v>0</v>
      </c>
      <c r="Y138" s="497">
        <f t="shared" si="396"/>
        <v>0</v>
      </c>
      <c r="Z138" s="497">
        <f t="shared" si="396"/>
        <v>0</v>
      </c>
      <c r="AA138" s="497">
        <f t="shared" si="396"/>
        <v>0</v>
      </c>
      <c r="AB138" s="497">
        <f t="shared" si="396"/>
        <v>0</v>
      </c>
      <c r="AC138" s="497">
        <f t="shared" si="396"/>
        <v>0</v>
      </c>
      <c r="AD138" s="497">
        <f t="shared" si="396"/>
        <v>0</v>
      </c>
      <c r="AE138" s="497">
        <f t="shared" si="396"/>
        <v>0</v>
      </c>
      <c r="AF138" s="497">
        <f t="shared" si="396"/>
        <v>0</v>
      </c>
      <c r="AG138" s="497">
        <f t="shared" si="396"/>
        <v>0</v>
      </c>
      <c r="AH138" s="497">
        <f t="shared" si="396"/>
        <v>0</v>
      </c>
      <c r="AI138" s="497">
        <f t="shared" si="396"/>
        <v>0</v>
      </c>
      <c r="AJ138" s="497">
        <f t="shared" si="396"/>
        <v>0</v>
      </c>
      <c r="AK138" s="497">
        <f t="shared" ref="AK138" si="397">SUM(AK136:AK137)</f>
        <v>0</v>
      </c>
      <c r="AL138" s="497">
        <f t="shared" si="396"/>
        <v>0</v>
      </c>
      <c r="AM138" s="497">
        <f t="shared" si="396"/>
        <v>0</v>
      </c>
      <c r="AN138" s="497">
        <f t="shared" si="396"/>
        <v>0</v>
      </c>
      <c r="AO138" s="497">
        <f t="shared" si="396"/>
        <v>0</v>
      </c>
      <c r="AP138" s="497">
        <f t="shared" si="396"/>
        <v>0</v>
      </c>
      <c r="AQ138" s="497">
        <f t="shared" si="396"/>
        <v>0</v>
      </c>
      <c r="AR138" s="497">
        <f t="shared" si="396"/>
        <v>0</v>
      </c>
      <c r="AS138" s="497">
        <f t="shared" si="396"/>
        <v>0</v>
      </c>
      <c r="AT138" s="497">
        <f t="shared" si="396"/>
        <v>0</v>
      </c>
      <c r="AU138" s="497">
        <f t="shared" si="396"/>
        <v>0</v>
      </c>
      <c r="AV138" s="497">
        <f t="shared" si="396"/>
        <v>0</v>
      </c>
      <c r="AW138" s="497">
        <f t="shared" si="396"/>
        <v>0</v>
      </c>
      <c r="AX138" s="497">
        <f t="shared" si="396"/>
        <v>0</v>
      </c>
      <c r="AY138" s="497">
        <f t="shared" si="396"/>
        <v>0</v>
      </c>
      <c r="AZ138" s="497">
        <f t="shared" si="396"/>
        <v>0</v>
      </c>
      <c r="BA138" s="498">
        <f t="shared" si="396"/>
        <v>0</v>
      </c>
      <c r="BB138" s="498">
        <f t="shared" si="396"/>
        <v>0</v>
      </c>
      <c r="BC138" s="498">
        <f t="shared" si="396"/>
        <v>0</v>
      </c>
      <c r="BD138" s="498">
        <f t="shared" si="396"/>
        <v>0</v>
      </c>
      <c r="BE138" s="498">
        <f t="shared" si="396"/>
        <v>0</v>
      </c>
      <c r="BF138" s="498">
        <f t="shared" si="396"/>
        <v>0</v>
      </c>
      <c r="BG138" s="498">
        <f t="shared" si="396"/>
        <v>0</v>
      </c>
      <c r="BH138" s="498">
        <f t="shared" si="396"/>
        <v>0</v>
      </c>
      <c r="BI138" s="498">
        <f t="shared" si="396"/>
        <v>0</v>
      </c>
      <c r="BJ138" s="498">
        <f t="shared" si="396"/>
        <v>0</v>
      </c>
      <c r="BK138" s="498">
        <f t="shared" si="396"/>
        <v>0</v>
      </c>
      <c r="BL138" s="498">
        <f t="shared" si="396"/>
        <v>0</v>
      </c>
      <c r="BM138" s="746">
        <f t="shared" si="396"/>
        <v>0</v>
      </c>
      <c r="BN138" s="500">
        <f t="shared" si="396"/>
        <v>2815633</v>
      </c>
      <c r="BO138" s="497">
        <f t="shared" si="396"/>
        <v>2081579</v>
      </c>
      <c r="BP138" s="497">
        <f t="shared" si="396"/>
        <v>1608577</v>
      </c>
      <c r="BQ138" s="497">
        <f t="shared" si="396"/>
        <v>473002</v>
      </c>
      <c r="BR138" s="497">
        <f t="shared" si="396"/>
        <v>0</v>
      </c>
      <c r="BS138" s="497">
        <f t="shared" si="396"/>
        <v>0</v>
      </c>
      <c r="BT138" s="497">
        <f t="shared" si="396"/>
        <v>0</v>
      </c>
      <c r="BU138" s="497">
        <f t="shared" si="396"/>
        <v>703574</v>
      </c>
      <c r="BV138" s="497">
        <f t="shared" ref="BV138:CF138" si="398">SUM(BV136:BV137)</f>
        <v>20816</v>
      </c>
      <c r="BW138" s="497">
        <f t="shared" si="398"/>
        <v>9664</v>
      </c>
      <c r="BX138" s="498">
        <f t="shared" si="398"/>
        <v>4.5</v>
      </c>
      <c r="BY138" s="498">
        <f t="shared" si="398"/>
        <v>3</v>
      </c>
      <c r="BZ138" s="746">
        <f t="shared" si="398"/>
        <v>1.5</v>
      </c>
      <c r="CA138" s="902">
        <f t="shared" si="398"/>
        <v>0</v>
      </c>
      <c r="CB138" s="897">
        <f t="shared" si="398"/>
        <v>0</v>
      </c>
      <c r="CC138" s="897">
        <f t="shared" si="398"/>
        <v>0</v>
      </c>
      <c r="CD138" s="897">
        <f t="shared" si="398"/>
        <v>0</v>
      </c>
      <c r="CE138" s="897">
        <f t="shared" si="398"/>
        <v>0</v>
      </c>
      <c r="CF138" s="842">
        <f t="shared" si="398"/>
        <v>0</v>
      </c>
    </row>
    <row r="139" spans="1:84" ht="12.95" customHeight="1" x14ac:dyDescent="0.25">
      <c r="A139" s="282">
        <v>28</v>
      </c>
      <c r="B139" s="372">
        <v>2303</v>
      </c>
      <c r="C139" s="372">
        <v>600080048</v>
      </c>
      <c r="D139" s="283">
        <v>72743689</v>
      </c>
      <c r="E139" s="373" t="s">
        <v>504</v>
      </c>
      <c r="F139" s="372">
        <v>3111</v>
      </c>
      <c r="G139" s="375" t="s">
        <v>305</v>
      </c>
      <c r="H139" s="287" t="s">
        <v>271</v>
      </c>
      <c r="I139" s="423">
        <f t="shared" ref="I139:I144" si="399">J139+P139+Q139+R139</f>
        <v>3289896</v>
      </c>
      <c r="J139" s="418">
        <f t="shared" ref="J139:J144" si="400">K139+L139</f>
        <v>2432256</v>
      </c>
      <c r="K139" s="418">
        <v>2299120</v>
      </c>
      <c r="L139" s="418">
        <v>133136</v>
      </c>
      <c r="M139" s="418">
        <f t="shared" ref="M139:M144" si="401">N139+O139</f>
        <v>0</v>
      </c>
      <c r="N139" s="418">
        <v>0</v>
      </c>
      <c r="O139" s="418">
        <v>0</v>
      </c>
      <c r="P139" s="68">
        <f t="shared" ref="P139:P144" si="402">ROUND((J139+M139)*33.8%,0)</f>
        <v>822103</v>
      </c>
      <c r="Q139" s="68">
        <f t="shared" ref="Q139:Q144" si="403">ROUND(J139*1%,0)</f>
        <v>24323</v>
      </c>
      <c r="R139" s="418">
        <v>11214</v>
      </c>
      <c r="S139" s="419">
        <f t="shared" si="205"/>
        <v>4.4383999999999997</v>
      </c>
      <c r="T139" s="419">
        <v>3.9049999999999998</v>
      </c>
      <c r="U139" s="527">
        <v>0.53339999999999999</v>
      </c>
      <c r="V139" s="427">
        <f t="shared" ref="V139:W144" si="404">AI139*-1</f>
        <v>0</v>
      </c>
      <c r="W139" s="421">
        <f t="shared" si="404"/>
        <v>-3200</v>
      </c>
      <c r="X139" s="421">
        <v>0</v>
      </c>
      <c r="Y139" s="421">
        <v>0</v>
      </c>
      <c r="Z139" s="421">
        <v>0</v>
      </c>
      <c r="AA139" s="421">
        <v>0</v>
      </c>
      <c r="AB139" s="421">
        <v>0</v>
      </c>
      <c r="AC139" s="421">
        <v>0</v>
      </c>
      <c r="AD139" s="421">
        <v>0</v>
      </c>
      <c r="AE139" s="421">
        <v>0</v>
      </c>
      <c r="AF139" s="421">
        <f t="shared" ref="AF139:AF144" si="405">V139+X139+Y139+AA139+AB139+AD139</f>
        <v>0</v>
      </c>
      <c r="AG139" s="421">
        <f t="shared" ref="AG139:AG144" si="406">W139+Z139+AC139+AE139</f>
        <v>-3200</v>
      </c>
      <c r="AH139" s="421">
        <f t="shared" ref="AH139:AH144" si="407">SUM(AF139:AG139)</f>
        <v>-3200</v>
      </c>
      <c r="AI139" s="421">
        <v>0</v>
      </c>
      <c r="AJ139" s="421">
        <v>3200</v>
      </c>
      <c r="AK139" s="421">
        <v>0</v>
      </c>
      <c r="AL139" s="421">
        <v>0</v>
      </c>
      <c r="AM139" s="421">
        <v>0</v>
      </c>
      <c r="AN139" s="421">
        <v>0</v>
      </c>
      <c r="AO139" s="421">
        <f t="shared" ref="AO139:AO144" si="408">AI139+AK139+AL139+AM139</f>
        <v>0</v>
      </c>
      <c r="AP139" s="421">
        <f t="shared" ref="AP139:AP144" si="409">AJ139+AN139</f>
        <v>3200</v>
      </c>
      <c r="AQ139" s="421">
        <f t="shared" ref="AQ139:AQ144" si="410">SUM(AO139:AP139)</f>
        <v>3200</v>
      </c>
      <c r="AR139" s="421">
        <f t="shared" ref="AR139:AS144" si="411">AF139+AO139</f>
        <v>0</v>
      </c>
      <c r="AS139" s="421">
        <f t="shared" si="411"/>
        <v>0</v>
      </c>
      <c r="AT139" s="421">
        <f t="shared" ref="AT139:AT144" si="412">SUM(AR139:AS139)</f>
        <v>0</v>
      </c>
      <c r="AU139" s="68">
        <f t="shared" ref="AU139:AU144" si="413">ROUND((AH139+AI139+AJ139+AK139+AL139)*33.8%,0)</f>
        <v>0</v>
      </c>
      <c r="AV139" s="68">
        <f t="shared" ref="AV139:AV144" si="414">ROUND(AH139*1%,0)</f>
        <v>-32</v>
      </c>
      <c r="AW139" s="421">
        <v>0</v>
      </c>
      <c r="AX139" s="421">
        <v>0</v>
      </c>
      <c r="AY139" s="421">
        <f t="shared" ref="AY139:AY144" si="415">AW139+AX139</f>
        <v>0</v>
      </c>
      <c r="AZ139" s="421">
        <f t="shared" ref="AZ139:AZ144" si="416">AT139+AU139+AV139+AY139</f>
        <v>-32</v>
      </c>
      <c r="BA139" s="422">
        <v>0</v>
      </c>
      <c r="BB139" s="422">
        <v>0</v>
      </c>
      <c r="BC139" s="422">
        <v>0</v>
      </c>
      <c r="BD139" s="422">
        <v>0</v>
      </c>
      <c r="BE139" s="422">
        <v>0</v>
      </c>
      <c r="BF139" s="422">
        <v>0</v>
      </c>
      <c r="BG139" s="422">
        <v>0</v>
      </c>
      <c r="BH139" s="422">
        <v>0</v>
      </c>
      <c r="BI139" s="422">
        <v>0</v>
      </c>
      <c r="BJ139" s="422">
        <v>0</v>
      </c>
      <c r="BK139" s="422">
        <f t="shared" ref="BK139:BK144" si="417">BA139+BC139+BD139+BF139+BH139+BI139</f>
        <v>0</v>
      </c>
      <c r="BL139" s="422">
        <f t="shared" ref="BL139:BL144" si="418">BB139+BE139+BG139+BJ139</f>
        <v>0</v>
      </c>
      <c r="BM139" s="611">
        <f t="shared" ref="BM139:BM144" si="419">SUM(BK139:BL139)</f>
        <v>0</v>
      </c>
      <c r="BN139" s="428">
        <f t="shared" ref="BN139:BN144" si="420">I139+AZ139</f>
        <v>3289864</v>
      </c>
      <c r="BO139" s="421">
        <f t="shared" ref="BO139:BO144" si="421">J139+AH139</f>
        <v>2429056</v>
      </c>
      <c r="BP139" s="421">
        <f t="shared" ref="BP139:BQ144" si="422">K139+AF139</f>
        <v>2299120</v>
      </c>
      <c r="BQ139" s="421">
        <f t="shared" si="422"/>
        <v>129936</v>
      </c>
      <c r="BR139" s="421">
        <f t="shared" ref="BR139:BR144" si="423">M139+AQ139</f>
        <v>3200</v>
      </c>
      <c r="BS139" s="421">
        <f t="shared" ref="BS139:BT144" si="424">N139+AO139</f>
        <v>0</v>
      </c>
      <c r="BT139" s="421">
        <f t="shared" si="424"/>
        <v>3200</v>
      </c>
      <c r="BU139" s="421">
        <f t="shared" ref="BU139:BV144" si="425">P139+AU139</f>
        <v>822103</v>
      </c>
      <c r="BV139" s="421">
        <f t="shared" si="425"/>
        <v>24291</v>
      </c>
      <c r="BW139" s="421">
        <f t="shared" ref="BW139:BW144" si="426">R139+AY139</f>
        <v>11214</v>
      </c>
      <c r="BX139" s="422">
        <f t="shared" ref="BX139:BX144" si="427">S139+BM139</f>
        <v>4.4383999999999997</v>
      </c>
      <c r="BY139" s="422">
        <f t="shared" ref="BY139:BZ144" si="428">T139+BK139</f>
        <v>3.9049999999999998</v>
      </c>
      <c r="BZ139" s="611">
        <f t="shared" si="428"/>
        <v>0.53339999999999999</v>
      </c>
      <c r="CA139" s="875"/>
      <c r="CB139" s="872"/>
      <c r="CC139" s="872"/>
      <c r="CD139" s="872"/>
      <c r="CE139" s="872"/>
      <c r="CF139" s="876"/>
    </row>
    <row r="140" spans="1:84" ht="12.95" customHeight="1" x14ac:dyDescent="0.25">
      <c r="A140" s="282">
        <v>28</v>
      </c>
      <c r="B140" s="378">
        <v>2303</v>
      </c>
      <c r="C140" s="378">
        <v>600080048</v>
      </c>
      <c r="D140" s="283">
        <v>72743689</v>
      </c>
      <c r="E140" s="212" t="s">
        <v>504</v>
      </c>
      <c r="F140" s="378">
        <v>3117</v>
      </c>
      <c r="G140" s="374" t="s">
        <v>309</v>
      </c>
      <c r="H140" s="287" t="s">
        <v>271</v>
      </c>
      <c r="I140" s="423">
        <f t="shared" si="399"/>
        <v>3950396</v>
      </c>
      <c r="J140" s="418">
        <f t="shared" si="400"/>
        <v>2891740</v>
      </c>
      <c r="K140" s="418">
        <v>2460268</v>
      </c>
      <c r="L140" s="418">
        <v>431472</v>
      </c>
      <c r="M140" s="418">
        <f t="shared" si="401"/>
        <v>0</v>
      </c>
      <c r="N140" s="418">
        <v>0</v>
      </c>
      <c r="O140" s="418">
        <v>0</v>
      </c>
      <c r="P140" s="68">
        <f t="shared" si="402"/>
        <v>977408</v>
      </c>
      <c r="Q140" s="68">
        <f t="shared" si="403"/>
        <v>28917</v>
      </c>
      <c r="R140" s="418">
        <v>52331</v>
      </c>
      <c r="S140" s="419">
        <f t="shared" ref="S140:S197" si="429">T140+U140</f>
        <v>5.0481999999999996</v>
      </c>
      <c r="T140" s="419">
        <v>3.8214000000000001</v>
      </c>
      <c r="U140" s="527">
        <v>1.2267999999999999</v>
      </c>
      <c r="V140" s="427">
        <f t="shared" si="404"/>
        <v>0</v>
      </c>
      <c r="W140" s="421">
        <f t="shared" si="404"/>
        <v>0</v>
      </c>
      <c r="X140" s="421">
        <v>0</v>
      </c>
      <c r="Y140" s="421">
        <v>0</v>
      </c>
      <c r="Z140" s="421">
        <v>0</v>
      </c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f t="shared" si="405"/>
        <v>0</v>
      </c>
      <c r="AG140" s="421">
        <f t="shared" si="406"/>
        <v>0</v>
      </c>
      <c r="AH140" s="421">
        <f t="shared" si="407"/>
        <v>0</v>
      </c>
      <c r="AI140" s="421">
        <v>0</v>
      </c>
      <c r="AJ140" s="421">
        <v>0</v>
      </c>
      <c r="AK140" s="421">
        <v>0</v>
      </c>
      <c r="AL140" s="421">
        <v>0</v>
      </c>
      <c r="AM140" s="421">
        <v>0</v>
      </c>
      <c r="AN140" s="421">
        <v>0</v>
      </c>
      <c r="AO140" s="421">
        <f t="shared" si="408"/>
        <v>0</v>
      </c>
      <c r="AP140" s="421">
        <f t="shared" si="409"/>
        <v>0</v>
      </c>
      <c r="AQ140" s="421">
        <f t="shared" si="410"/>
        <v>0</v>
      </c>
      <c r="AR140" s="421">
        <f t="shared" si="411"/>
        <v>0</v>
      </c>
      <c r="AS140" s="421">
        <f t="shared" si="411"/>
        <v>0</v>
      </c>
      <c r="AT140" s="421">
        <f t="shared" si="412"/>
        <v>0</v>
      </c>
      <c r="AU140" s="68">
        <f t="shared" si="413"/>
        <v>0</v>
      </c>
      <c r="AV140" s="68">
        <f t="shared" si="414"/>
        <v>0</v>
      </c>
      <c r="AW140" s="421">
        <v>0</v>
      </c>
      <c r="AX140" s="421">
        <v>0</v>
      </c>
      <c r="AY140" s="421">
        <f t="shared" si="415"/>
        <v>0</v>
      </c>
      <c r="AZ140" s="421">
        <f t="shared" si="416"/>
        <v>0</v>
      </c>
      <c r="BA140" s="422">
        <v>0</v>
      </c>
      <c r="BB140" s="422">
        <v>0</v>
      </c>
      <c r="BC140" s="422">
        <v>0</v>
      </c>
      <c r="BD140" s="422">
        <v>0</v>
      </c>
      <c r="BE140" s="422">
        <v>0</v>
      </c>
      <c r="BF140" s="422">
        <v>0</v>
      </c>
      <c r="BG140" s="422">
        <v>0</v>
      </c>
      <c r="BH140" s="422">
        <v>0</v>
      </c>
      <c r="BI140" s="422">
        <v>0</v>
      </c>
      <c r="BJ140" s="422">
        <v>0</v>
      </c>
      <c r="BK140" s="422">
        <f t="shared" si="417"/>
        <v>0</v>
      </c>
      <c r="BL140" s="422">
        <f t="shared" si="418"/>
        <v>0</v>
      </c>
      <c r="BM140" s="611">
        <f t="shared" si="419"/>
        <v>0</v>
      </c>
      <c r="BN140" s="428">
        <f t="shared" si="420"/>
        <v>3950396</v>
      </c>
      <c r="BO140" s="421">
        <f t="shared" si="421"/>
        <v>2891740</v>
      </c>
      <c r="BP140" s="421">
        <f t="shared" si="422"/>
        <v>2460268</v>
      </c>
      <c r="BQ140" s="421">
        <f t="shared" si="422"/>
        <v>431472</v>
      </c>
      <c r="BR140" s="421">
        <f t="shared" si="423"/>
        <v>0</v>
      </c>
      <c r="BS140" s="421">
        <f t="shared" si="424"/>
        <v>0</v>
      </c>
      <c r="BT140" s="421">
        <f t="shared" si="424"/>
        <v>0</v>
      </c>
      <c r="BU140" s="421">
        <f t="shared" si="425"/>
        <v>977408</v>
      </c>
      <c r="BV140" s="421">
        <f t="shared" si="425"/>
        <v>28917</v>
      </c>
      <c r="BW140" s="421">
        <f t="shared" si="426"/>
        <v>52331</v>
      </c>
      <c r="BX140" s="422">
        <f t="shared" si="427"/>
        <v>5.0481999999999996</v>
      </c>
      <c r="BY140" s="422">
        <f t="shared" si="428"/>
        <v>3.8214000000000001</v>
      </c>
      <c r="BZ140" s="611">
        <f t="shared" si="428"/>
        <v>1.2267999999999999</v>
      </c>
      <c r="CA140" s="875"/>
      <c r="CB140" s="872"/>
      <c r="CC140" s="872"/>
      <c r="CD140" s="872"/>
      <c r="CE140" s="872"/>
      <c r="CF140" s="876"/>
    </row>
    <row r="141" spans="1:84" ht="12.95" customHeight="1" x14ac:dyDescent="0.25">
      <c r="A141" s="282">
        <v>28</v>
      </c>
      <c r="B141" s="213">
        <v>2303</v>
      </c>
      <c r="C141" s="213">
        <v>600080048</v>
      </c>
      <c r="D141" s="283">
        <v>72743689</v>
      </c>
      <c r="E141" s="373" t="s">
        <v>504</v>
      </c>
      <c r="F141" s="378">
        <v>3117</v>
      </c>
      <c r="G141" s="325" t="s">
        <v>292</v>
      </c>
      <c r="H141" s="287" t="s">
        <v>272</v>
      </c>
      <c r="I141" s="423">
        <f t="shared" si="399"/>
        <v>0</v>
      </c>
      <c r="J141" s="418">
        <f t="shared" si="400"/>
        <v>0</v>
      </c>
      <c r="K141" s="418">
        <v>0</v>
      </c>
      <c r="L141" s="418">
        <v>0</v>
      </c>
      <c r="M141" s="418">
        <f t="shared" si="401"/>
        <v>0</v>
      </c>
      <c r="N141" s="418">
        <v>0</v>
      </c>
      <c r="O141" s="418">
        <v>0</v>
      </c>
      <c r="P141" s="68">
        <f t="shared" si="402"/>
        <v>0</v>
      </c>
      <c r="Q141" s="68">
        <f t="shared" si="403"/>
        <v>0</v>
      </c>
      <c r="R141" s="418">
        <v>0</v>
      </c>
      <c r="S141" s="419">
        <f t="shared" si="429"/>
        <v>0</v>
      </c>
      <c r="T141" s="419">
        <v>0</v>
      </c>
      <c r="U141" s="527">
        <v>0</v>
      </c>
      <c r="V141" s="427">
        <f t="shared" si="404"/>
        <v>0</v>
      </c>
      <c r="W141" s="421">
        <f t="shared" si="404"/>
        <v>0</v>
      </c>
      <c r="X141" s="421">
        <v>144205</v>
      </c>
      <c r="Y141" s="421">
        <v>0</v>
      </c>
      <c r="Z141" s="421">
        <v>0</v>
      </c>
      <c r="AA141" s="421">
        <v>0</v>
      </c>
      <c r="AB141" s="421">
        <v>0</v>
      </c>
      <c r="AC141" s="421">
        <v>0</v>
      </c>
      <c r="AD141" s="421">
        <v>0</v>
      </c>
      <c r="AE141" s="421">
        <v>0</v>
      </c>
      <c r="AF141" s="421">
        <f t="shared" si="405"/>
        <v>144205</v>
      </c>
      <c r="AG141" s="421">
        <f t="shared" si="406"/>
        <v>0</v>
      </c>
      <c r="AH141" s="421">
        <f t="shared" si="407"/>
        <v>144205</v>
      </c>
      <c r="AI141" s="421">
        <v>0</v>
      </c>
      <c r="AJ141" s="421">
        <v>0</v>
      </c>
      <c r="AK141" s="421">
        <v>0</v>
      </c>
      <c r="AL141" s="421">
        <v>0</v>
      </c>
      <c r="AM141" s="421">
        <v>0</v>
      </c>
      <c r="AN141" s="421">
        <v>0</v>
      </c>
      <c r="AO141" s="421">
        <f t="shared" si="408"/>
        <v>0</v>
      </c>
      <c r="AP141" s="421">
        <f t="shared" si="409"/>
        <v>0</v>
      </c>
      <c r="AQ141" s="421">
        <f t="shared" si="410"/>
        <v>0</v>
      </c>
      <c r="AR141" s="421">
        <f t="shared" si="411"/>
        <v>144205</v>
      </c>
      <c r="AS141" s="421">
        <f t="shared" si="411"/>
        <v>0</v>
      </c>
      <c r="AT141" s="421">
        <f t="shared" si="412"/>
        <v>144205</v>
      </c>
      <c r="AU141" s="68">
        <f t="shared" si="413"/>
        <v>48741</v>
      </c>
      <c r="AV141" s="68">
        <f t="shared" si="414"/>
        <v>1442</v>
      </c>
      <c r="AW141" s="421">
        <v>0</v>
      </c>
      <c r="AX141" s="421">
        <v>0</v>
      </c>
      <c r="AY141" s="421">
        <f t="shared" si="415"/>
        <v>0</v>
      </c>
      <c r="AZ141" s="421">
        <f t="shared" si="416"/>
        <v>194388</v>
      </c>
      <c r="BA141" s="422">
        <v>0</v>
      </c>
      <c r="BB141" s="422">
        <v>0</v>
      </c>
      <c r="BC141" s="422">
        <v>0.39</v>
      </c>
      <c r="BD141" s="422">
        <v>0</v>
      </c>
      <c r="BE141" s="422">
        <v>0</v>
      </c>
      <c r="BF141" s="422">
        <v>0</v>
      </c>
      <c r="BG141" s="422">
        <v>0</v>
      </c>
      <c r="BH141" s="422">
        <v>0</v>
      </c>
      <c r="BI141" s="422">
        <v>0</v>
      </c>
      <c r="BJ141" s="422">
        <v>0</v>
      </c>
      <c r="BK141" s="422">
        <f t="shared" si="417"/>
        <v>0.39</v>
      </c>
      <c r="BL141" s="422">
        <f t="shared" si="418"/>
        <v>0</v>
      </c>
      <c r="BM141" s="611">
        <f t="shared" si="419"/>
        <v>0.39</v>
      </c>
      <c r="BN141" s="428">
        <f t="shared" si="420"/>
        <v>194388</v>
      </c>
      <c r="BO141" s="421">
        <f t="shared" si="421"/>
        <v>144205</v>
      </c>
      <c r="BP141" s="421">
        <f t="shared" si="422"/>
        <v>144205</v>
      </c>
      <c r="BQ141" s="421">
        <f t="shared" si="422"/>
        <v>0</v>
      </c>
      <c r="BR141" s="421">
        <f t="shared" si="423"/>
        <v>0</v>
      </c>
      <c r="BS141" s="421">
        <f t="shared" si="424"/>
        <v>0</v>
      </c>
      <c r="BT141" s="421">
        <f t="shared" si="424"/>
        <v>0</v>
      </c>
      <c r="BU141" s="421">
        <f t="shared" si="425"/>
        <v>48741</v>
      </c>
      <c r="BV141" s="421">
        <f t="shared" si="425"/>
        <v>1442</v>
      </c>
      <c r="BW141" s="421">
        <f t="shared" si="426"/>
        <v>0</v>
      </c>
      <c r="BX141" s="422">
        <f t="shared" si="427"/>
        <v>0.39</v>
      </c>
      <c r="BY141" s="422">
        <f t="shared" si="428"/>
        <v>0.39</v>
      </c>
      <c r="BZ141" s="611">
        <f t="shared" si="428"/>
        <v>0</v>
      </c>
      <c r="CA141" s="875"/>
      <c r="CB141" s="872"/>
      <c r="CC141" s="872"/>
      <c r="CD141" s="872"/>
      <c r="CE141" s="872"/>
      <c r="CF141" s="876"/>
    </row>
    <row r="142" spans="1:84" ht="12.95" customHeight="1" x14ac:dyDescent="0.25">
      <c r="A142" s="282">
        <v>28</v>
      </c>
      <c r="B142" s="213">
        <v>2303</v>
      </c>
      <c r="C142" s="213">
        <v>600080048</v>
      </c>
      <c r="D142" s="283">
        <v>72743689</v>
      </c>
      <c r="E142" s="374" t="s">
        <v>504</v>
      </c>
      <c r="F142" s="213">
        <v>3141</v>
      </c>
      <c r="G142" s="375" t="s">
        <v>295</v>
      </c>
      <c r="H142" s="287" t="s">
        <v>272</v>
      </c>
      <c r="I142" s="423">
        <f t="shared" si="399"/>
        <v>728203</v>
      </c>
      <c r="J142" s="418">
        <f t="shared" si="400"/>
        <v>538003</v>
      </c>
      <c r="K142" s="418">
        <v>0</v>
      </c>
      <c r="L142" s="418">
        <v>538003</v>
      </c>
      <c r="M142" s="418">
        <f t="shared" si="401"/>
        <v>0</v>
      </c>
      <c r="N142" s="418">
        <v>0</v>
      </c>
      <c r="O142" s="418">
        <v>0</v>
      </c>
      <c r="P142" s="68">
        <f t="shared" si="402"/>
        <v>181845</v>
      </c>
      <c r="Q142" s="68">
        <f t="shared" si="403"/>
        <v>5380</v>
      </c>
      <c r="R142" s="418">
        <v>2975</v>
      </c>
      <c r="S142" s="419">
        <f t="shared" si="429"/>
        <v>1.6133</v>
      </c>
      <c r="T142" s="419">
        <v>0</v>
      </c>
      <c r="U142" s="527">
        <v>1.6133</v>
      </c>
      <c r="V142" s="427">
        <f t="shared" si="404"/>
        <v>0</v>
      </c>
      <c r="W142" s="421">
        <f t="shared" si="404"/>
        <v>-6400</v>
      </c>
      <c r="X142" s="421">
        <v>0</v>
      </c>
      <c r="Y142" s="421">
        <v>0</v>
      </c>
      <c r="Z142" s="421">
        <v>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f t="shared" si="405"/>
        <v>0</v>
      </c>
      <c r="AG142" s="421">
        <f t="shared" si="406"/>
        <v>-6400</v>
      </c>
      <c r="AH142" s="421">
        <f t="shared" si="407"/>
        <v>-6400</v>
      </c>
      <c r="AI142" s="421">
        <v>0</v>
      </c>
      <c r="AJ142" s="421">
        <v>6400</v>
      </c>
      <c r="AK142" s="421">
        <v>0</v>
      </c>
      <c r="AL142" s="421">
        <v>0</v>
      </c>
      <c r="AM142" s="421">
        <v>0</v>
      </c>
      <c r="AN142" s="421">
        <v>0</v>
      </c>
      <c r="AO142" s="421">
        <f t="shared" si="408"/>
        <v>0</v>
      </c>
      <c r="AP142" s="421">
        <f t="shared" si="409"/>
        <v>6400</v>
      </c>
      <c r="AQ142" s="421">
        <f t="shared" si="410"/>
        <v>6400</v>
      </c>
      <c r="AR142" s="421">
        <f t="shared" si="411"/>
        <v>0</v>
      </c>
      <c r="AS142" s="421">
        <f t="shared" si="411"/>
        <v>0</v>
      </c>
      <c r="AT142" s="421">
        <f t="shared" si="412"/>
        <v>0</v>
      </c>
      <c r="AU142" s="68">
        <f t="shared" si="413"/>
        <v>0</v>
      </c>
      <c r="AV142" s="68">
        <f t="shared" si="414"/>
        <v>-64</v>
      </c>
      <c r="AW142" s="421">
        <v>0</v>
      </c>
      <c r="AX142" s="421">
        <v>0</v>
      </c>
      <c r="AY142" s="421">
        <f t="shared" si="415"/>
        <v>0</v>
      </c>
      <c r="AZ142" s="421">
        <f t="shared" si="416"/>
        <v>-64</v>
      </c>
      <c r="BA142" s="422">
        <v>0</v>
      </c>
      <c r="BB142" s="422">
        <v>-0.02</v>
      </c>
      <c r="BC142" s="422">
        <v>0</v>
      </c>
      <c r="BD142" s="422">
        <v>0</v>
      </c>
      <c r="BE142" s="422">
        <v>0</v>
      </c>
      <c r="BF142" s="422">
        <v>0</v>
      </c>
      <c r="BG142" s="422">
        <v>0</v>
      </c>
      <c r="BH142" s="422">
        <v>0</v>
      </c>
      <c r="BI142" s="422">
        <v>0</v>
      </c>
      <c r="BJ142" s="422">
        <v>0</v>
      </c>
      <c r="BK142" s="422">
        <f t="shared" si="417"/>
        <v>0</v>
      </c>
      <c r="BL142" s="422">
        <f t="shared" si="418"/>
        <v>-0.02</v>
      </c>
      <c r="BM142" s="611">
        <f t="shared" si="419"/>
        <v>-0.02</v>
      </c>
      <c r="BN142" s="428">
        <f t="shared" si="420"/>
        <v>728139</v>
      </c>
      <c r="BO142" s="421">
        <f t="shared" si="421"/>
        <v>531603</v>
      </c>
      <c r="BP142" s="421">
        <f t="shared" si="422"/>
        <v>0</v>
      </c>
      <c r="BQ142" s="421">
        <f t="shared" si="422"/>
        <v>531603</v>
      </c>
      <c r="BR142" s="421">
        <f t="shared" si="423"/>
        <v>6400</v>
      </c>
      <c r="BS142" s="421">
        <f t="shared" si="424"/>
        <v>0</v>
      </c>
      <c r="BT142" s="421">
        <f t="shared" si="424"/>
        <v>6400</v>
      </c>
      <c r="BU142" s="421">
        <f t="shared" si="425"/>
        <v>181845</v>
      </c>
      <c r="BV142" s="421">
        <f t="shared" si="425"/>
        <v>5316</v>
      </c>
      <c r="BW142" s="421">
        <f t="shared" si="426"/>
        <v>2975</v>
      </c>
      <c r="BX142" s="422">
        <f t="shared" si="427"/>
        <v>1.5932999999999999</v>
      </c>
      <c r="BY142" s="422">
        <f t="shared" si="428"/>
        <v>0</v>
      </c>
      <c r="BZ142" s="611">
        <f t="shared" si="428"/>
        <v>1.5932999999999999</v>
      </c>
      <c r="CA142" s="875"/>
      <c r="CB142" s="872"/>
      <c r="CC142" s="872"/>
      <c r="CD142" s="872"/>
      <c r="CE142" s="872"/>
      <c r="CF142" s="876"/>
    </row>
    <row r="143" spans="1:84" ht="12.95" customHeight="1" x14ac:dyDescent="0.25">
      <c r="A143" s="282">
        <v>28</v>
      </c>
      <c r="B143" s="213">
        <v>2303</v>
      </c>
      <c r="C143" s="213">
        <v>600080048</v>
      </c>
      <c r="D143" s="283">
        <v>72743689</v>
      </c>
      <c r="E143" s="373" t="s">
        <v>504</v>
      </c>
      <c r="F143" s="384">
        <v>3143</v>
      </c>
      <c r="G143" s="325" t="s">
        <v>596</v>
      </c>
      <c r="H143" s="287" t="s">
        <v>271</v>
      </c>
      <c r="I143" s="423">
        <f t="shared" si="399"/>
        <v>939592</v>
      </c>
      <c r="J143" s="418">
        <f t="shared" si="400"/>
        <v>697027</v>
      </c>
      <c r="K143" s="418">
        <v>697027</v>
      </c>
      <c r="L143" s="418">
        <v>0</v>
      </c>
      <c r="M143" s="418">
        <f t="shared" si="401"/>
        <v>0</v>
      </c>
      <c r="N143" s="418">
        <v>0</v>
      </c>
      <c r="O143" s="418">
        <v>0</v>
      </c>
      <c r="P143" s="68">
        <f t="shared" si="402"/>
        <v>235595</v>
      </c>
      <c r="Q143" s="68">
        <f t="shared" si="403"/>
        <v>6970</v>
      </c>
      <c r="R143" s="418">
        <v>0</v>
      </c>
      <c r="S143" s="419">
        <f t="shared" si="429"/>
        <v>1.4</v>
      </c>
      <c r="T143" s="419">
        <v>1.4</v>
      </c>
      <c r="U143" s="527">
        <v>0</v>
      </c>
      <c r="V143" s="427">
        <f t="shared" si="404"/>
        <v>0</v>
      </c>
      <c r="W143" s="421">
        <f t="shared" si="404"/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f t="shared" si="405"/>
        <v>0</v>
      </c>
      <c r="AG143" s="421">
        <f t="shared" si="406"/>
        <v>0</v>
      </c>
      <c r="AH143" s="421">
        <f t="shared" si="407"/>
        <v>0</v>
      </c>
      <c r="AI143" s="421">
        <v>0</v>
      </c>
      <c r="AJ143" s="421">
        <v>0</v>
      </c>
      <c r="AK143" s="421">
        <v>0</v>
      </c>
      <c r="AL143" s="421">
        <v>0</v>
      </c>
      <c r="AM143" s="421">
        <v>0</v>
      </c>
      <c r="AN143" s="421">
        <v>0</v>
      </c>
      <c r="AO143" s="421">
        <f t="shared" si="408"/>
        <v>0</v>
      </c>
      <c r="AP143" s="421">
        <f t="shared" si="409"/>
        <v>0</v>
      </c>
      <c r="AQ143" s="421">
        <f t="shared" si="410"/>
        <v>0</v>
      </c>
      <c r="AR143" s="421">
        <f t="shared" si="411"/>
        <v>0</v>
      </c>
      <c r="AS143" s="421">
        <f t="shared" si="411"/>
        <v>0</v>
      </c>
      <c r="AT143" s="421">
        <f t="shared" si="412"/>
        <v>0</v>
      </c>
      <c r="AU143" s="68">
        <f t="shared" si="413"/>
        <v>0</v>
      </c>
      <c r="AV143" s="68">
        <f t="shared" si="414"/>
        <v>0</v>
      </c>
      <c r="AW143" s="421">
        <v>0</v>
      </c>
      <c r="AX143" s="421">
        <v>0</v>
      </c>
      <c r="AY143" s="421">
        <f t="shared" si="415"/>
        <v>0</v>
      </c>
      <c r="AZ143" s="421">
        <f t="shared" si="416"/>
        <v>0</v>
      </c>
      <c r="BA143" s="422">
        <v>0</v>
      </c>
      <c r="BB143" s="422">
        <v>0</v>
      </c>
      <c r="BC143" s="422">
        <v>0</v>
      </c>
      <c r="BD143" s="422">
        <v>0</v>
      </c>
      <c r="BE143" s="422">
        <v>0</v>
      </c>
      <c r="BF143" s="422">
        <v>0</v>
      </c>
      <c r="BG143" s="422">
        <v>0</v>
      </c>
      <c r="BH143" s="422">
        <v>0</v>
      </c>
      <c r="BI143" s="422">
        <v>0</v>
      </c>
      <c r="BJ143" s="422">
        <v>0</v>
      </c>
      <c r="BK143" s="422">
        <f t="shared" si="417"/>
        <v>0</v>
      </c>
      <c r="BL143" s="422">
        <f t="shared" si="418"/>
        <v>0</v>
      </c>
      <c r="BM143" s="611">
        <f t="shared" si="419"/>
        <v>0</v>
      </c>
      <c r="BN143" s="428">
        <f t="shared" si="420"/>
        <v>939592</v>
      </c>
      <c r="BO143" s="421">
        <f t="shared" si="421"/>
        <v>697027</v>
      </c>
      <c r="BP143" s="421">
        <f t="shared" si="422"/>
        <v>697027</v>
      </c>
      <c r="BQ143" s="421">
        <f t="shared" si="422"/>
        <v>0</v>
      </c>
      <c r="BR143" s="421">
        <f t="shared" si="423"/>
        <v>0</v>
      </c>
      <c r="BS143" s="421">
        <f t="shared" si="424"/>
        <v>0</v>
      </c>
      <c r="BT143" s="421">
        <f t="shared" si="424"/>
        <v>0</v>
      </c>
      <c r="BU143" s="421">
        <f t="shared" si="425"/>
        <v>235595</v>
      </c>
      <c r="BV143" s="421">
        <f t="shared" si="425"/>
        <v>6970</v>
      </c>
      <c r="BW143" s="421">
        <f t="shared" si="426"/>
        <v>0</v>
      </c>
      <c r="BX143" s="422">
        <f t="shared" si="427"/>
        <v>1.4</v>
      </c>
      <c r="BY143" s="422">
        <f t="shared" si="428"/>
        <v>1.4</v>
      </c>
      <c r="BZ143" s="611">
        <f t="shared" si="428"/>
        <v>0</v>
      </c>
      <c r="CA143" s="875"/>
      <c r="CB143" s="872"/>
      <c r="CC143" s="872"/>
      <c r="CD143" s="872"/>
      <c r="CE143" s="872"/>
      <c r="CF143" s="876"/>
    </row>
    <row r="144" spans="1:84" ht="12.95" customHeight="1" x14ac:dyDescent="0.25">
      <c r="A144" s="282">
        <v>28</v>
      </c>
      <c r="B144" s="213">
        <v>2303</v>
      </c>
      <c r="C144" s="213">
        <v>600080048</v>
      </c>
      <c r="D144" s="283">
        <v>72743689</v>
      </c>
      <c r="E144" s="373" t="s">
        <v>504</v>
      </c>
      <c r="F144" s="384">
        <v>3143</v>
      </c>
      <c r="G144" s="325" t="s">
        <v>597</v>
      </c>
      <c r="H144" s="287" t="s">
        <v>272</v>
      </c>
      <c r="I144" s="423">
        <f t="shared" si="399"/>
        <v>15380</v>
      </c>
      <c r="J144" s="418">
        <f t="shared" si="400"/>
        <v>11009</v>
      </c>
      <c r="K144" s="418">
        <v>0</v>
      </c>
      <c r="L144" s="418">
        <v>11009</v>
      </c>
      <c r="M144" s="418">
        <f t="shared" si="401"/>
        <v>0</v>
      </c>
      <c r="N144" s="418">
        <v>0</v>
      </c>
      <c r="O144" s="418">
        <v>0</v>
      </c>
      <c r="P144" s="68">
        <f t="shared" si="402"/>
        <v>3721</v>
      </c>
      <c r="Q144" s="68">
        <f t="shared" si="403"/>
        <v>110</v>
      </c>
      <c r="R144" s="418">
        <v>540</v>
      </c>
      <c r="S144" s="419">
        <f t="shared" si="429"/>
        <v>4.1700000000000001E-2</v>
      </c>
      <c r="T144" s="419">
        <v>0</v>
      </c>
      <c r="U144" s="527">
        <v>4.1700000000000001E-2</v>
      </c>
      <c r="V144" s="427">
        <f t="shared" si="404"/>
        <v>0</v>
      </c>
      <c r="W144" s="421">
        <f t="shared" si="404"/>
        <v>0</v>
      </c>
      <c r="X144" s="421">
        <v>0</v>
      </c>
      <c r="Y144" s="421">
        <v>0</v>
      </c>
      <c r="Z144" s="421">
        <v>0</v>
      </c>
      <c r="AA144" s="421">
        <v>0</v>
      </c>
      <c r="AB144" s="421">
        <v>0</v>
      </c>
      <c r="AC144" s="421">
        <v>0</v>
      </c>
      <c r="AD144" s="421">
        <v>0</v>
      </c>
      <c r="AE144" s="421">
        <v>0</v>
      </c>
      <c r="AF144" s="421">
        <f t="shared" si="405"/>
        <v>0</v>
      </c>
      <c r="AG144" s="421">
        <f t="shared" si="406"/>
        <v>0</v>
      </c>
      <c r="AH144" s="421">
        <f t="shared" si="407"/>
        <v>0</v>
      </c>
      <c r="AI144" s="421">
        <v>0</v>
      </c>
      <c r="AJ144" s="421">
        <v>0</v>
      </c>
      <c r="AK144" s="421">
        <v>0</v>
      </c>
      <c r="AL144" s="421">
        <v>0</v>
      </c>
      <c r="AM144" s="421">
        <v>0</v>
      </c>
      <c r="AN144" s="421">
        <v>0</v>
      </c>
      <c r="AO144" s="421">
        <f t="shared" si="408"/>
        <v>0</v>
      </c>
      <c r="AP144" s="421">
        <f t="shared" si="409"/>
        <v>0</v>
      </c>
      <c r="AQ144" s="421">
        <f t="shared" si="410"/>
        <v>0</v>
      </c>
      <c r="AR144" s="421">
        <f t="shared" si="411"/>
        <v>0</v>
      </c>
      <c r="AS144" s="421">
        <f t="shared" si="411"/>
        <v>0</v>
      </c>
      <c r="AT144" s="421">
        <f t="shared" si="412"/>
        <v>0</v>
      </c>
      <c r="AU144" s="68">
        <f t="shared" si="413"/>
        <v>0</v>
      </c>
      <c r="AV144" s="68">
        <f t="shared" si="414"/>
        <v>0</v>
      </c>
      <c r="AW144" s="421">
        <v>0</v>
      </c>
      <c r="AX144" s="421">
        <v>0</v>
      </c>
      <c r="AY144" s="421">
        <f t="shared" si="415"/>
        <v>0</v>
      </c>
      <c r="AZ144" s="421">
        <f t="shared" si="416"/>
        <v>0</v>
      </c>
      <c r="BA144" s="422">
        <v>0</v>
      </c>
      <c r="BB144" s="422">
        <v>0</v>
      </c>
      <c r="BC144" s="422">
        <v>0</v>
      </c>
      <c r="BD144" s="422">
        <v>0</v>
      </c>
      <c r="BE144" s="422">
        <v>0</v>
      </c>
      <c r="BF144" s="422">
        <v>0</v>
      </c>
      <c r="BG144" s="422">
        <v>0</v>
      </c>
      <c r="BH144" s="422">
        <v>0</v>
      </c>
      <c r="BI144" s="422">
        <v>0</v>
      </c>
      <c r="BJ144" s="422">
        <v>0</v>
      </c>
      <c r="BK144" s="422">
        <f t="shared" si="417"/>
        <v>0</v>
      </c>
      <c r="BL144" s="422">
        <f t="shared" si="418"/>
        <v>0</v>
      </c>
      <c r="BM144" s="611">
        <f t="shared" si="419"/>
        <v>0</v>
      </c>
      <c r="BN144" s="428">
        <f t="shared" si="420"/>
        <v>15380</v>
      </c>
      <c r="BO144" s="421">
        <f t="shared" si="421"/>
        <v>11009</v>
      </c>
      <c r="BP144" s="421">
        <f t="shared" si="422"/>
        <v>0</v>
      </c>
      <c r="BQ144" s="421">
        <f t="shared" si="422"/>
        <v>11009</v>
      </c>
      <c r="BR144" s="421">
        <f t="shared" si="423"/>
        <v>0</v>
      </c>
      <c r="BS144" s="421">
        <f t="shared" si="424"/>
        <v>0</v>
      </c>
      <c r="BT144" s="421">
        <f t="shared" si="424"/>
        <v>0</v>
      </c>
      <c r="BU144" s="421">
        <f t="shared" si="425"/>
        <v>3721</v>
      </c>
      <c r="BV144" s="421">
        <f t="shared" si="425"/>
        <v>110</v>
      </c>
      <c r="BW144" s="421">
        <f t="shared" si="426"/>
        <v>540</v>
      </c>
      <c r="BX144" s="422">
        <f t="shared" si="427"/>
        <v>4.1700000000000001E-2</v>
      </c>
      <c r="BY144" s="422">
        <f t="shared" si="428"/>
        <v>0</v>
      </c>
      <c r="BZ144" s="611">
        <f t="shared" si="428"/>
        <v>4.1700000000000001E-2</v>
      </c>
      <c r="CA144" s="875"/>
      <c r="CB144" s="872"/>
      <c r="CC144" s="872"/>
      <c r="CD144" s="872"/>
      <c r="CE144" s="872"/>
      <c r="CF144" s="876"/>
    </row>
    <row r="145" spans="1:84" ht="12.95" customHeight="1" x14ac:dyDescent="0.25">
      <c r="A145" s="214">
        <v>28</v>
      </c>
      <c r="B145" s="45">
        <v>2303</v>
      </c>
      <c r="C145" s="45">
        <v>600080048</v>
      </c>
      <c r="D145" s="45">
        <v>72743689</v>
      </c>
      <c r="E145" s="385" t="s">
        <v>505</v>
      </c>
      <c r="F145" s="386"/>
      <c r="G145" s="385"/>
      <c r="H145" s="387"/>
      <c r="I145" s="500">
        <f t="shared" ref="I145:BU145" si="430">SUM(I139:I144)</f>
        <v>8923467</v>
      </c>
      <c r="J145" s="497">
        <f t="shared" si="430"/>
        <v>6570035</v>
      </c>
      <c r="K145" s="497">
        <f t="shared" si="430"/>
        <v>5456415</v>
      </c>
      <c r="L145" s="497">
        <f t="shared" si="430"/>
        <v>1113620</v>
      </c>
      <c r="M145" s="497">
        <f t="shared" si="430"/>
        <v>0</v>
      </c>
      <c r="N145" s="497">
        <f t="shared" si="430"/>
        <v>0</v>
      </c>
      <c r="O145" s="497">
        <f t="shared" si="430"/>
        <v>0</v>
      </c>
      <c r="P145" s="497">
        <f t="shared" si="430"/>
        <v>2220672</v>
      </c>
      <c r="Q145" s="497">
        <f t="shared" si="430"/>
        <v>65700</v>
      </c>
      <c r="R145" s="497">
        <f t="shared" si="430"/>
        <v>67060</v>
      </c>
      <c r="S145" s="498">
        <f t="shared" si="430"/>
        <v>12.541600000000001</v>
      </c>
      <c r="T145" s="498">
        <f t="shared" si="430"/>
        <v>9.1264000000000003</v>
      </c>
      <c r="U145" s="381">
        <f t="shared" si="430"/>
        <v>3.4152</v>
      </c>
      <c r="V145" s="502">
        <f t="shared" si="430"/>
        <v>0</v>
      </c>
      <c r="W145" s="497">
        <f t="shared" si="430"/>
        <v>-9600</v>
      </c>
      <c r="X145" s="497">
        <f t="shared" si="430"/>
        <v>144205</v>
      </c>
      <c r="Y145" s="497">
        <f t="shared" si="430"/>
        <v>0</v>
      </c>
      <c r="Z145" s="497">
        <f t="shared" si="430"/>
        <v>0</v>
      </c>
      <c r="AA145" s="497">
        <f t="shared" si="430"/>
        <v>0</v>
      </c>
      <c r="AB145" s="497">
        <f t="shared" si="430"/>
        <v>0</v>
      </c>
      <c r="AC145" s="497">
        <f t="shared" si="430"/>
        <v>0</v>
      </c>
      <c r="AD145" s="497">
        <f t="shared" si="430"/>
        <v>0</v>
      </c>
      <c r="AE145" s="497">
        <f t="shared" si="430"/>
        <v>0</v>
      </c>
      <c r="AF145" s="497">
        <f t="shared" si="430"/>
        <v>144205</v>
      </c>
      <c r="AG145" s="497">
        <f t="shared" si="430"/>
        <v>-9600</v>
      </c>
      <c r="AH145" s="497">
        <f t="shared" si="430"/>
        <v>134605</v>
      </c>
      <c r="AI145" s="497">
        <f t="shared" si="430"/>
        <v>0</v>
      </c>
      <c r="AJ145" s="497">
        <f t="shared" si="430"/>
        <v>9600</v>
      </c>
      <c r="AK145" s="497">
        <f t="shared" ref="AK145" si="431">SUM(AK139:AK144)</f>
        <v>0</v>
      </c>
      <c r="AL145" s="497">
        <f t="shared" si="430"/>
        <v>0</v>
      </c>
      <c r="AM145" s="497">
        <f t="shared" si="430"/>
        <v>0</v>
      </c>
      <c r="AN145" s="497">
        <f t="shared" si="430"/>
        <v>0</v>
      </c>
      <c r="AO145" s="497">
        <f t="shared" si="430"/>
        <v>0</v>
      </c>
      <c r="AP145" s="497">
        <f t="shared" si="430"/>
        <v>9600</v>
      </c>
      <c r="AQ145" s="497">
        <f t="shared" si="430"/>
        <v>9600</v>
      </c>
      <c r="AR145" s="497">
        <f t="shared" si="430"/>
        <v>144205</v>
      </c>
      <c r="AS145" s="497">
        <f t="shared" si="430"/>
        <v>0</v>
      </c>
      <c r="AT145" s="497">
        <f t="shared" si="430"/>
        <v>144205</v>
      </c>
      <c r="AU145" s="497">
        <f t="shared" si="430"/>
        <v>48741</v>
      </c>
      <c r="AV145" s="497">
        <f t="shared" si="430"/>
        <v>1346</v>
      </c>
      <c r="AW145" s="497">
        <f t="shared" si="430"/>
        <v>0</v>
      </c>
      <c r="AX145" s="497">
        <f t="shared" si="430"/>
        <v>0</v>
      </c>
      <c r="AY145" s="497">
        <f t="shared" si="430"/>
        <v>0</v>
      </c>
      <c r="AZ145" s="497">
        <f t="shared" si="430"/>
        <v>194292</v>
      </c>
      <c r="BA145" s="498">
        <f t="shared" si="430"/>
        <v>0</v>
      </c>
      <c r="BB145" s="498">
        <f t="shared" si="430"/>
        <v>-0.02</v>
      </c>
      <c r="BC145" s="498">
        <f t="shared" si="430"/>
        <v>0.39</v>
      </c>
      <c r="BD145" s="498">
        <f t="shared" si="430"/>
        <v>0</v>
      </c>
      <c r="BE145" s="498">
        <f t="shared" si="430"/>
        <v>0</v>
      </c>
      <c r="BF145" s="498">
        <f t="shared" si="430"/>
        <v>0</v>
      </c>
      <c r="BG145" s="498">
        <f t="shared" si="430"/>
        <v>0</v>
      </c>
      <c r="BH145" s="498">
        <f t="shared" si="430"/>
        <v>0</v>
      </c>
      <c r="BI145" s="498">
        <f t="shared" si="430"/>
        <v>0</v>
      </c>
      <c r="BJ145" s="498">
        <f t="shared" si="430"/>
        <v>0</v>
      </c>
      <c r="BK145" s="498">
        <f t="shared" si="430"/>
        <v>0.39</v>
      </c>
      <c r="BL145" s="498">
        <f t="shared" si="430"/>
        <v>-0.02</v>
      </c>
      <c r="BM145" s="746">
        <f t="shared" si="430"/>
        <v>0.37</v>
      </c>
      <c r="BN145" s="500">
        <f t="shared" si="430"/>
        <v>9117759</v>
      </c>
      <c r="BO145" s="497">
        <f t="shared" si="430"/>
        <v>6704640</v>
      </c>
      <c r="BP145" s="497">
        <f t="shared" si="430"/>
        <v>5600620</v>
      </c>
      <c r="BQ145" s="497">
        <f t="shared" si="430"/>
        <v>1104020</v>
      </c>
      <c r="BR145" s="497">
        <f t="shared" si="430"/>
        <v>9600</v>
      </c>
      <c r="BS145" s="497">
        <f t="shared" si="430"/>
        <v>0</v>
      </c>
      <c r="BT145" s="497">
        <f t="shared" si="430"/>
        <v>9600</v>
      </c>
      <c r="BU145" s="497">
        <f t="shared" si="430"/>
        <v>2269413</v>
      </c>
      <c r="BV145" s="497">
        <f t="shared" ref="BV145:CF145" si="432">SUM(BV139:BV144)</f>
        <v>67046</v>
      </c>
      <c r="BW145" s="497">
        <f t="shared" si="432"/>
        <v>67060</v>
      </c>
      <c r="BX145" s="498">
        <f t="shared" si="432"/>
        <v>12.9116</v>
      </c>
      <c r="BY145" s="498">
        <f t="shared" si="432"/>
        <v>9.5164000000000009</v>
      </c>
      <c r="BZ145" s="746">
        <f t="shared" si="432"/>
        <v>3.3951999999999996</v>
      </c>
      <c r="CA145" s="902">
        <f t="shared" si="432"/>
        <v>0</v>
      </c>
      <c r="CB145" s="897">
        <f t="shared" si="432"/>
        <v>0</v>
      </c>
      <c r="CC145" s="897">
        <f t="shared" si="432"/>
        <v>0</v>
      </c>
      <c r="CD145" s="897">
        <f t="shared" si="432"/>
        <v>0</v>
      </c>
      <c r="CE145" s="897">
        <f t="shared" si="432"/>
        <v>0</v>
      </c>
      <c r="CF145" s="842">
        <f t="shared" si="432"/>
        <v>0</v>
      </c>
    </row>
    <row r="146" spans="1:84" ht="12.95" customHeight="1" x14ac:dyDescent="0.25">
      <c r="A146" s="282">
        <v>29</v>
      </c>
      <c r="B146" s="213">
        <v>5437</v>
      </c>
      <c r="C146" s="213">
        <v>600098931</v>
      </c>
      <c r="D146" s="283">
        <v>72742135</v>
      </c>
      <c r="E146" s="374" t="s">
        <v>506</v>
      </c>
      <c r="F146" s="213">
        <v>3111</v>
      </c>
      <c r="G146" s="375" t="s">
        <v>305</v>
      </c>
      <c r="H146" s="287" t="s">
        <v>271</v>
      </c>
      <c r="I146" s="423">
        <f>J146+P146+Q146+R146</f>
        <v>5205401</v>
      </c>
      <c r="J146" s="418">
        <f>K146+L146</f>
        <v>3849887</v>
      </c>
      <c r="K146" s="418">
        <v>3517218</v>
      </c>
      <c r="L146" s="418">
        <v>332669</v>
      </c>
      <c r="M146" s="418">
        <f t="shared" ref="M146:M147" si="433">N146+O146</f>
        <v>0</v>
      </c>
      <c r="N146" s="418">
        <v>0</v>
      </c>
      <c r="O146" s="418">
        <v>0</v>
      </c>
      <c r="P146" s="68">
        <f>ROUND((J146+M146)*33.8%,0)</f>
        <v>1301262</v>
      </c>
      <c r="Q146" s="68">
        <f>ROUND(J146*1%,0)</f>
        <v>38499</v>
      </c>
      <c r="R146" s="418">
        <v>15753</v>
      </c>
      <c r="S146" s="419">
        <f t="shared" si="429"/>
        <v>7.36</v>
      </c>
      <c r="T146" s="419">
        <v>6.24</v>
      </c>
      <c r="U146" s="527">
        <v>1.1200000000000001</v>
      </c>
      <c r="V146" s="427">
        <f>AI146*-1</f>
        <v>0</v>
      </c>
      <c r="W146" s="421">
        <f>AJ146*-1</f>
        <v>0</v>
      </c>
      <c r="X146" s="421">
        <v>0</v>
      </c>
      <c r="Y146" s="421">
        <v>0</v>
      </c>
      <c r="Z146" s="421">
        <v>0</v>
      </c>
      <c r="AA146" s="421">
        <v>0</v>
      </c>
      <c r="AB146" s="421">
        <v>0</v>
      </c>
      <c r="AC146" s="421">
        <v>0</v>
      </c>
      <c r="AD146" s="421">
        <v>0</v>
      </c>
      <c r="AE146" s="421">
        <v>0</v>
      </c>
      <c r="AF146" s="421">
        <f>V146+X146+Y146+AA146+AB146+AD146</f>
        <v>0</v>
      </c>
      <c r="AG146" s="421">
        <f>W146+Z146+AC146+AE146</f>
        <v>0</v>
      </c>
      <c r="AH146" s="421">
        <f>SUM(AF146:AG146)</f>
        <v>0</v>
      </c>
      <c r="AI146" s="421">
        <v>0</v>
      </c>
      <c r="AJ146" s="421">
        <v>0</v>
      </c>
      <c r="AK146" s="421">
        <v>0</v>
      </c>
      <c r="AL146" s="421">
        <v>0</v>
      </c>
      <c r="AM146" s="421">
        <v>0</v>
      </c>
      <c r="AN146" s="421">
        <v>0</v>
      </c>
      <c r="AO146" s="421">
        <f t="shared" ref="AO146:AO147" si="434">AI146+AK146+AL146+AM146</f>
        <v>0</v>
      </c>
      <c r="AP146" s="421">
        <f>AJ146+AN146</f>
        <v>0</v>
      </c>
      <c r="AQ146" s="421">
        <f>SUM(AO146:AP146)</f>
        <v>0</v>
      </c>
      <c r="AR146" s="421">
        <f>AF146+AO146</f>
        <v>0</v>
      </c>
      <c r="AS146" s="421">
        <f>AG146+AP146</f>
        <v>0</v>
      </c>
      <c r="AT146" s="421">
        <f>SUM(AR146:AS146)</f>
        <v>0</v>
      </c>
      <c r="AU146" s="68">
        <f t="shared" ref="AU146:AU147" si="435">ROUND((AH146+AI146+AJ146+AK146+AL146)*33.8%,0)</f>
        <v>0</v>
      </c>
      <c r="AV146" s="68">
        <f>ROUND(AH146*1%,0)</f>
        <v>0</v>
      </c>
      <c r="AW146" s="421">
        <v>0</v>
      </c>
      <c r="AX146" s="421">
        <v>0</v>
      </c>
      <c r="AY146" s="421">
        <f>AW146+AX146</f>
        <v>0</v>
      </c>
      <c r="AZ146" s="421">
        <f>AT146+AU146+AV146+AY146</f>
        <v>0</v>
      </c>
      <c r="BA146" s="422">
        <v>0</v>
      </c>
      <c r="BB146" s="422">
        <v>0</v>
      </c>
      <c r="BC146" s="422">
        <v>0</v>
      </c>
      <c r="BD146" s="422">
        <v>0</v>
      </c>
      <c r="BE146" s="422">
        <v>0</v>
      </c>
      <c r="BF146" s="422">
        <v>0</v>
      </c>
      <c r="BG146" s="422">
        <v>0</v>
      </c>
      <c r="BH146" s="422">
        <v>0</v>
      </c>
      <c r="BI146" s="422">
        <v>0</v>
      </c>
      <c r="BJ146" s="422">
        <v>0</v>
      </c>
      <c r="BK146" s="422">
        <f>BA146+BC146+BD146+BF146+BH146+BI146</f>
        <v>0</v>
      </c>
      <c r="BL146" s="422">
        <f>BB146+BE146+BG146+BJ146</f>
        <v>0</v>
      </c>
      <c r="BM146" s="611">
        <f>SUM(BK146:BL146)</f>
        <v>0</v>
      </c>
      <c r="BN146" s="428">
        <f>I146+AZ146</f>
        <v>5205401</v>
      </c>
      <c r="BO146" s="421">
        <f>J146+AH146</f>
        <v>3849887</v>
      </c>
      <c r="BP146" s="421">
        <f>K146+AF146</f>
        <v>3517218</v>
      </c>
      <c r="BQ146" s="421">
        <f>L146+AG146</f>
        <v>332669</v>
      </c>
      <c r="BR146" s="421">
        <f>M146+AQ146</f>
        <v>0</v>
      </c>
      <c r="BS146" s="421">
        <f>N146+AO146</f>
        <v>0</v>
      </c>
      <c r="BT146" s="421">
        <f>O146+AP146</f>
        <v>0</v>
      </c>
      <c r="BU146" s="421">
        <f>P146+AU146</f>
        <v>1301262</v>
      </c>
      <c r="BV146" s="421">
        <f>Q146+AV146</f>
        <v>38499</v>
      </c>
      <c r="BW146" s="421">
        <f>R146+AY146</f>
        <v>15753</v>
      </c>
      <c r="BX146" s="422">
        <f>S146+BM146</f>
        <v>7.36</v>
      </c>
      <c r="BY146" s="422">
        <f>T146+BK146</f>
        <v>6.24</v>
      </c>
      <c r="BZ146" s="611">
        <f>U146+BL146</f>
        <v>1.1200000000000001</v>
      </c>
      <c r="CA146" s="875"/>
      <c r="CB146" s="872"/>
      <c r="CC146" s="872"/>
      <c r="CD146" s="872"/>
      <c r="CE146" s="872"/>
      <c r="CF146" s="876"/>
    </row>
    <row r="147" spans="1:84" ht="12.95" customHeight="1" x14ac:dyDescent="0.25">
      <c r="A147" s="282">
        <v>29</v>
      </c>
      <c r="B147" s="213">
        <v>5437</v>
      </c>
      <c r="C147" s="213">
        <v>600098931</v>
      </c>
      <c r="D147" s="283">
        <v>72742135</v>
      </c>
      <c r="E147" s="374" t="s">
        <v>506</v>
      </c>
      <c r="F147" s="213">
        <v>3141</v>
      </c>
      <c r="G147" s="375" t="s">
        <v>295</v>
      </c>
      <c r="H147" s="287" t="s">
        <v>272</v>
      </c>
      <c r="I147" s="423">
        <f>J147+P147+Q147+R147</f>
        <v>888013</v>
      </c>
      <c r="J147" s="418">
        <f>K147+L147</f>
        <v>655855</v>
      </c>
      <c r="K147" s="418">
        <v>0</v>
      </c>
      <c r="L147" s="418">
        <v>655855</v>
      </c>
      <c r="M147" s="418">
        <f t="shared" si="433"/>
        <v>0</v>
      </c>
      <c r="N147" s="418">
        <v>0</v>
      </c>
      <c r="O147" s="418">
        <v>0</v>
      </c>
      <c r="P147" s="68">
        <f>ROUND((J147+M147)*33.8%,0)</f>
        <v>221679</v>
      </c>
      <c r="Q147" s="68">
        <f>ROUND(J147*1%,0)</f>
        <v>6559</v>
      </c>
      <c r="R147" s="418">
        <v>3920</v>
      </c>
      <c r="S147" s="419">
        <f t="shared" si="429"/>
        <v>1.9666999999999999</v>
      </c>
      <c r="T147" s="419">
        <v>0</v>
      </c>
      <c r="U147" s="527">
        <v>1.9666999999999999</v>
      </c>
      <c r="V147" s="427">
        <f>AI147*-1</f>
        <v>0</v>
      </c>
      <c r="W147" s="421">
        <f>AJ147*-1</f>
        <v>0</v>
      </c>
      <c r="X147" s="421">
        <v>0</v>
      </c>
      <c r="Y147" s="421">
        <v>0</v>
      </c>
      <c r="Z147" s="421">
        <v>0</v>
      </c>
      <c r="AA147" s="421">
        <v>0</v>
      </c>
      <c r="AB147" s="421">
        <v>0</v>
      </c>
      <c r="AC147" s="421">
        <v>0</v>
      </c>
      <c r="AD147" s="421">
        <v>0</v>
      </c>
      <c r="AE147" s="421">
        <v>0</v>
      </c>
      <c r="AF147" s="421">
        <f>V147+X147+Y147+AA147+AB147+AD147</f>
        <v>0</v>
      </c>
      <c r="AG147" s="421">
        <f>W147+Z147+AC147+AE147</f>
        <v>0</v>
      </c>
      <c r="AH147" s="421">
        <f>SUM(AF147:AG147)</f>
        <v>0</v>
      </c>
      <c r="AI147" s="421">
        <v>0</v>
      </c>
      <c r="AJ147" s="421">
        <v>0</v>
      </c>
      <c r="AK147" s="421">
        <v>0</v>
      </c>
      <c r="AL147" s="421">
        <v>0</v>
      </c>
      <c r="AM147" s="421">
        <v>0</v>
      </c>
      <c r="AN147" s="421">
        <v>0</v>
      </c>
      <c r="AO147" s="421">
        <f t="shared" si="434"/>
        <v>0</v>
      </c>
      <c r="AP147" s="421">
        <f>AJ147+AN147</f>
        <v>0</v>
      </c>
      <c r="AQ147" s="421">
        <f>SUM(AO147:AP147)</f>
        <v>0</v>
      </c>
      <c r="AR147" s="421">
        <f>AF147+AO147</f>
        <v>0</v>
      </c>
      <c r="AS147" s="421">
        <f>AG147+AP147</f>
        <v>0</v>
      </c>
      <c r="AT147" s="421">
        <f>SUM(AR147:AS147)</f>
        <v>0</v>
      </c>
      <c r="AU147" s="68">
        <f t="shared" si="435"/>
        <v>0</v>
      </c>
      <c r="AV147" s="68">
        <f>ROUND(AH147*1%,0)</f>
        <v>0</v>
      </c>
      <c r="AW147" s="421">
        <v>0</v>
      </c>
      <c r="AX147" s="421">
        <v>0</v>
      </c>
      <c r="AY147" s="421">
        <f>AW147+AX147</f>
        <v>0</v>
      </c>
      <c r="AZ147" s="421">
        <f>AT147+AU147+AV147+AY147</f>
        <v>0</v>
      </c>
      <c r="BA147" s="422">
        <v>0</v>
      </c>
      <c r="BB147" s="422">
        <v>0</v>
      </c>
      <c r="BC147" s="422">
        <v>0</v>
      </c>
      <c r="BD147" s="422">
        <v>0</v>
      </c>
      <c r="BE147" s="422">
        <v>0</v>
      </c>
      <c r="BF147" s="422">
        <v>0</v>
      </c>
      <c r="BG147" s="422">
        <v>0</v>
      </c>
      <c r="BH147" s="422">
        <v>0</v>
      </c>
      <c r="BI147" s="422">
        <v>0</v>
      </c>
      <c r="BJ147" s="422">
        <v>0</v>
      </c>
      <c r="BK147" s="422">
        <f>BA147+BC147+BD147+BF147+BH147+BI147</f>
        <v>0</v>
      </c>
      <c r="BL147" s="422">
        <f>BB147+BE147+BG147+BJ147</f>
        <v>0</v>
      </c>
      <c r="BM147" s="611">
        <f>SUM(BK147:BL147)</f>
        <v>0</v>
      </c>
      <c r="BN147" s="428">
        <f>I147+AZ147</f>
        <v>888013</v>
      </c>
      <c r="BO147" s="421">
        <f>J147+AH147</f>
        <v>655855</v>
      </c>
      <c r="BP147" s="421">
        <f>K147+AF147</f>
        <v>0</v>
      </c>
      <c r="BQ147" s="421">
        <f>L147+AG147</f>
        <v>655855</v>
      </c>
      <c r="BR147" s="421">
        <f>M147+AQ147</f>
        <v>0</v>
      </c>
      <c r="BS147" s="421">
        <f>N147+AO147</f>
        <v>0</v>
      </c>
      <c r="BT147" s="421">
        <f>O147+AP147</f>
        <v>0</v>
      </c>
      <c r="BU147" s="421">
        <f>P147+AU147</f>
        <v>221679</v>
      </c>
      <c r="BV147" s="421">
        <f>Q147+AV147</f>
        <v>6559</v>
      </c>
      <c r="BW147" s="421">
        <f>R147+AY147</f>
        <v>3920</v>
      </c>
      <c r="BX147" s="422">
        <f>S147+BM147</f>
        <v>1.9666999999999999</v>
      </c>
      <c r="BY147" s="422">
        <f>T147+BK147</f>
        <v>0</v>
      </c>
      <c r="BZ147" s="611">
        <f>U147+BL147</f>
        <v>1.9666999999999999</v>
      </c>
      <c r="CA147" s="875"/>
      <c r="CB147" s="872"/>
      <c r="CC147" s="872"/>
      <c r="CD147" s="872"/>
      <c r="CE147" s="872"/>
      <c r="CF147" s="876"/>
    </row>
    <row r="148" spans="1:84" ht="12.95" customHeight="1" x14ac:dyDescent="0.25">
      <c r="A148" s="214">
        <v>29</v>
      </c>
      <c r="B148" s="45">
        <v>5437</v>
      </c>
      <c r="C148" s="45">
        <v>600098931</v>
      </c>
      <c r="D148" s="45">
        <v>72742135</v>
      </c>
      <c r="E148" s="376" t="s">
        <v>507</v>
      </c>
      <c r="F148" s="45"/>
      <c r="G148" s="376"/>
      <c r="H148" s="183"/>
      <c r="I148" s="500">
        <f t="shared" ref="I148:BU148" si="436">SUM(I146:I147)</f>
        <v>6093414</v>
      </c>
      <c r="J148" s="497">
        <f t="shared" si="436"/>
        <v>4505742</v>
      </c>
      <c r="K148" s="497">
        <f t="shared" si="436"/>
        <v>3517218</v>
      </c>
      <c r="L148" s="497">
        <f t="shared" si="436"/>
        <v>988524</v>
      </c>
      <c r="M148" s="497">
        <f t="shared" si="436"/>
        <v>0</v>
      </c>
      <c r="N148" s="497">
        <f t="shared" si="436"/>
        <v>0</v>
      </c>
      <c r="O148" s="497">
        <f t="shared" si="436"/>
        <v>0</v>
      </c>
      <c r="P148" s="497">
        <f t="shared" si="436"/>
        <v>1522941</v>
      </c>
      <c r="Q148" s="497">
        <f t="shared" si="436"/>
        <v>45058</v>
      </c>
      <c r="R148" s="497">
        <f t="shared" si="436"/>
        <v>19673</v>
      </c>
      <c r="S148" s="498">
        <f t="shared" si="436"/>
        <v>9.3267000000000007</v>
      </c>
      <c r="T148" s="498">
        <f t="shared" si="436"/>
        <v>6.24</v>
      </c>
      <c r="U148" s="381">
        <f t="shared" si="436"/>
        <v>3.0867</v>
      </c>
      <c r="V148" s="502">
        <f t="shared" si="436"/>
        <v>0</v>
      </c>
      <c r="W148" s="497">
        <f t="shared" si="436"/>
        <v>0</v>
      </c>
      <c r="X148" s="497">
        <f t="shared" si="436"/>
        <v>0</v>
      </c>
      <c r="Y148" s="497">
        <f t="shared" si="436"/>
        <v>0</v>
      </c>
      <c r="Z148" s="497">
        <f t="shared" si="436"/>
        <v>0</v>
      </c>
      <c r="AA148" s="497">
        <f t="shared" si="436"/>
        <v>0</v>
      </c>
      <c r="AB148" s="497">
        <f t="shared" si="436"/>
        <v>0</v>
      </c>
      <c r="AC148" s="497">
        <f t="shared" si="436"/>
        <v>0</v>
      </c>
      <c r="AD148" s="497">
        <f t="shared" si="436"/>
        <v>0</v>
      </c>
      <c r="AE148" s="497">
        <f t="shared" si="436"/>
        <v>0</v>
      </c>
      <c r="AF148" s="497">
        <f t="shared" si="436"/>
        <v>0</v>
      </c>
      <c r="AG148" s="497">
        <f t="shared" si="436"/>
        <v>0</v>
      </c>
      <c r="AH148" s="497">
        <f t="shared" si="436"/>
        <v>0</v>
      </c>
      <c r="AI148" s="497">
        <f t="shared" si="436"/>
        <v>0</v>
      </c>
      <c r="AJ148" s="497">
        <f t="shared" si="436"/>
        <v>0</v>
      </c>
      <c r="AK148" s="497">
        <f t="shared" ref="AK148" si="437">SUM(AK146:AK147)</f>
        <v>0</v>
      </c>
      <c r="AL148" s="497">
        <f t="shared" si="436"/>
        <v>0</v>
      </c>
      <c r="AM148" s="497">
        <f t="shared" si="436"/>
        <v>0</v>
      </c>
      <c r="AN148" s="497">
        <f t="shared" si="436"/>
        <v>0</v>
      </c>
      <c r="AO148" s="497">
        <f t="shared" si="436"/>
        <v>0</v>
      </c>
      <c r="AP148" s="497">
        <f t="shared" si="436"/>
        <v>0</v>
      </c>
      <c r="AQ148" s="497">
        <f t="shared" si="436"/>
        <v>0</v>
      </c>
      <c r="AR148" s="497">
        <f t="shared" si="436"/>
        <v>0</v>
      </c>
      <c r="AS148" s="497">
        <f t="shared" si="436"/>
        <v>0</v>
      </c>
      <c r="AT148" s="497">
        <f t="shared" si="436"/>
        <v>0</v>
      </c>
      <c r="AU148" s="497">
        <f t="shared" si="436"/>
        <v>0</v>
      </c>
      <c r="AV148" s="497">
        <f t="shared" si="436"/>
        <v>0</v>
      </c>
      <c r="AW148" s="497">
        <f t="shared" si="436"/>
        <v>0</v>
      </c>
      <c r="AX148" s="497">
        <f t="shared" si="436"/>
        <v>0</v>
      </c>
      <c r="AY148" s="497">
        <f t="shared" si="436"/>
        <v>0</v>
      </c>
      <c r="AZ148" s="497">
        <f t="shared" si="436"/>
        <v>0</v>
      </c>
      <c r="BA148" s="498">
        <f t="shared" si="436"/>
        <v>0</v>
      </c>
      <c r="BB148" s="498">
        <f t="shared" si="436"/>
        <v>0</v>
      </c>
      <c r="BC148" s="498">
        <f t="shared" si="436"/>
        <v>0</v>
      </c>
      <c r="BD148" s="498">
        <f t="shared" si="436"/>
        <v>0</v>
      </c>
      <c r="BE148" s="498">
        <f t="shared" si="436"/>
        <v>0</v>
      </c>
      <c r="BF148" s="498">
        <f t="shared" si="436"/>
        <v>0</v>
      </c>
      <c r="BG148" s="498">
        <f t="shared" si="436"/>
        <v>0</v>
      </c>
      <c r="BH148" s="498">
        <f t="shared" si="436"/>
        <v>0</v>
      </c>
      <c r="BI148" s="498">
        <f t="shared" si="436"/>
        <v>0</v>
      </c>
      <c r="BJ148" s="498">
        <f t="shared" si="436"/>
        <v>0</v>
      </c>
      <c r="BK148" s="498">
        <f t="shared" si="436"/>
        <v>0</v>
      </c>
      <c r="BL148" s="498">
        <f t="shared" si="436"/>
        <v>0</v>
      </c>
      <c r="BM148" s="746">
        <f t="shared" si="436"/>
        <v>0</v>
      </c>
      <c r="BN148" s="500">
        <f t="shared" si="436"/>
        <v>6093414</v>
      </c>
      <c r="BO148" s="497">
        <f t="shared" si="436"/>
        <v>4505742</v>
      </c>
      <c r="BP148" s="497">
        <f t="shared" si="436"/>
        <v>3517218</v>
      </c>
      <c r="BQ148" s="497">
        <f t="shared" si="436"/>
        <v>988524</v>
      </c>
      <c r="BR148" s="497">
        <f t="shared" si="436"/>
        <v>0</v>
      </c>
      <c r="BS148" s="497">
        <f t="shared" si="436"/>
        <v>0</v>
      </c>
      <c r="BT148" s="497">
        <f t="shared" si="436"/>
        <v>0</v>
      </c>
      <c r="BU148" s="497">
        <f t="shared" si="436"/>
        <v>1522941</v>
      </c>
      <c r="BV148" s="497">
        <f t="shared" ref="BV148:CF148" si="438">SUM(BV146:BV147)</f>
        <v>45058</v>
      </c>
      <c r="BW148" s="497">
        <f t="shared" si="438"/>
        <v>19673</v>
      </c>
      <c r="BX148" s="498">
        <f t="shared" si="438"/>
        <v>9.3267000000000007</v>
      </c>
      <c r="BY148" s="498">
        <f t="shared" si="438"/>
        <v>6.24</v>
      </c>
      <c r="BZ148" s="746">
        <f t="shared" si="438"/>
        <v>3.0867</v>
      </c>
      <c r="CA148" s="902">
        <f t="shared" si="438"/>
        <v>0</v>
      </c>
      <c r="CB148" s="897">
        <f t="shared" si="438"/>
        <v>0</v>
      </c>
      <c r="CC148" s="897">
        <f t="shared" si="438"/>
        <v>0</v>
      </c>
      <c r="CD148" s="897">
        <f t="shared" si="438"/>
        <v>0</v>
      </c>
      <c r="CE148" s="897">
        <f t="shared" si="438"/>
        <v>0</v>
      </c>
      <c r="CF148" s="842">
        <f t="shared" si="438"/>
        <v>0</v>
      </c>
    </row>
    <row r="149" spans="1:84" ht="12.95" customHeight="1" x14ac:dyDescent="0.25">
      <c r="A149" s="282">
        <v>30</v>
      </c>
      <c r="B149" s="378">
        <v>5438</v>
      </c>
      <c r="C149" s="378">
        <v>600099032</v>
      </c>
      <c r="D149" s="283">
        <v>72742054</v>
      </c>
      <c r="E149" s="212" t="s">
        <v>508</v>
      </c>
      <c r="F149" s="213">
        <v>3117</v>
      </c>
      <c r="G149" s="374" t="s">
        <v>309</v>
      </c>
      <c r="H149" s="287" t="s">
        <v>271</v>
      </c>
      <c r="I149" s="423">
        <f>J149+P149+Q149+R149</f>
        <v>3942352</v>
      </c>
      <c r="J149" s="418">
        <f>K149+L149</f>
        <v>2874035</v>
      </c>
      <c r="K149" s="418">
        <v>2534815</v>
      </c>
      <c r="L149" s="418">
        <v>339220</v>
      </c>
      <c r="M149" s="418">
        <f t="shared" ref="M149:M152" si="439">N149+O149</f>
        <v>0</v>
      </c>
      <c r="N149" s="418">
        <v>0</v>
      </c>
      <c r="O149" s="418">
        <v>0</v>
      </c>
      <c r="P149" s="68">
        <f>ROUND((J149+M149)*33.8%,0)</f>
        <v>971424</v>
      </c>
      <c r="Q149" s="68">
        <f>ROUND(J149*1%,0)+1</f>
        <v>28741</v>
      </c>
      <c r="R149" s="418">
        <v>68152</v>
      </c>
      <c r="S149" s="419">
        <f t="shared" si="429"/>
        <v>4.7336999999999998</v>
      </c>
      <c r="T149" s="419">
        <v>3.8180000000000001</v>
      </c>
      <c r="U149" s="527">
        <v>0.91569999999999996</v>
      </c>
      <c r="V149" s="427">
        <f t="shared" ref="V149:W152" si="440">AI149*-1</f>
        <v>0</v>
      </c>
      <c r="W149" s="421">
        <f t="shared" si="440"/>
        <v>0</v>
      </c>
      <c r="X149" s="421">
        <v>0</v>
      </c>
      <c r="Y149" s="421">
        <v>0</v>
      </c>
      <c r="Z149" s="421">
        <v>0</v>
      </c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f>V149+X149+Y149+AA149+AB149+AD149</f>
        <v>0</v>
      </c>
      <c r="AG149" s="421">
        <f>W149+Z149+AC149+AE149</f>
        <v>0</v>
      </c>
      <c r="AH149" s="421">
        <f>SUM(AF149:AG149)</f>
        <v>0</v>
      </c>
      <c r="AI149" s="421">
        <v>0</v>
      </c>
      <c r="AJ149" s="421">
        <v>0</v>
      </c>
      <c r="AK149" s="421">
        <v>0</v>
      </c>
      <c r="AL149" s="421">
        <v>0</v>
      </c>
      <c r="AM149" s="421">
        <v>0</v>
      </c>
      <c r="AN149" s="421">
        <v>0</v>
      </c>
      <c r="AO149" s="421">
        <f t="shared" ref="AO149:AO152" si="441">AI149+AK149+AL149+AM149</f>
        <v>0</v>
      </c>
      <c r="AP149" s="421">
        <f>AJ149+AN149</f>
        <v>0</v>
      </c>
      <c r="AQ149" s="421">
        <f>SUM(AO149:AP149)</f>
        <v>0</v>
      </c>
      <c r="AR149" s="421">
        <f t="shared" ref="AR149:AS152" si="442">AF149+AO149</f>
        <v>0</v>
      </c>
      <c r="AS149" s="421">
        <f t="shared" si="442"/>
        <v>0</v>
      </c>
      <c r="AT149" s="421">
        <f>SUM(AR149:AS149)</f>
        <v>0</v>
      </c>
      <c r="AU149" s="68">
        <f t="shared" ref="AU149:AU152" si="443">ROUND((AH149+AI149+AJ149+AK149+AL149)*33.8%,0)</f>
        <v>0</v>
      </c>
      <c r="AV149" s="68">
        <f>ROUND(AH149*1%,0)</f>
        <v>0</v>
      </c>
      <c r="AW149" s="421">
        <v>0</v>
      </c>
      <c r="AX149" s="421">
        <v>0</v>
      </c>
      <c r="AY149" s="421">
        <f>AW149+AX149</f>
        <v>0</v>
      </c>
      <c r="AZ149" s="421">
        <f>AT149+AU149+AV149+AY149</f>
        <v>0</v>
      </c>
      <c r="BA149" s="422">
        <v>0</v>
      </c>
      <c r="BB149" s="422">
        <v>0</v>
      </c>
      <c r="BC149" s="422">
        <v>0</v>
      </c>
      <c r="BD149" s="422">
        <v>0</v>
      </c>
      <c r="BE149" s="422">
        <v>0</v>
      </c>
      <c r="BF149" s="422">
        <v>0</v>
      </c>
      <c r="BG149" s="422">
        <v>0</v>
      </c>
      <c r="BH149" s="422">
        <v>0</v>
      </c>
      <c r="BI149" s="422">
        <v>0</v>
      </c>
      <c r="BJ149" s="422">
        <v>0</v>
      </c>
      <c r="BK149" s="422">
        <f>BA149+BC149+BD149+BF149+BH149+BI149</f>
        <v>0</v>
      </c>
      <c r="BL149" s="422">
        <f>BB149+BE149+BG149+BJ149</f>
        <v>0</v>
      </c>
      <c r="BM149" s="611">
        <f>SUM(BK149:BL149)</f>
        <v>0</v>
      </c>
      <c r="BN149" s="428">
        <f>I149+AZ149</f>
        <v>3942352</v>
      </c>
      <c r="BO149" s="421">
        <f>J149+AH149</f>
        <v>2874035</v>
      </c>
      <c r="BP149" s="421">
        <f t="shared" ref="BP149:BQ152" si="444">K149+AF149</f>
        <v>2534815</v>
      </c>
      <c r="BQ149" s="421">
        <f t="shared" si="444"/>
        <v>339220</v>
      </c>
      <c r="BR149" s="421">
        <f>M149+AQ149</f>
        <v>0</v>
      </c>
      <c r="BS149" s="421">
        <f t="shared" ref="BS149:BT152" si="445">N149+AO149</f>
        <v>0</v>
      </c>
      <c r="BT149" s="421">
        <f t="shared" si="445"/>
        <v>0</v>
      </c>
      <c r="BU149" s="421">
        <f t="shared" ref="BU149:BV152" si="446">P149+AU149</f>
        <v>971424</v>
      </c>
      <c r="BV149" s="421">
        <f t="shared" si="446"/>
        <v>28741</v>
      </c>
      <c r="BW149" s="421">
        <f>R149+AY149</f>
        <v>68152</v>
      </c>
      <c r="BX149" s="422">
        <f>S149+BM149</f>
        <v>4.7336999999999998</v>
      </c>
      <c r="BY149" s="422">
        <f t="shared" ref="BY149:BZ152" si="447">T149+BK149</f>
        <v>3.8180000000000001</v>
      </c>
      <c r="BZ149" s="611">
        <f t="shared" si="447"/>
        <v>0.91569999999999996</v>
      </c>
      <c r="CA149" s="875"/>
      <c r="CB149" s="872"/>
      <c r="CC149" s="872"/>
      <c r="CD149" s="872"/>
      <c r="CE149" s="872"/>
      <c r="CF149" s="876"/>
    </row>
    <row r="150" spans="1:84" ht="12.95" customHeight="1" x14ac:dyDescent="0.25">
      <c r="A150" s="282">
        <v>30</v>
      </c>
      <c r="B150" s="213">
        <v>5438</v>
      </c>
      <c r="C150" s="213">
        <v>600099032</v>
      </c>
      <c r="D150" s="283">
        <v>72742054</v>
      </c>
      <c r="E150" s="373" t="s">
        <v>508</v>
      </c>
      <c r="F150" s="213">
        <v>3117</v>
      </c>
      <c r="G150" s="325" t="s">
        <v>292</v>
      </c>
      <c r="H150" s="287" t="s">
        <v>272</v>
      </c>
      <c r="I150" s="423">
        <f>J150+P150+Q150+R150</f>
        <v>0</v>
      </c>
      <c r="J150" s="418">
        <f>K150+L150</f>
        <v>0</v>
      </c>
      <c r="K150" s="418">
        <v>0</v>
      </c>
      <c r="L150" s="418">
        <v>0</v>
      </c>
      <c r="M150" s="418">
        <f t="shared" si="439"/>
        <v>0</v>
      </c>
      <c r="N150" s="418">
        <v>0</v>
      </c>
      <c r="O150" s="418">
        <v>0</v>
      </c>
      <c r="P150" s="68">
        <f t="shared" ref="P150" si="448">ROUND((J150+M150)*33.8%,0)</f>
        <v>0</v>
      </c>
      <c r="Q150" s="68">
        <f t="shared" ref="Q150" si="449">ROUND(J150*1%,0)</f>
        <v>0</v>
      </c>
      <c r="R150" s="418">
        <v>0</v>
      </c>
      <c r="S150" s="419">
        <f t="shared" si="429"/>
        <v>0</v>
      </c>
      <c r="T150" s="419">
        <v>0</v>
      </c>
      <c r="U150" s="527">
        <v>0</v>
      </c>
      <c r="V150" s="427">
        <f t="shared" si="440"/>
        <v>0</v>
      </c>
      <c r="W150" s="421">
        <f t="shared" si="440"/>
        <v>0</v>
      </c>
      <c r="X150" s="421">
        <v>329605</v>
      </c>
      <c r="Y150" s="421">
        <v>0</v>
      </c>
      <c r="Z150" s="421">
        <v>0</v>
      </c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f>V150+X150+Y150+AA150+AB150+AD150</f>
        <v>329605</v>
      </c>
      <c r="AG150" s="421">
        <f>W150+Z150+AC150+AE150</f>
        <v>0</v>
      </c>
      <c r="AH150" s="421">
        <f>SUM(AF150:AG150)</f>
        <v>329605</v>
      </c>
      <c r="AI150" s="421">
        <v>0</v>
      </c>
      <c r="AJ150" s="421">
        <v>0</v>
      </c>
      <c r="AK150" s="421">
        <v>0</v>
      </c>
      <c r="AL150" s="421">
        <v>0</v>
      </c>
      <c r="AM150" s="421">
        <v>0</v>
      </c>
      <c r="AN150" s="421">
        <v>0</v>
      </c>
      <c r="AO150" s="421">
        <f t="shared" si="441"/>
        <v>0</v>
      </c>
      <c r="AP150" s="421">
        <f>AJ150+AN150</f>
        <v>0</v>
      </c>
      <c r="AQ150" s="421">
        <f>SUM(AO150:AP150)</f>
        <v>0</v>
      </c>
      <c r="AR150" s="421">
        <f t="shared" si="442"/>
        <v>329605</v>
      </c>
      <c r="AS150" s="421">
        <f t="shared" si="442"/>
        <v>0</v>
      </c>
      <c r="AT150" s="421">
        <f>SUM(AR150:AS150)</f>
        <v>329605</v>
      </c>
      <c r="AU150" s="68">
        <f t="shared" si="443"/>
        <v>111406</v>
      </c>
      <c r="AV150" s="68">
        <f>ROUND(AH150*1%,0)</f>
        <v>3296</v>
      </c>
      <c r="AW150" s="421">
        <v>0</v>
      </c>
      <c r="AX150" s="421">
        <v>0</v>
      </c>
      <c r="AY150" s="421">
        <f>AW150+AX150</f>
        <v>0</v>
      </c>
      <c r="AZ150" s="421">
        <f>AT150+AU150+AV150+AY150</f>
        <v>444307</v>
      </c>
      <c r="BA150" s="422">
        <v>0</v>
      </c>
      <c r="BB150" s="422">
        <v>0</v>
      </c>
      <c r="BC150" s="422">
        <v>0.89</v>
      </c>
      <c r="BD150" s="422">
        <v>0</v>
      </c>
      <c r="BE150" s="422">
        <v>0</v>
      </c>
      <c r="BF150" s="422">
        <v>0</v>
      </c>
      <c r="BG150" s="422">
        <v>0</v>
      </c>
      <c r="BH150" s="422">
        <v>0</v>
      </c>
      <c r="BI150" s="422">
        <v>0</v>
      </c>
      <c r="BJ150" s="422">
        <v>0</v>
      </c>
      <c r="BK150" s="422">
        <f>BA150+BC150+BD150+BF150+BH150+BI150</f>
        <v>0.89</v>
      </c>
      <c r="BL150" s="422">
        <f>BB150+BE150+BG150+BJ150</f>
        <v>0</v>
      </c>
      <c r="BM150" s="611">
        <f>SUM(BK150:BL150)</f>
        <v>0.89</v>
      </c>
      <c r="BN150" s="428">
        <f>I150+AZ150</f>
        <v>444307</v>
      </c>
      <c r="BO150" s="421">
        <f>J150+AH150</f>
        <v>329605</v>
      </c>
      <c r="BP150" s="421">
        <f t="shared" si="444"/>
        <v>329605</v>
      </c>
      <c r="BQ150" s="421">
        <f t="shared" si="444"/>
        <v>0</v>
      </c>
      <c r="BR150" s="421">
        <f>M150+AQ150</f>
        <v>0</v>
      </c>
      <c r="BS150" s="421">
        <f t="shared" si="445"/>
        <v>0</v>
      </c>
      <c r="BT150" s="421">
        <f t="shared" si="445"/>
        <v>0</v>
      </c>
      <c r="BU150" s="421">
        <f t="shared" si="446"/>
        <v>111406</v>
      </c>
      <c r="BV150" s="421">
        <f t="shared" si="446"/>
        <v>3296</v>
      </c>
      <c r="BW150" s="421">
        <f>R150+AY150</f>
        <v>0</v>
      </c>
      <c r="BX150" s="422">
        <f>S150+BM150</f>
        <v>0.89</v>
      </c>
      <c r="BY150" s="422">
        <f t="shared" si="447"/>
        <v>0.89</v>
      </c>
      <c r="BZ150" s="611">
        <f t="shared" si="447"/>
        <v>0</v>
      </c>
      <c r="CA150" s="875"/>
      <c r="CB150" s="872"/>
      <c r="CC150" s="872"/>
      <c r="CD150" s="872"/>
      <c r="CE150" s="872"/>
      <c r="CF150" s="876"/>
    </row>
    <row r="151" spans="1:84" ht="12.95" customHeight="1" x14ac:dyDescent="0.25">
      <c r="A151" s="282">
        <v>30</v>
      </c>
      <c r="B151" s="213">
        <v>5438</v>
      </c>
      <c r="C151" s="213">
        <v>600099032</v>
      </c>
      <c r="D151" s="283">
        <v>72742054</v>
      </c>
      <c r="E151" s="373" t="s">
        <v>508</v>
      </c>
      <c r="F151" s="384">
        <v>3143</v>
      </c>
      <c r="G151" s="325" t="s">
        <v>596</v>
      </c>
      <c r="H151" s="287" t="s">
        <v>271</v>
      </c>
      <c r="I151" s="423">
        <f>J151+P151+Q151+R151</f>
        <v>658662</v>
      </c>
      <c r="J151" s="418">
        <f>K151+L151</f>
        <v>488622</v>
      </c>
      <c r="K151" s="418">
        <v>488622</v>
      </c>
      <c r="L151" s="418">
        <v>0</v>
      </c>
      <c r="M151" s="418">
        <f t="shared" si="439"/>
        <v>0</v>
      </c>
      <c r="N151" s="418">
        <v>0</v>
      </c>
      <c r="O151" s="418">
        <v>0</v>
      </c>
      <c r="P151" s="68">
        <f>ROUND((J151+M151)*33.8%,0)</f>
        <v>165154</v>
      </c>
      <c r="Q151" s="68">
        <f>ROUND(J151*1%,0)</f>
        <v>4886</v>
      </c>
      <c r="R151" s="418">
        <v>0</v>
      </c>
      <c r="S151" s="419">
        <f t="shared" si="429"/>
        <v>0.9919</v>
      </c>
      <c r="T151" s="419">
        <v>0.9919</v>
      </c>
      <c r="U151" s="527">
        <v>0</v>
      </c>
      <c r="V151" s="427">
        <f t="shared" si="440"/>
        <v>0</v>
      </c>
      <c r="W151" s="421">
        <f t="shared" si="440"/>
        <v>0</v>
      </c>
      <c r="X151" s="421">
        <v>0</v>
      </c>
      <c r="Y151" s="421">
        <v>0</v>
      </c>
      <c r="Z151" s="421">
        <v>0</v>
      </c>
      <c r="AA151" s="421">
        <v>0</v>
      </c>
      <c r="AB151" s="421">
        <v>0</v>
      </c>
      <c r="AC151" s="421">
        <v>0</v>
      </c>
      <c r="AD151" s="421">
        <v>0</v>
      </c>
      <c r="AE151" s="421">
        <v>0</v>
      </c>
      <c r="AF151" s="421">
        <f>V151+X151+Y151+AA151+AB151+AD151</f>
        <v>0</v>
      </c>
      <c r="AG151" s="421">
        <f>W151+Z151+AC151+AE151</f>
        <v>0</v>
      </c>
      <c r="AH151" s="421">
        <f>SUM(AF151:AG151)</f>
        <v>0</v>
      </c>
      <c r="AI151" s="421">
        <v>0</v>
      </c>
      <c r="AJ151" s="421">
        <v>0</v>
      </c>
      <c r="AK151" s="421">
        <v>0</v>
      </c>
      <c r="AL151" s="421">
        <v>0</v>
      </c>
      <c r="AM151" s="421">
        <v>0</v>
      </c>
      <c r="AN151" s="421">
        <v>0</v>
      </c>
      <c r="AO151" s="421">
        <f t="shared" si="441"/>
        <v>0</v>
      </c>
      <c r="AP151" s="421">
        <f>AJ151+AN151</f>
        <v>0</v>
      </c>
      <c r="AQ151" s="421">
        <f>SUM(AO151:AP151)</f>
        <v>0</v>
      </c>
      <c r="AR151" s="421">
        <f t="shared" si="442"/>
        <v>0</v>
      </c>
      <c r="AS151" s="421">
        <f t="shared" si="442"/>
        <v>0</v>
      </c>
      <c r="AT151" s="421">
        <f>SUM(AR151:AS151)</f>
        <v>0</v>
      </c>
      <c r="AU151" s="68">
        <f t="shared" si="443"/>
        <v>0</v>
      </c>
      <c r="AV151" s="68">
        <f>ROUND(AH151*1%,0)</f>
        <v>0</v>
      </c>
      <c r="AW151" s="421">
        <v>0</v>
      </c>
      <c r="AX151" s="421">
        <v>0</v>
      </c>
      <c r="AY151" s="421">
        <f>AW151+AX151</f>
        <v>0</v>
      </c>
      <c r="AZ151" s="421">
        <f>AT151+AU151+AV151+AY151</f>
        <v>0</v>
      </c>
      <c r="BA151" s="422">
        <v>0</v>
      </c>
      <c r="BB151" s="422">
        <v>0</v>
      </c>
      <c r="BC151" s="422">
        <v>0</v>
      </c>
      <c r="BD151" s="422">
        <v>0</v>
      </c>
      <c r="BE151" s="422">
        <v>0</v>
      </c>
      <c r="BF151" s="422">
        <v>0</v>
      </c>
      <c r="BG151" s="422">
        <v>0</v>
      </c>
      <c r="BH151" s="422">
        <v>0</v>
      </c>
      <c r="BI151" s="422">
        <v>0</v>
      </c>
      <c r="BJ151" s="422">
        <v>0</v>
      </c>
      <c r="BK151" s="422">
        <f>BA151+BC151+BD151+BF151+BH151+BI151</f>
        <v>0</v>
      </c>
      <c r="BL151" s="422">
        <f>BB151+BE151+BG151+BJ151</f>
        <v>0</v>
      </c>
      <c r="BM151" s="611">
        <f>SUM(BK151:BL151)</f>
        <v>0</v>
      </c>
      <c r="BN151" s="428">
        <f>I151+AZ151</f>
        <v>658662</v>
      </c>
      <c r="BO151" s="421">
        <f>J151+AH151</f>
        <v>488622</v>
      </c>
      <c r="BP151" s="421">
        <f t="shared" si="444"/>
        <v>488622</v>
      </c>
      <c r="BQ151" s="421">
        <f t="shared" si="444"/>
        <v>0</v>
      </c>
      <c r="BR151" s="421">
        <f>M151+AQ151</f>
        <v>0</v>
      </c>
      <c r="BS151" s="421">
        <f t="shared" si="445"/>
        <v>0</v>
      </c>
      <c r="BT151" s="421">
        <f t="shared" si="445"/>
        <v>0</v>
      </c>
      <c r="BU151" s="421">
        <f t="shared" si="446"/>
        <v>165154</v>
      </c>
      <c r="BV151" s="421">
        <f t="shared" si="446"/>
        <v>4886</v>
      </c>
      <c r="BW151" s="421">
        <f>R151+AY151</f>
        <v>0</v>
      </c>
      <c r="BX151" s="422">
        <f>S151+BM151</f>
        <v>0.9919</v>
      </c>
      <c r="BY151" s="422">
        <f t="shared" si="447"/>
        <v>0.9919</v>
      </c>
      <c r="BZ151" s="611">
        <f t="shared" si="447"/>
        <v>0</v>
      </c>
      <c r="CA151" s="875"/>
      <c r="CB151" s="872"/>
      <c r="CC151" s="872"/>
      <c r="CD151" s="872"/>
      <c r="CE151" s="872"/>
      <c r="CF151" s="876"/>
    </row>
    <row r="152" spans="1:84" ht="12.95" customHeight="1" x14ac:dyDescent="0.25">
      <c r="A152" s="282">
        <v>30</v>
      </c>
      <c r="B152" s="213">
        <v>5438</v>
      </c>
      <c r="C152" s="213">
        <v>600099032</v>
      </c>
      <c r="D152" s="283">
        <v>72742054</v>
      </c>
      <c r="E152" s="373" t="s">
        <v>508</v>
      </c>
      <c r="F152" s="384">
        <v>3143</v>
      </c>
      <c r="G152" s="325" t="s">
        <v>597</v>
      </c>
      <c r="H152" s="287" t="s">
        <v>272</v>
      </c>
      <c r="I152" s="423">
        <f>J152+P152+Q152+R152</f>
        <v>12799</v>
      </c>
      <c r="J152" s="418">
        <f>K152+L152</f>
        <v>9161</v>
      </c>
      <c r="K152" s="418">
        <v>0</v>
      </c>
      <c r="L152" s="418">
        <v>9161</v>
      </c>
      <c r="M152" s="418">
        <f t="shared" si="439"/>
        <v>0</v>
      </c>
      <c r="N152" s="418">
        <v>0</v>
      </c>
      <c r="O152" s="418">
        <v>0</v>
      </c>
      <c r="P152" s="68">
        <f>ROUND((J152+M152)*33.8%,0)</f>
        <v>3096</v>
      </c>
      <c r="Q152" s="68">
        <f>ROUND(J152*1%,0)</f>
        <v>92</v>
      </c>
      <c r="R152" s="418">
        <v>450</v>
      </c>
      <c r="S152" s="419">
        <f t="shared" si="429"/>
        <v>3.4700000000000002E-2</v>
      </c>
      <c r="T152" s="419">
        <v>0</v>
      </c>
      <c r="U152" s="527">
        <v>3.4700000000000002E-2</v>
      </c>
      <c r="V152" s="427">
        <f t="shared" si="440"/>
        <v>0</v>
      </c>
      <c r="W152" s="421">
        <f t="shared" si="440"/>
        <v>0</v>
      </c>
      <c r="X152" s="421">
        <v>0</v>
      </c>
      <c r="Y152" s="421">
        <v>0</v>
      </c>
      <c r="Z152" s="421">
        <v>0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f>V152+X152+Y152+AA152+AB152+AD152</f>
        <v>0</v>
      </c>
      <c r="AG152" s="421">
        <f>W152+Z152+AC152+AE152</f>
        <v>0</v>
      </c>
      <c r="AH152" s="421">
        <f>SUM(AF152:AG152)</f>
        <v>0</v>
      </c>
      <c r="AI152" s="421">
        <v>0</v>
      </c>
      <c r="AJ152" s="421">
        <v>0</v>
      </c>
      <c r="AK152" s="421">
        <v>0</v>
      </c>
      <c r="AL152" s="421">
        <v>0</v>
      </c>
      <c r="AM152" s="421">
        <v>0</v>
      </c>
      <c r="AN152" s="421">
        <v>0</v>
      </c>
      <c r="AO152" s="421">
        <f t="shared" si="441"/>
        <v>0</v>
      </c>
      <c r="AP152" s="421">
        <f>AJ152+AN152</f>
        <v>0</v>
      </c>
      <c r="AQ152" s="421">
        <f>SUM(AO152:AP152)</f>
        <v>0</v>
      </c>
      <c r="AR152" s="421">
        <f t="shared" si="442"/>
        <v>0</v>
      </c>
      <c r="AS152" s="421">
        <f t="shared" si="442"/>
        <v>0</v>
      </c>
      <c r="AT152" s="421">
        <f>SUM(AR152:AS152)</f>
        <v>0</v>
      </c>
      <c r="AU152" s="68">
        <f t="shared" si="443"/>
        <v>0</v>
      </c>
      <c r="AV152" s="68">
        <f>ROUND(AH152*1%,0)</f>
        <v>0</v>
      </c>
      <c r="AW152" s="421">
        <v>0</v>
      </c>
      <c r="AX152" s="421">
        <v>0</v>
      </c>
      <c r="AY152" s="421">
        <f>AW152+AX152</f>
        <v>0</v>
      </c>
      <c r="AZ152" s="421">
        <f>AT152+AU152+AV152+AY152</f>
        <v>0</v>
      </c>
      <c r="BA152" s="422">
        <v>0</v>
      </c>
      <c r="BB152" s="422">
        <v>0</v>
      </c>
      <c r="BC152" s="422">
        <v>0</v>
      </c>
      <c r="BD152" s="422">
        <v>0</v>
      </c>
      <c r="BE152" s="422">
        <v>0</v>
      </c>
      <c r="BF152" s="422">
        <v>0</v>
      </c>
      <c r="BG152" s="422">
        <v>0</v>
      </c>
      <c r="BH152" s="422">
        <v>0</v>
      </c>
      <c r="BI152" s="422">
        <v>0</v>
      </c>
      <c r="BJ152" s="422">
        <v>0</v>
      </c>
      <c r="BK152" s="422">
        <f>BA152+BC152+BD152+BF152+BH152+BI152</f>
        <v>0</v>
      </c>
      <c r="BL152" s="422">
        <f>BB152+BE152+BG152+BJ152</f>
        <v>0</v>
      </c>
      <c r="BM152" s="611">
        <f>SUM(BK152:BL152)</f>
        <v>0</v>
      </c>
      <c r="BN152" s="428">
        <f>I152+AZ152</f>
        <v>12799</v>
      </c>
      <c r="BO152" s="421">
        <f>J152+AH152</f>
        <v>9161</v>
      </c>
      <c r="BP152" s="421">
        <f t="shared" si="444"/>
        <v>0</v>
      </c>
      <c r="BQ152" s="421">
        <f t="shared" si="444"/>
        <v>9161</v>
      </c>
      <c r="BR152" s="421">
        <f>M152+AQ152</f>
        <v>0</v>
      </c>
      <c r="BS152" s="421">
        <f t="shared" si="445"/>
        <v>0</v>
      </c>
      <c r="BT152" s="421">
        <f t="shared" si="445"/>
        <v>0</v>
      </c>
      <c r="BU152" s="421">
        <f t="shared" si="446"/>
        <v>3096</v>
      </c>
      <c r="BV152" s="421">
        <f t="shared" si="446"/>
        <v>92</v>
      </c>
      <c r="BW152" s="421">
        <f>R152+AY152</f>
        <v>450</v>
      </c>
      <c r="BX152" s="422">
        <f>S152+BM152</f>
        <v>3.4700000000000002E-2</v>
      </c>
      <c r="BY152" s="422">
        <f t="shared" si="447"/>
        <v>0</v>
      </c>
      <c r="BZ152" s="611">
        <f t="shared" si="447"/>
        <v>3.4700000000000002E-2</v>
      </c>
      <c r="CA152" s="875"/>
      <c r="CB152" s="872"/>
      <c r="CC152" s="872"/>
      <c r="CD152" s="872"/>
      <c r="CE152" s="872"/>
      <c r="CF152" s="876"/>
    </row>
    <row r="153" spans="1:84" ht="12.95" customHeight="1" x14ac:dyDescent="0.25">
      <c r="A153" s="214">
        <v>30</v>
      </c>
      <c r="B153" s="45">
        <v>5438</v>
      </c>
      <c r="C153" s="45">
        <v>600099032</v>
      </c>
      <c r="D153" s="45">
        <v>72742054</v>
      </c>
      <c r="E153" s="385" t="s">
        <v>509</v>
      </c>
      <c r="F153" s="386"/>
      <c r="G153" s="385"/>
      <c r="H153" s="387"/>
      <c r="I153" s="500">
        <f t="shared" ref="I153:BU153" si="450">SUM(I149:I152)</f>
        <v>4613813</v>
      </c>
      <c r="J153" s="497">
        <f t="shared" si="450"/>
        <v>3371818</v>
      </c>
      <c r="K153" s="497">
        <f t="shared" si="450"/>
        <v>3023437</v>
      </c>
      <c r="L153" s="497">
        <f t="shared" si="450"/>
        <v>348381</v>
      </c>
      <c r="M153" s="497">
        <f t="shared" si="450"/>
        <v>0</v>
      </c>
      <c r="N153" s="497">
        <f t="shared" si="450"/>
        <v>0</v>
      </c>
      <c r="O153" s="497">
        <f t="shared" si="450"/>
        <v>0</v>
      </c>
      <c r="P153" s="497">
        <f t="shared" si="450"/>
        <v>1139674</v>
      </c>
      <c r="Q153" s="497">
        <f t="shared" si="450"/>
        <v>33719</v>
      </c>
      <c r="R153" s="497">
        <f t="shared" si="450"/>
        <v>68602</v>
      </c>
      <c r="S153" s="498">
        <f t="shared" si="450"/>
        <v>5.7603</v>
      </c>
      <c r="T153" s="498">
        <f t="shared" si="450"/>
        <v>4.8098999999999998</v>
      </c>
      <c r="U153" s="381">
        <f t="shared" si="450"/>
        <v>0.95039999999999991</v>
      </c>
      <c r="V153" s="502">
        <f t="shared" si="450"/>
        <v>0</v>
      </c>
      <c r="W153" s="497">
        <f t="shared" si="450"/>
        <v>0</v>
      </c>
      <c r="X153" s="497">
        <f t="shared" si="450"/>
        <v>329605</v>
      </c>
      <c r="Y153" s="497">
        <f t="shared" si="450"/>
        <v>0</v>
      </c>
      <c r="Z153" s="497">
        <f t="shared" si="450"/>
        <v>0</v>
      </c>
      <c r="AA153" s="497">
        <f t="shared" si="450"/>
        <v>0</v>
      </c>
      <c r="AB153" s="497">
        <f t="shared" si="450"/>
        <v>0</v>
      </c>
      <c r="AC153" s="497">
        <f t="shared" si="450"/>
        <v>0</v>
      </c>
      <c r="AD153" s="497">
        <f t="shared" si="450"/>
        <v>0</v>
      </c>
      <c r="AE153" s="497">
        <f t="shared" si="450"/>
        <v>0</v>
      </c>
      <c r="AF153" s="497">
        <f t="shared" si="450"/>
        <v>329605</v>
      </c>
      <c r="AG153" s="497">
        <f t="shared" si="450"/>
        <v>0</v>
      </c>
      <c r="AH153" s="497">
        <f t="shared" si="450"/>
        <v>329605</v>
      </c>
      <c r="AI153" s="497">
        <f t="shared" si="450"/>
        <v>0</v>
      </c>
      <c r="AJ153" s="497">
        <f t="shared" si="450"/>
        <v>0</v>
      </c>
      <c r="AK153" s="497">
        <f t="shared" ref="AK153" si="451">SUM(AK149:AK152)</f>
        <v>0</v>
      </c>
      <c r="AL153" s="497">
        <f t="shared" si="450"/>
        <v>0</v>
      </c>
      <c r="AM153" s="497">
        <f t="shared" si="450"/>
        <v>0</v>
      </c>
      <c r="AN153" s="497">
        <f t="shared" si="450"/>
        <v>0</v>
      </c>
      <c r="AO153" s="497">
        <f t="shared" si="450"/>
        <v>0</v>
      </c>
      <c r="AP153" s="497">
        <f t="shared" si="450"/>
        <v>0</v>
      </c>
      <c r="AQ153" s="497">
        <f t="shared" si="450"/>
        <v>0</v>
      </c>
      <c r="AR153" s="497">
        <f t="shared" si="450"/>
        <v>329605</v>
      </c>
      <c r="AS153" s="497">
        <f t="shared" si="450"/>
        <v>0</v>
      </c>
      <c r="AT153" s="497">
        <f t="shared" si="450"/>
        <v>329605</v>
      </c>
      <c r="AU153" s="497">
        <f t="shared" si="450"/>
        <v>111406</v>
      </c>
      <c r="AV153" s="497">
        <f t="shared" si="450"/>
        <v>3296</v>
      </c>
      <c r="AW153" s="497">
        <f t="shared" si="450"/>
        <v>0</v>
      </c>
      <c r="AX153" s="497">
        <f t="shared" si="450"/>
        <v>0</v>
      </c>
      <c r="AY153" s="497">
        <f t="shared" si="450"/>
        <v>0</v>
      </c>
      <c r="AZ153" s="497">
        <f t="shared" si="450"/>
        <v>444307</v>
      </c>
      <c r="BA153" s="498">
        <f t="shared" si="450"/>
        <v>0</v>
      </c>
      <c r="BB153" s="498">
        <f t="shared" si="450"/>
        <v>0</v>
      </c>
      <c r="BC153" s="498">
        <f t="shared" si="450"/>
        <v>0.89</v>
      </c>
      <c r="BD153" s="498">
        <f t="shared" si="450"/>
        <v>0</v>
      </c>
      <c r="BE153" s="498">
        <f t="shared" si="450"/>
        <v>0</v>
      </c>
      <c r="BF153" s="498">
        <f t="shared" si="450"/>
        <v>0</v>
      </c>
      <c r="BG153" s="498">
        <f t="shared" si="450"/>
        <v>0</v>
      </c>
      <c r="BH153" s="498">
        <f t="shared" si="450"/>
        <v>0</v>
      </c>
      <c r="BI153" s="498">
        <f t="shared" si="450"/>
        <v>0</v>
      </c>
      <c r="BJ153" s="498">
        <f t="shared" si="450"/>
        <v>0</v>
      </c>
      <c r="BK153" s="498">
        <f t="shared" si="450"/>
        <v>0.89</v>
      </c>
      <c r="BL153" s="498">
        <f t="shared" si="450"/>
        <v>0</v>
      </c>
      <c r="BM153" s="746">
        <f t="shared" si="450"/>
        <v>0.89</v>
      </c>
      <c r="BN153" s="500">
        <f t="shared" si="450"/>
        <v>5058120</v>
      </c>
      <c r="BO153" s="497">
        <f t="shared" si="450"/>
        <v>3701423</v>
      </c>
      <c r="BP153" s="497">
        <f t="shared" si="450"/>
        <v>3353042</v>
      </c>
      <c r="BQ153" s="497">
        <f t="shared" si="450"/>
        <v>348381</v>
      </c>
      <c r="BR153" s="497">
        <f t="shared" si="450"/>
        <v>0</v>
      </c>
      <c r="BS153" s="497">
        <f t="shared" si="450"/>
        <v>0</v>
      </c>
      <c r="BT153" s="497">
        <f t="shared" si="450"/>
        <v>0</v>
      </c>
      <c r="BU153" s="497">
        <f t="shared" si="450"/>
        <v>1251080</v>
      </c>
      <c r="BV153" s="497">
        <f t="shared" ref="BV153:CF153" si="452">SUM(BV149:BV152)</f>
        <v>37015</v>
      </c>
      <c r="BW153" s="497">
        <f t="shared" si="452"/>
        <v>68602</v>
      </c>
      <c r="BX153" s="498">
        <f t="shared" si="452"/>
        <v>6.6502999999999997</v>
      </c>
      <c r="BY153" s="498">
        <f t="shared" si="452"/>
        <v>5.6999000000000004</v>
      </c>
      <c r="BZ153" s="746">
        <f t="shared" si="452"/>
        <v>0.95039999999999991</v>
      </c>
      <c r="CA153" s="902">
        <f t="shared" si="452"/>
        <v>0</v>
      </c>
      <c r="CB153" s="897">
        <f t="shared" si="452"/>
        <v>0</v>
      </c>
      <c r="CC153" s="897">
        <f t="shared" si="452"/>
        <v>0</v>
      </c>
      <c r="CD153" s="897">
        <f t="shared" si="452"/>
        <v>0</v>
      </c>
      <c r="CE153" s="897">
        <f t="shared" si="452"/>
        <v>0</v>
      </c>
      <c r="CF153" s="842">
        <f t="shared" si="452"/>
        <v>0</v>
      </c>
    </row>
    <row r="154" spans="1:84" ht="12.95" customHeight="1" x14ac:dyDescent="0.25">
      <c r="A154" s="282">
        <v>31</v>
      </c>
      <c r="B154" s="213">
        <v>2441</v>
      </c>
      <c r="C154" s="213">
        <v>600079406</v>
      </c>
      <c r="D154" s="283">
        <v>70695920</v>
      </c>
      <c r="E154" s="374" t="s">
        <v>510</v>
      </c>
      <c r="F154" s="213">
        <v>3111</v>
      </c>
      <c r="G154" s="375" t="s">
        <v>305</v>
      </c>
      <c r="H154" s="287" t="s">
        <v>271</v>
      </c>
      <c r="I154" s="423">
        <f>J154+P154+Q154+R154</f>
        <v>3627092</v>
      </c>
      <c r="J154" s="418">
        <f>K154+L154</f>
        <v>2681412</v>
      </c>
      <c r="K154" s="418">
        <v>2446292</v>
      </c>
      <c r="L154" s="418">
        <v>235120</v>
      </c>
      <c r="M154" s="418">
        <f t="shared" ref="M154:M155" si="453">N154+O154</f>
        <v>0</v>
      </c>
      <c r="N154" s="418">
        <v>0</v>
      </c>
      <c r="O154" s="418">
        <v>0</v>
      </c>
      <c r="P154" s="68">
        <f>ROUND((J154+M154)*33.8%,0)</f>
        <v>906317</v>
      </c>
      <c r="Q154" s="68">
        <f>ROUND(J154*1%,0)</f>
        <v>26814</v>
      </c>
      <c r="R154" s="418">
        <v>12549</v>
      </c>
      <c r="S154" s="419">
        <f t="shared" si="429"/>
        <v>4.8001000000000005</v>
      </c>
      <c r="T154" s="419">
        <v>4</v>
      </c>
      <c r="U154" s="527">
        <v>0.80010000000000003</v>
      </c>
      <c r="V154" s="427">
        <f>AI154*-1</f>
        <v>0</v>
      </c>
      <c r="W154" s="421">
        <f>AJ154*-1</f>
        <v>0</v>
      </c>
      <c r="X154" s="421">
        <v>0</v>
      </c>
      <c r="Y154" s="421">
        <v>0</v>
      </c>
      <c r="Z154" s="421">
        <v>0</v>
      </c>
      <c r="AA154" s="421">
        <v>0</v>
      </c>
      <c r="AB154" s="421">
        <v>0</v>
      </c>
      <c r="AC154" s="421">
        <v>0</v>
      </c>
      <c r="AD154" s="421">
        <v>0</v>
      </c>
      <c r="AE154" s="421">
        <v>0</v>
      </c>
      <c r="AF154" s="421">
        <f>V154+X154+Y154+AA154+AB154+AD154</f>
        <v>0</v>
      </c>
      <c r="AG154" s="421">
        <f>W154+Z154+AC154+AE154</f>
        <v>0</v>
      </c>
      <c r="AH154" s="421">
        <f>SUM(AF154:AG154)</f>
        <v>0</v>
      </c>
      <c r="AI154" s="421">
        <v>0</v>
      </c>
      <c r="AJ154" s="421">
        <v>0</v>
      </c>
      <c r="AK154" s="421">
        <v>0</v>
      </c>
      <c r="AL154" s="421">
        <v>0</v>
      </c>
      <c r="AM154" s="421">
        <v>0</v>
      </c>
      <c r="AN154" s="421">
        <v>0</v>
      </c>
      <c r="AO154" s="421">
        <f t="shared" ref="AO154:AO155" si="454">AI154+AK154+AL154+AM154</f>
        <v>0</v>
      </c>
      <c r="AP154" s="421">
        <f>AJ154+AN154</f>
        <v>0</v>
      </c>
      <c r="AQ154" s="421">
        <f>SUM(AO154:AP154)</f>
        <v>0</v>
      </c>
      <c r="AR154" s="421">
        <f>AF154+AO154</f>
        <v>0</v>
      </c>
      <c r="AS154" s="421">
        <f>AG154+AP154</f>
        <v>0</v>
      </c>
      <c r="AT154" s="421">
        <f>SUM(AR154:AS154)</f>
        <v>0</v>
      </c>
      <c r="AU154" s="68">
        <f t="shared" ref="AU154:AU155" si="455">ROUND((AH154+AI154+AJ154+AK154+AL154)*33.8%,0)</f>
        <v>0</v>
      </c>
      <c r="AV154" s="68">
        <f>ROUND(AH154*1%,0)</f>
        <v>0</v>
      </c>
      <c r="AW154" s="421">
        <v>0</v>
      </c>
      <c r="AX154" s="421">
        <v>0</v>
      </c>
      <c r="AY154" s="421">
        <f>AW154+AX154</f>
        <v>0</v>
      </c>
      <c r="AZ154" s="421">
        <f>AT154+AU154+AV154+AY154</f>
        <v>0</v>
      </c>
      <c r="BA154" s="422">
        <v>0</v>
      </c>
      <c r="BB154" s="422">
        <v>0</v>
      </c>
      <c r="BC154" s="422">
        <v>0</v>
      </c>
      <c r="BD154" s="422">
        <v>0</v>
      </c>
      <c r="BE154" s="422">
        <v>0</v>
      </c>
      <c r="BF154" s="422">
        <v>0</v>
      </c>
      <c r="BG154" s="422">
        <v>0</v>
      </c>
      <c r="BH154" s="422">
        <v>0</v>
      </c>
      <c r="BI154" s="422">
        <v>0</v>
      </c>
      <c r="BJ154" s="422">
        <v>0</v>
      </c>
      <c r="BK154" s="422">
        <f>BA154+BC154+BD154+BF154+BH154+BI154</f>
        <v>0</v>
      </c>
      <c r="BL154" s="422">
        <f>BB154+BE154+BG154+BJ154</f>
        <v>0</v>
      </c>
      <c r="BM154" s="611">
        <f>SUM(BK154:BL154)</f>
        <v>0</v>
      </c>
      <c r="BN154" s="428">
        <f>I154+AZ154</f>
        <v>3627092</v>
      </c>
      <c r="BO154" s="421">
        <f>J154+AH154</f>
        <v>2681412</v>
      </c>
      <c r="BP154" s="421">
        <f>K154+AF154</f>
        <v>2446292</v>
      </c>
      <c r="BQ154" s="421">
        <f>L154+AG154</f>
        <v>235120</v>
      </c>
      <c r="BR154" s="421">
        <f>M154+AQ154</f>
        <v>0</v>
      </c>
      <c r="BS154" s="421">
        <f>N154+AO154</f>
        <v>0</v>
      </c>
      <c r="BT154" s="421">
        <f>O154+AP154</f>
        <v>0</v>
      </c>
      <c r="BU154" s="421">
        <f>P154+AU154</f>
        <v>906317</v>
      </c>
      <c r="BV154" s="421">
        <f>Q154+AV154</f>
        <v>26814</v>
      </c>
      <c r="BW154" s="421">
        <f>R154+AY154</f>
        <v>12549</v>
      </c>
      <c r="BX154" s="422">
        <f>S154+BM154</f>
        <v>4.8001000000000005</v>
      </c>
      <c r="BY154" s="422">
        <f>T154+BK154</f>
        <v>4</v>
      </c>
      <c r="BZ154" s="611">
        <f>U154+BL154</f>
        <v>0.80010000000000003</v>
      </c>
      <c r="CA154" s="875"/>
      <c r="CB154" s="872"/>
      <c r="CC154" s="872"/>
      <c r="CD154" s="872"/>
      <c r="CE154" s="872"/>
      <c r="CF154" s="876"/>
    </row>
    <row r="155" spans="1:84" ht="12.95" customHeight="1" x14ac:dyDescent="0.25">
      <c r="A155" s="282">
        <v>31</v>
      </c>
      <c r="B155" s="378">
        <v>2441</v>
      </c>
      <c r="C155" s="378">
        <v>600079406</v>
      </c>
      <c r="D155" s="283">
        <v>70695920</v>
      </c>
      <c r="E155" s="212" t="s">
        <v>510</v>
      </c>
      <c r="F155" s="213">
        <v>3141</v>
      </c>
      <c r="G155" s="375" t="s">
        <v>295</v>
      </c>
      <c r="H155" s="287" t="s">
        <v>272</v>
      </c>
      <c r="I155" s="423">
        <f>J155+P155+Q155+R155</f>
        <v>445197</v>
      </c>
      <c r="J155" s="418">
        <f>K155+L155</f>
        <v>329045</v>
      </c>
      <c r="K155" s="418">
        <v>0</v>
      </c>
      <c r="L155" s="418">
        <v>329045</v>
      </c>
      <c r="M155" s="418">
        <f t="shared" si="453"/>
        <v>0</v>
      </c>
      <c r="N155" s="418">
        <v>0</v>
      </c>
      <c r="O155" s="418">
        <v>0</v>
      </c>
      <c r="P155" s="68">
        <f>ROUND((J155+M155)*33.8%,0)</f>
        <v>111217</v>
      </c>
      <c r="Q155" s="68">
        <f>ROUND(J155*1%,0)</f>
        <v>3290</v>
      </c>
      <c r="R155" s="418">
        <v>1645</v>
      </c>
      <c r="S155" s="419">
        <f t="shared" si="429"/>
        <v>0.98670000000000002</v>
      </c>
      <c r="T155" s="419">
        <v>0</v>
      </c>
      <c r="U155" s="527">
        <v>0.98670000000000002</v>
      </c>
      <c r="V155" s="427">
        <f>AI155*-1</f>
        <v>0</v>
      </c>
      <c r="W155" s="421">
        <f>AJ155*-1</f>
        <v>0</v>
      </c>
      <c r="X155" s="421">
        <v>0</v>
      </c>
      <c r="Y155" s="421">
        <v>0</v>
      </c>
      <c r="Z155" s="421">
        <v>0</v>
      </c>
      <c r="AA155" s="421">
        <v>0</v>
      </c>
      <c r="AB155" s="421">
        <v>0</v>
      </c>
      <c r="AC155" s="421">
        <v>0</v>
      </c>
      <c r="AD155" s="421">
        <v>0</v>
      </c>
      <c r="AE155" s="421">
        <v>0</v>
      </c>
      <c r="AF155" s="421">
        <f>V155+X155+Y155+AA155+AB155+AD155</f>
        <v>0</v>
      </c>
      <c r="AG155" s="421">
        <f>W155+Z155+AC155+AE155</f>
        <v>0</v>
      </c>
      <c r="AH155" s="421">
        <f>SUM(AF155:AG155)</f>
        <v>0</v>
      </c>
      <c r="AI155" s="421">
        <v>0</v>
      </c>
      <c r="AJ155" s="421">
        <v>0</v>
      </c>
      <c r="AK155" s="421">
        <v>0</v>
      </c>
      <c r="AL155" s="421">
        <v>0</v>
      </c>
      <c r="AM155" s="421">
        <v>0</v>
      </c>
      <c r="AN155" s="421">
        <v>0</v>
      </c>
      <c r="AO155" s="421">
        <f t="shared" si="454"/>
        <v>0</v>
      </c>
      <c r="AP155" s="421">
        <f>AJ155+AN155</f>
        <v>0</v>
      </c>
      <c r="AQ155" s="421">
        <f>SUM(AO155:AP155)</f>
        <v>0</v>
      </c>
      <c r="AR155" s="421">
        <f>AF155+AO155</f>
        <v>0</v>
      </c>
      <c r="AS155" s="421">
        <f>AG155+AP155</f>
        <v>0</v>
      </c>
      <c r="AT155" s="421">
        <f>SUM(AR155:AS155)</f>
        <v>0</v>
      </c>
      <c r="AU155" s="68">
        <f t="shared" si="455"/>
        <v>0</v>
      </c>
      <c r="AV155" s="68">
        <f>ROUND(AH155*1%,0)</f>
        <v>0</v>
      </c>
      <c r="AW155" s="421">
        <v>0</v>
      </c>
      <c r="AX155" s="421">
        <v>0</v>
      </c>
      <c r="AY155" s="421">
        <f>AW155+AX155</f>
        <v>0</v>
      </c>
      <c r="AZ155" s="421">
        <f>AT155+AU155+AV155+AY155</f>
        <v>0</v>
      </c>
      <c r="BA155" s="422">
        <v>0</v>
      </c>
      <c r="BB155" s="422">
        <v>0</v>
      </c>
      <c r="BC155" s="422">
        <v>0</v>
      </c>
      <c r="BD155" s="422">
        <v>0</v>
      </c>
      <c r="BE155" s="422">
        <v>0</v>
      </c>
      <c r="BF155" s="422">
        <v>0</v>
      </c>
      <c r="BG155" s="422">
        <v>0</v>
      </c>
      <c r="BH155" s="422">
        <v>0</v>
      </c>
      <c r="BI155" s="422">
        <v>0</v>
      </c>
      <c r="BJ155" s="422">
        <v>0</v>
      </c>
      <c r="BK155" s="422">
        <f>BA155+BC155+BD155+BF155+BH155+BI155</f>
        <v>0</v>
      </c>
      <c r="BL155" s="422">
        <f>BB155+BE155+BG155+BJ155</f>
        <v>0</v>
      </c>
      <c r="BM155" s="611">
        <f>SUM(BK155:BL155)</f>
        <v>0</v>
      </c>
      <c r="BN155" s="428">
        <f>I155+AZ155</f>
        <v>445197</v>
      </c>
      <c r="BO155" s="421">
        <f>J155+AH155</f>
        <v>329045</v>
      </c>
      <c r="BP155" s="421">
        <f>K155+AF155</f>
        <v>0</v>
      </c>
      <c r="BQ155" s="421">
        <f>L155+AG155</f>
        <v>329045</v>
      </c>
      <c r="BR155" s="421">
        <f>M155+AQ155</f>
        <v>0</v>
      </c>
      <c r="BS155" s="421">
        <f>N155+AO155</f>
        <v>0</v>
      </c>
      <c r="BT155" s="421">
        <f>O155+AP155</f>
        <v>0</v>
      </c>
      <c r="BU155" s="421">
        <f>P155+AU155</f>
        <v>111217</v>
      </c>
      <c r="BV155" s="421">
        <f>Q155+AV155</f>
        <v>3290</v>
      </c>
      <c r="BW155" s="421">
        <f>R155+AY155</f>
        <v>1645</v>
      </c>
      <c r="BX155" s="422">
        <f>S155+BM155</f>
        <v>0.98670000000000002</v>
      </c>
      <c r="BY155" s="422">
        <f>T155+BK155</f>
        <v>0</v>
      </c>
      <c r="BZ155" s="611">
        <f>U155+BL155</f>
        <v>0.98670000000000002</v>
      </c>
      <c r="CA155" s="875"/>
      <c r="CB155" s="872"/>
      <c r="CC155" s="872"/>
      <c r="CD155" s="872"/>
      <c r="CE155" s="872"/>
      <c r="CF155" s="876"/>
    </row>
    <row r="156" spans="1:84" ht="12.95" customHeight="1" x14ac:dyDescent="0.25">
      <c r="A156" s="214">
        <v>31</v>
      </c>
      <c r="B156" s="46">
        <v>2441</v>
      </c>
      <c r="C156" s="46">
        <v>600079406</v>
      </c>
      <c r="D156" s="46">
        <v>70695920</v>
      </c>
      <c r="E156" s="376" t="s">
        <v>511</v>
      </c>
      <c r="F156" s="48"/>
      <c r="G156" s="389"/>
      <c r="H156" s="186"/>
      <c r="I156" s="500">
        <f t="shared" ref="I156:BU156" si="456">SUM(I154:I155)</f>
        <v>4072289</v>
      </c>
      <c r="J156" s="497">
        <f t="shared" si="456"/>
        <v>3010457</v>
      </c>
      <c r="K156" s="497">
        <f t="shared" si="456"/>
        <v>2446292</v>
      </c>
      <c r="L156" s="497">
        <f t="shared" si="456"/>
        <v>564165</v>
      </c>
      <c r="M156" s="497">
        <f t="shared" si="456"/>
        <v>0</v>
      </c>
      <c r="N156" s="497">
        <f t="shared" si="456"/>
        <v>0</v>
      </c>
      <c r="O156" s="497">
        <f t="shared" si="456"/>
        <v>0</v>
      </c>
      <c r="P156" s="497">
        <f t="shared" si="456"/>
        <v>1017534</v>
      </c>
      <c r="Q156" s="497">
        <f t="shared" si="456"/>
        <v>30104</v>
      </c>
      <c r="R156" s="497">
        <f t="shared" si="456"/>
        <v>14194</v>
      </c>
      <c r="S156" s="498">
        <f t="shared" si="456"/>
        <v>5.7868000000000004</v>
      </c>
      <c r="T156" s="498">
        <f t="shared" si="456"/>
        <v>4</v>
      </c>
      <c r="U156" s="381">
        <f t="shared" si="456"/>
        <v>1.7867999999999999</v>
      </c>
      <c r="V156" s="502">
        <f t="shared" si="456"/>
        <v>0</v>
      </c>
      <c r="W156" s="497">
        <f t="shared" si="456"/>
        <v>0</v>
      </c>
      <c r="X156" s="497">
        <f t="shared" si="456"/>
        <v>0</v>
      </c>
      <c r="Y156" s="497">
        <f t="shared" si="456"/>
        <v>0</v>
      </c>
      <c r="Z156" s="497">
        <f t="shared" si="456"/>
        <v>0</v>
      </c>
      <c r="AA156" s="497">
        <f t="shared" si="456"/>
        <v>0</v>
      </c>
      <c r="AB156" s="497">
        <f t="shared" si="456"/>
        <v>0</v>
      </c>
      <c r="AC156" s="497">
        <f t="shared" si="456"/>
        <v>0</v>
      </c>
      <c r="AD156" s="497">
        <f t="shared" si="456"/>
        <v>0</v>
      </c>
      <c r="AE156" s="497">
        <f t="shared" si="456"/>
        <v>0</v>
      </c>
      <c r="AF156" s="497">
        <f t="shared" si="456"/>
        <v>0</v>
      </c>
      <c r="AG156" s="497">
        <f t="shared" si="456"/>
        <v>0</v>
      </c>
      <c r="AH156" s="497">
        <f t="shared" si="456"/>
        <v>0</v>
      </c>
      <c r="AI156" s="497">
        <f t="shared" si="456"/>
        <v>0</v>
      </c>
      <c r="AJ156" s="497">
        <f t="shared" si="456"/>
        <v>0</v>
      </c>
      <c r="AK156" s="497">
        <f t="shared" ref="AK156" si="457">SUM(AK154:AK155)</f>
        <v>0</v>
      </c>
      <c r="AL156" s="497">
        <f t="shared" si="456"/>
        <v>0</v>
      </c>
      <c r="AM156" s="497">
        <f t="shared" si="456"/>
        <v>0</v>
      </c>
      <c r="AN156" s="497">
        <f t="shared" si="456"/>
        <v>0</v>
      </c>
      <c r="AO156" s="497">
        <f t="shared" si="456"/>
        <v>0</v>
      </c>
      <c r="AP156" s="497">
        <f t="shared" si="456"/>
        <v>0</v>
      </c>
      <c r="AQ156" s="497">
        <f t="shared" si="456"/>
        <v>0</v>
      </c>
      <c r="AR156" s="497">
        <f t="shared" si="456"/>
        <v>0</v>
      </c>
      <c r="AS156" s="497">
        <f t="shared" si="456"/>
        <v>0</v>
      </c>
      <c r="AT156" s="497">
        <f t="shared" si="456"/>
        <v>0</v>
      </c>
      <c r="AU156" s="497">
        <f t="shared" si="456"/>
        <v>0</v>
      </c>
      <c r="AV156" s="497">
        <f t="shared" si="456"/>
        <v>0</v>
      </c>
      <c r="AW156" s="497">
        <f t="shared" si="456"/>
        <v>0</v>
      </c>
      <c r="AX156" s="497">
        <f t="shared" si="456"/>
        <v>0</v>
      </c>
      <c r="AY156" s="497">
        <f t="shared" si="456"/>
        <v>0</v>
      </c>
      <c r="AZ156" s="497">
        <f t="shared" si="456"/>
        <v>0</v>
      </c>
      <c r="BA156" s="498">
        <f t="shared" si="456"/>
        <v>0</v>
      </c>
      <c r="BB156" s="498">
        <f t="shared" si="456"/>
        <v>0</v>
      </c>
      <c r="BC156" s="498">
        <f t="shared" si="456"/>
        <v>0</v>
      </c>
      <c r="BD156" s="498">
        <f t="shared" si="456"/>
        <v>0</v>
      </c>
      <c r="BE156" s="498">
        <f t="shared" si="456"/>
        <v>0</v>
      </c>
      <c r="BF156" s="498">
        <f t="shared" si="456"/>
        <v>0</v>
      </c>
      <c r="BG156" s="498">
        <f t="shared" si="456"/>
        <v>0</v>
      </c>
      <c r="BH156" s="498">
        <f t="shared" si="456"/>
        <v>0</v>
      </c>
      <c r="BI156" s="498">
        <f t="shared" si="456"/>
        <v>0</v>
      </c>
      <c r="BJ156" s="498">
        <f t="shared" si="456"/>
        <v>0</v>
      </c>
      <c r="BK156" s="498">
        <f t="shared" si="456"/>
        <v>0</v>
      </c>
      <c r="BL156" s="498">
        <f t="shared" si="456"/>
        <v>0</v>
      </c>
      <c r="BM156" s="746">
        <f t="shared" si="456"/>
        <v>0</v>
      </c>
      <c r="BN156" s="500">
        <f t="shared" si="456"/>
        <v>4072289</v>
      </c>
      <c r="BO156" s="497">
        <f t="shared" si="456"/>
        <v>3010457</v>
      </c>
      <c r="BP156" s="497">
        <f t="shared" si="456"/>
        <v>2446292</v>
      </c>
      <c r="BQ156" s="497">
        <f t="shared" si="456"/>
        <v>564165</v>
      </c>
      <c r="BR156" s="497">
        <f t="shared" si="456"/>
        <v>0</v>
      </c>
      <c r="BS156" s="497">
        <f t="shared" si="456"/>
        <v>0</v>
      </c>
      <c r="BT156" s="497">
        <f t="shared" si="456"/>
        <v>0</v>
      </c>
      <c r="BU156" s="497">
        <f t="shared" si="456"/>
        <v>1017534</v>
      </c>
      <c r="BV156" s="497">
        <f t="shared" ref="BV156:CF156" si="458">SUM(BV154:BV155)</f>
        <v>30104</v>
      </c>
      <c r="BW156" s="497">
        <f t="shared" si="458"/>
        <v>14194</v>
      </c>
      <c r="BX156" s="498">
        <f t="shared" si="458"/>
        <v>5.7868000000000004</v>
      </c>
      <c r="BY156" s="498">
        <f t="shared" si="458"/>
        <v>4</v>
      </c>
      <c r="BZ156" s="746">
        <f t="shared" si="458"/>
        <v>1.7867999999999999</v>
      </c>
      <c r="CA156" s="902">
        <f t="shared" si="458"/>
        <v>0</v>
      </c>
      <c r="CB156" s="897">
        <f t="shared" si="458"/>
        <v>0</v>
      </c>
      <c r="CC156" s="897">
        <f t="shared" si="458"/>
        <v>0</v>
      </c>
      <c r="CD156" s="897">
        <f t="shared" si="458"/>
        <v>0</v>
      </c>
      <c r="CE156" s="897">
        <f t="shared" si="458"/>
        <v>0</v>
      </c>
      <c r="CF156" s="842">
        <f t="shared" si="458"/>
        <v>0</v>
      </c>
    </row>
    <row r="157" spans="1:84" ht="12.95" customHeight="1" x14ac:dyDescent="0.25">
      <c r="A157" s="282">
        <v>32</v>
      </c>
      <c r="B157" s="213">
        <v>2496</v>
      </c>
      <c r="C157" s="213">
        <v>600080251</v>
      </c>
      <c r="D157" s="283">
        <v>70695938</v>
      </c>
      <c r="E157" s="374" t="s">
        <v>512</v>
      </c>
      <c r="F157" s="213">
        <v>3117</v>
      </c>
      <c r="G157" s="374" t="s">
        <v>309</v>
      </c>
      <c r="H157" s="287" t="s">
        <v>271</v>
      </c>
      <c r="I157" s="423">
        <f>J157+P157+Q157+R157</f>
        <v>6150008</v>
      </c>
      <c r="J157" s="418">
        <f>K157+L157</f>
        <v>4488289</v>
      </c>
      <c r="K157" s="418">
        <v>3997003</v>
      </c>
      <c r="L157" s="418">
        <v>491286</v>
      </c>
      <c r="M157" s="418">
        <f t="shared" ref="M157:M161" si="459">N157+O157</f>
        <v>0</v>
      </c>
      <c r="N157" s="418">
        <v>0</v>
      </c>
      <c r="O157" s="418">
        <v>0</v>
      </c>
      <c r="P157" s="68">
        <f>ROUND((J157+M157)*33.8%,0)</f>
        <v>1517042</v>
      </c>
      <c r="Q157" s="68">
        <f>ROUND(J157*1%,0)</f>
        <v>44883</v>
      </c>
      <c r="R157" s="418">
        <v>99794</v>
      </c>
      <c r="S157" s="419">
        <f t="shared" si="429"/>
        <v>7.3098000000000001</v>
      </c>
      <c r="T157" s="419">
        <v>5.91</v>
      </c>
      <c r="U157" s="527">
        <v>1.3997999999999999</v>
      </c>
      <c r="V157" s="427">
        <f t="shared" ref="V157:W161" si="460">AI157*-1</f>
        <v>0</v>
      </c>
      <c r="W157" s="421">
        <f t="shared" si="460"/>
        <v>0</v>
      </c>
      <c r="X157" s="421">
        <v>0</v>
      </c>
      <c r="Y157" s="421">
        <v>0</v>
      </c>
      <c r="Z157" s="421">
        <v>0</v>
      </c>
      <c r="AA157" s="421">
        <v>0</v>
      </c>
      <c r="AB157" s="421">
        <v>0</v>
      </c>
      <c r="AC157" s="421">
        <v>0</v>
      </c>
      <c r="AD157" s="421">
        <v>0</v>
      </c>
      <c r="AE157" s="421">
        <v>0</v>
      </c>
      <c r="AF157" s="421">
        <f>V157+X157+Y157+AA157+AB157+AD157</f>
        <v>0</v>
      </c>
      <c r="AG157" s="421">
        <f>W157+Z157+AC157+AE157</f>
        <v>0</v>
      </c>
      <c r="AH157" s="421">
        <f>SUM(AF157:AG157)</f>
        <v>0</v>
      </c>
      <c r="AI157" s="421">
        <v>0</v>
      </c>
      <c r="AJ157" s="421">
        <v>0</v>
      </c>
      <c r="AK157" s="421">
        <v>0</v>
      </c>
      <c r="AL157" s="421">
        <v>0</v>
      </c>
      <c r="AM157" s="421">
        <v>0</v>
      </c>
      <c r="AN157" s="421">
        <v>0</v>
      </c>
      <c r="AO157" s="421">
        <f t="shared" ref="AO157:AO161" si="461">AI157+AK157+AL157+AM157</f>
        <v>0</v>
      </c>
      <c r="AP157" s="421">
        <f>AJ157+AN157</f>
        <v>0</v>
      </c>
      <c r="AQ157" s="421">
        <f>SUM(AO157:AP157)</f>
        <v>0</v>
      </c>
      <c r="AR157" s="421">
        <f t="shared" ref="AR157:AS161" si="462">AF157+AO157</f>
        <v>0</v>
      </c>
      <c r="AS157" s="421">
        <f t="shared" si="462"/>
        <v>0</v>
      </c>
      <c r="AT157" s="421">
        <f>SUM(AR157:AS157)</f>
        <v>0</v>
      </c>
      <c r="AU157" s="68">
        <f t="shared" ref="AU157:AU161" si="463">ROUND((AH157+AI157+AJ157+AK157+AL157)*33.8%,0)</f>
        <v>0</v>
      </c>
      <c r="AV157" s="68">
        <f>ROUND(AH157*1%,0)</f>
        <v>0</v>
      </c>
      <c r="AW157" s="421">
        <v>0</v>
      </c>
      <c r="AX157" s="421">
        <v>0</v>
      </c>
      <c r="AY157" s="421">
        <f>AW157+AX157</f>
        <v>0</v>
      </c>
      <c r="AZ157" s="421">
        <f>AT157+AU157+AV157+AY157</f>
        <v>0</v>
      </c>
      <c r="BA157" s="422">
        <v>0</v>
      </c>
      <c r="BB157" s="422">
        <v>0</v>
      </c>
      <c r="BC157" s="422">
        <v>0</v>
      </c>
      <c r="BD157" s="422">
        <v>0</v>
      </c>
      <c r="BE157" s="422">
        <v>0</v>
      </c>
      <c r="BF157" s="422">
        <v>0</v>
      </c>
      <c r="BG157" s="422">
        <v>0</v>
      </c>
      <c r="BH157" s="422">
        <v>0</v>
      </c>
      <c r="BI157" s="422">
        <v>0</v>
      </c>
      <c r="BJ157" s="422">
        <v>0</v>
      </c>
      <c r="BK157" s="422">
        <f>BA157+BC157+BD157+BF157+BH157+BI157</f>
        <v>0</v>
      </c>
      <c r="BL157" s="422">
        <f>BB157+BE157+BG157+BJ157</f>
        <v>0</v>
      </c>
      <c r="BM157" s="611">
        <f>SUM(BK157:BL157)</f>
        <v>0</v>
      </c>
      <c r="BN157" s="428">
        <f>I157+AZ157</f>
        <v>6150008</v>
      </c>
      <c r="BO157" s="421">
        <f>J157+AH157</f>
        <v>4488289</v>
      </c>
      <c r="BP157" s="421">
        <f t="shared" ref="BP157:BQ161" si="464">K157+AF157</f>
        <v>3997003</v>
      </c>
      <c r="BQ157" s="421">
        <f t="shared" si="464"/>
        <v>491286</v>
      </c>
      <c r="BR157" s="421">
        <f>M157+AQ157</f>
        <v>0</v>
      </c>
      <c r="BS157" s="421">
        <f t="shared" ref="BS157:BT161" si="465">N157+AO157</f>
        <v>0</v>
      </c>
      <c r="BT157" s="421">
        <f t="shared" si="465"/>
        <v>0</v>
      </c>
      <c r="BU157" s="421">
        <f t="shared" ref="BU157:BV161" si="466">P157+AU157</f>
        <v>1517042</v>
      </c>
      <c r="BV157" s="421">
        <f t="shared" si="466"/>
        <v>44883</v>
      </c>
      <c r="BW157" s="421">
        <f>R157+AY157</f>
        <v>99794</v>
      </c>
      <c r="BX157" s="422">
        <f>S157+BM157</f>
        <v>7.3098000000000001</v>
      </c>
      <c r="BY157" s="422">
        <f t="shared" ref="BY157:BZ161" si="467">T157+BK157</f>
        <v>5.91</v>
      </c>
      <c r="BZ157" s="611">
        <f t="shared" si="467"/>
        <v>1.3997999999999999</v>
      </c>
      <c r="CA157" s="875"/>
      <c r="CB157" s="872"/>
      <c r="CC157" s="872"/>
      <c r="CD157" s="872"/>
      <c r="CE157" s="872"/>
      <c r="CF157" s="876"/>
    </row>
    <row r="158" spans="1:84" ht="12.95" customHeight="1" x14ac:dyDescent="0.25">
      <c r="A158" s="282">
        <v>32</v>
      </c>
      <c r="B158" s="213">
        <v>2496</v>
      </c>
      <c r="C158" s="213">
        <v>600080251</v>
      </c>
      <c r="D158" s="283">
        <v>70695938</v>
      </c>
      <c r="E158" s="374" t="s">
        <v>512</v>
      </c>
      <c r="F158" s="213">
        <v>3117</v>
      </c>
      <c r="G158" s="325" t="s">
        <v>292</v>
      </c>
      <c r="H158" s="287" t="s">
        <v>272</v>
      </c>
      <c r="I158" s="423">
        <f>J158+P158+Q158+R158</f>
        <v>0</v>
      </c>
      <c r="J158" s="418">
        <f>K158+L158</f>
        <v>0</v>
      </c>
      <c r="K158" s="418">
        <v>0</v>
      </c>
      <c r="L158" s="418">
        <v>0</v>
      </c>
      <c r="M158" s="418">
        <f t="shared" si="459"/>
        <v>0</v>
      </c>
      <c r="N158" s="418">
        <v>0</v>
      </c>
      <c r="O158" s="418">
        <v>0</v>
      </c>
      <c r="P158" s="68">
        <f t="shared" ref="P158" si="468">ROUND((J158+M158)*33.8%,0)</f>
        <v>0</v>
      </c>
      <c r="Q158" s="68">
        <f t="shared" ref="Q158" si="469">ROUND(J158*1%,0)</f>
        <v>0</v>
      </c>
      <c r="R158" s="418">
        <v>0</v>
      </c>
      <c r="S158" s="419">
        <f t="shared" si="429"/>
        <v>0</v>
      </c>
      <c r="T158" s="419">
        <v>0</v>
      </c>
      <c r="U158" s="527">
        <v>0</v>
      </c>
      <c r="V158" s="427">
        <f t="shared" si="460"/>
        <v>0</v>
      </c>
      <c r="W158" s="421">
        <f t="shared" si="460"/>
        <v>0</v>
      </c>
      <c r="X158" s="421">
        <v>92700</v>
      </c>
      <c r="Y158" s="421">
        <v>0</v>
      </c>
      <c r="Z158" s="421">
        <v>0</v>
      </c>
      <c r="AA158" s="421">
        <v>0</v>
      </c>
      <c r="AB158" s="421">
        <v>0</v>
      </c>
      <c r="AC158" s="421">
        <v>0</v>
      </c>
      <c r="AD158" s="421">
        <v>0</v>
      </c>
      <c r="AE158" s="421">
        <v>0</v>
      </c>
      <c r="AF158" s="421">
        <f>V158+X158+Y158+AA158+AB158+AD158</f>
        <v>92700</v>
      </c>
      <c r="AG158" s="421">
        <f>W158+Z158+AC158+AE158</f>
        <v>0</v>
      </c>
      <c r="AH158" s="421">
        <f>SUM(AF158:AG158)</f>
        <v>92700</v>
      </c>
      <c r="AI158" s="421">
        <v>0</v>
      </c>
      <c r="AJ158" s="421">
        <v>0</v>
      </c>
      <c r="AK158" s="421">
        <v>0</v>
      </c>
      <c r="AL158" s="421">
        <v>0</v>
      </c>
      <c r="AM158" s="421">
        <v>0</v>
      </c>
      <c r="AN158" s="421">
        <v>0</v>
      </c>
      <c r="AO158" s="421">
        <f t="shared" si="461"/>
        <v>0</v>
      </c>
      <c r="AP158" s="421">
        <f>AJ158+AN158</f>
        <v>0</v>
      </c>
      <c r="AQ158" s="421">
        <f>SUM(AO158:AP158)</f>
        <v>0</v>
      </c>
      <c r="AR158" s="421">
        <f t="shared" si="462"/>
        <v>92700</v>
      </c>
      <c r="AS158" s="421">
        <f t="shared" si="462"/>
        <v>0</v>
      </c>
      <c r="AT158" s="421">
        <f>SUM(AR158:AS158)</f>
        <v>92700</v>
      </c>
      <c r="AU158" s="68">
        <f t="shared" si="463"/>
        <v>31333</v>
      </c>
      <c r="AV158" s="68">
        <f>ROUND(AH158*1%,0)</f>
        <v>927</v>
      </c>
      <c r="AW158" s="421">
        <v>0</v>
      </c>
      <c r="AX158" s="421">
        <v>0</v>
      </c>
      <c r="AY158" s="421">
        <f>AW158+AX158</f>
        <v>0</v>
      </c>
      <c r="AZ158" s="421">
        <f>AT158+AU158+AV158+AY158</f>
        <v>124960</v>
      </c>
      <c r="BA158" s="422">
        <v>0</v>
      </c>
      <c r="BB158" s="422">
        <v>0</v>
      </c>
      <c r="BC158" s="422">
        <v>0.25</v>
      </c>
      <c r="BD158" s="422">
        <v>0</v>
      </c>
      <c r="BE158" s="422">
        <v>0</v>
      </c>
      <c r="BF158" s="422">
        <v>0</v>
      </c>
      <c r="BG158" s="422">
        <v>0</v>
      </c>
      <c r="BH158" s="422">
        <v>0</v>
      </c>
      <c r="BI158" s="422">
        <v>0</v>
      </c>
      <c r="BJ158" s="422">
        <v>0</v>
      </c>
      <c r="BK158" s="422">
        <f>BA158+BC158+BD158+BF158+BH158+BI158</f>
        <v>0.25</v>
      </c>
      <c r="BL158" s="422">
        <f>BB158+BE158+BG158+BJ158</f>
        <v>0</v>
      </c>
      <c r="BM158" s="611">
        <f>SUM(BK158:BL158)</f>
        <v>0.25</v>
      </c>
      <c r="BN158" s="428">
        <f>I158+AZ158</f>
        <v>124960</v>
      </c>
      <c r="BO158" s="421">
        <f>J158+AH158</f>
        <v>92700</v>
      </c>
      <c r="BP158" s="421">
        <f t="shared" si="464"/>
        <v>92700</v>
      </c>
      <c r="BQ158" s="421">
        <f t="shared" si="464"/>
        <v>0</v>
      </c>
      <c r="BR158" s="421">
        <f>M158+AQ158</f>
        <v>0</v>
      </c>
      <c r="BS158" s="421">
        <f t="shared" si="465"/>
        <v>0</v>
      </c>
      <c r="BT158" s="421">
        <f t="shared" si="465"/>
        <v>0</v>
      </c>
      <c r="BU158" s="421">
        <f t="shared" si="466"/>
        <v>31333</v>
      </c>
      <c r="BV158" s="421">
        <f t="shared" si="466"/>
        <v>927</v>
      </c>
      <c r="BW158" s="421">
        <f>R158+AY158</f>
        <v>0</v>
      </c>
      <c r="BX158" s="422">
        <f>S158+BM158</f>
        <v>0.25</v>
      </c>
      <c r="BY158" s="422">
        <f t="shared" si="467"/>
        <v>0.25</v>
      </c>
      <c r="BZ158" s="611">
        <f t="shared" si="467"/>
        <v>0</v>
      </c>
      <c r="CA158" s="875"/>
      <c r="CB158" s="872"/>
      <c r="CC158" s="872"/>
      <c r="CD158" s="872"/>
      <c r="CE158" s="872"/>
      <c r="CF158" s="876"/>
    </row>
    <row r="159" spans="1:84" ht="12.95" customHeight="1" x14ac:dyDescent="0.25">
      <c r="A159" s="282">
        <v>32</v>
      </c>
      <c r="B159" s="378">
        <v>2496</v>
      </c>
      <c r="C159" s="378">
        <v>600080251</v>
      </c>
      <c r="D159" s="283">
        <v>70695938</v>
      </c>
      <c r="E159" s="212" t="s">
        <v>512</v>
      </c>
      <c r="F159" s="213">
        <v>3141</v>
      </c>
      <c r="G159" s="375" t="s">
        <v>295</v>
      </c>
      <c r="H159" s="287" t="s">
        <v>272</v>
      </c>
      <c r="I159" s="423">
        <f>J159+P159+Q159+R159</f>
        <v>506310</v>
      </c>
      <c r="J159" s="418">
        <f>K159+L159</f>
        <v>373498</v>
      </c>
      <c r="K159" s="418">
        <v>0</v>
      </c>
      <c r="L159" s="418">
        <v>373498</v>
      </c>
      <c r="M159" s="418">
        <f t="shared" si="459"/>
        <v>0</v>
      </c>
      <c r="N159" s="418">
        <v>0</v>
      </c>
      <c r="O159" s="418">
        <v>0</v>
      </c>
      <c r="P159" s="68">
        <f>ROUND((J159+M159)*33.8%,0)</f>
        <v>126242</v>
      </c>
      <c r="Q159" s="68">
        <f>ROUND(J159*1%,0)</f>
        <v>3735</v>
      </c>
      <c r="R159" s="418">
        <v>2835</v>
      </c>
      <c r="S159" s="419">
        <f t="shared" si="429"/>
        <v>1.1200000000000001</v>
      </c>
      <c r="T159" s="419">
        <v>0</v>
      </c>
      <c r="U159" s="527">
        <v>1.1200000000000001</v>
      </c>
      <c r="V159" s="427">
        <f t="shared" si="460"/>
        <v>0</v>
      </c>
      <c r="W159" s="421">
        <f t="shared" si="460"/>
        <v>0</v>
      </c>
      <c r="X159" s="421">
        <v>0</v>
      </c>
      <c r="Y159" s="421">
        <v>0</v>
      </c>
      <c r="Z159" s="421">
        <v>0</v>
      </c>
      <c r="AA159" s="421">
        <v>0</v>
      </c>
      <c r="AB159" s="421">
        <v>0</v>
      </c>
      <c r="AC159" s="421">
        <v>0</v>
      </c>
      <c r="AD159" s="421">
        <v>0</v>
      </c>
      <c r="AE159" s="421">
        <v>0</v>
      </c>
      <c r="AF159" s="421">
        <f>V159+X159+Y159+AA159+AB159+AD159</f>
        <v>0</v>
      </c>
      <c r="AG159" s="421">
        <f>W159+Z159+AC159+AE159</f>
        <v>0</v>
      </c>
      <c r="AH159" s="421">
        <f>SUM(AF159:AG159)</f>
        <v>0</v>
      </c>
      <c r="AI159" s="421">
        <v>0</v>
      </c>
      <c r="AJ159" s="421">
        <v>0</v>
      </c>
      <c r="AK159" s="421">
        <v>0</v>
      </c>
      <c r="AL159" s="421">
        <v>0</v>
      </c>
      <c r="AM159" s="421">
        <v>0</v>
      </c>
      <c r="AN159" s="421">
        <v>0</v>
      </c>
      <c r="AO159" s="421">
        <f t="shared" si="461"/>
        <v>0</v>
      </c>
      <c r="AP159" s="421">
        <f>AJ159+AN159</f>
        <v>0</v>
      </c>
      <c r="AQ159" s="421">
        <f>SUM(AO159:AP159)</f>
        <v>0</v>
      </c>
      <c r="AR159" s="421">
        <f t="shared" si="462"/>
        <v>0</v>
      </c>
      <c r="AS159" s="421">
        <f t="shared" si="462"/>
        <v>0</v>
      </c>
      <c r="AT159" s="421">
        <f>SUM(AR159:AS159)</f>
        <v>0</v>
      </c>
      <c r="AU159" s="68">
        <f t="shared" si="463"/>
        <v>0</v>
      </c>
      <c r="AV159" s="68">
        <f>ROUND(AH159*1%,0)</f>
        <v>0</v>
      </c>
      <c r="AW159" s="421">
        <v>0</v>
      </c>
      <c r="AX159" s="421">
        <v>0</v>
      </c>
      <c r="AY159" s="421">
        <f>AW159+AX159</f>
        <v>0</v>
      </c>
      <c r="AZ159" s="421">
        <f>AT159+AU159+AV159+AY159</f>
        <v>0</v>
      </c>
      <c r="BA159" s="422">
        <v>0</v>
      </c>
      <c r="BB159" s="422">
        <v>0</v>
      </c>
      <c r="BC159" s="422">
        <v>0</v>
      </c>
      <c r="BD159" s="422">
        <v>0</v>
      </c>
      <c r="BE159" s="422">
        <v>0</v>
      </c>
      <c r="BF159" s="422">
        <v>0</v>
      </c>
      <c r="BG159" s="422">
        <v>0</v>
      </c>
      <c r="BH159" s="422">
        <v>0</v>
      </c>
      <c r="BI159" s="422">
        <v>0</v>
      </c>
      <c r="BJ159" s="422">
        <v>0</v>
      </c>
      <c r="BK159" s="422">
        <f>BA159+BC159+BD159+BF159+BH159+BI159</f>
        <v>0</v>
      </c>
      <c r="BL159" s="422">
        <f>BB159+BE159+BG159+BJ159</f>
        <v>0</v>
      </c>
      <c r="BM159" s="611">
        <f>SUM(BK159:BL159)</f>
        <v>0</v>
      </c>
      <c r="BN159" s="428">
        <f>I159+AZ159</f>
        <v>506310</v>
      </c>
      <c r="BO159" s="421">
        <f>J159+AH159</f>
        <v>373498</v>
      </c>
      <c r="BP159" s="421">
        <f t="shared" si="464"/>
        <v>0</v>
      </c>
      <c r="BQ159" s="421">
        <f t="shared" si="464"/>
        <v>373498</v>
      </c>
      <c r="BR159" s="421">
        <f>M159+AQ159</f>
        <v>0</v>
      </c>
      <c r="BS159" s="421">
        <f t="shared" si="465"/>
        <v>0</v>
      </c>
      <c r="BT159" s="421">
        <f t="shared" si="465"/>
        <v>0</v>
      </c>
      <c r="BU159" s="421">
        <f t="shared" si="466"/>
        <v>126242</v>
      </c>
      <c r="BV159" s="421">
        <f t="shared" si="466"/>
        <v>3735</v>
      </c>
      <c r="BW159" s="421">
        <f>R159+AY159</f>
        <v>2835</v>
      </c>
      <c r="BX159" s="422">
        <f>S159+BM159</f>
        <v>1.1200000000000001</v>
      </c>
      <c r="BY159" s="422">
        <f t="shared" si="467"/>
        <v>0</v>
      </c>
      <c r="BZ159" s="611">
        <f t="shared" si="467"/>
        <v>1.1200000000000001</v>
      </c>
      <c r="CA159" s="875"/>
      <c r="CB159" s="872"/>
      <c r="CC159" s="872"/>
      <c r="CD159" s="872"/>
      <c r="CE159" s="872"/>
      <c r="CF159" s="876"/>
    </row>
    <row r="160" spans="1:84" ht="12.95" customHeight="1" x14ac:dyDescent="0.25">
      <c r="A160" s="282">
        <v>32</v>
      </c>
      <c r="B160" s="213">
        <v>2496</v>
      </c>
      <c r="C160" s="213">
        <v>600080251</v>
      </c>
      <c r="D160" s="283">
        <v>70695938</v>
      </c>
      <c r="E160" s="374" t="s">
        <v>512</v>
      </c>
      <c r="F160" s="213">
        <v>3143</v>
      </c>
      <c r="G160" s="325" t="s">
        <v>596</v>
      </c>
      <c r="H160" s="287" t="s">
        <v>271</v>
      </c>
      <c r="I160" s="423">
        <f>J160+P160+Q160+R160</f>
        <v>1306197</v>
      </c>
      <c r="J160" s="418">
        <f>K160+L160</f>
        <v>968989</v>
      </c>
      <c r="K160" s="418">
        <v>968989</v>
      </c>
      <c r="L160" s="418"/>
      <c r="M160" s="418">
        <f t="shared" si="459"/>
        <v>0</v>
      </c>
      <c r="N160" s="418">
        <v>0</v>
      </c>
      <c r="O160" s="418">
        <v>0</v>
      </c>
      <c r="P160" s="68">
        <f>ROUND((J160+M160)*33.8%,0)</f>
        <v>327518</v>
      </c>
      <c r="Q160" s="68">
        <f>ROUND(J160*1%,0)</f>
        <v>9690</v>
      </c>
      <c r="R160" s="418">
        <v>0</v>
      </c>
      <c r="S160" s="419">
        <f t="shared" si="429"/>
        <v>1.8</v>
      </c>
      <c r="T160" s="419">
        <v>1.8</v>
      </c>
      <c r="U160" s="527">
        <v>0</v>
      </c>
      <c r="V160" s="427">
        <f t="shared" si="460"/>
        <v>-4480</v>
      </c>
      <c r="W160" s="421">
        <f t="shared" si="460"/>
        <v>0</v>
      </c>
      <c r="X160" s="421">
        <v>0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f>V160+X160+Y160+AA160+AB160+AD160</f>
        <v>-4480</v>
      </c>
      <c r="AG160" s="421">
        <f>W160+Z160+AC160+AE160</f>
        <v>0</v>
      </c>
      <c r="AH160" s="421">
        <f>SUM(AF160:AG160)</f>
        <v>-4480</v>
      </c>
      <c r="AI160" s="421">
        <v>4480</v>
      </c>
      <c r="AJ160" s="421">
        <v>0</v>
      </c>
      <c r="AK160" s="421">
        <v>0</v>
      </c>
      <c r="AL160" s="421">
        <v>0</v>
      </c>
      <c r="AM160" s="421">
        <v>0</v>
      </c>
      <c r="AN160" s="421">
        <v>0</v>
      </c>
      <c r="AO160" s="421">
        <f t="shared" si="461"/>
        <v>4480</v>
      </c>
      <c r="AP160" s="421">
        <f>AJ160+AN160</f>
        <v>0</v>
      </c>
      <c r="AQ160" s="421">
        <f>SUM(AO160:AP160)</f>
        <v>4480</v>
      </c>
      <c r="AR160" s="421">
        <f t="shared" si="462"/>
        <v>0</v>
      </c>
      <c r="AS160" s="421">
        <f t="shared" si="462"/>
        <v>0</v>
      </c>
      <c r="AT160" s="421">
        <f>SUM(AR160:AS160)</f>
        <v>0</v>
      </c>
      <c r="AU160" s="68">
        <f t="shared" si="463"/>
        <v>0</v>
      </c>
      <c r="AV160" s="68">
        <f>ROUND(AH160*1%,0)</f>
        <v>-45</v>
      </c>
      <c r="AW160" s="421">
        <v>0</v>
      </c>
      <c r="AX160" s="421">
        <v>0</v>
      </c>
      <c r="AY160" s="421">
        <f>AW160+AX160</f>
        <v>0</v>
      </c>
      <c r="AZ160" s="421">
        <f>AT160+AU160+AV160+AY160</f>
        <v>-45</v>
      </c>
      <c r="BA160" s="422">
        <v>-0.01</v>
      </c>
      <c r="BB160" s="422">
        <v>0</v>
      </c>
      <c r="BC160" s="422">
        <v>0</v>
      </c>
      <c r="BD160" s="422">
        <v>0</v>
      </c>
      <c r="BE160" s="422">
        <v>0</v>
      </c>
      <c r="BF160" s="422">
        <v>0</v>
      </c>
      <c r="BG160" s="422">
        <v>0</v>
      </c>
      <c r="BH160" s="422">
        <v>0</v>
      </c>
      <c r="BI160" s="422">
        <v>0</v>
      </c>
      <c r="BJ160" s="422">
        <v>0</v>
      </c>
      <c r="BK160" s="422">
        <f>BA160+BC160+BD160+BF160+BH160+BI160</f>
        <v>-0.01</v>
      </c>
      <c r="BL160" s="422">
        <f>BB160+BE160+BG160+BJ160</f>
        <v>0</v>
      </c>
      <c r="BM160" s="611">
        <f>SUM(BK160:BL160)</f>
        <v>-0.01</v>
      </c>
      <c r="BN160" s="428">
        <f>I160+AZ160</f>
        <v>1306152</v>
      </c>
      <c r="BO160" s="421">
        <f>J160+AH160</f>
        <v>964509</v>
      </c>
      <c r="BP160" s="421">
        <f t="shared" si="464"/>
        <v>964509</v>
      </c>
      <c r="BQ160" s="421">
        <f t="shared" si="464"/>
        <v>0</v>
      </c>
      <c r="BR160" s="421">
        <f>M160+AQ160</f>
        <v>4480</v>
      </c>
      <c r="BS160" s="421">
        <f t="shared" si="465"/>
        <v>4480</v>
      </c>
      <c r="BT160" s="421">
        <f t="shared" si="465"/>
        <v>0</v>
      </c>
      <c r="BU160" s="421">
        <f t="shared" si="466"/>
        <v>327518</v>
      </c>
      <c r="BV160" s="421">
        <f t="shared" si="466"/>
        <v>9645</v>
      </c>
      <c r="BW160" s="421">
        <f>R160+AY160</f>
        <v>0</v>
      </c>
      <c r="BX160" s="422">
        <f>S160+BM160</f>
        <v>1.79</v>
      </c>
      <c r="BY160" s="422">
        <f t="shared" si="467"/>
        <v>1.79</v>
      </c>
      <c r="BZ160" s="611">
        <f t="shared" si="467"/>
        <v>0</v>
      </c>
      <c r="CA160" s="875"/>
      <c r="CB160" s="872"/>
      <c r="CC160" s="872"/>
      <c r="CD160" s="872"/>
      <c r="CE160" s="872"/>
      <c r="CF160" s="876"/>
    </row>
    <row r="161" spans="1:84" ht="12.95" customHeight="1" x14ac:dyDescent="0.25">
      <c r="A161" s="282">
        <v>32</v>
      </c>
      <c r="B161" s="213">
        <v>2496</v>
      </c>
      <c r="C161" s="213">
        <v>600080251</v>
      </c>
      <c r="D161" s="283">
        <v>70695938</v>
      </c>
      <c r="E161" s="374" t="s">
        <v>512</v>
      </c>
      <c r="F161" s="213">
        <v>3143</v>
      </c>
      <c r="G161" s="325" t="s">
        <v>597</v>
      </c>
      <c r="H161" s="287" t="s">
        <v>272</v>
      </c>
      <c r="I161" s="423">
        <f>J161+P161+Q161+R161</f>
        <v>25598</v>
      </c>
      <c r="J161" s="418">
        <f>K161+L161</f>
        <v>18322</v>
      </c>
      <c r="K161" s="418">
        <v>0</v>
      </c>
      <c r="L161" s="418">
        <v>18322</v>
      </c>
      <c r="M161" s="418">
        <f t="shared" si="459"/>
        <v>0</v>
      </c>
      <c r="N161" s="418">
        <v>0</v>
      </c>
      <c r="O161" s="418">
        <v>0</v>
      </c>
      <c r="P161" s="68">
        <f>ROUND((J161+M161)*33.8%,0)</f>
        <v>6193</v>
      </c>
      <c r="Q161" s="68">
        <f>ROUND(J161*1%,0)</f>
        <v>183</v>
      </c>
      <c r="R161" s="418">
        <v>900</v>
      </c>
      <c r="S161" s="419">
        <f t="shared" si="429"/>
        <v>6.9400000000000003E-2</v>
      </c>
      <c r="T161" s="419">
        <v>0</v>
      </c>
      <c r="U161" s="527">
        <v>6.9400000000000003E-2</v>
      </c>
      <c r="V161" s="427">
        <f t="shared" si="460"/>
        <v>0</v>
      </c>
      <c r="W161" s="421">
        <f t="shared" si="460"/>
        <v>0</v>
      </c>
      <c r="X161" s="421">
        <v>0</v>
      </c>
      <c r="Y161" s="421">
        <v>0</v>
      </c>
      <c r="Z161" s="421">
        <v>0</v>
      </c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f>V161+X161+Y161+AA161+AB161+AD161</f>
        <v>0</v>
      </c>
      <c r="AG161" s="421">
        <f>W161+Z161+AC161+AE161</f>
        <v>0</v>
      </c>
      <c r="AH161" s="421">
        <f>SUM(AF161:AG161)</f>
        <v>0</v>
      </c>
      <c r="AI161" s="421">
        <v>0</v>
      </c>
      <c r="AJ161" s="421">
        <v>0</v>
      </c>
      <c r="AK161" s="421">
        <v>0</v>
      </c>
      <c r="AL161" s="421">
        <v>0</v>
      </c>
      <c r="AM161" s="421">
        <v>0</v>
      </c>
      <c r="AN161" s="421">
        <v>0</v>
      </c>
      <c r="AO161" s="421">
        <f t="shared" si="461"/>
        <v>0</v>
      </c>
      <c r="AP161" s="421">
        <f>AJ161+AN161</f>
        <v>0</v>
      </c>
      <c r="AQ161" s="421">
        <f>SUM(AO161:AP161)</f>
        <v>0</v>
      </c>
      <c r="AR161" s="421">
        <f t="shared" si="462"/>
        <v>0</v>
      </c>
      <c r="AS161" s="421">
        <f t="shared" si="462"/>
        <v>0</v>
      </c>
      <c r="AT161" s="421">
        <f>SUM(AR161:AS161)</f>
        <v>0</v>
      </c>
      <c r="AU161" s="68">
        <f t="shared" si="463"/>
        <v>0</v>
      </c>
      <c r="AV161" s="68">
        <f>ROUND(AH161*1%,0)</f>
        <v>0</v>
      </c>
      <c r="AW161" s="421">
        <v>0</v>
      </c>
      <c r="AX161" s="421">
        <v>0</v>
      </c>
      <c r="AY161" s="421">
        <f>AW161+AX161</f>
        <v>0</v>
      </c>
      <c r="AZ161" s="421">
        <f>AT161+AU161+AV161+AY161</f>
        <v>0</v>
      </c>
      <c r="BA161" s="422">
        <v>0</v>
      </c>
      <c r="BB161" s="422">
        <v>0</v>
      </c>
      <c r="BC161" s="422">
        <v>0</v>
      </c>
      <c r="BD161" s="422">
        <v>0</v>
      </c>
      <c r="BE161" s="422">
        <v>0</v>
      </c>
      <c r="BF161" s="422">
        <v>0</v>
      </c>
      <c r="BG161" s="422">
        <v>0</v>
      </c>
      <c r="BH161" s="422">
        <v>0</v>
      </c>
      <c r="BI161" s="422">
        <v>0</v>
      </c>
      <c r="BJ161" s="422">
        <v>0</v>
      </c>
      <c r="BK161" s="422">
        <f>BA161+BC161+BD161+BF161+BH161+BI161</f>
        <v>0</v>
      </c>
      <c r="BL161" s="422">
        <f>BB161+BE161+BG161+BJ161</f>
        <v>0</v>
      </c>
      <c r="BM161" s="611">
        <f>SUM(BK161:BL161)</f>
        <v>0</v>
      </c>
      <c r="BN161" s="428">
        <f>I161+AZ161</f>
        <v>25598</v>
      </c>
      <c r="BO161" s="421">
        <f>J161+AH161</f>
        <v>18322</v>
      </c>
      <c r="BP161" s="421">
        <f t="shared" si="464"/>
        <v>0</v>
      </c>
      <c r="BQ161" s="421">
        <f t="shared" si="464"/>
        <v>18322</v>
      </c>
      <c r="BR161" s="421">
        <f>M161+AQ161</f>
        <v>0</v>
      </c>
      <c r="BS161" s="421">
        <f t="shared" si="465"/>
        <v>0</v>
      </c>
      <c r="BT161" s="421">
        <f t="shared" si="465"/>
        <v>0</v>
      </c>
      <c r="BU161" s="421">
        <f t="shared" si="466"/>
        <v>6193</v>
      </c>
      <c r="BV161" s="421">
        <f t="shared" si="466"/>
        <v>183</v>
      </c>
      <c r="BW161" s="421">
        <f>R161+AY161</f>
        <v>900</v>
      </c>
      <c r="BX161" s="422">
        <f>S161+BM161</f>
        <v>6.9400000000000003E-2</v>
      </c>
      <c r="BY161" s="422">
        <f t="shared" si="467"/>
        <v>0</v>
      </c>
      <c r="BZ161" s="611">
        <f t="shared" si="467"/>
        <v>6.9400000000000003E-2</v>
      </c>
      <c r="CA161" s="875"/>
      <c r="CB161" s="872"/>
      <c r="CC161" s="872"/>
      <c r="CD161" s="872"/>
      <c r="CE161" s="872"/>
      <c r="CF161" s="876"/>
    </row>
    <row r="162" spans="1:84" ht="12.95" customHeight="1" x14ac:dyDescent="0.25">
      <c r="A162" s="214">
        <v>32</v>
      </c>
      <c r="B162" s="45">
        <v>2496</v>
      </c>
      <c r="C162" s="45">
        <v>600080251</v>
      </c>
      <c r="D162" s="45">
        <v>70695938</v>
      </c>
      <c r="E162" s="376" t="s">
        <v>513</v>
      </c>
      <c r="F162" s="45"/>
      <c r="G162" s="376"/>
      <c r="H162" s="183"/>
      <c r="I162" s="500">
        <f t="shared" ref="I162:BU162" si="470">SUM(I157:I161)</f>
        <v>7988113</v>
      </c>
      <c r="J162" s="497">
        <f t="shared" si="470"/>
        <v>5849098</v>
      </c>
      <c r="K162" s="497">
        <f t="shared" si="470"/>
        <v>4965992</v>
      </c>
      <c r="L162" s="497">
        <f t="shared" si="470"/>
        <v>883106</v>
      </c>
      <c r="M162" s="497">
        <f t="shared" si="470"/>
        <v>0</v>
      </c>
      <c r="N162" s="497">
        <f t="shared" si="470"/>
        <v>0</v>
      </c>
      <c r="O162" s="497">
        <f t="shared" si="470"/>
        <v>0</v>
      </c>
      <c r="P162" s="497">
        <f t="shared" si="470"/>
        <v>1976995</v>
      </c>
      <c r="Q162" s="497">
        <f t="shared" si="470"/>
        <v>58491</v>
      </c>
      <c r="R162" s="497">
        <f t="shared" si="470"/>
        <v>103529</v>
      </c>
      <c r="S162" s="498">
        <f t="shared" si="470"/>
        <v>10.299200000000001</v>
      </c>
      <c r="T162" s="498">
        <f t="shared" si="470"/>
        <v>7.71</v>
      </c>
      <c r="U162" s="381">
        <f t="shared" si="470"/>
        <v>2.5891999999999999</v>
      </c>
      <c r="V162" s="502">
        <f t="shared" si="470"/>
        <v>-4480</v>
      </c>
      <c r="W162" s="497">
        <f t="shared" si="470"/>
        <v>0</v>
      </c>
      <c r="X162" s="497">
        <f t="shared" si="470"/>
        <v>92700</v>
      </c>
      <c r="Y162" s="497">
        <f t="shared" si="470"/>
        <v>0</v>
      </c>
      <c r="Z162" s="497">
        <f t="shared" si="470"/>
        <v>0</v>
      </c>
      <c r="AA162" s="497">
        <f t="shared" si="470"/>
        <v>0</v>
      </c>
      <c r="AB162" s="497">
        <f t="shared" si="470"/>
        <v>0</v>
      </c>
      <c r="AC162" s="497">
        <f t="shared" si="470"/>
        <v>0</v>
      </c>
      <c r="AD162" s="497">
        <f t="shared" si="470"/>
        <v>0</v>
      </c>
      <c r="AE162" s="497">
        <f t="shared" si="470"/>
        <v>0</v>
      </c>
      <c r="AF162" s="497">
        <f t="shared" si="470"/>
        <v>88220</v>
      </c>
      <c r="AG162" s="497">
        <f t="shared" si="470"/>
        <v>0</v>
      </c>
      <c r="AH162" s="497">
        <f t="shared" si="470"/>
        <v>88220</v>
      </c>
      <c r="AI162" s="497">
        <f t="shared" si="470"/>
        <v>4480</v>
      </c>
      <c r="AJ162" s="497">
        <f t="shared" si="470"/>
        <v>0</v>
      </c>
      <c r="AK162" s="497">
        <f t="shared" ref="AK162" si="471">SUM(AK157:AK161)</f>
        <v>0</v>
      </c>
      <c r="AL162" s="497">
        <f t="shared" si="470"/>
        <v>0</v>
      </c>
      <c r="AM162" s="497">
        <f t="shared" si="470"/>
        <v>0</v>
      </c>
      <c r="AN162" s="497">
        <f t="shared" si="470"/>
        <v>0</v>
      </c>
      <c r="AO162" s="497">
        <f t="shared" si="470"/>
        <v>4480</v>
      </c>
      <c r="AP162" s="497">
        <f t="shared" si="470"/>
        <v>0</v>
      </c>
      <c r="AQ162" s="497">
        <f t="shared" si="470"/>
        <v>4480</v>
      </c>
      <c r="AR162" s="497">
        <f t="shared" si="470"/>
        <v>92700</v>
      </c>
      <c r="AS162" s="497">
        <f t="shared" si="470"/>
        <v>0</v>
      </c>
      <c r="AT162" s="497">
        <f t="shared" si="470"/>
        <v>92700</v>
      </c>
      <c r="AU162" s="497">
        <f t="shared" si="470"/>
        <v>31333</v>
      </c>
      <c r="AV162" s="497">
        <f t="shared" si="470"/>
        <v>882</v>
      </c>
      <c r="AW162" s="497">
        <f t="shared" si="470"/>
        <v>0</v>
      </c>
      <c r="AX162" s="497">
        <f t="shared" si="470"/>
        <v>0</v>
      </c>
      <c r="AY162" s="497">
        <f t="shared" si="470"/>
        <v>0</v>
      </c>
      <c r="AZ162" s="497">
        <f t="shared" si="470"/>
        <v>124915</v>
      </c>
      <c r="BA162" s="498">
        <f t="shared" si="470"/>
        <v>-0.01</v>
      </c>
      <c r="BB162" s="498">
        <f t="shared" si="470"/>
        <v>0</v>
      </c>
      <c r="BC162" s="498">
        <f t="shared" si="470"/>
        <v>0.25</v>
      </c>
      <c r="BD162" s="498">
        <f t="shared" si="470"/>
        <v>0</v>
      </c>
      <c r="BE162" s="498">
        <f t="shared" si="470"/>
        <v>0</v>
      </c>
      <c r="BF162" s="498">
        <f t="shared" si="470"/>
        <v>0</v>
      </c>
      <c r="BG162" s="498">
        <f t="shared" si="470"/>
        <v>0</v>
      </c>
      <c r="BH162" s="498">
        <f t="shared" si="470"/>
        <v>0</v>
      </c>
      <c r="BI162" s="498">
        <f t="shared" si="470"/>
        <v>0</v>
      </c>
      <c r="BJ162" s="498">
        <f t="shared" si="470"/>
        <v>0</v>
      </c>
      <c r="BK162" s="498">
        <f t="shared" si="470"/>
        <v>0.24</v>
      </c>
      <c r="BL162" s="498">
        <f t="shared" si="470"/>
        <v>0</v>
      </c>
      <c r="BM162" s="746">
        <f t="shared" si="470"/>
        <v>0.24</v>
      </c>
      <c r="BN162" s="500">
        <f t="shared" si="470"/>
        <v>8113028</v>
      </c>
      <c r="BO162" s="497">
        <f t="shared" si="470"/>
        <v>5937318</v>
      </c>
      <c r="BP162" s="497">
        <f t="shared" si="470"/>
        <v>5054212</v>
      </c>
      <c r="BQ162" s="497">
        <f t="shared" si="470"/>
        <v>883106</v>
      </c>
      <c r="BR162" s="497">
        <f t="shared" si="470"/>
        <v>4480</v>
      </c>
      <c r="BS162" s="497">
        <f t="shared" si="470"/>
        <v>4480</v>
      </c>
      <c r="BT162" s="497">
        <f t="shared" si="470"/>
        <v>0</v>
      </c>
      <c r="BU162" s="497">
        <f t="shared" si="470"/>
        <v>2008328</v>
      </c>
      <c r="BV162" s="497">
        <f t="shared" ref="BV162:CF162" si="472">SUM(BV157:BV161)</f>
        <v>59373</v>
      </c>
      <c r="BW162" s="497">
        <f t="shared" si="472"/>
        <v>103529</v>
      </c>
      <c r="BX162" s="498">
        <f t="shared" si="472"/>
        <v>10.539199999999999</v>
      </c>
      <c r="BY162" s="498">
        <f t="shared" si="472"/>
        <v>7.95</v>
      </c>
      <c r="BZ162" s="746">
        <f t="shared" si="472"/>
        <v>2.5891999999999999</v>
      </c>
      <c r="CA162" s="902">
        <f t="shared" si="472"/>
        <v>0</v>
      </c>
      <c r="CB162" s="897">
        <f t="shared" si="472"/>
        <v>0</v>
      </c>
      <c r="CC162" s="897">
        <f t="shared" si="472"/>
        <v>0</v>
      </c>
      <c r="CD162" s="897">
        <f t="shared" si="472"/>
        <v>0</v>
      </c>
      <c r="CE162" s="897">
        <f t="shared" si="472"/>
        <v>0</v>
      </c>
      <c r="CF162" s="842">
        <f t="shared" si="472"/>
        <v>0</v>
      </c>
    </row>
    <row r="163" spans="1:84" ht="12.95" customHeight="1" x14ac:dyDescent="0.25">
      <c r="A163" s="282">
        <v>33</v>
      </c>
      <c r="B163" s="213">
        <v>5440</v>
      </c>
      <c r="C163" s="213">
        <v>600098559</v>
      </c>
      <c r="D163" s="283">
        <v>70998108</v>
      </c>
      <c r="E163" s="374" t="s">
        <v>514</v>
      </c>
      <c r="F163" s="213">
        <v>3111</v>
      </c>
      <c r="G163" s="375" t="s">
        <v>305</v>
      </c>
      <c r="H163" s="287" t="s">
        <v>271</v>
      </c>
      <c r="I163" s="423">
        <f>J163+P163+Q163+R163</f>
        <v>3478472</v>
      </c>
      <c r="J163" s="418">
        <f>K163+L163</f>
        <v>2570961</v>
      </c>
      <c r="K163" s="418">
        <v>2335841</v>
      </c>
      <c r="L163" s="418">
        <v>235120</v>
      </c>
      <c r="M163" s="418">
        <f t="shared" ref="M163:M165" si="473">N163+O163</f>
        <v>0</v>
      </c>
      <c r="N163" s="418">
        <v>0</v>
      </c>
      <c r="O163" s="418">
        <v>0</v>
      </c>
      <c r="P163" s="68">
        <f>ROUND((J163+M163)*33.8%,0)</f>
        <v>868985</v>
      </c>
      <c r="Q163" s="68">
        <f>ROUND(J163*1%,0)</f>
        <v>25710</v>
      </c>
      <c r="R163" s="418">
        <v>12816</v>
      </c>
      <c r="S163" s="419">
        <f t="shared" si="429"/>
        <v>4.6261999999999999</v>
      </c>
      <c r="T163" s="419">
        <v>3.8260999999999998</v>
      </c>
      <c r="U163" s="527">
        <v>0.80010000000000003</v>
      </c>
      <c r="V163" s="427">
        <f t="shared" ref="V163:W165" si="474">AI163*-1</f>
        <v>0</v>
      </c>
      <c r="W163" s="421">
        <f t="shared" si="474"/>
        <v>0</v>
      </c>
      <c r="X163" s="421">
        <v>0</v>
      </c>
      <c r="Y163" s="421">
        <v>0</v>
      </c>
      <c r="Z163" s="421">
        <v>0</v>
      </c>
      <c r="AA163" s="421">
        <v>0</v>
      </c>
      <c r="AB163" s="421">
        <v>0</v>
      </c>
      <c r="AC163" s="421">
        <v>0</v>
      </c>
      <c r="AD163" s="421">
        <v>0</v>
      </c>
      <c r="AE163" s="421">
        <v>0</v>
      </c>
      <c r="AF163" s="421">
        <f>V163+X163+Y163+AA163+AB163+AD163</f>
        <v>0</v>
      </c>
      <c r="AG163" s="421">
        <f>W163+Z163+AC163+AE163</f>
        <v>0</v>
      </c>
      <c r="AH163" s="421">
        <f>SUM(AF163:AG163)</f>
        <v>0</v>
      </c>
      <c r="AI163" s="421">
        <v>0</v>
      </c>
      <c r="AJ163" s="421">
        <v>0</v>
      </c>
      <c r="AK163" s="421">
        <v>0</v>
      </c>
      <c r="AL163" s="421">
        <v>0</v>
      </c>
      <c r="AM163" s="421">
        <v>0</v>
      </c>
      <c r="AN163" s="421">
        <v>0</v>
      </c>
      <c r="AO163" s="421">
        <f t="shared" ref="AO163:AO165" si="475">AI163+AK163+AL163+AM163</f>
        <v>0</v>
      </c>
      <c r="AP163" s="421">
        <f>AJ163+AN163</f>
        <v>0</v>
      </c>
      <c r="AQ163" s="421">
        <f>SUM(AO163:AP163)</f>
        <v>0</v>
      </c>
      <c r="AR163" s="421">
        <f t="shared" ref="AR163:AS165" si="476">AF163+AO163</f>
        <v>0</v>
      </c>
      <c r="AS163" s="421">
        <f t="shared" si="476"/>
        <v>0</v>
      </c>
      <c r="AT163" s="421">
        <f>SUM(AR163:AS163)</f>
        <v>0</v>
      </c>
      <c r="AU163" s="68">
        <f t="shared" ref="AU163:AU165" si="477">ROUND((AH163+AI163+AJ163+AK163+AL163)*33.8%,0)</f>
        <v>0</v>
      </c>
      <c r="AV163" s="68">
        <f>ROUND(AH163*1%,0)</f>
        <v>0</v>
      </c>
      <c r="AW163" s="421">
        <v>0</v>
      </c>
      <c r="AX163" s="421">
        <v>0</v>
      </c>
      <c r="AY163" s="421">
        <f>AW163+AX163</f>
        <v>0</v>
      </c>
      <c r="AZ163" s="421">
        <f>AT163+AU163+AV163+AY163</f>
        <v>0</v>
      </c>
      <c r="BA163" s="422">
        <v>0</v>
      </c>
      <c r="BB163" s="422">
        <v>0</v>
      </c>
      <c r="BC163" s="422">
        <v>0</v>
      </c>
      <c r="BD163" s="422">
        <v>0</v>
      </c>
      <c r="BE163" s="422">
        <v>0</v>
      </c>
      <c r="BF163" s="422">
        <v>0</v>
      </c>
      <c r="BG163" s="422">
        <v>0</v>
      </c>
      <c r="BH163" s="422">
        <v>0</v>
      </c>
      <c r="BI163" s="422">
        <v>0</v>
      </c>
      <c r="BJ163" s="422">
        <v>0</v>
      </c>
      <c r="BK163" s="422">
        <f>BA163+BC163+BD163+BF163+BH163+BI163</f>
        <v>0</v>
      </c>
      <c r="BL163" s="422">
        <f>BB163+BE163+BG163+BJ163</f>
        <v>0</v>
      </c>
      <c r="BM163" s="611">
        <f>SUM(BK163:BL163)</f>
        <v>0</v>
      </c>
      <c r="BN163" s="428">
        <f>I163+AZ163</f>
        <v>3478472</v>
      </c>
      <c r="BO163" s="421">
        <f>J163+AH163</f>
        <v>2570961</v>
      </c>
      <c r="BP163" s="421">
        <f t="shared" ref="BP163:BQ165" si="478">K163+AF163</f>
        <v>2335841</v>
      </c>
      <c r="BQ163" s="421">
        <f t="shared" si="478"/>
        <v>235120</v>
      </c>
      <c r="BR163" s="421">
        <f>M163+AQ163</f>
        <v>0</v>
      </c>
      <c r="BS163" s="421">
        <f t="shared" ref="BS163:BT165" si="479">N163+AO163</f>
        <v>0</v>
      </c>
      <c r="BT163" s="421">
        <f t="shared" si="479"/>
        <v>0</v>
      </c>
      <c r="BU163" s="421">
        <f t="shared" ref="BU163:BV165" si="480">P163+AU163</f>
        <v>868985</v>
      </c>
      <c r="BV163" s="421">
        <f t="shared" si="480"/>
        <v>25710</v>
      </c>
      <c r="BW163" s="421">
        <f>R163+AY163</f>
        <v>12816</v>
      </c>
      <c r="BX163" s="422">
        <f>S163+BM163</f>
        <v>4.6261999999999999</v>
      </c>
      <c r="BY163" s="422">
        <f t="shared" ref="BY163:BZ165" si="481">T163+BK163</f>
        <v>3.8260999999999998</v>
      </c>
      <c r="BZ163" s="611">
        <f t="shared" si="481"/>
        <v>0.80010000000000003</v>
      </c>
      <c r="CA163" s="875"/>
      <c r="CB163" s="872"/>
      <c r="CC163" s="872"/>
      <c r="CD163" s="872"/>
      <c r="CE163" s="872"/>
      <c r="CF163" s="876"/>
    </row>
    <row r="164" spans="1:84" ht="12.95" customHeight="1" x14ac:dyDescent="0.25">
      <c r="A164" s="282">
        <v>33</v>
      </c>
      <c r="B164" s="213">
        <v>5440</v>
      </c>
      <c r="C164" s="213">
        <v>600098559</v>
      </c>
      <c r="D164" s="283">
        <v>70998108</v>
      </c>
      <c r="E164" s="374" t="s">
        <v>514</v>
      </c>
      <c r="F164" s="213">
        <v>3111</v>
      </c>
      <c r="G164" s="375" t="s">
        <v>292</v>
      </c>
      <c r="H164" s="287" t="s">
        <v>272</v>
      </c>
      <c r="I164" s="423">
        <f>J164+P164+Q164+R164</f>
        <v>0</v>
      </c>
      <c r="J164" s="418">
        <f>K164+L164</f>
        <v>0</v>
      </c>
      <c r="K164" s="418">
        <v>0</v>
      </c>
      <c r="L164" s="418">
        <v>0</v>
      </c>
      <c r="M164" s="418">
        <f t="shared" si="473"/>
        <v>0</v>
      </c>
      <c r="N164" s="418">
        <v>0</v>
      </c>
      <c r="O164" s="418">
        <v>0</v>
      </c>
      <c r="P164" s="68">
        <f t="shared" ref="P164" si="482">ROUND((J164+M164)*33.8%,0)</f>
        <v>0</v>
      </c>
      <c r="Q164" s="68">
        <f t="shared" ref="Q164" si="483">ROUND(J164*1%,0)</f>
        <v>0</v>
      </c>
      <c r="R164" s="418">
        <v>0</v>
      </c>
      <c r="S164" s="419">
        <f t="shared" si="429"/>
        <v>0</v>
      </c>
      <c r="T164" s="419">
        <v>0</v>
      </c>
      <c r="U164" s="527">
        <v>0</v>
      </c>
      <c r="V164" s="427">
        <f t="shared" si="474"/>
        <v>0</v>
      </c>
      <c r="W164" s="421">
        <f t="shared" si="474"/>
        <v>0</v>
      </c>
      <c r="X164" s="421">
        <v>0</v>
      </c>
      <c r="Y164" s="421">
        <v>0</v>
      </c>
      <c r="Z164" s="421">
        <v>0</v>
      </c>
      <c r="AA164" s="421">
        <v>0</v>
      </c>
      <c r="AB164" s="421">
        <v>0</v>
      </c>
      <c r="AC164" s="421">
        <v>0</v>
      </c>
      <c r="AD164" s="421">
        <v>0</v>
      </c>
      <c r="AE164" s="421">
        <v>0</v>
      </c>
      <c r="AF164" s="421">
        <f>V164+X164+Y164+AA164+AB164+AD164</f>
        <v>0</v>
      </c>
      <c r="AG164" s="421">
        <f>W164+Z164+AC164+AE164</f>
        <v>0</v>
      </c>
      <c r="AH164" s="421">
        <f>SUM(AF164:AG164)</f>
        <v>0</v>
      </c>
      <c r="AI164" s="421">
        <v>0</v>
      </c>
      <c r="AJ164" s="421">
        <v>0</v>
      </c>
      <c r="AK164" s="421">
        <v>0</v>
      </c>
      <c r="AL164" s="421">
        <v>0</v>
      </c>
      <c r="AM164" s="421">
        <v>0</v>
      </c>
      <c r="AN164" s="421">
        <v>0</v>
      </c>
      <c r="AO164" s="421">
        <f t="shared" si="475"/>
        <v>0</v>
      </c>
      <c r="AP164" s="421">
        <f>AJ164+AN164</f>
        <v>0</v>
      </c>
      <c r="AQ164" s="421">
        <f>SUM(AO164:AP164)</f>
        <v>0</v>
      </c>
      <c r="AR164" s="421">
        <f t="shared" si="476"/>
        <v>0</v>
      </c>
      <c r="AS164" s="421">
        <f t="shared" si="476"/>
        <v>0</v>
      </c>
      <c r="AT164" s="421">
        <f>SUM(AR164:AS164)</f>
        <v>0</v>
      </c>
      <c r="AU164" s="68">
        <f t="shared" si="477"/>
        <v>0</v>
      </c>
      <c r="AV164" s="68">
        <f>ROUND(AH164*1%,0)</f>
        <v>0</v>
      </c>
      <c r="AW164" s="421">
        <v>0</v>
      </c>
      <c r="AX164" s="421">
        <v>0</v>
      </c>
      <c r="AY164" s="421">
        <f>AW164+AX164</f>
        <v>0</v>
      </c>
      <c r="AZ164" s="421">
        <f>AT164+AU164+AV164+AY164</f>
        <v>0</v>
      </c>
      <c r="BA164" s="422">
        <v>0</v>
      </c>
      <c r="BB164" s="422">
        <v>0</v>
      </c>
      <c r="BC164" s="422">
        <v>0</v>
      </c>
      <c r="BD164" s="422">
        <v>0</v>
      </c>
      <c r="BE164" s="422">
        <v>0</v>
      </c>
      <c r="BF164" s="422">
        <v>0</v>
      </c>
      <c r="BG164" s="422">
        <v>0</v>
      </c>
      <c r="BH164" s="422">
        <v>0</v>
      </c>
      <c r="BI164" s="422">
        <v>0</v>
      </c>
      <c r="BJ164" s="422">
        <v>0</v>
      </c>
      <c r="BK164" s="422">
        <f>BA164+BC164+BD164+BF164+BH164+BI164</f>
        <v>0</v>
      </c>
      <c r="BL164" s="422">
        <f>BB164+BE164+BG164+BJ164</f>
        <v>0</v>
      </c>
      <c r="BM164" s="611">
        <f>SUM(BK164:BL164)</f>
        <v>0</v>
      </c>
      <c r="BN164" s="428">
        <f>I164+AZ164</f>
        <v>0</v>
      </c>
      <c r="BO164" s="421">
        <f>J164+AH164</f>
        <v>0</v>
      </c>
      <c r="BP164" s="421">
        <f t="shared" si="478"/>
        <v>0</v>
      </c>
      <c r="BQ164" s="421">
        <f t="shared" si="478"/>
        <v>0</v>
      </c>
      <c r="BR164" s="421">
        <f>M164+AQ164</f>
        <v>0</v>
      </c>
      <c r="BS164" s="421">
        <f t="shared" si="479"/>
        <v>0</v>
      </c>
      <c r="BT164" s="421">
        <f t="shared" si="479"/>
        <v>0</v>
      </c>
      <c r="BU164" s="421">
        <f t="shared" si="480"/>
        <v>0</v>
      </c>
      <c r="BV164" s="421">
        <f t="shared" si="480"/>
        <v>0</v>
      </c>
      <c r="BW164" s="421">
        <f>R164+AY164</f>
        <v>0</v>
      </c>
      <c r="BX164" s="422">
        <f>S164+BM164</f>
        <v>0</v>
      </c>
      <c r="BY164" s="422">
        <f t="shared" si="481"/>
        <v>0</v>
      </c>
      <c r="BZ164" s="611">
        <f t="shared" si="481"/>
        <v>0</v>
      </c>
      <c r="CA164" s="875"/>
      <c r="CB164" s="872"/>
      <c r="CC164" s="872"/>
      <c r="CD164" s="872"/>
      <c r="CE164" s="872"/>
      <c r="CF164" s="876"/>
    </row>
    <row r="165" spans="1:84" ht="12.95" customHeight="1" x14ac:dyDescent="0.25">
      <c r="A165" s="282">
        <v>33</v>
      </c>
      <c r="B165" s="378">
        <v>5440</v>
      </c>
      <c r="C165" s="378">
        <v>600098559</v>
      </c>
      <c r="D165" s="283">
        <v>70998108</v>
      </c>
      <c r="E165" s="374" t="s">
        <v>514</v>
      </c>
      <c r="F165" s="213">
        <v>3141</v>
      </c>
      <c r="G165" s="375" t="s">
        <v>295</v>
      </c>
      <c r="H165" s="287" t="s">
        <v>272</v>
      </c>
      <c r="I165" s="423">
        <f>J165+P165+Q165+R165</f>
        <v>180916</v>
      </c>
      <c r="J165" s="418">
        <f>K165+L165</f>
        <v>133392</v>
      </c>
      <c r="K165" s="418">
        <v>0</v>
      </c>
      <c r="L165" s="418">
        <v>133392</v>
      </c>
      <c r="M165" s="418">
        <f t="shared" si="473"/>
        <v>0</v>
      </c>
      <c r="N165" s="418">
        <v>0</v>
      </c>
      <c r="O165" s="418">
        <v>0</v>
      </c>
      <c r="P165" s="68">
        <f>ROUND((J165+M165)*33.8%,0)</f>
        <v>45086</v>
      </c>
      <c r="Q165" s="68">
        <f>ROUND(J165*1%,0)</f>
        <v>1334</v>
      </c>
      <c r="R165" s="418">
        <v>1104</v>
      </c>
      <c r="S165" s="419">
        <f t="shared" si="429"/>
        <v>0.4</v>
      </c>
      <c r="T165" s="419">
        <v>0</v>
      </c>
      <c r="U165" s="527">
        <v>0.4</v>
      </c>
      <c r="V165" s="427">
        <f t="shared" si="474"/>
        <v>0</v>
      </c>
      <c r="W165" s="421">
        <f t="shared" si="474"/>
        <v>0</v>
      </c>
      <c r="X165" s="421">
        <v>0</v>
      </c>
      <c r="Y165" s="421">
        <v>0</v>
      </c>
      <c r="Z165" s="421">
        <v>0</v>
      </c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f>V165+X165+Y165+AA165+AB165+AD165</f>
        <v>0</v>
      </c>
      <c r="AG165" s="421">
        <f>W165+Z165+AC165+AE165</f>
        <v>0</v>
      </c>
      <c r="AH165" s="421">
        <f>SUM(AF165:AG165)</f>
        <v>0</v>
      </c>
      <c r="AI165" s="421">
        <v>0</v>
      </c>
      <c r="AJ165" s="421">
        <v>0</v>
      </c>
      <c r="AK165" s="421">
        <v>0</v>
      </c>
      <c r="AL165" s="421">
        <v>0</v>
      </c>
      <c r="AM165" s="421">
        <v>0</v>
      </c>
      <c r="AN165" s="421">
        <v>0</v>
      </c>
      <c r="AO165" s="421">
        <f t="shared" si="475"/>
        <v>0</v>
      </c>
      <c r="AP165" s="421">
        <f>AJ165+AN165</f>
        <v>0</v>
      </c>
      <c r="AQ165" s="421">
        <f>SUM(AO165:AP165)</f>
        <v>0</v>
      </c>
      <c r="AR165" s="421">
        <f t="shared" si="476"/>
        <v>0</v>
      </c>
      <c r="AS165" s="421">
        <f t="shared" si="476"/>
        <v>0</v>
      </c>
      <c r="AT165" s="421">
        <f>SUM(AR165:AS165)</f>
        <v>0</v>
      </c>
      <c r="AU165" s="68">
        <f t="shared" si="477"/>
        <v>0</v>
      </c>
      <c r="AV165" s="68">
        <f>ROUND(AH165*1%,0)</f>
        <v>0</v>
      </c>
      <c r="AW165" s="421">
        <v>0</v>
      </c>
      <c r="AX165" s="421">
        <v>0</v>
      </c>
      <c r="AY165" s="421">
        <f>AW165+AX165</f>
        <v>0</v>
      </c>
      <c r="AZ165" s="421">
        <f>AT165+AU165+AV165+AY165</f>
        <v>0</v>
      </c>
      <c r="BA165" s="422">
        <v>0</v>
      </c>
      <c r="BB165" s="422">
        <v>0</v>
      </c>
      <c r="BC165" s="422">
        <v>0</v>
      </c>
      <c r="BD165" s="422">
        <v>0</v>
      </c>
      <c r="BE165" s="422">
        <v>0</v>
      </c>
      <c r="BF165" s="422">
        <v>0</v>
      </c>
      <c r="BG165" s="422">
        <v>0</v>
      </c>
      <c r="BH165" s="422">
        <v>0</v>
      </c>
      <c r="BI165" s="422">
        <v>0</v>
      </c>
      <c r="BJ165" s="422">
        <v>0</v>
      </c>
      <c r="BK165" s="422">
        <f>BA165+BC165+BD165+BF165+BH165+BI165</f>
        <v>0</v>
      </c>
      <c r="BL165" s="422">
        <f>BB165+BE165+BG165+BJ165</f>
        <v>0</v>
      </c>
      <c r="BM165" s="611">
        <f>SUM(BK165:BL165)</f>
        <v>0</v>
      </c>
      <c r="BN165" s="428">
        <f>I165+AZ165</f>
        <v>180916</v>
      </c>
      <c r="BO165" s="421">
        <f>J165+AH165</f>
        <v>133392</v>
      </c>
      <c r="BP165" s="421">
        <f t="shared" si="478"/>
        <v>0</v>
      </c>
      <c r="BQ165" s="421">
        <f t="shared" si="478"/>
        <v>133392</v>
      </c>
      <c r="BR165" s="421">
        <f>M165+AQ165</f>
        <v>0</v>
      </c>
      <c r="BS165" s="421">
        <f t="shared" si="479"/>
        <v>0</v>
      </c>
      <c r="BT165" s="421">
        <f t="shared" si="479"/>
        <v>0</v>
      </c>
      <c r="BU165" s="421">
        <f t="shared" si="480"/>
        <v>45086</v>
      </c>
      <c r="BV165" s="421">
        <f t="shared" si="480"/>
        <v>1334</v>
      </c>
      <c r="BW165" s="421">
        <f>R165+AY165</f>
        <v>1104</v>
      </c>
      <c r="BX165" s="422">
        <f>S165+BM165</f>
        <v>0.4</v>
      </c>
      <c r="BY165" s="422">
        <f t="shared" si="481"/>
        <v>0</v>
      </c>
      <c r="BZ165" s="611">
        <f t="shared" si="481"/>
        <v>0.4</v>
      </c>
      <c r="CA165" s="875"/>
      <c r="CB165" s="872"/>
      <c r="CC165" s="872"/>
      <c r="CD165" s="872"/>
      <c r="CE165" s="872"/>
      <c r="CF165" s="876"/>
    </row>
    <row r="166" spans="1:84" ht="12.95" customHeight="1" x14ac:dyDescent="0.25">
      <c r="A166" s="214">
        <v>33</v>
      </c>
      <c r="B166" s="46">
        <v>5440</v>
      </c>
      <c r="C166" s="46">
        <v>600098559</v>
      </c>
      <c r="D166" s="46">
        <v>70998108</v>
      </c>
      <c r="E166" s="376" t="s">
        <v>515</v>
      </c>
      <c r="F166" s="45"/>
      <c r="G166" s="376"/>
      <c r="H166" s="183"/>
      <c r="I166" s="499">
        <f t="shared" ref="I166:BU166" si="484">SUM(I163:I165)</f>
        <v>3659388</v>
      </c>
      <c r="J166" s="495">
        <f t="shared" si="484"/>
        <v>2704353</v>
      </c>
      <c r="K166" s="495">
        <f t="shared" si="484"/>
        <v>2335841</v>
      </c>
      <c r="L166" s="495">
        <f t="shared" si="484"/>
        <v>368512</v>
      </c>
      <c r="M166" s="495">
        <f t="shared" si="484"/>
        <v>0</v>
      </c>
      <c r="N166" s="495">
        <f t="shared" si="484"/>
        <v>0</v>
      </c>
      <c r="O166" s="495">
        <f t="shared" si="484"/>
        <v>0</v>
      </c>
      <c r="P166" s="495">
        <f t="shared" si="484"/>
        <v>914071</v>
      </c>
      <c r="Q166" s="495">
        <f t="shared" si="484"/>
        <v>27044</v>
      </c>
      <c r="R166" s="495">
        <f t="shared" si="484"/>
        <v>13920</v>
      </c>
      <c r="S166" s="496">
        <f t="shared" si="484"/>
        <v>5.0262000000000002</v>
      </c>
      <c r="T166" s="496">
        <f t="shared" si="484"/>
        <v>3.8260999999999998</v>
      </c>
      <c r="U166" s="377">
        <f t="shared" si="484"/>
        <v>1.2000999999999999</v>
      </c>
      <c r="V166" s="501">
        <f t="shared" si="484"/>
        <v>0</v>
      </c>
      <c r="W166" s="495">
        <f t="shared" si="484"/>
        <v>0</v>
      </c>
      <c r="X166" s="495">
        <f t="shared" si="484"/>
        <v>0</v>
      </c>
      <c r="Y166" s="495">
        <f t="shared" si="484"/>
        <v>0</v>
      </c>
      <c r="Z166" s="495">
        <f t="shared" si="484"/>
        <v>0</v>
      </c>
      <c r="AA166" s="495">
        <f t="shared" si="484"/>
        <v>0</v>
      </c>
      <c r="AB166" s="495">
        <f t="shared" si="484"/>
        <v>0</v>
      </c>
      <c r="AC166" s="495">
        <f t="shared" si="484"/>
        <v>0</v>
      </c>
      <c r="AD166" s="495">
        <f t="shared" si="484"/>
        <v>0</v>
      </c>
      <c r="AE166" s="495">
        <f t="shared" si="484"/>
        <v>0</v>
      </c>
      <c r="AF166" s="495">
        <f t="shared" si="484"/>
        <v>0</v>
      </c>
      <c r="AG166" s="495">
        <f t="shared" si="484"/>
        <v>0</v>
      </c>
      <c r="AH166" s="495">
        <f t="shared" si="484"/>
        <v>0</v>
      </c>
      <c r="AI166" s="495">
        <f t="shared" si="484"/>
        <v>0</v>
      </c>
      <c r="AJ166" s="495">
        <f t="shared" si="484"/>
        <v>0</v>
      </c>
      <c r="AK166" s="495">
        <f t="shared" ref="AK166" si="485">SUM(AK163:AK165)</f>
        <v>0</v>
      </c>
      <c r="AL166" s="495">
        <f t="shared" si="484"/>
        <v>0</v>
      </c>
      <c r="AM166" s="495">
        <f t="shared" si="484"/>
        <v>0</v>
      </c>
      <c r="AN166" s="495">
        <f t="shared" si="484"/>
        <v>0</v>
      </c>
      <c r="AO166" s="495">
        <f t="shared" si="484"/>
        <v>0</v>
      </c>
      <c r="AP166" s="495">
        <f t="shared" si="484"/>
        <v>0</v>
      </c>
      <c r="AQ166" s="495">
        <f t="shared" si="484"/>
        <v>0</v>
      </c>
      <c r="AR166" s="495">
        <f t="shared" si="484"/>
        <v>0</v>
      </c>
      <c r="AS166" s="495">
        <f t="shared" si="484"/>
        <v>0</v>
      </c>
      <c r="AT166" s="495">
        <f t="shared" si="484"/>
        <v>0</v>
      </c>
      <c r="AU166" s="495">
        <f t="shared" si="484"/>
        <v>0</v>
      </c>
      <c r="AV166" s="495">
        <f t="shared" si="484"/>
        <v>0</v>
      </c>
      <c r="AW166" s="495">
        <f t="shared" si="484"/>
        <v>0</v>
      </c>
      <c r="AX166" s="495">
        <f t="shared" si="484"/>
        <v>0</v>
      </c>
      <c r="AY166" s="495">
        <f t="shared" si="484"/>
        <v>0</v>
      </c>
      <c r="AZ166" s="495">
        <f t="shared" si="484"/>
        <v>0</v>
      </c>
      <c r="BA166" s="496">
        <f t="shared" si="484"/>
        <v>0</v>
      </c>
      <c r="BB166" s="496">
        <f t="shared" si="484"/>
        <v>0</v>
      </c>
      <c r="BC166" s="496">
        <f t="shared" si="484"/>
        <v>0</v>
      </c>
      <c r="BD166" s="496">
        <f t="shared" si="484"/>
        <v>0</v>
      </c>
      <c r="BE166" s="496">
        <f t="shared" si="484"/>
        <v>0</v>
      </c>
      <c r="BF166" s="496">
        <f t="shared" si="484"/>
        <v>0</v>
      </c>
      <c r="BG166" s="496">
        <f t="shared" si="484"/>
        <v>0</v>
      </c>
      <c r="BH166" s="496">
        <f t="shared" si="484"/>
        <v>0</v>
      </c>
      <c r="BI166" s="496">
        <f t="shared" si="484"/>
        <v>0</v>
      </c>
      <c r="BJ166" s="496">
        <f t="shared" si="484"/>
        <v>0</v>
      </c>
      <c r="BK166" s="496">
        <f t="shared" si="484"/>
        <v>0</v>
      </c>
      <c r="BL166" s="496">
        <f t="shared" si="484"/>
        <v>0</v>
      </c>
      <c r="BM166" s="745">
        <f t="shared" si="484"/>
        <v>0</v>
      </c>
      <c r="BN166" s="499">
        <f t="shared" si="484"/>
        <v>3659388</v>
      </c>
      <c r="BO166" s="495">
        <f t="shared" si="484"/>
        <v>2704353</v>
      </c>
      <c r="BP166" s="495">
        <f t="shared" si="484"/>
        <v>2335841</v>
      </c>
      <c r="BQ166" s="495">
        <f t="shared" si="484"/>
        <v>368512</v>
      </c>
      <c r="BR166" s="495">
        <f t="shared" si="484"/>
        <v>0</v>
      </c>
      <c r="BS166" s="495">
        <f t="shared" si="484"/>
        <v>0</v>
      </c>
      <c r="BT166" s="495">
        <f t="shared" si="484"/>
        <v>0</v>
      </c>
      <c r="BU166" s="495">
        <f t="shared" si="484"/>
        <v>914071</v>
      </c>
      <c r="BV166" s="495">
        <f t="shared" ref="BV166:CF166" si="486">SUM(BV163:BV165)</f>
        <v>27044</v>
      </c>
      <c r="BW166" s="495">
        <f t="shared" si="486"/>
        <v>13920</v>
      </c>
      <c r="BX166" s="496">
        <f t="shared" si="486"/>
        <v>5.0262000000000002</v>
      </c>
      <c r="BY166" s="496">
        <f t="shared" si="486"/>
        <v>3.8260999999999998</v>
      </c>
      <c r="BZ166" s="745">
        <f t="shared" si="486"/>
        <v>1.2000999999999999</v>
      </c>
      <c r="CA166" s="901">
        <f t="shared" si="486"/>
        <v>0</v>
      </c>
      <c r="CB166" s="896">
        <f t="shared" si="486"/>
        <v>0</v>
      </c>
      <c r="CC166" s="896">
        <f t="shared" si="486"/>
        <v>0</v>
      </c>
      <c r="CD166" s="896">
        <f t="shared" si="486"/>
        <v>0</v>
      </c>
      <c r="CE166" s="896">
        <f t="shared" si="486"/>
        <v>0</v>
      </c>
      <c r="CF166" s="840">
        <f t="shared" si="486"/>
        <v>0</v>
      </c>
    </row>
    <row r="167" spans="1:84" ht="12.95" customHeight="1" x14ac:dyDescent="0.25">
      <c r="A167" s="282">
        <v>34</v>
      </c>
      <c r="B167" s="213">
        <v>5441</v>
      </c>
      <c r="C167" s="213">
        <v>600099270</v>
      </c>
      <c r="D167" s="283">
        <v>856118</v>
      </c>
      <c r="E167" s="374" t="s">
        <v>516</v>
      </c>
      <c r="F167" s="213">
        <v>3113</v>
      </c>
      <c r="G167" s="374" t="s">
        <v>309</v>
      </c>
      <c r="H167" s="287" t="s">
        <v>271</v>
      </c>
      <c r="I167" s="423">
        <f>J167+P167+Q167+R167</f>
        <v>14034130</v>
      </c>
      <c r="J167" s="418">
        <f>K167+L167</f>
        <v>10282224</v>
      </c>
      <c r="K167" s="418">
        <v>9342918</v>
      </c>
      <c r="L167" s="418">
        <v>939306</v>
      </c>
      <c r="M167" s="418">
        <f t="shared" ref="M167:M171" si="487">N167+O167</f>
        <v>0</v>
      </c>
      <c r="N167" s="418">
        <v>0</v>
      </c>
      <c r="O167" s="418">
        <v>0</v>
      </c>
      <c r="P167" s="68">
        <f>ROUND((J167+M167)*33.8%,0)</f>
        <v>3475392</v>
      </c>
      <c r="Q167" s="68">
        <f>ROUND(J167*1%,0)+1</f>
        <v>102823</v>
      </c>
      <c r="R167" s="418">
        <v>173691</v>
      </c>
      <c r="S167" s="419">
        <f t="shared" si="429"/>
        <v>16.240200000000002</v>
      </c>
      <c r="T167" s="419">
        <v>13.500500000000001</v>
      </c>
      <c r="U167" s="527">
        <v>2.7397</v>
      </c>
      <c r="V167" s="427">
        <f t="shared" ref="V167:W171" si="488">AI167*-1</f>
        <v>-12800</v>
      </c>
      <c r="W167" s="421">
        <f t="shared" si="488"/>
        <v>-3200</v>
      </c>
      <c r="X167" s="421">
        <v>0</v>
      </c>
      <c r="Y167" s="421">
        <v>0</v>
      </c>
      <c r="Z167" s="421">
        <v>0</v>
      </c>
      <c r="AA167" s="421">
        <v>165500</v>
      </c>
      <c r="AB167" s="421">
        <v>225600</v>
      </c>
      <c r="AC167" s="421">
        <v>0</v>
      </c>
      <c r="AD167" s="421">
        <v>0</v>
      </c>
      <c r="AE167" s="421">
        <v>0</v>
      </c>
      <c r="AF167" s="421">
        <f>V167+X167+Y167+AA167+AB167+AD167</f>
        <v>378300</v>
      </c>
      <c r="AG167" s="421">
        <f>W167+Z167+AC167+AE167</f>
        <v>-3200</v>
      </c>
      <c r="AH167" s="421">
        <f>SUM(AF167:AG167)</f>
        <v>375100</v>
      </c>
      <c r="AI167" s="421">
        <v>12800</v>
      </c>
      <c r="AJ167" s="421">
        <v>3200</v>
      </c>
      <c r="AK167" s="421">
        <v>0</v>
      </c>
      <c r="AL167" s="421">
        <v>0</v>
      </c>
      <c r="AM167" s="421">
        <v>0</v>
      </c>
      <c r="AN167" s="421">
        <v>0</v>
      </c>
      <c r="AO167" s="421">
        <f t="shared" ref="AO167:AO171" si="489">AI167+AK167+AL167+AM167</f>
        <v>12800</v>
      </c>
      <c r="AP167" s="421">
        <f>AJ167+AN167</f>
        <v>3200</v>
      </c>
      <c r="AQ167" s="421">
        <f>SUM(AO167:AP167)</f>
        <v>16000</v>
      </c>
      <c r="AR167" s="421">
        <f t="shared" ref="AR167:AS171" si="490">AF167+AO167</f>
        <v>391100</v>
      </c>
      <c r="AS167" s="421">
        <f t="shared" si="490"/>
        <v>0</v>
      </c>
      <c r="AT167" s="421">
        <f>SUM(AR167:AS167)</f>
        <v>391100</v>
      </c>
      <c r="AU167" s="68">
        <f t="shared" ref="AU167:AU171" si="491">ROUND((AH167+AI167+AJ167+AK167+AL167)*33.8%,0)</f>
        <v>132192</v>
      </c>
      <c r="AV167" s="68">
        <f>ROUND(AH167*1%,0)</f>
        <v>3751</v>
      </c>
      <c r="AW167" s="421">
        <v>0</v>
      </c>
      <c r="AX167" s="421">
        <v>0</v>
      </c>
      <c r="AY167" s="421">
        <f>AW167+AX167</f>
        <v>0</v>
      </c>
      <c r="AZ167" s="421">
        <f>AT167+AU167+AV167+AY167</f>
        <v>527043</v>
      </c>
      <c r="BA167" s="422">
        <v>0</v>
      </c>
      <c r="BB167" s="422">
        <v>0</v>
      </c>
      <c r="BC167" s="422">
        <v>0</v>
      </c>
      <c r="BD167" s="422">
        <v>0.4</v>
      </c>
      <c r="BE167" s="422">
        <v>0</v>
      </c>
      <c r="BF167" s="422">
        <v>0</v>
      </c>
      <c r="BG167" s="422">
        <v>0</v>
      </c>
      <c r="BH167" s="422">
        <v>0.24</v>
      </c>
      <c r="BI167" s="422">
        <v>0</v>
      </c>
      <c r="BJ167" s="422">
        <v>0</v>
      </c>
      <c r="BK167" s="422">
        <f>BA167+BC167+BD167+BF167+BH167+BI167</f>
        <v>0.64</v>
      </c>
      <c r="BL167" s="422">
        <f>BB167+BE167+BG167+BJ167</f>
        <v>0</v>
      </c>
      <c r="BM167" s="611">
        <f>SUM(BK167:BL167)</f>
        <v>0.64</v>
      </c>
      <c r="BN167" s="428">
        <f>I167+AZ167</f>
        <v>14561173</v>
      </c>
      <c r="BO167" s="421">
        <f>J167+AH167</f>
        <v>10657324</v>
      </c>
      <c r="BP167" s="421">
        <f t="shared" ref="BP167:BQ171" si="492">K167+AF167</f>
        <v>9721218</v>
      </c>
      <c r="BQ167" s="421">
        <f t="shared" si="492"/>
        <v>936106</v>
      </c>
      <c r="BR167" s="421">
        <f>M167+AQ167</f>
        <v>16000</v>
      </c>
      <c r="BS167" s="421">
        <f t="shared" ref="BS167:BT171" si="493">N167+AO167</f>
        <v>12800</v>
      </c>
      <c r="BT167" s="421">
        <f t="shared" si="493"/>
        <v>3200</v>
      </c>
      <c r="BU167" s="421">
        <f t="shared" ref="BU167:BV171" si="494">P167+AU167</f>
        <v>3607584</v>
      </c>
      <c r="BV167" s="421">
        <f t="shared" si="494"/>
        <v>106574</v>
      </c>
      <c r="BW167" s="421">
        <f>R167+AY167</f>
        <v>173691</v>
      </c>
      <c r="BX167" s="422">
        <f>S167+BM167</f>
        <v>16.880200000000002</v>
      </c>
      <c r="BY167" s="422">
        <f t="shared" ref="BY167:BZ171" si="495">T167+BK167</f>
        <v>14.140500000000001</v>
      </c>
      <c r="BZ167" s="611">
        <f t="shared" si="495"/>
        <v>2.7397</v>
      </c>
      <c r="CA167" s="904">
        <v>304109</v>
      </c>
      <c r="CB167" s="903">
        <v>225600</v>
      </c>
      <c r="CC167" s="903">
        <v>0</v>
      </c>
      <c r="CD167" s="903">
        <v>76253</v>
      </c>
      <c r="CE167" s="903">
        <v>2256</v>
      </c>
      <c r="CF167" s="905">
        <v>0.4</v>
      </c>
    </row>
    <row r="168" spans="1:84" ht="12.95" customHeight="1" x14ac:dyDescent="0.25">
      <c r="A168" s="282">
        <v>34</v>
      </c>
      <c r="B168" s="213">
        <v>5441</v>
      </c>
      <c r="C168" s="213">
        <v>600099270</v>
      </c>
      <c r="D168" s="283">
        <v>856118</v>
      </c>
      <c r="E168" s="374" t="s">
        <v>516</v>
      </c>
      <c r="F168" s="213">
        <v>3113</v>
      </c>
      <c r="G168" s="325" t="s">
        <v>292</v>
      </c>
      <c r="H168" s="287" t="s">
        <v>272</v>
      </c>
      <c r="I168" s="423">
        <f>J168+P168+Q168+R168</f>
        <v>0</v>
      </c>
      <c r="J168" s="418">
        <f>K168+L168</f>
        <v>0</v>
      </c>
      <c r="K168" s="418">
        <v>0</v>
      </c>
      <c r="L168" s="418">
        <v>0</v>
      </c>
      <c r="M168" s="418">
        <f t="shared" si="487"/>
        <v>0</v>
      </c>
      <c r="N168" s="418">
        <v>0</v>
      </c>
      <c r="O168" s="418">
        <v>0</v>
      </c>
      <c r="P168" s="68">
        <f t="shared" ref="P168" si="496">ROUND((J168+M168)*33.8%,0)</f>
        <v>0</v>
      </c>
      <c r="Q168" s="68">
        <f t="shared" ref="Q168" si="497">ROUND(J168*1%,0)</f>
        <v>0</v>
      </c>
      <c r="R168" s="418">
        <v>0</v>
      </c>
      <c r="S168" s="419">
        <f t="shared" si="429"/>
        <v>0</v>
      </c>
      <c r="T168" s="419">
        <v>0</v>
      </c>
      <c r="U168" s="527">
        <v>0</v>
      </c>
      <c r="V168" s="427">
        <f t="shared" si="488"/>
        <v>0</v>
      </c>
      <c r="W168" s="421">
        <f t="shared" si="488"/>
        <v>0</v>
      </c>
      <c r="X168" s="421">
        <f>1223731-57910</f>
        <v>1165821</v>
      </c>
      <c r="Y168" s="421">
        <v>0</v>
      </c>
      <c r="Z168" s="421">
        <v>0</v>
      </c>
      <c r="AA168" s="421">
        <v>0</v>
      </c>
      <c r="AB168" s="421">
        <v>0</v>
      </c>
      <c r="AC168" s="421">
        <v>0</v>
      </c>
      <c r="AD168" s="421">
        <v>0</v>
      </c>
      <c r="AE168" s="421">
        <v>0</v>
      </c>
      <c r="AF168" s="421">
        <f>V168+X168+Y168+AA168+AB168+AD168</f>
        <v>1165821</v>
      </c>
      <c r="AG168" s="421">
        <f>W168+Z168+AC168+AE168</f>
        <v>0</v>
      </c>
      <c r="AH168" s="421">
        <f>SUM(AF168:AG168)</f>
        <v>1165821</v>
      </c>
      <c r="AI168" s="421">
        <v>0</v>
      </c>
      <c r="AJ168" s="421">
        <v>0</v>
      </c>
      <c r="AK168" s="421">
        <v>0</v>
      </c>
      <c r="AL168" s="421">
        <v>0</v>
      </c>
      <c r="AM168" s="421">
        <v>0</v>
      </c>
      <c r="AN168" s="421">
        <v>0</v>
      </c>
      <c r="AO168" s="421">
        <f t="shared" si="489"/>
        <v>0</v>
      </c>
      <c r="AP168" s="421">
        <f>AJ168+AN168</f>
        <v>0</v>
      </c>
      <c r="AQ168" s="421">
        <f>SUM(AO168:AP168)</f>
        <v>0</v>
      </c>
      <c r="AR168" s="421">
        <f t="shared" si="490"/>
        <v>1165821</v>
      </c>
      <c r="AS168" s="421">
        <f t="shared" si="490"/>
        <v>0</v>
      </c>
      <c r="AT168" s="421">
        <f>SUM(AR168:AS168)</f>
        <v>1165821</v>
      </c>
      <c r="AU168" s="68">
        <f t="shared" si="491"/>
        <v>394047</v>
      </c>
      <c r="AV168" s="68">
        <f>ROUND(AH168*1%,0)</f>
        <v>11658</v>
      </c>
      <c r="AW168" s="421">
        <v>0</v>
      </c>
      <c r="AX168" s="421">
        <v>0</v>
      </c>
      <c r="AY168" s="421">
        <f>AW168+AX168</f>
        <v>0</v>
      </c>
      <c r="AZ168" s="421">
        <f>AT168+AU168+AV168+AY168</f>
        <v>1571526</v>
      </c>
      <c r="BA168" s="422">
        <v>0</v>
      </c>
      <c r="BB168" s="422">
        <v>0</v>
      </c>
      <c r="BC168" s="422">
        <f>3.27-0.54</f>
        <v>2.73</v>
      </c>
      <c r="BD168" s="422">
        <v>0</v>
      </c>
      <c r="BE168" s="422">
        <v>0</v>
      </c>
      <c r="BF168" s="422">
        <v>0</v>
      </c>
      <c r="BG168" s="422">
        <v>0</v>
      </c>
      <c r="BH168" s="422">
        <v>0</v>
      </c>
      <c r="BI168" s="422">
        <v>0</v>
      </c>
      <c r="BJ168" s="422">
        <v>0</v>
      </c>
      <c r="BK168" s="422">
        <f>BA168+BC168+BD168+BF168+BH168+BI168</f>
        <v>2.73</v>
      </c>
      <c r="BL168" s="422">
        <f>BB168+BE168+BG168+BJ168</f>
        <v>0</v>
      </c>
      <c r="BM168" s="611">
        <f>SUM(BK168:BL168)</f>
        <v>2.73</v>
      </c>
      <c r="BN168" s="428">
        <f>I168+AZ168</f>
        <v>1571526</v>
      </c>
      <c r="BO168" s="421">
        <f>J168+AH168</f>
        <v>1165821</v>
      </c>
      <c r="BP168" s="421">
        <f t="shared" si="492"/>
        <v>1165821</v>
      </c>
      <c r="BQ168" s="421">
        <f t="shared" si="492"/>
        <v>0</v>
      </c>
      <c r="BR168" s="421">
        <f>M168+AQ168</f>
        <v>0</v>
      </c>
      <c r="BS168" s="421">
        <f t="shared" si="493"/>
        <v>0</v>
      </c>
      <c r="BT168" s="421">
        <f t="shared" si="493"/>
        <v>0</v>
      </c>
      <c r="BU168" s="421">
        <f t="shared" si="494"/>
        <v>394047</v>
      </c>
      <c r="BV168" s="421">
        <f t="shared" si="494"/>
        <v>11658</v>
      </c>
      <c r="BW168" s="421">
        <f>R168+AY168</f>
        <v>0</v>
      </c>
      <c r="BX168" s="422">
        <f>S168+BM168</f>
        <v>2.73</v>
      </c>
      <c r="BY168" s="422">
        <f t="shared" si="495"/>
        <v>2.73</v>
      </c>
      <c r="BZ168" s="611">
        <f t="shared" si="495"/>
        <v>0</v>
      </c>
      <c r="CA168" s="875"/>
      <c r="CB168" s="872"/>
      <c r="CC168" s="872"/>
      <c r="CD168" s="872"/>
      <c r="CE168" s="872"/>
      <c r="CF168" s="876"/>
    </row>
    <row r="169" spans="1:84" ht="12.95" customHeight="1" x14ac:dyDescent="0.25">
      <c r="A169" s="282">
        <v>34</v>
      </c>
      <c r="B169" s="378">
        <v>5441</v>
      </c>
      <c r="C169" s="378">
        <v>600099270</v>
      </c>
      <c r="D169" s="283">
        <v>856118</v>
      </c>
      <c r="E169" s="212" t="s">
        <v>516</v>
      </c>
      <c r="F169" s="213">
        <v>3141</v>
      </c>
      <c r="G169" s="375" t="s">
        <v>295</v>
      </c>
      <c r="H169" s="287" t="s">
        <v>272</v>
      </c>
      <c r="I169" s="423">
        <f>J169+P169+Q169+R169</f>
        <v>1341501</v>
      </c>
      <c r="J169" s="418">
        <f>K169+L169</f>
        <v>989335</v>
      </c>
      <c r="K169" s="418">
        <v>0</v>
      </c>
      <c r="L169" s="418">
        <v>989335</v>
      </c>
      <c r="M169" s="418">
        <f t="shared" si="487"/>
        <v>0</v>
      </c>
      <c r="N169" s="418">
        <v>0</v>
      </c>
      <c r="O169" s="418">
        <v>0</v>
      </c>
      <c r="P169" s="68">
        <f>ROUND((J169+M169)*33.8%,0)</f>
        <v>334395</v>
      </c>
      <c r="Q169" s="68">
        <f>ROUND(J169*1%,0)</f>
        <v>9893</v>
      </c>
      <c r="R169" s="418">
        <v>7878</v>
      </c>
      <c r="S169" s="419">
        <f t="shared" si="429"/>
        <v>2.9666999999999999</v>
      </c>
      <c r="T169" s="419">
        <v>0</v>
      </c>
      <c r="U169" s="527">
        <v>2.9666999999999999</v>
      </c>
      <c r="V169" s="427">
        <f t="shared" si="488"/>
        <v>0</v>
      </c>
      <c r="W169" s="421">
        <f t="shared" si="488"/>
        <v>-16000</v>
      </c>
      <c r="X169" s="421">
        <v>0</v>
      </c>
      <c r="Y169" s="421">
        <v>0</v>
      </c>
      <c r="Z169" s="421">
        <v>0</v>
      </c>
      <c r="AA169" s="421">
        <v>0</v>
      </c>
      <c r="AB169" s="421">
        <v>0</v>
      </c>
      <c r="AC169" s="421">
        <v>0</v>
      </c>
      <c r="AD169" s="421">
        <v>0</v>
      </c>
      <c r="AE169" s="421">
        <v>0</v>
      </c>
      <c r="AF169" s="421">
        <f>V169+X169+Y169+AA169+AB169+AD169</f>
        <v>0</v>
      </c>
      <c r="AG169" s="421">
        <f>W169+Z169+AC169+AE169</f>
        <v>-16000</v>
      </c>
      <c r="AH169" s="421">
        <f>SUM(AF169:AG169)</f>
        <v>-16000</v>
      </c>
      <c r="AI169" s="421">
        <v>0</v>
      </c>
      <c r="AJ169" s="421">
        <v>16000</v>
      </c>
      <c r="AK169" s="421">
        <v>0</v>
      </c>
      <c r="AL169" s="421">
        <v>0</v>
      </c>
      <c r="AM169" s="421">
        <v>0</v>
      </c>
      <c r="AN169" s="421">
        <v>0</v>
      </c>
      <c r="AO169" s="421">
        <f t="shared" si="489"/>
        <v>0</v>
      </c>
      <c r="AP169" s="421">
        <f>AJ169+AN169</f>
        <v>16000</v>
      </c>
      <c r="AQ169" s="421">
        <f>SUM(AO169:AP169)</f>
        <v>16000</v>
      </c>
      <c r="AR169" s="421">
        <f t="shared" si="490"/>
        <v>0</v>
      </c>
      <c r="AS169" s="421">
        <f t="shared" si="490"/>
        <v>0</v>
      </c>
      <c r="AT169" s="421">
        <f>SUM(AR169:AS169)</f>
        <v>0</v>
      </c>
      <c r="AU169" s="68">
        <f t="shared" si="491"/>
        <v>0</v>
      </c>
      <c r="AV169" s="68">
        <f>ROUND(AH169*1%,0)</f>
        <v>-160</v>
      </c>
      <c r="AW169" s="421">
        <v>0</v>
      </c>
      <c r="AX169" s="421">
        <v>0</v>
      </c>
      <c r="AY169" s="421">
        <f>AW169+AX169</f>
        <v>0</v>
      </c>
      <c r="AZ169" s="421">
        <f>AT169+AU169+AV169+AY169</f>
        <v>-160</v>
      </c>
      <c r="BA169" s="422">
        <v>0</v>
      </c>
      <c r="BB169" s="422">
        <v>0</v>
      </c>
      <c r="BC169" s="422">
        <v>0</v>
      </c>
      <c r="BD169" s="422">
        <v>0</v>
      </c>
      <c r="BE169" s="422">
        <v>0</v>
      </c>
      <c r="BF169" s="422">
        <v>0</v>
      </c>
      <c r="BG169" s="422">
        <v>0</v>
      </c>
      <c r="BH169" s="422">
        <v>0</v>
      </c>
      <c r="BI169" s="422">
        <v>0</v>
      </c>
      <c r="BJ169" s="422">
        <v>0</v>
      </c>
      <c r="BK169" s="422">
        <f>BA169+BC169+BD169+BF169+BH169+BI169</f>
        <v>0</v>
      </c>
      <c r="BL169" s="422">
        <f>BB169+BE169+BG169+BJ169</f>
        <v>0</v>
      </c>
      <c r="BM169" s="611">
        <f>SUM(BK169:BL169)</f>
        <v>0</v>
      </c>
      <c r="BN169" s="428">
        <f>I169+AZ169</f>
        <v>1341341</v>
      </c>
      <c r="BO169" s="421">
        <f>J169+AH169</f>
        <v>973335</v>
      </c>
      <c r="BP169" s="421">
        <f t="shared" si="492"/>
        <v>0</v>
      </c>
      <c r="BQ169" s="421">
        <f t="shared" si="492"/>
        <v>973335</v>
      </c>
      <c r="BR169" s="421">
        <f>M169+AQ169</f>
        <v>16000</v>
      </c>
      <c r="BS169" s="421">
        <f t="shared" si="493"/>
        <v>0</v>
      </c>
      <c r="BT169" s="421">
        <f t="shared" si="493"/>
        <v>16000</v>
      </c>
      <c r="BU169" s="421">
        <f t="shared" si="494"/>
        <v>334395</v>
      </c>
      <c r="BV169" s="421">
        <f t="shared" si="494"/>
        <v>9733</v>
      </c>
      <c r="BW169" s="421">
        <f>R169+AY169</f>
        <v>7878</v>
      </c>
      <c r="BX169" s="422">
        <f>S169+BM169</f>
        <v>2.9666999999999999</v>
      </c>
      <c r="BY169" s="422">
        <f t="shared" si="495"/>
        <v>0</v>
      </c>
      <c r="BZ169" s="611">
        <f t="shared" si="495"/>
        <v>2.9666999999999999</v>
      </c>
      <c r="CA169" s="875"/>
      <c r="CB169" s="872"/>
      <c r="CC169" s="872"/>
      <c r="CD169" s="872"/>
      <c r="CE169" s="872"/>
      <c r="CF169" s="876"/>
    </row>
    <row r="170" spans="1:84" ht="12.95" customHeight="1" x14ac:dyDescent="0.25">
      <c r="A170" s="282">
        <v>34</v>
      </c>
      <c r="B170" s="213">
        <v>5441</v>
      </c>
      <c r="C170" s="213">
        <v>600099270</v>
      </c>
      <c r="D170" s="283">
        <v>856118</v>
      </c>
      <c r="E170" s="374" t="s">
        <v>516</v>
      </c>
      <c r="F170" s="213">
        <v>3143</v>
      </c>
      <c r="G170" s="325" t="s">
        <v>596</v>
      </c>
      <c r="H170" s="287" t="s">
        <v>271</v>
      </c>
      <c r="I170" s="423">
        <f>J170+P170+Q170+R170</f>
        <v>1324877</v>
      </c>
      <c r="J170" s="418">
        <f>K170+L170</f>
        <v>982847</v>
      </c>
      <c r="K170" s="418">
        <v>982847</v>
      </c>
      <c r="L170" s="418">
        <v>0</v>
      </c>
      <c r="M170" s="418">
        <f t="shared" si="487"/>
        <v>0</v>
      </c>
      <c r="N170" s="418">
        <v>0</v>
      </c>
      <c r="O170" s="418">
        <v>0</v>
      </c>
      <c r="P170" s="68">
        <f>ROUND((J170+M170)*33.8%,0)</f>
        <v>332202</v>
      </c>
      <c r="Q170" s="68">
        <f>ROUND(J170*1%,0)</f>
        <v>9828</v>
      </c>
      <c r="R170" s="418">
        <v>0</v>
      </c>
      <c r="S170" s="419">
        <f t="shared" si="429"/>
        <v>1.9</v>
      </c>
      <c r="T170" s="419">
        <v>1.9</v>
      </c>
      <c r="U170" s="527">
        <v>0</v>
      </c>
      <c r="V170" s="427">
        <f t="shared" si="488"/>
        <v>-4608</v>
      </c>
      <c r="W170" s="421">
        <f t="shared" si="488"/>
        <v>0</v>
      </c>
      <c r="X170" s="421">
        <v>0</v>
      </c>
      <c r="Y170" s="421">
        <v>0</v>
      </c>
      <c r="Z170" s="421">
        <v>0</v>
      </c>
      <c r="AA170" s="421">
        <v>0</v>
      </c>
      <c r="AB170" s="421">
        <v>0</v>
      </c>
      <c r="AC170" s="421">
        <v>0</v>
      </c>
      <c r="AD170" s="421">
        <v>0</v>
      </c>
      <c r="AE170" s="421">
        <v>0</v>
      </c>
      <c r="AF170" s="421">
        <f>V170+X170+Y170+AA170+AB170+AD170</f>
        <v>-4608</v>
      </c>
      <c r="AG170" s="421">
        <f>W170+Z170+AC170+AE170</f>
        <v>0</v>
      </c>
      <c r="AH170" s="421">
        <f>SUM(AF170:AG170)</f>
        <v>-4608</v>
      </c>
      <c r="AI170" s="421">
        <v>4608</v>
      </c>
      <c r="AJ170" s="421">
        <v>0</v>
      </c>
      <c r="AK170" s="421">
        <v>0</v>
      </c>
      <c r="AL170" s="421">
        <v>0</v>
      </c>
      <c r="AM170" s="421">
        <v>0</v>
      </c>
      <c r="AN170" s="421">
        <v>0</v>
      </c>
      <c r="AO170" s="421">
        <f t="shared" si="489"/>
        <v>4608</v>
      </c>
      <c r="AP170" s="421">
        <f>AJ170+AN170</f>
        <v>0</v>
      </c>
      <c r="AQ170" s="421">
        <f>SUM(AO170:AP170)</f>
        <v>4608</v>
      </c>
      <c r="AR170" s="421">
        <f t="shared" si="490"/>
        <v>0</v>
      </c>
      <c r="AS170" s="421">
        <f t="shared" si="490"/>
        <v>0</v>
      </c>
      <c r="AT170" s="421">
        <f>SUM(AR170:AS170)</f>
        <v>0</v>
      </c>
      <c r="AU170" s="68">
        <f t="shared" si="491"/>
        <v>0</v>
      </c>
      <c r="AV170" s="68">
        <f>ROUND(AH170*1%,0)</f>
        <v>-46</v>
      </c>
      <c r="AW170" s="421">
        <v>0</v>
      </c>
      <c r="AX170" s="421">
        <v>0</v>
      </c>
      <c r="AY170" s="421">
        <f>AW170+AX170</f>
        <v>0</v>
      </c>
      <c r="AZ170" s="421">
        <f>AT170+AU170+AV170+AY170</f>
        <v>-46</v>
      </c>
      <c r="BA170" s="422">
        <v>0</v>
      </c>
      <c r="BB170" s="422">
        <v>0</v>
      </c>
      <c r="BC170" s="422">
        <v>0</v>
      </c>
      <c r="BD170" s="422">
        <v>0</v>
      </c>
      <c r="BE170" s="422">
        <v>0</v>
      </c>
      <c r="BF170" s="422">
        <v>0</v>
      </c>
      <c r="BG170" s="422">
        <v>0</v>
      </c>
      <c r="BH170" s="422">
        <v>0</v>
      </c>
      <c r="BI170" s="422">
        <v>0</v>
      </c>
      <c r="BJ170" s="422">
        <v>0</v>
      </c>
      <c r="BK170" s="422">
        <f>BA170+BC170+BD170+BF170+BH170+BI170</f>
        <v>0</v>
      </c>
      <c r="BL170" s="422">
        <f>BB170+BE170+BG170+BJ170</f>
        <v>0</v>
      </c>
      <c r="BM170" s="611">
        <f>SUM(BK170:BL170)</f>
        <v>0</v>
      </c>
      <c r="BN170" s="428">
        <f>I170+AZ170</f>
        <v>1324831</v>
      </c>
      <c r="BO170" s="421">
        <f>J170+AH170</f>
        <v>978239</v>
      </c>
      <c r="BP170" s="421">
        <f t="shared" si="492"/>
        <v>978239</v>
      </c>
      <c r="BQ170" s="421">
        <f t="shared" si="492"/>
        <v>0</v>
      </c>
      <c r="BR170" s="421">
        <f>M170+AQ170</f>
        <v>4608</v>
      </c>
      <c r="BS170" s="421">
        <f t="shared" si="493"/>
        <v>4608</v>
      </c>
      <c r="BT170" s="421">
        <f t="shared" si="493"/>
        <v>0</v>
      </c>
      <c r="BU170" s="421">
        <f t="shared" si="494"/>
        <v>332202</v>
      </c>
      <c r="BV170" s="421">
        <f t="shared" si="494"/>
        <v>9782</v>
      </c>
      <c r="BW170" s="421">
        <f>R170+AY170</f>
        <v>0</v>
      </c>
      <c r="BX170" s="422">
        <f>S170+BM170</f>
        <v>1.9</v>
      </c>
      <c r="BY170" s="422">
        <f t="shared" si="495"/>
        <v>1.9</v>
      </c>
      <c r="BZ170" s="611">
        <f t="shared" si="495"/>
        <v>0</v>
      </c>
      <c r="CA170" s="875"/>
      <c r="CB170" s="872"/>
      <c r="CC170" s="872"/>
      <c r="CD170" s="872"/>
      <c r="CE170" s="872"/>
      <c r="CF170" s="876"/>
    </row>
    <row r="171" spans="1:84" ht="12.95" customHeight="1" x14ac:dyDescent="0.25">
      <c r="A171" s="282">
        <v>34</v>
      </c>
      <c r="B171" s="213">
        <v>5441</v>
      </c>
      <c r="C171" s="213">
        <v>600099270</v>
      </c>
      <c r="D171" s="283">
        <v>856118</v>
      </c>
      <c r="E171" s="374" t="s">
        <v>516</v>
      </c>
      <c r="F171" s="213">
        <v>3143</v>
      </c>
      <c r="G171" s="325" t="s">
        <v>597</v>
      </c>
      <c r="H171" s="287" t="s">
        <v>272</v>
      </c>
      <c r="I171" s="423">
        <f>J171+P171+Q171+R171</f>
        <v>25598</v>
      </c>
      <c r="J171" s="418">
        <f>K171+L171</f>
        <v>18322</v>
      </c>
      <c r="K171" s="418">
        <v>0</v>
      </c>
      <c r="L171" s="418">
        <v>18322</v>
      </c>
      <c r="M171" s="418">
        <f t="shared" si="487"/>
        <v>0</v>
      </c>
      <c r="N171" s="418">
        <v>0</v>
      </c>
      <c r="O171" s="418">
        <v>0</v>
      </c>
      <c r="P171" s="68">
        <f>ROUND((J171+M171)*33.8%,0)</f>
        <v>6193</v>
      </c>
      <c r="Q171" s="68">
        <f>ROUND(J171*1%,0)</f>
        <v>183</v>
      </c>
      <c r="R171" s="418">
        <v>900</v>
      </c>
      <c r="S171" s="419">
        <f t="shared" si="429"/>
        <v>6.9400000000000003E-2</v>
      </c>
      <c r="T171" s="419">
        <v>0</v>
      </c>
      <c r="U171" s="527">
        <v>6.9400000000000003E-2</v>
      </c>
      <c r="V171" s="427">
        <f t="shared" si="488"/>
        <v>0</v>
      </c>
      <c r="W171" s="421">
        <f t="shared" si="488"/>
        <v>0</v>
      </c>
      <c r="X171" s="421">
        <v>0</v>
      </c>
      <c r="Y171" s="421">
        <v>0</v>
      </c>
      <c r="Z171" s="421">
        <v>0</v>
      </c>
      <c r="AA171" s="421">
        <v>0</v>
      </c>
      <c r="AB171" s="421">
        <v>0</v>
      </c>
      <c r="AC171" s="421">
        <v>0</v>
      </c>
      <c r="AD171" s="421">
        <v>0</v>
      </c>
      <c r="AE171" s="421">
        <v>0</v>
      </c>
      <c r="AF171" s="421">
        <f>V171+X171+Y171+AA171+AB171+AD171</f>
        <v>0</v>
      </c>
      <c r="AG171" s="421">
        <f>W171+Z171+AC171+AE171</f>
        <v>0</v>
      </c>
      <c r="AH171" s="421">
        <f>SUM(AF171:AG171)</f>
        <v>0</v>
      </c>
      <c r="AI171" s="421">
        <v>0</v>
      </c>
      <c r="AJ171" s="421">
        <v>0</v>
      </c>
      <c r="AK171" s="421">
        <v>0</v>
      </c>
      <c r="AL171" s="421">
        <v>0</v>
      </c>
      <c r="AM171" s="421">
        <v>0</v>
      </c>
      <c r="AN171" s="421">
        <v>0</v>
      </c>
      <c r="AO171" s="421">
        <f t="shared" si="489"/>
        <v>0</v>
      </c>
      <c r="AP171" s="421">
        <f>AJ171+AN171</f>
        <v>0</v>
      </c>
      <c r="AQ171" s="421">
        <f>SUM(AO171:AP171)</f>
        <v>0</v>
      </c>
      <c r="AR171" s="421">
        <f t="shared" si="490"/>
        <v>0</v>
      </c>
      <c r="AS171" s="421">
        <f t="shared" si="490"/>
        <v>0</v>
      </c>
      <c r="AT171" s="421">
        <f>SUM(AR171:AS171)</f>
        <v>0</v>
      </c>
      <c r="AU171" s="68">
        <f t="shared" si="491"/>
        <v>0</v>
      </c>
      <c r="AV171" s="68">
        <f>ROUND(AH171*1%,0)</f>
        <v>0</v>
      </c>
      <c r="AW171" s="421">
        <v>0</v>
      </c>
      <c r="AX171" s="421">
        <v>0</v>
      </c>
      <c r="AY171" s="421">
        <f>AW171+AX171</f>
        <v>0</v>
      </c>
      <c r="AZ171" s="421">
        <f>AT171+AU171+AV171+AY171</f>
        <v>0</v>
      </c>
      <c r="BA171" s="422">
        <v>0</v>
      </c>
      <c r="BB171" s="422">
        <v>0</v>
      </c>
      <c r="BC171" s="422">
        <v>0</v>
      </c>
      <c r="BD171" s="422">
        <v>0</v>
      </c>
      <c r="BE171" s="422">
        <v>0</v>
      </c>
      <c r="BF171" s="422">
        <v>0</v>
      </c>
      <c r="BG171" s="422">
        <v>0</v>
      </c>
      <c r="BH171" s="422">
        <v>0</v>
      </c>
      <c r="BI171" s="422">
        <v>0</v>
      </c>
      <c r="BJ171" s="422">
        <v>0</v>
      </c>
      <c r="BK171" s="422">
        <f>BA171+BC171+BD171+BF171+BH171+BI171</f>
        <v>0</v>
      </c>
      <c r="BL171" s="422">
        <f>BB171+BE171+BG171+BJ171</f>
        <v>0</v>
      </c>
      <c r="BM171" s="611">
        <f>SUM(BK171:BL171)</f>
        <v>0</v>
      </c>
      <c r="BN171" s="428">
        <f>I171+AZ171</f>
        <v>25598</v>
      </c>
      <c r="BO171" s="421">
        <f>J171+AH171</f>
        <v>18322</v>
      </c>
      <c r="BP171" s="421">
        <f t="shared" si="492"/>
        <v>0</v>
      </c>
      <c r="BQ171" s="421">
        <f t="shared" si="492"/>
        <v>18322</v>
      </c>
      <c r="BR171" s="421">
        <f>M171+AQ171</f>
        <v>0</v>
      </c>
      <c r="BS171" s="421">
        <f t="shared" si="493"/>
        <v>0</v>
      </c>
      <c r="BT171" s="421">
        <f t="shared" si="493"/>
        <v>0</v>
      </c>
      <c r="BU171" s="421">
        <f t="shared" si="494"/>
        <v>6193</v>
      </c>
      <c r="BV171" s="421">
        <f t="shared" si="494"/>
        <v>183</v>
      </c>
      <c r="BW171" s="421">
        <f>R171+AY171</f>
        <v>900</v>
      </c>
      <c r="BX171" s="422">
        <f>S171+BM171</f>
        <v>6.9400000000000003E-2</v>
      </c>
      <c r="BY171" s="422">
        <f t="shared" si="495"/>
        <v>0</v>
      </c>
      <c r="BZ171" s="611">
        <f t="shared" si="495"/>
        <v>6.9400000000000003E-2</v>
      </c>
      <c r="CA171" s="875"/>
      <c r="CB171" s="872"/>
      <c r="CC171" s="872"/>
      <c r="CD171" s="872"/>
      <c r="CE171" s="872"/>
      <c r="CF171" s="876"/>
    </row>
    <row r="172" spans="1:84" ht="12.95" customHeight="1" x14ac:dyDescent="0.25">
      <c r="A172" s="214">
        <v>34</v>
      </c>
      <c r="B172" s="45">
        <v>5441</v>
      </c>
      <c r="C172" s="45">
        <v>600099270</v>
      </c>
      <c r="D172" s="45">
        <v>856118</v>
      </c>
      <c r="E172" s="376" t="s">
        <v>517</v>
      </c>
      <c r="F172" s="45"/>
      <c r="G172" s="376"/>
      <c r="H172" s="183"/>
      <c r="I172" s="500">
        <f t="shared" ref="I172:BU172" si="498">SUM(I167:I171)</f>
        <v>16726106</v>
      </c>
      <c r="J172" s="497">
        <f t="shared" si="498"/>
        <v>12272728</v>
      </c>
      <c r="K172" s="497">
        <f t="shared" si="498"/>
        <v>10325765</v>
      </c>
      <c r="L172" s="497">
        <f t="shared" si="498"/>
        <v>1946963</v>
      </c>
      <c r="M172" s="497">
        <f t="shared" si="498"/>
        <v>0</v>
      </c>
      <c r="N172" s="497">
        <f t="shared" si="498"/>
        <v>0</v>
      </c>
      <c r="O172" s="497">
        <f t="shared" si="498"/>
        <v>0</v>
      </c>
      <c r="P172" s="497">
        <f t="shared" si="498"/>
        <v>4148182</v>
      </c>
      <c r="Q172" s="497">
        <f t="shared" si="498"/>
        <v>122727</v>
      </c>
      <c r="R172" s="497">
        <f t="shared" si="498"/>
        <v>182469</v>
      </c>
      <c r="S172" s="498">
        <f t="shared" si="498"/>
        <v>21.176300000000001</v>
      </c>
      <c r="T172" s="498">
        <f t="shared" si="498"/>
        <v>15.400500000000001</v>
      </c>
      <c r="U172" s="381">
        <f t="shared" si="498"/>
        <v>5.7758000000000003</v>
      </c>
      <c r="V172" s="502">
        <f t="shared" si="498"/>
        <v>-17408</v>
      </c>
      <c r="W172" s="497">
        <f t="shared" si="498"/>
        <v>-19200</v>
      </c>
      <c r="X172" s="497">
        <f t="shared" si="498"/>
        <v>1165821</v>
      </c>
      <c r="Y172" s="497">
        <f t="shared" si="498"/>
        <v>0</v>
      </c>
      <c r="Z172" s="497">
        <f t="shared" si="498"/>
        <v>0</v>
      </c>
      <c r="AA172" s="497">
        <f t="shared" si="498"/>
        <v>165500</v>
      </c>
      <c r="AB172" s="497">
        <f t="shared" si="498"/>
        <v>225600</v>
      </c>
      <c r="AC172" s="497">
        <f t="shared" si="498"/>
        <v>0</v>
      </c>
      <c r="AD172" s="497">
        <f t="shared" si="498"/>
        <v>0</v>
      </c>
      <c r="AE172" s="497">
        <f t="shared" si="498"/>
        <v>0</v>
      </c>
      <c r="AF172" s="497">
        <f t="shared" si="498"/>
        <v>1539513</v>
      </c>
      <c r="AG172" s="497">
        <f t="shared" si="498"/>
        <v>-19200</v>
      </c>
      <c r="AH172" s="497">
        <f t="shared" si="498"/>
        <v>1520313</v>
      </c>
      <c r="AI172" s="497">
        <f t="shared" si="498"/>
        <v>17408</v>
      </c>
      <c r="AJ172" s="497">
        <f t="shared" si="498"/>
        <v>19200</v>
      </c>
      <c r="AK172" s="497">
        <f t="shared" ref="AK172" si="499">SUM(AK167:AK171)</f>
        <v>0</v>
      </c>
      <c r="AL172" s="497">
        <f t="shared" si="498"/>
        <v>0</v>
      </c>
      <c r="AM172" s="497">
        <f t="shared" si="498"/>
        <v>0</v>
      </c>
      <c r="AN172" s="497">
        <f t="shared" si="498"/>
        <v>0</v>
      </c>
      <c r="AO172" s="497">
        <f t="shared" si="498"/>
        <v>17408</v>
      </c>
      <c r="AP172" s="497">
        <f t="shared" si="498"/>
        <v>19200</v>
      </c>
      <c r="AQ172" s="497">
        <f t="shared" si="498"/>
        <v>36608</v>
      </c>
      <c r="AR172" s="497">
        <f t="shared" si="498"/>
        <v>1556921</v>
      </c>
      <c r="AS172" s="497">
        <f t="shared" si="498"/>
        <v>0</v>
      </c>
      <c r="AT172" s="497">
        <f t="shared" si="498"/>
        <v>1556921</v>
      </c>
      <c r="AU172" s="497">
        <f t="shared" si="498"/>
        <v>526239</v>
      </c>
      <c r="AV172" s="497">
        <f t="shared" si="498"/>
        <v>15203</v>
      </c>
      <c r="AW172" s="497">
        <f t="shared" si="498"/>
        <v>0</v>
      </c>
      <c r="AX172" s="497">
        <f t="shared" si="498"/>
        <v>0</v>
      </c>
      <c r="AY172" s="497">
        <f t="shared" si="498"/>
        <v>0</v>
      </c>
      <c r="AZ172" s="497">
        <f t="shared" si="498"/>
        <v>2098363</v>
      </c>
      <c r="BA172" s="498">
        <f t="shared" si="498"/>
        <v>0</v>
      </c>
      <c r="BB172" s="498">
        <f t="shared" si="498"/>
        <v>0</v>
      </c>
      <c r="BC172" s="498">
        <f t="shared" si="498"/>
        <v>2.73</v>
      </c>
      <c r="BD172" s="498">
        <f t="shared" si="498"/>
        <v>0.4</v>
      </c>
      <c r="BE172" s="498">
        <f t="shared" si="498"/>
        <v>0</v>
      </c>
      <c r="BF172" s="498">
        <f t="shared" si="498"/>
        <v>0</v>
      </c>
      <c r="BG172" s="498">
        <f t="shared" si="498"/>
        <v>0</v>
      </c>
      <c r="BH172" s="498">
        <f t="shared" si="498"/>
        <v>0.24</v>
      </c>
      <c r="BI172" s="498">
        <f t="shared" si="498"/>
        <v>0</v>
      </c>
      <c r="BJ172" s="498">
        <f t="shared" si="498"/>
        <v>0</v>
      </c>
      <c r="BK172" s="498">
        <f t="shared" si="498"/>
        <v>3.37</v>
      </c>
      <c r="BL172" s="498">
        <f t="shared" si="498"/>
        <v>0</v>
      </c>
      <c r="BM172" s="746">
        <f t="shared" si="498"/>
        <v>3.37</v>
      </c>
      <c r="BN172" s="500">
        <f t="shared" si="498"/>
        <v>18824469</v>
      </c>
      <c r="BO172" s="497">
        <f t="shared" si="498"/>
        <v>13793041</v>
      </c>
      <c r="BP172" s="497">
        <f t="shared" si="498"/>
        <v>11865278</v>
      </c>
      <c r="BQ172" s="497">
        <f t="shared" si="498"/>
        <v>1927763</v>
      </c>
      <c r="BR172" s="497">
        <f t="shared" si="498"/>
        <v>36608</v>
      </c>
      <c r="BS172" s="497">
        <f t="shared" si="498"/>
        <v>17408</v>
      </c>
      <c r="BT172" s="497">
        <f t="shared" si="498"/>
        <v>19200</v>
      </c>
      <c r="BU172" s="497">
        <f t="shared" si="498"/>
        <v>4674421</v>
      </c>
      <c r="BV172" s="497">
        <f t="shared" ref="BV172:CF172" si="500">SUM(BV167:BV171)</f>
        <v>137930</v>
      </c>
      <c r="BW172" s="497">
        <f t="shared" si="500"/>
        <v>182469</v>
      </c>
      <c r="BX172" s="498">
        <f t="shared" si="500"/>
        <v>24.546300000000002</v>
      </c>
      <c r="BY172" s="498">
        <f t="shared" si="500"/>
        <v>18.770499999999998</v>
      </c>
      <c r="BZ172" s="746">
        <f t="shared" si="500"/>
        <v>5.7758000000000003</v>
      </c>
      <c r="CA172" s="902">
        <f t="shared" si="500"/>
        <v>304109</v>
      </c>
      <c r="CB172" s="897">
        <f t="shared" si="500"/>
        <v>225600</v>
      </c>
      <c r="CC172" s="897">
        <f t="shared" si="500"/>
        <v>0</v>
      </c>
      <c r="CD172" s="897">
        <f t="shared" si="500"/>
        <v>76253</v>
      </c>
      <c r="CE172" s="897">
        <f t="shared" si="500"/>
        <v>2256</v>
      </c>
      <c r="CF172" s="842">
        <f t="shared" si="500"/>
        <v>0.4</v>
      </c>
    </row>
    <row r="173" spans="1:84" ht="12.95" customHeight="1" x14ac:dyDescent="0.25">
      <c r="A173" s="282">
        <v>35</v>
      </c>
      <c r="B173" s="378">
        <v>2306</v>
      </c>
      <c r="C173" s="378">
        <v>650025873</v>
      </c>
      <c r="D173" s="283">
        <v>70695946</v>
      </c>
      <c r="E173" s="374" t="s">
        <v>518</v>
      </c>
      <c r="F173" s="213">
        <v>3111</v>
      </c>
      <c r="G173" s="375" t="s">
        <v>305</v>
      </c>
      <c r="H173" s="287" t="s">
        <v>271</v>
      </c>
      <c r="I173" s="423">
        <f t="shared" ref="I173:I178" si="501">J173+P173+Q173+R173</f>
        <v>3039996</v>
      </c>
      <c r="J173" s="418">
        <f t="shared" ref="J173:J178" si="502">K173+L173</f>
        <v>2247664</v>
      </c>
      <c r="K173" s="418">
        <v>2127856</v>
      </c>
      <c r="L173" s="418">
        <v>119808</v>
      </c>
      <c r="M173" s="418">
        <f t="shared" ref="M173:M178" si="503">N173+O173</f>
        <v>0</v>
      </c>
      <c r="N173" s="418">
        <v>0</v>
      </c>
      <c r="O173" s="418">
        <v>0</v>
      </c>
      <c r="P173" s="68">
        <f t="shared" ref="P173:P178" si="504">ROUND((J173+M173)*33.8%,0)</f>
        <v>759710</v>
      </c>
      <c r="Q173" s="68">
        <f>ROUND(J173*1%,0)-1</f>
        <v>22476</v>
      </c>
      <c r="R173" s="418">
        <v>10146</v>
      </c>
      <c r="S173" s="419">
        <f t="shared" si="429"/>
        <v>4.2058</v>
      </c>
      <c r="T173" s="419">
        <v>3.7258</v>
      </c>
      <c r="U173" s="527">
        <v>0.48</v>
      </c>
      <c r="V173" s="427">
        <f t="shared" ref="V173:W178" si="505">AI173*-1</f>
        <v>0</v>
      </c>
      <c r="W173" s="421">
        <f t="shared" si="505"/>
        <v>0</v>
      </c>
      <c r="X173" s="421">
        <v>0</v>
      </c>
      <c r="Y173" s="421">
        <v>0</v>
      </c>
      <c r="Z173" s="421">
        <v>0</v>
      </c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f t="shared" ref="AF173:AF178" si="506">V173+X173+Y173+AA173+AB173+AD173</f>
        <v>0</v>
      </c>
      <c r="AG173" s="421">
        <f t="shared" ref="AG173:AG178" si="507">W173+Z173+AC173+AE173</f>
        <v>0</v>
      </c>
      <c r="AH173" s="421">
        <f t="shared" ref="AH173:AH178" si="508">SUM(AF173:AG173)</f>
        <v>0</v>
      </c>
      <c r="AI173" s="421">
        <v>0</v>
      </c>
      <c r="AJ173" s="421">
        <v>0</v>
      </c>
      <c r="AK173" s="421">
        <v>0</v>
      </c>
      <c r="AL173" s="421">
        <v>0</v>
      </c>
      <c r="AM173" s="421">
        <v>0</v>
      </c>
      <c r="AN173" s="421">
        <v>0</v>
      </c>
      <c r="AO173" s="421">
        <f t="shared" ref="AO173:AO178" si="509">AI173+AK173+AL173+AM173</f>
        <v>0</v>
      </c>
      <c r="AP173" s="421">
        <f t="shared" ref="AP173:AP178" si="510">AJ173+AN173</f>
        <v>0</v>
      </c>
      <c r="AQ173" s="421">
        <f t="shared" ref="AQ173:AQ178" si="511">SUM(AO173:AP173)</f>
        <v>0</v>
      </c>
      <c r="AR173" s="421">
        <f t="shared" ref="AR173:AS178" si="512">AF173+AO173</f>
        <v>0</v>
      </c>
      <c r="AS173" s="421">
        <f t="shared" si="512"/>
        <v>0</v>
      </c>
      <c r="AT173" s="421">
        <f t="shared" ref="AT173:AT178" si="513">SUM(AR173:AS173)</f>
        <v>0</v>
      </c>
      <c r="AU173" s="68">
        <f t="shared" ref="AU173:AU178" si="514">ROUND((AH173+AI173+AJ173+AK173+AL173)*33.8%,0)</f>
        <v>0</v>
      </c>
      <c r="AV173" s="68">
        <f t="shared" ref="AV173:AV178" si="515">ROUND(AH173*1%,0)</f>
        <v>0</v>
      </c>
      <c r="AW173" s="421">
        <v>0</v>
      </c>
      <c r="AX173" s="421">
        <v>0</v>
      </c>
      <c r="AY173" s="421">
        <f t="shared" ref="AY173:AY178" si="516">AW173+AX173</f>
        <v>0</v>
      </c>
      <c r="AZ173" s="421">
        <f t="shared" ref="AZ173:AZ178" si="517">AT173+AU173+AV173+AY173</f>
        <v>0</v>
      </c>
      <c r="BA173" s="422">
        <v>0</v>
      </c>
      <c r="BB173" s="422">
        <v>0</v>
      </c>
      <c r="BC173" s="422">
        <v>0</v>
      </c>
      <c r="BD173" s="422">
        <v>0</v>
      </c>
      <c r="BE173" s="422">
        <v>0</v>
      </c>
      <c r="BF173" s="422">
        <v>0</v>
      </c>
      <c r="BG173" s="422">
        <v>0</v>
      </c>
      <c r="BH173" s="422">
        <v>0</v>
      </c>
      <c r="BI173" s="422">
        <v>0</v>
      </c>
      <c r="BJ173" s="422">
        <v>0</v>
      </c>
      <c r="BK173" s="422">
        <f t="shared" ref="BK173:BK178" si="518">BA173+BC173+BD173+BF173+BH173+BI173</f>
        <v>0</v>
      </c>
      <c r="BL173" s="422">
        <f t="shared" ref="BL173:BL178" si="519">BB173+BE173+BG173+BJ173</f>
        <v>0</v>
      </c>
      <c r="BM173" s="611">
        <f t="shared" ref="BM173:BM178" si="520">SUM(BK173:BL173)</f>
        <v>0</v>
      </c>
      <c r="BN173" s="428">
        <f t="shared" ref="BN173:BN178" si="521">I173+AZ173</f>
        <v>3039996</v>
      </c>
      <c r="BO173" s="421">
        <f t="shared" ref="BO173:BO178" si="522">J173+AH173</f>
        <v>2247664</v>
      </c>
      <c r="BP173" s="421">
        <f t="shared" ref="BP173:BQ178" si="523">K173+AF173</f>
        <v>2127856</v>
      </c>
      <c r="BQ173" s="421">
        <f t="shared" si="523"/>
        <v>119808</v>
      </c>
      <c r="BR173" s="421">
        <f t="shared" ref="BR173:BR178" si="524">M173+AQ173</f>
        <v>0</v>
      </c>
      <c r="BS173" s="421">
        <f t="shared" ref="BS173:BT178" si="525">N173+AO173</f>
        <v>0</v>
      </c>
      <c r="BT173" s="421">
        <f t="shared" si="525"/>
        <v>0</v>
      </c>
      <c r="BU173" s="421">
        <f t="shared" ref="BU173:BV178" si="526">P173+AU173</f>
        <v>759710</v>
      </c>
      <c r="BV173" s="421">
        <f t="shared" si="526"/>
        <v>22476</v>
      </c>
      <c r="BW173" s="421">
        <f t="shared" ref="BW173:BW178" si="527">R173+AY173</f>
        <v>10146</v>
      </c>
      <c r="BX173" s="422">
        <f t="shared" ref="BX173:BX178" si="528">S173+BM173</f>
        <v>4.2058</v>
      </c>
      <c r="BY173" s="422">
        <f t="shared" ref="BY173:BZ178" si="529">T173+BK173</f>
        <v>3.7258</v>
      </c>
      <c r="BZ173" s="611">
        <f t="shared" si="529"/>
        <v>0.48</v>
      </c>
      <c r="CA173" s="875"/>
      <c r="CB173" s="872"/>
      <c r="CC173" s="872"/>
      <c r="CD173" s="872"/>
      <c r="CE173" s="872"/>
      <c r="CF173" s="876"/>
    </row>
    <row r="174" spans="1:84" ht="12.95" customHeight="1" x14ac:dyDescent="0.25">
      <c r="A174" s="282">
        <v>35</v>
      </c>
      <c r="B174" s="378">
        <v>2306</v>
      </c>
      <c r="C174" s="378">
        <v>650025873</v>
      </c>
      <c r="D174" s="283">
        <v>70695946</v>
      </c>
      <c r="E174" s="212" t="s">
        <v>518</v>
      </c>
      <c r="F174" s="378">
        <v>3117</v>
      </c>
      <c r="G174" s="374" t="s">
        <v>309</v>
      </c>
      <c r="H174" s="287" t="s">
        <v>271</v>
      </c>
      <c r="I174" s="423">
        <f t="shared" si="501"/>
        <v>2851023</v>
      </c>
      <c r="J174" s="418">
        <f t="shared" si="502"/>
        <v>2090626</v>
      </c>
      <c r="K174" s="418">
        <v>1760230</v>
      </c>
      <c r="L174" s="418">
        <v>330396</v>
      </c>
      <c r="M174" s="418">
        <f t="shared" si="503"/>
        <v>0</v>
      </c>
      <c r="N174" s="418">
        <v>0</v>
      </c>
      <c r="O174" s="418">
        <v>0</v>
      </c>
      <c r="P174" s="68">
        <f t="shared" si="504"/>
        <v>706632</v>
      </c>
      <c r="Q174" s="68">
        <f>ROUND(J174*1%,0)</f>
        <v>20906</v>
      </c>
      <c r="R174" s="418">
        <v>32859</v>
      </c>
      <c r="S174" s="419">
        <f t="shared" si="429"/>
        <v>3.8422999999999998</v>
      </c>
      <c r="T174" s="419">
        <v>2.9091</v>
      </c>
      <c r="U174" s="527">
        <v>0.93320000000000003</v>
      </c>
      <c r="V174" s="427">
        <f t="shared" si="505"/>
        <v>0</v>
      </c>
      <c r="W174" s="421">
        <f t="shared" si="505"/>
        <v>0</v>
      </c>
      <c r="X174" s="421">
        <v>0</v>
      </c>
      <c r="Y174" s="421">
        <v>0</v>
      </c>
      <c r="Z174" s="421">
        <v>0</v>
      </c>
      <c r="AA174" s="421">
        <v>0</v>
      </c>
      <c r="AB174" s="421">
        <v>0</v>
      </c>
      <c r="AC174" s="421">
        <v>0</v>
      </c>
      <c r="AD174" s="421">
        <v>0</v>
      </c>
      <c r="AE174" s="421">
        <v>0</v>
      </c>
      <c r="AF174" s="421">
        <f t="shared" si="506"/>
        <v>0</v>
      </c>
      <c r="AG174" s="421">
        <f t="shared" si="507"/>
        <v>0</v>
      </c>
      <c r="AH174" s="421">
        <f t="shared" si="508"/>
        <v>0</v>
      </c>
      <c r="AI174" s="421">
        <v>0</v>
      </c>
      <c r="AJ174" s="421">
        <v>0</v>
      </c>
      <c r="AK174" s="421">
        <v>0</v>
      </c>
      <c r="AL174" s="421">
        <v>0</v>
      </c>
      <c r="AM174" s="421">
        <v>0</v>
      </c>
      <c r="AN174" s="421">
        <v>0</v>
      </c>
      <c r="AO174" s="421">
        <f t="shared" si="509"/>
        <v>0</v>
      </c>
      <c r="AP174" s="421">
        <f t="shared" si="510"/>
        <v>0</v>
      </c>
      <c r="AQ174" s="421">
        <f t="shared" si="511"/>
        <v>0</v>
      </c>
      <c r="AR174" s="421">
        <f t="shared" si="512"/>
        <v>0</v>
      </c>
      <c r="AS174" s="421">
        <f t="shared" si="512"/>
        <v>0</v>
      </c>
      <c r="AT174" s="421">
        <f t="shared" si="513"/>
        <v>0</v>
      </c>
      <c r="AU174" s="68">
        <f t="shared" si="514"/>
        <v>0</v>
      </c>
      <c r="AV174" s="68">
        <f t="shared" si="515"/>
        <v>0</v>
      </c>
      <c r="AW174" s="421">
        <v>0</v>
      </c>
      <c r="AX174" s="421">
        <v>0</v>
      </c>
      <c r="AY174" s="421">
        <f t="shared" si="516"/>
        <v>0</v>
      </c>
      <c r="AZ174" s="421">
        <f t="shared" si="517"/>
        <v>0</v>
      </c>
      <c r="BA174" s="422">
        <v>0</v>
      </c>
      <c r="BB174" s="422">
        <v>0</v>
      </c>
      <c r="BC174" s="422">
        <v>0</v>
      </c>
      <c r="BD174" s="422">
        <v>0</v>
      </c>
      <c r="BE174" s="422">
        <v>0</v>
      </c>
      <c r="BF174" s="422">
        <v>0</v>
      </c>
      <c r="BG174" s="422">
        <v>0</v>
      </c>
      <c r="BH174" s="422">
        <v>0</v>
      </c>
      <c r="BI174" s="422">
        <v>0</v>
      </c>
      <c r="BJ174" s="422">
        <v>0</v>
      </c>
      <c r="BK174" s="422">
        <f t="shared" si="518"/>
        <v>0</v>
      </c>
      <c r="BL174" s="422">
        <f t="shared" si="519"/>
        <v>0</v>
      </c>
      <c r="BM174" s="611">
        <f t="shared" si="520"/>
        <v>0</v>
      </c>
      <c r="BN174" s="428">
        <f t="shared" si="521"/>
        <v>2851023</v>
      </c>
      <c r="BO174" s="421">
        <f t="shared" si="522"/>
        <v>2090626</v>
      </c>
      <c r="BP174" s="421">
        <f t="shared" si="523"/>
        <v>1760230</v>
      </c>
      <c r="BQ174" s="421">
        <f t="shared" si="523"/>
        <v>330396</v>
      </c>
      <c r="BR174" s="421">
        <f t="shared" si="524"/>
        <v>0</v>
      </c>
      <c r="BS174" s="421">
        <f t="shared" si="525"/>
        <v>0</v>
      </c>
      <c r="BT174" s="421">
        <f t="shared" si="525"/>
        <v>0</v>
      </c>
      <c r="BU174" s="421">
        <f t="shared" si="526"/>
        <v>706632</v>
      </c>
      <c r="BV174" s="421">
        <f t="shared" si="526"/>
        <v>20906</v>
      </c>
      <c r="BW174" s="421">
        <f t="shared" si="527"/>
        <v>32859</v>
      </c>
      <c r="BX174" s="422">
        <f t="shared" si="528"/>
        <v>3.8422999999999998</v>
      </c>
      <c r="BY174" s="422">
        <f t="shared" si="529"/>
        <v>2.9091</v>
      </c>
      <c r="BZ174" s="611">
        <f t="shared" si="529"/>
        <v>0.93320000000000003</v>
      </c>
      <c r="CA174" s="875"/>
      <c r="CB174" s="872"/>
      <c r="CC174" s="872"/>
      <c r="CD174" s="872"/>
      <c r="CE174" s="872"/>
      <c r="CF174" s="876"/>
    </row>
    <row r="175" spans="1:84" ht="12.95" customHeight="1" x14ac:dyDescent="0.25">
      <c r="A175" s="282">
        <v>35</v>
      </c>
      <c r="B175" s="213">
        <v>2306</v>
      </c>
      <c r="C175" s="213">
        <v>650025873</v>
      </c>
      <c r="D175" s="283">
        <v>70695946</v>
      </c>
      <c r="E175" s="212" t="s">
        <v>518</v>
      </c>
      <c r="F175" s="378">
        <v>3117</v>
      </c>
      <c r="G175" s="325" t="s">
        <v>292</v>
      </c>
      <c r="H175" s="287" t="s">
        <v>272</v>
      </c>
      <c r="I175" s="423">
        <f t="shared" si="501"/>
        <v>0</v>
      </c>
      <c r="J175" s="418">
        <f t="shared" si="502"/>
        <v>0</v>
      </c>
      <c r="K175" s="418">
        <v>0</v>
      </c>
      <c r="L175" s="418">
        <v>0</v>
      </c>
      <c r="M175" s="418">
        <f t="shared" si="503"/>
        <v>0</v>
      </c>
      <c r="N175" s="418">
        <v>0</v>
      </c>
      <c r="O175" s="418">
        <v>0</v>
      </c>
      <c r="P175" s="68">
        <f t="shared" si="504"/>
        <v>0</v>
      </c>
      <c r="Q175" s="68">
        <f t="shared" ref="Q175" si="530">ROUND(J175*1%,0)</f>
        <v>0</v>
      </c>
      <c r="R175" s="418">
        <v>0</v>
      </c>
      <c r="S175" s="419">
        <f t="shared" si="429"/>
        <v>0</v>
      </c>
      <c r="T175" s="419">
        <v>0</v>
      </c>
      <c r="U175" s="527">
        <v>0</v>
      </c>
      <c r="V175" s="427">
        <f t="shared" si="505"/>
        <v>0</v>
      </c>
      <c r="W175" s="421">
        <f t="shared" si="505"/>
        <v>0</v>
      </c>
      <c r="X175" s="421">
        <v>236905</v>
      </c>
      <c r="Y175" s="421">
        <v>0</v>
      </c>
      <c r="Z175" s="421">
        <v>0</v>
      </c>
      <c r="AA175" s="421">
        <v>0</v>
      </c>
      <c r="AB175" s="421">
        <v>0</v>
      </c>
      <c r="AC175" s="421">
        <v>0</v>
      </c>
      <c r="AD175" s="421">
        <v>0</v>
      </c>
      <c r="AE175" s="421">
        <v>0</v>
      </c>
      <c r="AF175" s="421">
        <f t="shared" si="506"/>
        <v>236905</v>
      </c>
      <c r="AG175" s="421">
        <f t="shared" si="507"/>
        <v>0</v>
      </c>
      <c r="AH175" s="421">
        <f t="shared" si="508"/>
        <v>236905</v>
      </c>
      <c r="AI175" s="421">
        <v>0</v>
      </c>
      <c r="AJ175" s="421">
        <v>0</v>
      </c>
      <c r="AK175" s="421">
        <v>0</v>
      </c>
      <c r="AL175" s="421">
        <v>0</v>
      </c>
      <c r="AM175" s="421">
        <v>0</v>
      </c>
      <c r="AN175" s="421">
        <v>0</v>
      </c>
      <c r="AO175" s="421">
        <f t="shared" si="509"/>
        <v>0</v>
      </c>
      <c r="AP175" s="421">
        <f t="shared" si="510"/>
        <v>0</v>
      </c>
      <c r="AQ175" s="421">
        <f t="shared" si="511"/>
        <v>0</v>
      </c>
      <c r="AR175" s="421">
        <f t="shared" si="512"/>
        <v>236905</v>
      </c>
      <c r="AS175" s="421">
        <f t="shared" si="512"/>
        <v>0</v>
      </c>
      <c r="AT175" s="421">
        <f t="shared" si="513"/>
        <v>236905</v>
      </c>
      <c r="AU175" s="68">
        <f t="shared" si="514"/>
        <v>80074</v>
      </c>
      <c r="AV175" s="68">
        <f t="shared" si="515"/>
        <v>2369</v>
      </c>
      <c r="AW175" s="421">
        <v>0</v>
      </c>
      <c r="AX175" s="421">
        <v>0</v>
      </c>
      <c r="AY175" s="421">
        <f t="shared" si="516"/>
        <v>0</v>
      </c>
      <c r="AZ175" s="421">
        <f t="shared" si="517"/>
        <v>319348</v>
      </c>
      <c r="BA175" s="422">
        <v>0</v>
      </c>
      <c r="BB175" s="422">
        <v>0</v>
      </c>
      <c r="BC175" s="422">
        <v>0.64</v>
      </c>
      <c r="BD175" s="422">
        <v>0</v>
      </c>
      <c r="BE175" s="422">
        <v>0</v>
      </c>
      <c r="BF175" s="422">
        <v>0</v>
      </c>
      <c r="BG175" s="422">
        <v>0</v>
      </c>
      <c r="BH175" s="422">
        <v>0</v>
      </c>
      <c r="BI175" s="422">
        <v>0</v>
      </c>
      <c r="BJ175" s="422">
        <v>0</v>
      </c>
      <c r="BK175" s="422">
        <f t="shared" si="518"/>
        <v>0.64</v>
      </c>
      <c r="BL175" s="422">
        <f t="shared" si="519"/>
        <v>0</v>
      </c>
      <c r="BM175" s="611">
        <f t="shared" si="520"/>
        <v>0.64</v>
      </c>
      <c r="BN175" s="428">
        <f t="shared" si="521"/>
        <v>319348</v>
      </c>
      <c r="BO175" s="421">
        <f t="shared" si="522"/>
        <v>236905</v>
      </c>
      <c r="BP175" s="421">
        <f t="shared" si="523"/>
        <v>236905</v>
      </c>
      <c r="BQ175" s="421">
        <f t="shared" si="523"/>
        <v>0</v>
      </c>
      <c r="BR175" s="421">
        <f t="shared" si="524"/>
        <v>0</v>
      </c>
      <c r="BS175" s="421">
        <f t="shared" si="525"/>
        <v>0</v>
      </c>
      <c r="BT175" s="421">
        <f t="shared" si="525"/>
        <v>0</v>
      </c>
      <c r="BU175" s="421">
        <f t="shared" si="526"/>
        <v>80074</v>
      </c>
      <c r="BV175" s="421">
        <f t="shared" si="526"/>
        <v>2369</v>
      </c>
      <c r="BW175" s="421">
        <f t="shared" si="527"/>
        <v>0</v>
      </c>
      <c r="BX175" s="422">
        <f t="shared" si="528"/>
        <v>0.64</v>
      </c>
      <c r="BY175" s="422">
        <f t="shared" si="529"/>
        <v>0.64</v>
      </c>
      <c r="BZ175" s="611">
        <f t="shared" si="529"/>
        <v>0</v>
      </c>
      <c r="CA175" s="875"/>
      <c r="CB175" s="872"/>
      <c r="CC175" s="872"/>
      <c r="CD175" s="872"/>
      <c r="CE175" s="872"/>
      <c r="CF175" s="876"/>
    </row>
    <row r="176" spans="1:84" ht="12.95" customHeight="1" x14ac:dyDescent="0.25">
      <c r="A176" s="282">
        <v>35</v>
      </c>
      <c r="B176" s="213">
        <v>2306</v>
      </c>
      <c r="C176" s="213">
        <v>650025873</v>
      </c>
      <c r="D176" s="283">
        <v>70695946</v>
      </c>
      <c r="E176" s="373" t="s">
        <v>518</v>
      </c>
      <c r="F176" s="384">
        <v>3141</v>
      </c>
      <c r="G176" s="375" t="s">
        <v>295</v>
      </c>
      <c r="H176" s="287" t="s">
        <v>272</v>
      </c>
      <c r="I176" s="423">
        <f t="shared" si="501"/>
        <v>610660</v>
      </c>
      <c r="J176" s="418">
        <f t="shared" si="502"/>
        <v>451298</v>
      </c>
      <c r="K176" s="418">
        <v>0</v>
      </c>
      <c r="L176" s="418">
        <v>451298</v>
      </c>
      <c r="M176" s="418">
        <f t="shared" si="503"/>
        <v>0</v>
      </c>
      <c r="N176" s="418">
        <v>0</v>
      </c>
      <c r="O176" s="418">
        <v>0</v>
      </c>
      <c r="P176" s="68">
        <f t="shared" si="504"/>
        <v>152539</v>
      </c>
      <c r="Q176" s="68">
        <f>ROUND(J176*1%,0)</f>
        <v>4513</v>
      </c>
      <c r="R176" s="418">
        <v>2310</v>
      </c>
      <c r="S176" s="419">
        <f t="shared" si="429"/>
        <v>1.3532999999999999</v>
      </c>
      <c r="T176" s="419">
        <v>0</v>
      </c>
      <c r="U176" s="527">
        <v>1.3532999999999999</v>
      </c>
      <c r="V176" s="427">
        <f t="shared" si="505"/>
        <v>0</v>
      </c>
      <c r="W176" s="421">
        <f t="shared" si="505"/>
        <v>0</v>
      </c>
      <c r="X176" s="421">
        <v>0</v>
      </c>
      <c r="Y176" s="421">
        <v>0</v>
      </c>
      <c r="Z176" s="421">
        <v>0</v>
      </c>
      <c r="AA176" s="421">
        <v>0</v>
      </c>
      <c r="AB176" s="421">
        <v>0</v>
      </c>
      <c r="AC176" s="421">
        <v>0</v>
      </c>
      <c r="AD176" s="421">
        <v>0</v>
      </c>
      <c r="AE176" s="421">
        <v>0</v>
      </c>
      <c r="AF176" s="421">
        <f t="shared" si="506"/>
        <v>0</v>
      </c>
      <c r="AG176" s="421">
        <f t="shared" si="507"/>
        <v>0</v>
      </c>
      <c r="AH176" s="421">
        <f t="shared" si="508"/>
        <v>0</v>
      </c>
      <c r="AI176" s="421">
        <v>0</v>
      </c>
      <c r="AJ176" s="421">
        <v>0</v>
      </c>
      <c r="AK176" s="421">
        <v>0</v>
      </c>
      <c r="AL176" s="421">
        <v>0</v>
      </c>
      <c r="AM176" s="421">
        <v>0</v>
      </c>
      <c r="AN176" s="421">
        <v>0</v>
      </c>
      <c r="AO176" s="421">
        <f t="shared" si="509"/>
        <v>0</v>
      </c>
      <c r="AP176" s="421">
        <f t="shared" si="510"/>
        <v>0</v>
      </c>
      <c r="AQ176" s="421">
        <f t="shared" si="511"/>
        <v>0</v>
      </c>
      <c r="AR176" s="421">
        <f t="shared" si="512"/>
        <v>0</v>
      </c>
      <c r="AS176" s="421">
        <f t="shared" si="512"/>
        <v>0</v>
      </c>
      <c r="AT176" s="421">
        <f t="shared" si="513"/>
        <v>0</v>
      </c>
      <c r="AU176" s="68">
        <f t="shared" si="514"/>
        <v>0</v>
      </c>
      <c r="AV176" s="68">
        <f t="shared" si="515"/>
        <v>0</v>
      </c>
      <c r="AW176" s="421">
        <v>0</v>
      </c>
      <c r="AX176" s="421">
        <v>0</v>
      </c>
      <c r="AY176" s="421">
        <f t="shared" si="516"/>
        <v>0</v>
      </c>
      <c r="AZ176" s="421">
        <f t="shared" si="517"/>
        <v>0</v>
      </c>
      <c r="BA176" s="422">
        <v>0</v>
      </c>
      <c r="BB176" s="422">
        <v>0</v>
      </c>
      <c r="BC176" s="422">
        <v>0</v>
      </c>
      <c r="BD176" s="422">
        <v>0</v>
      </c>
      <c r="BE176" s="422">
        <v>0</v>
      </c>
      <c r="BF176" s="422">
        <v>0</v>
      </c>
      <c r="BG176" s="422">
        <v>0</v>
      </c>
      <c r="BH176" s="422">
        <v>0</v>
      </c>
      <c r="BI176" s="422">
        <v>0</v>
      </c>
      <c r="BJ176" s="422">
        <v>0</v>
      </c>
      <c r="BK176" s="422">
        <f t="shared" si="518"/>
        <v>0</v>
      </c>
      <c r="BL176" s="422">
        <f t="shared" si="519"/>
        <v>0</v>
      </c>
      <c r="BM176" s="611">
        <f t="shared" si="520"/>
        <v>0</v>
      </c>
      <c r="BN176" s="428">
        <f t="shared" si="521"/>
        <v>610660</v>
      </c>
      <c r="BO176" s="421">
        <f t="shared" si="522"/>
        <v>451298</v>
      </c>
      <c r="BP176" s="421">
        <f t="shared" si="523"/>
        <v>0</v>
      </c>
      <c r="BQ176" s="421">
        <f t="shared" si="523"/>
        <v>451298</v>
      </c>
      <c r="BR176" s="421">
        <f t="shared" si="524"/>
        <v>0</v>
      </c>
      <c r="BS176" s="421">
        <f t="shared" si="525"/>
        <v>0</v>
      </c>
      <c r="BT176" s="421">
        <f t="shared" si="525"/>
        <v>0</v>
      </c>
      <c r="BU176" s="421">
        <f t="shared" si="526"/>
        <v>152539</v>
      </c>
      <c r="BV176" s="421">
        <f t="shared" si="526"/>
        <v>4513</v>
      </c>
      <c r="BW176" s="421">
        <f t="shared" si="527"/>
        <v>2310</v>
      </c>
      <c r="BX176" s="422">
        <f t="shared" si="528"/>
        <v>1.3532999999999999</v>
      </c>
      <c r="BY176" s="422">
        <f t="shared" si="529"/>
        <v>0</v>
      </c>
      <c r="BZ176" s="611">
        <f t="shared" si="529"/>
        <v>1.3532999999999999</v>
      </c>
      <c r="CA176" s="875"/>
      <c r="CB176" s="872"/>
      <c r="CC176" s="872"/>
      <c r="CD176" s="872"/>
      <c r="CE176" s="872"/>
      <c r="CF176" s="876"/>
    </row>
    <row r="177" spans="1:84" ht="12.95" customHeight="1" x14ac:dyDescent="0.25">
      <c r="A177" s="282">
        <v>35</v>
      </c>
      <c r="B177" s="213">
        <v>2306</v>
      </c>
      <c r="C177" s="213">
        <v>650025873</v>
      </c>
      <c r="D177" s="283">
        <v>70695946</v>
      </c>
      <c r="E177" s="212" t="s">
        <v>518</v>
      </c>
      <c r="F177" s="213">
        <v>3143</v>
      </c>
      <c r="G177" s="325" t="s">
        <v>596</v>
      </c>
      <c r="H177" s="287" t="s">
        <v>271</v>
      </c>
      <c r="I177" s="423">
        <f t="shared" si="501"/>
        <v>766407</v>
      </c>
      <c r="J177" s="418">
        <f t="shared" si="502"/>
        <v>568551</v>
      </c>
      <c r="K177" s="418">
        <v>568551</v>
      </c>
      <c r="L177" s="418">
        <v>0</v>
      </c>
      <c r="M177" s="418">
        <f t="shared" si="503"/>
        <v>0</v>
      </c>
      <c r="N177" s="418">
        <v>0</v>
      </c>
      <c r="O177" s="418">
        <v>0</v>
      </c>
      <c r="P177" s="68">
        <f t="shared" si="504"/>
        <v>192170</v>
      </c>
      <c r="Q177" s="68">
        <f>ROUND(J177*1%,0)</f>
        <v>5686</v>
      </c>
      <c r="R177" s="418">
        <v>0</v>
      </c>
      <c r="S177" s="419">
        <f t="shared" si="429"/>
        <v>1.1341000000000001</v>
      </c>
      <c r="T177" s="419">
        <v>1.1341000000000001</v>
      </c>
      <c r="U177" s="527">
        <v>0</v>
      </c>
      <c r="V177" s="427">
        <f t="shared" si="505"/>
        <v>0</v>
      </c>
      <c r="W177" s="421">
        <f t="shared" si="505"/>
        <v>0</v>
      </c>
      <c r="X177" s="421">
        <v>0</v>
      </c>
      <c r="Y177" s="421">
        <v>0</v>
      </c>
      <c r="Z177" s="421">
        <v>0</v>
      </c>
      <c r="AA177" s="421">
        <v>0</v>
      </c>
      <c r="AB177" s="421">
        <v>0</v>
      </c>
      <c r="AC177" s="421">
        <v>0</v>
      </c>
      <c r="AD177" s="421">
        <v>0</v>
      </c>
      <c r="AE177" s="421">
        <v>0</v>
      </c>
      <c r="AF177" s="421">
        <f t="shared" si="506"/>
        <v>0</v>
      </c>
      <c r="AG177" s="421">
        <f t="shared" si="507"/>
        <v>0</v>
      </c>
      <c r="AH177" s="421">
        <f t="shared" si="508"/>
        <v>0</v>
      </c>
      <c r="AI177" s="421">
        <v>0</v>
      </c>
      <c r="AJ177" s="421">
        <v>0</v>
      </c>
      <c r="AK177" s="421">
        <v>0</v>
      </c>
      <c r="AL177" s="421">
        <v>0</v>
      </c>
      <c r="AM177" s="421">
        <v>0</v>
      </c>
      <c r="AN177" s="421">
        <v>0</v>
      </c>
      <c r="AO177" s="421">
        <f t="shared" si="509"/>
        <v>0</v>
      </c>
      <c r="AP177" s="421">
        <f t="shared" si="510"/>
        <v>0</v>
      </c>
      <c r="AQ177" s="421">
        <f t="shared" si="511"/>
        <v>0</v>
      </c>
      <c r="AR177" s="421">
        <f t="shared" si="512"/>
        <v>0</v>
      </c>
      <c r="AS177" s="421">
        <f t="shared" si="512"/>
        <v>0</v>
      </c>
      <c r="AT177" s="421">
        <f t="shared" si="513"/>
        <v>0</v>
      </c>
      <c r="AU177" s="68">
        <f t="shared" si="514"/>
        <v>0</v>
      </c>
      <c r="AV177" s="68">
        <f t="shared" si="515"/>
        <v>0</v>
      </c>
      <c r="AW177" s="421">
        <v>0</v>
      </c>
      <c r="AX177" s="421">
        <v>0</v>
      </c>
      <c r="AY177" s="421">
        <f t="shared" si="516"/>
        <v>0</v>
      </c>
      <c r="AZ177" s="421">
        <f t="shared" si="517"/>
        <v>0</v>
      </c>
      <c r="BA177" s="422">
        <v>0</v>
      </c>
      <c r="BB177" s="422">
        <v>0</v>
      </c>
      <c r="BC177" s="422">
        <v>0</v>
      </c>
      <c r="BD177" s="422">
        <v>0</v>
      </c>
      <c r="BE177" s="422">
        <v>0</v>
      </c>
      <c r="BF177" s="422">
        <v>0</v>
      </c>
      <c r="BG177" s="422">
        <v>0</v>
      </c>
      <c r="BH177" s="422">
        <v>0</v>
      </c>
      <c r="BI177" s="422">
        <v>0</v>
      </c>
      <c r="BJ177" s="422">
        <v>0</v>
      </c>
      <c r="BK177" s="422">
        <f t="shared" si="518"/>
        <v>0</v>
      </c>
      <c r="BL177" s="422">
        <f t="shared" si="519"/>
        <v>0</v>
      </c>
      <c r="BM177" s="611">
        <f t="shared" si="520"/>
        <v>0</v>
      </c>
      <c r="BN177" s="428">
        <f t="shared" si="521"/>
        <v>766407</v>
      </c>
      <c r="BO177" s="421">
        <f t="shared" si="522"/>
        <v>568551</v>
      </c>
      <c r="BP177" s="421">
        <f t="shared" si="523"/>
        <v>568551</v>
      </c>
      <c r="BQ177" s="421">
        <f t="shared" si="523"/>
        <v>0</v>
      </c>
      <c r="BR177" s="421">
        <f t="shared" si="524"/>
        <v>0</v>
      </c>
      <c r="BS177" s="421">
        <f t="shared" si="525"/>
        <v>0</v>
      </c>
      <c r="BT177" s="421">
        <f t="shared" si="525"/>
        <v>0</v>
      </c>
      <c r="BU177" s="421">
        <f t="shared" si="526"/>
        <v>192170</v>
      </c>
      <c r="BV177" s="421">
        <f t="shared" si="526"/>
        <v>5686</v>
      </c>
      <c r="BW177" s="421">
        <f t="shared" si="527"/>
        <v>0</v>
      </c>
      <c r="BX177" s="422">
        <f t="shared" si="528"/>
        <v>1.1341000000000001</v>
      </c>
      <c r="BY177" s="422">
        <f t="shared" si="529"/>
        <v>1.1341000000000001</v>
      </c>
      <c r="BZ177" s="611">
        <f t="shared" si="529"/>
        <v>0</v>
      </c>
      <c r="CA177" s="875"/>
      <c r="CB177" s="872"/>
      <c r="CC177" s="872"/>
      <c r="CD177" s="872"/>
      <c r="CE177" s="872"/>
      <c r="CF177" s="876"/>
    </row>
    <row r="178" spans="1:84" ht="12.95" customHeight="1" x14ac:dyDescent="0.25">
      <c r="A178" s="282">
        <v>35</v>
      </c>
      <c r="B178" s="213">
        <v>2306</v>
      </c>
      <c r="C178" s="213">
        <v>650025873</v>
      </c>
      <c r="D178" s="283">
        <v>70695946</v>
      </c>
      <c r="E178" s="212" t="s">
        <v>518</v>
      </c>
      <c r="F178" s="213">
        <v>3143</v>
      </c>
      <c r="G178" s="325" t="s">
        <v>597</v>
      </c>
      <c r="H178" s="287" t="s">
        <v>272</v>
      </c>
      <c r="I178" s="423">
        <f t="shared" si="501"/>
        <v>13831</v>
      </c>
      <c r="J178" s="418">
        <f t="shared" si="502"/>
        <v>9900</v>
      </c>
      <c r="K178" s="418">
        <v>0</v>
      </c>
      <c r="L178" s="418">
        <v>9900</v>
      </c>
      <c r="M178" s="418">
        <f t="shared" si="503"/>
        <v>0</v>
      </c>
      <c r="N178" s="418">
        <v>0</v>
      </c>
      <c r="O178" s="418">
        <v>0</v>
      </c>
      <c r="P178" s="68">
        <f t="shared" si="504"/>
        <v>3346</v>
      </c>
      <c r="Q178" s="68">
        <f>ROUND(J178*1%,0)</f>
        <v>99</v>
      </c>
      <c r="R178" s="418">
        <v>486</v>
      </c>
      <c r="S178" s="419">
        <f t="shared" si="429"/>
        <v>3.7499999999999999E-2</v>
      </c>
      <c r="T178" s="419">
        <v>0</v>
      </c>
      <c r="U178" s="527">
        <v>3.7499999999999999E-2</v>
      </c>
      <c r="V178" s="427">
        <f t="shared" si="505"/>
        <v>0</v>
      </c>
      <c r="W178" s="421">
        <f t="shared" si="505"/>
        <v>0</v>
      </c>
      <c r="X178" s="421">
        <v>0</v>
      </c>
      <c r="Y178" s="421">
        <v>0</v>
      </c>
      <c r="Z178" s="421">
        <v>0</v>
      </c>
      <c r="AA178" s="421">
        <v>0</v>
      </c>
      <c r="AB178" s="421">
        <v>0</v>
      </c>
      <c r="AC178" s="421">
        <v>0</v>
      </c>
      <c r="AD178" s="421">
        <v>0</v>
      </c>
      <c r="AE178" s="421">
        <v>0</v>
      </c>
      <c r="AF178" s="421">
        <f t="shared" si="506"/>
        <v>0</v>
      </c>
      <c r="AG178" s="421">
        <f t="shared" si="507"/>
        <v>0</v>
      </c>
      <c r="AH178" s="421">
        <f t="shared" si="508"/>
        <v>0</v>
      </c>
      <c r="AI178" s="421">
        <v>0</v>
      </c>
      <c r="AJ178" s="421">
        <v>0</v>
      </c>
      <c r="AK178" s="421">
        <v>0</v>
      </c>
      <c r="AL178" s="421">
        <v>0</v>
      </c>
      <c r="AM178" s="421">
        <v>0</v>
      </c>
      <c r="AN178" s="421">
        <v>0</v>
      </c>
      <c r="AO178" s="421">
        <f t="shared" si="509"/>
        <v>0</v>
      </c>
      <c r="AP178" s="421">
        <f t="shared" si="510"/>
        <v>0</v>
      </c>
      <c r="AQ178" s="421">
        <f t="shared" si="511"/>
        <v>0</v>
      </c>
      <c r="AR178" s="421">
        <f t="shared" si="512"/>
        <v>0</v>
      </c>
      <c r="AS178" s="421">
        <f t="shared" si="512"/>
        <v>0</v>
      </c>
      <c r="AT178" s="421">
        <f t="shared" si="513"/>
        <v>0</v>
      </c>
      <c r="AU178" s="68">
        <f t="shared" si="514"/>
        <v>0</v>
      </c>
      <c r="AV178" s="68">
        <f t="shared" si="515"/>
        <v>0</v>
      </c>
      <c r="AW178" s="421">
        <v>0</v>
      </c>
      <c r="AX178" s="421">
        <v>0</v>
      </c>
      <c r="AY178" s="421">
        <f t="shared" si="516"/>
        <v>0</v>
      </c>
      <c r="AZ178" s="421">
        <f t="shared" si="517"/>
        <v>0</v>
      </c>
      <c r="BA178" s="422">
        <v>0</v>
      </c>
      <c r="BB178" s="422">
        <v>0</v>
      </c>
      <c r="BC178" s="422">
        <v>0</v>
      </c>
      <c r="BD178" s="422">
        <v>0</v>
      </c>
      <c r="BE178" s="422">
        <v>0</v>
      </c>
      <c r="BF178" s="422">
        <v>0</v>
      </c>
      <c r="BG178" s="422">
        <v>0</v>
      </c>
      <c r="BH178" s="422">
        <v>0</v>
      </c>
      <c r="BI178" s="422">
        <v>0</v>
      </c>
      <c r="BJ178" s="422">
        <v>0</v>
      </c>
      <c r="BK178" s="422">
        <f t="shared" si="518"/>
        <v>0</v>
      </c>
      <c r="BL178" s="422">
        <f t="shared" si="519"/>
        <v>0</v>
      </c>
      <c r="BM178" s="611">
        <f t="shared" si="520"/>
        <v>0</v>
      </c>
      <c r="BN178" s="428">
        <f t="shared" si="521"/>
        <v>13831</v>
      </c>
      <c r="BO178" s="421">
        <f t="shared" si="522"/>
        <v>9900</v>
      </c>
      <c r="BP178" s="421">
        <f t="shared" si="523"/>
        <v>0</v>
      </c>
      <c r="BQ178" s="421">
        <f t="shared" si="523"/>
        <v>9900</v>
      </c>
      <c r="BR178" s="421">
        <f t="shared" si="524"/>
        <v>0</v>
      </c>
      <c r="BS178" s="421">
        <f t="shared" si="525"/>
        <v>0</v>
      </c>
      <c r="BT178" s="421">
        <f t="shared" si="525"/>
        <v>0</v>
      </c>
      <c r="BU178" s="421">
        <f t="shared" si="526"/>
        <v>3346</v>
      </c>
      <c r="BV178" s="421">
        <f t="shared" si="526"/>
        <v>99</v>
      </c>
      <c r="BW178" s="421">
        <f t="shared" si="527"/>
        <v>486</v>
      </c>
      <c r="BX178" s="422">
        <f t="shared" si="528"/>
        <v>3.7499999999999999E-2</v>
      </c>
      <c r="BY178" s="422">
        <f t="shared" si="529"/>
        <v>0</v>
      </c>
      <c r="BZ178" s="611">
        <f t="shared" si="529"/>
        <v>3.7499999999999999E-2</v>
      </c>
      <c r="CA178" s="875"/>
      <c r="CB178" s="872"/>
      <c r="CC178" s="872"/>
      <c r="CD178" s="872"/>
      <c r="CE178" s="872"/>
      <c r="CF178" s="876"/>
    </row>
    <row r="179" spans="1:84" ht="12.95" customHeight="1" x14ac:dyDescent="0.25">
      <c r="A179" s="215">
        <v>35</v>
      </c>
      <c r="B179" s="45">
        <v>2306</v>
      </c>
      <c r="C179" s="45">
        <v>650025873</v>
      </c>
      <c r="D179" s="45">
        <v>70695946</v>
      </c>
      <c r="E179" s="376" t="s">
        <v>519</v>
      </c>
      <c r="F179" s="45"/>
      <c r="G179" s="376"/>
      <c r="H179" s="183"/>
      <c r="I179" s="472">
        <f t="shared" ref="I179:BT179" si="531">SUM(I173:I178)</f>
        <v>7281917</v>
      </c>
      <c r="J179" s="468">
        <f t="shared" si="531"/>
        <v>5368039</v>
      </c>
      <c r="K179" s="468">
        <f t="shared" si="531"/>
        <v>4456637</v>
      </c>
      <c r="L179" s="468">
        <f t="shared" si="531"/>
        <v>911402</v>
      </c>
      <c r="M179" s="468">
        <f t="shared" si="531"/>
        <v>0</v>
      </c>
      <c r="N179" s="468">
        <f t="shared" si="531"/>
        <v>0</v>
      </c>
      <c r="O179" s="468">
        <f t="shared" si="531"/>
        <v>0</v>
      </c>
      <c r="P179" s="468">
        <f t="shared" si="531"/>
        <v>1814397</v>
      </c>
      <c r="Q179" s="468">
        <f t="shared" si="531"/>
        <v>53680</v>
      </c>
      <c r="R179" s="468">
        <f t="shared" si="531"/>
        <v>45801</v>
      </c>
      <c r="S179" s="469">
        <f t="shared" si="531"/>
        <v>10.572999999999999</v>
      </c>
      <c r="T179" s="469">
        <f t="shared" si="531"/>
        <v>7.7690000000000001</v>
      </c>
      <c r="U179" s="281">
        <f t="shared" si="531"/>
        <v>2.8039999999999998</v>
      </c>
      <c r="V179" s="474">
        <f t="shared" si="531"/>
        <v>0</v>
      </c>
      <c r="W179" s="468">
        <f t="shared" si="531"/>
        <v>0</v>
      </c>
      <c r="X179" s="468">
        <f t="shared" si="531"/>
        <v>236905</v>
      </c>
      <c r="Y179" s="468">
        <f t="shared" si="531"/>
        <v>0</v>
      </c>
      <c r="Z179" s="468">
        <f t="shared" si="531"/>
        <v>0</v>
      </c>
      <c r="AA179" s="468">
        <f t="shared" si="531"/>
        <v>0</v>
      </c>
      <c r="AB179" s="468">
        <f t="shared" si="531"/>
        <v>0</v>
      </c>
      <c r="AC179" s="468">
        <f t="shared" si="531"/>
        <v>0</v>
      </c>
      <c r="AD179" s="468">
        <f t="shared" si="531"/>
        <v>0</v>
      </c>
      <c r="AE179" s="468">
        <f t="shared" si="531"/>
        <v>0</v>
      </c>
      <c r="AF179" s="468">
        <f t="shared" si="531"/>
        <v>236905</v>
      </c>
      <c r="AG179" s="468">
        <f t="shared" si="531"/>
        <v>0</v>
      </c>
      <c r="AH179" s="468">
        <f t="shared" si="531"/>
        <v>236905</v>
      </c>
      <c r="AI179" s="468">
        <f t="shared" si="531"/>
        <v>0</v>
      </c>
      <c r="AJ179" s="468">
        <f t="shared" si="531"/>
        <v>0</v>
      </c>
      <c r="AK179" s="468">
        <f t="shared" ref="AK179" si="532">SUM(AK173:AK178)</f>
        <v>0</v>
      </c>
      <c r="AL179" s="468">
        <f t="shared" si="531"/>
        <v>0</v>
      </c>
      <c r="AM179" s="468">
        <f t="shared" si="531"/>
        <v>0</v>
      </c>
      <c r="AN179" s="468">
        <f t="shared" si="531"/>
        <v>0</v>
      </c>
      <c r="AO179" s="468">
        <f t="shared" si="531"/>
        <v>0</v>
      </c>
      <c r="AP179" s="468">
        <f t="shared" si="531"/>
        <v>0</v>
      </c>
      <c r="AQ179" s="468">
        <f t="shared" si="531"/>
        <v>0</v>
      </c>
      <c r="AR179" s="468">
        <f t="shared" si="531"/>
        <v>236905</v>
      </c>
      <c r="AS179" s="468">
        <f t="shared" si="531"/>
        <v>0</v>
      </c>
      <c r="AT179" s="468">
        <f t="shared" si="531"/>
        <v>236905</v>
      </c>
      <c r="AU179" s="468">
        <f t="shared" si="531"/>
        <v>80074</v>
      </c>
      <c r="AV179" s="468">
        <f t="shared" si="531"/>
        <v>2369</v>
      </c>
      <c r="AW179" s="468">
        <f t="shared" si="531"/>
        <v>0</v>
      </c>
      <c r="AX179" s="468">
        <f t="shared" si="531"/>
        <v>0</v>
      </c>
      <c r="AY179" s="468">
        <f t="shared" si="531"/>
        <v>0</v>
      </c>
      <c r="AZ179" s="468">
        <f t="shared" si="531"/>
        <v>319348</v>
      </c>
      <c r="BA179" s="469">
        <f t="shared" si="531"/>
        <v>0</v>
      </c>
      <c r="BB179" s="469">
        <f t="shared" si="531"/>
        <v>0</v>
      </c>
      <c r="BC179" s="469">
        <f t="shared" si="531"/>
        <v>0.64</v>
      </c>
      <c r="BD179" s="469">
        <f t="shared" si="531"/>
        <v>0</v>
      </c>
      <c r="BE179" s="469">
        <f t="shared" si="531"/>
        <v>0</v>
      </c>
      <c r="BF179" s="469">
        <f t="shared" si="531"/>
        <v>0</v>
      </c>
      <c r="BG179" s="469">
        <f t="shared" si="531"/>
        <v>0</v>
      </c>
      <c r="BH179" s="469">
        <f t="shared" si="531"/>
        <v>0</v>
      </c>
      <c r="BI179" s="469">
        <f t="shared" si="531"/>
        <v>0</v>
      </c>
      <c r="BJ179" s="469">
        <f t="shared" si="531"/>
        <v>0</v>
      </c>
      <c r="BK179" s="469">
        <f t="shared" si="531"/>
        <v>0.64</v>
      </c>
      <c r="BL179" s="469">
        <f t="shared" si="531"/>
        <v>0</v>
      </c>
      <c r="BM179" s="562">
        <f t="shared" si="531"/>
        <v>0.64</v>
      </c>
      <c r="BN179" s="472">
        <f t="shared" si="531"/>
        <v>7601265</v>
      </c>
      <c r="BO179" s="468">
        <f t="shared" si="531"/>
        <v>5604944</v>
      </c>
      <c r="BP179" s="468">
        <f t="shared" si="531"/>
        <v>4693542</v>
      </c>
      <c r="BQ179" s="468">
        <f t="shared" si="531"/>
        <v>911402</v>
      </c>
      <c r="BR179" s="468">
        <f t="shared" si="531"/>
        <v>0</v>
      </c>
      <c r="BS179" s="468">
        <f t="shared" si="531"/>
        <v>0</v>
      </c>
      <c r="BT179" s="468">
        <f t="shared" si="531"/>
        <v>0</v>
      </c>
      <c r="BU179" s="468">
        <f t="shared" ref="BU179:CF179" si="533">SUM(BU173:BU178)</f>
        <v>1894471</v>
      </c>
      <c r="BV179" s="468">
        <f t="shared" si="533"/>
        <v>56049</v>
      </c>
      <c r="BW179" s="468">
        <f t="shared" si="533"/>
        <v>45801</v>
      </c>
      <c r="BX179" s="469">
        <f t="shared" si="533"/>
        <v>11.212999999999999</v>
      </c>
      <c r="BY179" s="469">
        <f t="shared" si="533"/>
        <v>8.4089999999999989</v>
      </c>
      <c r="BZ179" s="562">
        <f t="shared" si="533"/>
        <v>2.8039999999999998</v>
      </c>
      <c r="CA179" s="873">
        <f t="shared" si="533"/>
        <v>0</v>
      </c>
      <c r="CB179" s="850">
        <f t="shared" si="533"/>
        <v>0</v>
      </c>
      <c r="CC179" s="850">
        <f t="shared" si="533"/>
        <v>0</v>
      </c>
      <c r="CD179" s="850">
        <f t="shared" si="533"/>
        <v>0</v>
      </c>
      <c r="CE179" s="850">
        <f t="shared" si="533"/>
        <v>0</v>
      </c>
      <c r="CF179" s="841">
        <f t="shared" si="533"/>
        <v>0</v>
      </c>
    </row>
    <row r="180" spans="1:84" ht="12.95" customHeight="1" x14ac:dyDescent="0.25">
      <c r="A180" s="282">
        <v>36</v>
      </c>
      <c r="B180" s="383">
        <v>2447</v>
      </c>
      <c r="C180" s="383">
        <v>600080111</v>
      </c>
      <c r="D180" s="283">
        <v>72744961</v>
      </c>
      <c r="E180" s="391" t="s">
        <v>520</v>
      </c>
      <c r="F180" s="383">
        <v>3117</v>
      </c>
      <c r="G180" s="374" t="s">
        <v>309</v>
      </c>
      <c r="H180" s="287" t="s">
        <v>271</v>
      </c>
      <c r="I180" s="423">
        <f>J180+P180+Q180+R180</f>
        <v>3106024</v>
      </c>
      <c r="J180" s="418">
        <f>K180+L180</f>
        <v>2269866</v>
      </c>
      <c r="K180" s="418">
        <v>2040871</v>
      </c>
      <c r="L180" s="418">
        <v>228995</v>
      </c>
      <c r="M180" s="418">
        <f t="shared" ref="M180:M184" si="534">N180+O180</f>
        <v>0</v>
      </c>
      <c r="N180" s="418">
        <v>0</v>
      </c>
      <c r="O180" s="418">
        <v>0</v>
      </c>
      <c r="P180" s="68">
        <f>ROUND((J180+M180)*33.8%,0)-1</f>
        <v>767214</v>
      </c>
      <c r="Q180" s="68">
        <f>ROUND(J180*1%,0)-1</f>
        <v>22698</v>
      </c>
      <c r="R180" s="418">
        <v>46246</v>
      </c>
      <c r="S180" s="419">
        <f t="shared" si="429"/>
        <v>3.8133999999999997</v>
      </c>
      <c r="T180" s="419">
        <v>3.2229999999999999</v>
      </c>
      <c r="U180" s="527">
        <v>0.59040000000000004</v>
      </c>
      <c r="V180" s="427">
        <f t="shared" ref="V180:W184" si="535">AI180*-1</f>
        <v>0</v>
      </c>
      <c r="W180" s="421">
        <f t="shared" si="535"/>
        <v>0</v>
      </c>
      <c r="X180" s="421">
        <v>0</v>
      </c>
      <c r="Y180" s="421">
        <v>0</v>
      </c>
      <c r="Z180" s="421">
        <v>0</v>
      </c>
      <c r="AA180" s="421">
        <v>0</v>
      </c>
      <c r="AB180" s="421">
        <v>0</v>
      </c>
      <c r="AC180" s="421">
        <v>0</v>
      </c>
      <c r="AD180" s="421">
        <v>0</v>
      </c>
      <c r="AE180" s="421">
        <v>0</v>
      </c>
      <c r="AF180" s="421">
        <f>V180+X180+Y180+AA180+AB180+AD180</f>
        <v>0</v>
      </c>
      <c r="AG180" s="421">
        <f>W180+Z180+AC180+AE180</f>
        <v>0</v>
      </c>
      <c r="AH180" s="421">
        <f>SUM(AF180:AG180)</f>
        <v>0</v>
      </c>
      <c r="AI180" s="421">
        <v>0</v>
      </c>
      <c r="AJ180" s="421">
        <v>0</v>
      </c>
      <c r="AK180" s="421">
        <v>0</v>
      </c>
      <c r="AL180" s="421">
        <v>0</v>
      </c>
      <c r="AM180" s="421">
        <v>0</v>
      </c>
      <c r="AN180" s="421">
        <v>0</v>
      </c>
      <c r="AO180" s="421">
        <f t="shared" ref="AO180:AO184" si="536">AI180+AK180+AL180+AM180</f>
        <v>0</v>
      </c>
      <c r="AP180" s="421">
        <f>AJ180+AN180</f>
        <v>0</v>
      </c>
      <c r="AQ180" s="421">
        <f>SUM(AO180:AP180)</f>
        <v>0</v>
      </c>
      <c r="AR180" s="421">
        <f t="shared" ref="AR180:AS184" si="537">AF180+AO180</f>
        <v>0</v>
      </c>
      <c r="AS180" s="421">
        <f t="shared" si="537"/>
        <v>0</v>
      </c>
      <c r="AT180" s="421">
        <f>SUM(AR180:AS180)</f>
        <v>0</v>
      </c>
      <c r="AU180" s="68">
        <f t="shared" ref="AU180:AU184" si="538">ROUND((AH180+AI180+AJ180+AK180+AL180)*33.8%,0)</f>
        <v>0</v>
      </c>
      <c r="AV180" s="68">
        <f>ROUND(AH180*1%,0)</f>
        <v>0</v>
      </c>
      <c r="AW180" s="421">
        <v>0</v>
      </c>
      <c r="AX180" s="421">
        <v>0</v>
      </c>
      <c r="AY180" s="421">
        <f>AW180+AX180</f>
        <v>0</v>
      </c>
      <c r="AZ180" s="421">
        <f>AT180+AU180+AV180+AY180</f>
        <v>0</v>
      </c>
      <c r="BA180" s="422">
        <v>0</v>
      </c>
      <c r="BB180" s="422">
        <v>0</v>
      </c>
      <c r="BC180" s="422">
        <v>0</v>
      </c>
      <c r="BD180" s="422">
        <v>0</v>
      </c>
      <c r="BE180" s="422">
        <v>0</v>
      </c>
      <c r="BF180" s="422">
        <v>0</v>
      </c>
      <c r="BG180" s="422">
        <v>0</v>
      </c>
      <c r="BH180" s="422">
        <v>0</v>
      </c>
      <c r="BI180" s="422">
        <v>0</v>
      </c>
      <c r="BJ180" s="422">
        <v>0</v>
      </c>
      <c r="BK180" s="422">
        <f>BA180+BC180+BD180+BF180+BH180+BI180</f>
        <v>0</v>
      </c>
      <c r="BL180" s="422">
        <f>BB180+BE180+BG180+BJ180</f>
        <v>0</v>
      </c>
      <c r="BM180" s="611">
        <f>SUM(BK180:BL180)</f>
        <v>0</v>
      </c>
      <c r="BN180" s="428">
        <f>I180+AZ180</f>
        <v>3106024</v>
      </c>
      <c r="BO180" s="421">
        <f>J180+AH180</f>
        <v>2269866</v>
      </c>
      <c r="BP180" s="421">
        <f t="shared" ref="BP180:BQ184" si="539">K180+AF180</f>
        <v>2040871</v>
      </c>
      <c r="BQ180" s="421">
        <f t="shared" si="539"/>
        <v>228995</v>
      </c>
      <c r="BR180" s="421">
        <f>M180+AQ180</f>
        <v>0</v>
      </c>
      <c r="BS180" s="421">
        <f t="shared" ref="BS180:BT184" si="540">N180+AO180</f>
        <v>0</v>
      </c>
      <c r="BT180" s="421">
        <f t="shared" si="540"/>
        <v>0</v>
      </c>
      <c r="BU180" s="421">
        <f t="shared" ref="BU180:BV184" si="541">P180+AU180</f>
        <v>767214</v>
      </c>
      <c r="BV180" s="421">
        <f t="shared" si="541"/>
        <v>22698</v>
      </c>
      <c r="BW180" s="421">
        <f>R180+AY180</f>
        <v>46246</v>
      </c>
      <c r="BX180" s="422">
        <f>S180+BM180</f>
        <v>3.8133999999999997</v>
      </c>
      <c r="BY180" s="422">
        <f t="shared" ref="BY180:BZ184" si="542">T180+BK180</f>
        <v>3.2229999999999999</v>
      </c>
      <c r="BZ180" s="611">
        <f t="shared" si="542"/>
        <v>0.59040000000000004</v>
      </c>
      <c r="CA180" s="875"/>
      <c r="CB180" s="872"/>
      <c r="CC180" s="872"/>
      <c r="CD180" s="872"/>
      <c r="CE180" s="872"/>
      <c r="CF180" s="876"/>
    </row>
    <row r="181" spans="1:84" ht="12.95" customHeight="1" x14ac:dyDescent="0.25">
      <c r="A181" s="282">
        <v>36</v>
      </c>
      <c r="B181" s="378">
        <v>2447</v>
      </c>
      <c r="C181" s="378">
        <v>600080111</v>
      </c>
      <c r="D181" s="283">
        <v>72744961</v>
      </c>
      <c r="E181" s="212" t="s">
        <v>520</v>
      </c>
      <c r="F181" s="383">
        <v>3117</v>
      </c>
      <c r="G181" s="325" t="s">
        <v>292</v>
      </c>
      <c r="H181" s="287" t="s">
        <v>272</v>
      </c>
      <c r="I181" s="423">
        <f>J181+P181+Q181+R181</f>
        <v>0</v>
      </c>
      <c r="J181" s="418">
        <f>K181+L181</f>
        <v>0</v>
      </c>
      <c r="K181" s="418">
        <v>0</v>
      </c>
      <c r="L181" s="418">
        <v>0</v>
      </c>
      <c r="M181" s="418">
        <f t="shared" si="534"/>
        <v>0</v>
      </c>
      <c r="N181" s="418">
        <v>0</v>
      </c>
      <c r="O181" s="418">
        <v>0</v>
      </c>
      <c r="P181" s="68">
        <f t="shared" ref="P181" si="543">ROUND((J181+M181)*33.8%,0)</f>
        <v>0</v>
      </c>
      <c r="Q181" s="68">
        <f t="shared" ref="Q181" si="544">ROUND(J181*1%,0)</f>
        <v>0</v>
      </c>
      <c r="R181" s="418">
        <v>0</v>
      </c>
      <c r="S181" s="419">
        <f t="shared" si="429"/>
        <v>0</v>
      </c>
      <c r="T181" s="419">
        <v>0</v>
      </c>
      <c r="U181" s="527">
        <v>0</v>
      </c>
      <c r="V181" s="427">
        <f t="shared" si="535"/>
        <v>0</v>
      </c>
      <c r="W181" s="421">
        <f t="shared" si="535"/>
        <v>0</v>
      </c>
      <c r="X181" s="421">
        <v>0</v>
      </c>
      <c r="Y181" s="421">
        <v>0</v>
      </c>
      <c r="Z181" s="421">
        <v>0</v>
      </c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f>V181+X181+Y181+AA181+AB181+AD181</f>
        <v>0</v>
      </c>
      <c r="AG181" s="421">
        <f>W181+Z181+AC181+AE181</f>
        <v>0</v>
      </c>
      <c r="AH181" s="421">
        <f>SUM(AF181:AG181)</f>
        <v>0</v>
      </c>
      <c r="AI181" s="421">
        <v>0</v>
      </c>
      <c r="AJ181" s="421">
        <v>0</v>
      </c>
      <c r="AK181" s="421">
        <v>0</v>
      </c>
      <c r="AL181" s="421">
        <v>0</v>
      </c>
      <c r="AM181" s="421">
        <v>0</v>
      </c>
      <c r="AN181" s="421">
        <v>0</v>
      </c>
      <c r="AO181" s="421">
        <f t="shared" si="536"/>
        <v>0</v>
      </c>
      <c r="AP181" s="421">
        <f>AJ181+AN181</f>
        <v>0</v>
      </c>
      <c r="AQ181" s="421">
        <f>SUM(AO181:AP181)</f>
        <v>0</v>
      </c>
      <c r="AR181" s="421">
        <f t="shared" si="537"/>
        <v>0</v>
      </c>
      <c r="AS181" s="421">
        <f t="shared" si="537"/>
        <v>0</v>
      </c>
      <c r="AT181" s="421">
        <f>SUM(AR181:AS181)</f>
        <v>0</v>
      </c>
      <c r="AU181" s="68">
        <f t="shared" si="538"/>
        <v>0</v>
      </c>
      <c r="AV181" s="68">
        <f>ROUND(AH181*1%,0)</f>
        <v>0</v>
      </c>
      <c r="AW181" s="421">
        <v>0</v>
      </c>
      <c r="AX181" s="421">
        <v>0</v>
      </c>
      <c r="AY181" s="421">
        <f>AW181+AX181</f>
        <v>0</v>
      </c>
      <c r="AZ181" s="421">
        <f>AT181+AU181+AV181+AY181</f>
        <v>0</v>
      </c>
      <c r="BA181" s="422">
        <v>0</v>
      </c>
      <c r="BB181" s="422">
        <v>0</v>
      </c>
      <c r="BC181" s="422">
        <v>0</v>
      </c>
      <c r="BD181" s="422">
        <v>0</v>
      </c>
      <c r="BE181" s="422">
        <v>0</v>
      </c>
      <c r="BF181" s="422">
        <v>0</v>
      </c>
      <c r="BG181" s="422">
        <v>0</v>
      </c>
      <c r="BH181" s="422">
        <v>0</v>
      </c>
      <c r="BI181" s="422">
        <v>0</v>
      </c>
      <c r="BJ181" s="422">
        <v>0</v>
      </c>
      <c r="BK181" s="422">
        <f>BA181+BC181+BD181+BF181+BH181+BI181</f>
        <v>0</v>
      </c>
      <c r="BL181" s="422">
        <f>BB181+BE181+BG181+BJ181</f>
        <v>0</v>
      </c>
      <c r="BM181" s="611">
        <f>SUM(BK181:BL181)</f>
        <v>0</v>
      </c>
      <c r="BN181" s="428">
        <f>I181+AZ181</f>
        <v>0</v>
      </c>
      <c r="BO181" s="421">
        <f>J181+AH181</f>
        <v>0</v>
      </c>
      <c r="BP181" s="421">
        <f t="shared" si="539"/>
        <v>0</v>
      </c>
      <c r="BQ181" s="421">
        <f t="shared" si="539"/>
        <v>0</v>
      </c>
      <c r="BR181" s="421">
        <f>M181+AQ181</f>
        <v>0</v>
      </c>
      <c r="BS181" s="421">
        <f t="shared" si="540"/>
        <v>0</v>
      </c>
      <c r="BT181" s="421">
        <f t="shared" si="540"/>
        <v>0</v>
      </c>
      <c r="BU181" s="421">
        <f t="shared" si="541"/>
        <v>0</v>
      </c>
      <c r="BV181" s="421">
        <f t="shared" si="541"/>
        <v>0</v>
      </c>
      <c r="BW181" s="421">
        <f>R181+AY181</f>
        <v>0</v>
      </c>
      <c r="BX181" s="422">
        <f>S181+BM181</f>
        <v>0</v>
      </c>
      <c r="BY181" s="422">
        <f t="shared" si="542"/>
        <v>0</v>
      </c>
      <c r="BZ181" s="611">
        <f t="shared" si="542"/>
        <v>0</v>
      </c>
      <c r="CA181" s="875"/>
      <c r="CB181" s="872"/>
      <c r="CC181" s="872"/>
      <c r="CD181" s="872"/>
      <c r="CE181" s="872"/>
      <c r="CF181" s="876"/>
    </row>
    <row r="182" spans="1:84" ht="12.95" customHeight="1" x14ac:dyDescent="0.25">
      <c r="A182" s="282">
        <v>36</v>
      </c>
      <c r="B182" s="213">
        <v>2447</v>
      </c>
      <c r="C182" s="213">
        <v>600080111</v>
      </c>
      <c r="D182" s="283">
        <v>72744961</v>
      </c>
      <c r="E182" s="373" t="s">
        <v>520</v>
      </c>
      <c r="F182" s="384">
        <v>3141</v>
      </c>
      <c r="G182" s="375" t="s">
        <v>295</v>
      </c>
      <c r="H182" s="287" t="s">
        <v>272</v>
      </c>
      <c r="I182" s="423">
        <f>J182+P182+Q182+R182</f>
        <v>114717</v>
      </c>
      <c r="J182" s="418">
        <f>K182+L182</f>
        <v>84470</v>
      </c>
      <c r="K182" s="418">
        <v>0</v>
      </c>
      <c r="L182" s="418">
        <v>84470</v>
      </c>
      <c r="M182" s="418">
        <f t="shared" si="534"/>
        <v>0</v>
      </c>
      <c r="N182" s="418">
        <v>0</v>
      </c>
      <c r="O182" s="418">
        <v>0</v>
      </c>
      <c r="P182" s="68">
        <f>ROUND((J182+M182)*33.8%,0)</f>
        <v>28551</v>
      </c>
      <c r="Q182" s="68">
        <f>ROUND(J182*1%,0)</f>
        <v>845</v>
      </c>
      <c r="R182" s="418">
        <v>851</v>
      </c>
      <c r="S182" s="419">
        <f t="shared" si="429"/>
        <v>0.25330000000000003</v>
      </c>
      <c r="T182" s="419">
        <v>0</v>
      </c>
      <c r="U182" s="527">
        <v>0.25330000000000003</v>
      </c>
      <c r="V182" s="427">
        <f t="shared" si="535"/>
        <v>0</v>
      </c>
      <c r="W182" s="421">
        <f t="shared" si="535"/>
        <v>0</v>
      </c>
      <c r="X182" s="421">
        <v>0</v>
      </c>
      <c r="Y182" s="421">
        <v>0</v>
      </c>
      <c r="Z182" s="421">
        <v>0</v>
      </c>
      <c r="AA182" s="421">
        <v>0</v>
      </c>
      <c r="AB182" s="421">
        <v>0</v>
      </c>
      <c r="AC182" s="421">
        <v>0</v>
      </c>
      <c r="AD182" s="421">
        <v>0</v>
      </c>
      <c r="AE182" s="421">
        <v>0</v>
      </c>
      <c r="AF182" s="421">
        <f>V182+X182+Y182+AA182+AB182+AD182</f>
        <v>0</v>
      </c>
      <c r="AG182" s="421">
        <f>W182+Z182+AC182+AE182</f>
        <v>0</v>
      </c>
      <c r="AH182" s="421">
        <f>SUM(AF182:AG182)</f>
        <v>0</v>
      </c>
      <c r="AI182" s="421">
        <v>0</v>
      </c>
      <c r="AJ182" s="421">
        <v>0</v>
      </c>
      <c r="AK182" s="421">
        <v>0</v>
      </c>
      <c r="AL182" s="421">
        <v>0</v>
      </c>
      <c r="AM182" s="421">
        <v>0</v>
      </c>
      <c r="AN182" s="421">
        <v>0</v>
      </c>
      <c r="AO182" s="421">
        <f t="shared" si="536"/>
        <v>0</v>
      </c>
      <c r="AP182" s="421">
        <f>AJ182+AN182</f>
        <v>0</v>
      </c>
      <c r="AQ182" s="421">
        <f>SUM(AO182:AP182)</f>
        <v>0</v>
      </c>
      <c r="AR182" s="421">
        <f t="shared" si="537"/>
        <v>0</v>
      </c>
      <c r="AS182" s="421">
        <f t="shared" si="537"/>
        <v>0</v>
      </c>
      <c r="AT182" s="421">
        <f>SUM(AR182:AS182)</f>
        <v>0</v>
      </c>
      <c r="AU182" s="68">
        <f t="shared" si="538"/>
        <v>0</v>
      </c>
      <c r="AV182" s="68">
        <f>ROUND(AH182*1%,0)</f>
        <v>0</v>
      </c>
      <c r="AW182" s="421">
        <v>0</v>
      </c>
      <c r="AX182" s="421">
        <v>0</v>
      </c>
      <c r="AY182" s="421">
        <f>AW182+AX182</f>
        <v>0</v>
      </c>
      <c r="AZ182" s="421">
        <f>AT182+AU182+AV182+AY182</f>
        <v>0</v>
      </c>
      <c r="BA182" s="422">
        <v>0</v>
      </c>
      <c r="BB182" s="422">
        <v>0</v>
      </c>
      <c r="BC182" s="422">
        <v>0</v>
      </c>
      <c r="BD182" s="422">
        <v>0</v>
      </c>
      <c r="BE182" s="422">
        <v>0</v>
      </c>
      <c r="BF182" s="422">
        <v>0</v>
      </c>
      <c r="BG182" s="422">
        <v>0</v>
      </c>
      <c r="BH182" s="422">
        <v>0</v>
      </c>
      <c r="BI182" s="422">
        <v>0</v>
      </c>
      <c r="BJ182" s="422">
        <v>0</v>
      </c>
      <c r="BK182" s="422">
        <f>BA182+BC182+BD182+BF182+BH182+BI182</f>
        <v>0</v>
      </c>
      <c r="BL182" s="422">
        <f>BB182+BE182+BG182+BJ182</f>
        <v>0</v>
      </c>
      <c r="BM182" s="611">
        <f>SUM(BK182:BL182)</f>
        <v>0</v>
      </c>
      <c r="BN182" s="428">
        <f>I182+AZ182</f>
        <v>114717</v>
      </c>
      <c r="BO182" s="421">
        <f>J182+AH182</f>
        <v>84470</v>
      </c>
      <c r="BP182" s="421">
        <f t="shared" si="539"/>
        <v>0</v>
      </c>
      <c r="BQ182" s="421">
        <f t="shared" si="539"/>
        <v>84470</v>
      </c>
      <c r="BR182" s="421">
        <f>M182+AQ182</f>
        <v>0</v>
      </c>
      <c r="BS182" s="421">
        <f t="shared" si="540"/>
        <v>0</v>
      </c>
      <c r="BT182" s="421">
        <f t="shared" si="540"/>
        <v>0</v>
      </c>
      <c r="BU182" s="421">
        <f t="shared" si="541"/>
        <v>28551</v>
      </c>
      <c r="BV182" s="421">
        <f t="shared" si="541"/>
        <v>845</v>
      </c>
      <c r="BW182" s="421">
        <f>R182+AY182</f>
        <v>851</v>
      </c>
      <c r="BX182" s="422">
        <f>S182+BM182</f>
        <v>0.25330000000000003</v>
      </c>
      <c r="BY182" s="422">
        <f t="shared" si="542"/>
        <v>0</v>
      </c>
      <c r="BZ182" s="611">
        <f t="shared" si="542"/>
        <v>0.25330000000000003</v>
      </c>
      <c r="CA182" s="875"/>
      <c r="CB182" s="872"/>
      <c r="CC182" s="872"/>
      <c r="CD182" s="872"/>
      <c r="CE182" s="872"/>
      <c r="CF182" s="876"/>
    </row>
    <row r="183" spans="1:84" ht="12.95" customHeight="1" x14ac:dyDescent="0.25">
      <c r="A183" s="282">
        <v>36</v>
      </c>
      <c r="B183" s="378">
        <v>2447</v>
      </c>
      <c r="C183" s="378">
        <v>600080111</v>
      </c>
      <c r="D183" s="283">
        <v>72744961</v>
      </c>
      <c r="E183" s="212" t="s">
        <v>520</v>
      </c>
      <c r="F183" s="378">
        <v>3143</v>
      </c>
      <c r="G183" s="325" t="s">
        <v>596</v>
      </c>
      <c r="H183" s="287" t="s">
        <v>271</v>
      </c>
      <c r="I183" s="423">
        <f>J183+P183+Q183+R183</f>
        <v>931982</v>
      </c>
      <c r="J183" s="418">
        <f>K183+L183</f>
        <v>691381</v>
      </c>
      <c r="K183" s="418">
        <v>691381</v>
      </c>
      <c r="L183" s="418">
        <v>0</v>
      </c>
      <c r="M183" s="418">
        <f t="shared" si="534"/>
        <v>0</v>
      </c>
      <c r="N183" s="418">
        <v>0</v>
      </c>
      <c r="O183" s="418">
        <v>0</v>
      </c>
      <c r="P183" s="68">
        <f>ROUND((J183+M183)*33.8%,0)</f>
        <v>233687</v>
      </c>
      <c r="Q183" s="68">
        <f>ROUND(J183*1%,0)</f>
        <v>6914</v>
      </c>
      <c r="R183" s="418">
        <v>0</v>
      </c>
      <c r="S183" s="419">
        <f t="shared" si="429"/>
        <v>1.5178</v>
      </c>
      <c r="T183" s="419">
        <v>1.5178</v>
      </c>
      <c r="U183" s="527">
        <v>0</v>
      </c>
      <c r="V183" s="427">
        <f t="shared" si="535"/>
        <v>0</v>
      </c>
      <c r="W183" s="421">
        <f t="shared" si="535"/>
        <v>0</v>
      </c>
      <c r="X183" s="421">
        <v>0</v>
      </c>
      <c r="Y183" s="421">
        <v>0</v>
      </c>
      <c r="Z183" s="421">
        <v>0</v>
      </c>
      <c r="AA183" s="421">
        <v>0</v>
      </c>
      <c r="AB183" s="421">
        <v>0</v>
      </c>
      <c r="AC183" s="421">
        <v>0</v>
      </c>
      <c r="AD183" s="421">
        <v>0</v>
      </c>
      <c r="AE183" s="421">
        <v>0</v>
      </c>
      <c r="AF183" s="421">
        <f>V183+X183+Y183+AA183+AB183+AD183</f>
        <v>0</v>
      </c>
      <c r="AG183" s="421">
        <f>W183+Z183+AC183+AE183</f>
        <v>0</v>
      </c>
      <c r="AH183" s="421">
        <f>SUM(AF183:AG183)</f>
        <v>0</v>
      </c>
      <c r="AI183" s="421">
        <v>0</v>
      </c>
      <c r="AJ183" s="421">
        <v>0</v>
      </c>
      <c r="AK183" s="421">
        <v>0</v>
      </c>
      <c r="AL183" s="421">
        <v>0</v>
      </c>
      <c r="AM183" s="421">
        <v>0</v>
      </c>
      <c r="AN183" s="421">
        <v>0</v>
      </c>
      <c r="AO183" s="421">
        <f t="shared" si="536"/>
        <v>0</v>
      </c>
      <c r="AP183" s="421">
        <f>AJ183+AN183</f>
        <v>0</v>
      </c>
      <c r="AQ183" s="421">
        <f>SUM(AO183:AP183)</f>
        <v>0</v>
      </c>
      <c r="AR183" s="421">
        <f t="shared" si="537"/>
        <v>0</v>
      </c>
      <c r="AS183" s="421">
        <f t="shared" si="537"/>
        <v>0</v>
      </c>
      <c r="AT183" s="421">
        <f>SUM(AR183:AS183)</f>
        <v>0</v>
      </c>
      <c r="AU183" s="68">
        <f t="shared" si="538"/>
        <v>0</v>
      </c>
      <c r="AV183" s="68">
        <f>ROUND(AH183*1%,0)</f>
        <v>0</v>
      </c>
      <c r="AW183" s="421">
        <v>0</v>
      </c>
      <c r="AX183" s="421">
        <v>0</v>
      </c>
      <c r="AY183" s="421">
        <f>AW183+AX183</f>
        <v>0</v>
      </c>
      <c r="AZ183" s="421">
        <f>AT183+AU183+AV183+AY183</f>
        <v>0</v>
      </c>
      <c r="BA183" s="422">
        <v>0</v>
      </c>
      <c r="BB183" s="422">
        <v>0</v>
      </c>
      <c r="BC183" s="422">
        <v>0</v>
      </c>
      <c r="BD183" s="422">
        <v>0</v>
      </c>
      <c r="BE183" s="422">
        <v>0</v>
      </c>
      <c r="BF183" s="422">
        <v>0</v>
      </c>
      <c r="BG183" s="422">
        <v>0</v>
      </c>
      <c r="BH183" s="422">
        <v>0</v>
      </c>
      <c r="BI183" s="422">
        <v>0</v>
      </c>
      <c r="BJ183" s="422">
        <v>0</v>
      </c>
      <c r="BK183" s="422">
        <f>BA183+BC183+BD183+BF183+BH183+BI183</f>
        <v>0</v>
      </c>
      <c r="BL183" s="422">
        <f>BB183+BE183+BG183+BJ183</f>
        <v>0</v>
      </c>
      <c r="BM183" s="611">
        <f>SUM(BK183:BL183)</f>
        <v>0</v>
      </c>
      <c r="BN183" s="428">
        <f>I183+AZ183</f>
        <v>931982</v>
      </c>
      <c r="BO183" s="421">
        <f>J183+AH183</f>
        <v>691381</v>
      </c>
      <c r="BP183" s="421">
        <f t="shared" si="539"/>
        <v>691381</v>
      </c>
      <c r="BQ183" s="421">
        <f t="shared" si="539"/>
        <v>0</v>
      </c>
      <c r="BR183" s="421">
        <f>M183+AQ183</f>
        <v>0</v>
      </c>
      <c r="BS183" s="421">
        <f t="shared" si="540"/>
        <v>0</v>
      </c>
      <c r="BT183" s="421">
        <f t="shared" si="540"/>
        <v>0</v>
      </c>
      <c r="BU183" s="421">
        <f t="shared" si="541"/>
        <v>233687</v>
      </c>
      <c r="BV183" s="421">
        <f t="shared" si="541"/>
        <v>6914</v>
      </c>
      <c r="BW183" s="421">
        <f>R183+AY183</f>
        <v>0</v>
      </c>
      <c r="BX183" s="422">
        <f>S183+BM183</f>
        <v>1.5178</v>
      </c>
      <c r="BY183" s="422">
        <f t="shared" si="542"/>
        <v>1.5178</v>
      </c>
      <c r="BZ183" s="611">
        <f t="shared" si="542"/>
        <v>0</v>
      </c>
      <c r="CA183" s="875"/>
      <c r="CB183" s="872"/>
      <c r="CC183" s="872"/>
      <c r="CD183" s="872"/>
      <c r="CE183" s="872"/>
      <c r="CF183" s="876"/>
    </row>
    <row r="184" spans="1:84" ht="12.95" customHeight="1" x14ac:dyDescent="0.25">
      <c r="A184" s="282">
        <v>36</v>
      </c>
      <c r="B184" s="378">
        <v>2447</v>
      </c>
      <c r="C184" s="378">
        <v>600080111</v>
      </c>
      <c r="D184" s="283">
        <v>72744961</v>
      </c>
      <c r="E184" s="212" t="s">
        <v>520</v>
      </c>
      <c r="F184" s="378">
        <v>3143</v>
      </c>
      <c r="G184" s="325" t="s">
        <v>597</v>
      </c>
      <c r="H184" s="287" t="s">
        <v>272</v>
      </c>
      <c r="I184" s="423">
        <f>J184+P184+Q184+R184</f>
        <v>17410</v>
      </c>
      <c r="J184" s="418">
        <f>K184+L184</f>
        <v>12461</v>
      </c>
      <c r="K184" s="418">
        <v>0</v>
      </c>
      <c r="L184" s="418">
        <v>12461</v>
      </c>
      <c r="M184" s="418">
        <f t="shared" si="534"/>
        <v>0</v>
      </c>
      <c r="N184" s="418">
        <v>0</v>
      </c>
      <c r="O184" s="418">
        <v>0</v>
      </c>
      <c r="P184" s="68">
        <f>ROUND((J184+M184)*33.8%,0)</f>
        <v>4212</v>
      </c>
      <c r="Q184" s="68">
        <f>ROUND(J184*1%,0)</f>
        <v>125</v>
      </c>
      <c r="R184" s="418">
        <v>612</v>
      </c>
      <c r="S184" s="419">
        <f t="shared" si="429"/>
        <v>4.7199999999999999E-2</v>
      </c>
      <c r="T184" s="419">
        <v>0</v>
      </c>
      <c r="U184" s="527">
        <v>4.7199999999999999E-2</v>
      </c>
      <c r="V184" s="427">
        <f t="shared" si="535"/>
        <v>0</v>
      </c>
      <c r="W184" s="421">
        <f t="shared" si="535"/>
        <v>0</v>
      </c>
      <c r="X184" s="421">
        <v>0</v>
      </c>
      <c r="Y184" s="421">
        <v>0</v>
      </c>
      <c r="Z184" s="421">
        <v>0</v>
      </c>
      <c r="AA184" s="421">
        <v>0</v>
      </c>
      <c r="AB184" s="421">
        <v>0</v>
      </c>
      <c r="AC184" s="421">
        <v>0</v>
      </c>
      <c r="AD184" s="421">
        <v>0</v>
      </c>
      <c r="AE184" s="421">
        <v>0</v>
      </c>
      <c r="AF184" s="421">
        <f>V184+X184+Y184+AA184+AB184+AD184</f>
        <v>0</v>
      </c>
      <c r="AG184" s="421">
        <f>W184+Z184+AC184+AE184</f>
        <v>0</v>
      </c>
      <c r="AH184" s="421">
        <f>SUM(AF184:AG184)</f>
        <v>0</v>
      </c>
      <c r="AI184" s="421">
        <v>0</v>
      </c>
      <c r="AJ184" s="421">
        <v>0</v>
      </c>
      <c r="AK184" s="421">
        <v>0</v>
      </c>
      <c r="AL184" s="421">
        <v>0</v>
      </c>
      <c r="AM184" s="421">
        <v>0</v>
      </c>
      <c r="AN184" s="421">
        <v>0</v>
      </c>
      <c r="AO184" s="421">
        <f t="shared" si="536"/>
        <v>0</v>
      </c>
      <c r="AP184" s="421">
        <f>AJ184+AN184</f>
        <v>0</v>
      </c>
      <c r="AQ184" s="421">
        <f>SUM(AO184:AP184)</f>
        <v>0</v>
      </c>
      <c r="AR184" s="421">
        <f t="shared" si="537"/>
        <v>0</v>
      </c>
      <c r="AS184" s="421">
        <f t="shared" si="537"/>
        <v>0</v>
      </c>
      <c r="AT184" s="421">
        <f>SUM(AR184:AS184)</f>
        <v>0</v>
      </c>
      <c r="AU184" s="68">
        <f t="shared" si="538"/>
        <v>0</v>
      </c>
      <c r="AV184" s="68">
        <f>ROUND(AH184*1%,0)</f>
        <v>0</v>
      </c>
      <c r="AW184" s="421">
        <v>0</v>
      </c>
      <c r="AX184" s="421">
        <v>0</v>
      </c>
      <c r="AY184" s="421">
        <f>AW184+AX184</f>
        <v>0</v>
      </c>
      <c r="AZ184" s="421">
        <f>AT184+AU184+AV184+AY184</f>
        <v>0</v>
      </c>
      <c r="BA184" s="422">
        <v>0</v>
      </c>
      <c r="BB184" s="422">
        <v>0</v>
      </c>
      <c r="BC184" s="422">
        <v>0</v>
      </c>
      <c r="BD184" s="422">
        <v>0</v>
      </c>
      <c r="BE184" s="422">
        <v>0</v>
      </c>
      <c r="BF184" s="422">
        <v>0</v>
      </c>
      <c r="BG184" s="422">
        <v>0</v>
      </c>
      <c r="BH184" s="422">
        <v>0</v>
      </c>
      <c r="BI184" s="422">
        <v>0</v>
      </c>
      <c r="BJ184" s="422">
        <v>0</v>
      </c>
      <c r="BK184" s="422">
        <f>BA184+BC184+BD184+BF184+BH184+BI184</f>
        <v>0</v>
      </c>
      <c r="BL184" s="422">
        <f>BB184+BE184+BG184+BJ184</f>
        <v>0</v>
      </c>
      <c r="BM184" s="611">
        <f>SUM(BK184:BL184)</f>
        <v>0</v>
      </c>
      <c r="BN184" s="428">
        <f>I184+AZ184</f>
        <v>17410</v>
      </c>
      <c r="BO184" s="421">
        <f>J184+AH184</f>
        <v>12461</v>
      </c>
      <c r="BP184" s="421">
        <f t="shared" si="539"/>
        <v>0</v>
      </c>
      <c r="BQ184" s="421">
        <f t="shared" si="539"/>
        <v>12461</v>
      </c>
      <c r="BR184" s="421">
        <f>M184+AQ184</f>
        <v>0</v>
      </c>
      <c r="BS184" s="421">
        <f t="shared" si="540"/>
        <v>0</v>
      </c>
      <c r="BT184" s="421">
        <f t="shared" si="540"/>
        <v>0</v>
      </c>
      <c r="BU184" s="421">
        <f t="shared" si="541"/>
        <v>4212</v>
      </c>
      <c r="BV184" s="421">
        <f t="shared" si="541"/>
        <v>125</v>
      </c>
      <c r="BW184" s="421">
        <f>R184+AY184</f>
        <v>612</v>
      </c>
      <c r="BX184" s="422">
        <f>S184+BM184</f>
        <v>4.7199999999999999E-2</v>
      </c>
      <c r="BY184" s="422">
        <f t="shared" si="542"/>
        <v>0</v>
      </c>
      <c r="BZ184" s="611">
        <f t="shared" si="542"/>
        <v>4.7199999999999999E-2</v>
      </c>
      <c r="CA184" s="875"/>
      <c r="CB184" s="872"/>
      <c r="CC184" s="872"/>
      <c r="CD184" s="872"/>
      <c r="CE184" s="872"/>
      <c r="CF184" s="876"/>
    </row>
    <row r="185" spans="1:84" ht="12.95" customHeight="1" x14ac:dyDescent="0.25">
      <c r="A185" s="215">
        <v>36</v>
      </c>
      <c r="B185" s="46">
        <v>2447</v>
      </c>
      <c r="C185" s="46">
        <v>600080111</v>
      </c>
      <c r="D185" s="46">
        <v>72744961</v>
      </c>
      <c r="E185" s="380" t="s">
        <v>521</v>
      </c>
      <c r="F185" s="46"/>
      <c r="G185" s="380"/>
      <c r="H185" s="184"/>
      <c r="I185" s="472">
        <f t="shared" ref="I185:BU185" si="545">SUM(I180:I184)</f>
        <v>4170133</v>
      </c>
      <c r="J185" s="468">
        <f t="shared" si="545"/>
        <v>3058178</v>
      </c>
      <c r="K185" s="468">
        <f t="shared" si="545"/>
        <v>2732252</v>
      </c>
      <c r="L185" s="468">
        <f t="shared" si="545"/>
        <v>325926</v>
      </c>
      <c r="M185" s="468">
        <f t="shared" si="545"/>
        <v>0</v>
      </c>
      <c r="N185" s="468">
        <f t="shared" si="545"/>
        <v>0</v>
      </c>
      <c r="O185" s="468">
        <f t="shared" si="545"/>
        <v>0</v>
      </c>
      <c r="P185" s="468">
        <f t="shared" si="545"/>
        <v>1033664</v>
      </c>
      <c r="Q185" s="468">
        <f t="shared" si="545"/>
        <v>30582</v>
      </c>
      <c r="R185" s="468">
        <f t="shared" si="545"/>
        <v>47709</v>
      </c>
      <c r="S185" s="469">
        <f t="shared" si="545"/>
        <v>5.6317000000000004</v>
      </c>
      <c r="T185" s="469">
        <f t="shared" si="545"/>
        <v>4.7408000000000001</v>
      </c>
      <c r="U185" s="281">
        <f t="shared" si="545"/>
        <v>0.89090000000000014</v>
      </c>
      <c r="V185" s="474">
        <f t="shared" si="545"/>
        <v>0</v>
      </c>
      <c r="W185" s="468">
        <f t="shared" si="545"/>
        <v>0</v>
      </c>
      <c r="X185" s="468">
        <f t="shared" si="545"/>
        <v>0</v>
      </c>
      <c r="Y185" s="468">
        <f t="shared" si="545"/>
        <v>0</v>
      </c>
      <c r="Z185" s="468">
        <f t="shared" si="545"/>
        <v>0</v>
      </c>
      <c r="AA185" s="468">
        <f t="shared" si="545"/>
        <v>0</v>
      </c>
      <c r="AB185" s="468">
        <f t="shared" si="545"/>
        <v>0</v>
      </c>
      <c r="AC185" s="468">
        <f t="shared" si="545"/>
        <v>0</v>
      </c>
      <c r="AD185" s="468">
        <f t="shared" si="545"/>
        <v>0</v>
      </c>
      <c r="AE185" s="468">
        <f t="shared" si="545"/>
        <v>0</v>
      </c>
      <c r="AF185" s="468">
        <f t="shared" si="545"/>
        <v>0</v>
      </c>
      <c r="AG185" s="468">
        <f t="shared" si="545"/>
        <v>0</v>
      </c>
      <c r="AH185" s="468">
        <f t="shared" si="545"/>
        <v>0</v>
      </c>
      <c r="AI185" s="468">
        <f t="shared" si="545"/>
        <v>0</v>
      </c>
      <c r="AJ185" s="468">
        <f t="shared" si="545"/>
        <v>0</v>
      </c>
      <c r="AK185" s="468">
        <f t="shared" ref="AK185" si="546">SUM(AK180:AK184)</f>
        <v>0</v>
      </c>
      <c r="AL185" s="468">
        <f t="shared" si="545"/>
        <v>0</v>
      </c>
      <c r="AM185" s="468">
        <f t="shared" si="545"/>
        <v>0</v>
      </c>
      <c r="AN185" s="468">
        <f t="shared" si="545"/>
        <v>0</v>
      </c>
      <c r="AO185" s="468">
        <f t="shared" si="545"/>
        <v>0</v>
      </c>
      <c r="AP185" s="468">
        <f t="shared" si="545"/>
        <v>0</v>
      </c>
      <c r="AQ185" s="468">
        <f t="shared" si="545"/>
        <v>0</v>
      </c>
      <c r="AR185" s="468">
        <f t="shared" si="545"/>
        <v>0</v>
      </c>
      <c r="AS185" s="468">
        <f t="shared" si="545"/>
        <v>0</v>
      </c>
      <c r="AT185" s="468">
        <f t="shared" si="545"/>
        <v>0</v>
      </c>
      <c r="AU185" s="468">
        <f t="shared" si="545"/>
        <v>0</v>
      </c>
      <c r="AV185" s="468">
        <f t="shared" si="545"/>
        <v>0</v>
      </c>
      <c r="AW185" s="468">
        <f t="shared" si="545"/>
        <v>0</v>
      </c>
      <c r="AX185" s="468">
        <f t="shared" si="545"/>
        <v>0</v>
      </c>
      <c r="AY185" s="468">
        <f t="shared" si="545"/>
        <v>0</v>
      </c>
      <c r="AZ185" s="468">
        <f t="shared" si="545"/>
        <v>0</v>
      </c>
      <c r="BA185" s="469">
        <f t="shared" si="545"/>
        <v>0</v>
      </c>
      <c r="BB185" s="469">
        <f t="shared" si="545"/>
        <v>0</v>
      </c>
      <c r="BC185" s="469">
        <f t="shared" si="545"/>
        <v>0</v>
      </c>
      <c r="BD185" s="469">
        <f t="shared" si="545"/>
        <v>0</v>
      </c>
      <c r="BE185" s="469">
        <f t="shared" si="545"/>
        <v>0</v>
      </c>
      <c r="BF185" s="469">
        <f t="shared" si="545"/>
        <v>0</v>
      </c>
      <c r="BG185" s="469">
        <f t="shared" si="545"/>
        <v>0</v>
      </c>
      <c r="BH185" s="469">
        <f t="shared" si="545"/>
        <v>0</v>
      </c>
      <c r="BI185" s="469">
        <f t="shared" si="545"/>
        <v>0</v>
      </c>
      <c r="BJ185" s="469">
        <f t="shared" si="545"/>
        <v>0</v>
      </c>
      <c r="BK185" s="469">
        <f t="shared" si="545"/>
        <v>0</v>
      </c>
      <c r="BL185" s="469">
        <f t="shared" si="545"/>
        <v>0</v>
      </c>
      <c r="BM185" s="562">
        <f t="shared" si="545"/>
        <v>0</v>
      </c>
      <c r="BN185" s="472">
        <f t="shared" si="545"/>
        <v>4170133</v>
      </c>
      <c r="BO185" s="468">
        <f t="shared" si="545"/>
        <v>3058178</v>
      </c>
      <c r="BP185" s="468">
        <f t="shared" si="545"/>
        <v>2732252</v>
      </c>
      <c r="BQ185" s="468">
        <f t="shared" si="545"/>
        <v>325926</v>
      </c>
      <c r="BR185" s="468">
        <f t="shared" si="545"/>
        <v>0</v>
      </c>
      <c r="BS185" s="468">
        <f t="shared" si="545"/>
        <v>0</v>
      </c>
      <c r="BT185" s="468">
        <f t="shared" si="545"/>
        <v>0</v>
      </c>
      <c r="BU185" s="468">
        <f t="shared" si="545"/>
        <v>1033664</v>
      </c>
      <c r="BV185" s="468">
        <f t="shared" ref="BV185:CF185" si="547">SUM(BV180:BV184)</f>
        <v>30582</v>
      </c>
      <c r="BW185" s="468">
        <f t="shared" si="547"/>
        <v>47709</v>
      </c>
      <c r="BX185" s="469">
        <f t="shared" si="547"/>
        <v>5.6317000000000004</v>
      </c>
      <c r="BY185" s="469">
        <f t="shared" si="547"/>
        <v>4.7408000000000001</v>
      </c>
      <c r="BZ185" s="562">
        <f t="shared" si="547"/>
        <v>0.89090000000000014</v>
      </c>
      <c r="CA185" s="873">
        <f t="shared" si="547"/>
        <v>0</v>
      </c>
      <c r="CB185" s="850">
        <f t="shared" si="547"/>
        <v>0</v>
      </c>
      <c r="CC185" s="850">
        <f t="shared" si="547"/>
        <v>0</v>
      </c>
      <c r="CD185" s="850">
        <f t="shared" si="547"/>
        <v>0</v>
      </c>
      <c r="CE185" s="850">
        <f t="shared" si="547"/>
        <v>0</v>
      </c>
      <c r="CF185" s="841">
        <f t="shared" si="547"/>
        <v>0</v>
      </c>
    </row>
    <row r="186" spans="1:84" ht="12.95" customHeight="1" x14ac:dyDescent="0.25">
      <c r="A186" s="282">
        <v>37</v>
      </c>
      <c r="B186" s="213">
        <v>5455</v>
      </c>
      <c r="C186" s="213">
        <v>600099067</v>
      </c>
      <c r="D186" s="283">
        <v>70986088</v>
      </c>
      <c r="E186" s="373" t="s">
        <v>522</v>
      </c>
      <c r="F186" s="384">
        <v>3111</v>
      </c>
      <c r="G186" s="375" t="s">
        <v>305</v>
      </c>
      <c r="H186" s="287" t="s">
        <v>271</v>
      </c>
      <c r="I186" s="423">
        <f>J186+P186+Q186+R186</f>
        <v>2956298</v>
      </c>
      <c r="J186" s="418">
        <f>K186+L186</f>
        <v>2187355</v>
      </c>
      <c r="K186" s="418">
        <v>2067547</v>
      </c>
      <c r="L186" s="418">
        <v>119808</v>
      </c>
      <c r="M186" s="418">
        <f t="shared" ref="M186:M190" si="548">N186+O186</f>
        <v>0</v>
      </c>
      <c r="N186" s="418">
        <v>0</v>
      </c>
      <c r="O186" s="418">
        <v>0</v>
      </c>
      <c r="P186" s="68">
        <f>ROUND((J186+M186)*33.8%,0)</f>
        <v>739326</v>
      </c>
      <c r="Q186" s="68">
        <f>ROUND(J186*1%,0)</f>
        <v>21874</v>
      </c>
      <c r="R186" s="418">
        <v>7743</v>
      </c>
      <c r="S186" s="419">
        <f t="shared" si="429"/>
        <v>4.4800000000000004</v>
      </c>
      <c r="T186" s="419">
        <v>4</v>
      </c>
      <c r="U186" s="527">
        <v>0.48</v>
      </c>
      <c r="V186" s="427">
        <f t="shared" ref="V186:W190" si="549">AI186*-1</f>
        <v>0</v>
      </c>
      <c r="W186" s="421">
        <f t="shared" si="549"/>
        <v>0</v>
      </c>
      <c r="X186" s="421">
        <v>0</v>
      </c>
      <c r="Y186" s="421">
        <v>0</v>
      </c>
      <c r="Z186" s="421">
        <v>0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f>V186+X186+Y186+AA186+AB186+AD186</f>
        <v>0</v>
      </c>
      <c r="AG186" s="421">
        <f>W186+Z186+AC186+AE186</f>
        <v>0</v>
      </c>
      <c r="AH186" s="421">
        <f>SUM(AF186:AG186)</f>
        <v>0</v>
      </c>
      <c r="AI186" s="421">
        <v>0</v>
      </c>
      <c r="AJ186" s="421">
        <v>0</v>
      </c>
      <c r="AK186" s="421">
        <v>0</v>
      </c>
      <c r="AL186" s="421">
        <v>0</v>
      </c>
      <c r="AM186" s="421">
        <v>0</v>
      </c>
      <c r="AN186" s="421">
        <v>0</v>
      </c>
      <c r="AO186" s="421">
        <f t="shared" ref="AO186:AO190" si="550">AI186+AK186+AL186+AM186</f>
        <v>0</v>
      </c>
      <c r="AP186" s="421">
        <f>AJ186+AN186</f>
        <v>0</v>
      </c>
      <c r="AQ186" s="421">
        <f>SUM(AO186:AP186)</f>
        <v>0</v>
      </c>
      <c r="AR186" s="421">
        <f t="shared" ref="AR186:AS190" si="551">AF186+AO186</f>
        <v>0</v>
      </c>
      <c r="AS186" s="421">
        <f t="shared" si="551"/>
        <v>0</v>
      </c>
      <c r="AT186" s="421">
        <f>SUM(AR186:AS186)</f>
        <v>0</v>
      </c>
      <c r="AU186" s="68">
        <f t="shared" ref="AU186:AU190" si="552">ROUND((AH186+AI186+AJ186+AK186+AL186)*33.8%,0)</f>
        <v>0</v>
      </c>
      <c r="AV186" s="68">
        <f>ROUND(AH186*1%,0)</f>
        <v>0</v>
      </c>
      <c r="AW186" s="421">
        <v>0</v>
      </c>
      <c r="AX186" s="421">
        <v>0</v>
      </c>
      <c r="AY186" s="421">
        <f>AW186+AX186</f>
        <v>0</v>
      </c>
      <c r="AZ186" s="421">
        <f>AT186+AU186+AV186+AY186</f>
        <v>0</v>
      </c>
      <c r="BA186" s="422">
        <v>0</v>
      </c>
      <c r="BB186" s="422">
        <v>0</v>
      </c>
      <c r="BC186" s="422">
        <v>0</v>
      </c>
      <c r="BD186" s="422">
        <v>0</v>
      </c>
      <c r="BE186" s="422">
        <v>0</v>
      </c>
      <c r="BF186" s="422">
        <v>0</v>
      </c>
      <c r="BG186" s="422">
        <v>0</v>
      </c>
      <c r="BH186" s="422">
        <v>0</v>
      </c>
      <c r="BI186" s="422">
        <v>0</v>
      </c>
      <c r="BJ186" s="422">
        <v>0</v>
      </c>
      <c r="BK186" s="422">
        <f>BA186+BC186+BD186+BF186+BH186+BI186</f>
        <v>0</v>
      </c>
      <c r="BL186" s="422">
        <f>BB186+BE186+BG186+BJ186</f>
        <v>0</v>
      </c>
      <c r="BM186" s="611">
        <f>SUM(BK186:BL186)</f>
        <v>0</v>
      </c>
      <c r="BN186" s="428">
        <f>I186+AZ186</f>
        <v>2956298</v>
      </c>
      <c r="BO186" s="421">
        <f>J186+AH186</f>
        <v>2187355</v>
      </c>
      <c r="BP186" s="421">
        <f t="shared" ref="BP186:BQ190" si="553">K186+AF186</f>
        <v>2067547</v>
      </c>
      <c r="BQ186" s="421">
        <f t="shared" si="553"/>
        <v>119808</v>
      </c>
      <c r="BR186" s="421">
        <f>M186+AQ186</f>
        <v>0</v>
      </c>
      <c r="BS186" s="421">
        <f t="shared" ref="BS186:BT190" si="554">N186+AO186</f>
        <v>0</v>
      </c>
      <c r="BT186" s="421">
        <f t="shared" si="554"/>
        <v>0</v>
      </c>
      <c r="BU186" s="421">
        <f t="shared" ref="BU186:BV190" si="555">P186+AU186</f>
        <v>739326</v>
      </c>
      <c r="BV186" s="421">
        <f t="shared" si="555"/>
        <v>21874</v>
      </c>
      <c r="BW186" s="421">
        <f>R186+AY186</f>
        <v>7743</v>
      </c>
      <c r="BX186" s="422">
        <f>S186+BM186</f>
        <v>4.4800000000000004</v>
      </c>
      <c r="BY186" s="422">
        <f t="shared" ref="BY186:BZ190" si="556">T186+BK186</f>
        <v>4</v>
      </c>
      <c r="BZ186" s="611">
        <f t="shared" si="556"/>
        <v>0.48</v>
      </c>
      <c r="CA186" s="875"/>
      <c r="CB186" s="872"/>
      <c r="CC186" s="872"/>
      <c r="CD186" s="872"/>
      <c r="CE186" s="872"/>
      <c r="CF186" s="876"/>
    </row>
    <row r="187" spans="1:84" ht="12.95" customHeight="1" x14ac:dyDescent="0.25">
      <c r="A187" s="282">
        <v>37</v>
      </c>
      <c r="B187" s="383">
        <v>5455</v>
      </c>
      <c r="C187" s="383">
        <v>600099067</v>
      </c>
      <c r="D187" s="283">
        <v>70986088</v>
      </c>
      <c r="E187" s="391" t="s">
        <v>522</v>
      </c>
      <c r="F187" s="383">
        <v>3117</v>
      </c>
      <c r="G187" s="374" t="s">
        <v>309</v>
      </c>
      <c r="H187" s="287" t="s">
        <v>271</v>
      </c>
      <c r="I187" s="423">
        <f>J187+P187+Q187+R187</f>
        <v>3121907</v>
      </c>
      <c r="J187" s="418">
        <f>K187+L187</f>
        <v>2284356</v>
      </c>
      <c r="K187" s="418">
        <v>1985904</v>
      </c>
      <c r="L187" s="418">
        <v>298452</v>
      </c>
      <c r="M187" s="418">
        <f t="shared" si="548"/>
        <v>0</v>
      </c>
      <c r="N187" s="418">
        <v>0</v>
      </c>
      <c r="O187" s="418">
        <v>0</v>
      </c>
      <c r="P187" s="68">
        <f>ROUND((J187+M187)*33.8%,0)+1</f>
        <v>772113</v>
      </c>
      <c r="Q187" s="68">
        <f>ROUND(J187*1%,0)-1</f>
        <v>22843</v>
      </c>
      <c r="R187" s="418">
        <v>42595</v>
      </c>
      <c r="S187" s="419">
        <f t="shared" si="429"/>
        <v>3.1901000000000002</v>
      </c>
      <c r="T187" s="419">
        <v>2.3635999999999999</v>
      </c>
      <c r="U187" s="527">
        <v>0.82650000000000001</v>
      </c>
      <c r="V187" s="427">
        <f t="shared" si="549"/>
        <v>0</v>
      </c>
      <c r="W187" s="421">
        <f t="shared" si="549"/>
        <v>0</v>
      </c>
      <c r="X187" s="421">
        <v>0</v>
      </c>
      <c r="Y187" s="421">
        <v>0</v>
      </c>
      <c r="Z187" s="421">
        <v>0</v>
      </c>
      <c r="AA187" s="421">
        <v>0</v>
      </c>
      <c r="AB187" s="421">
        <v>0</v>
      </c>
      <c r="AC187" s="421">
        <v>0</v>
      </c>
      <c r="AD187" s="421">
        <v>0</v>
      </c>
      <c r="AE187" s="421">
        <v>0</v>
      </c>
      <c r="AF187" s="421">
        <f>V187+X187+Y187+AA187+AB187+AD187</f>
        <v>0</v>
      </c>
      <c r="AG187" s="421">
        <f>W187+Z187+AC187+AE187</f>
        <v>0</v>
      </c>
      <c r="AH187" s="421">
        <f>SUM(AF187:AG187)</f>
        <v>0</v>
      </c>
      <c r="AI187" s="421">
        <v>0</v>
      </c>
      <c r="AJ187" s="421">
        <v>0</v>
      </c>
      <c r="AK187" s="421">
        <v>0</v>
      </c>
      <c r="AL187" s="421">
        <v>0</v>
      </c>
      <c r="AM187" s="421">
        <v>0</v>
      </c>
      <c r="AN187" s="421">
        <v>0</v>
      </c>
      <c r="AO187" s="421">
        <f t="shared" si="550"/>
        <v>0</v>
      </c>
      <c r="AP187" s="421">
        <f>AJ187+AN187</f>
        <v>0</v>
      </c>
      <c r="AQ187" s="421">
        <f>SUM(AO187:AP187)</f>
        <v>0</v>
      </c>
      <c r="AR187" s="421">
        <f t="shared" si="551"/>
        <v>0</v>
      </c>
      <c r="AS187" s="421">
        <f t="shared" si="551"/>
        <v>0</v>
      </c>
      <c r="AT187" s="421">
        <f>SUM(AR187:AS187)</f>
        <v>0</v>
      </c>
      <c r="AU187" s="68">
        <f t="shared" si="552"/>
        <v>0</v>
      </c>
      <c r="AV187" s="68">
        <f>ROUND(AH187*1%,0)</f>
        <v>0</v>
      </c>
      <c r="AW187" s="421">
        <v>0</v>
      </c>
      <c r="AX187" s="421">
        <v>0</v>
      </c>
      <c r="AY187" s="421">
        <f>AW187+AX187</f>
        <v>0</v>
      </c>
      <c r="AZ187" s="421">
        <f>AT187+AU187+AV187+AY187</f>
        <v>0</v>
      </c>
      <c r="BA187" s="422">
        <v>0</v>
      </c>
      <c r="BB187" s="422">
        <v>0</v>
      </c>
      <c r="BC187" s="422">
        <v>0</v>
      </c>
      <c r="BD187" s="422">
        <v>0</v>
      </c>
      <c r="BE187" s="422">
        <v>0</v>
      </c>
      <c r="BF187" s="422">
        <v>0</v>
      </c>
      <c r="BG187" s="422">
        <v>0</v>
      </c>
      <c r="BH187" s="422">
        <v>0</v>
      </c>
      <c r="BI187" s="422">
        <v>0</v>
      </c>
      <c r="BJ187" s="422">
        <v>0</v>
      </c>
      <c r="BK187" s="422">
        <f>BA187+BC187+BD187+BF187+BH187+BI187</f>
        <v>0</v>
      </c>
      <c r="BL187" s="422">
        <f>BB187+BE187+BG187+BJ187</f>
        <v>0</v>
      </c>
      <c r="BM187" s="611">
        <f>SUM(BK187:BL187)</f>
        <v>0</v>
      </c>
      <c r="BN187" s="428">
        <f>I187+AZ187</f>
        <v>3121907</v>
      </c>
      <c r="BO187" s="421">
        <f>J187+AH187</f>
        <v>2284356</v>
      </c>
      <c r="BP187" s="421">
        <f t="shared" si="553"/>
        <v>1985904</v>
      </c>
      <c r="BQ187" s="421">
        <f t="shared" si="553"/>
        <v>298452</v>
      </c>
      <c r="BR187" s="421">
        <f>M187+AQ187</f>
        <v>0</v>
      </c>
      <c r="BS187" s="421">
        <f t="shared" si="554"/>
        <v>0</v>
      </c>
      <c r="BT187" s="421">
        <f t="shared" si="554"/>
        <v>0</v>
      </c>
      <c r="BU187" s="421">
        <f t="shared" si="555"/>
        <v>772113</v>
      </c>
      <c r="BV187" s="421">
        <f t="shared" si="555"/>
        <v>22843</v>
      </c>
      <c r="BW187" s="421">
        <f>R187+AY187</f>
        <v>42595</v>
      </c>
      <c r="BX187" s="422">
        <f>S187+BM187</f>
        <v>3.1901000000000002</v>
      </c>
      <c r="BY187" s="422">
        <f t="shared" si="556"/>
        <v>2.3635999999999999</v>
      </c>
      <c r="BZ187" s="611">
        <f t="shared" si="556"/>
        <v>0.82650000000000001</v>
      </c>
      <c r="CA187" s="875"/>
      <c r="CB187" s="872"/>
      <c r="CC187" s="872"/>
      <c r="CD187" s="872"/>
      <c r="CE187" s="872"/>
      <c r="CF187" s="876"/>
    </row>
    <row r="188" spans="1:84" ht="12.95" customHeight="1" x14ac:dyDescent="0.25">
      <c r="A188" s="282">
        <v>37</v>
      </c>
      <c r="B188" s="213">
        <v>5455</v>
      </c>
      <c r="C188" s="213">
        <v>600099067</v>
      </c>
      <c r="D188" s="283">
        <v>70986088</v>
      </c>
      <c r="E188" s="374" t="s">
        <v>522</v>
      </c>
      <c r="F188" s="213">
        <v>3141</v>
      </c>
      <c r="G188" s="375" t="s">
        <v>295</v>
      </c>
      <c r="H188" s="287" t="s">
        <v>272</v>
      </c>
      <c r="I188" s="423">
        <f>J188+P188+Q188+R188</f>
        <v>574523</v>
      </c>
      <c r="J188" s="418">
        <f>K188+L188</f>
        <v>424620</v>
      </c>
      <c r="K188" s="418">
        <v>0</v>
      </c>
      <c r="L188" s="418">
        <v>424620</v>
      </c>
      <c r="M188" s="418">
        <f t="shared" si="548"/>
        <v>0</v>
      </c>
      <c r="N188" s="418">
        <v>0</v>
      </c>
      <c r="O188" s="418">
        <v>0</v>
      </c>
      <c r="P188" s="68">
        <f>ROUND((J188+M188)*33.8%,0)</f>
        <v>143522</v>
      </c>
      <c r="Q188" s="68">
        <f>ROUND(J188*1%,0)</f>
        <v>4246</v>
      </c>
      <c r="R188" s="418">
        <v>2135</v>
      </c>
      <c r="S188" s="419">
        <f t="shared" si="429"/>
        <v>1.2733000000000001</v>
      </c>
      <c r="T188" s="419">
        <v>0</v>
      </c>
      <c r="U188" s="527">
        <v>1.2733000000000001</v>
      </c>
      <c r="V188" s="427">
        <f t="shared" si="549"/>
        <v>0</v>
      </c>
      <c r="W188" s="421">
        <f t="shared" si="549"/>
        <v>0</v>
      </c>
      <c r="X188" s="421">
        <v>0</v>
      </c>
      <c r="Y188" s="421">
        <v>0</v>
      </c>
      <c r="Z188" s="421">
        <v>0</v>
      </c>
      <c r="AA188" s="421">
        <v>0</v>
      </c>
      <c r="AB188" s="421">
        <v>0</v>
      </c>
      <c r="AC188" s="421">
        <v>0</v>
      </c>
      <c r="AD188" s="421">
        <v>0</v>
      </c>
      <c r="AE188" s="421">
        <v>0</v>
      </c>
      <c r="AF188" s="421">
        <f>V188+X188+Y188+AA188+AB188+AD188</f>
        <v>0</v>
      </c>
      <c r="AG188" s="421">
        <f>W188+Z188+AC188+AE188</f>
        <v>0</v>
      </c>
      <c r="AH188" s="421">
        <f>SUM(AF188:AG188)</f>
        <v>0</v>
      </c>
      <c r="AI188" s="421">
        <v>0</v>
      </c>
      <c r="AJ188" s="421">
        <v>0</v>
      </c>
      <c r="AK188" s="421">
        <v>0</v>
      </c>
      <c r="AL188" s="421">
        <v>0</v>
      </c>
      <c r="AM188" s="421">
        <v>0</v>
      </c>
      <c r="AN188" s="421">
        <v>0</v>
      </c>
      <c r="AO188" s="421">
        <f t="shared" si="550"/>
        <v>0</v>
      </c>
      <c r="AP188" s="421">
        <f>AJ188+AN188</f>
        <v>0</v>
      </c>
      <c r="AQ188" s="421">
        <f>SUM(AO188:AP188)</f>
        <v>0</v>
      </c>
      <c r="AR188" s="421">
        <f t="shared" si="551"/>
        <v>0</v>
      </c>
      <c r="AS188" s="421">
        <f t="shared" si="551"/>
        <v>0</v>
      </c>
      <c r="AT188" s="421">
        <f>SUM(AR188:AS188)</f>
        <v>0</v>
      </c>
      <c r="AU188" s="68">
        <f t="shared" si="552"/>
        <v>0</v>
      </c>
      <c r="AV188" s="68">
        <f>ROUND(AH188*1%,0)</f>
        <v>0</v>
      </c>
      <c r="AW188" s="421">
        <v>0</v>
      </c>
      <c r="AX188" s="421">
        <v>0</v>
      </c>
      <c r="AY188" s="421">
        <f>AW188+AX188</f>
        <v>0</v>
      </c>
      <c r="AZ188" s="421">
        <f>AT188+AU188+AV188+AY188</f>
        <v>0</v>
      </c>
      <c r="BA188" s="422">
        <v>0</v>
      </c>
      <c r="BB188" s="422">
        <v>0</v>
      </c>
      <c r="BC188" s="422">
        <v>0</v>
      </c>
      <c r="BD188" s="422">
        <v>0</v>
      </c>
      <c r="BE188" s="422">
        <v>0</v>
      </c>
      <c r="BF188" s="422">
        <v>0</v>
      </c>
      <c r="BG188" s="422">
        <v>0</v>
      </c>
      <c r="BH188" s="422">
        <v>0</v>
      </c>
      <c r="BI188" s="422">
        <v>0</v>
      </c>
      <c r="BJ188" s="422">
        <v>0</v>
      </c>
      <c r="BK188" s="422">
        <f>BA188+BC188+BD188+BF188+BH188+BI188</f>
        <v>0</v>
      </c>
      <c r="BL188" s="422">
        <f>BB188+BE188+BG188+BJ188</f>
        <v>0</v>
      </c>
      <c r="BM188" s="611">
        <f>SUM(BK188:BL188)</f>
        <v>0</v>
      </c>
      <c r="BN188" s="428">
        <f>I188+AZ188</f>
        <v>574523</v>
      </c>
      <c r="BO188" s="421">
        <f>J188+AH188</f>
        <v>424620</v>
      </c>
      <c r="BP188" s="421">
        <f t="shared" si="553"/>
        <v>0</v>
      </c>
      <c r="BQ188" s="421">
        <f t="shared" si="553"/>
        <v>424620</v>
      </c>
      <c r="BR188" s="421">
        <f>M188+AQ188</f>
        <v>0</v>
      </c>
      <c r="BS188" s="421">
        <f t="shared" si="554"/>
        <v>0</v>
      </c>
      <c r="BT188" s="421">
        <f t="shared" si="554"/>
        <v>0</v>
      </c>
      <c r="BU188" s="421">
        <f t="shared" si="555"/>
        <v>143522</v>
      </c>
      <c r="BV188" s="421">
        <f t="shared" si="555"/>
        <v>4246</v>
      </c>
      <c r="BW188" s="421">
        <f>R188+AY188</f>
        <v>2135</v>
      </c>
      <c r="BX188" s="422">
        <f>S188+BM188</f>
        <v>1.2733000000000001</v>
      </c>
      <c r="BY188" s="422">
        <f t="shared" si="556"/>
        <v>0</v>
      </c>
      <c r="BZ188" s="611">
        <f t="shared" si="556"/>
        <v>1.2733000000000001</v>
      </c>
      <c r="CA188" s="875"/>
      <c r="CB188" s="872"/>
      <c r="CC188" s="872"/>
      <c r="CD188" s="872"/>
      <c r="CE188" s="872"/>
      <c r="CF188" s="876"/>
    </row>
    <row r="189" spans="1:84" ht="12.95" customHeight="1" x14ac:dyDescent="0.25">
      <c r="A189" s="282">
        <v>37</v>
      </c>
      <c r="B189" s="213">
        <v>5455</v>
      </c>
      <c r="C189" s="213">
        <v>600099067</v>
      </c>
      <c r="D189" s="283">
        <v>70986088</v>
      </c>
      <c r="E189" s="373" t="s">
        <v>522</v>
      </c>
      <c r="F189" s="384">
        <v>3143</v>
      </c>
      <c r="G189" s="325" t="s">
        <v>596</v>
      </c>
      <c r="H189" s="287" t="s">
        <v>271</v>
      </c>
      <c r="I189" s="423">
        <f>J189+P189+Q189+R189</f>
        <v>493636</v>
      </c>
      <c r="J189" s="418">
        <f>K189+L189</f>
        <v>366199</v>
      </c>
      <c r="K189" s="418">
        <v>366199</v>
      </c>
      <c r="L189" s="418">
        <v>0</v>
      </c>
      <c r="M189" s="418">
        <f t="shared" si="548"/>
        <v>0</v>
      </c>
      <c r="N189" s="418">
        <v>0</v>
      </c>
      <c r="O189" s="418">
        <v>0</v>
      </c>
      <c r="P189" s="68">
        <f>ROUND((J189+M189)*33.8%,0)</f>
        <v>123775</v>
      </c>
      <c r="Q189" s="68">
        <f>ROUND(J189*1%,0)</f>
        <v>3662</v>
      </c>
      <c r="R189" s="418">
        <v>0</v>
      </c>
      <c r="S189" s="419">
        <f t="shared" si="429"/>
        <v>0.67800000000000005</v>
      </c>
      <c r="T189" s="419">
        <v>0.67800000000000005</v>
      </c>
      <c r="U189" s="527">
        <v>0</v>
      </c>
      <c r="V189" s="427">
        <f t="shared" si="549"/>
        <v>0</v>
      </c>
      <c r="W189" s="421">
        <f t="shared" si="549"/>
        <v>0</v>
      </c>
      <c r="X189" s="421">
        <v>0</v>
      </c>
      <c r="Y189" s="421">
        <v>0</v>
      </c>
      <c r="Z189" s="421">
        <v>0</v>
      </c>
      <c r="AA189" s="421">
        <v>0</v>
      </c>
      <c r="AB189" s="421">
        <v>0</v>
      </c>
      <c r="AC189" s="421">
        <v>0</v>
      </c>
      <c r="AD189" s="421">
        <v>0</v>
      </c>
      <c r="AE189" s="421">
        <v>0</v>
      </c>
      <c r="AF189" s="421">
        <f>V189+X189+Y189+AA189+AB189+AD189</f>
        <v>0</v>
      </c>
      <c r="AG189" s="421">
        <f>W189+Z189+AC189+AE189</f>
        <v>0</v>
      </c>
      <c r="AH189" s="421">
        <f>SUM(AF189:AG189)</f>
        <v>0</v>
      </c>
      <c r="AI189" s="421">
        <v>0</v>
      </c>
      <c r="AJ189" s="421">
        <v>0</v>
      </c>
      <c r="AK189" s="421">
        <v>0</v>
      </c>
      <c r="AL189" s="421">
        <v>0</v>
      </c>
      <c r="AM189" s="421">
        <v>0</v>
      </c>
      <c r="AN189" s="421">
        <v>0</v>
      </c>
      <c r="AO189" s="421">
        <f t="shared" si="550"/>
        <v>0</v>
      </c>
      <c r="AP189" s="421">
        <f>AJ189+AN189</f>
        <v>0</v>
      </c>
      <c r="AQ189" s="421">
        <f>SUM(AO189:AP189)</f>
        <v>0</v>
      </c>
      <c r="AR189" s="421">
        <f t="shared" si="551"/>
        <v>0</v>
      </c>
      <c r="AS189" s="421">
        <f t="shared" si="551"/>
        <v>0</v>
      </c>
      <c r="AT189" s="421">
        <f>SUM(AR189:AS189)</f>
        <v>0</v>
      </c>
      <c r="AU189" s="68">
        <f t="shared" si="552"/>
        <v>0</v>
      </c>
      <c r="AV189" s="68">
        <f>ROUND(AH189*1%,0)</f>
        <v>0</v>
      </c>
      <c r="AW189" s="421">
        <v>0</v>
      </c>
      <c r="AX189" s="421">
        <v>0</v>
      </c>
      <c r="AY189" s="421">
        <f>AW189+AX189</f>
        <v>0</v>
      </c>
      <c r="AZ189" s="421">
        <f>AT189+AU189+AV189+AY189</f>
        <v>0</v>
      </c>
      <c r="BA189" s="422">
        <v>0</v>
      </c>
      <c r="BB189" s="422">
        <v>0</v>
      </c>
      <c r="BC189" s="422">
        <v>0</v>
      </c>
      <c r="BD189" s="422">
        <v>0</v>
      </c>
      <c r="BE189" s="422">
        <v>0</v>
      </c>
      <c r="BF189" s="422">
        <v>0</v>
      </c>
      <c r="BG189" s="422">
        <v>0</v>
      </c>
      <c r="BH189" s="422">
        <v>0</v>
      </c>
      <c r="BI189" s="422">
        <v>0</v>
      </c>
      <c r="BJ189" s="422">
        <v>0</v>
      </c>
      <c r="BK189" s="422">
        <f>BA189+BC189+BD189+BF189+BH189+BI189</f>
        <v>0</v>
      </c>
      <c r="BL189" s="422">
        <f>BB189+BE189+BG189+BJ189</f>
        <v>0</v>
      </c>
      <c r="BM189" s="611">
        <f>SUM(BK189:BL189)</f>
        <v>0</v>
      </c>
      <c r="BN189" s="428">
        <f>I189+AZ189</f>
        <v>493636</v>
      </c>
      <c r="BO189" s="421">
        <f>J189+AH189</f>
        <v>366199</v>
      </c>
      <c r="BP189" s="421">
        <f t="shared" si="553"/>
        <v>366199</v>
      </c>
      <c r="BQ189" s="421">
        <f t="shared" si="553"/>
        <v>0</v>
      </c>
      <c r="BR189" s="421">
        <f>M189+AQ189</f>
        <v>0</v>
      </c>
      <c r="BS189" s="421">
        <f t="shared" si="554"/>
        <v>0</v>
      </c>
      <c r="BT189" s="421">
        <f t="shared" si="554"/>
        <v>0</v>
      </c>
      <c r="BU189" s="421">
        <f t="shared" si="555"/>
        <v>123775</v>
      </c>
      <c r="BV189" s="421">
        <f t="shared" si="555"/>
        <v>3662</v>
      </c>
      <c r="BW189" s="421">
        <f>R189+AY189</f>
        <v>0</v>
      </c>
      <c r="BX189" s="422">
        <f>S189+BM189</f>
        <v>0.67800000000000005</v>
      </c>
      <c r="BY189" s="422">
        <f t="shared" si="556"/>
        <v>0.67800000000000005</v>
      </c>
      <c r="BZ189" s="611">
        <f t="shared" si="556"/>
        <v>0</v>
      </c>
      <c r="CA189" s="875"/>
      <c r="CB189" s="872"/>
      <c r="CC189" s="872"/>
      <c r="CD189" s="872"/>
      <c r="CE189" s="872"/>
      <c r="CF189" s="876"/>
    </row>
    <row r="190" spans="1:84" ht="12.95" customHeight="1" x14ac:dyDescent="0.25">
      <c r="A190" s="282">
        <v>37</v>
      </c>
      <c r="B190" s="213">
        <v>5455</v>
      </c>
      <c r="C190" s="213">
        <v>600099067</v>
      </c>
      <c r="D190" s="283">
        <v>70986088</v>
      </c>
      <c r="E190" s="373" t="s">
        <v>522</v>
      </c>
      <c r="F190" s="384">
        <v>3143</v>
      </c>
      <c r="G190" s="325" t="s">
        <v>597</v>
      </c>
      <c r="H190" s="287" t="s">
        <v>272</v>
      </c>
      <c r="I190" s="423">
        <f>J190+P190+Q190+R190</f>
        <v>11767</v>
      </c>
      <c r="J190" s="418">
        <f>K190+L190</f>
        <v>8422</v>
      </c>
      <c r="K190" s="418">
        <v>0</v>
      </c>
      <c r="L190" s="418">
        <v>8422</v>
      </c>
      <c r="M190" s="418">
        <f t="shared" si="548"/>
        <v>0</v>
      </c>
      <c r="N190" s="418">
        <v>0</v>
      </c>
      <c r="O190" s="418">
        <v>0</v>
      </c>
      <c r="P190" s="68">
        <f>ROUND((J190+M190)*33.8%,0)</f>
        <v>2847</v>
      </c>
      <c r="Q190" s="68">
        <f>ROUND(J190*1%,0)</f>
        <v>84</v>
      </c>
      <c r="R190" s="418">
        <v>414</v>
      </c>
      <c r="S190" s="419">
        <f t="shared" si="429"/>
        <v>3.1899999999999998E-2</v>
      </c>
      <c r="T190" s="419">
        <v>0</v>
      </c>
      <c r="U190" s="527">
        <v>3.1899999999999998E-2</v>
      </c>
      <c r="V190" s="427">
        <f t="shared" si="549"/>
        <v>0</v>
      </c>
      <c r="W190" s="421">
        <f t="shared" si="549"/>
        <v>0</v>
      </c>
      <c r="X190" s="421">
        <v>0</v>
      </c>
      <c r="Y190" s="421">
        <v>0</v>
      </c>
      <c r="Z190" s="421">
        <v>0</v>
      </c>
      <c r="AA190" s="421">
        <v>0</v>
      </c>
      <c r="AB190" s="421">
        <v>0</v>
      </c>
      <c r="AC190" s="421">
        <v>0</v>
      </c>
      <c r="AD190" s="421">
        <v>0</v>
      </c>
      <c r="AE190" s="421">
        <v>0</v>
      </c>
      <c r="AF190" s="421">
        <f>V190+X190+Y190+AA190+AB190+AD190</f>
        <v>0</v>
      </c>
      <c r="AG190" s="421">
        <f>W190+Z190+AC190+AE190</f>
        <v>0</v>
      </c>
      <c r="AH190" s="421">
        <f>SUM(AF190:AG190)</f>
        <v>0</v>
      </c>
      <c r="AI190" s="421">
        <v>0</v>
      </c>
      <c r="AJ190" s="421">
        <v>0</v>
      </c>
      <c r="AK190" s="421">
        <v>0</v>
      </c>
      <c r="AL190" s="421">
        <v>0</v>
      </c>
      <c r="AM190" s="421">
        <v>0</v>
      </c>
      <c r="AN190" s="421">
        <v>0</v>
      </c>
      <c r="AO190" s="421">
        <f t="shared" si="550"/>
        <v>0</v>
      </c>
      <c r="AP190" s="421">
        <f>AJ190+AN190</f>
        <v>0</v>
      </c>
      <c r="AQ190" s="421">
        <f>SUM(AO190:AP190)</f>
        <v>0</v>
      </c>
      <c r="AR190" s="421">
        <f t="shared" si="551"/>
        <v>0</v>
      </c>
      <c r="AS190" s="421">
        <f t="shared" si="551"/>
        <v>0</v>
      </c>
      <c r="AT190" s="421">
        <f>SUM(AR190:AS190)</f>
        <v>0</v>
      </c>
      <c r="AU190" s="68">
        <f t="shared" si="552"/>
        <v>0</v>
      </c>
      <c r="AV190" s="68">
        <f>ROUND(AH190*1%,0)</f>
        <v>0</v>
      </c>
      <c r="AW190" s="421">
        <v>0</v>
      </c>
      <c r="AX190" s="421">
        <v>0</v>
      </c>
      <c r="AY190" s="421">
        <f>AW190+AX190</f>
        <v>0</v>
      </c>
      <c r="AZ190" s="421">
        <f>AT190+AU190+AV190+AY190</f>
        <v>0</v>
      </c>
      <c r="BA190" s="422">
        <v>0</v>
      </c>
      <c r="BB190" s="422">
        <v>0</v>
      </c>
      <c r="BC190" s="422">
        <v>0</v>
      </c>
      <c r="BD190" s="422">
        <v>0</v>
      </c>
      <c r="BE190" s="422">
        <v>0</v>
      </c>
      <c r="BF190" s="422">
        <v>0</v>
      </c>
      <c r="BG190" s="422">
        <v>0</v>
      </c>
      <c r="BH190" s="422">
        <v>0</v>
      </c>
      <c r="BI190" s="422">
        <v>0</v>
      </c>
      <c r="BJ190" s="422">
        <v>0</v>
      </c>
      <c r="BK190" s="422">
        <f>BA190+BC190+BD190+BF190+BH190+BI190</f>
        <v>0</v>
      </c>
      <c r="BL190" s="422">
        <f>BB190+BE190+BG190+BJ190</f>
        <v>0</v>
      </c>
      <c r="BM190" s="611">
        <f>SUM(BK190:BL190)</f>
        <v>0</v>
      </c>
      <c r="BN190" s="428">
        <f>I190+AZ190</f>
        <v>11767</v>
      </c>
      <c r="BO190" s="421">
        <f>J190+AH190</f>
        <v>8422</v>
      </c>
      <c r="BP190" s="421">
        <f t="shared" si="553"/>
        <v>0</v>
      </c>
      <c r="BQ190" s="421">
        <f t="shared" si="553"/>
        <v>8422</v>
      </c>
      <c r="BR190" s="421">
        <f>M190+AQ190</f>
        <v>0</v>
      </c>
      <c r="BS190" s="421">
        <f t="shared" si="554"/>
        <v>0</v>
      </c>
      <c r="BT190" s="421">
        <f t="shared" si="554"/>
        <v>0</v>
      </c>
      <c r="BU190" s="421">
        <f t="shared" si="555"/>
        <v>2847</v>
      </c>
      <c r="BV190" s="421">
        <f t="shared" si="555"/>
        <v>84</v>
      </c>
      <c r="BW190" s="421">
        <f>R190+AY190</f>
        <v>414</v>
      </c>
      <c r="BX190" s="422">
        <f>S190+BM190</f>
        <v>3.1899999999999998E-2</v>
      </c>
      <c r="BY190" s="422">
        <f t="shared" si="556"/>
        <v>0</v>
      </c>
      <c r="BZ190" s="611">
        <f t="shared" si="556"/>
        <v>3.1899999999999998E-2</v>
      </c>
      <c r="CA190" s="875"/>
      <c r="CB190" s="872"/>
      <c r="CC190" s="872"/>
      <c r="CD190" s="872"/>
      <c r="CE190" s="872"/>
      <c r="CF190" s="876"/>
    </row>
    <row r="191" spans="1:84" ht="12.95" customHeight="1" x14ac:dyDescent="0.25">
      <c r="A191" s="215">
        <v>37</v>
      </c>
      <c r="B191" s="45">
        <v>5455</v>
      </c>
      <c r="C191" s="45">
        <v>600099067</v>
      </c>
      <c r="D191" s="45">
        <v>70986088</v>
      </c>
      <c r="E191" s="385" t="s">
        <v>523</v>
      </c>
      <c r="F191" s="386"/>
      <c r="G191" s="385"/>
      <c r="H191" s="387"/>
      <c r="I191" s="499">
        <f t="shared" ref="I191:BU191" si="557">SUM(I186:I190)</f>
        <v>7158131</v>
      </c>
      <c r="J191" s="495">
        <f t="shared" si="557"/>
        <v>5270952</v>
      </c>
      <c r="K191" s="495">
        <f t="shared" si="557"/>
        <v>4419650</v>
      </c>
      <c r="L191" s="495">
        <f t="shared" si="557"/>
        <v>851302</v>
      </c>
      <c r="M191" s="495">
        <f t="shared" si="557"/>
        <v>0</v>
      </c>
      <c r="N191" s="495">
        <f t="shared" si="557"/>
        <v>0</v>
      </c>
      <c r="O191" s="495">
        <f t="shared" si="557"/>
        <v>0</v>
      </c>
      <c r="P191" s="495">
        <f t="shared" si="557"/>
        <v>1781583</v>
      </c>
      <c r="Q191" s="495">
        <f t="shared" si="557"/>
        <v>52709</v>
      </c>
      <c r="R191" s="495">
        <f t="shared" si="557"/>
        <v>52887</v>
      </c>
      <c r="S191" s="496">
        <f t="shared" si="557"/>
        <v>9.6533000000000015</v>
      </c>
      <c r="T191" s="496">
        <f t="shared" si="557"/>
        <v>7.0415999999999999</v>
      </c>
      <c r="U191" s="377">
        <f t="shared" si="557"/>
        <v>2.6116999999999999</v>
      </c>
      <c r="V191" s="501">
        <f t="shared" si="557"/>
        <v>0</v>
      </c>
      <c r="W191" s="495">
        <f t="shared" si="557"/>
        <v>0</v>
      </c>
      <c r="X191" s="495">
        <f t="shared" si="557"/>
        <v>0</v>
      </c>
      <c r="Y191" s="495">
        <f t="shared" si="557"/>
        <v>0</v>
      </c>
      <c r="Z191" s="495">
        <f t="shared" si="557"/>
        <v>0</v>
      </c>
      <c r="AA191" s="495">
        <f t="shared" si="557"/>
        <v>0</v>
      </c>
      <c r="AB191" s="495">
        <f t="shared" si="557"/>
        <v>0</v>
      </c>
      <c r="AC191" s="495">
        <f t="shared" si="557"/>
        <v>0</v>
      </c>
      <c r="AD191" s="495">
        <f t="shared" si="557"/>
        <v>0</v>
      </c>
      <c r="AE191" s="495">
        <f t="shared" si="557"/>
        <v>0</v>
      </c>
      <c r="AF191" s="495">
        <f t="shared" si="557"/>
        <v>0</v>
      </c>
      <c r="AG191" s="495">
        <f t="shared" si="557"/>
        <v>0</v>
      </c>
      <c r="AH191" s="495">
        <f t="shared" si="557"/>
        <v>0</v>
      </c>
      <c r="AI191" s="495">
        <f t="shared" si="557"/>
        <v>0</v>
      </c>
      <c r="AJ191" s="495">
        <f t="shared" si="557"/>
        <v>0</v>
      </c>
      <c r="AK191" s="495">
        <f t="shared" ref="AK191" si="558">SUM(AK186:AK190)</f>
        <v>0</v>
      </c>
      <c r="AL191" s="495">
        <f t="shared" si="557"/>
        <v>0</v>
      </c>
      <c r="AM191" s="495">
        <f t="shared" si="557"/>
        <v>0</v>
      </c>
      <c r="AN191" s="495">
        <f t="shared" si="557"/>
        <v>0</v>
      </c>
      <c r="AO191" s="495">
        <f t="shared" si="557"/>
        <v>0</v>
      </c>
      <c r="AP191" s="495">
        <f t="shared" si="557"/>
        <v>0</v>
      </c>
      <c r="AQ191" s="495">
        <f t="shared" si="557"/>
        <v>0</v>
      </c>
      <c r="AR191" s="495">
        <f t="shared" si="557"/>
        <v>0</v>
      </c>
      <c r="AS191" s="495">
        <f t="shared" si="557"/>
        <v>0</v>
      </c>
      <c r="AT191" s="495">
        <f t="shared" si="557"/>
        <v>0</v>
      </c>
      <c r="AU191" s="495">
        <f t="shared" si="557"/>
        <v>0</v>
      </c>
      <c r="AV191" s="495">
        <f t="shared" si="557"/>
        <v>0</v>
      </c>
      <c r="AW191" s="495">
        <f t="shared" si="557"/>
        <v>0</v>
      </c>
      <c r="AX191" s="495">
        <f t="shared" si="557"/>
        <v>0</v>
      </c>
      <c r="AY191" s="495">
        <f t="shared" si="557"/>
        <v>0</v>
      </c>
      <c r="AZ191" s="495">
        <f t="shared" si="557"/>
        <v>0</v>
      </c>
      <c r="BA191" s="496">
        <f t="shared" si="557"/>
        <v>0</v>
      </c>
      <c r="BB191" s="496">
        <f t="shared" si="557"/>
        <v>0</v>
      </c>
      <c r="BC191" s="496">
        <f t="shared" si="557"/>
        <v>0</v>
      </c>
      <c r="BD191" s="496">
        <f t="shared" si="557"/>
        <v>0</v>
      </c>
      <c r="BE191" s="496">
        <f t="shared" si="557"/>
        <v>0</v>
      </c>
      <c r="BF191" s="496">
        <f t="shared" si="557"/>
        <v>0</v>
      </c>
      <c r="BG191" s="496">
        <f t="shared" si="557"/>
        <v>0</v>
      </c>
      <c r="BH191" s="496">
        <f t="shared" si="557"/>
        <v>0</v>
      </c>
      <c r="BI191" s="496">
        <f t="shared" si="557"/>
        <v>0</v>
      </c>
      <c r="BJ191" s="496">
        <f t="shared" si="557"/>
        <v>0</v>
      </c>
      <c r="BK191" s="496">
        <f t="shared" si="557"/>
        <v>0</v>
      </c>
      <c r="BL191" s="496">
        <f t="shared" si="557"/>
        <v>0</v>
      </c>
      <c r="BM191" s="745">
        <f t="shared" si="557"/>
        <v>0</v>
      </c>
      <c r="BN191" s="499">
        <f t="shared" si="557"/>
        <v>7158131</v>
      </c>
      <c r="BO191" s="495">
        <f t="shared" si="557"/>
        <v>5270952</v>
      </c>
      <c r="BP191" s="495">
        <f t="shared" si="557"/>
        <v>4419650</v>
      </c>
      <c r="BQ191" s="495">
        <f t="shared" si="557"/>
        <v>851302</v>
      </c>
      <c r="BR191" s="495">
        <f t="shared" si="557"/>
        <v>0</v>
      </c>
      <c r="BS191" s="495">
        <f t="shared" si="557"/>
        <v>0</v>
      </c>
      <c r="BT191" s="495">
        <f t="shared" si="557"/>
        <v>0</v>
      </c>
      <c r="BU191" s="495">
        <f t="shared" si="557"/>
        <v>1781583</v>
      </c>
      <c r="BV191" s="495">
        <f t="shared" ref="BV191:CF191" si="559">SUM(BV186:BV190)</f>
        <v>52709</v>
      </c>
      <c r="BW191" s="495">
        <f t="shared" si="559"/>
        <v>52887</v>
      </c>
      <c r="BX191" s="496">
        <f t="shared" si="559"/>
        <v>9.6533000000000015</v>
      </c>
      <c r="BY191" s="496">
        <f t="shared" si="559"/>
        <v>7.0415999999999999</v>
      </c>
      <c r="BZ191" s="745">
        <f t="shared" si="559"/>
        <v>2.6116999999999999</v>
      </c>
      <c r="CA191" s="901">
        <f t="shared" si="559"/>
        <v>0</v>
      </c>
      <c r="CB191" s="896">
        <f t="shared" si="559"/>
        <v>0</v>
      </c>
      <c r="CC191" s="896">
        <f t="shared" si="559"/>
        <v>0</v>
      </c>
      <c r="CD191" s="896">
        <f t="shared" si="559"/>
        <v>0</v>
      </c>
      <c r="CE191" s="896">
        <f t="shared" si="559"/>
        <v>0</v>
      </c>
      <c r="CF191" s="840">
        <f t="shared" si="559"/>
        <v>0</v>
      </c>
    </row>
    <row r="192" spans="1:84" ht="12.95" customHeight="1" x14ac:dyDescent="0.25">
      <c r="A192" s="282">
        <v>38</v>
      </c>
      <c r="B192" s="213">
        <v>5470</v>
      </c>
      <c r="C192" s="213">
        <v>600099091</v>
      </c>
      <c r="D192" s="283">
        <v>70695822</v>
      </c>
      <c r="E192" s="374" t="s">
        <v>524</v>
      </c>
      <c r="F192" s="213">
        <v>3111</v>
      </c>
      <c r="G192" s="375" t="s">
        <v>305</v>
      </c>
      <c r="H192" s="287" t="s">
        <v>271</v>
      </c>
      <c r="I192" s="423">
        <f t="shared" ref="I192:I197" si="560">J192+P192+Q192+R192</f>
        <v>2910413</v>
      </c>
      <c r="J192" s="418">
        <f t="shared" ref="J192:J197" si="561">K192+L192</f>
        <v>2153712</v>
      </c>
      <c r="K192" s="418">
        <v>2033904</v>
      </c>
      <c r="L192" s="418">
        <v>119808</v>
      </c>
      <c r="M192" s="418">
        <f t="shared" ref="M192:M197" si="562">N192+O192</f>
        <v>0</v>
      </c>
      <c r="N192" s="418">
        <v>0</v>
      </c>
      <c r="O192" s="418">
        <v>0</v>
      </c>
      <c r="P192" s="68">
        <f t="shared" ref="P192:P197" si="563">ROUND((J192+M192)*33.8%,0)</f>
        <v>727955</v>
      </c>
      <c r="Q192" s="68">
        <f>ROUND(J192*1%,0)</f>
        <v>21537</v>
      </c>
      <c r="R192" s="418">
        <v>7209</v>
      </c>
      <c r="S192" s="419">
        <f t="shared" si="429"/>
        <v>4.3832000000000004</v>
      </c>
      <c r="T192" s="419">
        <v>3.9032</v>
      </c>
      <c r="U192" s="527">
        <v>0.48</v>
      </c>
      <c r="V192" s="427">
        <f t="shared" ref="V192:W197" si="564">AI192*-1</f>
        <v>0</v>
      </c>
      <c r="W192" s="421">
        <f t="shared" si="564"/>
        <v>0</v>
      </c>
      <c r="X192" s="421">
        <v>0</v>
      </c>
      <c r="Y192" s="421">
        <v>0</v>
      </c>
      <c r="Z192" s="421">
        <v>0</v>
      </c>
      <c r="AA192" s="421">
        <v>0</v>
      </c>
      <c r="AB192" s="421">
        <v>0</v>
      </c>
      <c r="AC192" s="421">
        <v>0</v>
      </c>
      <c r="AD192" s="421">
        <v>0</v>
      </c>
      <c r="AE192" s="421">
        <v>0</v>
      </c>
      <c r="AF192" s="421">
        <f t="shared" ref="AF192:AF197" si="565">V192+X192+Y192+AA192+AB192+AD192</f>
        <v>0</v>
      </c>
      <c r="AG192" s="421">
        <f t="shared" ref="AG192:AG197" si="566">W192+Z192+AC192+AE192</f>
        <v>0</v>
      </c>
      <c r="AH192" s="421">
        <f t="shared" ref="AH192:AH197" si="567">SUM(AF192:AG192)</f>
        <v>0</v>
      </c>
      <c r="AI192" s="421">
        <v>0</v>
      </c>
      <c r="AJ192" s="421">
        <v>0</v>
      </c>
      <c r="AK192" s="421">
        <v>0</v>
      </c>
      <c r="AL192" s="421">
        <v>0</v>
      </c>
      <c r="AM192" s="421">
        <v>0</v>
      </c>
      <c r="AN192" s="421">
        <v>0</v>
      </c>
      <c r="AO192" s="421">
        <f t="shared" ref="AO192:AO197" si="568">AI192+AK192+AL192+AM192</f>
        <v>0</v>
      </c>
      <c r="AP192" s="421">
        <f t="shared" ref="AP192:AP197" si="569">AJ192+AN192</f>
        <v>0</v>
      </c>
      <c r="AQ192" s="421">
        <f t="shared" ref="AQ192:AQ197" si="570">SUM(AO192:AP192)</f>
        <v>0</v>
      </c>
      <c r="AR192" s="421">
        <f t="shared" ref="AR192:AS197" si="571">AF192+AO192</f>
        <v>0</v>
      </c>
      <c r="AS192" s="421">
        <f t="shared" si="571"/>
        <v>0</v>
      </c>
      <c r="AT192" s="421">
        <f t="shared" ref="AT192:AT197" si="572">SUM(AR192:AS192)</f>
        <v>0</v>
      </c>
      <c r="AU192" s="68">
        <f t="shared" ref="AU192:AU197" si="573">ROUND((AH192+AI192+AJ192+AK192+AL192)*33.8%,0)</f>
        <v>0</v>
      </c>
      <c r="AV192" s="68">
        <f t="shared" ref="AV192:AV197" si="574">ROUND(AH192*1%,0)</f>
        <v>0</v>
      </c>
      <c r="AW192" s="421">
        <v>0</v>
      </c>
      <c r="AX192" s="421">
        <v>0</v>
      </c>
      <c r="AY192" s="421">
        <f t="shared" ref="AY192:AY197" si="575">AW192+AX192</f>
        <v>0</v>
      </c>
      <c r="AZ192" s="421">
        <f t="shared" ref="AZ192:AZ197" si="576">AT192+AU192+AV192+AY192</f>
        <v>0</v>
      </c>
      <c r="BA192" s="422">
        <v>0</v>
      </c>
      <c r="BB192" s="422">
        <v>0</v>
      </c>
      <c r="BC192" s="422">
        <v>0</v>
      </c>
      <c r="BD192" s="422">
        <v>0</v>
      </c>
      <c r="BE192" s="422">
        <v>0</v>
      </c>
      <c r="BF192" s="422">
        <v>0</v>
      </c>
      <c r="BG192" s="422">
        <v>0</v>
      </c>
      <c r="BH192" s="422">
        <v>0</v>
      </c>
      <c r="BI192" s="422">
        <v>0</v>
      </c>
      <c r="BJ192" s="422">
        <v>0</v>
      </c>
      <c r="BK192" s="422">
        <f t="shared" ref="BK192:BK197" si="577">BA192+BC192+BD192+BF192+BH192+BI192</f>
        <v>0</v>
      </c>
      <c r="BL192" s="422">
        <f t="shared" ref="BL192:BL197" si="578">BB192+BE192+BG192+BJ192</f>
        <v>0</v>
      </c>
      <c r="BM192" s="611">
        <f t="shared" ref="BM192:BM197" si="579">SUM(BK192:BL192)</f>
        <v>0</v>
      </c>
      <c r="BN192" s="428">
        <f t="shared" ref="BN192:BN197" si="580">I192+AZ192</f>
        <v>2910413</v>
      </c>
      <c r="BO192" s="421">
        <f t="shared" ref="BO192:BO197" si="581">J192+AH192</f>
        <v>2153712</v>
      </c>
      <c r="BP192" s="421">
        <f t="shared" ref="BP192:BQ197" si="582">K192+AF192</f>
        <v>2033904</v>
      </c>
      <c r="BQ192" s="421">
        <f t="shared" si="582"/>
        <v>119808</v>
      </c>
      <c r="BR192" s="421">
        <f t="shared" ref="BR192:BR197" si="583">M192+AQ192</f>
        <v>0</v>
      </c>
      <c r="BS192" s="421">
        <f t="shared" ref="BS192:BT197" si="584">N192+AO192</f>
        <v>0</v>
      </c>
      <c r="BT192" s="421">
        <f t="shared" si="584"/>
        <v>0</v>
      </c>
      <c r="BU192" s="421">
        <f t="shared" ref="BU192:BV197" si="585">P192+AU192</f>
        <v>727955</v>
      </c>
      <c r="BV192" s="421">
        <f t="shared" si="585"/>
        <v>21537</v>
      </c>
      <c r="BW192" s="421">
        <f t="shared" ref="BW192:BW197" si="586">R192+AY192</f>
        <v>7209</v>
      </c>
      <c r="BX192" s="422">
        <f t="shared" ref="BX192:BX197" si="587">S192+BM192</f>
        <v>4.3832000000000004</v>
      </c>
      <c r="BY192" s="422">
        <f t="shared" ref="BY192:BZ197" si="588">T192+BK192</f>
        <v>3.9032</v>
      </c>
      <c r="BZ192" s="611">
        <f t="shared" si="588"/>
        <v>0.48</v>
      </c>
      <c r="CA192" s="875"/>
      <c r="CB192" s="872"/>
      <c r="CC192" s="872"/>
      <c r="CD192" s="872"/>
      <c r="CE192" s="872"/>
      <c r="CF192" s="876"/>
    </row>
    <row r="193" spans="1:84" ht="12.95" customHeight="1" x14ac:dyDescent="0.25">
      <c r="A193" s="282">
        <v>38</v>
      </c>
      <c r="B193" s="213">
        <v>5470</v>
      </c>
      <c r="C193" s="213">
        <v>600099091</v>
      </c>
      <c r="D193" s="283">
        <v>70695822</v>
      </c>
      <c r="E193" s="374" t="s">
        <v>524</v>
      </c>
      <c r="F193" s="213">
        <v>3117</v>
      </c>
      <c r="G193" s="374" t="s">
        <v>309</v>
      </c>
      <c r="H193" s="287" t="s">
        <v>271</v>
      </c>
      <c r="I193" s="423">
        <f t="shared" si="560"/>
        <v>5281100</v>
      </c>
      <c r="J193" s="418">
        <f t="shared" si="561"/>
        <v>3850018</v>
      </c>
      <c r="K193" s="418">
        <v>3279766</v>
      </c>
      <c r="L193" s="418">
        <v>570252</v>
      </c>
      <c r="M193" s="418">
        <f t="shared" si="562"/>
        <v>0</v>
      </c>
      <c r="N193" s="418">
        <v>0</v>
      </c>
      <c r="O193" s="418">
        <v>0</v>
      </c>
      <c r="P193" s="68">
        <f t="shared" si="563"/>
        <v>1301306</v>
      </c>
      <c r="Q193" s="68">
        <f>ROUND(J193*1%,0)+1</f>
        <v>38501</v>
      </c>
      <c r="R193" s="418">
        <v>91275</v>
      </c>
      <c r="S193" s="419">
        <f t="shared" si="429"/>
        <v>6.6974999999999998</v>
      </c>
      <c r="T193" s="419">
        <v>5.0907</v>
      </c>
      <c r="U193" s="527">
        <v>1.6067999999999998</v>
      </c>
      <c r="V193" s="427">
        <f t="shared" si="564"/>
        <v>-12800</v>
      </c>
      <c r="W193" s="421">
        <f t="shared" si="564"/>
        <v>-96000</v>
      </c>
      <c r="X193" s="421">
        <v>0</v>
      </c>
      <c r="Y193" s="421">
        <v>0</v>
      </c>
      <c r="Z193" s="421">
        <v>0</v>
      </c>
      <c r="AA193" s="421">
        <v>0</v>
      </c>
      <c r="AB193" s="421">
        <v>112800</v>
      </c>
      <c r="AC193" s="421">
        <v>0</v>
      </c>
      <c r="AD193" s="421">
        <v>0</v>
      </c>
      <c r="AE193" s="421">
        <v>0</v>
      </c>
      <c r="AF193" s="421">
        <f t="shared" si="565"/>
        <v>100000</v>
      </c>
      <c r="AG193" s="421">
        <f t="shared" si="566"/>
        <v>-96000</v>
      </c>
      <c r="AH193" s="421">
        <f t="shared" si="567"/>
        <v>4000</v>
      </c>
      <c r="AI193" s="421">
        <v>12800</v>
      </c>
      <c r="AJ193" s="421">
        <v>96000</v>
      </c>
      <c r="AK193" s="421">
        <v>0</v>
      </c>
      <c r="AL193" s="421">
        <v>132400</v>
      </c>
      <c r="AM193" s="421">
        <v>0</v>
      </c>
      <c r="AN193" s="421">
        <v>0</v>
      </c>
      <c r="AO193" s="421">
        <f t="shared" si="568"/>
        <v>145200</v>
      </c>
      <c r="AP193" s="421">
        <f t="shared" si="569"/>
        <v>96000</v>
      </c>
      <c r="AQ193" s="421">
        <f t="shared" si="570"/>
        <v>241200</v>
      </c>
      <c r="AR193" s="421">
        <f t="shared" si="571"/>
        <v>245200</v>
      </c>
      <c r="AS193" s="421">
        <f t="shared" si="571"/>
        <v>0</v>
      </c>
      <c r="AT193" s="421">
        <f t="shared" si="572"/>
        <v>245200</v>
      </c>
      <c r="AU193" s="68">
        <f t="shared" si="573"/>
        <v>82878</v>
      </c>
      <c r="AV193" s="68">
        <f t="shared" si="574"/>
        <v>40</v>
      </c>
      <c r="AW193" s="421">
        <v>0</v>
      </c>
      <c r="AX193" s="421">
        <v>0</v>
      </c>
      <c r="AY193" s="421">
        <f t="shared" si="575"/>
        <v>0</v>
      </c>
      <c r="AZ193" s="421">
        <f t="shared" si="576"/>
        <v>328118</v>
      </c>
      <c r="BA193" s="422">
        <v>0</v>
      </c>
      <c r="BB193" s="422">
        <v>0</v>
      </c>
      <c r="BC193" s="422">
        <v>0</v>
      </c>
      <c r="BD193" s="422">
        <v>0.2</v>
      </c>
      <c r="BE193" s="422">
        <v>0</v>
      </c>
      <c r="BF193" s="422">
        <v>0</v>
      </c>
      <c r="BG193" s="422">
        <v>0</v>
      </c>
      <c r="BH193" s="422">
        <v>0</v>
      </c>
      <c r="BI193" s="422">
        <v>0</v>
      </c>
      <c r="BJ193" s="422">
        <v>0</v>
      </c>
      <c r="BK193" s="422">
        <f t="shared" si="577"/>
        <v>0.2</v>
      </c>
      <c r="BL193" s="422">
        <f t="shared" si="578"/>
        <v>0</v>
      </c>
      <c r="BM193" s="611">
        <f t="shared" si="579"/>
        <v>0.2</v>
      </c>
      <c r="BN193" s="428">
        <f t="shared" si="580"/>
        <v>5609218</v>
      </c>
      <c r="BO193" s="421">
        <f t="shared" si="581"/>
        <v>3854018</v>
      </c>
      <c r="BP193" s="421">
        <f t="shared" si="582"/>
        <v>3379766</v>
      </c>
      <c r="BQ193" s="421">
        <f t="shared" si="582"/>
        <v>474252</v>
      </c>
      <c r="BR193" s="421">
        <f t="shared" si="583"/>
        <v>241200</v>
      </c>
      <c r="BS193" s="421">
        <f t="shared" si="584"/>
        <v>145200</v>
      </c>
      <c r="BT193" s="421">
        <f t="shared" si="584"/>
        <v>96000</v>
      </c>
      <c r="BU193" s="421">
        <f t="shared" si="585"/>
        <v>1384184</v>
      </c>
      <c r="BV193" s="421">
        <f t="shared" si="585"/>
        <v>38541</v>
      </c>
      <c r="BW193" s="421">
        <f t="shared" si="586"/>
        <v>91275</v>
      </c>
      <c r="BX193" s="422">
        <f t="shared" si="587"/>
        <v>6.8975</v>
      </c>
      <c r="BY193" s="422">
        <f t="shared" si="588"/>
        <v>5.2907000000000002</v>
      </c>
      <c r="BZ193" s="611">
        <f t="shared" si="588"/>
        <v>1.6067999999999998</v>
      </c>
      <c r="CA193" s="16">
        <v>152054</v>
      </c>
      <c r="CB193" s="903">
        <v>112800</v>
      </c>
      <c r="CC193" s="903">
        <v>0</v>
      </c>
      <c r="CD193" s="903">
        <v>38126</v>
      </c>
      <c r="CE193" s="903">
        <v>1128</v>
      </c>
      <c r="CF193" s="905">
        <v>0.2</v>
      </c>
    </row>
    <row r="194" spans="1:84" ht="12.95" customHeight="1" x14ac:dyDescent="0.25">
      <c r="A194" s="282">
        <v>38</v>
      </c>
      <c r="B194" s="378">
        <v>5470</v>
      </c>
      <c r="C194" s="378">
        <v>600099091</v>
      </c>
      <c r="D194" s="283">
        <v>70695822</v>
      </c>
      <c r="E194" s="374" t="s">
        <v>524</v>
      </c>
      <c r="F194" s="213">
        <v>3117</v>
      </c>
      <c r="G194" s="325" t="s">
        <v>292</v>
      </c>
      <c r="H194" s="287" t="s">
        <v>272</v>
      </c>
      <c r="I194" s="423">
        <f t="shared" si="560"/>
        <v>0</v>
      </c>
      <c r="J194" s="418">
        <f t="shared" si="561"/>
        <v>0</v>
      </c>
      <c r="K194" s="418">
        <v>0</v>
      </c>
      <c r="L194" s="418">
        <v>0</v>
      </c>
      <c r="M194" s="418">
        <f t="shared" si="562"/>
        <v>0</v>
      </c>
      <c r="N194" s="418">
        <v>0</v>
      </c>
      <c r="O194" s="418">
        <v>0</v>
      </c>
      <c r="P194" s="68">
        <f t="shared" si="563"/>
        <v>0</v>
      </c>
      <c r="Q194" s="68">
        <f t="shared" ref="Q194" si="589">ROUND(J194*1%,0)</f>
        <v>0</v>
      </c>
      <c r="R194" s="418">
        <v>0</v>
      </c>
      <c r="S194" s="419">
        <f t="shared" si="429"/>
        <v>0</v>
      </c>
      <c r="T194" s="419">
        <v>0</v>
      </c>
      <c r="U194" s="527">
        <v>0</v>
      </c>
      <c r="V194" s="427">
        <f t="shared" si="564"/>
        <v>0</v>
      </c>
      <c r="W194" s="421">
        <f t="shared" si="564"/>
        <v>0</v>
      </c>
      <c r="X194" s="421">
        <v>1400813</v>
      </c>
      <c r="Y194" s="421">
        <v>0</v>
      </c>
      <c r="Z194" s="421">
        <v>0</v>
      </c>
      <c r="AA194" s="421">
        <v>0</v>
      </c>
      <c r="AB194" s="421">
        <v>0</v>
      </c>
      <c r="AC194" s="421">
        <v>0</v>
      </c>
      <c r="AD194" s="421">
        <v>0</v>
      </c>
      <c r="AE194" s="421">
        <v>0</v>
      </c>
      <c r="AF194" s="421">
        <f t="shared" si="565"/>
        <v>1400813</v>
      </c>
      <c r="AG194" s="421">
        <f t="shared" si="566"/>
        <v>0</v>
      </c>
      <c r="AH194" s="421">
        <f t="shared" si="567"/>
        <v>1400813</v>
      </c>
      <c r="AI194" s="421">
        <v>0</v>
      </c>
      <c r="AJ194" s="421">
        <v>0</v>
      </c>
      <c r="AK194" s="421">
        <v>0</v>
      </c>
      <c r="AL194" s="421">
        <v>0</v>
      </c>
      <c r="AM194" s="421">
        <v>0</v>
      </c>
      <c r="AN194" s="421">
        <v>0</v>
      </c>
      <c r="AO194" s="421">
        <f t="shared" si="568"/>
        <v>0</v>
      </c>
      <c r="AP194" s="421">
        <f t="shared" si="569"/>
        <v>0</v>
      </c>
      <c r="AQ194" s="421">
        <f t="shared" si="570"/>
        <v>0</v>
      </c>
      <c r="AR194" s="421">
        <f t="shared" si="571"/>
        <v>1400813</v>
      </c>
      <c r="AS194" s="421">
        <f t="shared" si="571"/>
        <v>0</v>
      </c>
      <c r="AT194" s="421">
        <f t="shared" si="572"/>
        <v>1400813</v>
      </c>
      <c r="AU194" s="68">
        <f t="shared" si="573"/>
        <v>473475</v>
      </c>
      <c r="AV194" s="68">
        <f t="shared" si="574"/>
        <v>14008</v>
      </c>
      <c r="AW194" s="421">
        <v>3500</v>
      </c>
      <c r="AX194" s="421">
        <v>0</v>
      </c>
      <c r="AY194" s="421">
        <f t="shared" si="575"/>
        <v>3500</v>
      </c>
      <c r="AZ194" s="421">
        <f t="shared" si="576"/>
        <v>1891796</v>
      </c>
      <c r="BA194" s="422">
        <v>0</v>
      </c>
      <c r="BB194" s="422">
        <v>0</v>
      </c>
      <c r="BC194" s="422">
        <v>3.78</v>
      </c>
      <c r="BD194" s="422">
        <v>0</v>
      </c>
      <c r="BE194" s="422">
        <v>0</v>
      </c>
      <c r="BF194" s="422">
        <v>0</v>
      </c>
      <c r="BG194" s="422">
        <v>0</v>
      </c>
      <c r="BH194" s="422">
        <v>0</v>
      </c>
      <c r="BI194" s="422">
        <v>0</v>
      </c>
      <c r="BJ194" s="422">
        <v>0</v>
      </c>
      <c r="BK194" s="422">
        <f t="shared" si="577"/>
        <v>3.78</v>
      </c>
      <c r="BL194" s="422">
        <f t="shared" si="578"/>
        <v>0</v>
      </c>
      <c r="BM194" s="611">
        <f t="shared" si="579"/>
        <v>3.78</v>
      </c>
      <c r="BN194" s="428">
        <f t="shared" si="580"/>
        <v>1891796</v>
      </c>
      <c r="BO194" s="421">
        <f t="shared" si="581"/>
        <v>1400813</v>
      </c>
      <c r="BP194" s="421">
        <f t="shared" si="582"/>
        <v>1400813</v>
      </c>
      <c r="BQ194" s="421">
        <f t="shared" si="582"/>
        <v>0</v>
      </c>
      <c r="BR194" s="421">
        <f t="shared" si="583"/>
        <v>0</v>
      </c>
      <c r="BS194" s="421">
        <f t="shared" si="584"/>
        <v>0</v>
      </c>
      <c r="BT194" s="421">
        <f t="shared" si="584"/>
        <v>0</v>
      </c>
      <c r="BU194" s="421">
        <f t="shared" si="585"/>
        <v>473475</v>
      </c>
      <c r="BV194" s="421">
        <f t="shared" si="585"/>
        <v>14008</v>
      </c>
      <c r="BW194" s="421">
        <f t="shared" si="586"/>
        <v>3500</v>
      </c>
      <c r="BX194" s="422">
        <f t="shared" si="587"/>
        <v>3.78</v>
      </c>
      <c r="BY194" s="422">
        <f t="shared" si="588"/>
        <v>3.78</v>
      </c>
      <c r="BZ194" s="611">
        <f t="shared" si="588"/>
        <v>0</v>
      </c>
      <c r="CA194" s="875"/>
      <c r="CB194" s="872"/>
      <c r="CC194" s="872"/>
      <c r="CD194" s="872"/>
      <c r="CE194" s="872"/>
      <c r="CF194" s="876"/>
    </row>
    <row r="195" spans="1:84" ht="12.95" customHeight="1" x14ac:dyDescent="0.25">
      <c r="A195" s="282">
        <v>38</v>
      </c>
      <c r="B195" s="213">
        <v>5470</v>
      </c>
      <c r="C195" s="213">
        <v>600099091</v>
      </c>
      <c r="D195" s="283">
        <v>70695822</v>
      </c>
      <c r="E195" s="373" t="s">
        <v>524</v>
      </c>
      <c r="F195" s="384">
        <v>3141</v>
      </c>
      <c r="G195" s="375" t="s">
        <v>295</v>
      </c>
      <c r="H195" s="287" t="s">
        <v>272</v>
      </c>
      <c r="I195" s="423">
        <f t="shared" si="560"/>
        <v>744259</v>
      </c>
      <c r="J195" s="418">
        <f t="shared" si="561"/>
        <v>549142</v>
      </c>
      <c r="K195" s="418">
        <v>0</v>
      </c>
      <c r="L195" s="418">
        <v>549142</v>
      </c>
      <c r="M195" s="418">
        <f t="shared" si="562"/>
        <v>0</v>
      </c>
      <c r="N195" s="418">
        <v>0</v>
      </c>
      <c r="O195" s="418">
        <v>0</v>
      </c>
      <c r="P195" s="68">
        <f t="shared" si="563"/>
        <v>185610</v>
      </c>
      <c r="Q195" s="68">
        <f>ROUND(J195*1%,0)</f>
        <v>5491</v>
      </c>
      <c r="R195" s="418">
        <v>4016</v>
      </c>
      <c r="S195" s="419">
        <f t="shared" si="429"/>
        <v>1.6467000000000001</v>
      </c>
      <c r="T195" s="419">
        <v>0</v>
      </c>
      <c r="U195" s="527">
        <v>1.6467000000000001</v>
      </c>
      <c r="V195" s="427">
        <f t="shared" si="564"/>
        <v>0</v>
      </c>
      <c r="W195" s="421">
        <f t="shared" si="564"/>
        <v>0</v>
      </c>
      <c r="X195" s="421">
        <v>0</v>
      </c>
      <c r="Y195" s="421">
        <v>0</v>
      </c>
      <c r="Z195" s="421">
        <v>0</v>
      </c>
      <c r="AA195" s="421">
        <v>0</v>
      </c>
      <c r="AB195" s="421">
        <v>0</v>
      </c>
      <c r="AC195" s="421">
        <v>0</v>
      </c>
      <c r="AD195" s="421">
        <v>0</v>
      </c>
      <c r="AE195" s="421">
        <v>0</v>
      </c>
      <c r="AF195" s="421">
        <f t="shared" si="565"/>
        <v>0</v>
      </c>
      <c r="AG195" s="421">
        <f t="shared" si="566"/>
        <v>0</v>
      </c>
      <c r="AH195" s="421">
        <f t="shared" si="567"/>
        <v>0</v>
      </c>
      <c r="AI195" s="421">
        <v>0</v>
      </c>
      <c r="AJ195" s="421">
        <v>0</v>
      </c>
      <c r="AK195" s="421">
        <v>0</v>
      </c>
      <c r="AL195" s="421">
        <v>0</v>
      </c>
      <c r="AM195" s="421">
        <v>0</v>
      </c>
      <c r="AN195" s="421">
        <v>0</v>
      </c>
      <c r="AO195" s="421">
        <f t="shared" si="568"/>
        <v>0</v>
      </c>
      <c r="AP195" s="421">
        <f t="shared" si="569"/>
        <v>0</v>
      </c>
      <c r="AQ195" s="421">
        <f t="shared" si="570"/>
        <v>0</v>
      </c>
      <c r="AR195" s="421">
        <f t="shared" si="571"/>
        <v>0</v>
      </c>
      <c r="AS195" s="421">
        <f t="shared" si="571"/>
        <v>0</v>
      </c>
      <c r="AT195" s="421">
        <f t="shared" si="572"/>
        <v>0</v>
      </c>
      <c r="AU195" s="68">
        <f t="shared" si="573"/>
        <v>0</v>
      </c>
      <c r="AV195" s="68">
        <f t="shared" si="574"/>
        <v>0</v>
      </c>
      <c r="AW195" s="421">
        <v>0</v>
      </c>
      <c r="AX195" s="421">
        <v>0</v>
      </c>
      <c r="AY195" s="421">
        <f t="shared" si="575"/>
        <v>0</v>
      </c>
      <c r="AZ195" s="421">
        <f t="shared" si="576"/>
        <v>0</v>
      </c>
      <c r="BA195" s="422">
        <v>0</v>
      </c>
      <c r="BB195" s="422">
        <v>0</v>
      </c>
      <c r="BC195" s="422">
        <v>0</v>
      </c>
      <c r="BD195" s="422">
        <v>0</v>
      </c>
      <c r="BE195" s="422">
        <v>0</v>
      </c>
      <c r="BF195" s="422">
        <v>0</v>
      </c>
      <c r="BG195" s="422">
        <v>0</v>
      </c>
      <c r="BH195" s="422">
        <v>0</v>
      </c>
      <c r="BI195" s="422">
        <v>0</v>
      </c>
      <c r="BJ195" s="422">
        <v>0</v>
      </c>
      <c r="BK195" s="422">
        <f t="shared" si="577"/>
        <v>0</v>
      </c>
      <c r="BL195" s="422">
        <f t="shared" si="578"/>
        <v>0</v>
      </c>
      <c r="BM195" s="611">
        <f t="shared" si="579"/>
        <v>0</v>
      </c>
      <c r="BN195" s="428">
        <f t="shared" si="580"/>
        <v>744259</v>
      </c>
      <c r="BO195" s="421">
        <f t="shared" si="581"/>
        <v>549142</v>
      </c>
      <c r="BP195" s="421">
        <f t="shared" si="582"/>
        <v>0</v>
      </c>
      <c r="BQ195" s="421">
        <f t="shared" si="582"/>
        <v>549142</v>
      </c>
      <c r="BR195" s="421">
        <f t="shared" si="583"/>
        <v>0</v>
      </c>
      <c r="BS195" s="421">
        <f t="shared" si="584"/>
        <v>0</v>
      </c>
      <c r="BT195" s="421">
        <f t="shared" si="584"/>
        <v>0</v>
      </c>
      <c r="BU195" s="421">
        <f t="shared" si="585"/>
        <v>185610</v>
      </c>
      <c r="BV195" s="421">
        <f t="shared" si="585"/>
        <v>5491</v>
      </c>
      <c r="BW195" s="421">
        <f t="shared" si="586"/>
        <v>4016</v>
      </c>
      <c r="BX195" s="422">
        <f t="shared" si="587"/>
        <v>1.6467000000000001</v>
      </c>
      <c r="BY195" s="422">
        <f t="shared" si="588"/>
        <v>0</v>
      </c>
      <c r="BZ195" s="611">
        <f t="shared" si="588"/>
        <v>1.6467000000000001</v>
      </c>
      <c r="CA195" s="875"/>
      <c r="CB195" s="872"/>
      <c r="CC195" s="872"/>
      <c r="CD195" s="872"/>
      <c r="CE195" s="872"/>
      <c r="CF195" s="876"/>
    </row>
    <row r="196" spans="1:84" ht="12.95" customHeight="1" x14ac:dyDescent="0.25">
      <c r="A196" s="282">
        <v>38</v>
      </c>
      <c r="B196" s="378">
        <v>5470</v>
      </c>
      <c r="C196" s="378">
        <v>600099091</v>
      </c>
      <c r="D196" s="283">
        <v>70695822</v>
      </c>
      <c r="E196" s="374" t="s">
        <v>524</v>
      </c>
      <c r="F196" s="213">
        <v>3143</v>
      </c>
      <c r="G196" s="325" t="s">
        <v>596</v>
      </c>
      <c r="H196" s="287" t="s">
        <v>271</v>
      </c>
      <c r="I196" s="423">
        <f t="shared" si="560"/>
        <v>1032744</v>
      </c>
      <c r="J196" s="418">
        <f t="shared" si="561"/>
        <v>766131</v>
      </c>
      <c r="K196" s="418">
        <v>766131</v>
      </c>
      <c r="L196" s="418">
        <v>0</v>
      </c>
      <c r="M196" s="418">
        <f t="shared" si="562"/>
        <v>0</v>
      </c>
      <c r="N196" s="418">
        <v>0</v>
      </c>
      <c r="O196" s="418">
        <v>0</v>
      </c>
      <c r="P196" s="68">
        <f t="shared" si="563"/>
        <v>258952</v>
      </c>
      <c r="Q196" s="68">
        <f>ROUND(J196*1%,0)</f>
        <v>7661</v>
      </c>
      <c r="R196" s="418">
        <v>0</v>
      </c>
      <c r="S196" s="419">
        <f t="shared" si="429"/>
        <v>1.6225000000000001</v>
      </c>
      <c r="T196" s="419">
        <v>1.6225000000000001</v>
      </c>
      <c r="U196" s="527">
        <v>0</v>
      </c>
      <c r="V196" s="427">
        <f t="shared" si="564"/>
        <v>0</v>
      </c>
      <c r="W196" s="421">
        <f t="shared" si="564"/>
        <v>0</v>
      </c>
      <c r="X196" s="421">
        <v>0</v>
      </c>
      <c r="Y196" s="421">
        <v>0</v>
      </c>
      <c r="Z196" s="421">
        <v>0</v>
      </c>
      <c r="AA196" s="421">
        <v>0</v>
      </c>
      <c r="AB196" s="421">
        <v>0</v>
      </c>
      <c r="AC196" s="421">
        <v>0</v>
      </c>
      <c r="AD196" s="421">
        <v>0</v>
      </c>
      <c r="AE196" s="421">
        <v>0</v>
      </c>
      <c r="AF196" s="421">
        <f t="shared" si="565"/>
        <v>0</v>
      </c>
      <c r="AG196" s="421">
        <f t="shared" si="566"/>
        <v>0</v>
      </c>
      <c r="AH196" s="421">
        <f t="shared" si="567"/>
        <v>0</v>
      </c>
      <c r="AI196" s="421">
        <v>0</v>
      </c>
      <c r="AJ196" s="421">
        <v>0</v>
      </c>
      <c r="AK196" s="421">
        <v>0</v>
      </c>
      <c r="AL196" s="421">
        <v>0</v>
      </c>
      <c r="AM196" s="421">
        <v>0</v>
      </c>
      <c r="AN196" s="421">
        <v>0</v>
      </c>
      <c r="AO196" s="421">
        <f t="shared" si="568"/>
        <v>0</v>
      </c>
      <c r="AP196" s="421">
        <f t="shared" si="569"/>
        <v>0</v>
      </c>
      <c r="AQ196" s="421">
        <f t="shared" si="570"/>
        <v>0</v>
      </c>
      <c r="AR196" s="421">
        <f t="shared" si="571"/>
        <v>0</v>
      </c>
      <c r="AS196" s="421">
        <f t="shared" si="571"/>
        <v>0</v>
      </c>
      <c r="AT196" s="421">
        <f t="shared" si="572"/>
        <v>0</v>
      </c>
      <c r="AU196" s="68">
        <f t="shared" si="573"/>
        <v>0</v>
      </c>
      <c r="AV196" s="68">
        <f t="shared" si="574"/>
        <v>0</v>
      </c>
      <c r="AW196" s="421">
        <v>0</v>
      </c>
      <c r="AX196" s="421">
        <v>0</v>
      </c>
      <c r="AY196" s="421">
        <f t="shared" si="575"/>
        <v>0</v>
      </c>
      <c r="AZ196" s="421">
        <f t="shared" si="576"/>
        <v>0</v>
      </c>
      <c r="BA196" s="422">
        <v>0</v>
      </c>
      <c r="BB196" s="422">
        <v>0</v>
      </c>
      <c r="BC196" s="422">
        <v>0</v>
      </c>
      <c r="BD196" s="422">
        <v>0</v>
      </c>
      <c r="BE196" s="422">
        <v>0</v>
      </c>
      <c r="BF196" s="422">
        <v>0</v>
      </c>
      <c r="BG196" s="422">
        <v>0</v>
      </c>
      <c r="BH196" s="422">
        <v>0</v>
      </c>
      <c r="BI196" s="422">
        <v>0</v>
      </c>
      <c r="BJ196" s="422">
        <v>0</v>
      </c>
      <c r="BK196" s="422">
        <f t="shared" si="577"/>
        <v>0</v>
      </c>
      <c r="BL196" s="422">
        <f t="shared" si="578"/>
        <v>0</v>
      </c>
      <c r="BM196" s="611">
        <f t="shared" si="579"/>
        <v>0</v>
      </c>
      <c r="BN196" s="428">
        <f t="shared" si="580"/>
        <v>1032744</v>
      </c>
      <c r="BO196" s="421">
        <f t="shared" si="581"/>
        <v>766131</v>
      </c>
      <c r="BP196" s="421">
        <f t="shared" si="582"/>
        <v>766131</v>
      </c>
      <c r="BQ196" s="421">
        <f t="shared" si="582"/>
        <v>0</v>
      </c>
      <c r="BR196" s="421">
        <f t="shared" si="583"/>
        <v>0</v>
      </c>
      <c r="BS196" s="421">
        <f t="shared" si="584"/>
        <v>0</v>
      </c>
      <c r="BT196" s="421">
        <f t="shared" si="584"/>
        <v>0</v>
      </c>
      <c r="BU196" s="421">
        <f t="shared" si="585"/>
        <v>258952</v>
      </c>
      <c r="BV196" s="421">
        <f t="shared" si="585"/>
        <v>7661</v>
      </c>
      <c r="BW196" s="421">
        <f t="shared" si="586"/>
        <v>0</v>
      </c>
      <c r="BX196" s="422">
        <f t="shared" si="587"/>
        <v>1.6225000000000001</v>
      </c>
      <c r="BY196" s="422">
        <f t="shared" si="588"/>
        <v>1.6225000000000001</v>
      </c>
      <c r="BZ196" s="611">
        <f t="shared" si="588"/>
        <v>0</v>
      </c>
      <c r="CA196" s="875"/>
      <c r="CB196" s="872"/>
      <c r="CC196" s="872"/>
      <c r="CD196" s="872"/>
      <c r="CE196" s="872"/>
      <c r="CF196" s="876"/>
    </row>
    <row r="197" spans="1:84" ht="12.95" customHeight="1" x14ac:dyDescent="0.25">
      <c r="A197" s="282">
        <v>38</v>
      </c>
      <c r="B197" s="378">
        <v>5470</v>
      </c>
      <c r="C197" s="378">
        <v>600099091</v>
      </c>
      <c r="D197" s="283">
        <v>70695822</v>
      </c>
      <c r="E197" s="374" t="s">
        <v>524</v>
      </c>
      <c r="F197" s="213">
        <v>3143</v>
      </c>
      <c r="G197" s="325" t="s">
        <v>597</v>
      </c>
      <c r="H197" s="287" t="s">
        <v>272</v>
      </c>
      <c r="I197" s="423">
        <f t="shared" si="560"/>
        <v>23052</v>
      </c>
      <c r="J197" s="418">
        <f t="shared" si="561"/>
        <v>16500</v>
      </c>
      <c r="K197" s="418">
        <v>0</v>
      </c>
      <c r="L197" s="418">
        <v>16500</v>
      </c>
      <c r="M197" s="418">
        <f t="shared" si="562"/>
        <v>0</v>
      </c>
      <c r="N197" s="418">
        <v>0</v>
      </c>
      <c r="O197" s="418">
        <v>0</v>
      </c>
      <c r="P197" s="68">
        <f t="shared" si="563"/>
        <v>5577</v>
      </c>
      <c r="Q197" s="68">
        <f>ROUND(J197*1%,0)</f>
        <v>165</v>
      </c>
      <c r="R197" s="418">
        <v>810</v>
      </c>
      <c r="S197" s="419">
        <f t="shared" si="429"/>
        <v>6.25E-2</v>
      </c>
      <c r="T197" s="419">
        <v>0</v>
      </c>
      <c r="U197" s="527">
        <v>6.25E-2</v>
      </c>
      <c r="V197" s="427">
        <f t="shared" si="564"/>
        <v>0</v>
      </c>
      <c r="W197" s="421">
        <f t="shared" si="564"/>
        <v>0</v>
      </c>
      <c r="X197" s="421">
        <v>0</v>
      </c>
      <c r="Y197" s="421">
        <v>0</v>
      </c>
      <c r="Z197" s="421">
        <v>0</v>
      </c>
      <c r="AA197" s="421">
        <v>0</v>
      </c>
      <c r="AB197" s="421">
        <v>0</v>
      </c>
      <c r="AC197" s="421">
        <v>0</v>
      </c>
      <c r="AD197" s="421">
        <v>0</v>
      </c>
      <c r="AE197" s="421">
        <v>0</v>
      </c>
      <c r="AF197" s="421">
        <f t="shared" si="565"/>
        <v>0</v>
      </c>
      <c r="AG197" s="421">
        <f t="shared" si="566"/>
        <v>0</v>
      </c>
      <c r="AH197" s="421">
        <f t="shared" si="567"/>
        <v>0</v>
      </c>
      <c r="AI197" s="421">
        <v>0</v>
      </c>
      <c r="AJ197" s="421">
        <v>0</v>
      </c>
      <c r="AK197" s="421">
        <v>0</v>
      </c>
      <c r="AL197" s="421">
        <v>0</v>
      </c>
      <c r="AM197" s="421">
        <v>0</v>
      </c>
      <c r="AN197" s="421">
        <v>0</v>
      </c>
      <c r="AO197" s="421">
        <f t="shared" si="568"/>
        <v>0</v>
      </c>
      <c r="AP197" s="421">
        <f t="shared" si="569"/>
        <v>0</v>
      </c>
      <c r="AQ197" s="421">
        <f t="shared" si="570"/>
        <v>0</v>
      </c>
      <c r="AR197" s="421">
        <f t="shared" si="571"/>
        <v>0</v>
      </c>
      <c r="AS197" s="421">
        <f t="shared" si="571"/>
        <v>0</v>
      </c>
      <c r="AT197" s="421">
        <f t="shared" si="572"/>
        <v>0</v>
      </c>
      <c r="AU197" s="68">
        <f t="shared" si="573"/>
        <v>0</v>
      </c>
      <c r="AV197" s="68">
        <f t="shared" si="574"/>
        <v>0</v>
      </c>
      <c r="AW197" s="421">
        <v>0</v>
      </c>
      <c r="AX197" s="421">
        <v>0</v>
      </c>
      <c r="AY197" s="421">
        <f t="shared" si="575"/>
        <v>0</v>
      </c>
      <c r="AZ197" s="421">
        <f t="shared" si="576"/>
        <v>0</v>
      </c>
      <c r="BA197" s="422">
        <v>0</v>
      </c>
      <c r="BB197" s="422">
        <v>0</v>
      </c>
      <c r="BC197" s="422">
        <v>0</v>
      </c>
      <c r="BD197" s="422">
        <v>0</v>
      </c>
      <c r="BE197" s="422">
        <v>0</v>
      </c>
      <c r="BF197" s="422">
        <v>0</v>
      </c>
      <c r="BG197" s="422">
        <v>0</v>
      </c>
      <c r="BH197" s="422">
        <v>0</v>
      </c>
      <c r="BI197" s="422">
        <v>0</v>
      </c>
      <c r="BJ197" s="422">
        <v>0</v>
      </c>
      <c r="BK197" s="422">
        <f t="shared" si="577"/>
        <v>0</v>
      </c>
      <c r="BL197" s="422">
        <f t="shared" si="578"/>
        <v>0</v>
      </c>
      <c r="BM197" s="611">
        <f t="shared" si="579"/>
        <v>0</v>
      </c>
      <c r="BN197" s="428">
        <f t="shared" si="580"/>
        <v>23052</v>
      </c>
      <c r="BO197" s="421">
        <f t="shared" si="581"/>
        <v>16500</v>
      </c>
      <c r="BP197" s="421">
        <f t="shared" si="582"/>
        <v>0</v>
      </c>
      <c r="BQ197" s="421">
        <f t="shared" si="582"/>
        <v>16500</v>
      </c>
      <c r="BR197" s="421">
        <f t="shared" si="583"/>
        <v>0</v>
      </c>
      <c r="BS197" s="421">
        <f t="shared" si="584"/>
        <v>0</v>
      </c>
      <c r="BT197" s="421">
        <f t="shared" si="584"/>
        <v>0</v>
      </c>
      <c r="BU197" s="421">
        <f t="shared" si="585"/>
        <v>5577</v>
      </c>
      <c r="BV197" s="421">
        <f t="shared" si="585"/>
        <v>165</v>
      </c>
      <c r="BW197" s="421">
        <f t="shared" si="586"/>
        <v>810</v>
      </c>
      <c r="BX197" s="422">
        <f t="shared" si="587"/>
        <v>6.25E-2</v>
      </c>
      <c r="BY197" s="422">
        <f t="shared" si="588"/>
        <v>0</v>
      </c>
      <c r="BZ197" s="611">
        <f t="shared" si="588"/>
        <v>6.25E-2</v>
      </c>
      <c r="CA197" s="875"/>
      <c r="CB197" s="872"/>
      <c r="CC197" s="872"/>
      <c r="CD197" s="872"/>
      <c r="CE197" s="872"/>
      <c r="CF197" s="876"/>
    </row>
    <row r="198" spans="1:84" ht="12.95" customHeight="1" thickBot="1" x14ac:dyDescent="0.3">
      <c r="A198" s="216">
        <v>38</v>
      </c>
      <c r="B198" s="166">
        <v>5470</v>
      </c>
      <c r="C198" s="166">
        <v>600099091</v>
      </c>
      <c r="D198" s="166">
        <v>70695822</v>
      </c>
      <c r="E198" s="392" t="s">
        <v>525</v>
      </c>
      <c r="F198" s="49"/>
      <c r="G198" s="392"/>
      <c r="H198" s="187"/>
      <c r="I198" s="534">
        <f t="shared" ref="I198:BT198" si="590">SUM(I192:I197)</f>
        <v>9991568</v>
      </c>
      <c r="J198" s="535">
        <f t="shared" si="590"/>
        <v>7335503</v>
      </c>
      <c r="K198" s="535">
        <f t="shared" si="590"/>
        <v>6079801</v>
      </c>
      <c r="L198" s="535">
        <f t="shared" si="590"/>
        <v>1255702</v>
      </c>
      <c r="M198" s="535">
        <f t="shared" si="590"/>
        <v>0</v>
      </c>
      <c r="N198" s="535">
        <f t="shared" si="590"/>
        <v>0</v>
      </c>
      <c r="O198" s="535">
        <f t="shared" si="590"/>
        <v>0</v>
      </c>
      <c r="P198" s="535">
        <f t="shared" si="590"/>
        <v>2479400</v>
      </c>
      <c r="Q198" s="535">
        <f t="shared" si="590"/>
        <v>73355</v>
      </c>
      <c r="R198" s="535">
        <f t="shared" si="590"/>
        <v>103310</v>
      </c>
      <c r="S198" s="536">
        <f t="shared" si="590"/>
        <v>14.4124</v>
      </c>
      <c r="T198" s="536">
        <f t="shared" si="590"/>
        <v>10.616400000000001</v>
      </c>
      <c r="U198" s="537">
        <f t="shared" si="590"/>
        <v>3.7959999999999998</v>
      </c>
      <c r="V198" s="742">
        <f t="shared" si="590"/>
        <v>-12800</v>
      </c>
      <c r="W198" s="725">
        <f t="shared" si="590"/>
        <v>-96000</v>
      </c>
      <c r="X198" s="725">
        <f t="shared" si="590"/>
        <v>1400813</v>
      </c>
      <c r="Y198" s="725">
        <f t="shared" si="590"/>
        <v>0</v>
      </c>
      <c r="Z198" s="725">
        <f t="shared" si="590"/>
        <v>0</v>
      </c>
      <c r="AA198" s="725">
        <f t="shared" si="590"/>
        <v>0</v>
      </c>
      <c r="AB198" s="725">
        <f t="shared" si="590"/>
        <v>112800</v>
      </c>
      <c r="AC198" s="725">
        <f t="shared" si="590"/>
        <v>0</v>
      </c>
      <c r="AD198" s="725">
        <f t="shared" si="590"/>
        <v>0</v>
      </c>
      <c r="AE198" s="725">
        <f t="shared" si="590"/>
        <v>0</v>
      </c>
      <c r="AF198" s="725">
        <f t="shared" si="590"/>
        <v>1500813</v>
      </c>
      <c r="AG198" s="725">
        <f t="shared" si="590"/>
        <v>-96000</v>
      </c>
      <c r="AH198" s="725">
        <f t="shared" si="590"/>
        <v>1404813</v>
      </c>
      <c r="AI198" s="725">
        <f t="shared" si="590"/>
        <v>12800</v>
      </c>
      <c r="AJ198" s="725">
        <f t="shared" si="590"/>
        <v>96000</v>
      </c>
      <c r="AK198" s="725">
        <f t="shared" ref="AK198" si="591">SUM(AK192:AK197)</f>
        <v>0</v>
      </c>
      <c r="AL198" s="725">
        <f t="shared" si="590"/>
        <v>132400</v>
      </c>
      <c r="AM198" s="725">
        <f t="shared" si="590"/>
        <v>0</v>
      </c>
      <c r="AN198" s="725">
        <f t="shared" si="590"/>
        <v>0</v>
      </c>
      <c r="AO198" s="725">
        <f t="shared" si="590"/>
        <v>145200</v>
      </c>
      <c r="AP198" s="725">
        <f t="shared" si="590"/>
        <v>96000</v>
      </c>
      <c r="AQ198" s="725">
        <f t="shared" si="590"/>
        <v>241200</v>
      </c>
      <c r="AR198" s="725">
        <f t="shared" si="590"/>
        <v>1646013</v>
      </c>
      <c r="AS198" s="725">
        <f t="shared" si="590"/>
        <v>0</v>
      </c>
      <c r="AT198" s="725">
        <f t="shared" si="590"/>
        <v>1646013</v>
      </c>
      <c r="AU198" s="725">
        <f t="shared" si="590"/>
        <v>556353</v>
      </c>
      <c r="AV198" s="725">
        <f t="shared" si="590"/>
        <v>14048</v>
      </c>
      <c r="AW198" s="725">
        <f t="shared" si="590"/>
        <v>3500</v>
      </c>
      <c r="AX198" s="725">
        <f t="shared" si="590"/>
        <v>0</v>
      </c>
      <c r="AY198" s="725">
        <f t="shared" si="590"/>
        <v>3500</v>
      </c>
      <c r="AZ198" s="725">
        <f t="shared" si="590"/>
        <v>2219914</v>
      </c>
      <c r="BA198" s="726">
        <f t="shared" si="590"/>
        <v>0</v>
      </c>
      <c r="BB198" s="726">
        <f t="shared" si="590"/>
        <v>0</v>
      </c>
      <c r="BC198" s="726">
        <f t="shared" si="590"/>
        <v>3.78</v>
      </c>
      <c r="BD198" s="726">
        <f t="shared" si="590"/>
        <v>0.2</v>
      </c>
      <c r="BE198" s="726">
        <f t="shared" si="590"/>
        <v>0</v>
      </c>
      <c r="BF198" s="726">
        <f t="shared" si="590"/>
        <v>0</v>
      </c>
      <c r="BG198" s="726">
        <f t="shared" si="590"/>
        <v>0</v>
      </c>
      <c r="BH198" s="726">
        <f t="shared" si="590"/>
        <v>0</v>
      </c>
      <c r="BI198" s="726">
        <f t="shared" si="590"/>
        <v>0</v>
      </c>
      <c r="BJ198" s="726">
        <f t="shared" si="590"/>
        <v>0</v>
      </c>
      <c r="BK198" s="726">
        <f t="shared" si="590"/>
        <v>3.98</v>
      </c>
      <c r="BL198" s="726">
        <f t="shared" si="590"/>
        <v>0</v>
      </c>
      <c r="BM198" s="743">
        <f t="shared" si="590"/>
        <v>3.98</v>
      </c>
      <c r="BN198" s="724">
        <f t="shared" si="590"/>
        <v>12211482</v>
      </c>
      <c r="BO198" s="725">
        <f t="shared" si="590"/>
        <v>8740316</v>
      </c>
      <c r="BP198" s="725">
        <f t="shared" si="590"/>
        <v>7580614</v>
      </c>
      <c r="BQ198" s="725">
        <f t="shared" si="590"/>
        <v>1159702</v>
      </c>
      <c r="BR198" s="725">
        <f t="shared" si="590"/>
        <v>241200</v>
      </c>
      <c r="BS198" s="725">
        <f t="shared" si="590"/>
        <v>145200</v>
      </c>
      <c r="BT198" s="725">
        <f t="shared" si="590"/>
        <v>96000</v>
      </c>
      <c r="BU198" s="725">
        <f t="shared" ref="BU198:CF198" si="592">SUM(BU192:BU197)</f>
        <v>3035753</v>
      </c>
      <c r="BV198" s="725">
        <f t="shared" si="592"/>
        <v>87403</v>
      </c>
      <c r="BW198" s="725">
        <f t="shared" si="592"/>
        <v>106810</v>
      </c>
      <c r="BX198" s="726">
        <f t="shared" si="592"/>
        <v>18.392399999999999</v>
      </c>
      <c r="BY198" s="726">
        <f t="shared" si="592"/>
        <v>14.596399999999999</v>
      </c>
      <c r="BZ198" s="743">
        <f t="shared" si="592"/>
        <v>3.7959999999999998</v>
      </c>
      <c r="CA198" s="889">
        <f t="shared" si="592"/>
        <v>152054</v>
      </c>
      <c r="CB198" s="890">
        <f t="shared" si="592"/>
        <v>112800</v>
      </c>
      <c r="CC198" s="890">
        <f t="shared" si="592"/>
        <v>0</v>
      </c>
      <c r="CD198" s="890">
        <f t="shared" si="592"/>
        <v>38126</v>
      </c>
      <c r="CE198" s="890">
        <f t="shared" si="592"/>
        <v>1128</v>
      </c>
      <c r="CF198" s="844">
        <f t="shared" si="592"/>
        <v>0.2</v>
      </c>
    </row>
    <row r="199" spans="1:84" ht="12.95" customHeight="1" thickBot="1" x14ac:dyDescent="0.3">
      <c r="A199" s="393"/>
      <c r="B199" s="394"/>
      <c r="C199" s="394"/>
      <c r="D199" s="394"/>
      <c r="E199" s="307" t="s">
        <v>762</v>
      </c>
      <c r="F199" s="394"/>
      <c r="G199" s="395"/>
      <c r="H199" s="396"/>
      <c r="I199" s="629">
        <f>I198+I191+I185+I179+I172+I166+I162+I156+I153+I148+I145+I138+I135+I131+I125+I121+I115+I112+I105+I99+I95+I89+I85+I78+I76+I69+I64+I58+I52+I46+I44+I40+I37+I33+I29+I25+I21</f>
        <v>451569171</v>
      </c>
      <c r="J199" s="729">
        <f t="shared" ref="J199:BV199" si="593">J198+J191+J185+J179+J172+J166+J162+J156+J153+J148+J145+J138+J135+J131+J125+J121+J115+J112+J105+J99+J95+J89+J85+J78+J76+J69+J64+J58+J52+J46+J44+J40+J37+J33+J29+J25+J21</f>
        <v>332075783</v>
      </c>
      <c r="K199" s="729">
        <f t="shared" si="593"/>
        <v>289627206</v>
      </c>
      <c r="L199" s="729">
        <f t="shared" si="593"/>
        <v>42448577</v>
      </c>
      <c r="M199" s="729">
        <f t="shared" si="593"/>
        <v>0</v>
      </c>
      <c r="N199" s="729">
        <f t="shared" si="593"/>
        <v>0</v>
      </c>
      <c r="O199" s="729">
        <f t="shared" si="593"/>
        <v>0</v>
      </c>
      <c r="P199" s="729">
        <f t="shared" si="593"/>
        <v>112241613</v>
      </c>
      <c r="Q199" s="729">
        <f t="shared" si="593"/>
        <v>3320762</v>
      </c>
      <c r="R199" s="729">
        <f t="shared" si="593"/>
        <v>3931013</v>
      </c>
      <c r="S199" s="730">
        <f t="shared" si="593"/>
        <v>587.26170000000002</v>
      </c>
      <c r="T199" s="730">
        <f t="shared" si="593"/>
        <v>457.30340000000001</v>
      </c>
      <c r="U199" s="744">
        <f t="shared" si="593"/>
        <v>129.95830000000001</v>
      </c>
      <c r="V199" s="491">
        <f t="shared" si="593"/>
        <v>-282176</v>
      </c>
      <c r="W199" s="492">
        <f t="shared" si="593"/>
        <v>-443520</v>
      </c>
      <c r="X199" s="492">
        <f t="shared" si="593"/>
        <v>21186361</v>
      </c>
      <c r="Y199" s="492">
        <f t="shared" si="593"/>
        <v>0</v>
      </c>
      <c r="Z199" s="492">
        <f t="shared" si="593"/>
        <v>0</v>
      </c>
      <c r="AA199" s="492">
        <f t="shared" si="593"/>
        <v>261490</v>
      </c>
      <c r="AB199" s="774">
        <f t="shared" si="593"/>
        <v>2368800</v>
      </c>
      <c r="AC199" s="492">
        <f t="shared" si="593"/>
        <v>0</v>
      </c>
      <c r="AD199" s="492">
        <f t="shared" si="593"/>
        <v>0</v>
      </c>
      <c r="AE199" s="492">
        <f t="shared" si="593"/>
        <v>0</v>
      </c>
      <c r="AF199" s="492">
        <f t="shared" si="593"/>
        <v>23534475</v>
      </c>
      <c r="AG199" s="492">
        <f t="shared" si="593"/>
        <v>-443520</v>
      </c>
      <c r="AH199" s="492">
        <f t="shared" si="593"/>
        <v>23090955</v>
      </c>
      <c r="AI199" s="492">
        <f t="shared" si="593"/>
        <v>282176</v>
      </c>
      <c r="AJ199" s="492">
        <f t="shared" si="593"/>
        <v>443520</v>
      </c>
      <c r="AK199" s="774">
        <f t="shared" si="593"/>
        <v>0</v>
      </c>
      <c r="AL199" s="492">
        <f t="shared" si="593"/>
        <v>291280</v>
      </c>
      <c r="AM199" s="492">
        <f t="shared" si="593"/>
        <v>0</v>
      </c>
      <c r="AN199" s="492">
        <f t="shared" si="593"/>
        <v>0</v>
      </c>
      <c r="AO199" s="492">
        <f t="shared" si="593"/>
        <v>573456</v>
      </c>
      <c r="AP199" s="492">
        <f t="shared" si="593"/>
        <v>443520</v>
      </c>
      <c r="AQ199" s="492">
        <f t="shared" si="593"/>
        <v>1016976</v>
      </c>
      <c r="AR199" s="492">
        <f t="shared" si="593"/>
        <v>24107931</v>
      </c>
      <c r="AS199" s="492">
        <f t="shared" si="593"/>
        <v>0</v>
      </c>
      <c r="AT199" s="492">
        <f t="shared" si="593"/>
        <v>24107931</v>
      </c>
      <c r="AU199" s="492">
        <f t="shared" si="593"/>
        <v>8148479</v>
      </c>
      <c r="AV199" s="492">
        <f t="shared" si="593"/>
        <v>230909</v>
      </c>
      <c r="AW199" s="492">
        <f t="shared" si="593"/>
        <v>25000</v>
      </c>
      <c r="AX199" s="492">
        <f t="shared" si="593"/>
        <v>0</v>
      </c>
      <c r="AY199" s="492">
        <f t="shared" si="593"/>
        <v>25000</v>
      </c>
      <c r="AZ199" s="492">
        <f t="shared" si="593"/>
        <v>32512319</v>
      </c>
      <c r="BA199" s="493">
        <f t="shared" si="593"/>
        <v>-0.21999999999999997</v>
      </c>
      <c r="BB199" s="493">
        <f t="shared" si="593"/>
        <v>-0.52</v>
      </c>
      <c r="BC199" s="492">
        <f t="shared" si="593"/>
        <v>55.56</v>
      </c>
      <c r="BD199" s="493">
        <f t="shared" si="593"/>
        <v>4.2</v>
      </c>
      <c r="BE199" s="492">
        <f t="shared" si="593"/>
        <v>0</v>
      </c>
      <c r="BF199" s="492">
        <f t="shared" si="593"/>
        <v>0</v>
      </c>
      <c r="BG199" s="492">
        <f t="shared" si="593"/>
        <v>0</v>
      </c>
      <c r="BH199" s="493">
        <f t="shared" si="593"/>
        <v>0.38</v>
      </c>
      <c r="BI199" s="492">
        <f t="shared" si="593"/>
        <v>0</v>
      </c>
      <c r="BJ199" s="492">
        <f t="shared" si="593"/>
        <v>0</v>
      </c>
      <c r="BK199" s="493">
        <f t="shared" si="593"/>
        <v>59.92</v>
      </c>
      <c r="BL199" s="493">
        <f t="shared" si="593"/>
        <v>-0.52</v>
      </c>
      <c r="BM199" s="642">
        <f t="shared" si="593"/>
        <v>59.399999999999991</v>
      </c>
      <c r="BN199" s="491">
        <f t="shared" si="593"/>
        <v>484081490</v>
      </c>
      <c r="BO199" s="492">
        <f t="shared" si="593"/>
        <v>355166738</v>
      </c>
      <c r="BP199" s="492">
        <f t="shared" si="593"/>
        <v>313161681</v>
      </c>
      <c r="BQ199" s="492">
        <f t="shared" si="593"/>
        <v>42005057</v>
      </c>
      <c r="BR199" s="492">
        <f t="shared" si="593"/>
        <v>1016976</v>
      </c>
      <c r="BS199" s="492">
        <f t="shared" si="593"/>
        <v>573456</v>
      </c>
      <c r="BT199" s="492">
        <f t="shared" si="593"/>
        <v>443520</v>
      </c>
      <c r="BU199" s="492">
        <f t="shared" si="593"/>
        <v>120390092</v>
      </c>
      <c r="BV199" s="492">
        <f t="shared" si="593"/>
        <v>3551671</v>
      </c>
      <c r="BW199" s="492">
        <f t="shared" ref="BW199:CF199" si="594">BW198+BW191+BW185+BW179+BW172+BW166+BW162+BW156+BW153+BW148+BW145+BW138+BW135+BW131+BW125+BW121+BW115+BW112+BW105+BW99+BW95+BW89+BW85+BW78+BW76+BW69+BW64+BW58+BW52+BW46+BW44+BW40+BW37+BW33+BW29+BW25+BW21</f>
        <v>3956013</v>
      </c>
      <c r="BX199" s="493">
        <f t="shared" si="594"/>
        <v>646.66170000000011</v>
      </c>
      <c r="BY199" s="493">
        <f t="shared" si="594"/>
        <v>517.22339999999997</v>
      </c>
      <c r="BZ199" s="642">
        <f t="shared" si="594"/>
        <v>129.4383</v>
      </c>
      <c r="CA199" s="891">
        <f t="shared" si="594"/>
        <v>3193142</v>
      </c>
      <c r="CB199" s="774">
        <f t="shared" si="594"/>
        <v>2368800</v>
      </c>
      <c r="CC199" s="774">
        <f t="shared" si="594"/>
        <v>0</v>
      </c>
      <c r="CD199" s="774">
        <f t="shared" si="594"/>
        <v>800654</v>
      </c>
      <c r="CE199" s="774">
        <f t="shared" si="594"/>
        <v>23688</v>
      </c>
      <c r="CF199" s="892">
        <f t="shared" si="594"/>
        <v>4.2</v>
      </c>
    </row>
    <row r="200" spans="1:84" s="316" customFormat="1" ht="12.95" customHeight="1" x14ac:dyDescent="0.25">
      <c r="A200" s="397"/>
      <c r="B200" s="252"/>
      <c r="C200" s="252"/>
      <c r="D200" s="252"/>
      <c r="E200" s="312"/>
      <c r="F200" s="311"/>
      <c r="G200" s="252"/>
      <c r="H200" s="398"/>
      <c r="I200" s="432">
        <f>J199+M199+P199+Q199+R199</f>
        <v>451569171</v>
      </c>
      <c r="J200" s="432">
        <f>SUM(K199:L199)</f>
        <v>332075783</v>
      </c>
      <c r="K200" s="432"/>
      <c r="L200" s="432"/>
      <c r="M200" s="432">
        <f>SUM(N199:O199)</f>
        <v>0</v>
      </c>
      <c r="N200" s="432"/>
      <c r="O200" s="432"/>
      <c r="P200" s="432"/>
      <c r="Q200" s="432"/>
      <c r="R200" s="432"/>
      <c r="S200" s="433">
        <f>SUM(T199:U199)</f>
        <v>587.26170000000002</v>
      </c>
      <c r="T200" s="433"/>
      <c r="U200" s="433"/>
      <c r="V200" s="432">
        <f>AI199</f>
        <v>282176</v>
      </c>
      <c r="W200" s="432">
        <f>AJ199</f>
        <v>443520</v>
      </c>
      <c r="X200" s="433"/>
      <c r="Y200" s="432"/>
      <c r="Z200" s="432"/>
      <c r="AA200" s="433"/>
      <c r="AB200" s="433"/>
      <c r="AC200" s="433"/>
      <c r="AD200" s="433"/>
      <c r="AE200" s="433"/>
      <c r="AF200" s="434"/>
      <c r="AG200" s="434"/>
      <c r="AH200" s="434">
        <f>SUM(AF199:AG199)</f>
        <v>23090955</v>
      </c>
      <c r="AI200" s="434">
        <f>V199</f>
        <v>-282176</v>
      </c>
      <c r="AJ200" s="434">
        <f>W199</f>
        <v>-443520</v>
      </c>
      <c r="AK200" s="434"/>
      <c r="AL200" s="435"/>
      <c r="AM200" s="435"/>
      <c r="AN200" s="435"/>
      <c r="AO200" s="434"/>
      <c r="AP200" s="434"/>
      <c r="AQ200" s="434">
        <f>SUM(AO199:AP199)</f>
        <v>1016976</v>
      </c>
      <c r="AR200" s="434"/>
      <c r="AS200" s="434"/>
      <c r="AT200" s="434">
        <f>SUM(AR199:AS199)</f>
        <v>24107931</v>
      </c>
      <c r="AU200" s="436"/>
      <c r="AV200" s="436"/>
      <c r="AW200" s="435"/>
      <c r="AX200" s="435"/>
      <c r="AY200" s="434">
        <f>SUM(AW199:AX199)</f>
        <v>25000</v>
      </c>
      <c r="AZ200" s="434">
        <f>AH199+AQ199+AU199+AV199+AY199</f>
        <v>32512319</v>
      </c>
      <c r="BA200" s="437"/>
      <c r="BB200" s="437"/>
      <c r="BC200" s="437"/>
      <c r="BD200" s="437"/>
      <c r="BE200" s="437"/>
      <c r="BF200" s="437"/>
      <c r="BG200" s="437"/>
      <c r="BH200" s="437"/>
      <c r="BI200" s="437"/>
      <c r="BJ200" s="437"/>
      <c r="BK200" s="525">
        <f>BA199+BC199+BD199+BF199+BH199+BI199</f>
        <v>59.920000000000009</v>
      </c>
      <c r="BL200" s="525">
        <f>BB199+BE199+BG199+BJ199</f>
        <v>-0.52</v>
      </c>
      <c r="BM200" s="525">
        <f>SUM(BK199:BL199)</f>
        <v>59.4</v>
      </c>
      <c r="BN200" s="432">
        <f>BO199+BR199+BU199+BV199+BW199</f>
        <v>484081490</v>
      </c>
      <c r="BO200" s="432">
        <f>SUM(BP199:BQ199)</f>
        <v>355166738</v>
      </c>
      <c r="BP200" s="435">
        <f>K199+AF199</f>
        <v>313161681</v>
      </c>
      <c r="BQ200" s="435">
        <f>L199+AG199</f>
        <v>42005057</v>
      </c>
      <c r="BR200" s="86">
        <f>SUM(BS199:BT199)</f>
        <v>1016976</v>
      </c>
      <c r="BS200" s="435">
        <f>N199+AO199</f>
        <v>573456</v>
      </c>
      <c r="BT200" s="435">
        <f>O199+AP199</f>
        <v>443520</v>
      </c>
      <c r="BU200" s="435">
        <f>P199+AU199</f>
        <v>120390092</v>
      </c>
      <c r="BV200" s="435">
        <f>Q199+AV199</f>
        <v>3551671</v>
      </c>
      <c r="BW200" s="435">
        <f>R199+AY199</f>
        <v>3956013</v>
      </c>
      <c r="BX200" s="433">
        <f>SUM(BY199:BZ199)</f>
        <v>646.6617</v>
      </c>
      <c r="BY200" s="437">
        <f>T199+BK199</f>
        <v>517.22339999999997</v>
      </c>
      <c r="BZ200" s="437">
        <f>U199+BL199</f>
        <v>129.4383</v>
      </c>
      <c r="CA200" s="236">
        <f>SUM(CB199:CE199)</f>
        <v>3193142</v>
      </c>
      <c r="CB200" s="8"/>
      <c r="CC200" s="8"/>
      <c r="CD200" s="8"/>
      <c r="CE200" s="8"/>
      <c r="CF200" s="7"/>
    </row>
    <row r="201" spans="1:84" s="316" customFormat="1" ht="12.95" customHeight="1" thickBot="1" x14ac:dyDescent="0.3">
      <c r="A201" s="397"/>
      <c r="B201" s="252"/>
      <c r="C201" s="252"/>
      <c r="D201" s="252"/>
      <c r="E201" s="252"/>
      <c r="F201" s="311"/>
      <c r="G201" s="252"/>
      <c r="H201" s="398"/>
      <c r="I201" s="432">
        <f>J202+M202+P202+Q202+R202</f>
        <v>451569171</v>
      </c>
      <c r="J201" s="432">
        <f>SUM(K202:L202)</f>
        <v>332075783</v>
      </c>
      <c r="K201" s="432"/>
      <c r="L201" s="432"/>
      <c r="M201" s="432">
        <f>SUM(N202:O202)</f>
        <v>0</v>
      </c>
      <c r="N201" s="432"/>
      <c r="O201" s="432"/>
      <c r="P201" s="432"/>
      <c r="Q201" s="432"/>
      <c r="R201" s="432"/>
      <c r="S201" s="433">
        <f>SUM(T202:U202)</f>
        <v>587.26170000000002</v>
      </c>
      <c r="T201" s="433"/>
      <c r="U201" s="433"/>
      <c r="V201" s="432">
        <f>AI202</f>
        <v>282176</v>
      </c>
      <c r="W201" s="432">
        <f>AJ202</f>
        <v>443520</v>
      </c>
      <c r="X201" s="433"/>
      <c r="Y201" s="432"/>
      <c r="Z201" s="432"/>
      <c r="AA201" s="433"/>
      <c r="AB201" s="433"/>
      <c r="AC201" s="433"/>
      <c r="AD201" s="433"/>
      <c r="AE201" s="433"/>
      <c r="AF201" s="434"/>
      <c r="AG201" s="434"/>
      <c r="AH201" s="434">
        <f>SUM(AF202:AG202)</f>
        <v>23090955</v>
      </c>
      <c r="AI201" s="434"/>
      <c r="AJ201" s="434"/>
      <c r="AK201" s="434"/>
      <c r="AL201" s="435"/>
      <c r="AM201" s="435"/>
      <c r="AN201" s="435"/>
      <c r="AO201" s="434"/>
      <c r="AP201" s="434"/>
      <c r="AQ201" s="434">
        <f>SUM(AO202:AP202)</f>
        <v>1016976</v>
      </c>
      <c r="AR201" s="434"/>
      <c r="AS201" s="434"/>
      <c r="AT201" s="434">
        <f>SUM(AR202:AS202)</f>
        <v>24107931</v>
      </c>
      <c r="AU201" s="436"/>
      <c r="AV201" s="436"/>
      <c r="AW201" s="435"/>
      <c r="AX201" s="435"/>
      <c r="AY201" s="434">
        <f>SUM(AW202:AX202)</f>
        <v>25000</v>
      </c>
      <c r="AZ201" s="434">
        <f>AH202+AQ202+AU202+AV202+AY202</f>
        <v>32512319</v>
      </c>
      <c r="BA201" s="437"/>
      <c r="BB201" s="437"/>
      <c r="BC201" s="437"/>
      <c r="BD201" s="437"/>
      <c r="BE201" s="437"/>
      <c r="BF201" s="437"/>
      <c r="BG201" s="437"/>
      <c r="BH201" s="437"/>
      <c r="BI201" s="437"/>
      <c r="BJ201" s="437"/>
      <c r="BK201" s="525">
        <f>BA202+BC202+BD202+BF202+BH202+BI202</f>
        <v>59.92</v>
      </c>
      <c r="BL201" s="525">
        <f>BB202+BE202+BG202+BJ202</f>
        <v>-0.52</v>
      </c>
      <c r="BM201" s="525">
        <f>SUM(BK202:BL202)</f>
        <v>59.399999999999991</v>
      </c>
      <c r="BN201" s="432">
        <f>BO202+BR202+BU202+BV202+BW202</f>
        <v>484081490</v>
      </c>
      <c r="BO201" s="432">
        <f>SUM(BP202:BQ202)</f>
        <v>355166738</v>
      </c>
      <c r="BP201" s="53"/>
      <c r="BQ201" s="53"/>
      <c r="BR201" s="86">
        <f>SUM(BS202:BT202)</f>
        <v>1016976</v>
      </c>
      <c r="BS201" s="53"/>
      <c r="BT201" s="53"/>
      <c r="BU201" s="53"/>
      <c r="BV201" s="53"/>
      <c r="BW201" s="53"/>
      <c r="BX201" s="433">
        <f>SUM(BY202:BZ202)</f>
        <v>646.6617</v>
      </c>
      <c r="BY201" s="87"/>
      <c r="BZ201" s="87"/>
      <c r="CA201" s="236">
        <f>SUM(CB202:CE202)</f>
        <v>3193142</v>
      </c>
      <c r="CB201" s="8"/>
      <c r="CC201" s="8"/>
      <c r="CD201" s="8"/>
      <c r="CE201" s="8"/>
      <c r="CF201" s="7"/>
    </row>
    <row r="202" spans="1:84" s="89" customFormat="1" ht="12.75" customHeight="1" thickBot="1" x14ac:dyDescent="0.3">
      <c r="A202" s="313"/>
      <c r="D202" s="313"/>
      <c r="E202" s="314"/>
      <c r="F202" s="313"/>
      <c r="G202" s="315"/>
      <c r="H202" s="446" t="s">
        <v>0</v>
      </c>
      <c r="I202" s="759">
        <f t="shared" ref="I202:BU202" si="595">SUM(I203:I212)</f>
        <v>451569171</v>
      </c>
      <c r="J202" s="760">
        <f t="shared" si="595"/>
        <v>332075783</v>
      </c>
      <c r="K202" s="760">
        <f t="shared" si="595"/>
        <v>289627206</v>
      </c>
      <c r="L202" s="760">
        <f t="shared" si="595"/>
        <v>42448577</v>
      </c>
      <c r="M202" s="760">
        <f t="shared" si="595"/>
        <v>0</v>
      </c>
      <c r="N202" s="760">
        <f t="shared" si="595"/>
        <v>0</v>
      </c>
      <c r="O202" s="760">
        <f t="shared" si="595"/>
        <v>0</v>
      </c>
      <c r="P202" s="760">
        <f t="shared" si="595"/>
        <v>112241613</v>
      </c>
      <c r="Q202" s="760">
        <f t="shared" si="595"/>
        <v>3320762</v>
      </c>
      <c r="R202" s="760">
        <f t="shared" si="595"/>
        <v>3931013</v>
      </c>
      <c r="S202" s="761">
        <f t="shared" si="595"/>
        <v>587.26169999999991</v>
      </c>
      <c r="T202" s="761">
        <f t="shared" si="595"/>
        <v>457.30339999999995</v>
      </c>
      <c r="U202" s="762">
        <f t="shared" si="595"/>
        <v>129.95830000000001</v>
      </c>
      <c r="V202" s="595">
        <f t="shared" si="595"/>
        <v>-282176</v>
      </c>
      <c r="W202" s="492">
        <f t="shared" si="595"/>
        <v>-443520</v>
      </c>
      <c r="X202" s="492">
        <f t="shared" si="595"/>
        <v>21186361</v>
      </c>
      <c r="Y202" s="492">
        <f t="shared" si="595"/>
        <v>0</v>
      </c>
      <c r="Z202" s="492">
        <f t="shared" si="595"/>
        <v>0</v>
      </c>
      <c r="AA202" s="492">
        <f t="shared" si="595"/>
        <v>261490</v>
      </c>
      <c r="AB202" s="774">
        <f t="shared" si="595"/>
        <v>2368800</v>
      </c>
      <c r="AC202" s="492">
        <f t="shared" si="595"/>
        <v>0</v>
      </c>
      <c r="AD202" s="492">
        <f t="shared" si="595"/>
        <v>0</v>
      </c>
      <c r="AE202" s="492">
        <f t="shared" si="595"/>
        <v>0</v>
      </c>
      <c r="AF202" s="492">
        <f t="shared" si="595"/>
        <v>23534475</v>
      </c>
      <c r="AG202" s="492">
        <f t="shared" si="595"/>
        <v>-443520</v>
      </c>
      <c r="AH202" s="492">
        <f t="shared" si="595"/>
        <v>23090955</v>
      </c>
      <c r="AI202" s="492">
        <f t="shared" si="595"/>
        <v>282176</v>
      </c>
      <c r="AJ202" s="492">
        <f t="shared" si="595"/>
        <v>443520</v>
      </c>
      <c r="AK202" s="774">
        <f t="shared" ref="AK202" si="596">SUM(AK203:AK212)</f>
        <v>0</v>
      </c>
      <c r="AL202" s="492">
        <f t="shared" si="595"/>
        <v>291280</v>
      </c>
      <c r="AM202" s="492">
        <f t="shared" si="595"/>
        <v>0</v>
      </c>
      <c r="AN202" s="492">
        <f t="shared" si="595"/>
        <v>0</v>
      </c>
      <c r="AO202" s="492">
        <f t="shared" si="595"/>
        <v>573456</v>
      </c>
      <c r="AP202" s="492">
        <f t="shared" si="595"/>
        <v>443520</v>
      </c>
      <c r="AQ202" s="492">
        <f t="shared" si="595"/>
        <v>1016976</v>
      </c>
      <c r="AR202" s="492">
        <f t="shared" si="595"/>
        <v>24107931</v>
      </c>
      <c r="AS202" s="492">
        <f t="shared" si="595"/>
        <v>0</v>
      </c>
      <c r="AT202" s="492">
        <f t="shared" si="595"/>
        <v>24107931</v>
      </c>
      <c r="AU202" s="492">
        <f t="shared" si="595"/>
        <v>8148479</v>
      </c>
      <c r="AV202" s="492">
        <f t="shared" si="595"/>
        <v>230909</v>
      </c>
      <c r="AW202" s="492">
        <f t="shared" si="595"/>
        <v>25000</v>
      </c>
      <c r="AX202" s="492">
        <f t="shared" si="595"/>
        <v>0</v>
      </c>
      <c r="AY202" s="492">
        <f t="shared" si="595"/>
        <v>25000</v>
      </c>
      <c r="AZ202" s="492">
        <f t="shared" si="595"/>
        <v>32512319</v>
      </c>
      <c r="BA202" s="493">
        <f t="shared" si="595"/>
        <v>-0.22000000000000003</v>
      </c>
      <c r="BB202" s="493">
        <f t="shared" si="595"/>
        <v>-0.52</v>
      </c>
      <c r="BC202" s="493">
        <f t="shared" si="595"/>
        <v>55.559999999999995</v>
      </c>
      <c r="BD202" s="493">
        <f t="shared" si="595"/>
        <v>4.2</v>
      </c>
      <c r="BE202" s="493">
        <f t="shared" si="595"/>
        <v>0</v>
      </c>
      <c r="BF202" s="493">
        <f t="shared" si="595"/>
        <v>0</v>
      </c>
      <c r="BG202" s="493">
        <f t="shared" si="595"/>
        <v>0</v>
      </c>
      <c r="BH202" s="493">
        <f t="shared" si="595"/>
        <v>0.38</v>
      </c>
      <c r="BI202" s="493">
        <f t="shared" si="595"/>
        <v>0</v>
      </c>
      <c r="BJ202" s="493">
        <f t="shared" si="595"/>
        <v>0</v>
      </c>
      <c r="BK202" s="493">
        <f t="shared" si="595"/>
        <v>59.919999999999995</v>
      </c>
      <c r="BL202" s="493">
        <f t="shared" si="595"/>
        <v>-0.52</v>
      </c>
      <c r="BM202" s="642">
        <f t="shared" si="595"/>
        <v>59.4</v>
      </c>
      <c r="BN202" s="491">
        <f t="shared" si="595"/>
        <v>484081490</v>
      </c>
      <c r="BO202" s="492">
        <f t="shared" si="595"/>
        <v>355166738</v>
      </c>
      <c r="BP202" s="492">
        <f t="shared" si="595"/>
        <v>313161681</v>
      </c>
      <c r="BQ202" s="492">
        <f t="shared" si="595"/>
        <v>42005057</v>
      </c>
      <c r="BR202" s="492">
        <f t="shared" si="595"/>
        <v>1016976</v>
      </c>
      <c r="BS202" s="492">
        <f t="shared" si="595"/>
        <v>573456</v>
      </c>
      <c r="BT202" s="492">
        <f t="shared" si="595"/>
        <v>443520</v>
      </c>
      <c r="BU202" s="492">
        <f t="shared" si="595"/>
        <v>120390092</v>
      </c>
      <c r="BV202" s="492">
        <f t="shared" ref="BV202:BZ202" si="597">SUM(BV203:BV212)</f>
        <v>3551671</v>
      </c>
      <c r="BW202" s="492">
        <f t="shared" si="597"/>
        <v>3956013</v>
      </c>
      <c r="BX202" s="493">
        <f t="shared" si="597"/>
        <v>646.6617</v>
      </c>
      <c r="BY202" s="493">
        <f t="shared" si="597"/>
        <v>517.22339999999997</v>
      </c>
      <c r="BZ202" s="642">
        <f t="shared" si="597"/>
        <v>129.4383</v>
      </c>
      <c r="CA202" s="891">
        <f t="shared" ref="CA202:CF202" si="598">SUM(CA203:CA212)</f>
        <v>3193142</v>
      </c>
      <c r="CB202" s="774">
        <f t="shared" si="598"/>
        <v>2368800</v>
      </c>
      <c r="CC202" s="774">
        <f t="shared" si="598"/>
        <v>0</v>
      </c>
      <c r="CD202" s="774">
        <f t="shared" si="598"/>
        <v>800654</v>
      </c>
      <c r="CE202" s="774">
        <f t="shared" si="598"/>
        <v>23688</v>
      </c>
      <c r="CF202" s="892">
        <f t="shared" si="598"/>
        <v>4.2</v>
      </c>
    </row>
    <row r="203" spans="1:84" s="89" customFormat="1" ht="12.75" customHeight="1" x14ac:dyDescent="0.25">
      <c r="A203" s="313"/>
      <c r="D203" s="313"/>
      <c r="E203" s="399"/>
      <c r="F203" s="313"/>
      <c r="G203" s="315"/>
      <c r="H203" s="447">
        <v>3111</v>
      </c>
      <c r="I203" s="763">
        <f t="shared" ref="I203:BU203" si="599">SUMIF($F$12:$F$464,"=3111",I$12:I$464)</f>
        <v>109204150</v>
      </c>
      <c r="J203" s="764">
        <f t="shared" si="599"/>
        <v>80740144</v>
      </c>
      <c r="K203" s="764">
        <f t="shared" si="599"/>
        <v>74520966</v>
      </c>
      <c r="L203" s="764">
        <f t="shared" si="599"/>
        <v>6219178</v>
      </c>
      <c r="M203" s="764">
        <f t="shared" si="599"/>
        <v>0</v>
      </c>
      <c r="N203" s="764">
        <f t="shared" si="599"/>
        <v>0</v>
      </c>
      <c r="O203" s="764">
        <f t="shared" si="599"/>
        <v>0</v>
      </c>
      <c r="P203" s="764">
        <f t="shared" si="599"/>
        <v>27290167</v>
      </c>
      <c r="Q203" s="764">
        <f t="shared" si="599"/>
        <v>807404</v>
      </c>
      <c r="R203" s="764">
        <f t="shared" si="599"/>
        <v>366435</v>
      </c>
      <c r="S203" s="765">
        <f t="shared" si="599"/>
        <v>154.48810000000003</v>
      </c>
      <c r="T203" s="765">
        <f t="shared" si="599"/>
        <v>132.54730000000001</v>
      </c>
      <c r="U203" s="766">
        <f t="shared" si="599"/>
        <v>21.940800000000003</v>
      </c>
      <c r="V203" s="505">
        <f t="shared" si="599"/>
        <v>-19200</v>
      </c>
      <c r="W203" s="504">
        <f t="shared" si="599"/>
        <v>-25600</v>
      </c>
      <c r="X203" s="504">
        <f t="shared" si="599"/>
        <v>1930267</v>
      </c>
      <c r="Y203" s="504">
        <f t="shared" si="599"/>
        <v>0</v>
      </c>
      <c r="Z203" s="504">
        <f t="shared" si="599"/>
        <v>0</v>
      </c>
      <c r="AA203" s="504">
        <f t="shared" si="599"/>
        <v>0</v>
      </c>
      <c r="AB203" s="504">
        <f t="shared" si="599"/>
        <v>0</v>
      </c>
      <c r="AC203" s="504">
        <f t="shared" si="599"/>
        <v>0</v>
      </c>
      <c r="AD203" s="504">
        <f t="shared" si="599"/>
        <v>0</v>
      </c>
      <c r="AE203" s="504">
        <f t="shared" si="599"/>
        <v>0</v>
      </c>
      <c r="AF203" s="504">
        <f t="shared" si="599"/>
        <v>1911067</v>
      </c>
      <c r="AG203" s="504">
        <f t="shared" si="599"/>
        <v>-25600</v>
      </c>
      <c r="AH203" s="504">
        <f t="shared" si="599"/>
        <v>1885467</v>
      </c>
      <c r="AI203" s="504">
        <f t="shared" si="599"/>
        <v>19200</v>
      </c>
      <c r="AJ203" s="504">
        <f t="shared" si="599"/>
        <v>25600</v>
      </c>
      <c r="AK203" s="504">
        <f t="shared" si="599"/>
        <v>0</v>
      </c>
      <c r="AL203" s="504">
        <f t="shared" si="599"/>
        <v>0</v>
      </c>
      <c r="AM203" s="504">
        <f t="shared" si="599"/>
        <v>0</v>
      </c>
      <c r="AN203" s="504">
        <f t="shared" si="599"/>
        <v>0</v>
      </c>
      <c r="AO203" s="504">
        <f t="shared" si="599"/>
        <v>19200</v>
      </c>
      <c r="AP203" s="504">
        <f t="shared" si="599"/>
        <v>25600</v>
      </c>
      <c r="AQ203" s="504">
        <f t="shared" si="599"/>
        <v>44800</v>
      </c>
      <c r="AR203" s="504">
        <f t="shared" si="599"/>
        <v>1930267</v>
      </c>
      <c r="AS203" s="504">
        <f t="shared" si="599"/>
        <v>0</v>
      </c>
      <c r="AT203" s="504">
        <f t="shared" si="599"/>
        <v>1930267</v>
      </c>
      <c r="AU203" s="504">
        <f t="shared" si="599"/>
        <v>652431</v>
      </c>
      <c r="AV203" s="504">
        <f t="shared" si="599"/>
        <v>18855</v>
      </c>
      <c r="AW203" s="504">
        <f t="shared" si="599"/>
        <v>0</v>
      </c>
      <c r="AX203" s="504">
        <f t="shared" si="599"/>
        <v>0</v>
      </c>
      <c r="AY203" s="504">
        <f t="shared" si="599"/>
        <v>0</v>
      </c>
      <c r="AZ203" s="504">
        <f t="shared" si="599"/>
        <v>2601553</v>
      </c>
      <c r="BA203" s="507">
        <f t="shared" si="599"/>
        <v>-0.03</v>
      </c>
      <c r="BB203" s="507">
        <f t="shared" si="599"/>
        <v>-0.08</v>
      </c>
      <c r="BC203" s="507">
        <f t="shared" si="599"/>
        <v>5.1899999999999995</v>
      </c>
      <c r="BD203" s="507">
        <f t="shared" si="599"/>
        <v>0</v>
      </c>
      <c r="BE203" s="507">
        <f t="shared" si="599"/>
        <v>0</v>
      </c>
      <c r="BF203" s="507">
        <f t="shared" si="599"/>
        <v>0</v>
      </c>
      <c r="BG203" s="507">
        <f t="shared" si="599"/>
        <v>0</v>
      </c>
      <c r="BH203" s="507">
        <f t="shared" si="599"/>
        <v>0</v>
      </c>
      <c r="BI203" s="507">
        <f t="shared" si="599"/>
        <v>0</v>
      </c>
      <c r="BJ203" s="507">
        <f t="shared" si="599"/>
        <v>0</v>
      </c>
      <c r="BK203" s="507">
        <f t="shared" si="599"/>
        <v>5.16</v>
      </c>
      <c r="BL203" s="507">
        <f t="shared" si="599"/>
        <v>-0.08</v>
      </c>
      <c r="BM203" s="508">
        <f t="shared" si="599"/>
        <v>5.08</v>
      </c>
      <c r="BN203" s="503">
        <f t="shared" si="599"/>
        <v>111805703</v>
      </c>
      <c r="BO203" s="504">
        <f t="shared" si="599"/>
        <v>82625611</v>
      </c>
      <c r="BP203" s="504">
        <f t="shared" si="599"/>
        <v>76432033</v>
      </c>
      <c r="BQ203" s="504">
        <f t="shared" si="599"/>
        <v>6193578</v>
      </c>
      <c r="BR203" s="504">
        <f t="shared" si="599"/>
        <v>44800</v>
      </c>
      <c r="BS203" s="504">
        <f t="shared" si="599"/>
        <v>19200</v>
      </c>
      <c r="BT203" s="504">
        <f t="shared" si="599"/>
        <v>25600</v>
      </c>
      <c r="BU203" s="504">
        <f t="shared" si="599"/>
        <v>27942598</v>
      </c>
      <c r="BV203" s="504">
        <f t="shared" ref="BV203:CF203" si="600">SUMIF($F$12:$F$464,"=3111",BV$12:BV$464)</f>
        <v>826259</v>
      </c>
      <c r="BW203" s="504">
        <f t="shared" si="600"/>
        <v>366435</v>
      </c>
      <c r="BX203" s="507">
        <f t="shared" si="600"/>
        <v>159.56810000000002</v>
      </c>
      <c r="BY203" s="507">
        <f t="shared" si="600"/>
        <v>137.7073</v>
      </c>
      <c r="BZ203" s="508">
        <f t="shared" si="600"/>
        <v>21.860800000000005</v>
      </c>
      <c r="CA203" s="503">
        <f t="shared" si="600"/>
        <v>0</v>
      </c>
      <c r="CB203" s="504">
        <f t="shared" si="600"/>
        <v>0</v>
      </c>
      <c r="CC203" s="504">
        <f t="shared" si="600"/>
        <v>0</v>
      </c>
      <c r="CD203" s="504">
        <f t="shared" si="600"/>
        <v>0</v>
      </c>
      <c r="CE203" s="504">
        <f t="shared" si="600"/>
        <v>0</v>
      </c>
      <c r="CF203" s="510">
        <f t="shared" si="600"/>
        <v>0</v>
      </c>
    </row>
    <row r="204" spans="1:84" s="89" customFormat="1" ht="12.75" customHeight="1" x14ac:dyDescent="0.25">
      <c r="A204" s="313"/>
      <c r="D204" s="313"/>
      <c r="E204" s="399"/>
      <c r="F204" s="313"/>
      <c r="G204" s="315"/>
      <c r="H204" s="2">
        <v>3113</v>
      </c>
      <c r="I204" s="167">
        <f t="shared" ref="I204:BU204" si="601">SUMIF($F$12:$F$464,"=3113",I$12:I$464)</f>
        <v>184906425</v>
      </c>
      <c r="J204" s="16">
        <f t="shared" si="601"/>
        <v>135360430</v>
      </c>
      <c r="K204" s="16">
        <f t="shared" si="601"/>
        <v>125478516</v>
      </c>
      <c r="L204" s="16">
        <f t="shared" si="601"/>
        <v>9881914</v>
      </c>
      <c r="M204" s="16">
        <f t="shared" si="601"/>
        <v>0</v>
      </c>
      <c r="N204" s="16">
        <f t="shared" si="601"/>
        <v>0</v>
      </c>
      <c r="O204" s="16">
        <f t="shared" si="601"/>
        <v>0</v>
      </c>
      <c r="P204" s="16">
        <f t="shared" si="601"/>
        <v>45751826</v>
      </c>
      <c r="Q204" s="16">
        <f t="shared" si="601"/>
        <v>1353605</v>
      </c>
      <c r="R204" s="16">
        <f t="shared" si="601"/>
        <v>2440564</v>
      </c>
      <c r="S204" s="13">
        <f t="shared" si="601"/>
        <v>206.166</v>
      </c>
      <c r="T204" s="13">
        <f t="shared" si="601"/>
        <v>176.32049999999998</v>
      </c>
      <c r="U204" s="17">
        <f t="shared" si="601"/>
        <v>29.845500000000001</v>
      </c>
      <c r="V204" s="168">
        <f t="shared" si="601"/>
        <v>-193920</v>
      </c>
      <c r="W204" s="16">
        <f t="shared" si="601"/>
        <v>-83840</v>
      </c>
      <c r="X204" s="16">
        <f t="shared" si="601"/>
        <v>15004595</v>
      </c>
      <c r="Y204" s="16">
        <f t="shared" si="601"/>
        <v>0</v>
      </c>
      <c r="Z204" s="16">
        <f t="shared" si="601"/>
        <v>0</v>
      </c>
      <c r="AA204" s="16">
        <f t="shared" si="601"/>
        <v>261490</v>
      </c>
      <c r="AB204" s="16">
        <f t="shared" si="601"/>
        <v>2143200</v>
      </c>
      <c r="AC204" s="16">
        <f t="shared" si="601"/>
        <v>0</v>
      </c>
      <c r="AD204" s="16">
        <f t="shared" si="601"/>
        <v>0</v>
      </c>
      <c r="AE204" s="16">
        <f t="shared" si="601"/>
        <v>0</v>
      </c>
      <c r="AF204" s="16">
        <f t="shared" si="601"/>
        <v>17215365</v>
      </c>
      <c r="AG204" s="16">
        <f t="shared" si="601"/>
        <v>-83840</v>
      </c>
      <c r="AH204" s="16">
        <f t="shared" si="601"/>
        <v>17131525</v>
      </c>
      <c r="AI204" s="16">
        <f t="shared" si="601"/>
        <v>193920</v>
      </c>
      <c r="AJ204" s="16">
        <f t="shared" si="601"/>
        <v>83840</v>
      </c>
      <c r="AK204" s="16">
        <f t="shared" si="601"/>
        <v>0</v>
      </c>
      <c r="AL204" s="16">
        <f t="shared" si="601"/>
        <v>158880</v>
      </c>
      <c r="AM204" s="16">
        <f t="shared" si="601"/>
        <v>0</v>
      </c>
      <c r="AN204" s="16">
        <f t="shared" si="601"/>
        <v>0</v>
      </c>
      <c r="AO204" s="16">
        <f t="shared" si="601"/>
        <v>352800</v>
      </c>
      <c r="AP204" s="16">
        <f t="shared" si="601"/>
        <v>83840</v>
      </c>
      <c r="AQ204" s="16">
        <f t="shared" si="601"/>
        <v>436640</v>
      </c>
      <c r="AR204" s="16">
        <f t="shared" si="601"/>
        <v>17568165</v>
      </c>
      <c r="AS204" s="16">
        <f t="shared" si="601"/>
        <v>0</v>
      </c>
      <c r="AT204" s="16">
        <f t="shared" si="601"/>
        <v>17568165</v>
      </c>
      <c r="AU204" s="16">
        <f t="shared" si="601"/>
        <v>5938038</v>
      </c>
      <c r="AV204" s="16">
        <f t="shared" si="601"/>
        <v>171315</v>
      </c>
      <c r="AW204" s="16">
        <f t="shared" si="601"/>
        <v>21500</v>
      </c>
      <c r="AX204" s="16">
        <f t="shared" si="601"/>
        <v>0</v>
      </c>
      <c r="AY204" s="16">
        <f t="shared" si="601"/>
        <v>21500</v>
      </c>
      <c r="AZ204" s="16">
        <f t="shared" si="601"/>
        <v>23699018</v>
      </c>
      <c r="BA204" s="13">
        <f t="shared" si="601"/>
        <v>-0.17</v>
      </c>
      <c r="BB204" s="13">
        <f t="shared" si="601"/>
        <v>-0.08</v>
      </c>
      <c r="BC204" s="13">
        <f t="shared" si="601"/>
        <v>39.199999999999996</v>
      </c>
      <c r="BD204" s="13">
        <f t="shared" si="601"/>
        <v>3.8</v>
      </c>
      <c r="BE204" s="13">
        <f t="shared" si="601"/>
        <v>0</v>
      </c>
      <c r="BF204" s="13">
        <f t="shared" si="601"/>
        <v>0</v>
      </c>
      <c r="BG204" s="13">
        <f t="shared" si="601"/>
        <v>0</v>
      </c>
      <c r="BH204" s="13">
        <f t="shared" si="601"/>
        <v>0.38</v>
      </c>
      <c r="BI204" s="13">
        <f t="shared" si="601"/>
        <v>0</v>
      </c>
      <c r="BJ204" s="13">
        <f t="shared" si="601"/>
        <v>0</v>
      </c>
      <c r="BK204" s="13">
        <f t="shared" si="601"/>
        <v>43.209999999999994</v>
      </c>
      <c r="BL204" s="13">
        <f t="shared" si="601"/>
        <v>-0.08</v>
      </c>
      <c r="BM204" s="169">
        <f t="shared" si="601"/>
        <v>43.129999999999995</v>
      </c>
      <c r="BN204" s="167">
        <f t="shared" si="601"/>
        <v>208605443</v>
      </c>
      <c r="BO204" s="16">
        <f t="shared" si="601"/>
        <v>152491955</v>
      </c>
      <c r="BP204" s="16">
        <f t="shared" si="601"/>
        <v>142693881</v>
      </c>
      <c r="BQ204" s="16">
        <f t="shared" si="601"/>
        <v>9798074</v>
      </c>
      <c r="BR204" s="16">
        <f t="shared" si="601"/>
        <v>436640</v>
      </c>
      <c r="BS204" s="16">
        <f t="shared" si="601"/>
        <v>352800</v>
      </c>
      <c r="BT204" s="16">
        <f t="shared" si="601"/>
        <v>83840</v>
      </c>
      <c r="BU204" s="16">
        <f t="shared" si="601"/>
        <v>51689864</v>
      </c>
      <c r="BV204" s="16">
        <f t="shared" ref="BV204:CF204" si="602">SUMIF($F$12:$F$464,"=3113",BV$12:BV$464)</f>
        <v>1524920</v>
      </c>
      <c r="BW204" s="16">
        <f t="shared" si="602"/>
        <v>2462064</v>
      </c>
      <c r="BX204" s="13">
        <f t="shared" si="602"/>
        <v>249.29600000000002</v>
      </c>
      <c r="BY204" s="13">
        <f t="shared" si="602"/>
        <v>219.53050000000005</v>
      </c>
      <c r="BZ204" s="169">
        <f t="shared" si="602"/>
        <v>29.765499999999999</v>
      </c>
      <c r="CA204" s="167">
        <f t="shared" si="602"/>
        <v>2889034</v>
      </c>
      <c r="CB204" s="16">
        <f t="shared" si="602"/>
        <v>2143200</v>
      </c>
      <c r="CC204" s="16">
        <f t="shared" si="602"/>
        <v>0</v>
      </c>
      <c r="CD204" s="16">
        <f t="shared" si="602"/>
        <v>724402</v>
      </c>
      <c r="CE204" s="16">
        <f t="shared" si="602"/>
        <v>21432</v>
      </c>
      <c r="CF204" s="17">
        <f t="shared" si="602"/>
        <v>3.8</v>
      </c>
    </row>
    <row r="205" spans="1:84" s="89" customFormat="1" ht="12.75" customHeight="1" x14ac:dyDescent="0.25">
      <c r="A205" s="313"/>
      <c r="D205" s="313"/>
      <c r="E205" s="399"/>
      <c r="F205" s="313"/>
      <c r="G205" s="315"/>
      <c r="H205" s="2">
        <v>3114</v>
      </c>
      <c r="I205" s="167">
        <f t="shared" ref="I205:BU205" si="603">SUMIF($F$12:$F$464,"=3114",I$12:I$464)</f>
        <v>26810386</v>
      </c>
      <c r="J205" s="16">
        <f t="shared" si="603"/>
        <v>19780028</v>
      </c>
      <c r="K205" s="16">
        <f t="shared" si="603"/>
        <v>18084061</v>
      </c>
      <c r="L205" s="16">
        <f t="shared" si="603"/>
        <v>1695967</v>
      </c>
      <c r="M205" s="16">
        <f t="shared" si="603"/>
        <v>0</v>
      </c>
      <c r="N205" s="16">
        <f t="shared" si="603"/>
        <v>0</v>
      </c>
      <c r="O205" s="16">
        <f t="shared" si="603"/>
        <v>0</v>
      </c>
      <c r="P205" s="16">
        <f t="shared" si="603"/>
        <v>6685649</v>
      </c>
      <c r="Q205" s="16">
        <f t="shared" si="603"/>
        <v>197801</v>
      </c>
      <c r="R205" s="16">
        <f t="shared" si="603"/>
        <v>146908</v>
      </c>
      <c r="S205" s="13">
        <f t="shared" si="603"/>
        <v>33.341000000000001</v>
      </c>
      <c r="T205" s="13">
        <f t="shared" si="603"/>
        <v>28.488900000000001</v>
      </c>
      <c r="U205" s="17">
        <f t="shared" si="603"/>
        <v>4.8521000000000001</v>
      </c>
      <c r="V205" s="168">
        <f t="shared" si="603"/>
        <v>0</v>
      </c>
      <c r="W205" s="16">
        <f t="shared" si="603"/>
        <v>-70400</v>
      </c>
      <c r="X205" s="16">
        <f t="shared" si="603"/>
        <v>657430</v>
      </c>
      <c r="Y205" s="16">
        <f t="shared" si="603"/>
        <v>0</v>
      </c>
      <c r="Z205" s="16">
        <f t="shared" si="603"/>
        <v>0</v>
      </c>
      <c r="AA205" s="16">
        <f t="shared" si="603"/>
        <v>0</v>
      </c>
      <c r="AB205" s="16">
        <f t="shared" si="603"/>
        <v>0</v>
      </c>
      <c r="AC205" s="16">
        <f t="shared" si="603"/>
        <v>0</v>
      </c>
      <c r="AD205" s="16">
        <f t="shared" si="603"/>
        <v>0</v>
      </c>
      <c r="AE205" s="16">
        <f t="shared" si="603"/>
        <v>0</v>
      </c>
      <c r="AF205" s="16">
        <f t="shared" si="603"/>
        <v>657430</v>
      </c>
      <c r="AG205" s="16">
        <f t="shared" si="603"/>
        <v>-70400</v>
      </c>
      <c r="AH205" s="16">
        <f t="shared" si="603"/>
        <v>587030</v>
      </c>
      <c r="AI205" s="16">
        <f t="shared" si="603"/>
        <v>0</v>
      </c>
      <c r="AJ205" s="16">
        <f t="shared" si="603"/>
        <v>70400</v>
      </c>
      <c r="AK205" s="16">
        <f t="shared" si="603"/>
        <v>0</v>
      </c>
      <c r="AL205" s="16">
        <f t="shared" si="603"/>
        <v>0</v>
      </c>
      <c r="AM205" s="16">
        <f t="shared" si="603"/>
        <v>0</v>
      </c>
      <c r="AN205" s="16">
        <f t="shared" si="603"/>
        <v>0</v>
      </c>
      <c r="AO205" s="16">
        <f t="shared" si="603"/>
        <v>0</v>
      </c>
      <c r="AP205" s="16">
        <f t="shared" si="603"/>
        <v>70400</v>
      </c>
      <c r="AQ205" s="16">
        <f t="shared" si="603"/>
        <v>70400</v>
      </c>
      <c r="AR205" s="16">
        <f t="shared" si="603"/>
        <v>657430</v>
      </c>
      <c r="AS205" s="16">
        <f t="shared" si="603"/>
        <v>0</v>
      </c>
      <c r="AT205" s="16">
        <f t="shared" si="603"/>
        <v>657430</v>
      </c>
      <c r="AU205" s="16">
        <f t="shared" si="603"/>
        <v>222211</v>
      </c>
      <c r="AV205" s="16">
        <f t="shared" si="603"/>
        <v>5870</v>
      </c>
      <c r="AW205" s="16">
        <f t="shared" si="603"/>
        <v>0</v>
      </c>
      <c r="AX205" s="16">
        <f t="shared" si="603"/>
        <v>0</v>
      </c>
      <c r="AY205" s="16">
        <f t="shared" si="603"/>
        <v>0</v>
      </c>
      <c r="AZ205" s="16">
        <f t="shared" si="603"/>
        <v>885511</v>
      </c>
      <c r="BA205" s="13">
        <f t="shared" si="603"/>
        <v>0</v>
      </c>
      <c r="BB205" s="13">
        <f t="shared" si="603"/>
        <v>-0.21</v>
      </c>
      <c r="BC205" s="13">
        <f t="shared" si="603"/>
        <v>1.6400000000000001</v>
      </c>
      <c r="BD205" s="13">
        <f t="shared" si="603"/>
        <v>0</v>
      </c>
      <c r="BE205" s="13">
        <f t="shared" si="603"/>
        <v>0</v>
      </c>
      <c r="BF205" s="13">
        <f t="shared" si="603"/>
        <v>0</v>
      </c>
      <c r="BG205" s="13">
        <f t="shared" si="603"/>
        <v>0</v>
      </c>
      <c r="BH205" s="13">
        <f t="shared" si="603"/>
        <v>0</v>
      </c>
      <c r="BI205" s="13">
        <f t="shared" si="603"/>
        <v>0</v>
      </c>
      <c r="BJ205" s="13">
        <f t="shared" si="603"/>
        <v>0</v>
      </c>
      <c r="BK205" s="13">
        <f t="shared" si="603"/>
        <v>1.6400000000000001</v>
      </c>
      <c r="BL205" s="13">
        <f t="shared" si="603"/>
        <v>-0.21</v>
      </c>
      <c r="BM205" s="169">
        <f t="shared" si="603"/>
        <v>1.4300000000000002</v>
      </c>
      <c r="BN205" s="167">
        <f t="shared" si="603"/>
        <v>27695897</v>
      </c>
      <c r="BO205" s="16">
        <f t="shared" si="603"/>
        <v>20367058</v>
      </c>
      <c r="BP205" s="16">
        <f t="shared" si="603"/>
        <v>18741491</v>
      </c>
      <c r="BQ205" s="16">
        <f t="shared" si="603"/>
        <v>1625567</v>
      </c>
      <c r="BR205" s="16">
        <f t="shared" si="603"/>
        <v>70400</v>
      </c>
      <c r="BS205" s="16">
        <f t="shared" si="603"/>
        <v>0</v>
      </c>
      <c r="BT205" s="16">
        <f t="shared" si="603"/>
        <v>70400</v>
      </c>
      <c r="BU205" s="16">
        <f t="shared" si="603"/>
        <v>6907860</v>
      </c>
      <c r="BV205" s="16">
        <f t="shared" ref="BV205:CF205" si="604">SUMIF($F$12:$F$464,"=3114",BV$12:BV$464)</f>
        <v>203671</v>
      </c>
      <c r="BW205" s="16">
        <f t="shared" si="604"/>
        <v>146908</v>
      </c>
      <c r="BX205" s="13">
        <f t="shared" si="604"/>
        <v>34.771000000000001</v>
      </c>
      <c r="BY205" s="13">
        <f t="shared" si="604"/>
        <v>30.128900000000002</v>
      </c>
      <c r="BZ205" s="169">
        <f t="shared" si="604"/>
        <v>4.6420999999999992</v>
      </c>
      <c r="CA205" s="167">
        <f t="shared" si="604"/>
        <v>0</v>
      </c>
      <c r="CB205" s="16">
        <f t="shared" si="604"/>
        <v>0</v>
      </c>
      <c r="CC205" s="16">
        <f t="shared" si="604"/>
        <v>0</v>
      </c>
      <c r="CD205" s="16">
        <f t="shared" si="604"/>
        <v>0</v>
      </c>
      <c r="CE205" s="16">
        <f t="shared" si="604"/>
        <v>0</v>
      </c>
      <c r="CF205" s="17">
        <f t="shared" si="604"/>
        <v>0</v>
      </c>
    </row>
    <row r="206" spans="1:84" s="89" customFormat="1" ht="12.95" customHeight="1" x14ac:dyDescent="0.25">
      <c r="A206" s="313"/>
      <c r="D206" s="313"/>
      <c r="E206" s="399"/>
      <c r="F206" s="313"/>
      <c r="G206" s="315"/>
      <c r="H206" s="2">
        <v>3117</v>
      </c>
      <c r="I206" s="167">
        <f t="shared" ref="I206:BU206" si="605">SUMIF($F$12:$F$464,"=3117",I$12:I$464)</f>
        <v>48351451</v>
      </c>
      <c r="J206" s="16">
        <f t="shared" si="605"/>
        <v>35300253</v>
      </c>
      <c r="K206" s="16">
        <f t="shared" si="605"/>
        <v>31069401</v>
      </c>
      <c r="L206" s="16">
        <f t="shared" si="605"/>
        <v>4230852</v>
      </c>
      <c r="M206" s="16">
        <f t="shared" si="605"/>
        <v>0</v>
      </c>
      <c r="N206" s="16">
        <f t="shared" si="605"/>
        <v>0</v>
      </c>
      <c r="O206" s="16">
        <f t="shared" si="605"/>
        <v>0</v>
      </c>
      <c r="P206" s="16">
        <f t="shared" si="605"/>
        <v>11931486</v>
      </c>
      <c r="Q206" s="16">
        <f t="shared" si="605"/>
        <v>353002</v>
      </c>
      <c r="R206" s="16">
        <f t="shared" si="605"/>
        <v>766710</v>
      </c>
      <c r="S206" s="13">
        <f t="shared" si="605"/>
        <v>58.717000000000006</v>
      </c>
      <c r="T206" s="13">
        <f t="shared" si="605"/>
        <v>47.007100000000001</v>
      </c>
      <c r="U206" s="17">
        <f t="shared" si="605"/>
        <v>11.709899999999999</v>
      </c>
      <c r="V206" s="168">
        <f t="shared" si="605"/>
        <v>-40768</v>
      </c>
      <c r="W206" s="16">
        <f t="shared" si="605"/>
        <v>-103680</v>
      </c>
      <c r="X206" s="16">
        <f t="shared" si="605"/>
        <v>3594069</v>
      </c>
      <c r="Y206" s="16">
        <f t="shared" si="605"/>
        <v>0</v>
      </c>
      <c r="Z206" s="16">
        <f t="shared" si="605"/>
        <v>0</v>
      </c>
      <c r="AA206" s="16">
        <f t="shared" si="605"/>
        <v>0</v>
      </c>
      <c r="AB206" s="16">
        <f t="shared" si="605"/>
        <v>225600</v>
      </c>
      <c r="AC206" s="16">
        <f t="shared" si="605"/>
        <v>0</v>
      </c>
      <c r="AD206" s="16">
        <f t="shared" si="605"/>
        <v>0</v>
      </c>
      <c r="AE206" s="16">
        <f t="shared" si="605"/>
        <v>0</v>
      </c>
      <c r="AF206" s="16">
        <f t="shared" si="605"/>
        <v>3778901</v>
      </c>
      <c r="AG206" s="16">
        <f t="shared" si="605"/>
        <v>-103680</v>
      </c>
      <c r="AH206" s="16">
        <f t="shared" si="605"/>
        <v>3675221</v>
      </c>
      <c r="AI206" s="16">
        <f t="shared" si="605"/>
        <v>40768</v>
      </c>
      <c r="AJ206" s="16">
        <f t="shared" si="605"/>
        <v>103680</v>
      </c>
      <c r="AK206" s="16">
        <f t="shared" si="605"/>
        <v>0</v>
      </c>
      <c r="AL206" s="16">
        <f t="shared" si="605"/>
        <v>132400</v>
      </c>
      <c r="AM206" s="16">
        <f t="shared" si="605"/>
        <v>0</v>
      </c>
      <c r="AN206" s="16">
        <f t="shared" si="605"/>
        <v>0</v>
      </c>
      <c r="AO206" s="16">
        <f t="shared" si="605"/>
        <v>173168</v>
      </c>
      <c r="AP206" s="16">
        <f t="shared" si="605"/>
        <v>103680</v>
      </c>
      <c r="AQ206" s="16">
        <f t="shared" si="605"/>
        <v>276848</v>
      </c>
      <c r="AR206" s="16">
        <f t="shared" si="605"/>
        <v>3952069</v>
      </c>
      <c r="AS206" s="16">
        <f t="shared" si="605"/>
        <v>0</v>
      </c>
      <c r="AT206" s="16">
        <f t="shared" si="605"/>
        <v>3952069</v>
      </c>
      <c r="AU206" s="16">
        <f t="shared" si="605"/>
        <v>1335799</v>
      </c>
      <c r="AV206" s="16">
        <f t="shared" si="605"/>
        <v>36752</v>
      </c>
      <c r="AW206" s="16">
        <f t="shared" si="605"/>
        <v>3500</v>
      </c>
      <c r="AX206" s="16">
        <f t="shared" si="605"/>
        <v>0</v>
      </c>
      <c r="AY206" s="16">
        <f t="shared" si="605"/>
        <v>3500</v>
      </c>
      <c r="AZ206" s="16">
        <f t="shared" si="605"/>
        <v>5328120</v>
      </c>
      <c r="BA206" s="13">
        <f t="shared" si="605"/>
        <v>-0.01</v>
      </c>
      <c r="BB206" s="13">
        <f t="shared" si="605"/>
        <v>0</v>
      </c>
      <c r="BC206" s="13">
        <f t="shared" si="605"/>
        <v>9.5299999999999994</v>
      </c>
      <c r="BD206" s="13">
        <f t="shared" si="605"/>
        <v>0.4</v>
      </c>
      <c r="BE206" s="13">
        <f t="shared" si="605"/>
        <v>0</v>
      </c>
      <c r="BF206" s="13">
        <f t="shared" si="605"/>
        <v>0</v>
      </c>
      <c r="BG206" s="13">
        <f t="shared" si="605"/>
        <v>0</v>
      </c>
      <c r="BH206" s="13">
        <f t="shared" si="605"/>
        <v>0</v>
      </c>
      <c r="BI206" s="13">
        <f t="shared" si="605"/>
        <v>0</v>
      </c>
      <c r="BJ206" s="13">
        <f t="shared" si="605"/>
        <v>0</v>
      </c>
      <c r="BK206" s="13">
        <f t="shared" si="605"/>
        <v>9.92</v>
      </c>
      <c r="BL206" s="13">
        <f t="shared" si="605"/>
        <v>0</v>
      </c>
      <c r="BM206" s="169">
        <f t="shared" si="605"/>
        <v>9.92</v>
      </c>
      <c r="BN206" s="167">
        <f t="shared" si="605"/>
        <v>53679571</v>
      </c>
      <c r="BO206" s="16">
        <f t="shared" si="605"/>
        <v>38975474</v>
      </c>
      <c r="BP206" s="16">
        <f t="shared" si="605"/>
        <v>34848302</v>
      </c>
      <c r="BQ206" s="16">
        <f t="shared" si="605"/>
        <v>4127172</v>
      </c>
      <c r="BR206" s="16">
        <f t="shared" si="605"/>
        <v>276848</v>
      </c>
      <c r="BS206" s="16">
        <f t="shared" si="605"/>
        <v>173168</v>
      </c>
      <c r="BT206" s="16">
        <f t="shared" si="605"/>
        <v>103680</v>
      </c>
      <c r="BU206" s="16">
        <f t="shared" si="605"/>
        <v>13267285</v>
      </c>
      <c r="BV206" s="16">
        <f t="shared" ref="BV206:CF206" si="606">SUMIF($F$12:$F$464,"=3117",BV$12:BV$464)</f>
        <v>389754</v>
      </c>
      <c r="BW206" s="16">
        <f t="shared" si="606"/>
        <v>770210</v>
      </c>
      <c r="BX206" s="13">
        <f t="shared" si="606"/>
        <v>68.637</v>
      </c>
      <c r="BY206" s="13">
        <f t="shared" si="606"/>
        <v>56.92710000000001</v>
      </c>
      <c r="BZ206" s="169">
        <f t="shared" si="606"/>
        <v>11.709899999999999</v>
      </c>
      <c r="CA206" s="167">
        <f t="shared" si="606"/>
        <v>304108</v>
      </c>
      <c r="CB206" s="16">
        <f t="shared" si="606"/>
        <v>225600</v>
      </c>
      <c r="CC206" s="16">
        <f t="shared" si="606"/>
        <v>0</v>
      </c>
      <c r="CD206" s="16">
        <f t="shared" si="606"/>
        <v>76252</v>
      </c>
      <c r="CE206" s="16">
        <f t="shared" si="606"/>
        <v>2256</v>
      </c>
      <c r="CF206" s="17">
        <f t="shared" si="606"/>
        <v>0.4</v>
      </c>
    </row>
    <row r="207" spans="1:84" s="89" customFormat="1" ht="12.95" customHeight="1" x14ac:dyDescent="0.25">
      <c r="A207" s="313"/>
      <c r="D207" s="313"/>
      <c r="E207" s="399"/>
      <c r="F207" s="313"/>
      <c r="G207" s="315"/>
      <c r="H207" s="2">
        <v>3122</v>
      </c>
      <c r="I207" s="167">
        <f t="shared" ref="I207:BU207" si="607">SUMIF($F$12:$F$464,"=3122",I$12:I$464)</f>
        <v>0</v>
      </c>
      <c r="J207" s="16">
        <f t="shared" si="607"/>
        <v>0</v>
      </c>
      <c r="K207" s="16">
        <f t="shared" si="607"/>
        <v>0</v>
      </c>
      <c r="L207" s="16">
        <f t="shared" si="607"/>
        <v>0</v>
      </c>
      <c r="M207" s="16">
        <f t="shared" si="607"/>
        <v>0</v>
      </c>
      <c r="N207" s="16">
        <f t="shared" si="607"/>
        <v>0</v>
      </c>
      <c r="O207" s="16">
        <f t="shared" si="607"/>
        <v>0</v>
      </c>
      <c r="P207" s="16">
        <f t="shared" si="607"/>
        <v>0</v>
      </c>
      <c r="Q207" s="16">
        <f t="shared" si="607"/>
        <v>0</v>
      </c>
      <c r="R207" s="16">
        <f t="shared" si="607"/>
        <v>0</v>
      </c>
      <c r="S207" s="13">
        <f t="shared" si="607"/>
        <v>0</v>
      </c>
      <c r="T207" s="13">
        <f t="shared" si="607"/>
        <v>0</v>
      </c>
      <c r="U207" s="17">
        <f t="shared" si="607"/>
        <v>0</v>
      </c>
      <c r="V207" s="168">
        <f t="shared" si="607"/>
        <v>0</v>
      </c>
      <c r="W207" s="16">
        <f t="shared" si="607"/>
        <v>0</v>
      </c>
      <c r="X207" s="16">
        <f t="shared" si="607"/>
        <v>0</v>
      </c>
      <c r="Y207" s="16">
        <f t="shared" si="607"/>
        <v>0</v>
      </c>
      <c r="Z207" s="16">
        <f t="shared" si="607"/>
        <v>0</v>
      </c>
      <c r="AA207" s="16">
        <f t="shared" si="607"/>
        <v>0</v>
      </c>
      <c r="AB207" s="16">
        <f t="shared" si="607"/>
        <v>0</v>
      </c>
      <c r="AC207" s="16">
        <f t="shared" si="607"/>
        <v>0</v>
      </c>
      <c r="AD207" s="16">
        <f t="shared" si="607"/>
        <v>0</v>
      </c>
      <c r="AE207" s="16">
        <f t="shared" si="607"/>
        <v>0</v>
      </c>
      <c r="AF207" s="16">
        <f t="shared" si="607"/>
        <v>0</v>
      </c>
      <c r="AG207" s="16">
        <f t="shared" si="607"/>
        <v>0</v>
      </c>
      <c r="AH207" s="16">
        <f t="shared" si="607"/>
        <v>0</v>
      </c>
      <c r="AI207" s="16">
        <f t="shared" si="607"/>
        <v>0</v>
      </c>
      <c r="AJ207" s="16">
        <f t="shared" si="607"/>
        <v>0</v>
      </c>
      <c r="AK207" s="16">
        <f t="shared" si="607"/>
        <v>0</v>
      </c>
      <c r="AL207" s="16">
        <f t="shared" si="607"/>
        <v>0</v>
      </c>
      <c r="AM207" s="16">
        <f t="shared" si="607"/>
        <v>0</v>
      </c>
      <c r="AN207" s="16">
        <f t="shared" si="607"/>
        <v>0</v>
      </c>
      <c r="AO207" s="16">
        <f t="shared" si="607"/>
        <v>0</v>
      </c>
      <c r="AP207" s="16">
        <f t="shared" si="607"/>
        <v>0</v>
      </c>
      <c r="AQ207" s="16">
        <f t="shared" si="607"/>
        <v>0</v>
      </c>
      <c r="AR207" s="16">
        <f t="shared" si="607"/>
        <v>0</v>
      </c>
      <c r="AS207" s="16">
        <f t="shared" si="607"/>
        <v>0</v>
      </c>
      <c r="AT207" s="16">
        <f t="shared" si="607"/>
        <v>0</v>
      </c>
      <c r="AU207" s="16">
        <f t="shared" si="607"/>
        <v>0</v>
      </c>
      <c r="AV207" s="16">
        <f t="shared" si="607"/>
        <v>0</v>
      </c>
      <c r="AW207" s="16">
        <f t="shared" si="607"/>
        <v>0</v>
      </c>
      <c r="AX207" s="16">
        <f t="shared" si="607"/>
        <v>0</v>
      </c>
      <c r="AY207" s="16">
        <f t="shared" si="607"/>
        <v>0</v>
      </c>
      <c r="AZ207" s="16">
        <f t="shared" si="607"/>
        <v>0</v>
      </c>
      <c r="BA207" s="13">
        <f t="shared" si="607"/>
        <v>0</v>
      </c>
      <c r="BB207" s="13">
        <f t="shared" si="607"/>
        <v>0</v>
      </c>
      <c r="BC207" s="13">
        <f t="shared" si="607"/>
        <v>0</v>
      </c>
      <c r="BD207" s="13">
        <f t="shared" si="607"/>
        <v>0</v>
      </c>
      <c r="BE207" s="13">
        <f t="shared" si="607"/>
        <v>0</v>
      </c>
      <c r="BF207" s="13">
        <f t="shared" si="607"/>
        <v>0</v>
      </c>
      <c r="BG207" s="13">
        <f t="shared" si="607"/>
        <v>0</v>
      </c>
      <c r="BH207" s="13">
        <f t="shared" si="607"/>
        <v>0</v>
      </c>
      <c r="BI207" s="13">
        <f t="shared" si="607"/>
        <v>0</v>
      </c>
      <c r="BJ207" s="13">
        <f t="shared" si="607"/>
        <v>0</v>
      </c>
      <c r="BK207" s="13">
        <f t="shared" si="607"/>
        <v>0</v>
      </c>
      <c r="BL207" s="13">
        <f t="shared" si="607"/>
        <v>0</v>
      </c>
      <c r="BM207" s="169">
        <f t="shared" si="607"/>
        <v>0</v>
      </c>
      <c r="BN207" s="167">
        <f t="shared" si="607"/>
        <v>0</v>
      </c>
      <c r="BO207" s="16">
        <f t="shared" si="607"/>
        <v>0</v>
      </c>
      <c r="BP207" s="16">
        <f t="shared" si="607"/>
        <v>0</v>
      </c>
      <c r="BQ207" s="16">
        <f t="shared" si="607"/>
        <v>0</v>
      </c>
      <c r="BR207" s="16">
        <f t="shared" si="607"/>
        <v>0</v>
      </c>
      <c r="BS207" s="16">
        <f t="shared" si="607"/>
        <v>0</v>
      </c>
      <c r="BT207" s="16">
        <f t="shared" si="607"/>
        <v>0</v>
      </c>
      <c r="BU207" s="16">
        <f t="shared" si="607"/>
        <v>0</v>
      </c>
      <c r="BV207" s="16">
        <f t="shared" ref="BV207:CF207" si="608">SUMIF($F$12:$F$464,"=3122",BV$12:BV$464)</f>
        <v>0</v>
      </c>
      <c r="BW207" s="16">
        <f t="shared" si="608"/>
        <v>0</v>
      </c>
      <c r="BX207" s="13">
        <f t="shared" si="608"/>
        <v>0</v>
      </c>
      <c r="BY207" s="13">
        <f t="shared" si="608"/>
        <v>0</v>
      </c>
      <c r="BZ207" s="169">
        <f t="shared" si="608"/>
        <v>0</v>
      </c>
      <c r="CA207" s="167">
        <f t="shared" si="608"/>
        <v>0</v>
      </c>
      <c r="CB207" s="16">
        <f t="shared" si="608"/>
        <v>0</v>
      </c>
      <c r="CC207" s="16">
        <f t="shared" si="608"/>
        <v>0</v>
      </c>
      <c r="CD207" s="16">
        <f t="shared" si="608"/>
        <v>0</v>
      </c>
      <c r="CE207" s="16">
        <f t="shared" si="608"/>
        <v>0</v>
      </c>
      <c r="CF207" s="17">
        <f t="shared" si="608"/>
        <v>0</v>
      </c>
    </row>
    <row r="208" spans="1:84" s="89" customFormat="1" ht="12.95" customHeight="1" x14ac:dyDescent="0.25">
      <c r="A208" s="313"/>
      <c r="D208" s="313"/>
      <c r="E208" s="399"/>
      <c r="F208" s="313"/>
      <c r="G208" s="315"/>
      <c r="H208" s="2">
        <v>3124</v>
      </c>
      <c r="I208" s="167">
        <f t="shared" ref="I208:BU208" si="609">SUMIF($F$12:$F$464,"=3124",I$12:I$464)</f>
        <v>0</v>
      </c>
      <c r="J208" s="16">
        <f t="shared" si="609"/>
        <v>0</v>
      </c>
      <c r="K208" s="16">
        <f t="shared" si="609"/>
        <v>0</v>
      </c>
      <c r="L208" s="16">
        <f t="shared" si="609"/>
        <v>0</v>
      </c>
      <c r="M208" s="16">
        <f t="shared" si="609"/>
        <v>0</v>
      </c>
      <c r="N208" s="16">
        <f t="shared" si="609"/>
        <v>0</v>
      </c>
      <c r="O208" s="16">
        <f t="shared" si="609"/>
        <v>0</v>
      </c>
      <c r="P208" s="16">
        <f t="shared" si="609"/>
        <v>0</v>
      </c>
      <c r="Q208" s="16">
        <f t="shared" si="609"/>
        <v>0</v>
      </c>
      <c r="R208" s="16">
        <f t="shared" si="609"/>
        <v>0</v>
      </c>
      <c r="S208" s="13">
        <f t="shared" si="609"/>
        <v>0</v>
      </c>
      <c r="T208" s="13">
        <f t="shared" si="609"/>
        <v>0</v>
      </c>
      <c r="U208" s="17">
        <f t="shared" si="609"/>
        <v>0</v>
      </c>
      <c r="V208" s="168">
        <f t="shared" si="609"/>
        <v>0</v>
      </c>
      <c r="W208" s="16">
        <f t="shared" si="609"/>
        <v>0</v>
      </c>
      <c r="X208" s="16">
        <f t="shared" si="609"/>
        <v>0</v>
      </c>
      <c r="Y208" s="16">
        <f t="shared" si="609"/>
        <v>0</v>
      </c>
      <c r="Z208" s="16">
        <f t="shared" si="609"/>
        <v>0</v>
      </c>
      <c r="AA208" s="16">
        <f t="shared" si="609"/>
        <v>0</v>
      </c>
      <c r="AB208" s="16">
        <f t="shared" si="609"/>
        <v>0</v>
      </c>
      <c r="AC208" s="16">
        <f t="shared" si="609"/>
        <v>0</v>
      </c>
      <c r="AD208" s="16">
        <f t="shared" si="609"/>
        <v>0</v>
      </c>
      <c r="AE208" s="16">
        <f t="shared" si="609"/>
        <v>0</v>
      </c>
      <c r="AF208" s="16">
        <f t="shared" si="609"/>
        <v>0</v>
      </c>
      <c r="AG208" s="16">
        <f t="shared" si="609"/>
        <v>0</v>
      </c>
      <c r="AH208" s="16">
        <f t="shared" si="609"/>
        <v>0</v>
      </c>
      <c r="AI208" s="16">
        <f t="shared" si="609"/>
        <v>0</v>
      </c>
      <c r="AJ208" s="16">
        <f t="shared" si="609"/>
        <v>0</v>
      </c>
      <c r="AK208" s="16">
        <f t="shared" si="609"/>
        <v>0</v>
      </c>
      <c r="AL208" s="16">
        <f t="shared" si="609"/>
        <v>0</v>
      </c>
      <c r="AM208" s="16">
        <f t="shared" si="609"/>
        <v>0</v>
      </c>
      <c r="AN208" s="16">
        <f t="shared" si="609"/>
        <v>0</v>
      </c>
      <c r="AO208" s="16">
        <f t="shared" si="609"/>
        <v>0</v>
      </c>
      <c r="AP208" s="16">
        <f t="shared" si="609"/>
        <v>0</v>
      </c>
      <c r="AQ208" s="16">
        <f t="shared" si="609"/>
        <v>0</v>
      </c>
      <c r="AR208" s="16">
        <f t="shared" si="609"/>
        <v>0</v>
      </c>
      <c r="AS208" s="16">
        <f t="shared" si="609"/>
        <v>0</v>
      </c>
      <c r="AT208" s="16">
        <f t="shared" si="609"/>
        <v>0</v>
      </c>
      <c r="AU208" s="16">
        <f t="shared" si="609"/>
        <v>0</v>
      </c>
      <c r="AV208" s="16">
        <f t="shared" si="609"/>
        <v>0</v>
      </c>
      <c r="AW208" s="16">
        <f t="shared" si="609"/>
        <v>0</v>
      </c>
      <c r="AX208" s="16">
        <f t="shared" si="609"/>
        <v>0</v>
      </c>
      <c r="AY208" s="16">
        <f t="shared" si="609"/>
        <v>0</v>
      </c>
      <c r="AZ208" s="16">
        <f t="shared" si="609"/>
        <v>0</v>
      </c>
      <c r="BA208" s="13">
        <f t="shared" si="609"/>
        <v>0</v>
      </c>
      <c r="BB208" s="13">
        <f t="shared" si="609"/>
        <v>0</v>
      </c>
      <c r="BC208" s="13">
        <f t="shared" si="609"/>
        <v>0</v>
      </c>
      <c r="BD208" s="13">
        <f t="shared" si="609"/>
        <v>0</v>
      </c>
      <c r="BE208" s="13">
        <f t="shared" si="609"/>
        <v>0</v>
      </c>
      <c r="BF208" s="13">
        <f t="shared" si="609"/>
        <v>0</v>
      </c>
      <c r="BG208" s="13">
        <f t="shared" si="609"/>
        <v>0</v>
      </c>
      <c r="BH208" s="13">
        <f t="shared" si="609"/>
        <v>0</v>
      </c>
      <c r="BI208" s="13">
        <f t="shared" si="609"/>
        <v>0</v>
      </c>
      <c r="BJ208" s="13">
        <f t="shared" si="609"/>
        <v>0</v>
      </c>
      <c r="BK208" s="13">
        <f t="shared" si="609"/>
        <v>0</v>
      </c>
      <c r="BL208" s="13">
        <f t="shared" si="609"/>
        <v>0</v>
      </c>
      <c r="BM208" s="169">
        <f t="shared" si="609"/>
        <v>0</v>
      </c>
      <c r="BN208" s="167">
        <f t="shared" si="609"/>
        <v>0</v>
      </c>
      <c r="BO208" s="16">
        <f t="shared" si="609"/>
        <v>0</v>
      </c>
      <c r="BP208" s="16">
        <f t="shared" si="609"/>
        <v>0</v>
      </c>
      <c r="BQ208" s="16">
        <f t="shared" si="609"/>
        <v>0</v>
      </c>
      <c r="BR208" s="16">
        <f t="shared" si="609"/>
        <v>0</v>
      </c>
      <c r="BS208" s="16">
        <f t="shared" si="609"/>
        <v>0</v>
      </c>
      <c r="BT208" s="16">
        <f t="shared" si="609"/>
        <v>0</v>
      </c>
      <c r="BU208" s="16">
        <f t="shared" si="609"/>
        <v>0</v>
      </c>
      <c r="BV208" s="16">
        <f t="shared" ref="BV208:CF208" si="610">SUMIF($F$12:$F$464,"=3124",BV$12:BV$464)</f>
        <v>0</v>
      </c>
      <c r="BW208" s="16">
        <f t="shared" si="610"/>
        <v>0</v>
      </c>
      <c r="BX208" s="13">
        <f t="shared" si="610"/>
        <v>0</v>
      </c>
      <c r="BY208" s="13">
        <f t="shared" si="610"/>
        <v>0</v>
      </c>
      <c r="BZ208" s="169">
        <f t="shared" si="610"/>
        <v>0</v>
      </c>
      <c r="CA208" s="167">
        <f t="shared" si="610"/>
        <v>0</v>
      </c>
      <c r="CB208" s="16">
        <f t="shared" si="610"/>
        <v>0</v>
      </c>
      <c r="CC208" s="16">
        <f t="shared" si="610"/>
        <v>0</v>
      </c>
      <c r="CD208" s="16">
        <f t="shared" si="610"/>
        <v>0</v>
      </c>
      <c r="CE208" s="16">
        <f t="shared" si="610"/>
        <v>0</v>
      </c>
      <c r="CF208" s="17">
        <f t="shared" si="610"/>
        <v>0</v>
      </c>
    </row>
    <row r="209" spans="1:84" s="89" customFormat="1" ht="12.95" customHeight="1" x14ac:dyDescent="0.25">
      <c r="A209" s="313"/>
      <c r="D209" s="313"/>
      <c r="E209" s="399"/>
      <c r="F209" s="313"/>
      <c r="G209" s="315"/>
      <c r="H209" s="2">
        <v>3141</v>
      </c>
      <c r="I209" s="167">
        <f t="shared" ref="I209:BU209" si="611">SUMIF($F$12:$F$464,"=3141",I$12:I$464)</f>
        <v>25291837</v>
      </c>
      <c r="J209" s="16">
        <f t="shared" si="611"/>
        <v>18646000</v>
      </c>
      <c r="K209" s="16">
        <f t="shared" si="611"/>
        <v>0</v>
      </c>
      <c r="L209" s="16">
        <f t="shared" si="611"/>
        <v>18646000</v>
      </c>
      <c r="M209" s="16">
        <f t="shared" si="611"/>
        <v>0</v>
      </c>
      <c r="N209" s="16">
        <f t="shared" si="611"/>
        <v>0</v>
      </c>
      <c r="O209" s="16">
        <f t="shared" si="611"/>
        <v>0</v>
      </c>
      <c r="P209" s="16">
        <f t="shared" si="611"/>
        <v>6302348</v>
      </c>
      <c r="Q209" s="16">
        <f t="shared" si="611"/>
        <v>186460</v>
      </c>
      <c r="R209" s="16">
        <f t="shared" si="611"/>
        <v>157029</v>
      </c>
      <c r="S209" s="13">
        <f t="shared" si="611"/>
        <v>55.913399999999996</v>
      </c>
      <c r="T209" s="13">
        <f t="shared" si="611"/>
        <v>0</v>
      </c>
      <c r="U209" s="17">
        <f t="shared" si="611"/>
        <v>55.913399999999996</v>
      </c>
      <c r="V209" s="168">
        <f t="shared" si="611"/>
        <v>0</v>
      </c>
      <c r="W209" s="16">
        <f t="shared" si="611"/>
        <v>-160000</v>
      </c>
      <c r="X209" s="16">
        <f t="shared" si="611"/>
        <v>0</v>
      </c>
      <c r="Y209" s="16">
        <f t="shared" si="611"/>
        <v>0</v>
      </c>
      <c r="Z209" s="16">
        <f t="shared" si="611"/>
        <v>0</v>
      </c>
      <c r="AA209" s="16">
        <f t="shared" si="611"/>
        <v>0</v>
      </c>
      <c r="AB209" s="16">
        <f t="shared" si="611"/>
        <v>0</v>
      </c>
      <c r="AC209" s="16">
        <f t="shared" si="611"/>
        <v>0</v>
      </c>
      <c r="AD209" s="16">
        <f t="shared" si="611"/>
        <v>0</v>
      </c>
      <c r="AE209" s="16">
        <f t="shared" si="611"/>
        <v>0</v>
      </c>
      <c r="AF209" s="16">
        <f t="shared" si="611"/>
        <v>0</v>
      </c>
      <c r="AG209" s="16">
        <f t="shared" si="611"/>
        <v>-160000</v>
      </c>
      <c r="AH209" s="16">
        <f t="shared" si="611"/>
        <v>-160000</v>
      </c>
      <c r="AI209" s="16">
        <f t="shared" si="611"/>
        <v>0</v>
      </c>
      <c r="AJ209" s="16">
        <f t="shared" si="611"/>
        <v>160000</v>
      </c>
      <c r="AK209" s="16">
        <f t="shared" si="611"/>
        <v>0</v>
      </c>
      <c r="AL209" s="16">
        <f t="shared" si="611"/>
        <v>0</v>
      </c>
      <c r="AM209" s="16">
        <f t="shared" si="611"/>
        <v>0</v>
      </c>
      <c r="AN209" s="16">
        <f t="shared" si="611"/>
        <v>0</v>
      </c>
      <c r="AO209" s="16">
        <f t="shared" si="611"/>
        <v>0</v>
      </c>
      <c r="AP209" s="16">
        <f t="shared" si="611"/>
        <v>160000</v>
      </c>
      <c r="AQ209" s="16">
        <f t="shared" si="611"/>
        <v>160000</v>
      </c>
      <c r="AR209" s="16">
        <f t="shared" si="611"/>
        <v>0</v>
      </c>
      <c r="AS209" s="16">
        <f t="shared" si="611"/>
        <v>0</v>
      </c>
      <c r="AT209" s="16">
        <f t="shared" si="611"/>
        <v>0</v>
      </c>
      <c r="AU209" s="16">
        <f t="shared" si="611"/>
        <v>0</v>
      </c>
      <c r="AV209" s="16">
        <f t="shared" si="611"/>
        <v>-1600</v>
      </c>
      <c r="AW209" s="16">
        <f t="shared" si="611"/>
        <v>0</v>
      </c>
      <c r="AX209" s="16">
        <f t="shared" si="611"/>
        <v>0</v>
      </c>
      <c r="AY209" s="16">
        <f t="shared" si="611"/>
        <v>0</v>
      </c>
      <c r="AZ209" s="16">
        <f t="shared" si="611"/>
        <v>-1600</v>
      </c>
      <c r="BA209" s="13">
        <f t="shared" si="611"/>
        <v>0</v>
      </c>
      <c r="BB209" s="13">
        <f t="shared" si="611"/>
        <v>-0.15</v>
      </c>
      <c r="BC209" s="13">
        <f t="shared" si="611"/>
        <v>0</v>
      </c>
      <c r="BD209" s="13">
        <f t="shared" si="611"/>
        <v>0</v>
      </c>
      <c r="BE209" s="13">
        <f t="shared" si="611"/>
        <v>0</v>
      </c>
      <c r="BF209" s="13">
        <f t="shared" si="611"/>
        <v>0</v>
      </c>
      <c r="BG209" s="13">
        <f t="shared" si="611"/>
        <v>0</v>
      </c>
      <c r="BH209" s="13">
        <f t="shared" si="611"/>
        <v>0</v>
      </c>
      <c r="BI209" s="13">
        <f t="shared" si="611"/>
        <v>0</v>
      </c>
      <c r="BJ209" s="13">
        <f t="shared" si="611"/>
        <v>0</v>
      </c>
      <c r="BK209" s="13">
        <f t="shared" si="611"/>
        <v>0</v>
      </c>
      <c r="BL209" s="13">
        <f t="shared" si="611"/>
        <v>-0.15</v>
      </c>
      <c r="BM209" s="169">
        <f t="shared" si="611"/>
        <v>-0.15</v>
      </c>
      <c r="BN209" s="167">
        <f t="shared" si="611"/>
        <v>25290237</v>
      </c>
      <c r="BO209" s="16">
        <f t="shared" si="611"/>
        <v>18486000</v>
      </c>
      <c r="BP209" s="16">
        <f t="shared" si="611"/>
        <v>0</v>
      </c>
      <c r="BQ209" s="16">
        <f t="shared" si="611"/>
        <v>18486000</v>
      </c>
      <c r="BR209" s="16">
        <f t="shared" si="611"/>
        <v>160000</v>
      </c>
      <c r="BS209" s="16">
        <f t="shared" si="611"/>
        <v>0</v>
      </c>
      <c r="BT209" s="16">
        <f t="shared" si="611"/>
        <v>160000</v>
      </c>
      <c r="BU209" s="16">
        <f t="shared" si="611"/>
        <v>6302348</v>
      </c>
      <c r="BV209" s="16">
        <f t="shared" ref="BV209:CF209" si="612">SUMIF($F$12:$F$464,"=3141",BV$12:BV$464)</f>
        <v>184860</v>
      </c>
      <c r="BW209" s="16">
        <f t="shared" si="612"/>
        <v>157029</v>
      </c>
      <c r="BX209" s="13">
        <f t="shared" si="612"/>
        <v>55.763399999999997</v>
      </c>
      <c r="BY209" s="13">
        <f t="shared" si="612"/>
        <v>0</v>
      </c>
      <c r="BZ209" s="169">
        <f t="shared" si="612"/>
        <v>55.763399999999997</v>
      </c>
      <c r="CA209" s="167">
        <f t="shared" si="612"/>
        <v>0</v>
      </c>
      <c r="CB209" s="16">
        <f t="shared" si="612"/>
        <v>0</v>
      </c>
      <c r="CC209" s="16">
        <f t="shared" si="612"/>
        <v>0</v>
      </c>
      <c r="CD209" s="16">
        <f t="shared" si="612"/>
        <v>0</v>
      </c>
      <c r="CE209" s="16">
        <f t="shared" si="612"/>
        <v>0</v>
      </c>
      <c r="CF209" s="17">
        <f t="shared" si="612"/>
        <v>0</v>
      </c>
    </row>
    <row r="210" spans="1:84" s="89" customFormat="1" ht="12.95" customHeight="1" x14ac:dyDescent="0.25">
      <c r="A210" s="313"/>
      <c r="D210" s="313"/>
      <c r="E210" s="399"/>
      <c r="F210" s="313"/>
      <c r="G210" s="315"/>
      <c r="H210" s="2">
        <v>3143</v>
      </c>
      <c r="I210" s="167">
        <f t="shared" ref="I210:BU210" si="613">SUMIF($F$12:$F$464,"=3143",I$12:I$464)</f>
        <v>28481732</v>
      </c>
      <c r="J210" s="16">
        <f t="shared" si="613"/>
        <v>21113178</v>
      </c>
      <c r="K210" s="16">
        <f t="shared" si="613"/>
        <v>20667413</v>
      </c>
      <c r="L210" s="16">
        <f t="shared" si="613"/>
        <v>445765</v>
      </c>
      <c r="M210" s="16">
        <f t="shared" si="613"/>
        <v>0</v>
      </c>
      <c r="N210" s="16">
        <f t="shared" si="613"/>
        <v>0</v>
      </c>
      <c r="O210" s="16">
        <f t="shared" si="613"/>
        <v>0</v>
      </c>
      <c r="P210" s="16">
        <f t="shared" si="613"/>
        <v>7136254</v>
      </c>
      <c r="Q210" s="16">
        <f t="shared" si="613"/>
        <v>211132</v>
      </c>
      <c r="R210" s="16">
        <f t="shared" si="613"/>
        <v>21168</v>
      </c>
      <c r="S210" s="13">
        <f t="shared" si="613"/>
        <v>42.628399999999999</v>
      </c>
      <c r="T210" s="13">
        <f t="shared" si="613"/>
        <v>40.936599999999991</v>
      </c>
      <c r="U210" s="17">
        <f t="shared" si="613"/>
        <v>1.6918</v>
      </c>
      <c r="V210" s="168">
        <f t="shared" si="613"/>
        <v>-28288</v>
      </c>
      <c r="W210" s="16">
        <f t="shared" si="613"/>
        <v>0</v>
      </c>
      <c r="X210" s="16">
        <f t="shared" si="613"/>
        <v>0</v>
      </c>
      <c r="Y210" s="16">
        <f t="shared" si="613"/>
        <v>0</v>
      </c>
      <c r="Z210" s="16">
        <f t="shared" si="613"/>
        <v>0</v>
      </c>
      <c r="AA210" s="16">
        <f t="shared" si="613"/>
        <v>0</v>
      </c>
      <c r="AB210" s="16">
        <f t="shared" si="613"/>
        <v>0</v>
      </c>
      <c r="AC210" s="16">
        <f t="shared" si="613"/>
        <v>0</v>
      </c>
      <c r="AD210" s="16">
        <f t="shared" si="613"/>
        <v>0</v>
      </c>
      <c r="AE210" s="16">
        <f t="shared" si="613"/>
        <v>0</v>
      </c>
      <c r="AF210" s="16">
        <f t="shared" si="613"/>
        <v>-28288</v>
      </c>
      <c r="AG210" s="16">
        <f t="shared" si="613"/>
        <v>0</v>
      </c>
      <c r="AH210" s="16">
        <f t="shared" si="613"/>
        <v>-28288</v>
      </c>
      <c r="AI210" s="16">
        <f t="shared" si="613"/>
        <v>28288</v>
      </c>
      <c r="AJ210" s="16">
        <f t="shared" si="613"/>
        <v>0</v>
      </c>
      <c r="AK210" s="16">
        <f t="shared" si="613"/>
        <v>0</v>
      </c>
      <c r="AL210" s="16">
        <f t="shared" si="613"/>
        <v>0</v>
      </c>
      <c r="AM210" s="16">
        <f t="shared" si="613"/>
        <v>0</v>
      </c>
      <c r="AN210" s="16">
        <f t="shared" si="613"/>
        <v>0</v>
      </c>
      <c r="AO210" s="16">
        <f t="shared" si="613"/>
        <v>28288</v>
      </c>
      <c r="AP210" s="16">
        <f t="shared" si="613"/>
        <v>0</v>
      </c>
      <c r="AQ210" s="16">
        <f t="shared" si="613"/>
        <v>28288</v>
      </c>
      <c r="AR210" s="16">
        <f t="shared" si="613"/>
        <v>0</v>
      </c>
      <c r="AS210" s="16">
        <f t="shared" si="613"/>
        <v>0</v>
      </c>
      <c r="AT210" s="16">
        <f t="shared" si="613"/>
        <v>0</v>
      </c>
      <c r="AU210" s="16">
        <f t="shared" si="613"/>
        <v>0</v>
      </c>
      <c r="AV210" s="16">
        <f t="shared" si="613"/>
        <v>-283</v>
      </c>
      <c r="AW210" s="16">
        <f t="shared" si="613"/>
        <v>0</v>
      </c>
      <c r="AX210" s="16">
        <f t="shared" si="613"/>
        <v>0</v>
      </c>
      <c r="AY210" s="16">
        <f t="shared" si="613"/>
        <v>0</v>
      </c>
      <c r="AZ210" s="16">
        <f t="shared" si="613"/>
        <v>-283</v>
      </c>
      <c r="BA210" s="13">
        <f t="shared" si="613"/>
        <v>-0.01</v>
      </c>
      <c r="BB210" s="13">
        <f t="shared" si="613"/>
        <v>0</v>
      </c>
      <c r="BC210" s="13">
        <f t="shared" si="613"/>
        <v>0</v>
      </c>
      <c r="BD210" s="13">
        <f t="shared" si="613"/>
        <v>0</v>
      </c>
      <c r="BE210" s="13">
        <f t="shared" si="613"/>
        <v>0</v>
      </c>
      <c r="BF210" s="13">
        <f t="shared" si="613"/>
        <v>0</v>
      </c>
      <c r="BG210" s="13">
        <f t="shared" si="613"/>
        <v>0</v>
      </c>
      <c r="BH210" s="13">
        <f t="shared" si="613"/>
        <v>0</v>
      </c>
      <c r="BI210" s="13">
        <f t="shared" si="613"/>
        <v>0</v>
      </c>
      <c r="BJ210" s="13">
        <f t="shared" si="613"/>
        <v>0</v>
      </c>
      <c r="BK210" s="13">
        <f t="shared" si="613"/>
        <v>-0.01</v>
      </c>
      <c r="BL210" s="13">
        <f t="shared" si="613"/>
        <v>0</v>
      </c>
      <c r="BM210" s="169">
        <f t="shared" si="613"/>
        <v>-0.01</v>
      </c>
      <c r="BN210" s="167">
        <f t="shared" si="613"/>
        <v>28481449</v>
      </c>
      <c r="BO210" s="16">
        <f t="shared" si="613"/>
        <v>21084890</v>
      </c>
      <c r="BP210" s="16">
        <f t="shared" si="613"/>
        <v>20639125</v>
      </c>
      <c r="BQ210" s="16">
        <f t="shared" si="613"/>
        <v>445765</v>
      </c>
      <c r="BR210" s="16">
        <f t="shared" si="613"/>
        <v>28288</v>
      </c>
      <c r="BS210" s="16">
        <f t="shared" si="613"/>
        <v>28288</v>
      </c>
      <c r="BT210" s="16">
        <f t="shared" si="613"/>
        <v>0</v>
      </c>
      <c r="BU210" s="16">
        <f t="shared" si="613"/>
        <v>7136254</v>
      </c>
      <c r="BV210" s="16">
        <f t="shared" ref="BV210:CF210" si="614">SUMIF($F$12:$F$464,"=3143",BV$12:BV$464)</f>
        <v>210849</v>
      </c>
      <c r="BW210" s="16">
        <f t="shared" si="614"/>
        <v>21168</v>
      </c>
      <c r="BX210" s="13">
        <f t="shared" si="614"/>
        <v>42.618399999999994</v>
      </c>
      <c r="BY210" s="13">
        <f t="shared" si="614"/>
        <v>40.926600000000001</v>
      </c>
      <c r="BZ210" s="169">
        <f t="shared" si="614"/>
        <v>1.6918</v>
      </c>
      <c r="CA210" s="167">
        <f t="shared" si="614"/>
        <v>0</v>
      </c>
      <c r="CB210" s="16">
        <f t="shared" si="614"/>
        <v>0</v>
      </c>
      <c r="CC210" s="16">
        <f t="shared" si="614"/>
        <v>0</v>
      </c>
      <c r="CD210" s="16">
        <f t="shared" si="614"/>
        <v>0</v>
      </c>
      <c r="CE210" s="16">
        <f t="shared" si="614"/>
        <v>0</v>
      </c>
      <c r="CF210" s="17">
        <f t="shared" si="614"/>
        <v>0</v>
      </c>
    </row>
    <row r="211" spans="1:84" s="89" customFormat="1" ht="12.95" customHeight="1" x14ac:dyDescent="0.25">
      <c r="A211" s="313"/>
      <c r="D211" s="313"/>
      <c r="E211" s="399"/>
      <c r="F211" s="313"/>
      <c r="G211" s="315"/>
      <c r="H211" s="2">
        <v>3231</v>
      </c>
      <c r="I211" s="167">
        <f t="shared" ref="I211:BU211" si="615">SUMIF($F$12:$F$464,"=3231",I$12:I$464)</f>
        <v>23937572</v>
      </c>
      <c r="J211" s="16">
        <f t="shared" si="615"/>
        <v>17737669</v>
      </c>
      <c r="K211" s="16">
        <f t="shared" si="615"/>
        <v>17087355</v>
      </c>
      <c r="L211" s="16">
        <f t="shared" si="615"/>
        <v>650314</v>
      </c>
      <c r="M211" s="16">
        <f t="shared" si="615"/>
        <v>0</v>
      </c>
      <c r="N211" s="16">
        <f t="shared" si="615"/>
        <v>0</v>
      </c>
      <c r="O211" s="16">
        <f t="shared" si="615"/>
        <v>0</v>
      </c>
      <c r="P211" s="16">
        <f t="shared" si="615"/>
        <v>5995332</v>
      </c>
      <c r="Q211" s="16">
        <f t="shared" si="615"/>
        <v>177377</v>
      </c>
      <c r="R211" s="16">
        <f t="shared" si="615"/>
        <v>27194</v>
      </c>
      <c r="S211" s="13">
        <f t="shared" si="615"/>
        <v>28.907799999999998</v>
      </c>
      <c r="T211" s="13">
        <f t="shared" si="615"/>
        <v>27.082999999999998</v>
      </c>
      <c r="U211" s="17">
        <f t="shared" si="615"/>
        <v>1.8248</v>
      </c>
      <c r="V211" s="168">
        <f t="shared" si="615"/>
        <v>0</v>
      </c>
      <c r="W211" s="16">
        <f t="shared" si="615"/>
        <v>0</v>
      </c>
      <c r="X211" s="16">
        <f t="shared" si="615"/>
        <v>0</v>
      </c>
      <c r="Y211" s="16">
        <f t="shared" si="615"/>
        <v>0</v>
      </c>
      <c r="Z211" s="16">
        <f t="shared" si="615"/>
        <v>0</v>
      </c>
      <c r="AA211" s="16">
        <f t="shared" si="615"/>
        <v>0</v>
      </c>
      <c r="AB211" s="16">
        <f t="shared" si="615"/>
        <v>0</v>
      </c>
      <c r="AC211" s="16">
        <f t="shared" si="615"/>
        <v>0</v>
      </c>
      <c r="AD211" s="16">
        <f t="shared" si="615"/>
        <v>0</v>
      </c>
      <c r="AE211" s="16">
        <f t="shared" si="615"/>
        <v>0</v>
      </c>
      <c r="AF211" s="16">
        <f t="shared" si="615"/>
        <v>0</v>
      </c>
      <c r="AG211" s="16">
        <f t="shared" si="615"/>
        <v>0</v>
      </c>
      <c r="AH211" s="16">
        <f t="shared" si="615"/>
        <v>0</v>
      </c>
      <c r="AI211" s="16">
        <f t="shared" si="615"/>
        <v>0</v>
      </c>
      <c r="AJ211" s="16">
        <f t="shared" si="615"/>
        <v>0</v>
      </c>
      <c r="AK211" s="16">
        <f t="shared" si="615"/>
        <v>0</v>
      </c>
      <c r="AL211" s="16">
        <f t="shared" si="615"/>
        <v>0</v>
      </c>
      <c r="AM211" s="16">
        <f t="shared" si="615"/>
        <v>0</v>
      </c>
      <c r="AN211" s="16">
        <f t="shared" si="615"/>
        <v>0</v>
      </c>
      <c r="AO211" s="16">
        <f t="shared" si="615"/>
        <v>0</v>
      </c>
      <c r="AP211" s="16">
        <f t="shared" si="615"/>
        <v>0</v>
      </c>
      <c r="AQ211" s="16">
        <f t="shared" si="615"/>
        <v>0</v>
      </c>
      <c r="AR211" s="16">
        <f t="shared" si="615"/>
        <v>0</v>
      </c>
      <c r="AS211" s="16">
        <f t="shared" si="615"/>
        <v>0</v>
      </c>
      <c r="AT211" s="16">
        <f t="shared" si="615"/>
        <v>0</v>
      </c>
      <c r="AU211" s="16">
        <f t="shared" si="615"/>
        <v>0</v>
      </c>
      <c r="AV211" s="16">
        <f t="shared" si="615"/>
        <v>0</v>
      </c>
      <c r="AW211" s="16">
        <f t="shared" si="615"/>
        <v>0</v>
      </c>
      <c r="AX211" s="16">
        <f t="shared" si="615"/>
        <v>0</v>
      </c>
      <c r="AY211" s="16">
        <f t="shared" si="615"/>
        <v>0</v>
      </c>
      <c r="AZ211" s="16">
        <f t="shared" si="615"/>
        <v>0</v>
      </c>
      <c r="BA211" s="13">
        <f t="shared" si="615"/>
        <v>0</v>
      </c>
      <c r="BB211" s="13">
        <f t="shared" si="615"/>
        <v>0</v>
      </c>
      <c r="BC211" s="13">
        <f t="shared" si="615"/>
        <v>0</v>
      </c>
      <c r="BD211" s="13">
        <f t="shared" si="615"/>
        <v>0</v>
      </c>
      <c r="BE211" s="13">
        <f t="shared" si="615"/>
        <v>0</v>
      </c>
      <c r="BF211" s="13">
        <f t="shared" si="615"/>
        <v>0</v>
      </c>
      <c r="BG211" s="13">
        <f t="shared" si="615"/>
        <v>0</v>
      </c>
      <c r="BH211" s="13">
        <f t="shared" si="615"/>
        <v>0</v>
      </c>
      <c r="BI211" s="13">
        <f t="shared" si="615"/>
        <v>0</v>
      </c>
      <c r="BJ211" s="13">
        <f t="shared" si="615"/>
        <v>0</v>
      </c>
      <c r="BK211" s="13">
        <f t="shared" si="615"/>
        <v>0</v>
      </c>
      <c r="BL211" s="13">
        <f t="shared" si="615"/>
        <v>0</v>
      </c>
      <c r="BM211" s="169">
        <f t="shared" si="615"/>
        <v>0</v>
      </c>
      <c r="BN211" s="167">
        <f t="shared" si="615"/>
        <v>23937572</v>
      </c>
      <c r="BO211" s="16">
        <f t="shared" si="615"/>
        <v>17737669</v>
      </c>
      <c r="BP211" s="16">
        <f t="shared" si="615"/>
        <v>17087355</v>
      </c>
      <c r="BQ211" s="16">
        <f t="shared" si="615"/>
        <v>650314</v>
      </c>
      <c r="BR211" s="16">
        <f t="shared" si="615"/>
        <v>0</v>
      </c>
      <c r="BS211" s="16">
        <f t="shared" si="615"/>
        <v>0</v>
      </c>
      <c r="BT211" s="16">
        <f t="shared" si="615"/>
        <v>0</v>
      </c>
      <c r="BU211" s="16">
        <f t="shared" si="615"/>
        <v>5995332</v>
      </c>
      <c r="BV211" s="16">
        <f t="shared" ref="BV211:CF211" si="616">SUMIF($F$12:$F$464,"=3231",BV$12:BV$464)</f>
        <v>177377</v>
      </c>
      <c r="BW211" s="16">
        <f t="shared" si="616"/>
        <v>27194</v>
      </c>
      <c r="BX211" s="13">
        <f t="shared" si="616"/>
        <v>28.907799999999998</v>
      </c>
      <c r="BY211" s="13">
        <f t="shared" si="616"/>
        <v>27.082999999999998</v>
      </c>
      <c r="BZ211" s="169">
        <f t="shared" si="616"/>
        <v>1.8248</v>
      </c>
      <c r="CA211" s="167">
        <f t="shared" si="616"/>
        <v>0</v>
      </c>
      <c r="CB211" s="16">
        <f t="shared" si="616"/>
        <v>0</v>
      </c>
      <c r="CC211" s="16">
        <f t="shared" si="616"/>
        <v>0</v>
      </c>
      <c r="CD211" s="16">
        <f t="shared" si="616"/>
        <v>0</v>
      </c>
      <c r="CE211" s="16">
        <f t="shared" si="616"/>
        <v>0</v>
      </c>
      <c r="CF211" s="17">
        <f t="shared" si="616"/>
        <v>0</v>
      </c>
    </row>
    <row r="212" spans="1:84" s="89" customFormat="1" ht="12.95" customHeight="1" thickBot="1" x14ac:dyDescent="0.3">
      <c r="A212" s="313"/>
      <c r="D212" s="313"/>
      <c r="E212" s="399"/>
      <c r="F212" s="313"/>
      <c r="G212" s="315"/>
      <c r="H212" s="151">
        <v>3233</v>
      </c>
      <c r="I212" s="170">
        <f t="shared" ref="I212:BU212" si="617">SUMIF($F$12:$F$464,"=3233",I$12:I$464)</f>
        <v>4585618</v>
      </c>
      <c r="J212" s="171">
        <f t="shared" si="617"/>
        <v>3398081</v>
      </c>
      <c r="K212" s="171">
        <f t="shared" si="617"/>
        <v>2719494</v>
      </c>
      <c r="L212" s="171">
        <f t="shared" si="617"/>
        <v>678587</v>
      </c>
      <c r="M212" s="171">
        <f t="shared" si="617"/>
        <v>0</v>
      </c>
      <c r="N212" s="171">
        <f t="shared" si="617"/>
        <v>0</v>
      </c>
      <c r="O212" s="171">
        <f t="shared" si="617"/>
        <v>0</v>
      </c>
      <c r="P212" s="171">
        <f t="shared" si="617"/>
        <v>1148551</v>
      </c>
      <c r="Q212" s="171">
        <f t="shared" si="617"/>
        <v>33981</v>
      </c>
      <c r="R212" s="171">
        <f t="shared" si="617"/>
        <v>5005</v>
      </c>
      <c r="S212" s="172">
        <f t="shared" si="617"/>
        <v>7.1</v>
      </c>
      <c r="T212" s="172">
        <f t="shared" si="617"/>
        <v>4.92</v>
      </c>
      <c r="U212" s="173">
        <f t="shared" si="617"/>
        <v>2.1800000000000002</v>
      </c>
      <c r="V212" s="174">
        <f t="shared" si="617"/>
        <v>0</v>
      </c>
      <c r="W212" s="171">
        <f t="shared" si="617"/>
        <v>0</v>
      </c>
      <c r="X212" s="171">
        <f t="shared" si="617"/>
        <v>0</v>
      </c>
      <c r="Y212" s="171">
        <f t="shared" si="617"/>
        <v>0</v>
      </c>
      <c r="Z212" s="171">
        <f t="shared" si="617"/>
        <v>0</v>
      </c>
      <c r="AA212" s="171">
        <f t="shared" si="617"/>
        <v>0</v>
      </c>
      <c r="AB212" s="171">
        <f t="shared" si="617"/>
        <v>0</v>
      </c>
      <c r="AC212" s="171">
        <f t="shared" si="617"/>
        <v>0</v>
      </c>
      <c r="AD212" s="171">
        <f t="shared" si="617"/>
        <v>0</v>
      </c>
      <c r="AE212" s="171">
        <f t="shared" si="617"/>
        <v>0</v>
      </c>
      <c r="AF212" s="171">
        <f t="shared" si="617"/>
        <v>0</v>
      </c>
      <c r="AG212" s="171">
        <f t="shared" si="617"/>
        <v>0</v>
      </c>
      <c r="AH212" s="171">
        <f t="shared" si="617"/>
        <v>0</v>
      </c>
      <c r="AI212" s="171">
        <f t="shared" si="617"/>
        <v>0</v>
      </c>
      <c r="AJ212" s="171">
        <f t="shared" si="617"/>
        <v>0</v>
      </c>
      <c r="AK212" s="171">
        <f t="shared" si="617"/>
        <v>0</v>
      </c>
      <c r="AL212" s="171">
        <f t="shared" si="617"/>
        <v>0</v>
      </c>
      <c r="AM212" s="171">
        <f t="shared" si="617"/>
        <v>0</v>
      </c>
      <c r="AN212" s="171">
        <f t="shared" si="617"/>
        <v>0</v>
      </c>
      <c r="AO212" s="171">
        <f t="shared" si="617"/>
        <v>0</v>
      </c>
      <c r="AP212" s="171">
        <f t="shared" si="617"/>
        <v>0</v>
      </c>
      <c r="AQ212" s="171">
        <f t="shared" si="617"/>
        <v>0</v>
      </c>
      <c r="AR212" s="171">
        <f t="shared" si="617"/>
        <v>0</v>
      </c>
      <c r="AS212" s="171">
        <f t="shared" si="617"/>
        <v>0</v>
      </c>
      <c r="AT212" s="171">
        <f t="shared" si="617"/>
        <v>0</v>
      </c>
      <c r="AU212" s="171">
        <f t="shared" si="617"/>
        <v>0</v>
      </c>
      <c r="AV212" s="171">
        <f t="shared" si="617"/>
        <v>0</v>
      </c>
      <c r="AW212" s="171">
        <f t="shared" si="617"/>
        <v>0</v>
      </c>
      <c r="AX212" s="171">
        <f t="shared" si="617"/>
        <v>0</v>
      </c>
      <c r="AY212" s="171">
        <f t="shared" si="617"/>
        <v>0</v>
      </c>
      <c r="AZ212" s="171">
        <f t="shared" si="617"/>
        <v>0</v>
      </c>
      <c r="BA212" s="172">
        <f t="shared" si="617"/>
        <v>0</v>
      </c>
      <c r="BB212" s="172">
        <f t="shared" si="617"/>
        <v>0</v>
      </c>
      <c r="BC212" s="172">
        <f t="shared" si="617"/>
        <v>0</v>
      </c>
      <c r="BD212" s="172">
        <f t="shared" si="617"/>
        <v>0</v>
      </c>
      <c r="BE212" s="172">
        <f t="shared" si="617"/>
        <v>0</v>
      </c>
      <c r="BF212" s="172">
        <f t="shared" si="617"/>
        <v>0</v>
      </c>
      <c r="BG212" s="172">
        <f t="shared" si="617"/>
        <v>0</v>
      </c>
      <c r="BH212" s="172">
        <f t="shared" si="617"/>
        <v>0</v>
      </c>
      <c r="BI212" s="172">
        <f t="shared" si="617"/>
        <v>0</v>
      </c>
      <c r="BJ212" s="172">
        <f t="shared" si="617"/>
        <v>0</v>
      </c>
      <c r="BK212" s="172">
        <f t="shared" si="617"/>
        <v>0</v>
      </c>
      <c r="BL212" s="172">
        <f t="shared" si="617"/>
        <v>0</v>
      </c>
      <c r="BM212" s="175">
        <f t="shared" si="617"/>
        <v>0</v>
      </c>
      <c r="BN212" s="170">
        <f t="shared" si="617"/>
        <v>4585618</v>
      </c>
      <c r="BO212" s="171">
        <f t="shared" si="617"/>
        <v>3398081</v>
      </c>
      <c r="BP212" s="171">
        <f t="shared" si="617"/>
        <v>2719494</v>
      </c>
      <c r="BQ212" s="171">
        <f t="shared" si="617"/>
        <v>678587</v>
      </c>
      <c r="BR212" s="171">
        <f t="shared" si="617"/>
        <v>0</v>
      </c>
      <c r="BS212" s="171">
        <f t="shared" si="617"/>
        <v>0</v>
      </c>
      <c r="BT212" s="171">
        <f t="shared" si="617"/>
        <v>0</v>
      </c>
      <c r="BU212" s="171">
        <f t="shared" si="617"/>
        <v>1148551</v>
      </c>
      <c r="BV212" s="171">
        <f t="shared" ref="BV212:CF212" si="618">SUMIF($F$12:$F$464,"=3233",BV$12:BV$464)</f>
        <v>33981</v>
      </c>
      <c r="BW212" s="171">
        <f t="shared" si="618"/>
        <v>5005</v>
      </c>
      <c r="BX212" s="172">
        <f t="shared" si="618"/>
        <v>7.1</v>
      </c>
      <c r="BY212" s="172">
        <f t="shared" si="618"/>
        <v>4.92</v>
      </c>
      <c r="BZ212" s="175">
        <f t="shared" si="618"/>
        <v>2.1800000000000002</v>
      </c>
      <c r="CA212" s="170">
        <f t="shared" si="618"/>
        <v>0</v>
      </c>
      <c r="CB212" s="171">
        <f t="shared" si="618"/>
        <v>0</v>
      </c>
      <c r="CC212" s="171">
        <f t="shared" si="618"/>
        <v>0</v>
      </c>
      <c r="CD212" s="171">
        <f t="shared" si="618"/>
        <v>0</v>
      </c>
      <c r="CE212" s="171">
        <f t="shared" si="618"/>
        <v>0</v>
      </c>
      <c r="CF212" s="173">
        <f t="shared" si="618"/>
        <v>0</v>
      </c>
    </row>
    <row r="213" spans="1:84" s="316" customFormat="1" ht="12.95" customHeight="1" x14ac:dyDescent="0.25">
      <c r="A213" s="397"/>
      <c r="B213" s="252"/>
      <c r="C213" s="252"/>
      <c r="D213" s="252"/>
      <c r="E213" s="252"/>
      <c r="F213" s="252"/>
      <c r="G213" s="252"/>
      <c r="H213" s="398"/>
      <c r="S213" s="317"/>
      <c r="T213" s="317"/>
      <c r="U213" s="317"/>
      <c r="AS213" s="317"/>
      <c r="AT213" s="317"/>
      <c r="AU213" s="317"/>
      <c r="BA213" s="317"/>
      <c r="BB213" s="317"/>
      <c r="BC213" s="317"/>
      <c r="BD213" s="317"/>
      <c r="BE213" s="317"/>
      <c r="BF213" s="317"/>
      <c r="BG213" s="317"/>
      <c r="BH213" s="317"/>
      <c r="BI213" s="317"/>
      <c r="BJ213" s="317"/>
      <c r="BK213" s="317"/>
      <c r="BL213" s="317"/>
      <c r="BM213" s="317"/>
      <c r="BN213" s="317"/>
      <c r="BO213" s="317"/>
      <c r="BP213" s="317"/>
      <c r="BQ213" s="317"/>
      <c r="BR213" s="317"/>
      <c r="BS213" s="317"/>
      <c r="BT213" s="317"/>
      <c r="BU213" s="317"/>
      <c r="BV213" s="317"/>
      <c r="BW213" s="317"/>
      <c r="BX213" s="317"/>
      <c r="BY213" s="317"/>
      <c r="BZ213" s="317"/>
      <c r="CF213" s="317"/>
    </row>
    <row r="214" spans="1:84" s="316" customFormat="1" ht="12.95" customHeight="1" x14ac:dyDescent="0.25">
      <c r="A214" s="397"/>
      <c r="B214" s="252"/>
      <c r="C214" s="252"/>
      <c r="D214" s="252"/>
      <c r="E214" s="252"/>
      <c r="F214" s="311"/>
      <c r="G214" s="252"/>
      <c r="H214" s="398"/>
      <c r="S214" s="317"/>
      <c r="T214" s="317"/>
      <c r="U214" s="317"/>
      <c r="AS214" s="317"/>
      <c r="AT214" s="317"/>
      <c r="AU214" s="317"/>
      <c r="BA214" s="317"/>
      <c r="BB214" s="317"/>
      <c r="BC214" s="317"/>
      <c r="BD214" s="317"/>
      <c r="BE214" s="317"/>
      <c r="BF214" s="317"/>
      <c r="BG214" s="317"/>
      <c r="BH214" s="317"/>
      <c r="BI214" s="317"/>
      <c r="BJ214" s="317"/>
      <c r="BK214" s="317"/>
      <c r="BL214" s="317"/>
      <c r="BM214" s="317"/>
      <c r="BN214" s="317"/>
      <c r="BO214" s="317"/>
      <c r="BP214" s="317"/>
      <c r="BQ214" s="317"/>
      <c r="BR214" s="317"/>
      <c r="BS214" s="317"/>
      <c r="BT214" s="317"/>
      <c r="BU214" s="317"/>
      <c r="BV214" s="317"/>
      <c r="BW214" s="317"/>
      <c r="BX214" s="317"/>
      <c r="BY214" s="317"/>
      <c r="BZ214" s="317"/>
      <c r="CF214" s="317"/>
    </row>
    <row r="215" spans="1:84" s="316" customFormat="1" ht="12.95" customHeight="1" x14ac:dyDescent="0.25">
      <c r="A215" s="397"/>
      <c r="B215" s="252"/>
      <c r="C215" s="252"/>
      <c r="D215" s="252"/>
      <c r="E215" s="252"/>
      <c r="F215" s="311"/>
      <c r="G215" s="252"/>
      <c r="H215" s="398"/>
      <c r="S215" s="317"/>
      <c r="T215" s="317"/>
      <c r="U215" s="317"/>
      <c r="AS215" s="317"/>
      <c r="AT215" s="317"/>
      <c r="AU215" s="317"/>
      <c r="BA215" s="317"/>
      <c r="BB215" s="317"/>
      <c r="BC215" s="317"/>
      <c r="BD215" s="317"/>
      <c r="BE215" s="317"/>
      <c r="BF215" s="317"/>
      <c r="BG215" s="317"/>
      <c r="BH215" s="317"/>
      <c r="BI215" s="317"/>
      <c r="BJ215" s="317"/>
      <c r="BK215" s="317"/>
      <c r="BL215" s="317"/>
      <c r="BM215" s="317"/>
      <c r="BN215" s="317"/>
      <c r="BO215" s="317"/>
      <c r="BP215" s="317"/>
      <c r="BQ215" s="317"/>
      <c r="BR215" s="317"/>
      <c r="BS215" s="317"/>
      <c r="BT215" s="317"/>
      <c r="BU215" s="317"/>
      <c r="BV215" s="317"/>
      <c r="BW215" s="317"/>
      <c r="BX215" s="317"/>
      <c r="BY215" s="317"/>
      <c r="BZ215" s="317"/>
      <c r="CF215" s="317"/>
    </row>
    <row r="216" spans="1:84" s="316" customFormat="1" ht="12.95" customHeight="1" x14ac:dyDescent="0.25">
      <c r="A216" s="397"/>
      <c r="B216" s="252"/>
      <c r="C216" s="252"/>
      <c r="D216" s="252"/>
      <c r="E216" s="252"/>
      <c r="F216" s="311"/>
      <c r="G216" s="252"/>
      <c r="H216" s="398"/>
      <c r="S216" s="317"/>
      <c r="T216" s="317"/>
      <c r="U216" s="317"/>
      <c r="AS216" s="317"/>
      <c r="AT216" s="317"/>
      <c r="AU216" s="317"/>
      <c r="BA216" s="317"/>
      <c r="BB216" s="317"/>
      <c r="BC216" s="317"/>
      <c r="BD216" s="317"/>
      <c r="BE216" s="317"/>
      <c r="BF216" s="317"/>
      <c r="BG216" s="317"/>
      <c r="BH216" s="317"/>
      <c r="BI216" s="317"/>
      <c r="BJ216" s="317"/>
      <c r="BK216" s="317"/>
      <c r="BL216" s="317"/>
      <c r="BM216" s="317"/>
      <c r="BN216" s="317"/>
      <c r="BO216" s="317"/>
      <c r="BP216" s="317"/>
      <c r="BQ216" s="317"/>
      <c r="BR216" s="317"/>
      <c r="BS216" s="317"/>
      <c r="BT216" s="317"/>
      <c r="BU216" s="317"/>
      <c r="BV216" s="317"/>
      <c r="BW216" s="317"/>
      <c r="BX216" s="317"/>
      <c r="BY216" s="317"/>
      <c r="BZ216" s="317"/>
      <c r="CF216" s="317"/>
    </row>
    <row r="217" spans="1:84" s="316" customFormat="1" ht="12.95" customHeight="1" x14ac:dyDescent="0.25">
      <c r="A217" s="397"/>
      <c r="B217" s="252"/>
      <c r="C217" s="252"/>
      <c r="D217" s="252"/>
      <c r="E217" s="252"/>
      <c r="F217" s="311"/>
      <c r="G217" s="252"/>
      <c r="H217" s="398"/>
      <c r="S217" s="317"/>
      <c r="T217" s="317"/>
      <c r="U217" s="317"/>
      <c r="AT217" s="317"/>
      <c r="AU217" s="317"/>
      <c r="BA217" s="317"/>
      <c r="BB217" s="317"/>
      <c r="BC217" s="317"/>
      <c r="BD217" s="317"/>
      <c r="BE217" s="317"/>
      <c r="BF217" s="317"/>
      <c r="BG217" s="317"/>
      <c r="BH217" s="317"/>
      <c r="BI217" s="317"/>
      <c r="BJ217" s="317"/>
      <c r="BK217" s="317"/>
      <c r="BL217" s="317"/>
      <c r="BM217" s="317"/>
      <c r="BN217" s="317"/>
      <c r="BO217" s="317"/>
      <c r="BP217" s="317"/>
      <c r="BQ217" s="317"/>
      <c r="BR217" s="317"/>
      <c r="BS217" s="317"/>
      <c r="BT217" s="317"/>
      <c r="BU217" s="317"/>
      <c r="BV217" s="317"/>
      <c r="BW217" s="317"/>
      <c r="BX217" s="317"/>
      <c r="BY217" s="317"/>
      <c r="BZ217" s="317"/>
      <c r="CF217" s="317"/>
    </row>
    <row r="218" spans="1:84" s="316" customFormat="1" ht="12.95" customHeight="1" x14ac:dyDescent="0.25">
      <c r="A218" s="397"/>
      <c r="B218" s="252"/>
      <c r="C218" s="252"/>
      <c r="D218" s="252"/>
      <c r="E218" s="252"/>
      <c r="F218" s="311"/>
      <c r="G218" s="252"/>
      <c r="H218" s="398"/>
      <c r="S218" s="317"/>
      <c r="T218" s="317"/>
      <c r="U218" s="317"/>
      <c r="AS218" s="317"/>
      <c r="AT218" s="317"/>
      <c r="AU218" s="317"/>
      <c r="BA218" s="317"/>
      <c r="BB218" s="317"/>
      <c r="BC218" s="317"/>
      <c r="BD218" s="317"/>
      <c r="BE218" s="317"/>
      <c r="BF218" s="317"/>
      <c r="BG218" s="317"/>
      <c r="BH218" s="317"/>
      <c r="BI218" s="317"/>
      <c r="BJ218" s="317"/>
      <c r="BK218" s="317"/>
      <c r="BL218" s="317"/>
      <c r="BM218" s="317"/>
      <c r="BN218" s="317"/>
      <c r="BO218" s="317"/>
      <c r="BP218" s="317"/>
      <c r="BQ218" s="317"/>
      <c r="BR218" s="317"/>
      <c r="BS218" s="317"/>
      <c r="BT218" s="317"/>
      <c r="BU218" s="317"/>
      <c r="BV218" s="317"/>
      <c r="BW218" s="317"/>
      <c r="BX218" s="317"/>
      <c r="BY218" s="317"/>
      <c r="BZ218" s="317"/>
      <c r="CF218" s="317"/>
    </row>
    <row r="219" spans="1:84" s="316" customFormat="1" ht="12.95" customHeight="1" x14ac:dyDescent="0.25">
      <c r="A219" s="397"/>
      <c r="B219" s="252"/>
      <c r="C219" s="252"/>
      <c r="D219" s="252"/>
      <c r="E219" s="252"/>
      <c r="F219" s="311"/>
      <c r="G219" s="252"/>
      <c r="H219" s="398"/>
      <c r="S219" s="317"/>
      <c r="T219" s="317"/>
      <c r="U219" s="317"/>
      <c r="AS219" s="317"/>
      <c r="AT219" s="317"/>
      <c r="AU219" s="317"/>
      <c r="BA219" s="317"/>
      <c r="BB219" s="317"/>
      <c r="BC219" s="317"/>
      <c r="BD219" s="317"/>
      <c r="BE219" s="317"/>
      <c r="BF219" s="317"/>
      <c r="BG219" s="317"/>
      <c r="BH219" s="317"/>
      <c r="BI219" s="317"/>
      <c r="BJ219" s="317"/>
      <c r="BK219" s="317"/>
      <c r="BL219" s="317"/>
      <c r="BM219" s="317"/>
      <c r="BN219" s="317"/>
      <c r="BO219" s="317"/>
      <c r="BP219" s="317"/>
      <c r="BQ219" s="317"/>
      <c r="BR219" s="317"/>
      <c r="BS219" s="317"/>
      <c r="BT219" s="317"/>
      <c r="BU219" s="317"/>
      <c r="BV219" s="317"/>
      <c r="BW219" s="317"/>
      <c r="BX219" s="317"/>
      <c r="BY219" s="317"/>
      <c r="BZ219" s="317"/>
      <c r="CF219" s="317"/>
    </row>
  </sheetData>
  <mergeCells count="59">
    <mergeCell ref="AB11:AC11"/>
    <mergeCell ref="BD8:BE10"/>
    <mergeCell ref="BD11:BE11"/>
    <mergeCell ref="CA6:CF7"/>
    <mergeCell ref="CA8:CF9"/>
    <mergeCell ref="BN6:BZ7"/>
    <mergeCell ref="V7:AH8"/>
    <mergeCell ref="AI7:AQ8"/>
    <mergeCell ref="AR7:AT9"/>
    <mergeCell ref="AU7:AU10"/>
    <mergeCell ref="AV7:AV10"/>
    <mergeCell ref="AW7:AY9"/>
    <mergeCell ref="AZ7:AZ10"/>
    <mergeCell ref="V9:W9"/>
    <mergeCell ref="X9:X10"/>
    <mergeCell ref="Y9:Z9"/>
    <mergeCell ref="BP9:BQ9"/>
    <mergeCell ref="BR9:BR10"/>
    <mergeCell ref="BA8:BB9"/>
    <mergeCell ref="BO8:BW8"/>
    <mergeCell ref="BW9:BW10"/>
    <mergeCell ref="BF8:BG8"/>
    <mergeCell ref="BH8:BH9"/>
    <mergeCell ref="BI8:BJ9"/>
    <mergeCell ref="BK8:BM9"/>
    <mergeCell ref="BS9:BT9"/>
    <mergeCell ref="BC8:BC9"/>
    <mergeCell ref="BO9:BO10"/>
    <mergeCell ref="BY8:BZ9"/>
    <mergeCell ref="BU9:BU10"/>
    <mergeCell ref="BV9:BV10"/>
    <mergeCell ref="BN8:BN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BX8:BX10"/>
    <mergeCell ref="AF9:AG9"/>
    <mergeCell ref="A3:E3"/>
    <mergeCell ref="I8:I10"/>
    <mergeCell ref="I6:U7"/>
    <mergeCell ref="AQ9:AQ10"/>
    <mergeCell ref="AO9:AP9"/>
    <mergeCell ref="V6:BM6"/>
    <mergeCell ref="AH9:AH10"/>
    <mergeCell ref="AI9:AJ9"/>
    <mergeCell ref="AL9:AL10"/>
    <mergeCell ref="AM9:AN9"/>
    <mergeCell ref="AB9:AC10"/>
    <mergeCell ref="AK9:AK10"/>
    <mergeCell ref="AA9:AA10"/>
    <mergeCell ref="AD9:AE9"/>
    <mergeCell ref="BA7:BM7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CA39"/>
  <sheetViews>
    <sheetView tabSelected="1" workbookViewId="0">
      <selection activeCell="L4" sqref="L4"/>
    </sheetView>
  </sheetViews>
  <sheetFormatPr defaultRowHeight="12.75" x14ac:dyDescent="0.2"/>
  <cols>
    <col min="1" max="1" width="7.85546875" style="21" customWidth="1"/>
    <col min="2" max="5" width="10.85546875" style="8" customWidth="1"/>
    <col min="6" max="8" width="10.85546875" style="8" hidden="1" customWidth="1"/>
    <col min="9" max="11" width="10.85546875" style="8" customWidth="1"/>
    <col min="12" max="12" width="11.28515625" style="7" customWidth="1"/>
    <col min="13" max="14" width="10" style="7" customWidth="1"/>
    <col min="17" max="17" width="9.42578125" customWidth="1"/>
    <col min="18" max="19" width="10.28515625" customWidth="1"/>
    <col min="21" max="21" width="10.28515625" customWidth="1"/>
    <col min="22" max="22" width="9.85546875" hidden="1" customWidth="1"/>
    <col min="25" max="25" width="11.28515625" bestFit="1" customWidth="1"/>
    <col min="27" max="27" width="9.5703125" customWidth="1"/>
    <col min="30" max="30" width="9.7109375" customWidth="1"/>
    <col min="37" max="37" width="9.28515625" customWidth="1"/>
    <col min="39" max="39" width="9.28515625" customWidth="1"/>
    <col min="40" max="40" width="11.42578125" customWidth="1"/>
    <col min="45" max="45" width="9.28515625" customWidth="1"/>
    <col min="46" max="48" width="9.140625" style="7"/>
    <col min="49" max="49" width="9.42578125" style="7" customWidth="1"/>
    <col min="50" max="50" width="0.85546875" style="7" hidden="1" customWidth="1"/>
    <col min="51" max="58" width="9.140625" style="7"/>
    <col min="59" max="68" width="10.85546875" customWidth="1"/>
    <col min="69" max="71" width="10.85546875" style="7" customWidth="1"/>
    <col min="77" max="77" width="9.140625" style="7"/>
    <col min="159" max="159" width="7.42578125" customWidth="1"/>
    <col min="160" max="161" width="10.85546875" bestFit="1" customWidth="1"/>
    <col min="162" max="163" width="10.85546875" customWidth="1"/>
    <col min="164" max="168" width="10" customWidth="1"/>
    <col min="172" max="173" width="10.85546875" bestFit="1" customWidth="1"/>
    <col min="174" max="174" width="10" bestFit="1" customWidth="1"/>
    <col min="175" max="176" width="9.28515625" bestFit="1" customWidth="1"/>
    <col min="415" max="415" width="7.42578125" customWidth="1"/>
    <col min="416" max="417" width="10.85546875" bestFit="1" customWidth="1"/>
    <col min="418" max="419" width="10.85546875" customWidth="1"/>
    <col min="420" max="424" width="10" customWidth="1"/>
    <col min="428" max="429" width="10.85546875" bestFit="1" customWidth="1"/>
    <col min="430" max="430" width="10" bestFit="1" customWidth="1"/>
    <col min="431" max="432" width="9.28515625" bestFit="1" customWidth="1"/>
    <col min="671" max="671" width="7.42578125" customWidth="1"/>
    <col min="672" max="673" width="10.85546875" bestFit="1" customWidth="1"/>
    <col min="674" max="675" width="10.85546875" customWidth="1"/>
    <col min="676" max="680" width="10" customWidth="1"/>
    <col min="684" max="685" width="10.85546875" bestFit="1" customWidth="1"/>
    <col min="686" max="686" width="10" bestFit="1" customWidth="1"/>
    <col min="687" max="688" width="9.28515625" bestFit="1" customWidth="1"/>
    <col min="927" max="927" width="7.42578125" customWidth="1"/>
    <col min="928" max="929" width="10.85546875" bestFit="1" customWidth="1"/>
    <col min="930" max="931" width="10.85546875" customWidth="1"/>
    <col min="932" max="936" width="10" customWidth="1"/>
    <col min="940" max="941" width="10.85546875" bestFit="1" customWidth="1"/>
    <col min="942" max="942" width="10" bestFit="1" customWidth="1"/>
    <col min="943" max="944" width="9.28515625" bestFit="1" customWidth="1"/>
    <col min="1183" max="1183" width="7.42578125" customWidth="1"/>
    <col min="1184" max="1185" width="10.85546875" bestFit="1" customWidth="1"/>
    <col min="1186" max="1187" width="10.85546875" customWidth="1"/>
    <col min="1188" max="1192" width="10" customWidth="1"/>
    <col min="1196" max="1197" width="10.85546875" bestFit="1" customWidth="1"/>
    <col min="1198" max="1198" width="10" bestFit="1" customWidth="1"/>
    <col min="1199" max="1200" width="9.28515625" bestFit="1" customWidth="1"/>
    <col min="1439" max="1439" width="7.42578125" customWidth="1"/>
    <col min="1440" max="1441" width="10.85546875" bestFit="1" customWidth="1"/>
    <col min="1442" max="1443" width="10.85546875" customWidth="1"/>
    <col min="1444" max="1448" width="10" customWidth="1"/>
    <col min="1452" max="1453" width="10.85546875" bestFit="1" customWidth="1"/>
    <col min="1454" max="1454" width="10" bestFit="1" customWidth="1"/>
    <col min="1455" max="1456" width="9.28515625" bestFit="1" customWidth="1"/>
    <col min="1695" max="1695" width="7.42578125" customWidth="1"/>
    <col min="1696" max="1697" width="10.85546875" bestFit="1" customWidth="1"/>
    <col min="1698" max="1699" width="10.85546875" customWidth="1"/>
    <col min="1700" max="1704" width="10" customWidth="1"/>
    <col min="1708" max="1709" width="10.85546875" bestFit="1" customWidth="1"/>
    <col min="1710" max="1710" width="10" bestFit="1" customWidth="1"/>
    <col min="1711" max="1712" width="9.28515625" bestFit="1" customWidth="1"/>
    <col min="1951" max="1951" width="7.42578125" customWidth="1"/>
    <col min="1952" max="1953" width="10.85546875" bestFit="1" customWidth="1"/>
    <col min="1954" max="1955" width="10.85546875" customWidth="1"/>
    <col min="1956" max="1960" width="10" customWidth="1"/>
    <col min="1964" max="1965" width="10.85546875" bestFit="1" customWidth="1"/>
    <col min="1966" max="1966" width="10" bestFit="1" customWidth="1"/>
    <col min="1967" max="1968" width="9.28515625" bestFit="1" customWidth="1"/>
    <col min="2207" max="2207" width="7.42578125" customWidth="1"/>
    <col min="2208" max="2209" width="10.85546875" bestFit="1" customWidth="1"/>
    <col min="2210" max="2211" width="10.85546875" customWidth="1"/>
    <col min="2212" max="2216" width="10" customWidth="1"/>
    <col min="2220" max="2221" width="10.85546875" bestFit="1" customWidth="1"/>
    <col min="2222" max="2222" width="10" bestFit="1" customWidth="1"/>
    <col min="2223" max="2224" width="9.28515625" bestFit="1" customWidth="1"/>
    <col min="2463" max="2463" width="7.42578125" customWidth="1"/>
    <col min="2464" max="2465" width="10.85546875" bestFit="1" customWidth="1"/>
    <col min="2466" max="2467" width="10.85546875" customWidth="1"/>
    <col min="2468" max="2472" width="10" customWidth="1"/>
    <col min="2476" max="2477" width="10.85546875" bestFit="1" customWidth="1"/>
    <col min="2478" max="2478" width="10" bestFit="1" customWidth="1"/>
    <col min="2479" max="2480" width="9.28515625" bestFit="1" customWidth="1"/>
    <col min="2719" max="2719" width="7.42578125" customWidth="1"/>
    <col min="2720" max="2721" width="10.85546875" bestFit="1" customWidth="1"/>
    <col min="2722" max="2723" width="10.85546875" customWidth="1"/>
    <col min="2724" max="2728" width="10" customWidth="1"/>
    <col min="2732" max="2733" width="10.85546875" bestFit="1" customWidth="1"/>
    <col min="2734" max="2734" width="10" bestFit="1" customWidth="1"/>
    <col min="2735" max="2736" width="9.28515625" bestFit="1" customWidth="1"/>
    <col min="2975" max="2975" width="7.42578125" customWidth="1"/>
    <col min="2976" max="2977" width="10.85546875" bestFit="1" customWidth="1"/>
    <col min="2978" max="2979" width="10.85546875" customWidth="1"/>
    <col min="2980" max="2984" width="10" customWidth="1"/>
    <col min="2988" max="2989" width="10.85546875" bestFit="1" customWidth="1"/>
    <col min="2990" max="2990" width="10" bestFit="1" customWidth="1"/>
    <col min="2991" max="2992" width="9.28515625" bestFit="1" customWidth="1"/>
    <col min="3231" max="3231" width="7.42578125" customWidth="1"/>
    <col min="3232" max="3233" width="10.85546875" bestFit="1" customWidth="1"/>
    <col min="3234" max="3235" width="10.85546875" customWidth="1"/>
    <col min="3236" max="3240" width="10" customWidth="1"/>
    <col min="3244" max="3245" width="10.85546875" bestFit="1" customWidth="1"/>
    <col min="3246" max="3246" width="10" bestFit="1" customWidth="1"/>
    <col min="3247" max="3248" width="9.28515625" bestFit="1" customWidth="1"/>
    <col min="3487" max="3487" width="7.42578125" customWidth="1"/>
    <col min="3488" max="3489" width="10.85546875" bestFit="1" customWidth="1"/>
    <col min="3490" max="3491" width="10.85546875" customWidth="1"/>
    <col min="3492" max="3496" width="10" customWidth="1"/>
    <col min="3500" max="3501" width="10.85546875" bestFit="1" customWidth="1"/>
    <col min="3502" max="3502" width="10" bestFit="1" customWidth="1"/>
    <col min="3503" max="3504" width="9.28515625" bestFit="1" customWidth="1"/>
    <col min="3743" max="3743" width="7.42578125" customWidth="1"/>
    <col min="3744" max="3745" width="10.85546875" bestFit="1" customWidth="1"/>
    <col min="3746" max="3747" width="10.85546875" customWidth="1"/>
    <col min="3748" max="3752" width="10" customWidth="1"/>
    <col min="3756" max="3757" width="10.85546875" bestFit="1" customWidth="1"/>
    <col min="3758" max="3758" width="10" bestFit="1" customWidth="1"/>
    <col min="3759" max="3760" width="9.28515625" bestFit="1" customWidth="1"/>
    <col min="3999" max="3999" width="7.42578125" customWidth="1"/>
    <col min="4000" max="4001" width="10.85546875" bestFit="1" customWidth="1"/>
    <col min="4002" max="4003" width="10.85546875" customWidth="1"/>
    <col min="4004" max="4008" width="10" customWidth="1"/>
    <col min="4012" max="4013" width="10.85546875" bestFit="1" customWidth="1"/>
    <col min="4014" max="4014" width="10" bestFit="1" customWidth="1"/>
    <col min="4015" max="4016" width="9.28515625" bestFit="1" customWidth="1"/>
    <col min="4255" max="4255" width="7.42578125" customWidth="1"/>
    <col min="4256" max="4257" width="10.85546875" bestFit="1" customWidth="1"/>
    <col min="4258" max="4259" width="10.85546875" customWidth="1"/>
    <col min="4260" max="4264" width="10" customWidth="1"/>
    <col min="4268" max="4269" width="10.85546875" bestFit="1" customWidth="1"/>
    <col min="4270" max="4270" width="10" bestFit="1" customWidth="1"/>
    <col min="4271" max="4272" width="9.28515625" bestFit="1" customWidth="1"/>
    <col min="4511" max="4511" width="7.42578125" customWidth="1"/>
    <col min="4512" max="4513" width="10.85546875" bestFit="1" customWidth="1"/>
    <col min="4514" max="4515" width="10.85546875" customWidth="1"/>
    <col min="4516" max="4520" width="10" customWidth="1"/>
    <col min="4524" max="4525" width="10.85546875" bestFit="1" customWidth="1"/>
    <col min="4526" max="4526" width="10" bestFit="1" customWidth="1"/>
    <col min="4527" max="4528" width="9.28515625" bestFit="1" customWidth="1"/>
    <col min="4767" max="4767" width="7.42578125" customWidth="1"/>
    <col min="4768" max="4769" width="10.85546875" bestFit="1" customWidth="1"/>
    <col min="4770" max="4771" width="10.85546875" customWidth="1"/>
    <col min="4772" max="4776" width="10" customWidth="1"/>
    <col min="4780" max="4781" width="10.85546875" bestFit="1" customWidth="1"/>
    <col min="4782" max="4782" width="10" bestFit="1" customWidth="1"/>
    <col min="4783" max="4784" width="9.28515625" bestFit="1" customWidth="1"/>
    <col min="5023" max="5023" width="7.42578125" customWidth="1"/>
    <col min="5024" max="5025" width="10.85546875" bestFit="1" customWidth="1"/>
    <col min="5026" max="5027" width="10.85546875" customWidth="1"/>
    <col min="5028" max="5032" width="10" customWidth="1"/>
    <col min="5036" max="5037" width="10.85546875" bestFit="1" customWidth="1"/>
    <col min="5038" max="5038" width="10" bestFit="1" customWidth="1"/>
    <col min="5039" max="5040" width="9.28515625" bestFit="1" customWidth="1"/>
    <col min="5279" max="5279" width="7.42578125" customWidth="1"/>
    <col min="5280" max="5281" width="10.85546875" bestFit="1" customWidth="1"/>
    <col min="5282" max="5283" width="10.85546875" customWidth="1"/>
    <col min="5284" max="5288" width="10" customWidth="1"/>
    <col min="5292" max="5293" width="10.85546875" bestFit="1" customWidth="1"/>
    <col min="5294" max="5294" width="10" bestFit="1" customWidth="1"/>
    <col min="5295" max="5296" width="9.28515625" bestFit="1" customWidth="1"/>
    <col min="5535" max="5535" width="7.42578125" customWidth="1"/>
    <col min="5536" max="5537" width="10.85546875" bestFit="1" customWidth="1"/>
    <col min="5538" max="5539" width="10.85546875" customWidth="1"/>
    <col min="5540" max="5544" width="10" customWidth="1"/>
    <col min="5548" max="5549" width="10.85546875" bestFit="1" customWidth="1"/>
    <col min="5550" max="5550" width="10" bestFit="1" customWidth="1"/>
    <col min="5551" max="5552" width="9.28515625" bestFit="1" customWidth="1"/>
    <col min="5791" max="5791" width="7.42578125" customWidth="1"/>
    <col min="5792" max="5793" width="10.85546875" bestFit="1" customWidth="1"/>
    <col min="5794" max="5795" width="10.85546875" customWidth="1"/>
    <col min="5796" max="5800" width="10" customWidth="1"/>
    <col min="5804" max="5805" width="10.85546875" bestFit="1" customWidth="1"/>
    <col min="5806" max="5806" width="10" bestFit="1" customWidth="1"/>
    <col min="5807" max="5808" width="9.28515625" bestFit="1" customWidth="1"/>
    <col min="6047" max="6047" width="7.42578125" customWidth="1"/>
    <col min="6048" max="6049" width="10.85546875" bestFit="1" customWidth="1"/>
    <col min="6050" max="6051" width="10.85546875" customWidth="1"/>
    <col min="6052" max="6056" width="10" customWidth="1"/>
    <col min="6060" max="6061" width="10.85546875" bestFit="1" customWidth="1"/>
    <col min="6062" max="6062" width="10" bestFit="1" customWidth="1"/>
    <col min="6063" max="6064" width="9.28515625" bestFit="1" customWidth="1"/>
    <col min="6303" max="6303" width="7.42578125" customWidth="1"/>
    <col min="6304" max="6305" width="10.85546875" bestFit="1" customWidth="1"/>
    <col min="6306" max="6307" width="10.85546875" customWidth="1"/>
    <col min="6308" max="6312" width="10" customWidth="1"/>
    <col min="6316" max="6317" width="10.85546875" bestFit="1" customWidth="1"/>
    <col min="6318" max="6318" width="10" bestFit="1" customWidth="1"/>
    <col min="6319" max="6320" width="9.28515625" bestFit="1" customWidth="1"/>
    <col min="6559" max="6559" width="7.42578125" customWidth="1"/>
    <col min="6560" max="6561" width="10.85546875" bestFit="1" customWidth="1"/>
    <col min="6562" max="6563" width="10.85546875" customWidth="1"/>
    <col min="6564" max="6568" width="10" customWidth="1"/>
    <col min="6572" max="6573" width="10.85546875" bestFit="1" customWidth="1"/>
    <col min="6574" max="6574" width="10" bestFit="1" customWidth="1"/>
    <col min="6575" max="6576" width="9.28515625" bestFit="1" customWidth="1"/>
    <col min="6815" max="6815" width="7.42578125" customWidth="1"/>
    <col min="6816" max="6817" width="10.85546875" bestFit="1" customWidth="1"/>
    <col min="6818" max="6819" width="10.85546875" customWidth="1"/>
    <col min="6820" max="6824" width="10" customWidth="1"/>
    <col min="6828" max="6829" width="10.85546875" bestFit="1" customWidth="1"/>
    <col min="6830" max="6830" width="10" bestFit="1" customWidth="1"/>
    <col min="6831" max="6832" width="9.28515625" bestFit="1" customWidth="1"/>
    <col min="7071" max="7071" width="7.42578125" customWidth="1"/>
    <col min="7072" max="7073" width="10.85546875" bestFit="1" customWidth="1"/>
    <col min="7074" max="7075" width="10.85546875" customWidth="1"/>
    <col min="7076" max="7080" width="10" customWidth="1"/>
    <col min="7084" max="7085" width="10.85546875" bestFit="1" customWidth="1"/>
    <col min="7086" max="7086" width="10" bestFit="1" customWidth="1"/>
    <col min="7087" max="7088" width="9.28515625" bestFit="1" customWidth="1"/>
    <col min="7327" max="7327" width="7.42578125" customWidth="1"/>
    <col min="7328" max="7329" width="10.85546875" bestFit="1" customWidth="1"/>
    <col min="7330" max="7331" width="10.85546875" customWidth="1"/>
    <col min="7332" max="7336" width="10" customWidth="1"/>
    <col min="7340" max="7341" width="10.85546875" bestFit="1" customWidth="1"/>
    <col min="7342" max="7342" width="10" bestFit="1" customWidth="1"/>
    <col min="7343" max="7344" width="9.28515625" bestFit="1" customWidth="1"/>
    <col min="7583" max="7583" width="7.42578125" customWidth="1"/>
    <col min="7584" max="7585" width="10.85546875" bestFit="1" customWidth="1"/>
    <col min="7586" max="7587" width="10.85546875" customWidth="1"/>
    <col min="7588" max="7592" width="10" customWidth="1"/>
    <col min="7596" max="7597" width="10.85546875" bestFit="1" customWidth="1"/>
    <col min="7598" max="7598" width="10" bestFit="1" customWidth="1"/>
    <col min="7599" max="7600" width="9.28515625" bestFit="1" customWidth="1"/>
    <col min="7839" max="7839" width="7.42578125" customWidth="1"/>
    <col min="7840" max="7841" width="10.85546875" bestFit="1" customWidth="1"/>
    <col min="7842" max="7843" width="10.85546875" customWidth="1"/>
    <col min="7844" max="7848" width="10" customWidth="1"/>
    <col min="7852" max="7853" width="10.85546875" bestFit="1" customWidth="1"/>
    <col min="7854" max="7854" width="10" bestFit="1" customWidth="1"/>
    <col min="7855" max="7856" width="9.28515625" bestFit="1" customWidth="1"/>
    <col min="8095" max="8095" width="7.42578125" customWidth="1"/>
    <col min="8096" max="8097" width="10.85546875" bestFit="1" customWidth="1"/>
    <col min="8098" max="8099" width="10.85546875" customWidth="1"/>
    <col min="8100" max="8104" width="10" customWidth="1"/>
    <col min="8108" max="8109" width="10.85546875" bestFit="1" customWidth="1"/>
    <col min="8110" max="8110" width="10" bestFit="1" customWidth="1"/>
    <col min="8111" max="8112" width="9.28515625" bestFit="1" customWidth="1"/>
    <col min="8351" max="8351" width="7.42578125" customWidth="1"/>
    <col min="8352" max="8353" width="10.85546875" bestFit="1" customWidth="1"/>
    <col min="8354" max="8355" width="10.85546875" customWidth="1"/>
    <col min="8356" max="8360" width="10" customWidth="1"/>
    <col min="8364" max="8365" width="10.85546875" bestFit="1" customWidth="1"/>
    <col min="8366" max="8366" width="10" bestFit="1" customWidth="1"/>
    <col min="8367" max="8368" width="9.28515625" bestFit="1" customWidth="1"/>
    <col min="8607" max="8607" width="7.42578125" customWidth="1"/>
    <col min="8608" max="8609" width="10.85546875" bestFit="1" customWidth="1"/>
    <col min="8610" max="8611" width="10.85546875" customWidth="1"/>
    <col min="8612" max="8616" width="10" customWidth="1"/>
    <col min="8620" max="8621" width="10.85546875" bestFit="1" customWidth="1"/>
    <col min="8622" max="8622" width="10" bestFit="1" customWidth="1"/>
    <col min="8623" max="8624" width="9.28515625" bestFit="1" customWidth="1"/>
    <col min="8863" max="8863" width="7.42578125" customWidth="1"/>
    <col min="8864" max="8865" width="10.85546875" bestFit="1" customWidth="1"/>
    <col min="8866" max="8867" width="10.85546875" customWidth="1"/>
    <col min="8868" max="8872" width="10" customWidth="1"/>
    <col min="8876" max="8877" width="10.85546875" bestFit="1" customWidth="1"/>
    <col min="8878" max="8878" width="10" bestFit="1" customWidth="1"/>
    <col min="8879" max="8880" width="9.28515625" bestFit="1" customWidth="1"/>
    <col min="9119" max="9119" width="7.42578125" customWidth="1"/>
    <col min="9120" max="9121" width="10.85546875" bestFit="1" customWidth="1"/>
    <col min="9122" max="9123" width="10.85546875" customWidth="1"/>
    <col min="9124" max="9128" width="10" customWidth="1"/>
    <col min="9132" max="9133" width="10.85546875" bestFit="1" customWidth="1"/>
    <col min="9134" max="9134" width="10" bestFit="1" customWidth="1"/>
    <col min="9135" max="9136" width="9.28515625" bestFit="1" customWidth="1"/>
    <col min="9375" max="9375" width="7.42578125" customWidth="1"/>
    <col min="9376" max="9377" width="10.85546875" bestFit="1" customWidth="1"/>
    <col min="9378" max="9379" width="10.85546875" customWidth="1"/>
    <col min="9380" max="9384" width="10" customWidth="1"/>
    <col min="9388" max="9389" width="10.85546875" bestFit="1" customWidth="1"/>
    <col min="9390" max="9390" width="10" bestFit="1" customWidth="1"/>
    <col min="9391" max="9392" width="9.28515625" bestFit="1" customWidth="1"/>
    <col min="9631" max="9631" width="7.42578125" customWidth="1"/>
    <col min="9632" max="9633" width="10.85546875" bestFit="1" customWidth="1"/>
    <col min="9634" max="9635" width="10.85546875" customWidth="1"/>
    <col min="9636" max="9640" width="10" customWidth="1"/>
    <col min="9644" max="9645" width="10.85546875" bestFit="1" customWidth="1"/>
    <col min="9646" max="9646" width="10" bestFit="1" customWidth="1"/>
    <col min="9647" max="9648" width="9.28515625" bestFit="1" customWidth="1"/>
    <col min="9887" max="9887" width="7.42578125" customWidth="1"/>
    <col min="9888" max="9889" width="10.85546875" bestFit="1" customWidth="1"/>
    <col min="9890" max="9891" width="10.85546875" customWidth="1"/>
    <col min="9892" max="9896" width="10" customWidth="1"/>
    <col min="9900" max="9901" width="10.85546875" bestFit="1" customWidth="1"/>
    <col min="9902" max="9902" width="10" bestFit="1" customWidth="1"/>
    <col min="9903" max="9904" width="9.28515625" bestFit="1" customWidth="1"/>
    <col min="10143" max="10143" width="7.42578125" customWidth="1"/>
    <col min="10144" max="10145" width="10.85546875" bestFit="1" customWidth="1"/>
    <col min="10146" max="10147" width="10.85546875" customWidth="1"/>
    <col min="10148" max="10152" width="10" customWidth="1"/>
    <col min="10156" max="10157" width="10.85546875" bestFit="1" customWidth="1"/>
    <col min="10158" max="10158" width="10" bestFit="1" customWidth="1"/>
    <col min="10159" max="10160" width="9.28515625" bestFit="1" customWidth="1"/>
    <col min="10399" max="10399" width="7.42578125" customWidth="1"/>
    <col min="10400" max="10401" width="10.85546875" bestFit="1" customWidth="1"/>
    <col min="10402" max="10403" width="10.85546875" customWidth="1"/>
    <col min="10404" max="10408" width="10" customWidth="1"/>
    <col min="10412" max="10413" width="10.85546875" bestFit="1" customWidth="1"/>
    <col min="10414" max="10414" width="10" bestFit="1" customWidth="1"/>
    <col min="10415" max="10416" width="9.28515625" bestFit="1" customWidth="1"/>
    <col min="10655" max="10655" width="7.42578125" customWidth="1"/>
    <col min="10656" max="10657" width="10.85546875" bestFit="1" customWidth="1"/>
    <col min="10658" max="10659" width="10.85546875" customWidth="1"/>
    <col min="10660" max="10664" width="10" customWidth="1"/>
    <col min="10668" max="10669" width="10.85546875" bestFit="1" customWidth="1"/>
    <col min="10670" max="10670" width="10" bestFit="1" customWidth="1"/>
    <col min="10671" max="10672" width="9.28515625" bestFit="1" customWidth="1"/>
    <col min="10911" max="10911" width="7.42578125" customWidth="1"/>
    <col min="10912" max="10913" width="10.85546875" bestFit="1" customWidth="1"/>
    <col min="10914" max="10915" width="10.85546875" customWidth="1"/>
    <col min="10916" max="10920" width="10" customWidth="1"/>
    <col min="10924" max="10925" width="10.85546875" bestFit="1" customWidth="1"/>
    <col min="10926" max="10926" width="10" bestFit="1" customWidth="1"/>
    <col min="10927" max="10928" width="9.28515625" bestFit="1" customWidth="1"/>
    <col min="11167" max="11167" width="7.42578125" customWidth="1"/>
    <col min="11168" max="11169" width="10.85546875" bestFit="1" customWidth="1"/>
    <col min="11170" max="11171" width="10.85546875" customWidth="1"/>
    <col min="11172" max="11176" width="10" customWidth="1"/>
    <col min="11180" max="11181" width="10.85546875" bestFit="1" customWidth="1"/>
    <col min="11182" max="11182" width="10" bestFit="1" customWidth="1"/>
    <col min="11183" max="11184" width="9.28515625" bestFit="1" customWidth="1"/>
    <col min="11423" max="11423" width="7.42578125" customWidth="1"/>
    <col min="11424" max="11425" width="10.85546875" bestFit="1" customWidth="1"/>
    <col min="11426" max="11427" width="10.85546875" customWidth="1"/>
    <col min="11428" max="11432" width="10" customWidth="1"/>
    <col min="11436" max="11437" width="10.85546875" bestFit="1" customWidth="1"/>
    <col min="11438" max="11438" width="10" bestFit="1" customWidth="1"/>
    <col min="11439" max="11440" width="9.28515625" bestFit="1" customWidth="1"/>
    <col min="11679" max="11679" width="7.42578125" customWidth="1"/>
    <col min="11680" max="11681" width="10.85546875" bestFit="1" customWidth="1"/>
    <col min="11682" max="11683" width="10.85546875" customWidth="1"/>
    <col min="11684" max="11688" width="10" customWidth="1"/>
    <col min="11692" max="11693" width="10.85546875" bestFit="1" customWidth="1"/>
    <col min="11694" max="11694" width="10" bestFit="1" customWidth="1"/>
    <col min="11695" max="11696" width="9.28515625" bestFit="1" customWidth="1"/>
    <col min="11935" max="11935" width="7.42578125" customWidth="1"/>
    <col min="11936" max="11937" width="10.85546875" bestFit="1" customWidth="1"/>
    <col min="11938" max="11939" width="10.85546875" customWidth="1"/>
    <col min="11940" max="11944" width="10" customWidth="1"/>
    <col min="11948" max="11949" width="10.85546875" bestFit="1" customWidth="1"/>
    <col min="11950" max="11950" width="10" bestFit="1" customWidth="1"/>
    <col min="11951" max="11952" width="9.28515625" bestFit="1" customWidth="1"/>
    <col min="12191" max="12191" width="7.42578125" customWidth="1"/>
    <col min="12192" max="12193" width="10.85546875" bestFit="1" customWidth="1"/>
    <col min="12194" max="12195" width="10.85546875" customWidth="1"/>
    <col min="12196" max="12200" width="10" customWidth="1"/>
    <col min="12204" max="12205" width="10.85546875" bestFit="1" customWidth="1"/>
    <col min="12206" max="12206" width="10" bestFit="1" customWidth="1"/>
    <col min="12207" max="12208" width="9.28515625" bestFit="1" customWidth="1"/>
    <col min="12447" max="12447" width="7.42578125" customWidth="1"/>
    <col min="12448" max="12449" width="10.85546875" bestFit="1" customWidth="1"/>
    <col min="12450" max="12451" width="10.85546875" customWidth="1"/>
    <col min="12452" max="12456" width="10" customWidth="1"/>
    <col min="12460" max="12461" width="10.85546875" bestFit="1" customWidth="1"/>
    <col min="12462" max="12462" width="10" bestFit="1" customWidth="1"/>
    <col min="12463" max="12464" width="9.28515625" bestFit="1" customWidth="1"/>
    <col min="12703" max="12703" width="7.42578125" customWidth="1"/>
    <col min="12704" max="12705" width="10.85546875" bestFit="1" customWidth="1"/>
    <col min="12706" max="12707" width="10.85546875" customWidth="1"/>
    <col min="12708" max="12712" width="10" customWidth="1"/>
    <col min="12716" max="12717" width="10.85546875" bestFit="1" customWidth="1"/>
    <col min="12718" max="12718" width="10" bestFit="1" customWidth="1"/>
    <col min="12719" max="12720" width="9.28515625" bestFit="1" customWidth="1"/>
    <col min="12959" max="12959" width="7.42578125" customWidth="1"/>
    <col min="12960" max="12961" width="10.85546875" bestFit="1" customWidth="1"/>
    <col min="12962" max="12963" width="10.85546875" customWidth="1"/>
    <col min="12964" max="12968" width="10" customWidth="1"/>
    <col min="12972" max="12973" width="10.85546875" bestFit="1" customWidth="1"/>
    <col min="12974" max="12974" width="10" bestFit="1" customWidth="1"/>
    <col min="12975" max="12976" width="9.28515625" bestFit="1" customWidth="1"/>
    <col min="13215" max="13215" width="7.42578125" customWidth="1"/>
    <col min="13216" max="13217" width="10.85546875" bestFit="1" customWidth="1"/>
    <col min="13218" max="13219" width="10.85546875" customWidth="1"/>
    <col min="13220" max="13224" width="10" customWidth="1"/>
    <col min="13228" max="13229" width="10.85546875" bestFit="1" customWidth="1"/>
    <col min="13230" max="13230" width="10" bestFit="1" customWidth="1"/>
    <col min="13231" max="13232" width="9.28515625" bestFit="1" customWidth="1"/>
    <col min="13471" max="13471" width="7.42578125" customWidth="1"/>
    <col min="13472" max="13473" width="10.85546875" bestFit="1" customWidth="1"/>
    <col min="13474" max="13475" width="10.85546875" customWidth="1"/>
    <col min="13476" max="13480" width="10" customWidth="1"/>
    <col min="13484" max="13485" width="10.85546875" bestFit="1" customWidth="1"/>
    <col min="13486" max="13486" width="10" bestFit="1" customWidth="1"/>
    <col min="13487" max="13488" width="9.28515625" bestFit="1" customWidth="1"/>
    <col min="13727" max="13727" width="7.42578125" customWidth="1"/>
    <col min="13728" max="13729" width="10.85546875" bestFit="1" customWidth="1"/>
    <col min="13730" max="13731" width="10.85546875" customWidth="1"/>
    <col min="13732" max="13736" width="10" customWidth="1"/>
    <col min="13740" max="13741" width="10.85546875" bestFit="1" customWidth="1"/>
    <col min="13742" max="13742" width="10" bestFit="1" customWidth="1"/>
    <col min="13743" max="13744" width="9.28515625" bestFit="1" customWidth="1"/>
    <col min="13983" max="13983" width="7.42578125" customWidth="1"/>
    <col min="13984" max="13985" width="10.85546875" bestFit="1" customWidth="1"/>
    <col min="13986" max="13987" width="10.85546875" customWidth="1"/>
    <col min="13988" max="13992" width="10" customWidth="1"/>
    <col min="13996" max="13997" width="10.85546875" bestFit="1" customWidth="1"/>
    <col min="13998" max="13998" width="10" bestFit="1" customWidth="1"/>
    <col min="13999" max="14000" width="9.28515625" bestFit="1" customWidth="1"/>
    <col min="14239" max="14239" width="7.42578125" customWidth="1"/>
    <col min="14240" max="14241" width="10.85546875" bestFit="1" customWidth="1"/>
    <col min="14242" max="14243" width="10.85546875" customWidth="1"/>
    <col min="14244" max="14248" width="10" customWidth="1"/>
    <col min="14252" max="14253" width="10.85546875" bestFit="1" customWidth="1"/>
    <col min="14254" max="14254" width="10" bestFit="1" customWidth="1"/>
    <col min="14255" max="14256" width="9.28515625" bestFit="1" customWidth="1"/>
    <col min="14495" max="14495" width="7.42578125" customWidth="1"/>
    <col min="14496" max="14497" width="10.85546875" bestFit="1" customWidth="1"/>
    <col min="14498" max="14499" width="10.85546875" customWidth="1"/>
    <col min="14500" max="14504" width="10" customWidth="1"/>
    <col min="14508" max="14509" width="10.85546875" bestFit="1" customWidth="1"/>
    <col min="14510" max="14510" width="10" bestFit="1" customWidth="1"/>
    <col min="14511" max="14512" width="9.28515625" bestFit="1" customWidth="1"/>
    <col min="14751" max="14751" width="7.42578125" customWidth="1"/>
    <col min="14752" max="14753" width="10.85546875" bestFit="1" customWidth="1"/>
    <col min="14754" max="14755" width="10.85546875" customWidth="1"/>
    <col min="14756" max="14760" width="10" customWidth="1"/>
    <col min="14764" max="14765" width="10.85546875" bestFit="1" customWidth="1"/>
    <col min="14766" max="14766" width="10" bestFit="1" customWidth="1"/>
    <col min="14767" max="14768" width="9.28515625" bestFit="1" customWidth="1"/>
    <col min="15007" max="15007" width="7.42578125" customWidth="1"/>
    <col min="15008" max="15009" width="10.85546875" bestFit="1" customWidth="1"/>
    <col min="15010" max="15011" width="10.85546875" customWidth="1"/>
    <col min="15012" max="15016" width="10" customWidth="1"/>
    <col min="15020" max="15021" width="10.85546875" bestFit="1" customWidth="1"/>
    <col min="15022" max="15022" width="10" bestFit="1" customWidth="1"/>
    <col min="15023" max="15024" width="9.28515625" bestFit="1" customWidth="1"/>
    <col min="15263" max="15263" width="7.42578125" customWidth="1"/>
    <col min="15264" max="15265" width="10.85546875" bestFit="1" customWidth="1"/>
    <col min="15266" max="15267" width="10.85546875" customWidth="1"/>
    <col min="15268" max="15272" width="10" customWidth="1"/>
    <col min="15276" max="15277" width="10.85546875" bestFit="1" customWidth="1"/>
    <col min="15278" max="15278" width="10" bestFit="1" customWidth="1"/>
    <col min="15279" max="15280" width="9.28515625" bestFit="1" customWidth="1"/>
    <col min="15519" max="15519" width="7.42578125" customWidth="1"/>
    <col min="15520" max="15521" width="10.85546875" bestFit="1" customWidth="1"/>
    <col min="15522" max="15523" width="10.85546875" customWidth="1"/>
    <col min="15524" max="15528" width="10" customWidth="1"/>
    <col min="15532" max="15533" width="10.85546875" bestFit="1" customWidth="1"/>
    <col min="15534" max="15534" width="10" bestFit="1" customWidth="1"/>
    <col min="15535" max="15536" width="9.28515625" bestFit="1" customWidth="1"/>
  </cols>
  <sheetData>
    <row r="1" spans="1:77" x14ac:dyDescent="0.2">
      <c r="A1" s="44" t="s">
        <v>2</v>
      </c>
    </row>
    <row r="2" spans="1:77" x14ac:dyDescent="0.2">
      <c r="A2" s="44" t="s">
        <v>3</v>
      </c>
    </row>
    <row r="3" spans="1:77" x14ac:dyDescent="0.2">
      <c r="A3" s="1084" t="s">
        <v>4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  <c r="L3" s="1084"/>
      <c r="M3" s="1084"/>
      <c r="N3" s="1084"/>
      <c r="AN3" s="8"/>
    </row>
    <row r="4" spans="1:77" x14ac:dyDescent="0.2">
      <c r="A4" s="6"/>
    </row>
    <row r="5" spans="1:77" ht="16.5" customHeight="1" x14ac:dyDescent="0.25">
      <c r="A5" s="182" t="s">
        <v>806</v>
      </c>
      <c r="B5" s="51"/>
      <c r="C5" s="51"/>
      <c r="D5" s="51"/>
      <c r="E5" s="51"/>
      <c r="F5" s="51"/>
      <c r="G5" s="51"/>
      <c r="H5" s="51"/>
      <c r="I5" s="52"/>
      <c r="J5" s="254"/>
      <c r="K5" s="254"/>
      <c r="L5" s="506"/>
      <c r="M5" s="181"/>
      <c r="N5" s="181"/>
      <c r="AN5" s="8"/>
    </row>
    <row r="6" spans="1:77" ht="13.5" thickBot="1" x14ac:dyDescent="0.25">
      <c r="A6" s="555" t="s">
        <v>805</v>
      </c>
      <c r="B6" s="556"/>
      <c r="C6" s="557"/>
      <c r="D6" s="557"/>
      <c r="E6" s="557"/>
      <c r="F6" s="557"/>
      <c r="G6" s="557"/>
      <c r="H6" s="557"/>
      <c r="I6" s="556"/>
      <c r="J6" s="556"/>
      <c r="K6" s="556"/>
      <c r="L6" s="181"/>
      <c r="M6" s="11"/>
      <c r="N6" s="11"/>
    </row>
    <row r="7" spans="1:77" ht="15.75" customHeight="1" x14ac:dyDescent="0.25">
      <c r="A7" s="10"/>
      <c r="B7" s="969" t="s">
        <v>807</v>
      </c>
      <c r="C7" s="970"/>
      <c r="D7" s="970"/>
      <c r="E7" s="970"/>
      <c r="F7" s="970"/>
      <c r="G7" s="970"/>
      <c r="H7" s="970"/>
      <c r="I7" s="970"/>
      <c r="J7" s="970"/>
      <c r="K7" s="970"/>
      <c r="L7" s="970"/>
      <c r="M7" s="970"/>
      <c r="N7" s="970"/>
      <c r="O7" s="1073" t="s">
        <v>818</v>
      </c>
      <c r="P7" s="975"/>
      <c r="Q7" s="975"/>
      <c r="R7" s="975"/>
      <c r="S7" s="975"/>
      <c r="T7" s="975"/>
      <c r="U7" s="975"/>
      <c r="V7" s="975"/>
      <c r="W7" s="975"/>
      <c r="X7" s="975"/>
      <c r="Y7" s="975"/>
      <c r="Z7" s="975"/>
      <c r="AA7" s="975"/>
      <c r="AB7" s="975"/>
      <c r="AC7" s="975"/>
      <c r="AD7" s="975"/>
      <c r="AE7" s="975"/>
      <c r="AF7" s="975"/>
      <c r="AG7" s="975"/>
      <c r="AH7" s="975"/>
      <c r="AI7" s="975"/>
      <c r="AJ7" s="975"/>
      <c r="AK7" s="975"/>
      <c r="AL7" s="975"/>
      <c r="AM7" s="975"/>
      <c r="AN7" s="975"/>
      <c r="AO7" s="975"/>
      <c r="AP7" s="975"/>
      <c r="AQ7" s="975"/>
      <c r="AR7" s="975"/>
      <c r="AS7" s="975"/>
      <c r="AT7" s="975"/>
      <c r="AU7" s="975"/>
      <c r="AV7" s="975"/>
      <c r="AW7" s="975"/>
      <c r="AX7" s="975"/>
      <c r="AY7" s="975"/>
      <c r="AZ7" s="975"/>
      <c r="BA7" s="975"/>
      <c r="BB7" s="975"/>
      <c r="BC7" s="975"/>
      <c r="BD7" s="975"/>
      <c r="BE7" s="975"/>
      <c r="BF7" s="976"/>
      <c r="BG7" s="1022" t="s">
        <v>913</v>
      </c>
      <c r="BH7" s="1023"/>
      <c r="BI7" s="1023"/>
      <c r="BJ7" s="1023"/>
      <c r="BK7" s="1023"/>
      <c r="BL7" s="1023"/>
      <c r="BM7" s="1023"/>
      <c r="BN7" s="1023"/>
      <c r="BO7" s="1023"/>
      <c r="BP7" s="1023"/>
      <c r="BQ7" s="1023"/>
      <c r="BR7" s="1023"/>
      <c r="BS7" s="1024"/>
      <c r="BT7" s="1008" t="s">
        <v>914</v>
      </c>
      <c r="BU7" s="1009"/>
      <c r="BV7" s="1009"/>
      <c r="BW7" s="1009"/>
      <c r="BX7" s="1009"/>
      <c r="BY7" s="1010"/>
    </row>
    <row r="8" spans="1:77" ht="13.5" customHeight="1" thickBot="1" x14ac:dyDescent="0.3">
      <c r="B8" s="972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1074" t="s">
        <v>814</v>
      </c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6"/>
      <c r="AB8" s="994" t="s">
        <v>815</v>
      </c>
      <c r="AC8" s="995"/>
      <c r="AD8" s="995"/>
      <c r="AE8" s="995"/>
      <c r="AF8" s="995"/>
      <c r="AG8" s="995"/>
      <c r="AH8" s="995"/>
      <c r="AI8" s="995"/>
      <c r="AJ8" s="996"/>
      <c r="AK8" s="1039" t="s">
        <v>832</v>
      </c>
      <c r="AL8" s="1039"/>
      <c r="AM8" s="1039"/>
      <c r="AN8" s="966" t="s">
        <v>5</v>
      </c>
      <c r="AO8" s="966" t="s">
        <v>275</v>
      </c>
      <c r="AP8" s="1054" t="s">
        <v>799</v>
      </c>
      <c r="AQ8" s="1054"/>
      <c r="AR8" s="1055"/>
      <c r="AS8" s="1060" t="s">
        <v>289</v>
      </c>
      <c r="AT8" s="1063" t="s">
        <v>817</v>
      </c>
      <c r="AU8" s="1064"/>
      <c r="AV8" s="1064"/>
      <c r="AW8" s="1064"/>
      <c r="AX8" s="1064"/>
      <c r="AY8" s="1064"/>
      <c r="AZ8" s="1064"/>
      <c r="BA8" s="1064"/>
      <c r="BB8" s="1064"/>
      <c r="BC8" s="1064"/>
      <c r="BD8" s="1064"/>
      <c r="BE8" s="1064"/>
      <c r="BF8" s="1065"/>
      <c r="BG8" s="1025"/>
      <c r="BH8" s="1026"/>
      <c r="BI8" s="1026"/>
      <c r="BJ8" s="1026"/>
      <c r="BK8" s="1026"/>
      <c r="BL8" s="1026"/>
      <c r="BM8" s="1026"/>
      <c r="BN8" s="1026"/>
      <c r="BO8" s="1026"/>
      <c r="BP8" s="1026"/>
      <c r="BQ8" s="1026"/>
      <c r="BR8" s="1026"/>
      <c r="BS8" s="1027"/>
      <c r="BT8" s="1011"/>
      <c r="BU8" s="1012"/>
      <c r="BV8" s="1012"/>
      <c r="BW8" s="1012"/>
      <c r="BX8" s="1012"/>
      <c r="BY8" s="1013"/>
    </row>
    <row r="9" spans="1:77" ht="12.75" customHeight="1" x14ac:dyDescent="0.2">
      <c r="B9" s="1076" t="s">
        <v>6</v>
      </c>
      <c r="C9" s="977" t="s">
        <v>780</v>
      </c>
      <c r="D9" s="978"/>
      <c r="E9" s="978"/>
      <c r="F9" s="978"/>
      <c r="G9" s="978"/>
      <c r="H9" s="978"/>
      <c r="I9" s="978"/>
      <c r="J9" s="978"/>
      <c r="K9" s="979"/>
      <c r="L9" s="983" t="s">
        <v>822</v>
      </c>
      <c r="M9" s="986" t="s">
        <v>823</v>
      </c>
      <c r="N9" s="1079"/>
      <c r="O9" s="1075"/>
      <c r="P9" s="998"/>
      <c r="Q9" s="998"/>
      <c r="R9" s="998"/>
      <c r="S9" s="998"/>
      <c r="T9" s="998"/>
      <c r="U9" s="998"/>
      <c r="V9" s="998"/>
      <c r="W9" s="998"/>
      <c r="X9" s="998"/>
      <c r="Y9" s="998"/>
      <c r="Z9" s="998"/>
      <c r="AA9" s="999"/>
      <c r="AB9" s="997"/>
      <c r="AC9" s="998"/>
      <c r="AD9" s="998"/>
      <c r="AE9" s="998"/>
      <c r="AF9" s="998"/>
      <c r="AG9" s="998"/>
      <c r="AH9" s="998"/>
      <c r="AI9" s="998"/>
      <c r="AJ9" s="999"/>
      <c r="AK9" s="1039"/>
      <c r="AL9" s="1039"/>
      <c r="AM9" s="1039"/>
      <c r="AN9" s="967"/>
      <c r="AO9" s="967"/>
      <c r="AP9" s="1056"/>
      <c r="AQ9" s="1056"/>
      <c r="AR9" s="1057"/>
      <c r="AS9" s="1061"/>
      <c r="AT9" s="1000" t="s">
        <v>276</v>
      </c>
      <c r="AU9" s="1052"/>
      <c r="AV9" s="1066" t="s">
        <v>277</v>
      </c>
      <c r="AW9" s="1042" t="s">
        <v>880</v>
      </c>
      <c r="AX9" s="1043"/>
      <c r="AY9" s="1006" t="s">
        <v>816</v>
      </c>
      <c r="AZ9" s="1007"/>
      <c r="BA9" s="1066" t="s">
        <v>790</v>
      </c>
      <c r="BB9" s="1000" t="s">
        <v>278</v>
      </c>
      <c r="BC9" s="1052"/>
      <c r="BD9" s="1000" t="s">
        <v>833</v>
      </c>
      <c r="BE9" s="1001"/>
      <c r="BF9" s="1002"/>
      <c r="BG9" s="1070" t="s">
        <v>6</v>
      </c>
      <c r="BH9" s="1032" t="s">
        <v>780</v>
      </c>
      <c r="BI9" s="1032"/>
      <c r="BJ9" s="1032"/>
      <c r="BK9" s="1032"/>
      <c r="BL9" s="1032"/>
      <c r="BM9" s="1032"/>
      <c r="BN9" s="1032"/>
      <c r="BO9" s="1032"/>
      <c r="BP9" s="1032"/>
      <c r="BQ9" s="983" t="s">
        <v>822</v>
      </c>
      <c r="BR9" s="1048" t="s">
        <v>838</v>
      </c>
      <c r="BS9" s="1049"/>
      <c r="BT9" s="1014" t="s">
        <v>888</v>
      </c>
      <c r="BU9" s="1015"/>
      <c r="BV9" s="1015"/>
      <c r="BW9" s="1015"/>
      <c r="BX9" s="1015"/>
      <c r="BY9" s="1016"/>
    </row>
    <row r="10" spans="1:77" ht="19.5" customHeight="1" thickBot="1" x14ac:dyDescent="0.25">
      <c r="A10"/>
      <c r="B10" s="1077"/>
      <c r="C10" s="1028" t="s">
        <v>268</v>
      </c>
      <c r="D10" s="962" t="s">
        <v>839</v>
      </c>
      <c r="E10" s="963"/>
      <c r="F10" s="1030" t="s">
        <v>274</v>
      </c>
      <c r="G10" s="962" t="s">
        <v>837</v>
      </c>
      <c r="H10" s="963"/>
      <c r="I10" s="1034" t="s">
        <v>5</v>
      </c>
      <c r="J10" s="1034" t="s">
        <v>1</v>
      </c>
      <c r="K10" s="1034" t="s">
        <v>7</v>
      </c>
      <c r="L10" s="984"/>
      <c r="M10" s="988"/>
      <c r="N10" s="1080"/>
      <c r="O10" s="1069" t="s">
        <v>279</v>
      </c>
      <c r="P10" s="958"/>
      <c r="Q10" s="954" t="s">
        <v>821</v>
      </c>
      <c r="R10" s="959" t="s">
        <v>826</v>
      </c>
      <c r="S10" s="959"/>
      <c r="T10" s="955" t="s">
        <v>820</v>
      </c>
      <c r="U10" s="950" t="s">
        <v>880</v>
      </c>
      <c r="V10" s="951"/>
      <c r="W10" s="1068" t="s">
        <v>278</v>
      </c>
      <c r="X10" s="1068"/>
      <c r="Y10" s="957" t="s">
        <v>791</v>
      </c>
      <c r="Z10" s="958"/>
      <c r="AA10" s="992" t="s">
        <v>791</v>
      </c>
      <c r="AB10" s="957" t="s">
        <v>280</v>
      </c>
      <c r="AC10" s="958"/>
      <c r="AD10" s="1020" t="s">
        <v>881</v>
      </c>
      <c r="AE10" s="955" t="s">
        <v>819</v>
      </c>
      <c r="AF10" s="957" t="s">
        <v>281</v>
      </c>
      <c r="AG10" s="958"/>
      <c r="AH10" s="957" t="s">
        <v>748</v>
      </c>
      <c r="AI10" s="958"/>
      <c r="AJ10" s="992" t="s">
        <v>748</v>
      </c>
      <c r="AK10" s="1039"/>
      <c r="AL10" s="1039"/>
      <c r="AM10" s="1039"/>
      <c r="AN10" s="967"/>
      <c r="AO10" s="967"/>
      <c r="AP10" s="1058"/>
      <c r="AQ10" s="1058"/>
      <c r="AR10" s="1059"/>
      <c r="AS10" s="1061"/>
      <c r="AT10" s="1003"/>
      <c r="AU10" s="1053"/>
      <c r="AV10" s="1067"/>
      <c r="AW10" s="1044"/>
      <c r="AX10" s="1045"/>
      <c r="AY10" s="570" t="s">
        <v>800</v>
      </c>
      <c r="AZ10" s="570" t="s">
        <v>801</v>
      </c>
      <c r="BA10" s="1067"/>
      <c r="BB10" s="1003"/>
      <c r="BC10" s="1053"/>
      <c r="BD10" s="1003"/>
      <c r="BE10" s="1004"/>
      <c r="BF10" s="1005"/>
      <c r="BG10" s="1071"/>
      <c r="BH10" s="1028" t="s">
        <v>268</v>
      </c>
      <c r="BI10" s="962" t="s">
        <v>839</v>
      </c>
      <c r="BJ10" s="963"/>
      <c r="BK10" s="1030" t="s">
        <v>274</v>
      </c>
      <c r="BL10" s="1033" t="s">
        <v>847</v>
      </c>
      <c r="BM10" s="1033"/>
      <c r="BN10" s="1034" t="s">
        <v>5</v>
      </c>
      <c r="BO10" s="1034" t="s">
        <v>1</v>
      </c>
      <c r="BP10" s="1034" t="s">
        <v>7</v>
      </c>
      <c r="BQ10" s="984"/>
      <c r="BR10" s="1050"/>
      <c r="BS10" s="1051"/>
      <c r="BT10" s="1017"/>
      <c r="BU10" s="1018"/>
      <c r="BV10" s="1018"/>
      <c r="BW10" s="1018"/>
      <c r="BX10" s="1018"/>
      <c r="BY10" s="1019"/>
    </row>
    <row r="11" spans="1:77" s="5" customFormat="1" ht="34.5" thickBot="1" x14ac:dyDescent="0.25">
      <c r="A11" s="12" t="s">
        <v>244</v>
      </c>
      <c r="B11" s="1078"/>
      <c r="C11" s="1029"/>
      <c r="D11" s="590" t="s">
        <v>812</v>
      </c>
      <c r="E11" s="590" t="s">
        <v>813</v>
      </c>
      <c r="F11" s="1031"/>
      <c r="G11" s="590" t="s">
        <v>812</v>
      </c>
      <c r="H11" s="590" t="s">
        <v>813</v>
      </c>
      <c r="I11" s="1035"/>
      <c r="J11" s="1035"/>
      <c r="K11" s="1035"/>
      <c r="L11" s="985"/>
      <c r="M11" s="601" t="s">
        <v>812</v>
      </c>
      <c r="N11" s="608" t="s">
        <v>813</v>
      </c>
      <c r="O11" s="609" t="s">
        <v>812</v>
      </c>
      <c r="P11" s="590" t="s">
        <v>813</v>
      </c>
      <c r="Q11" s="954"/>
      <c r="R11" s="590" t="s">
        <v>812</v>
      </c>
      <c r="S11" s="590" t="s">
        <v>813</v>
      </c>
      <c r="T11" s="956"/>
      <c r="U11" s="952"/>
      <c r="V11" s="953"/>
      <c r="W11" s="590" t="s">
        <v>812</v>
      </c>
      <c r="X11" s="596" t="s">
        <v>813</v>
      </c>
      <c r="Y11" s="590" t="s">
        <v>812</v>
      </c>
      <c r="Z11" s="596" t="s">
        <v>813</v>
      </c>
      <c r="AA11" s="993"/>
      <c r="AB11" s="591" t="s">
        <v>812</v>
      </c>
      <c r="AC11" s="591" t="s">
        <v>813</v>
      </c>
      <c r="AD11" s="1021"/>
      <c r="AE11" s="956"/>
      <c r="AF11" s="590" t="s">
        <v>812</v>
      </c>
      <c r="AG11" s="590" t="s">
        <v>813</v>
      </c>
      <c r="AH11" s="590" t="s">
        <v>812</v>
      </c>
      <c r="AI11" s="590" t="s">
        <v>813</v>
      </c>
      <c r="AJ11" s="993"/>
      <c r="AK11" s="590" t="s">
        <v>812</v>
      </c>
      <c r="AL11" s="590" t="s">
        <v>813</v>
      </c>
      <c r="AM11" s="590" t="s">
        <v>256</v>
      </c>
      <c r="AN11" s="968"/>
      <c r="AO11" s="968"/>
      <c r="AP11" s="406" t="s">
        <v>277</v>
      </c>
      <c r="AQ11" s="406" t="s">
        <v>282</v>
      </c>
      <c r="AR11" s="406" t="s">
        <v>749</v>
      </c>
      <c r="AS11" s="1062"/>
      <c r="AT11" s="601" t="s">
        <v>812</v>
      </c>
      <c r="AU11" s="601" t="s">
        <v>813</v>
      </c>
      <c r="AV11" s="601" t="s">
        <v>812</v>
      </c>
      <c r="AW11" s="1046"/>
      <c r="AX11" s="1047"/>
      <c r="AY11" s="601" t="s">
        <v>812</v>
      </c>
      <c r="AZ11" s="601" t="s">
        <v>813</v>
      </c>
      <c r="BA11" s="601" t="s">
        <v>812</v>
      </c>
      <c r="BB11" s="601" t="s">
        <v>812</v>
      </c>
      <c r="BC11" s="601" t="s">
        <v>813</v>
      </c>
      <c r="BD11" s="601" t="s">
        <v>812</v>
      </c>
      <c r="BE11" s="601" t="s">
        <v>813</v>
      </c>
      <c r="BF11" s="407" t="s">
        <v>836</v>
      </c>
      <c r="BG11" s="1072"/>
      <c r="BH11" s="1029"/>
      <c r="BI11" s="591" t="s">
        <v>812</v>
      </c>
      <c r="BJ11" s="591" t="s">
        <v>813</v>
      </c>
      <c r="BK11" s="1031"/>
      <c r="BL11" s="591" t="s">
        <v>812</v>
      </c>
      <c r="BM11" s="591" t="s">
        <v>813</v>
      </c>
      <c r="BN11" s="1035"/>
      <c r="BO11" s="1035"/>
      <c r="BP11" s="1035"/>
      <c r="BQ11" s="985"/>
      <c r="BR11" s="601" t="s">
        <v>812</v>
      </c>
      <c r="BS11" s="602" t="s">
        <v>813</v>
      </c>
      <c r="BT11" s="786" t="s">
        <v>886</v>
      </c>
      <c r="BU11" s="787" t="s">
        <v>268</v>
      </c>
      <c r="BV11" s="787" t="s">
        <v>274</v>
      </c>
      <c r="BW11" s="787" t="s">
        <v>885</v>
      </c>
      <c r="BX11" s="787" t="s">
        <v>1</v>
      </c>
      <c r="BY11" s="788" t="s">
        <v>887</v>
      </c>
    </row>
    <row r="12" spans="1:77" s="5" customFormat="1" ht="12" customHeight="1" thickBot="1" x14ac:dyDescent="0.25">
      <c r="A12" s="417" t="s">
        <v>245</v>
      </c>
      <c r="B12" s="136" t="s">
        <v>262</v>
      </c>
      <c r="C12" s="137" t="s">
        <v>263</v>
      </c>
      <c r="D12" s="137" t="s">
        <v>808</v>
      </c>
      <c r="E12" s="137" t="s">
        <v>809</v>
      </c>
      <c r="F12" s="137" t="s">
        <v>269</v>
      </c>
      <c r="G12" s="137" t="s">
        <v>810</v>
      </c>
      <c r="H12" s="137" t="s">
        <v>811</v>
      </c>
      <c r="I12" s="137" t="s">
        <v>264</v>
      </c>
      <c r="J12" s="137" t="s">
        <v>265</v>
      </c>
      <c r="K12" s="137" t="s">
        <v>266</v>
      </c>
      <c r="L12" s="520" t="s">
        <v>267</v>
      </c>
      <c r="M12" s="188" t="s">
        <v>533</v>
      </c>
      <c r="N12" s="189" t="s">
        <v>534</v>
      </c>
      <c r="O12" s="526" t="s">
        <v>824</v>
      </c>
      <c r="P12" s="141" t="s">
        <v>825</v>
      </c>
      <c r="Q12" s="141" t="s">
        <v>824</v>
      </c>
      <c r="R12" s="141" t="s">
        <v>824</v>
      </c>
      <c r="S12" s="141" t="s">
        <v>825</v>
      </c>
      <c r="T12" s="141" t="s">
        <v>824</v>
      </c>
      <c r="U12" s="1081" t="s">
        <v>882</v>
      </c>
      <c r="V12" s="1082"/>
      <c r="W12" s="141" t="s">
        <v>824</v>
      </c>
      <c r="X12" s="141" t="s">
        <v>825</v>
      </c>
      <c r="Y12" s="141" t="s">
        <v>824</v>
      </c>
      <c r="Z12" s="141" t="s">
        <v>825</v>
      </c>
      <c r="AA12" s="141" t="s">
        <v>834</v>
      </c>
      <c r="AB12" s="141" t="s">
        <v>827</v>
      </c>
      <c r="AC12" s="141" t="s">
        <v>828</v>
      </c>
      <c r="AD12" s="758" t="s">
        <v>883</v>
      </c>
      <c r="AE12" s="141" t="s">
        <v>827</v>
      </c>
      <c r="AF12" s="141" t="s">
        <v>827</v>
      </c>
      <c r="AG12" s="141" t="s">
        <v>828</v>
      </c>
      <c r="AH12" s="141" t="s">
        <v>827</v>
      </c>
      <c r="AI12" s="141" t="s">
        <v>828</v>
      </c>
      <c r="AJ12" s="141" t="s">
        <v>835</v>
      </c>
      <c r="AK12" s="526" t="s">
        <v>829</v>
      </c>
      <c r="AL12" s="526" t="s">
        <v>830</v>
      </c>
      <c r="AM12" s="141" t="s">
        <v>831</v>
      </c>
      <c r="AN12" s="141" t="s">
        <v>283</v>
      </c>
      <c r="AO12" s="141" t="s">
        <v>284</v>
      </c>
      <c r="AP12" s="141" t="s">
        <v>285</v>
      </c>
      <c r="AQ12" s="141" t="s">
        <v>285</v>
      </c>
      <c r="AR12" s="141" t="s">
        <v>285</v>
      </c>
      <c r="AS12" s="141" t="s">
        <v>290</v>
      </c>
      <c r="AT12" s="404" t="s">
        <v>286</v>
      </c>
      <c r="AU12" s="142" t="s">
        <v>287</v>
      </c>
      <c r="AV12" s="142" t="s">
        <v>286</v>
      </c>
      <c r="AW12" s="1081" t="s">
        <v>884</v>
      </c>
      <c r="AX12" s="1082"/>
      <c r="AY12" s="142" t="s">
        <v>286</v>
      </c>
      <c r="AZ12" s="142" t="s">
        <v>287</v>
      </c>
      <c r="BA12" s="142" t="s">
        <v>286</v>
      </c>
      <c r="BB12" s="142" t="s">
        <v>286</v>
      </c>
      <c r="BC12" s="142" t="s">
        <v>287</v>
      </c>
      <c r="BD12" s="142" t="s">
        <v>286</v>
      </c>
      <c r="BE12" s="142" t="s">
        <v>287</v>
      </c>
      <c r="BF12" s="143" t="s">
        <v>288</v>
      </c>
      <c r="BG12" s="140" t="s">
        <v>262</v>
      </c>
      <c r="BH12" s="141" t="s">
        <v>263</v>
      </c>
      <c r="BI12" s="141" t="s">
        <v>808</v>
      </c>
      <c r="BJ12" s="141" t="s">
        <v>809</v>
      </c>
      <c r="BK12" s="141" t="s">
        <v>269</v>
      </c>
      <c r="BL12" s="141" t="s">
        <v>810</v>
      </c>
      <c r="BM12" s="141" t="s">
        <v>811</v>
      </c>
      <c r="BN12" s="141" t="s">
        <v>264</v>
      </c>
      <c r="BO12" s="141" t="s">
        <v>265</v>
      </c>
      <c r="BP12" s="141" t="s">
        <v>266</v>
      </c>
      <c r="BQ12" s="142" t="s">
        <v>267</v>
      </c>
      <c r="BR12" s="142" t="s">
        <v>533</v>
      </c>
      <c r="BS12" s="180" t="s">
        <v>534</v>
      </c>
      <c r="BT12" s="758" t="s">
        <v>889</v>
      </c>
      <c r="BU12" s="758" t="s">
        <v>882</v>
      </c>
      <c r="BV12" s="758" t="s">
        <v>883</v>
      </c>
      <c r="BW12" s="758" t="s">
        <v>890</v>
      </c>
      <c r="BX12" s="758" t="s">
        <v>891</v>
      </c>
      <c r="BY12" s="758" t="s">
        <v>884</v>
      </c>
    </row>
    <row r="13" spans="1:77" x14ac:dyDescent="0.2">
      <c r="A13" s="177" t="s">
        <v>246</v>
      </c>
      <c r="B13" s="408">
        <f>LB!I464</f>
        <v>1744926121</v>
      </c>
      <c r="C13" s="409">
        <f>LB!J464</f>
        <v>1282438728</v>
      </c>
      <c r="D13" s="409">
        <f>LB!K464</f>
        <v>1138462760</v>
      </c>
      <c r="E13" s="409">
        <f>LB!L464</f>
        <v>143975968</v>
      </c>
      <c r="F13" s="409">
        <f>LB!M464</f>
        <v>0</v>
      </c>
      <c r="G13" s="409">
        <f>LB!N464</f>
        <v>0</v>
      </c>
      <c r="H13" s="409">
        <f>LB!O464</f>
        <v>0</v>
      </c>
      <c r="I13" s="409">
        <f>LB!P464</f>
        <v>433464293</v>
      </c>
      <c r="J13" s="409">
        <f>LB!Q464</f>
        <v>12824391</v>
      </c>
      <c r="K13" s="409">
        <f>LB!R464</f>
        <v>16198709</v>
      </c>
      <c r="L13" s="410">
        <f>LB!S464</f>
        <v>2215.1870000000004</v>
      </c>
      <c r="M13" s="410">
        <f>LB!T464</f>
        <v>1771.7634000000003</v>
      </c>
      <c r="N13" s="509">
        <f>LB!U464</f>
        <v>443.42360000000002</v>
      </c>
      <c r="O13" s="558">
        <f>LB!V464</f>
        <v>-2394277</v>
      </c>
      <c r="P13" s="409">
        <f>LB!W464</f>
        <v>-1478887</v>
      </c>
      <c r="Q13" s="409">
        <f>LB!X464</f>
        <v>107709549</v>
      </c>
      <c r="R13" s="409">
        <f>LB!Y464</f>
        <v>-417117</v>
      </c>
      <c r="S13" s="409">
        <f>LB!Z464</f>
        <v>0</v>
      </c>
      <c r="T13" s="409">
        <f>LB!AA464</f>
        <v>1488176</v>
      </c>
      <c r="U13" s="409">
        <f>LB!AB464</f>
        <v>8854800</v>
      </c>
      <c r="V13" s="409">
        <f>LB!AC464</f>
        <v>0</v>
      </c>
      <c r="W13" s="409">
        <f>LB!AD464</f>
        <v>0</v>
      </c>
      <c r="X13" s="409">
        <f>LB!AE464</f>
        <v>264561</v>
      </c>
      <c r="Y13" s="409">
        <f>LB!AF464</f>
        <v>115241131</v>
      </c>
      <c r="Z13" s="409">
        <f>LB!AG464</f>
        <v>-1214326</v>
      </c>
      <c r="AA13" s="409">
        <f>LB!AH464</f>
        <v>114026805</v>
      </c>
      <c r="AB13" s="409">
        <f>LB!AI464</f>
        <v>2394277</v>
      </c>
      <c r="AC13" s="409">
        <f>LB!AJ464</f>
        <v>1478887</v>
      </c>
      <c r="AD13" s="409">
        <f>LB!AK464</f>
        <v>564000</v>
      </c>
      <c r="AE13" s="409">
        <f>LB!AL464</f>
        <v>158779</v>
      </c>
      <c r="AF13" s="409">
        <f>LB!AM464</f>
        <v>72209</v>
      </c>
      <c r="AG13" s="409">
        <f>LB!AN464</f>
        <v>32000</v>
      </c>
      <c r="AH13" s="409">
        <f>LB!AO464</f>
        <v>3189265</v>
      </c>
      <c r="AI13" s="409">
        <f>LB!AP464</f>
        <v>1510887</v>
      </c>
      <c r="AJ13" s="409">
        <f>LB!AQ464</f>
        <v>4700152</v>
      </c>
      <c r="AK13" s="409">
        <f>LB!AR464</f>
        <v>118430396</v>
      </c>
      <c r="AL13" s="409">
        <f>LB!AS464</f>
        <v>296561</v>
      </c>
      <c r="AM13" s="409">
        <f>LB!AT464</f>
        <v>118726957</v>
      </c>
      <c r="AN13" s="409">
        <f>LB!AU464</f>
        <v>40094489</v>
      </c>
      <c r="AO13" s="409">
        <f>LB!AV464</f>
        <v>1140268</v>
      </c>
      <c r="AP13" s="409">
        <f>LB!AW464</f>
        <v>67900</v>
      </c>
      <c r="AQ13" s="409">
        <f>LB!AX464</f>
        <v>0</v>
      </c>
      <c r="AR13" s="409">
        <f>LB!AY464</f>
        <v>67900</v>
      </c>
      <c r="AS13" s="409">
        <f>LB!AZ464</f>
        <v>160029614</v>
      </c>
      <c r="AT13" s="410">
        <f>LB!BA464</f>
        <v>-2.87</v>
      </c>
      <c r="AU13" s="410">
        <f>LB!BB464</f>
        <v>-3.1399999999999997</v>
      </c>
      <c r="AV13" s="410">
        <f>LB!BC464</f>
        <v>288.86000000000007</v>
      </c>
      <c r="AW13" s="410">
        <f>LB!BD464</f>
        <v>15.7</v>
      </c>
      <c r="AX13" s="410">
        <f>LB!BE464</f>
        <v>0</v>
      </c>
      <c r="AY13" s="410">
        <f>LB!BF464</f>
        <v>-0.9</v>
      </c>
      <c r="AZ13" s="410">
        <f>LB!BG464</f>
        <v>0</v>
      </c>
      <c r="BA13" s="410">
        <f>LB!BH464</f>
        <v>2.1700000000000004</v>
      </c>
      <c r="BB13" s="410">
        <f>LB!BI464</f>
        <v>0</v>
      </c>
      <c r="BC13" s="410">
        <f>LB!BJ464</f>
        <v>0.79</v>
      </c>
      <c r="BD13" s="410">
        <f>LB!BK464</f>
        <v>302.95999999999992</v>
      </c>
      <c r="BE13" s="410">
        <f>LB!BL464</f>
        <v>-2.35</v>
      </c>
      <c r="BF13" s="425">
        <f>LB!BM464</f>
        <v>300.6099999999999</v>
      </c>
      <c r="BG13" s="408">
        <f>LB!BN464</f>
        <v>1904955735</v>
      </c>
      <c r="BH13" s="409">
        <f>LB!BO464</f>
        <v>1396465533</v>
      </c>
      <c r="BI13" s="409">
        <f>LB!BP464</f>
        <v>1253703891</v>
      </c>
      <c r="BJ13" s="409">
        <f>LB!BQ464</f>
        <v>142761642</v>
      </c>
      <c r="BK13" s="409">
        <f>LB!BR464</f>
        <v>4700152</v>
      </c>
      <c r="BL13" s="409">
        <f>LB!BS464</f>
        <v>3189265</v>
      </c>
      <c r="BM13" s="409">
        <f>LB!BT464</f>
        <v>1510887</v>
      </c>
      <c r="BN13" s="409">
        <f>LB!BU464</f>
        <v>473558782</v>
      </c>
      <c r="BO13" s="409">
        <f>LB!BV464</f>
        <v>13964659</v>
      </c>
      <c r="BP13" s="409">
        <f>LB!BW464</f>
        <v>16266609</v>
      </c>
      <c r="BQ13" s="410">
        <f>LB!BX464</f>
        <v>2515.7970000000005</v>
      </c>
      <c r="BR13" s="410">
        <f>LB!BY464</f>
        <v>2074.7234000000008</v>
      </c>
      <c r="BS13" s="425">
        <f>LB!BZ464</f>
        <v>441.07359999999994</v>
      </c>
      <c r="BT13" s="408">
        <f>LB!CA464</f>
        <v>12690902</v>
      </c>
      <c r="BU13" s="409">
        <f>LB!CB464</f>
        <v>8854800</v>
      </c>
      <c r="BV13" s="409">
        <f>LB!CC464</f>
        <v>564000</v>
      </c>
      <c r="BW13" s="409">
        <f>LB!CD464</f>
        <v>3183554</v>
      </c>
      <c r="BX13" s="409">
        <f>LB!CE464</f>
        <v>88548</v>
      </c>
      <c r="BY13" s="509">
        <f>LB!CF464</f>
        <v>15.7</v>
      </c>
    </row>
    <row r="14" spans="1:77" x14ac:dyDescent="0.2">
      <c r="A14" s="178" t="s">
        <v>247</v>
      </c>
      <c r="B14" s="423">
        <f>FR!I129</f>
        <v>304381083</v>
      </c>
      <c r="C14" s="418">
        <f>FR!J129</f>
        <v>223761928</v>
      </c>
      <c r="D14" s="418">
        <f>FR!K129</f>
        <v>195878675</v>
      </c>
      <c r="E14" s="418">
        <f>FR!L129</f>
        <v>27883253</v>
      </c>
      <c r="F14" s="418">
        <f>FR!M129</f>
        <v>0</v>
      </c>
      <c r="G14" s="418">
        <f>FR!N129</f>
        <v>0</v>
      </c>
      <c r="H14" s="418">
        <f>FR!O129</f>
        <v>0</v>
      </c>
      <c r="I14" s="418">
        <f>FR!P129</f>
        <v>75631530</v>
      </c>
      <c r="J14" s="418">
        <f>FR!Q129</f>
        <v>2237618</v>
      </c>
      <c r="K14" s="418">
        <f>FR!R129</f>
        <v>2750007</v>
      </c>
      <c r="L14" s="419">
        <f>FR!S129</f>
        <v>397.17889999999994</v>
      </c>
      <c r="M14" s="419">
        <f>FR!T129</f>
        <v>311.28449999999998</v>
      </c>
      <c r="N14" s="527">
        <f>FR!U129</f>
        <v>85.89439999999999</v>
      </c>
      <c r="O14" s="528">
        <f>FR!V129</f>
        <v>-916719</v>
      </c>
      <c r="P14" s="418">
        <f>FR!W129</f>
        <v>-577413</v>
      </c>
      <c r="Q14" s="418">
        <f>FR!X129</f>
        <v>25324862</v>
      </c>
      <c r="R14" s="418">
        <f>FR!Y129</f>
        <v>0</v>
      </c>
      <c r="S14" s="418">
        <f>FR!Z129</f>
        <v>0</v>
      </c>
      <c r="T14" s="418">
        <f>FR!AA129</f>
        <v>0</v>
      </c>
      <c r="U14" s="418">
        <f>FR!AB129</f>
        <v>1410000</v>
      </c>
      <c r="V14" s="418">
        <f>FR!AC129</f>
        <v>0</v>
      </c>
      <c r="W14" s="418">
        <f>FR!AD129</f>
        <v>54177</v>
      </c>
      <c r="X14" s="418">
        <f>FR!AE129</f>
        <v>340150</v>
      </c>
      <c r="Y14" s="418">
        <f>FR!AF129</f>
        <v>25872320</v>
      </c>
      <c r="Z14" s="418">
        <f>FR!AG129</f>
        <v>-237263</v>
      </c>
      <c r="AA14" s="418">
        <f>FR!AH129</f>
        <v>25635057</v>
      </c>
      <c r="AB14" s="418">
        <f>FR!AI129</f>
        <v>731520</v>
      </c>
      <c r="AC14" s="418">
        <f>FR!AJ129</f>
        <v>577413</v>
      </c>
      <c r="AD14" s="418">
        <f>FR!AK129</f>
        <v>0</v>
      </c>
      <c r="AE14" s="418">
        <f>FR!AL129</f>
        <v>46311</v>
      </c>
      <c r="AF14" s="418">
        <f>FR!AM129</f>
        <v>185199</v>
      </c>
      <c r="AG14" s="418">
        <f>FR!AN129</f>
        <v>0</v>
      </c>
      <c r="AH14" s="418">
        <f>FR!AO129</f>
        <v>963030</v>
      </c>
      <c r="AI14" s="418">
        <f>FR!AP129</f>
        <v>577413</v>
      </c>
      <c r="AJ14" s="418">
        <f>FR!AQ129</f>
        <v>1540443</v>
      </c>
      <c r="AK14" s="418">
        <f>FR!AR129</f>
        <v>26835350</v>
      </c>
      <c r="AL14" s="418">
        <f>FR!AS129</f>
        <v>340150</v>
      </c>
      <c r="AM14" s="418">
        <f>FR!AT129</f>
        <v>27175500</v>
      </c>
      <c r="AN14" s="418">
        <f>FR!AU129</f>
        <v>9122723</v>
      </c>
      <c r="AO14" s="418">
        <f>FR!AV129</f>
        <v>256351</v>
      </c>
      <c r="AP14" s="418">
        <f>FR!AW129</f>
        <v>64000</v>
      </c>
      <c r="AQ14" s="418">
        <f>FR!AX129</f>
        <v>0</v>
      </c>
      <c r="AR14" s="418">
        <f>FR!AY129</f>
        <v>64000</v>
      </c>
      <c r="AS14" s="418">
        <f>FR!AZ129</f>
        <v>36618574</v>
      </c>
      <c r="AT14" s="419">
        <f>FR!BA129</f>
        <v>-0.65</v>
      </c>
      <c r="AU14" s="419">
        <f>FR!BB129</f>
        <v>-0.98000000000000009</v>
      </c>
      <c r="AV14" s="419">
        <f>FR!BC129</f>
        <v>67.940000000000012</v>
      </c>
      <c r="AW14" s="419">
        <f>FR!BD129</f>
        <v>2.5</v>
      </c>
      <c r="AX14" s="419">
        <f>FR!BE129</f>
        <v>0</v>
      </c>
      <c r="AY14" s="419">
        <f>FR!BF129</f>
        <v>0</v>
      </c>
      <c r="AZ14" s="419">
        <f>FR!BG129</f>
        <v>0</v>
      </c>
      <c r="BA14" s="419">
        <f>FR!BH129</f>
        <v>0</v>
      </c>
      <c r="BB14" s="419">
        <f>FR!BI129</f>
        <v>0.1</v>
      </c>
      <c r="BC14" s="419">
        <f>FR!BJ129</f>
        <v>1.02</v>
      </c>
      <c r="BD14" s="419">
        <f>FR!BK129</f>
        <v>69.890000000000015</v>
      </c>
      <c r="BE14" s="419">
        <f>FR!BL129</f>
        <v>3.9999999999999925E-2</v>
      </c>
      <c r="BF14" s="426">
        <f>FR!BM129</f>
        <v>69.930000000000007</v>
      </c>
      <c r="BG14" s="423">
        <f>FR!BN129</f>
        <v>340999657</v>
      </c>
      <c r="BH14" s="418">
        <f>FR!BO129</f>
        <v>249396985</v>
      </c>
      <c r="BI14" s="418">
        <f>FR!BP129</f>
        <v>221750995</v>
      </c>
      <c r="BJ14" s="418">
        <f>FR!BQ129</f>
        <v>27645990</v>
      </c>
      <c r="BK14" s="418">
        <f>FR!BR129</f>
        <v>1540443</v>
      </c>
      <c r="BL14" s="418">
        <f>FR!BS129</f>
        <v>963030</v>
      </c>
      <c r="BM14" s="418">
        <f>FR!BT129</f>
        <v>577413</v>
      </c>
      <c r="BN14" s="418">
        <f>FR!BU129</f>
        <v>84754253</v>
      </c>
      <c r="BO14" s="418">
        <f>FR!BV129</f>
        <v>2493969</v>
      </c>
      <c r="BP14" s="418">
        <f>FR!BW129</f>
        <v>2814007</v>
      </c>
      <c r="BQ14" s="419">
        <f>FR!BX129</f>
        <v>467.10890000000001</v>
      </c>
      <c r="BR14" s="419">
        <f>FR!BY129</f>
        <v>381.17450000000002</v>
      </c>
      <c r="BS14" s="426">
        <f>FR!BZ129</f>
        <v>85.934399999999997</v>
      </c>
      <c r="BT14" s="423">
        <f>FR!CA129</f>
        <v>1900680</v>
      </c>
      <c r="BU14" s="418">
        <f>FR!CB129</f>
        <v>1410000</v>
      </c>
      <c r="BV14" s="418">
        <f>FR!CC129</f>
        <v>0</v>
      </c>
      <c r="BW14" s="418">
        <f>FR!CD129</f>
        <v>476580</v>
      </c>
      <c r="BX14" s="418">
        <f>FR!CE129</f>
        <v>14100</v>
      </c>
      <c r="BY14" s="527">
        <f>FR!CF129</f>
        <v>2.5</v>
      </c>
    </row>
    <row r="15" spans="1:77" s="3" customFormat="1" x14ac:dyDescent="0.2">
      <c r="A15" s="178" t="s">
        <v>248</v>
      </c>
      <c r="B15" s="423">
        <f>JN!I191</f>
        <v>614938429</v>
      </c>
      <c r="C15" s="418">
        <f>JN!J191</f>
        <v>451874820</v>
      </c>
      <c r="D15" s="418">
        <f>JN!K191</f>
        <v>393557065</v>
      </c>
      <c r="E15" s="418">
        <f>JN!L191</f>
        <v>58317755</v>
      </c>
      <c r="F15" s="418">
        <f>JN!M191</f>
        <v>0</v>
      </c>
      <c r="G15" s="418">
        <f>JN!N191</f>
        <v>0</v>
      </c>
      <c r="H15" s="418">
        <f>JN!O191</f>
        <v>0</v>
      </c>
      <c r="I15" s="418">
        <f>JN!P191</f>
        <v>152733689</v>
      </c>
      <c r="J15" s="418">
        <f>JN!Q191</f>
        <v>4518750</v>
      </c>
      <c r="K15" s="418">
        <f>JN!R191</f>
        <v>5811170</v>
      </c>
      <c r="L15" s="419">
        <f>JN!S191</f>
        <v>788.82709999999997</v>
      </c>
      <c r="M15" s="419">
        <f>JN!T191</f>
        <v>609.42650000000015</v>
      </c>
      <c r="N15" s="527">
        <f>JN!U191</f>
        <v>179.40059999999997</v>
      </c>
      <c r="O15" s="528">
        <f>JN!V191</f>
        <v>-357123</v>
      </c>
      <c r="P15" s="418">
        <f>JN!W191</f>
        <v>-243392</v>
      </c>
      <c r="Q15" s="418">
        <f>JN!X191</f>
        <v>41959984</v>
      </c>
      <c r="R15" s="418">
        <f>JN!Y191</f>
        <v>0</v>
      </c>
      <c r="S15" s="418">
        <f>JN!Z191</f>
        <v>0</v>
      </c>
      <c r="T15" s="418">
        <f>JN!AA191</f>
        <v>511726</v>
      </c>
      <c r="U15" s="418">
        <f>JN!AB191</f>
        <v>1974000</v>
      </c>
      <c r="V15" s="418">
        <f>JN!AC191</f>
        <v>0</v>
      </c>
      <c r="W15" s="418">
        <f>JN!AD191</f>
        <v>0</v>
      </c>
      <c r="X15" s="418">
        <f>JN!AE191</f>
        <v>0</v>
      </c>
      <c r="Y15" s="418">
        <f>JN!AF191</f>
        <v>44088587</v>
      </c>
      <c r="Z15" s="418">
        <f>JN!AG191</f>
        <v>-243392</v>
      </c>
      <c r="AA15" s="418">
        <f>JN!AH191</f>
        <v>43845195</v>
      </c>
      <c r="AB15" s="418">
        <f>JN!AI191</f>
        <v>357123</v>
      </c>
      <c r="AC15" s="418">
        <f>JN!AJ191</f>
        <v>243392</v>
      </c>
      <c r="AD15" s="418">
        <f>JN!AK191</f>
        <v>498012</v>
      </c>
      <c r="AE15" s="418">
        <f>JN!AL191</f>
        <v>0</v>
      </c>
      <c r="AF15" s="418">
        <f>JN!AM191</f>
        <v>220730</v>
      </c>
      <c r="AG15" s="418">
        <f>JN!AN191</f>
        <v>0</v>
      </c>
      <c r="AH15" s="418">
        <f>JN!AO191</f>
        <v>1075865</v>
      </c>
      <c r="AI15" s="418">
        <f>JN!AP191</f>
        <v>243392</v>
      </c>
      <c r="AJ15" s="418">
        <f>JN!AQ191</f>
        <v>1319257</v>
      </c>
      <c r="AK15" s="418">
        <f>JN!AR191</f>
        <v>45164452</v>
      </c>
      <c r="AL15" s="418">
        <f>JN!AS191</f>
        <v>0</v>
      </c>
      <c r="AM15" s="418">
        <f>JN!AT191</f>
        <v>45164452</v>
      </c>
      <c r="AN15" s="418">
        <f>JN!AU191</f>
        <v>15190978</v>
      </c>
      <c r="AO15" s="418">
        <f>JN!AV191</f>
        <v>438451</v>
      </c>
      <c r="AP15" s="418">
        <f>JN!AW191</f>
        <v>10750</v>
      </c>
      <c r="AQ15" s="418">
        <f>JN!AX191</f>
        <v>0</v>
      </c>
      <c r="AR15" s="418">
        <f>JN!AY191</f>
        <v>10750</v>
      </c>
      <c r="AS15" s="418">
        <f>JN!AZ191</f>
        <v>60804631</v>
      </c>
      <c r="AT15" s="419">
        <f>JN!BA191</f>
        <v>-0.27</v>
      </c>
      <c r="AU15" s="419">
        <f>JN!BB191</f>
        <v>-0.67999999999999994</v>
      </c>
      <c r="AV15" s="419">
        <f>JN!BC191</f>
        <v>111.19</v>
      </c>
      <c r="AW15" s="419">
        <f>JN!BD191</f>
        <v>3.5</v>
      </c>
      <c r="AX15" s="419">
        <f>JN!BE191</f>
        <v>0</v>
      </c>
      <c r="AY15" s="419">
        <f>JN!BF191</f>
        <v>0</v>
      </c>
      <c r="AZ15" s="419">
        <f>JN!BG191</f>
        <v>0</v>
      </c>
      <c r="BA15" s="419">
        <f>JN!BH191</f>
        <v>0.73</v>
      </c>
      <c r="BB15" s="419">
        <f>JN!BI191</f>
        <v>0</v>
      </c>
      <c r="BC15" s="419">
        <f>JN!BJ191</f>
        <v>0</v>
      </c>
      <c r="BD15" s="419">
        <f>JN!BK191</f>
        <v>115.15</v>
      </c>
      <c r="BE15" s="419">
        <f>JN!BL191</f>
        <v>-0.67999999999999994</v>
      </c>
      <c r="BF15" s="426">
        <f>JN!BM191</f>
        <v>114.47000000000001</v>
      </c>
      <c r="BG15" s="423">
        <f>JN!BN191</f>
        <v>675743060</v>
      </c>
      <c r="BH15" s="418">
        <f>JN!BO191</f>
        <v>495720015</v>
      </c>
      <c r="BI15" s="418">
        <f>JN!BP191</f>
        <v>437645652</v>
      </c>
      <c r="BJ15" s="418">
        <f>JN!BQ191</f>
        <v>58074363</v>
      </c>
      <c r="BK15" s="418">
        <f>JN!BR191</f>
        <v>1319257</v>
      </c>
      <c r="BL15" s="418">
        <f>JN!BS191</f>
        <v>1075865</v>
      </c>
      <c r="BM15" s="418">
        <f>JN!BT191</f>
        <v>243392</v>
      </c>
      <c r="BN15" s="418">
        <f>JN!BU191</f>
        <v>167924667</v>
      </c>
      <c r="BO15" s="418">
        <f>JN!BV191</f>
        <v>4957201</v>
      </c>
      <c r="BP15" s="418">
        <f>JN!BW191</f>
        <v>5821920</v>
      </c>
      <c r="BQ15" s="419">
        <f>JN!BX191</f>
        <v>903.2971</v>
      </c>
      <c r="BR15" s="419">
        <f>JN!BY191</f>
        <v>724.5764999999999</v>
      </c>
      <c r="BS15" s="426">
        <f>JN!BZ191</f>
        <v>178.72059999999999</v>
      </c>
      <c r="BT15" s="423">
        <f>JN!CA191</f>
        <v>3327292</v>
      </c>
      <c r="BU15" s="418">
        <f>JN!CB191</f>
        <v>1974000</v>
      </c>
      <c r="BV15" s="418">
        <f>JN!CC191</f>
        <v>498012</v>
      </c>
      <c r="BW15" s="418">
        <f>JN!CD191</f>
        <v>835540</v>
      </c>
      <c r="BX15" s="418">
        <f>JN!CE191</f>
        <v>19740</v>
      </c>
      <c r="BY15" s="527">
        <f>JN!CF191</f>
        <v>3.5</v>
      </c>
    </row>
    <row r="16" spans="1:77" x14ac:dyDescent="0.2">
      <c r="A16" s="178" t="s">
        <v>249</v>
      </c>
      <c r="B16" s="423">
        <f>TA!I100</f>
        <v>237985983</v>
      </c>
      <c r="C16" s="418">
        <f>TA!J100</f>
        <v>174846836</v>
      </c>
      <c r="D16" s="418">
        <f>TA!K100</f>
        <v>154095845</v>
      </c>
      <c r="E16" s="418">
        <f>TA!L100</f>
        <v>20750991</v>
      </c>
      <c r="F16" s="418">
        <f>TA!M100</f>
        <v>0</v>
      </c>
      <c r="G16" s="418">
        <f>TA!N100</f>
        <v>0</v>
      </c>
      <c r="H16" s="418">
        <f>TA!O100</f>
        <v>0</v>
      </c>
      <c r="I16" s="418">
        <f>TA!P100</f>
        <v>59098229</v>
      </c>
      <c r="J16" s="418">
        <f>TA!Q100</f>
        <v>1748467</v>
      </c>
      <c r="K16" s="418">
        <f>TA!R100</f>
        <v>2292451</v>
      </c>
      <c r="L16" s="419">
        <f>TA!S100</f>
        <v>310.30059999999997</v>
      </c>
      <c r="M16" s="419">
        <f>TA!T100</f>
        <v>247.3844</v>
      </c>
      <c r="N16" s="527">
        <f>TA!U100</f>
        <v>62.916200000000003</v>
      </c>
      <c r="O16" s="528">
        <f>TA!V100</f>
        <v>-396800</v>
      </c>
      <c r="P16" s="418">
        <f>TA!W100</f>
        <v>-359210</v>
      </c>
      <c r="Q16" s="418">
        <f>TA!X100</f>
        <v>23833458</v>
      </c>
      <c r="R16" s="418">
        <f>TA!Y100</f>
        <v>0</v>
      </c>
      <c r="S16" s="418">
        <f>TA!Z100</f>
        <v>0</v>
      </c>
      <c r="T16" s="418">
        <f>TA!AA100</f>
        <v>39720</v>
      </c>
      <c r="U16" s="418">
        <f>TA!AB100</f>
        <v>1297200</v>
      </c>
      <c r="V16" s="418">
        <f>TA!AC100</f>
        <v>0</v>
      </c>
      <c r="W16" s="418">
        <f>TA!AD100</f>
        <v>0</v>
      </c>
      <c r="X16" s="418">
        <f>TA!AE100</f>
        <v>0</v>
      </c>
      <c r="Y16" s="418">
        <f>TA!AF100</f>
        <v>24773578</v>
      </c>
      <c r="Z16" s="418">
        <f>TA!AG100</f>
        <v>-359210</v>
      </c>
      <c r="AA16" s="418">
        <f>TA!AH100</f>
        <v>24414368</v>
      </c>
      <c r="AB16" s="418">
        <f>TA!AI100</f>
        <v>396800</v>
      </c>
      <c r="AC16" s="418">
        <f>TA!AJ100</f>
        <v>359210</v>
      </c>
      <c r="AD16" s="418">
        <f>TA!AK100</f>
        <v>112800</v>
      </c>
      <c r="AE16" s="418">
        <f>TA!AL100</f>
        <v>27840</v>
      </c>
      <c r="AF16" s="418">
        <f>TA!AM100</f>
        <v>0</v>
      </c>
      <c r="AG16" s="418">
        <f>TA!AN100</f>
        <v>0</v>
      </c>
      <c r="AH16" s="418">
        <f>TA!AO100</f>
        <v>537440</v>
      </c>
      <c r="AI16" s="418">
        <f>TA!AP100</f>
        <v>359210</v>
      </c>
      <c r="AJ16" s="418">
        <f>TA!AQ100</f>
        <v>896650</v>
      </c>
      <c r="AK16" s="418">
        <f>TA!AR100</f>
        <v>25311018</v>
      </c>
      <c r="AL16" s="418">
        <f>TA!AS100</f>
        <v>0</v>
      </c>
      <c r="AM16" s="418">
        <f>TA!AT100</f>
        <v>25311018</v>
      </c>
      <c r="AN16" s="418">
        <f>TA!AU100</f>
        <v>8555126</v>
      </c>
      <c r="AO16" s="418">
        <f>TA!AV100</f>
        <v>244144</v>
      </c>
      <c r="AP16" s="418">
        <f>TA!AW100</f>
        <v>5000</v>
      </c>
      <c r="AQ16" s="418">
        <f>TA!AX100</f>
        <v>0</v>
      </c>
      <c r="AR16" s="418">
        <f>TA!AY100</f>
        <v>5000</v>
      </c>
      <c r="AS16" s="418">
        <f>TA!AZ100</f>
        <v>34115288</v>
      </c>
      <c r="AT16" s="419">
        <f>TA!BA100</f>
        <v>-0.23</v>
      </c>
      <c r="AU16" s="419">
        <f>TA!BB100</f>
        <v>-0.9900000000000001</v>
      </c>
      <c r="AV16" s="419">
        <f>TA!BC100</f>
        <v>63.67</v>
      </c>
      <c r="AW16" s="419">
        <f>TA!BD100</f>
        <v>2.2999999999999998</v>
      </c>
      <c r="AX16" s="419">
        <f>TA!BE100</f>
        <v>0</v>
      </c>
      <c r="AY16" s="419">
        <f>TA!BF100</f>
        <v>0</v>
      </c>
      <c r="AZ16" s="419">
        <f>TA!BG100</f>
        <v>0</v>
      </c>
      <c r="BA16" s="419">
        <f>TA!BH100</f>
        <v>0.05</v>
      </c>
      <c r="BB16" s="419">
        <f>TA!BI100</f>
        <v>0</v>
      </c>
      <c r="BC16" s="419">
        <f>TA!BJ100</f>
        <v>0</v>
      </c>
      <c r="BD16" s="419">
        <f>TA!BK100</f>
        <v>65.790000000000006</v>
      </c>
      <c r="BE16" s="419">
        <f>TA!BL100</f>
        <v>-0.9900000000000001</v>
      </c>
      <c r="BF16" s="426">
        <f>TA!BM100</f>
        <v>64.800000000000011</v>
      </c>
      <c r="BG16" s="423">
        <f>TA!BN100</f>
        <v>272101271</v>
      </c>
      <c r="BH16" s="418">
        <f>TA!BO100</f>
        <v>199261204</v>
      </c>
      <c r="BI16" s="418">
        <f>TA!BP100</f>
        <v>178869423</v>
      </c>
      <c r="BJ16" s="418">
        <f>TA!BQ100</f>
        <v>20391781</v>
      </c>
      <c r="BK16" s="418">
        <f>TA!BR100</f>
        <v>896650</v>
      </c>
      <c r="BL16" s="418">
        <f>TA!BS100</f>
        <v>537440</v>
      </c>
      <c r="BM16" s="418">
        <f>TA!BT100</f>
        <v>359210</v>
      </c>
      <c r="BN16" s="418">
        <f>TA!BU100</f>
        <v>67653355</v>
      </c>
      <c r="BO16" s="418">
        <f>TA!BV100</f>
        <v>1992611</v>
      </c>
      <c r="BP16" s="418">
        <f>TA!BW100</f>
        <v>2297451</v>
      </c>
      <c r="BQ16" s="419">
        <f>TA!BX100</f>
        <v>375.10060000000004</v>
      </c>
      <c r="BR16" s="419">
        <f>TA!BY100</f>
        <v>313.17439999999999</v>
      </c>
      <c r="BS16" s="426">
        <f>TA!BZ100</f>
        <v>61.926200000000009</v>
      </c>
      <c r="BT16" s="423">
        <f>TA!CA100</f>
        <v>1899552</v>
      </c>
      <c r="BU16" s="418">
        <f>TA!CB100</f>
        <v>1297200</v>
      </c>
      <c r="BV16" s="418">
        <f>TA!CC100</f>
        <v>112800</v>
      </c>
      <c r="BW16" s="418">
        <f>TA!CD100</f>
        <v>476580</v>
      </c>
      <c r="BX16" s="418">
        <f>TA!CE100</f>
        <v>12972</v>
      </c>
      <c r="BY16" s="527">
        <f>TA!CF100</f>
        <v>2.2999999999999998</v>
      </c>
    </row>
    <row r="17" spans="1:77" x14ac:dyDescent="0.2">
      <c r="A17" s="178" t="s">
        <v>250</v>
      </c>
      <c r="B17" s="423">
        <f>ŽB!I74</f>
        <v>142204607</v>
      </c>
      <c r="C17" s="418">
        <f>ŽB!J74</f>
        <v>104542344</v>
      </c>
      <c r="D17" s="418">
        <f>ŽB!K74</f>
        <v>90963435</v>
      </c>
      <c r="E17" s="418">
        <f>ŽB!L74</f>
        <v>13578909</v>
      </c>
      <c r="F17" s="418">
        <f>ŽB!M74</f>
        <v>0</v>
      </c>
      <c r="G17" s="418">
        <f>ŽB!N74</f>
        <v>0</v>
      </c>
      <c r="H17" s="418">
        <f>ŽB!O74</f>
        <v>0</v>
      </c>
      <c r="I17" s="418">
        <f>ŽB!P74</f>
        <v>35335313</v>
      </c>
      <c r="J17" s="418">
        <f>ŽB!Q74</f>
        <v>1045426</v>
      </c>
      <c r="K17" s="418">
        <f>ŽB!R74</f>
        <v>1281524</v>
      </c>
      <c r="L17" s="419">
        <f>ŽB!S74</f>
        <v>182.32989999999998</v>
      </c>
      <c r="M17" s="419">
        <f>ŽB!T74</f>
        <v>141.21979999999999</v>
      </c>
      <c r="N17" s="527">
        <f>ŽB!U74</f>
        <v>41.110100000000003</v>
      </c>
      <c r="O17" s="528">
        <f>ŽB!V74</f>
        <v>-259533</v>
      </c>
      <c r="P17" s="418">
        <f>ŽB!W74</f>
        <v>-197504</v>
      </c>
      <c r="Q17" s="418">
        <f>ŽB!X74</f>
        <v>8170534</v>
      </c>
      <c r="R17" s="418">
        <f>ŽB!Y74</f>
        <v>0</v>
      </c>
      <c r="S17" s="418">
        <f>ŽB!Z74</f>
        <v>0</v>
      </c>
      <c r="T17" s="418">
        <f>ŽB!AA74</f>
        <v>121808</v>
      </c>
      <c r="U17" s="418">
        <f>ŽB!AB74</f>
        <v>282000</v>
      </c>
      <c r="V17" s="418">
        <f>ŽB!AC74</f>
        <v>0</v>
      </c>
      <c r="W17" s="418">
        <f>ŽB!AD74</f>
        <v>0</v>
      </c>
      <c r="X17" s="418">
        <f>ŽB!AE74</f>
        <v>0</v>
      </c>
      <c r="Y17" s="418">
        <f>ŽB!AF74</f>
        <v>8314809</v>
      </c>
      <c r="Z17" s="418">
        <f>ŽB!AG74</f>
        <v>-197504</v>
      </c>
      <c r="AA17" s="418">
        <f>ŽB!AH74</f>
        <v>8117305</v>
      </c>
      <c r="AB17" s="418">
        <f>ŽB!AI74</f>
        <v>259533</v>
      </c>
      <c r="AC17" s="418">
        <f>ŽB!AJ74</f>
        <v>197504</v>
      </c>
      <c r="AD17" s="418">
        <f>ŽB!AK74</f>
        <v>0</v>
      </c>
      <c r="AE17" s="418">
        <f>ŽB!AL74</f>
        <v>0</v>
      </c>
      <c r="AF17" s="418">
        <f>ŽB!AM74</f>
        <v>0</v>
      </c>
      <c r="AG17" s="418">
        <f>ŽB!AN74</f>
        <v>0</v>
      </c>
      <c r="AH17" s="418">
        <f>ŽB!AO74</f>
        <v>259533</v>
      </c>
      <c r="AI17" s="418">
        <f>ŽB!AP74</f>
        <v>197504</v>
      </c>
      <c r="AJ17" s="418">
        <f>ŽB!AQ74</f>
        <v>457037</v>
      </c>
      <c r="AK17" s="418">
        <f>ŽB!AR74</f>
        <v>8574342</v>
      </c>
      <c r="AL17" s="418">
        <f>ŽB!AS74</f>
        <v>0</v>
      </c>
      <c r="AM17" s="418">
        <f>ŽB!AT74</f>
        <v>8574342</v>
      </c>
      <c r="AN17" s="418">
        <f>ŽB!AU74</f>
        <v>2898127</v>
      </c>
      <c r="AO17" s="418">
        <f>ŽB!AV74</f>
        <v>81174</v>
      </c>
      <c r="AP17" s="418">
        <f>ŽB!AW74</f>
        <v>7750</v>
      </c>
      <c r="AQ17" s="418">
        <f>ŽB!AX74</f>
        <v>0</v>
      </c>
      <c r="AR17" s="418">
        <f>ŽB!AY74</f>
        <v>7750</v>
      </c>
      <c r="AS17" s="418">
        <f>ŽB!AZ74</f>
        <v>11561393</v>
      </c>
      <c r="AT17" s="419">
        <f>ŽB!BA74</f>
        <v>-0.32</v>
      </c>
      <c r="AU17" s="419">
        <f>ŽB!BB74</f>
        <v>-0.52</v>
      </c>
      <c r="AV17" s="419">
        <f>ŽB!BC74</f>
        <v>21.810000000000002</v>
      </c>
      <c r="AW17" s="419">
        <f>ŽB!BD74</f>
        <v>0.5</v>
      </c>
      <c r="AX17" s="419">
        <f>ŽB!BE74</f>
        <v>0</v>
      </c>
      <c r="AY17" s="419">
        <f>ŽB!BF74</f>
        <v>0</v>
      </c>
      <c r="AZ17" s="419">
        <f>ŽB!BG74</f>
        <v>0</v>
      </c>
      <c r="BA17" s="419">
        <f>ŽB!BH74</f>
        <v>0.17</v>
      </c>
      <c r="BB17" s="419">
        <f>ŽB!BI74</f>
        <v>0</v>
      </c>
      <c r="BC17" s="419">
        <f>ŽB!BJ74</f>
        <v>0</v>
      </c>
      <c r="BD17" s="419">
        <f>ŽB!BK74</f>
        <v>22.160000000000004</v>
      </c>
      <c r="BE17" s="419">
        <f>ŽB!BL74</f>
        <v>-0.52</v>
      </c>
      <c r="BF17" s="426">
        <f>ŽB!BM74</f>
        <v>21.64</v>
      </c>
      <c r="BG17" s="423">
        <f>ŽB!BN74</f>
        <v>153766000</v>
      </c>
      <c r="BH17" s="418">
        <f>ŽB!BO74</f>
        <v>112659649</v>
      </c>
      <c r="BI17" s="418">
        <f>ŽB!BP74</f>
        <v>99278244</v>
      </c>
      <c r="BJ17" s="418">
        <f>ŽB!BQ74</f>
        <v>13381405</v>
      </c>
      <c r="BK17" s="418">
        <f>ŽB!BR74</f>
        <v>457037</v>
      </c>
      <c r="BL17" s="418">
        <f>ŽB!BS74</f>
        <v>259533</v>
      </c>
      <c r="BM17" s="418">
        <f>ŽB!BT74</f>
        <v>197504</v>
      </c>
      <c r="BN17" s="418">
        <f>ŽB!BU74</f>
        <v>38233440</v>
      </c>
      <c r="BO17" s="418">
        <f>ŽB!BV74</f>
        <v>1126600</v>
      </c>
      <c r="BP17" s="418">
        <f>ŽB!BW74</f>
        <v>1289274</v>
      </c>
      <c r="BQ17" s="419">
        <f>ŽB!BX74</f>
        <v>203.9699</v>
      </c>
      <c r="BR17" s="419">
        <f>ŽB!BY74</f>
        <v>163.37979999999999</v>
      </c>
      <c r="BS17" s="426">
        <f>ŽB!BZ74</f>
        <v>40.590099999999993</v>
      </c>
      <c r="BT17" s="423">
        <f>ŽB!CA74</f>
        <v>380136</v>
      </c>
      <c r="BU17" s="418">
        <f>ŽB!CB74</f>
        <v>282000</v>
      </c>
      <c r="BV17" s="418">
        <f>ŽB!CC74</f>
        <v>0</v>
      </c>
      <c r="BW17" s="418">
        <f>ŽB!CD74</f>
        <v>95316</v>
      </c>
      <c r="BX17" s="418">
        <f>ŽB!CE74</f>
        <v>2820</v>
      </c>
      <c r="BY17" s="527">
        <f>ŽB!CF74</f>
        <v>0.5</v>
      </c>
    </row>
    <row r="18" spans="1:77" s="3" customFormat="1" x14ac:dyDescent="0.2">
      <c r="A18" s="178" t="s">
        <v>251</v>
      </c>
      <c r="B18" s="423">
        <f>ČL!I293</f>
        <v>957145975</v>
      </c>
      <c r="C18" s="418">
        <f>ČL!J293</f>
        <v>703752738</v>
      </c>
      <c r="D18" s="418">
        <f>ČL!K293</f>
        <v>620688368</v>
      </c>
      <c r="E18" s="418">
        <f>ČL!L293</f>
        <v>83064370</v>
      </c>
      <c r="F18" s="418">
        <f>ČL!M293</f>
        <v>0</v>
      </c>
      <c r="G18" s="418">
        <f>ČL!N293</f>
        <v>0</v>
      </c>
      <c r="H18" s="418">
        <f>ČL!O293</f>
        <v>0</v>
      </c>
      <c r="I18" s="418">
        <f>ČL!P293</f>
        <v>237868423</v>
      </c>
      <c r="J18" s="418">
        <f>ČL!Q293</f>
        <v>7037523</v>
      </c>
      <c r="K18" s="418">
        <f>ČL!R293</f>
        <v>8487291</v>
      </c>
      <c r="L18" s="419">
        <f>ČL!S293</f>
        <v>1228.6273000000001</v>
      </c>
      <c r="M18" s="419">
        <f>ČL!T293</f>
        <v>973.42289999999991</v>
      </c>
      <c r="N18" s="527">
        <f>ČL!U293</f>
        <v>255.20439999999999</v>
      </c>
      <c r="O18" s="528">
        <f>ČL!V293</f>
        <v>-1458035</v>
      </c>
      <c r="P18" s="418">
        <f>ČL!W293</f>
        <v>-781248</v>
      </c>
      <c r="Q18" s="418">
        <f>ČL!X293</f>
        <v>59593898</v>
      </c>
      <c r="R18" s="418">
        <f>ČL!Y293</f>
        <v>0</v>
      </c>
      <c r="S18" s="418">
        <f>ČL!Z293</f>
        <v>0</v>
      </c>
      <c r="T18" s="418">
        <f>ČL!AA293</f>
        <v>983732</v>
      </c>
      <c r="U18" s="418">
        <f>ČL!AB293</f>
        <v>1410000</v>
      </c>
      <c r="V18" s="418">
        <f>ČL!AC293</f>
        <v>0</v>
      </c>
      <c r="W18" s="418">
        <f>ČL!AD293</f>
        <v>-283448</v>
      </c>
      <c r="X18" s="418">
        <f>ČL!AE293</f>
        <v>231213</v>
      </c>
      <c r="Y18" s="418">
        <f>ČL!AF293</f>
        <v>60246147</v>
      </c>
      <c r="Z18" s="418">
        <f>ČL!AG293</f>
        <v>-550035</v>
      </c>
      <c r="AA18" s="418">
        <f>ČL!AH293</f>
        <v>59696112</v>
      </c>
      <c r="AB18" s="418">
        <f>ČL!AI293</f>
        <v>1458035</v>
      </c>
      <c r="AC18" s="418">
        <f>ČL!AJ293</f>
        <v>781248</v>
      </c>
      <c r="AD18" s="418">
        <f>ČL!AK293</f>
        <v>112800</v>
      </c>
      <c r="AE18" s="418">
        <f>ČL!AL293</f>
        <v>317760</v>
      </c>
      <c r="AF18" s="418">
        <f>ČL!AM293</f>
        <v>0</v>
      </c>
      <c r="AG18" s="418">
        <f>ČL!AN293</f>
        <v>0</v>
      </c>
      <c r="AH18" s="418">
        <f>ČL!AO293</f>
        <v>1888595</v>
      </c>
      <c r="AI18" s="418">
        <f>ČL!AP293</f>
        <v>781248</v>
      </c>
      <c r="AJ18" s="418">
        <f>ČL!AQ293</f>
        <v>2669843</v>
      </c>
      <c r="AK18" s="418">
        <f>ČL!AR293</f>
        <v>62134742</v>
      </c>
      <c r="AL18" s="418">
        <f>ČL!AS293</f>
        <v>231213</v>
      </c>
      <c r="AM18" s="418">
        <f>ČL!AT293</f>
        <v>62365955</v>
      </c>
      <c r="AN18" s="418">
        <f>ČL!AU293</f>
        <v>21079696</v>
      </c>
      <c r="AO18" s="418">
        <f>ČL!AV293</f>
        <v>596961</v>
      </c>
      <c r="AP18" s="418">
        <f>ČL!AW293</f>
        <v>83700</v>
      </c>
      <c r="AQ18" s="418">
        <f>ČL!AX293</f>
        <v>0</v>
      </c>
      <c r="AR18" s="418">
        <f>ČL!AY293</f>
        <v>83700</v>
      </c>
      <c r="AS18" s="418">
        <f>ČL!AZ293</f>
        <v>84126312</v>
      </c>
      <c r="AT18" s="419">
        <f>ČL!BA293</f>
        <v>-2.3199999999999998</v>
      </c>
      <c r="AU18" s="419">
        <f>ČL!BB293</f>
        <v>-2.48</v>
      </c>
      <c r="AV18" s="419">
        <f>ČL!BC293</f>
        <v>162.01999999999995</v>
      </c>
      <c r="AW18" s="419">
        <f>ČL!BD293</f>
        <v>2.5</v>
      </c>
      <c r="AX18" s="419">
        <f>ČL!BE293</f>
        <v>0</v>
      </c>
      <c r="AY18" s="419">
        <f>ČL!BF293</f>
        <v>0</v>
      </c>
      <c r="AZ18" s="419">
        <f>ČL!BG293</f>
        <v>0</v>
      </c>
      <c r="BA18" s="419">
        <f>ČL!BH293</f>
        <v>1.4100000000000004</v>
      </c>
      <c r="BB18" s="419">
        <f>ČL!BI293</f>
        <v>-0.41000000000000003</v>
      </c>
      <c r="BC18" s="419">
        <f>ČL!BJ293</f>
        <v>0.69</v>
      </c>
      <c r="BD18" s="419">
        <f>ČL!BK293</f>
        <v>163.19999999999999</v>
      </c>
      <c r="BE18" s="419">
        <f>ČL!BL293</f>
        <v>-1.7900000000000005</v>
      </c>
      <c r="BF18" s="426">
        <f>ČL!BM293</f>
        <v>161.41</v>
      </c>
      <c r="BG18" s="423">
        <f>ČL!BN293</f>
        <v>1041272287</v>
      </c>
      <c r="BH18" s="418">
        <f>ČL!BO293</f>
        <v>763448850</v>
      </c>
      <c r="BI18" s="418">
        <f>ČL!BP293</f>
        <v>680934515</v>
      </c>
      <c r="BJ18" s="418">
        <f>ČL!BQ293</f>
        <v>82514335</v>
      </c>
      <c r="BK18" s="418">
        <f>ČL!BR293</f>
        <v>2669843</v>
      </c>
      <c r="BL18" s="418">
        <f>ČL!BS293</f>
        <v>1888595</v>
      </c>
      <c r="BM18" s="418">
        <f>ČL!BT293</f>
        <v>781248</v>
      </c>
      <c r="BN18" s="418">
        <f>ČL!BU293</f>
        <v>258948119</v>
      </c>
      <c r="BO18" s="418">
        <f>ČL!BV293</f>
        <v>7634484</v>
      </c>
      <c r="BP18" s="418">
        <f>ČL!BW293</f>
        <v>8570991</v>
      </c>
      <c r="BQ18" s="419">
        <f>ČL!BX293</f>
        <v>1390.0373000000002</v>
      </c>
      <c r="BR18" s="419">
        <f>ČL!BY293</f>
        <v>1136.6228999999998</v>
      </c>
      <c r="BS18" s="426">
        <f>ČL!BZ293</f>
        <v>253.4144</v>
      </c>
      <c r="BT18" s="423">
        <f>ČL!CA293</f>
        <v>2051606</v>
      </c>
      <c r="BU18" s="418">
        <f>ČL!CB293</f>
        <v>1410000</v>
      </c>
      <c r="BV18" s="418">
        <f>ČL!CC293</f>
        <v>112800</v>
      </c>
      <c r="BW18" s="418">
        <f>ČL!CD293</f>
        <v>514706</v>
      </c>
      <c r="BX18" s="418">
        <f>ČL!CE293</f>
        <v>14100</v>
      </c>
      <c r="BY18" s="527">
        <f>ČL!CF293</f>
        <v>2.5</v>
      </c>
    </row>
    <row r="19" spans="1:77" x14ac:dyDescent="0.2">
      <c r="A19" s="178" t="s">
        <v>252</v>
      </c>
      <c r="B19" s="423">
        <f>NB!I124</f>
        <v>316977109</v>
      </c>
      <c r="C19" s="418">
        <f>NB!J124</f>
        <v>233049288</v>
      </c>
      <c r="D19" s="418">
        <f>NB!K124</f>
        <v>204103593</v>
      </c>
      <c r="E19" s="418">
        <f>NB!L124</f>
        <v>28945695</v>
      </c>
      <c r="F19" s="418">
        <f>NB!M124</f>
        <v>0</v>
      </c>
      <c r="G19" s="418">
        <f>NB!N124</f>
        <v>0</v>
      </c>
      <c r="H19" s="418">
        <f>NB!O124</f>
        <v>0</v>
      </c>
      <c r="I19" s="418">
        <f>NB!P124</f>
        <v>78770655</v>
      </c>
      <c r="J19" s="418">
        <f>NB!Q124</f>
        <v>2330497</v>
      </c>
      <c r="K19" s="418">
        <f>NB!R124</f>
        <v>2826669</v>
      </c>
      <c r="L19" s="419">
        <f>NB!S124</f>
        <v>408.78740000000005</v>
      </c>
      <c r="M19" s="419">
        <f>NB!T124</f>
        <v>320.0394</v>
      </c>
      <c r="N19" s="527">
        <f>NB!U124</f>
        <v>88.74799999999999</v>
      </c>
      <c r="O19" s="528">
        <f>NB!V124</f>
        <v>-442240</v>
      </c>
      <c r="P19" s="418">
        <f>NB!W124</f>
        <v>-396160</v>
      </c>
      <c r="Q19" s="418">
        <f>NB!X124</f>
        <v>18640237</v>
      </c>
      <c r="R19" s="418">
        <f>NB!Y124</f>
        <v>0</v>
      </c>
      <c r="S19" s="418">
        <f>NB!Z124</f>
        <v>0</v>
      </c>
      <c r="T19" s="418">
        <f>NB!AA124</f>
        <v>0</v>
      </c>
      <c r="U19" s="418">
        <f>NB!AB124</f>
        <v>338400</v>
      </c>
      <c r="V19" s="418">
        <f>NB!AC124</f>
        <v>0</v>
      </c>
      <c r="W19" s="418">
        <f>NB!AD124</f>
        <v>0</v>
      </c>
      <c r="X19" s="418">
        <f>NB!AE124</f>
        <v>0</v>
      </c>
      <c r="Y19" s="418">
        <f>NB!AF124</f>
        <v>18536397</v>
      </c>
      <c r="Z19" s="418">
        <f>NB!AG124</f>
        <v>-396160</v>
      </c>
      <c r="AA19" s="418">
        <f>NB!AH124</f>
        <v>18140237</v>
      </c>
      <c r="AB19" s="418">
        <f>NB!AI124</f>
        <v>442240</v>
      </c>
      <c r="AC19" s="418">
        <f>NB!AJ124</f>
        <v>396160</v>
      </c>
      <c r="AD19" s="418">
        <f>NB!AK124</f>
        <v>0</v>
      </c>
      <c r="AE19" s="418">
        <f>NB!AL124</f>
        <v>105920</v>
      </c>
      <c r="AF19" s="418">
        <f>NB!AM124</f>
        <v>0</v>
      </c>
      <c r="AG19" s="418">
        <f>NB!AN124</f>
        <v>0</v>
      </c>
      <c r="AH19" s="418">
        <f>NB!AO124</f>
        <v>548160</v>
      </c>
      <c r="AI19" s="418">
        <f>NB!AP124</f>
        <v>396160</v>
      </c>
      <c r="AJ19" s="418">
        <f>NB!AQ124</f>
        <v>944320</v>
      </c>
      <c r="AK19" s="418">
        <f>NB!AR124</f>
        <v>19084557</v>
      </c>
      <c r="AL19" s="418">
        <f>NB!AS124</f>
        <v>0</v>
      </c>
      <c r="AM19" s="418">
        <f>NB!AT124</f>
        <v>19084557</v>
      </c>
      <c r="AN19" s="418">
        <f>NB!AU124</f>
        <v>6450582</v>
      </c>
      <c r="AO19" s="418">
        <f>NB!AV124</f>
        <v>181402</v>
      </c>
      <c r="AP19" s="418">
        <f>NB!AW124</f>
        <v>16500</v>
      </c>
      <c r="AQ19" s="418">
        <f>NB!AX124</f>
        <v>0</v>
      </c>
      <c r="AR19" s="418">
        <f>NB!AY124</f>
        <v>16500</v>
      </c>
      <c r="AS19" s="418">
        <f>NB!AZ124</f>
        <v>25733041</v>
      </c>
      <c r="AT19" s="419">
        <f>NB!BA124</f>
        <v>-0.41000000000000003</v>
      </c>
      <c r="AU19" s="419">
        <f>NB!BB124</f>
        <v>-0.88000000000000012</v>
      </c>
      <c r="AV19" s="419">
        <f>NB!BC124</f>
        <v>51.7</v>
      </c>
      <c r="AW19" s="419">
        <f>NB!BD124</f>
        <v>0.60000000000000009</v>
      </c>
      <c r="AX19" s="419">
        <f>NB!BE124</f>
        <v>0</v>
      </c>
      <c r="AY19" s="419">
        <f>NB!BF124</f>
        <v>0</v>
      </c>
      <c r="AZ19" s="419">
        <f>NB!BG124</f>
        <v>0</v>
      </c>
      <c r="BA19" s="419">
        <f>NB!BH124</f>
        <v>0</v>
      </c>
      <c r="BB19" s="419">
        <f>NB!BI124</f>
        <v>0</v>
      </c>
      <c r="BC19" s="419">
        <f>NB!BJ124</f>
        <v>0</v>
      </c>
      <c r="BD19" s="419">
        <f>NB!BK124</f>
        <v>51.89</v>
      </c>
      <c r="BE19" s="419">
        <f>NB!BL124</f>
        <v>-0.88000000000000012</v>
      </c>
      <c r="BF19" s="426">
        <f>NB!BM124</f>
        <v>51.010000000000005</v>
      </c>
      <c r="BG19" s="423">
        <f>NB!BN124</f>
        <v>342710150</v>
      </c>
      <c r="BH19" s="418">
        <f>NB!BO124</f>
        <v>251189525</v>
      </c>
      <c r="BI19" s="418">
        <f>NB!BP124</f>
        <v>222639990</v>
      </c>
      <c r="BJ19" s="418">
        <f>NB!BQ124</f>
        <v>28549535</v>
      </c>
      <c r="BK19" s="418">
        <f>NB!BR124</f>
        <v>944320</v>
      </c>
      <c r="BL19" s="418">
        <f>NB!BS124</f>
        <v>548160</v>
      </c>
      <c r="BM19" s="418">
        <f>NB!BT124</f>
        <v>396160</v>
      </c>
      <c r="BN19" s="418">
        <f>NB!BU124</f>
        <v>85221237</v>
      </c>
      <c r="BO19" s="418">
        <f>NB!BV124</f>
        <v>2511899</v>
      </c>
      <c r="BP19" s="418">
        <f>NB!BW124</f>
        <v>2843169</v>
      </c>
      <c r="BQ19" s="419">
        <f>NB!BX124</f>
        <v>459.79740000000004</v>
      </c>
      <c r="BR19" s="419">
        <f>NB!BY124</f>
        <v>371.92940000000004</v>
      </c>
      <c r="BS19" s="426">
        <f>NB!BZ124</f>
        <v>87.867999999999995</v>
      </c>
      <c r="BT19" s="423">
        <f>NB!CA124</f>
        <v>456163</v>
      </c>
      <c r="BU19" s="418">
        <f>NB!CB124</f>
        <v>338400</v>
      </c>
      <c r="BV19" s="418">
        <f>NB!CC124</f>
        <v>0</v>
      </c>
      <c r="BW19" s="418">
        <f>NB!CD124</f>
        <v>114379</v>
      </c>
      <c r="BX19" s="418">
        <f>NB!CE124</f>
        <v>3384</v>
      </c>
      <c r="BY19" s="527">
        <f>NB!CF124</f>
        <v>0.60000000000000009</v>
      </c>
    </row>
    <row r="20" spans="1:77" x14ac:dyDescent="0.2">
      <c r="A20" s="178" t="s">
        <v>253</v>
      </c>
      <c r="B20" s="423">
        <f>SM!I166</f>
        <v>339971359</v>
      </c>
      <c r="C20" s="418">
        <f>SM!J166</f>
        <v>250098941</v>
      </c>
      <c r="D20" s="418">
        <f>SM!K166</f>
        <v>218454115</v>
      </c>
      <c r="E20" s="418">
        <f>SM!L166</f>
        <v>31644826</v>
      </c>
      <c r="F20" s="418">
        <f>SM!M166</f>
        <v>0</v>
      </c>
      <c r="G20" s="418">
        <f>SM!N166</f>
        <v>0</v>
      </c>
      <c r="H20" s="418">
        <f>SM!O166</f>
        <v>0</v>
      </c>
      <c r="I20" s="418">
        <f>SM!P166</f>
        <v>84533440</v>
      </c>
      <c r="J20" s="418">
        <f>SM!Q166</f>
        <v>2500991</v>
      </c>
      <c r="K20" s="418">
        <f>SM!R166</f>
        <v>2837987</v>
      </c>
      <c r="L20" s="419">
        <f>SM!S166</f>
        <v>438.74279999999999</v>
      </c>
      <c r="M20" s="419">
        <f>SM!T166</f>
        <v>343.10930000000008</v>
      </c>
      <c r="N20" s="527">
        <f>SM!U166</f>
        <v>95.633499999999998</v>
      </c>
      <c r="O20" s="528">
        <f>SM!V166</f>
        <v>-776960</v>
      </c>
      <c r="P20" s="418">
        <f>SM!W166</f>
        <v>-244608</v>
      </c>
      <c r="Q20" s="418">
        <f>SM!X166</f>
        <v>18050484</v>
      </c>
      <c r="R20" s="418">
        <f>SM!Y166</f>
        <v>0</v>
      </c>
      <c r="S20" s="418">
        <f>SM!Z166</f>
        <v>0</v>
      </c>
      <c r="T20" s="418">
        <f>SM!AA166</f>
        <v>30452</v>
      </c>
      <c r="U20" s="418">
        <f>SM!AB166</f>
        <v>1240800</v>
      </c>
      <c r="V20" s="418">
        <f>SM!AC166</f>
        <v>0</v>
      </c>
      <c r="W20" s="418">
        <f>SM!AD166</f>
        <v>0</v>
      </c>
      <c r="X20" s="418">
        <f>SM!AE166</f>
        <v>0</v>
      </c>
      <c r="Y20" s="418">
        <f>SM!AF166</f>
        <v>18544776</v>
      </c>
      <c r="Z20" s="418">
        <f>SM!AG166</f>
        <v>-244608</v>
      </c>
      <c r="AA20" s="418">
        <f>SM!AH166</f>
        <v>18300168</v>
      </c>
      <c r="AB20" s="418">
        <f>SM!AI166</f>
        <v>776960</v>
      </c>
      <c r="AC20" s="418">
        <f>SM!AJ166</f>
        <v>244608</v>
      </c>
      <c r="AD20" s="418">
        <f>SM!AK166</f>
        <v>225600</v>
      </c>
      <c r="AE20" s="418">
        <f>SM!AL166</f>
        <v>238760</v>
      </c>
      <c r="AF20" s="418">
        <f>SM!AM166</f>
        <v>101733</v>
      </c>
      <c r="AG20" s="418">
        <f>SM!AN166</f>
        <v>74880</v>
      </c>
      <c r="AH20" s="418">
        <f>SM!AO166</f>
        <v>1343053</v>
      </c>
      <c r="AI20" s="418">
        <f>SM!AP166</f>
        <v>319488</v>
      </c>
      <c r="AJ20" s="418">
        <f>SM!AQ166</f>
        <v>1662541</v>
      </c>
      <c r="AK20" s="418">
        <f>SM!AR166</f>
        <v>19887829</v>
      </c>
      <c r="AL20" s="418">
        <f>SM!AS166</f>
        <v>74880</v>
      </c>
      <c r="AM20" s="418">
        <f>SM!AT166</f>
        <v>19962709</v>
      </c>
      <c r="AN20" s="418">
        <f>SM!AU166</f>
        <v>6687702</v>
      </c>
      <c r="AO20" s="418">
        <f>SM!AV166</f>
        <v>182998</v>
      </c>
      <c r="AP20" s="418">
        <f>SM!AW166</f>
        <v>16150</v>
      </c>
      <c r="AQ20" s="418">
        <f>SM!AX166</f>
        <v>0</v>
      </c>
      <c r="AR20" s="418">
        <f>SM!AY166</f>
        <v>16150</v>
      </c>
      <c r="AS20" s="418">
        <f>SM!AZ166</f>
        <v>26849559</v>
      </c>
      <c r="AT20" s="419">
        <f>SM!BA166</f>
        <v>-0.76000000000000012</v>
      </c>
      <c r="AU20" s="419">
        <f>SM!BB166</f>
        <v>-0.4</v>
      </c>
      <c r="AV20" s="419">
        <f>SM!BC166</f>
        <v>47.39</v>
      </c>
      <c r="AW20" s="419">
        <f>SM!BD166</f>
        <v>2.2000000000000002</v>
      </c>
      <c r="AX20" s="419">
        <f>SM!BE166</f>
        <v>0</v>
      </c>
      <c r="AY20" s="419">
        <f>SM!BF166</f>
        <v>0</v>
      </c>
      <c r="AZ20" s="419">
        <f>SM!BG166</f>
        <v>0</v>
      </c>
      <c r="BA20" s="419">
        <f>SM!BH166</f>
        <v>0.04</v>
      </c>
      <c r="BB20" s="419">
        <f>SM!BI166</f>
        <v>0</v>
      </c>
      <c r="BC20" s="419">
        <f>SM!BJ166</f>
        <v>0</v>
      </c>
      <c r="BD20" s="419">
        <f>SM!BK166</f>
        <v>48.870000000000005</v>
      </c>
      <c r="BE20" s="419">
        <f>SM!BL166</f>
        <v>-0.4</v>
      </c>
      <c r="BF20" s="426">
        <f>SM!BM166</f>
        <v>48.469999999999985</v>
      </c>
      <c r="BG20" s="423">
        <f>SM!BN166</f>
        <v>366820918</v>
      </c>
      <c r="BH20" s="418">
        <f>SM!BO166</f>
        <v>268399109</v>
      </c>
      <c r="BI20" s="418">
        <f>SM!BP166</f>
        <v>236998891</v>
      </c>
      <c r="BJ20" s="418">
        <f>SM!BQ166</f>
        <v>31400218</v>
      </c>
      <c r="BK20" s="418">
        <f>SM!BR166</f>
        <v>1662541</v>
      </c>
      <c r="BL20" s="418">
        <f>SM!BS166</f>
        <v>1343053</v>
      </c>
      <c r="BM20" s="418">
        <f>SM!BT166</f>
        <v>319488</v>
      </c>
      <c r="BN20" s="418">
        <f>SM!BU166</f>
        <v>91221142</v>
      </c>
      <c r="BO20" s="418">
        <f>SM!BV166</f>
        <v>2683989</v>
      </c>
      <c r="BP20" s="418">
        <f>SM!BW166</f>
        <v>2854137</v>
      </c>
      <c r="BQ20" s="419">
        <f>SM!BX166</f>
        <v>487.21280000000002</v>
      </c>
      <c r="BR20" s="419">
        <f>SM!BY166</f>
        <v>391.97929999999985</v>
      </c>
      <c r="BS20" s="426">
        <f>SM!BZ166</f>
        <v>95.233499999999992</v>
      </c>
      <c r="BT20" s="423">
        <f>SM!CA166</f>
        <v>1974452</v>
      </c>
      <c r="BU20" s="418">
        <f>SM!CB166</f>
        <v>1240800</v>
      </c>
      <c r="BV20" s="418">
        <f>SM!CC166</f>
        <v>225600</v>
      </c>
      <c r="BW20" s="418">
        <f>SM!CD166</f>
        <v>495644</v>
      </c>
      <c r="BX20" s="418">
        <f>SM!CE166</f>
        <v>12408</v>
      </c>
      <c r="BY20" s="527">
        <f>SM!CF166</f>
        <v>2.2000000000000002</v>
      </c>
    </row>
    <row r="21" spans="1:77" s="3" customFormat="1" x14ac:dyDescent="0.2">
      <c r="A21" s="178" t="s">
        <v>254</v>
      </c>
      <c r="B21" s="423">
        <f>JI!I138</f>
        <v>275771271</v>
      </c>
      <c r="C21" s="418">
        <f>JI!J138</f>
        <v>202915531</v>
      </c>
      <c r="D21" s="418">
        <f>JI!K138</f>
        <v>177740261</v>
      </c>
      <c r="E21" s="418">
        <f>JI!L138</f>
        <v>25175270</v>
      </c>
      <c r="F21" s="418">
        <f>JI!M138</f>
        <v>0</v>
      </c>
      <c r="G21" s="418">
        <f>JI!N138</f>
        <v>0</v>
      </c>
      <c r="H21" s="418">
        <f>JI!O138</f>
        <v>0</v>
      </c>
      <c r="I21" s="418">
        <f>JI!P138</f>
        <v>68585451</v>
      </c>
      <c r="J21" s="418">
        <f>JI!Q138</f>
        <v>2029155</v>
      </c>
      <c r="K21" s="418">
        <f>JI!R138</f>
        <v>2241134</v>
      </c>
      <c r="L21" s="419">
        <f>JI!S138</f>
        <v>361.18320000000006</v>
      </c>
      <c r="M21" s="419">
        <f>JI!T138</f>
        <v>284.91230000000002</v>
      </c>
      <c r="N21" s="527">
        <f>JI!U138</f>
        <v>76.270900000000012</v>
      </c>
      <c r="O21" s="528">
        <f>JI!V138</f>
        <v>-275456</v>
      </c>
      <c r="P21" s="418">
        <f>JI!W138</f>
        <v>-291072</v>
      </c>
      <c r="Q21" s="418">
        <f>JI!X138</f>
        <v>12953796</v>
      </c>
      <c r="R21" s="418">
        <f>JI!Y138</f>
        <v>0</v>
      </c>
      <c r="S21" s="418">
        <f>JI!Z138</f>
        <v>0</v>
      </c>
      <c r="T21" s="418">
        <f>JI!AA138</f>
        <v>70834</v>
      </c>
      <c r="U21" s="418">
        <f>JI!AB138</f>
        <v>1466400</v>
      </c>
      <c r="V21" s="418">
        <f>JI!AC138</f>
        <v>0</v>
      </c>
      <c r="W21" s="418">
        <f>JI!AD138</f>
        <v>-186566</v>
      </c>
      <c r="X21" s="418">
        <f>JI!AE138</f>
        <v>100536</v>
      </c>
      <c r="Y21" s="418">
        <f>JI!AF138</f>
        <v>14029008</v>
      </c>
      <c r="Z21" s="418">
        <f>JI!AG138</f>
        <v>-190536</v>
      </c>
      <c r="AA21" s="418">
        <f>JI!AH138</f>
        <v>13838472</v>
      </c>
      <c r="AB21" s="418">
        <f>JI!AI138</f>
        <v>275456</v>
      </c>
      <c r="AC21" s="418">
        <f>JI!AJ138</f>
        <v>291072</v>
      </c>
      <c r="AD21" s="418">
        <f>JI!AK138</f>
        <v>0</v>
      </c>
      <c r="AE21" s="418">
        <f>JI!AL138</f>
        <v>317760</v>
      </c>
      <c r="AF21" s="418">
        <f>JI!AM138</f>
        <v>180669</v>
      </c>
      <c r="AG21" s="418">
        <f>JI!AN138</f>
        <v>0</v>
      </c>
      <c r="AH21" s="418">
        <f>JI!AO138</f>
        <v>773885</v>
      </c>
      <c r="AI21" s="418">
        <f>JI!AP138</f>
        <v>291072</v>
      </c>
      <c r="AJ21" s="418">
        <f>JI!AQ138</f>
        <v>1064957</v>
      </c>
      <c r="AK21" s="418">
        <f>JI!AR138</f>
        <v>14802893</v>
      </c>
      <c r="AL21" s="418">
        <f>JI!AS138</f>
        <v>100536</v>
      </c>
      <c r="AM21" s="418">
        <f>JI!AT138</f>
        <v>14903429</v>
      </c>
      <c r="AN21" s="418">
        <f>JI!AU138</f>
        <v>4976293</v>
      </c>
      <c r="AO21" s="418">
        <f>JI!AV138</f>
        <v>138386</v>
      </c>
      <c r="AP21" s="418">
        <f>JI!AW138</f>
        <v>14200</v>
      </c>
      <c r="AQ21" s="418">
        <f>JI!AX138</f>
        <v>460</v>
      </c>
      <c r="AR21" s="418">
        <f>JI!AY138</f>
        <v>14660</v>
      </c>
      <c r="AS21" s="418">
        <f>JI!AZ138</f>
        <v>20032768</v>
      </c>
      <c r="AT21" s="419">
        <f>JI!BA138</f>
        <v>-0.13</v>
      </c>
      <c r="AU21" s="419">
        <f>JI!BB138</f>
        <v>-0.85</v>
      </c>
      <c r="AV21" s="419">
        <f>JI!BC138</f>
        <v>34.630000000000003</v>
      </c>
      <c r="AW21" s="419">
        <f>JI!BD138</f>
        <v>2.6</v>
      </c>
      <c r="AX21" s="419">
        <f>JI!BE138</f>
        <v>0</v>
      </c>
      <c r="AY21" s="419">
        <f>JI!BF138</f>
        <v>0</v>
      </c>
      <c r="AZ21" s="419">
        <f>JI!BG138</f>
        <v>0</v>
      </c>
      <c r="BA21" s="419">
        <f>JI!BH138</f>
        <v>0.1</v>
      </c>
      <c r="BB21" s="419">
        <f>JI!BI138</f>
        <v>-0.33</v>
      </c>
      <c r="BC21" s="419">
        <f>JI!BJ138</f>
        <v>0.27</v>
      </c>
      <c r="BD21" s="419">
        <f>JI!BK138</f>
        <v>36.869999999999997</v>
      </c>
      <c r="BE21" s="419">
        <f>JI!BL138</f>
        <v>-0.57999999999999996</v>
      </c>
      <c r="BF21" s="426">
        <f>JI!BM138</f>
        <v>36.29</v>
      </c>
      <c r="BG21" s="423">
        <f>JI!BN138</f>
        <v>295804039</v>
      </c>
      <c r="BH21" s="418">
        <f>JI!BO138</f>
        <v>216754003</v>
      </c>
      <c r="BI21" s="418">
        <f>JI!BP138</f>
        <v>191769269</v>
      </c>
      <c r="BJ21" s="418">
        <f>JI!BQ138</f>
        <v>24984734</v>
      </c>
      <c r="BK21" s="418">
        <f>JI!BR138</f>
        <v>1064957</v>
      </c>
      <c r="BL21" s="418">
        <f>JI!BS138</f>
        <v>773885</v>
      </c>
      <c r="BM21" s="418">
        <f>JI!BT138</f>
        <v>291072</v>
      </c>
      <c r="BN21" s="418">
        <f>JI!BU138</f>
        <v>73561744</v>
      </c>
      <c r="BO21" s="418">
        <f>JI!BV138</f>
        <v>2167541</v>
      </c>
      <c r="BP21" s="418">
        <f>JI!BW138</f>
        <v>2255794</v>
      </c>
      <c r="BQ21" s="419">
        <f>JI!BX138</f>
        <v>397.47319999999996</v>
      </c>
      <c r="BR21" s="419">
        <f>JI!BY138</f>
        <v>321.78230000000002</v>
      </c>
      <c r="BS21" s="426">
        <f>JI!BZ138</f>
        <v>75.690900000000013</v>
      </c>
      <c r="BT21" s="423">
        <f>JI!CA138</f>
        <v>1976708</v>
      </c>
      <c r="BU21" s="418">
        <f>JI!CB138</f>
        <v>1466400</v>
      </c>
      <c r="BV21" s="418">
        <f>JI!CC138</f>
        <v>0</v>
      </c>
      <c r="BW21" s="418">
        <f>JI!CD138</f>
        <v>495644</v>
      </c>
      <c r="BX21" s="418">
        <f>JI!CE138</f>
        <v>14664</v>
      </c>
      <c r="BY21" s="527">
        <f>JI!CF138</f>
        <v>2.6</v>
      </c>
    </row>
    <row r="22" spans="1:77" ht="13.5" thickBot="1" x14ac:dyDescent="0.25">
      <c r="A22" s="402" t="s">
        <v>255</v>
      </c>
      <c r="B22" s="643">
        <f>TU!I199</f>
        <v>451569171</v>
      </c>
      <c r="C22" s="644">
        <f>TU!J199</f>
        <v>332075783</v>
      </c>
      <c r="D22" s="644">
        <f>TU!K199</f>
        <v>289627206</v>
      </c>
      <c r="E22" s="644">
        <f>TU!L199</f>
        <v>42448577</v>
      </c>
      <c r="F22" s="644">
        <f>TU!M199</f>
        <v>0</v>
      </c>
      <c r="G22" s="644">
        <f>TU!N199</f>
        <v>0</v>
      </c>
      <c r="H22" s="644">
        <f>TU!O199</f>
        <v>0</v>
      </c>
      <c r="I22" s="644">
        <f>TU!P199</f>
        <v>112241613</v>
      </c>
      <c r="J22" s="644">
        <f>TU!Q199</f>
        <v>3320762</v>
      </c>
      <c r="K22" s="644">
        <f>TU!R199</f>
        <v>3931013</v>
      </c>
      <c r="L22" s="647">
        <f>TU!S199</f>
        <v>587.26170000000002</v>
      </c>
      <c r="M22" s="647">
        <f>TU!T199</f>
        <v>457.30340000000001</v>
      </c>
      <c r="N22" s="649">
        <f>TU!U199</f>
        <v>129.95830000000001</v>
      </c>
      <c r="O22" s="653">
        <f>TU!V199</f>
        <v>-282176</v>
      </c>
      <c r="P22" s="644">
        <f>TU!W199</f>
        <v>-443520</v>
      </c>
      <c r="Q22" s="644">
        <f>TU!X199</f>
        <v>21186361</v>
      </c>
      <c r="R22" s="644">
        <f>TU!Y199</f>
        <v>0</v>
      </c>
      <c r="S22" s="644">
        <f>TU!Z199</f>
        <v>0</v>
      </c>
      <c r="T22" s="644">
        <f>TU!AA199</f>
        <v>261490</v>
      </c>
      <c r="U22" s="644">
        <f>TU!AB199</f>
        <v>2368800</v>
      </c>
      <c r="V22" s="644">
        <f>TU!AC199</f>
        <v>0</v>
      </c>
      <c r="W22" s="644">
        <f>TU!AD199</f>
        <v>0</v>
      </c>
      <c r="X22" s="644">
        <f>TU!AE199</f>
        <v>0</v>
      </c>
      <c r="Y22" s="644">
        <f>TU!AF199</f>
        <v>23534475</v>
      </c>
      <c r="Z22" s="644">
        <f>TU!AG199</f>
        <v>-443520</v>
      </c>
      <c r="AA22" s="644">
        <f>TU!AH199</f>
        <v>23090955</v>
      </c>
      <c r="AB22" s="644">
        <f>TU!AI199</f>
        <v>282176</v>
      </c>
      <c r="AC22" s="644">
        <f>TU!AJ199</f>
        <v>443520</v>
      </c>
      <c r="AD22" s="644">
        <f>TU!AK199</f>
        <v>0</v>
      </c>
      <c r="AE22" s="644">
        <f>TU!AL199</f>
        <v>291280</v>
      </c>
      <c r="AF22" s="644">
        <f>TU!AM199</f>
        <v>0</v>
      </c>
      <c r="AG22" s="644">
        <f>TU!AN199</f>
        <v>0</v>
      </c>
      <c r="AH22" s="644">
        <f>TU!AO199</f>
        <v>573456</v>
      </c>
      <c r="AI22" s="644">
        <f>TU!AP199</f>
        <v>443520</v>
      </c>
      <c r="AJ22" s="644">
        <f>TU!AQ199</f>
        <v>1016976</v>
      </c>
      <c r="AK22" s="644">
        <f>TU!AR199</f>
        <v>24107931</v>
      </c>
      <c r="AL22" s="644">
        <f>TU!AS199</f>
        <v>0</v>
      </c>
      <c r="AM22" s="644">
        <f>TU!AT199</f>
        <v>24107931</v>
      </c>
      <c r="AN22" s="644">
        <f>TU!AU199</f>
        <v>8148479</v>
      </c>
      <c r="AO22" s="644">
        <f>TU!AV199</f>
        <v>230909</v>
      </c>
      <c r="AP22" s="644">
        <f>TU!AW199</f>
        <v>25000</v>
      </c>
      <c r="AQ22" s="644">
        <f>TU!AX199</f>
        <v>0</v>
      </c>
      <c r="AR22" s="644">
        <f>TU!AY199</f>
        <v>25000</v>
      </c>
      <c r="AS22" s="644">
        <f>TU!AZ199</f>
        <v>32512319</v>
      </c>
      <c r="AT22" s="647">
        <f>TU!BA199</f>
        <v>-0.21999999999999997</v>
      </c>
      <c r="AU22" s="647">
        <f>TU!BB199</f>
        <v>-0.52</v>
      </c>
      <c r="AV22" s="647">
        <f>TU!BC199</f>
        <v>55.56</v>
      </c>
      <c r="AW22" s="647">
        <f>TU!BD199</f>
        <v>4.2</v>
      </c>
      <c r="AX22" s="647">
        <f>TU!BE199</f>
        <v>0</v>
      </c>
      <c r="AY22" s="647">
        <f>TU!BF199</f>
        <v>0</v>
      </c>
      <c r="AZ22" s="647">
        <f>TU!BG199</f>
        <v>0</v>
      </c>
      <c r="BA22" s="647">
        <f>TU!BH199</f>
        <v>0.38</v>
      </c>
      <c r="BB22" s="647">
        <f>TU!BI199</f>
        <v>0</v>
      </c>
      <c r="BC22" s="647">
        <f>TU!BJ199</f>
        <v>0</v>
      </c>
      <c r="BD22" s="647">
        <f>TU!BK199</f>
        <v>59.92</v>
      </c>
      <c r="BE22" s="647">
        <f>TU!BL199</f>
        <v>-0.52</v>
      </c>
      <c r="BF22" s="651">
        <f>TU!BM199</f>
        <v>59.399999999999991</v>
      </c>
      <c r="BG22" s="643">
        <f>TU!BN199</f>
        <v>484081490</v>
      </c>
      <c r="BH22" s="644">
        <f>TU!BO199</f>
        <v>355166738</v>
      </c>
      <c r="BI22" s="644">
        <f>TU!BP199</f>
        <v>313161681</v>
      </c>
      <c r="BJ22" s="644">
        <f>TU!BQ199</f>
        <v>42005057</v>
      </c>
      <c r="BK22" s="644">
        <f>TU!BR199</f>
        <v>1016976</v>
      </c>
      <c r="BL22" s="644">
        <f>TU!BS199</f>
        <v>573456</v>
      </c>
      <c r="BM22" s="644">
        <f>TU!BT199</f>
        <v>443520</v>
      </c>
      <c r="BN22" s="644">
        <f>TU!BU199</f>
        <v>120390092</v>
      </c>
      <c r="BO22" s="644">
        <f>TU!BV199</f>
        <v>3551671</v>
      </c>
      <c r="BP22" s="644">
        <f>TU!BW199</f>
        <v>3956013</v>
      </c>
      <c r="BQ22" s="647">
        <f>TU!BX199</f>
        <v>646.66170000000011</v>
      </c>
      <c r="BR22" s="647">
        <f>TU!BY199</f>
        <v>517.22339999999997</v>
      </c>
      <c r="BS22" s="651">
        <f>TU!BZ199</f>
        <v>129.4383</v>
      </c>
      <c r="BT22" s="643">
        <f>TU!CA199</f>
        <v>3193142</v>
      </c>
      <c r="BU22" s="644">
        <f>TU!CB199</f>
        <v>2368800</v>
      </c>
      <c r="BV22" s="644">
        <f>TU!CC199</f>
        <v>0</v>
      </c>
      <c r="BW22" s="644">
        <f>TU!CD199</f>
        <v>800654</v>
      </c>
      <c r="BX22" s="644">
        <f>TU!CE199</f>
        <v>23688</v>
      </c>
      <c r="BY22" s="649">
        <f>TU!CF199</f>
        <v>4.2</v>
      </c>
    </row>
    <row r="23" spans="1:77" s="3" customFormat="1" ht="13.5" thickBot="1" x14ac:dyDescent="0.25">
      <c r="A23" s="179" t="s">
        <v>256</v>
      </c>
      <c r="B23" s="645">
        <f>SUM(B13:B22)</f>
        <v>5385871108</v>
      </c>
      <c r="C23" s="646">
        <f t="shared" ref="C23:BO23" si="0">SUM(C13:C22)</f>
        <v>3959356937</v>
      </c>
      <c r="D23" s="646">
        <f t="shared" si="0"/>
        <v>3483571323</v>
      </c>
      <c r="E23" s="646">
        <f t="shared" si="0"/>
        <v>475785614</v>
      </c>
      <c r="F23" s="646">
        <f t="shared" si="0"/>
        <v>0</v>
      </c>
      <c r="G23" s="646">
        <f t="shared" si="0"/>
        <v>0</v>
      </c>
      <c r="H23" s="646">
        <f t="shared" si="0"/>
        <v>0</v>
      </c>
      <c r="I23" s="646">
        <f t="shared" si="0"/>
        <v>1338262636</v>
      </c>
      <c r="J23" s="646">
        <f t="shared" si="0"/>
        <v>39593580</v>
      </c>
      <c r="K23" s="646">
        <f t="shared" si="0"/>
        <v>48657955</v>
      </c>
      <c r="L23" s="648">
        <f t="shared" si="0"/>
        <v>6918.4259000000011</v>
      </c>
      <c r="M23" s="648">
        <f t="shared" si="0"/>
        <v>5459.8658999999998</v>
      </c>
      <c r="N23" s="650">
        <f t="shared" si="0"/>
        <v>1458.56</v>
      </c>
      <c r="O23" s="654">
        <f t="shared" si="0"/>
        <v>-7559319</v>
      </c>
      <c r="P23" s="646">
        <f t="shared" si="0"/>
        <v>-5013014</v>
      </c>
      <c r="Q23" s="646">
        <f t="shared" si="0"/>
        <v>337423163</v>
      </c>
      <c r="R23" s="646">
        <f t="shared" si="0"/>
        <v>-417117</v>
      </c>
      <c r="S23" s="646">
        <f t="shared" si="0"/>
        <v>0</v>
      </c>
      <c r="T23" s="646">
        <f t="shared" si="0"/>
        <v>3507938</v>
      </c>
      <c r="U23" s="767">
        <f t="shared" si="0"/>
        <v>20642400</v>
      </c>
      <c r="V23" s="767">
        <f t="shared" si="0"/>
        <v>0</v>
      </c>
      <c r="W23" s="646">
        <f t="shared" si="0"/>
        <v>-415837</v>
      </c>
      <c r="X23" s="646">
        <f t="shared" si="0"/>
        <v>936460</v>
      </c>
      <c r="Y23" s="646">
        <f t="shared" si="0"/>
        <v>353181228</v>
      </c>
      <c r="Z23" s="646">
        <f t="shared" si="0"/>
        <v>-4076554</v>
      </c>
      <c r="AA23" s="646">
        <f t="shared" si="0"/>
        <v>349104674</v>
      </c>
      <c r="AB23" s="646">
        <f t="shared" si="0"/>
        <v>7374120</v>
      </c>
      <c r="AC23" s="646">
        <f t="shared" si="0"/>
        <v>5013014</v>
      </c>
      <c r="AD23" s="767">
        <f t="shared" ref="AD23" si="1">SUM(AD13:AD22)</f>
        <v>1513212</v>
      </c>
      <c r="AE23" s="646">
        <f t="shared" si="0"/>
        <v>1504410</v>
      </c>
      <c r="AF23" s="646">
        <f t="shared" si="0"/>
        <v>760540</v>
      </c>
      <c r="AG23" s="646">
        <f t="shared" si="0"/>
        <v>106880</v>
      </c>
      <c r="AH23" s="646">
        <f t="shared" si="0"/>
        <v>11152282</v>
      </c>
      <c r="AI23" s="646">
        <f t="shared" si="0"/>
        <v>5119894</v>
      </c>
      <c r="AJ23" s="646">
        <f t="shared" si="0"/>
        <v>16272176</v>
      </c>
      <c r="AK23" s="646">
        <f t="shared" si="0"/>
        <v>364333510</v>
      </c>
      <c r="AL23" s="646">
        <f t="shared" si="0"/>
        <v>1043340</v>
      </c>
      <c r="AM23" s="646">
        <f t="shared" si="0"/>
        <v>365376850</v>
      </c>
      <c r="AN23" s="646">
        <f t="shared" si="0"/>
        <v>123204195</v>
      </c>
      <c r="AO23" s="646">
        <f t="shared" si="0"/>
        <v>3491044</v>
      </c>
      <c r="AP23" s="646">
        <f t="shared" si="0"/>
        <v>310950</v>
      </c>
      <c r="AQ23" s="646">
        <f t="shared" si="0"/>
        <v>460</v>
      </c>
      <c r="AR23" s="646">
        <f t="shared" si="0"/>
        <v>311410</v>
      </c>
      <c r="AS23" s="646">
        <f t="shared" si="0"/>
        <v>492383499</v>
      </c>
      <c r="AT23" s="648">
        <f t="shared" si="0"/>
        <v>-8.18</v>
      </c>
      <c r="AU23" s="648">
        <f t="shared" si="0"/>
        <v>-11.440000000000001</v>
      </c>
      <c r="AV23" s="648">
        <f t="shared" si="0"/>
        <v>904.77</v>
      </c>
      <c r="AW23" s="775">
        <f t="shared" si="0"/>
        <v>36.6</v>
      </c>
      <c r="AX23" s="648">
        <f t="shared" si="0"/>
        <v>0</v>
      </c>
      <c r="AY23" s="648">
        <f t="shared" si="0"/>
        <v>-0.9</v>
      </c>
      <c r="AZ23" s="648">
        <f t="shared" si="0"/>
        <v>0</v>
      </c>
      <c r="BA23" s="648">
        <f t="shared" si="0"/>
        <v>5.05</v>
      </c>
      <c r="BB23" s="648">
        <f t="shared" si="0"/>
        <v>-0.64000000000000012</v>
      </c>
      <c r="BC23" s="648">
        <f t="shared" si="0"/>
        <v>2.77</v>
      </c>
      <c r="BD23" s="648">
        <f t="shared" si="0"/>
        <v>936.69999999999982</v>
      </c>
      <c r="BE23" s="648">
        <f t="shared" si="0"/>
        <v>-8.67</v>
      </c>
      <c r="BF23" s="652">
        <f t="shared" si="0"/>
        <v>928.02999999999986</v>
      </c>
      <c r="BG23" s="645">
        <f t="shared" si="0"/>
        <v>5878254607</v>
      </c>
      <c r="BH23" s="646">
        <f t="shared" si="0"/>
        <v>4308461611</v>
      </c>
      <c r="BI23" s="646">
        <f t="shared" si="0"/>
        <v>3836752551</v>
      </c>
      <c r="BJ23" s="646">
        <f t="shared" si="0"/>
        <v>471709060</v>
      </c>
      <c r="BK23" s="646">
        <f t="shared" si="0"/>
        <v>16272176</v>
      </c>
      <c r="BL23" s="646">
        <f t="shared" si="0"/>
        <v>11152282</v>
      </c>
      <c r="BM23" s="646">
        <f t="shared" si="0"/>
        <v>5119894</v>
      </c>
      <c r="BN23" s="646">
        <f t="shared" si="0"/>
        <v>1461466831</v>
      </c>
      <c r="BO23" s="646">
        <f t="shared" si="0"/>
        <v>43084624</v>
      </c>
      <c r="BP23" s="646">
        <f t="shared" ref="BP23:BS23" si="2">SUM(BP13:BP22)</f>
        <v>48969365</v>
      </c>
      <c r="BQ23" s="648">
        <f t="shared" si="2"/>
        <v>7846.4559000000008</v>
      </c>
      <c r="BR23" s="648">
        <f t="shared" si="2"/>
        <v>6396.5659000000005</v>
      </c>
      <c r="BS23" s="652">
        <f t="shared" si="2"/>
        <v>1449.8899999999999</v>
      </c>
      <c r="BT23" s="778">
        <f t="shared" ref="BT23:BY23" si="3">SUM(BT13:BT22)</f>
        <v>29850633</v>
      </c>
      <c r="BU23" s="767">
        <f t="shared" si="3"/>
        <v>20642400</v>
      </c>
      <c r="BV23" s="767">
        <f t="shared" si="3"/>
        <v>1513212</v>
      </c>
      <c r="BW23" s="767">
        <f t="shared" si="3"/>
        <v>7488597</v>
      </c>
      <c r="BX23" s="767">
        <f t="shared" si="3"/>
        <v>206424</v>
      </c>
      <c r="BY23" s="780">
        <f t="shared" si="3"/>
        <v>36.6</v>
      </c>
    </row>
    <row r="24" spans="1:77" x14ac:dyDescent="0.2">
      <c r="A24" s="20" t="s">
        <v>257</v>
      </c>
      <c r="B24" s="660">
        <f>C23+F23+I23+J23+K23</f>
        <v>5385871108</v>
      </c>
      <c r="C24" s="660">
        <f>SUM(D23:E23)</f>
        <v>3959356937</v>
      </c>
      <c r="D24" s="432"/>
      <c r="E24" s="432"/>
      <c r="F24" s="432">
        <f>SUM(G23:H23)</f>
        <v>0</v>
      </c>
      <c r="G24" s="432"/>
      <c r="H24" s="432"/>
      <c r="I24" s="432"/>
      <c r="J24" s="432"/>
      <c r="K24" s="432"/>
      <c r="L24" s="433">
        <f>SUM(M23:N23)</f>
        <v>6918.4259000000002</v>
      </c>
      <c r="M24" s="433"/>
      <c r="N24" s="433"/>
      <c r="O24" s="432">
        <f>AB23</f>
        <v>7374120</v>
      </c>
      <c r="P24" s="432">
        <f>AC23</f>
        <v>5013014</v>
      </c>
      <c r="Q24" s="432"/>
      <c r="R24" s="432"/>
      <c r="S24" s="432"/>
      <c r="T24" s="433"/>
      <c r="U24" s="433"/>
      <c r="V24" s="433"/>
      <c r="W24" s="433"/>
      <c r="X24" s="433"/>
      <c r="Y24" s="434"/>
      <c r="Z24" s="434"/>
      <c r="AA24" s="434">
        <f>SUM(Y23:Z23)</f>
        <v>349104674</v>
      </c>
      <c r="AB24" s="434">
        <f>O23</f>
        <v>-7559319</v>
      </c>
      <c r="AC24" s="434">
        <f>P23</f>
        <v>-5013014</v>
      </c>
      <c r="AD24" s="434"/>
      <c r="AE24" s="435"/>
      <c r="AF24" s="435"/>
      <c r="AG24" s="435"/>
      <c r="AH24" s="434"/>
      <c r="AI24" s="434"/>
      <c r="AJ24" s="434">
        <f>SUM(AH23:AI23)</f>
        <v>16272176</v>
      </c>
      <c r="AK24" s="434"/>
      <c r="AL24" s="434"/>
      <c r="AM24" s="434">
        <f>SUM(AK23:AL23)</f>
        <v>365376850</v>
      </c>
      <c r="AN24" s="436"/>
      <c r="AO24" s="436"/>
      <c r="AP24" s="435"/>
      <c r="AQ24" s="435"/>
      <c r="AR24" s="434">
        <f>SUM(AP23:AQ23)</f>
        <v>311410</v>
      </c>
      <c r="AS24" s="434">
        <f>AA23+AJ23+AN23+AO23+AR23</f>
        <v>492383499</v>
      </c>
      <c r="AT24" s="437"/>
      <c r="AU24" s="437"/>
      <c r="AV24" s="437"/>
      <c r="AW24" s="437"/>
      <c r="AX24" s="437"/>
      <c r="AY24" s="437"/>
      <c r="AZ24" s="437"/>
      <c r="BA24" s="437"/>
      <c r="BB24" s="437"/>
      <c r="BC24" s="437"/>
      <c r="BD24" s="525">
        <f>AT23+AV23+AW23+AY23+BA23+BB23</f>
        <v>936.7</v>
      </c>
      <c r="BE24" s="525">
        <f>AU23+AX23+AZ23+BC23</f>
        <v>-8.6700000000000017</v>
      </c>
      <c r="BF24" s="525">
        <f>SUM(BD23:BE23)</f>
        <v>928.02999999999986</v>
      </c>
      <c r="BG24" s="432">
        <f>BH23+BK23+BN23+BO23+BP23</f>
        <v>5878254607</v>
      </c>
      <c r="BH24" s="432">
        <f>SUM(BI23:BJ23)</f>
        <v>4308461611</v>
      </c>
      <c r="BI24" s="434">
        <f>D23+Y23</f>
        <v>3836752551</v>
      </c>
      <c r="BJ24" s="434">
        <f>E23+Z23</f>
        <v>471709060</v>
      </c>
      <c r="BK24" s="86">
        <f>SUM(BL23:BM23)</f>
        <v>16272176</v>
      </c>
      <c r="BL24" s="434">
        <f>G23+AH23</f>
        <v>11152282</v>
      </c>
      <c r="BM24" s="434">
        <f>H23+AI23</f>
        <v>5119894</v>
      </c>
      <c r="BN24" s="434">
        <f>I23+AN23</f>
        <v>1461466831</v>
      </c>
      <c r="BO24" s="434">
        <f>J23+AO23</f>
        <v>43084624</v>
      </c>
      <c r="BP24" s="434">
        <f>K23+AR23</f>
        <v>48969365</v>
      </c>
      <c r="BQ24" s="433">
        <f>SUM(BR23:BS23)</f>
        <v>7846.4559000000008</v>
      </c>
      <c r="BR24" s="525">
        <f>M23+BD23</f>
        <v>6396.5658999999996</v>
      </c>
      <c r="BS24" s="525">
        <f>N23+BE23</f>
        <v>1449.8899999999999</v>
      </c>
      <c r="BT24" s="236">
        <f>SUM(BU23:BX23)</f>
        <v>29850633</v>
      </c>
      <c r="BU24" s="236">
        <f>U23</f>
        <v>20642400</v>
      </c>
      <c r="BV24" s="236">
        <f>AD23</f>
        <v>1513212</v>
      </c>
      <c r="BW24" s="943"/>
      <c r="BX24" s="943"/>
      <c r="BY24" s="944">
        <f>AW23</f>
        <v>36.6</v>
      </c>
    </row>
    <row r="25" spans="1:77" ht="13.5" thickBot="1" x14ac:dyDescent="0.25">
      <c r="A25" s="20"/>
      <c r="B25" s="660">
        <f>C26+F26+I26+J26+K26</f>
        <v>5385871108</v>
      </c>
      <c r="C25" s="660">
        <f>SUM(D26:E26)</f>
        <v>3959356937</v>
      </c>
      <c r="D25" s="432"/>
      <c r="E25" s="432"/>
      <c r="F25" s="432">
        <f>SUM(G26:H26)</f>
        <v>0</v>
      </c>
      <c r="G25" s="432"/>
      <c r="H25" s="432"/>
      <c r="I25" s="432"/>
      <c r="J25" s="432"/>
      <c r="K25" s="432"/>
      <c r="L25" s="433">
        <f>SUM(M26:N26)</f>
        <v>6918.4258999999993</v>
      </c>
      <c r="M25" s="433"/>
      <c r="N25" s="433"/>
      <c r="O25" s="432">
        <f>AB26</f>
        <v>7374120</v>
      </c>
      <c r="P25" s="432">
        <f>AC26</f>
        <v>5013014</v>
      </c>
      <c r="Q25" s="433"/>
      <c r="R25" s="432"/>
      <c r="S25" s="432"/>
      <c r="T25" s="433"/>
      <c r="U25" s="433"/>
      <c r="V25" s="433"/>
      <c r="W25" s="433"/>
      <c r="X25" s="433"/>
      <c r="Y25" s="434"/>
      <c r="Z25" s="434"/>
      <c r="AA25" s="434">
        <f>SUM(Y26:Z26)</f>
        <v>349104674</v>
      </c>
      <c r="AB25" s="434"/>
      <c r="AC25" s="434"/>
      <c r="AD25" s="434"/>
      <c r="AE25" s="435"/>
      <c r="AF25" s="435"/>
      <c r="AG25" s="435"/>
      <c r="AH25" s="434"/>
      <c r="AI25" s="434"/>
      <c r="AJ25" s="434">
        <f>SUM(AH26:AI26)</f>
        <v>16272176</v>
      </c>
      <c r="AK25" s="434"/>
      <c r="AL25" s="434"/>
      <c r="AM25" s="434">
        <f>SUM(AK26:AL26)</f>
        <v>365376850</v>
      </c>
      <c r="AN25" s="436"/>
      <c r="AO25" s="436"/>
      <c r="AP25" s="435"/>
      <c r="AQ25" s="435"/>
      <c r="AR25" s="434">
        <f>SUM(AP26:AQ26)</f>
        <v>311410</v>
      </c>
      <c r="AS25" s="434">
        <f>AA26+AJ26+AN26+AO26+AR26</f>
        <v>492383499</v>
      </c>
      <c r="AT25" s="437"/>
      <c r="AU25" s="437"/>
      <c r="AV25" s="437"/>
      <c r="AW25" s="437"/>
      <c r="AX25" s="437"/>
      <c r="AY25" s="437"/>
      <c r="AZ25" s="437"/>
      <c r="BA25" s="437"/>
      <c r="BB25" s="437"/>
      <c r="BC25" s="437"/>
      <c r="BD25" s="525">
        <f>AT26+AV26+AW26+AY26+BA26+BB26</f>
        <v>936.70000000000027</v>
      </c>
      <c r="BE25" s="525">
        <f>AU26+AX26+AZ26+BC26</f>
        <v>-8.67</v>
      </c>
      <c r="BF25" s="525">
        <f>SUM(BD26:BE26)</f>
        <v>928.03000000000009</v>
      </c>
      <c r="BG25" s="432">
        <f>BH26+BK26+BN26+BO26+BP26</f>
        <v>5878254607</v>
      </c>
      <c r="BH25" s="432">
        <f>SUM(BI26:BJ26)</f>
        <v>4308461611</v>
      </c>
      <c r="BI25" s="53"/>
      <c r="BJ25" s="53"/>
      <c r="BK25" s="86">
        <f>SUM(BL26:BM26)</f>
        <v>16272176</v>
      </c>
      <c r="BL25" s="53"/>
      <c r="BM25" s="53"/>
      <c r="BN25" s="53"/>
      <c r="BO25" s="53"/>
      <c r="BP25" s="53"/>
      <c r="BQ25" s="433">
        <f>SUM(BR26:BS26)</f>
        <v>7846.455899999999</v>
      </c>
      <c r="BR25" s="87"/>
      <c r="BS25" s="87"/>
      <c r="BT25" s="236">
        <f>SUM(BU26:BX26)</f>
        <v>29850633</v>
      </c>
    </row>
    <row r="26" spans="1:77" ht="13.5" thickBot="1" x14ac:dyDescent="0.25">
      <c r="A26" s="22" t="s">
        <v>0</v>
      </c>
      <c r="B26" s="139">
        <f>SUM(B27:B36)</f>
        <v>5385871108</v>
      </c>
      <c r="C26" s="34">
        <f t="shared" ref="C26:BO26" si="4">SUM(C27:C36)</f>
        <v>3959356937</v>
      </c>
      <c r="D26" s="34">
        <f t="shared" si="4"/>
        <v>3483571323</v>
      </c>
      <c r="E26" s="34">
        <f t="shared" si="4"/>
        <v>475785614</v>
      </c>
      <c r="F26" s="34">
        <f t="shared" si="4"/>
        <v>0</v>
      </c>
      <c r="G26" s="34">
        <f t="shared" si="4"/>
        <v>0</v>
      </c>
      <c r="H26" s="34">
        <f t="shared" si="4"/>
        <v>0</v>
      </c>
      <c r="I26" s="34">
        <f t="shared" si="4"/>
        <v>1338262636</v>
      </c>
      <c r="J26" s="34">
        <f t="shared" si="4"/>
        <v>39593580</v>
      </c>
      <c r="K26" s="34">
        <f t="shared" si="4"/>
        <v>48657955</v>
      </c>
      <c r="L26" s="35">
        <f t="shared" si="4"/>
        <v>6918.4259000000002</v>
      </c>
      <c r="M26" s="35">
        <f t="shared" si="4"/>
        <v>5459.8658999999989</v>
      </c>
      <c r="N26" s="36">
        <f t="shared" si="4"/>
        <v>1458.5600000000002</v>
      </c>
      <c r="O26" s="149">
        <f t="shared" si="4"/>
        <v>-7559319</v>
      </c>
      <c r="P26" s="34">
        <f t="shared" si="4"/>
        <v>-5013014</v>
      </c>
      <c r="Q26" s="34">
        <f t="shared" si="4"/>
        <v>337423163</v>
      </c>
      <c r="R26" s="34">
        <f t="shared" si="4"/>
        <v>-417117</v>
      </c>
      <c r="S26" s="34">
        <f t="shared" si="4"/>
        <v>0</v>
      </c>
      <c r="T26" s="34">
        <f t="shared" si="4"/>
        <v>3507938</v>
      </c>
      <c r="U26" s="34">
        <f t="shared" ref="U26" si="5">SUM(U27:U36)</f>
        <v>20642400</v>
      </c>
      <c r="V26" s="768">
        <f t="shared" si="4"/>
        <v>20642400</v>
      </c>
      <c r="W26" s="34">
        <f t="shared" si="4"/>
        <v>-415837</v>
      </c>
      <c r="X26" s="34">
        <f t="shared" si="4"/>
        <v>936460</v>
      </c>
      <c r="Y26" s="34">
        <f t="shared" si="4"/>
        <v>353181228</v>
      </c>
      <c r="Z26" s="34">
        <f t="shared" si="4"/>
        <v>-4076554</v>
      </c>
      <c r="AA26" s="34">
        <f t="shared" si="4"/>
        <v>349104674</v>
      </c>
      <c r="AB26" s="34">
        <f t="shared" si="4"/>
        <v>7374120</v>
      </c>
      <c r="AC26" s="34">
        <f t="shared" si="4"/>
        <v>5013014</v>
      </c>
      <c r="AD26" s="768">
        <f t="shared" ref="AD26" si="6">SUM(AD27:AD36)</f>
        <v>1513212</v>
      </c>
      <c r="AE26" s="34">
        <f t="shared" si="4"/>
        <v>1504410</v>
      </c>
      <c r="AF26" s="34">
        <f t="shared" si="4"/>
        <v>760540</v>
      </c>
      <c r="AG26" s="34">
        <f t="shared" si="4"/>
        <v>106880</v>
      </c>
      <c r="AH26" s="34">
        <f t="shared" si="4"/>
        <v>11152282</v>
      </c>
      <c r="AI26" s="34">
        <f t="shared" si="4"/>
        <v>5119894</v>
      </c>
      <c r="AJ26" s="34">
        <f t="shared" si="4"/>
        <v>16272176</v>
      </c>
      <c r="AK26" s="34">
        <f t="shared" si="4"/>
        <v>364333510</v>
      </c>
      <c r="AL26" s="34">
        <f t="shared" si="4"/>
        <v>1043340</v>
      </c>
      <c r="AM26" s="34">
        <f t="shared" si="4"/>
        <v>365376850</v>
      </c>
      <c r="AN26" s="34">
        <f t="shared" si="4"/>
        <v>123204195</v>
      </c>
      <c r="AO26" s="34">
        <f t="shared" si="4"/>
        <v>3491044</v>
      </c>
      <c r="AP26" s="34">
        <f t="shared" si="4"/>
        <v>310950</v>
      </c>
      <c r="AQ26" s="34">
        <f t="shared" si="4"/>
        <v>460</v>
      </c>
      <c r="AR26" s="34">
        <f t="shared" si="4"/>
        <v>311410</v>
      </c>
      <c r="AS26" s="34">
        <f t="shared" si="4"/>
        <v>492383499</v>
      </c>
      <c r="AT26" s="35">
        <f t="shared" si="4"/>
        <v>-8.18</v>
      </c>
      <c r="AU26" s="35">
        <f t="shared" si="4"/>
        <v>-11.44</v>
      </c>
      <c r="AV26" s="35">
        <f t="shared" si="4"/>
        <v>904.77000000000021</v>
      </c>
      <c r="AW26" s="776">
        <f t="shared" si="4"/>
        <v>36.6</v>
      </c>
      <c r="AX26" s="35">
        <f t="shared" si="4"/>
        <v>0</v>
      </c>
      <c r="AY26" s="35">
        <f t="shared" si="4"/>
        <v>-0.9</v>
      </c>
      <c r="AZ26" s="35">
        <f t="shared" si="4"/>
        <v>0</v>
      </c>
      <c r="BA26" s="35">
        <f t="shared" si="4"/>
        <v>5.05</v>
      </c>
      <c r="BB26" s="35">
        <f t="shared" si="4"/>
        <v>-0.64</v>
      </c>
      <c r="BC26" s="35">
        <f t="shared" si="4"/>
        <v>2.77</v>
      </c>
      <c r="BD26" s="35">
        <f t="shared" si="4"/>
        <v>936.7</v>
      </c>
      <c r="BE26" s="35">
        <f t="shared" si="4"/>
        <v>-8.67</v>
      </c>
      <c r="BF26" s="148">
        <f t="shared" si="4"/>
        <v>928.0300000000002</v>
      </c>
      <c r="BG26" s="139">
        <f t="shared" si="4"/>
        <v>5878254607</v>
      </c>
      <c r="BH26" s="34">
        <f t="shared" si="4"/>
        <v>4308461611</v>
      </c>
      <c r="BI26" s="34">
        <f t="shared" si="4"/>
        <v>3836752551</v>
      </c>
      <c r="BJ26" s="34">
        <f t="shared" si="4"/>
        <v>471709060</v>
      </c>
      <c r="BK26" s="34">
        <f t="shared" si="4"/>
        <v>16272176</v>
      </c>
      <c r="BL26" s="34">
        <f t="shared" si="4"/>
        <v>11152282</v>
      </c>
      <c r="BM26" s="34">
        <f t="shared" si="4"/>
        <v>5119894</v>
      </c>
      <c r="BN26" s="34">
        <f t="shared" si="4"/>
        <v>1461466831</v>
      </c>
      <c r="BO26" s="34">
        <f t="shared" si="4"/>
        <v>43084624</v>
      </c>
      <c r="BP26" s="34">
        <f t="shared" ref="BP26:BS26" si="7">SUM(BP27:BP36)</f>
        <v>48969365</v>
      </c>
      <c r="BQ26" s="35">
        <f t="shared" si="7"/>
        <v>7846.455899999999</v>
      </c>
      <c r="BR26" s="35">
        <f t="shared" si="7"/>
        <v>6396.5658999999987</v>
      </c>
      <c r="BS26" s="148">
        <f t="shared" si="7"/>
        <v>1449.8900000000003</v>
      </c>
      <c r="BT26" s="779">
        <f t="shared" ref="BT26:BY26" si="8">SUM(BT27:BT36)</f>
        <v>29850633</v>
      </c>
      <c r="BU26" s="768">
        <f t="shared" si="8"/>
        <v>20642400</v>
      </c>
      <c r="BV26" s="768">
        <f t="shared" si="8"/>
        <v>1513212</v>
      </c>
      <c r="BW26" s="768">
        <f t="shared" si="8"/>
        <v>7488597</v>
      </c>
      <c r="BX26" s="768">
        <f t="shared" si="8"/>
        <v>206424</v>
      </c>
      <c r="BY26" s="781">
        <f t="shared" si="8"/>
        <v>36.6</v>
      </c>
    </row>
    <row r="27" spans="1:77" x14ac:dyDescent="0.2">
      <c r="A27" s="1">
        <v>3111</v>
      </c>
      <c r="B27" s="503">
        <f>LB!I468+FR!I133+JN!I195+TA!I104+ŽB!I78+ČL!I297+NB!I128+SM!I170+JI!I142+TU!I203</f>
        <v>1200726889</v>
      </c>
      <c r="C27" s="504">
        <f>LB!J468+FR!J133+JN!J195+TA!J104+ŽB!J78+ČL!J297+NB!J128+SM!J170+JI!J142+TU!J203</f>
        <v>887756659</v>
      </c>
      <c r="D27" s="504">
        <f>LB!K468+FR!K133+JN!K195+TA!K104+ŽB!K78+ČL!K297+NB!K128+SM!K170+JI!K142+TU!K203</f>
        <v>817347154</v>
      </c>
      <c r="E27" s="504">
        <f>LB!L468+FR!L133+JN!L195+TA!L104+ŽB!L78+ČL!L297+NB!L128+SM!L170+JI!L142+TU!L203</f>
        <v>70409505</v>
      </c>
      <c r="F27" s="504">
        <f>LB!M468+FR!M133+JN!M195+TA!M104+ŽB!M78+ČL!M297+NB!M128+SM!M170+JI!M142+TU!M203</f>
        <v>0</v>
      </c>
      <c r="G27" s="504">
        <f>LB!N468+FR!N133+JN!N195+TA!N104+ŽB!N78+ČL!N297+NB!N128+SM!N170+JI!N142+TU!N203</f>
        <v>0</v>
      </c>
      <c r="H27" s="504">
        <f>LB!O468+FR!O133+JN!O195+TA!O104+ŽB!O78+ČL!O297+NB!O128+SM!O170+JI!O142+TU!O203</f>
        <v>0</v>
      </c>
      <c r="I27" s="504">
        <f>LB!P468+FR!P133+JN!P195+TA!P104+ŽB!P78+ČL!P297+NB!P128+SM!P170+JI!P142+TU!P203</f>
        <v>300061756</v>
      </c>
      <c r="J27" s="504">
        <f>LB!Q468+FR!Q133+JN!Q195+TA!Q104+ŽB!Q78+ČL!Q297+NB!Q128+SM!Q170+JI!Q142+TU!Q203</f>
        <v>8877569</v>
      </c>
      <c r="K27" s="504">
        <f>LB!R468+FR!R133+JN!R195+TA!R104+ŽB!R78+ČL!R297+NB!R128+SM!R170+JI!R142+TU!R203</f>
        <v>4030905</v>
      </c>
      <c r="L27" s="507">
        <f>LB!S468+FR!S133+JN!S195+TA!S104+ŽB!S78+ČL!S297+NB!S128+SM!S170+JI!S142+TU!S203</f>
        <v>1676.4404999999999</v>
      </c>
      <c r="M27" s="507">
        <f>LB!T468+FR!T133+JN!T195+TA!T104+ŽB!T78+ČL!T297+NB!T128+SM!T170+JI!T142+TU!T203</f>
        <v>1427.9967999999999</v>
      </c>
      <c r="N27" s="510">
        <f>LB!U468+FR!U133+JN!U195+TA!U104+ŽB!U78+ČL!U297+NB!U128+SM!U170+JI!U142+TU!U203</f>
        <v>248.44370000000004</v>
      </c>
      <c r="O27" s="505">
        <f>LB!V468+FR!V133+JN!V195+TA!V104+ŽB!V78+ČL!V297+NB!V128+SM!V170+JI!V142+TU!V203</f>
        <v>-1018981</v>
      </c>
      <c r="P27" s="504">
        <f>LB!W468+FR!W133+JN!W195+TA!W104+ŽB!W78+ČL!W297+NB!W128+SM!W170+JI!W142+TU!W203</f>
        <v>-1058449</v>
      </c>
      <c r="Q27" s="504">
        <f>LB!X468+FR!X133+JN!X195+TA!X104+ŽB!X78+ČL!X297+NB!X128+SM!X170+JI!X142+TU!X203</f>
        <v>50046883</v>
      </c>
      <c r="R27" s="504">
        <f>LB!Y468+FR!Y133+JN!Y195+TA!Y104+ŽB!Y78+ČL!Y297+NB!Y128+SM!Y170+JI!Y142+TU!Y203</f>
        <v>0</v>
      </c>
      <c r="S27" s="504">
        <f>LB!Z468+FR!Z133+JN!Z195+TA!Z104+ŽB!Z78+ČL!Z297+NB!Z128+SM!Z170+JI!Z142+TU!Z203</f>
        <v>0</v>
      </c>
      <c r="T27" s="504">
        <f>LB!AA468+FR!AA133+JN!AA195+TA!AA104+ŽB!AA78+ČL!AA297+NB!AA128+SM!AA170+JI!AA142+TU!AA203</f>
        <v>0</v>
      </c>
      <c r="U27" s="504">
        <f>LB!AB468+FR!AB133+JN!AB195+TA!AB104+ŽB!AB78+ČL!AB297+NB!AB128+SM!AB170+JI!AB142+TU!AB203</f>
        <v>0</v>
      </c>
      <c r="V27" s="504">
        <f>LB!AB468+FR!AB133+JN!AB195+TA!AB104+ŽB!AB78+ČL!AB297+NB!AB128+SM!AB170+JI!AB142+TU!AB203</f>
        <v>0</v>
      </c>
      <c r="W27" s="504">
        <f>LB!AD468+FR!AD133+JN!AD195+TA!AD104+ŽB!AD78+ČL!AD297+NB!AD128+SM!AD170+JI!AD142+TU!AD203</f>
        <v>-186566</v>
      </c>
      <c r="X27" s="504">
        <f>LB!AE468+FR!AE133+JN!AE195+TA!AE104+ŽB!AE78+ČL!AE297+NB!AE128+SM!AE170+JI!AE142+TU!AE203</f>
        <v>101984</v>
      </c>
      <c r="Y27" s="504">
        <f>LB!AF468+FR!AF133+JN!AF195+TA!AF104+ŽB!AF78+ČL!AF297+NB!AF128+SM!AF170+JI!AF142+TU!AF203</f>
        <v>48841336</v>
      </c>
      <c r="Z27" s="504">
        <f>LB!AG468+FR!AG133+JN!AG195+TA!AG104+ŽB!AG78+ČL!AG297+NB!AG128+SM!AG170+JI!AG142+TU!AG203</f>
        <v>-956465</v>
      </c>
      <c r="AA27" s="504">
        <f>LB!AH468+FR!AH133+JN!AH195+TA!AH104+ŽB!AH78+ČL!AH297+NB!AH128+SM!AH170+JI!AH142+TU!AH203</f>
        <v>47884871</v>
      </c>
      <c r="AB27" s="504">
        <f>LB!AI468+FR!AI133+JN!AI195+TA!AI104+ŽB!AI78+ČL!AI297+NB!AI128+SM!AI170+JI!AI142+TU!AI203</f>
        <v>1018981</v>
      </c>
      <c r="AC27" s="504">
        <f>LB!AJ468+FR!AJ133+JN!AJ195+TA!AJ104+ŽB!AJ78+ČL!AJ297+NB!AJ128+SM!AJ170+JI!AJ142+TU!AJ203</f>
        <v>1058449</v>
      </c>
      <c r="AD27" s="504">
        <f>LB!AK468+FR!AK133+JN!AK195+TA!AK104+ŽB!AK78+ČL!AK297+NB!AK128+SM!AK170+JI!AK142+TU!AK203</f>
        <v>0</v>
      </c>
      <c r="AE27" s="504">
        <f>LB!AL468+FR!AL133+JN!AL195+TA!AL104+ŽB!AL78+ČL!AL297+NB!AL128+SM!AL170+JI!AL142+TU!AL203</f>
        <v>78000</v>
      </c>
      <c r="AF27" s="504">
        <f>LB!AM468+FR!AM133+JN!AM195+TA!AM104+ŽB!AM78+ČL!AM297+NB!AM128+SM!AM170+JI!AM142+TU!AM203</f>
        <v>350669</v>
      </c>
      <c r="AG27" s="504">
        <f>LB!AN468+FR!AN133+JN!AN195+TA!AN104+ŽB!AN78+ČL!AN297+NB!AN128+SM!AN170+JI!AN142+TU!AN203</f>
        <v>0</v>
      </c>
      <c r="AH27" s="504">
        <f>LB!AO468+FR!AO133+JN!AO195+TA!AO104+ŽB!AO78+ČL!AO297+NB!AO128+SM!AO170+JI!AO142+TU!AO203</f>
        <v>1447650</v>
      </c>
      <c r="AI27" s="504">
        <f>LB!AP468+FR!AP133+JN!AP195+TA!AP104+ŽB!AP78+ČL!AP297+NB!AP128+SM!AP170+JI!AP142+TU!AP203</f>
        <v>1058449</v>
      </c>
      <c r="AJ27" s="504">
        <f>LB!AQ468+FR!AQ133+JN!AQ195+TA!AQ104+ŽB!AQ78+ČL!AQ297+NB!AQ128+SM!AQ170+JI!AQ142+TU!AQ203</f>
        <v>2506099</v>
      </c>
      <c r="AK27" s="504">
        <f>LB!AR468+FR!AR133+JN!AR195+TA!AR104+ŽB!AR78+ČL!AR297+NB!AR128+SM!AR170+JI!AR142+TU!AR203</f>
        <v>50288986</v>
      </c>
      <c r="AL27" s="504">
        <f>LB!AS468+FR!AS133+JN!AS195+TA!AS104+ŽB!AS78+ČL!AS297+NB!AS128+SM!AS170+JI!AS142+TU!AS203</f>
        <v>101984</v>
      </c>
      <c r="AM27" s="504">
        <f>LB!AT468+FR!AT133+JN!AT195+TA!AT104+ŽB!AT78+ČL!AT297+NB!AT128+SM!AT170+JI!AT142+TU!AT203</f>
        <v>50390970</v>
      </c>
      <c r="AN27" s="504">
        <f>LB!AU468+FR!AU133+JN!AU195+TA!AU104+ŽB!AU78+ČL!AU297+NB!AU128+SM!AU170+JI!AU142+TU!AU203</f>
        <v>16913622</v>
      </c>
      <c r="AO27" s="504">
        <f>LB!AV468+FR!AV133+JN!AV195+TA!AV104+ŽB!AV78+ČL!AV297+NB!AV128+SM!AV170+JI!AV142+TU!AV203</f>
        <v>478849</v>
      </c>
      <c r="AP27" s="504">
        <f>LB!AW468+FR!AW133+JN!AW195+TA!AW104+ŽB!AW78+ČL!AW297+NB!AW128+SM!AW170+JI!AW142+TU!AW203</f>
        <v>10000</v>
      </c>
      <c r="AQ27" s="504">
        <f>LB!AX468+FR!AX133+JN!AX195+TA!AX104+ŽB!AX78+ČL!AX297+NB!AX128+SM!AX170+JI!AX142+TU!AX203</f>
        <v>0</v>
      </c>
      <c r="AR27" s="504">
        <f>LB!AY468+FR!AY133+JN!AY195+TA!AY104+ŽB!AY78+ČL!AY297+NB!AY128+SM!AY170+JI!AY142+TU!AY203</f>
        <v>10000</v>
      </c>
      <c r="AS27" s="504">
        <f>LB!AZ468+FR!AZ133+JN!AZ195+TA!AZ104+ŽB!AZ78+ČL!AZ297+NB!AZ128+SM!AZ170+JI!AZ142+TU!AZ203</f>
        <v>67793441</v>
      </c>
      <c r="AT27" s="507">
        <f>LB!BA468+FR!BA133+JN!BA195+TA!BA104+ŽB!BA78+ČL!BA297+NB!BA128+SM!BA170+JI!BA142+TU!BA203</f>
        <v>-0.83000000000000007</v>
      </c>
      <c r="AU27" s="507">
        <f>LB!BB468+FR!BB133+JN!BB195+TA!BB104+ŽB!BB78+ČL!BB297+NB!BB128+SM!BB170+JI!BB142+TU!BB203</f>
        <v>-2.95</v>
      </c>
      <c r="AV27" s="507">
        <f>LB!BC468+FR!BC133+JN!BC195+TA!BC104+ŽB!BC78+ČL!BC297+NB!BC128+SM!BC170+JI!BC142+TU!BC203</f>
        <v>138.69</v>
      </c>
      <c r="AW27" s="507">
        <f>LB!BD468+FR!BD133+JN!BD195+TA!BD104+ŽB!BD78+ČL!BD297+NB!BD128+SM!BD170+JI!BD142+TU!BD203</f>
        <v>0</v>
      </c>
      <c r="AX27" s="507">
        <f>LB!BE468+FR!BE133+JN!BE195+TA!BE104+ŽB!BE78+ČL!BE297+NB!BE128+SM!BE170+JI!BE142+TU!BE203</f>
        <v>0</v>
      </c>
      <c r="AY27" s="507">
        <f>LB!BF468+FR!BF133+JN!BF195+TA!BF104+ŽB!BF78+ČL!BF297+NB!BF128+SM!BF170+JI!BF142+TU!BF203</f>
        <v>0</v>
      </c>
      <c r="AZ27" s="507">
        <f>LB!BG468+FR!BG133+JN!BG195+TA!BG104+ŽB!BG78+ČL!BG297+NB!BG128+SM!BG170+JI!BG142+TU!BG203</f>
        <v>0</v>
      </c>
      <c r="BA27" s="507">
        <f>LB!BH468+FR!BH133+JN!BH195+TA!BH104+ŽB!BH78+ČL!BH297+NB!BH128+SM!BH170+JI!BH142+TU!BH203</f>
        <v>0</v>
      </c>
      <c r="BB27" s="507">
        <f>LB!BI468+FR!BI133+JN!BI195+TA!BI104+ŽB!BI78+ČL!BI297+NB!BI128+SM!BI170+JI!BI142+TU!BI203</f>
        <v>-0.33</v>
      </c>
      <c r="BC27" s="507">
        <f>LB!BJ468+FR!BJ133+JN!BJ195+TA!BJ104+ŽB!BJ78+ČL!BJ297+NB!BJ128+SM!BJ170+JI!BJ142+TU!BJ203</f>
        <v>0.27</v>
      </c>
      <c r="BD27" s="507">
        <f>LB!BK468+FR!BK133+JN!BK195+TA!BK104+ŽB!BK78+ČL!BK297+NB!BK128+SM!BK170+JI!BK142+TU!BK203</f>
        <v>137.53</v>
      </c>
      <c r="BE27" s="507">
        <f>LB!BL468+FR!BL133+JN!BL195+TA!BL104+ŽB!BL78+ČL!BL297+NB!BL128+SM!BL170+JI!BL142+TU!BL203</f>
        <v>-2.68</v>
      </c>
      <c r="BF27" s="508">
        <f>LB!BM468+FR!BM133+JN!BM195+TA!BM104+ŽB!BM78+ČL!BM297+NB!BM128+SM!BM170+JI!BM142+TU!BM203</f>
        <v>134.85000000000002</v>
      </c>
      <c r="BG27" s="503">
        <f>LB!BN468+FR!BN133+JN!BN195+TA!BN104+ŽB!BN78+ČL!BN297+NB!BN128+SM!BN170+JI!BN142+TU!BN203</f>
        <v>1268520330</v>
      </c>
      <c r="BH27" s="504">
        <f>LB!BO468+FR!BO133+JN!BO195+TA!BO104+ŽB!BO78+ČL!BO297+NB!BO128+SM!BO170+JI!BO142+TU!BO203</f>
        <v>935641530</v>
      </c>
      <c r="BI27" s="504">
        <f>LB!BP468+FR!BP133+JN!BP195+TA!BP104+ŽB!BP78+ČL!BP297+NB!BP128+SM!BP170+JI!BP142+TU!BP203</f>
        <v>866188490</v>
      </c>
      <c r="BJ27" s="504">
        <f>LB!BQ468+FR!BQ133+JN!BQ195+TA!BQ104+ŽB!BQ78+ČL!BQ297+NB!BQ128+SM!BQ170+JI!BQ142+TU!BQ203</f>
        <v>69453040</v>
      </c>
      <c r="BK27" s="504">
        <f>LB!BR468+FR!BR133+JN!BR195+TA!BR104+ŽB!BR78+ČL!BR297+NB!BR128+SM!BR170+JI!BR142+TU!BR203</f>
        <v>2506099</v>
      </c>
      <c r="BL27" s="504">
        <f>LB!BS468+FR!BS133+JN!BS195+TA!BS104+ŽB!BS78+ČL!BS297+NB!BS128+SM!BS170+JI!BS142+TU!BS203</f>
        <v>1447650</v>
      </c>
      <c r="BM27" s="504">
        <f>LB!BT468+FR!BT133+JN!BT195+TA!BT104+ŽB!BT78+ČL!BT297+NB!BT128+SM!BT170+JI!BT142+TU!BT203</f>
        <v>1058449</v>
      </c>
      <c r="BN27" s="504">
        <f>LB!BU468+FR!BU133+JN!BU195+TA!BU104+ŽB!BU78+ČL!BU297+NB!BU128+SM!BU170+JI!BU142+TU!BU203</f>
        <v>316975378</v>
      </c>
      <c r="BO27" s="504">
        <f>LB!BV468+FR!BV133+JN!BV195+TA!BV104+ŽB!BV78+ČL!BV297+NB!BV128+SM!BV170+JI!BV142+TU!BV203</f>
        <v>9356418</v>
      </c>
      <c r="BP27" s="504">
        <f>LB!BW468+FR!BW133+JN!BW195+TA!BW104+ŽB!BW78+ČL!BW297+NB!BW128+SM!BW170+JI!BW142+TU!BW203</f>
        <v>4040905</v>
      </c>
      <c r="BQ27" s="507">
        <f>LB!BX468+FR!BX133+JN!BX195+TA!BX104+ŽB!BX78+ČL!BX297+NB!BX128+SM!BX170+JI!BX142+TU!BX203</f>
        <v>1811.2904999999996</v>
      </c>
      <c r="BR27" s="507">
        <f>LB!BY468+FR!BY133+JN!BY195+TA!BY104+ŽB!BY78+ČL!BY297+NB!BY128+SM!BY170+JI!BY142+TU!BY203</f>
        <v>1565.5267999999999</v>
      </c>
      <c r="BS27" s="508">
        <f>LB!BZ468+FR!BZ133+JN!BZ195+TA!BZ104+ŽB!BZ78+ČL!BZ297+NB!BZ128+SM!BZ170+JI!BZ142+TU!BZ203</f>
        <v>245.76370000000006</v>
      </c>
      <c r="BT27" s="503">
        <f>LB!CA468+FR!CA133+JN!CA195+TA!CA104+ŽB!CA78+ČL!CA297+NB!CA128+SM!CA170+JI!CA142+TU!CA203</f>
        <v>0</v>
      </c>
      <c r="BU27" s="504">
        <f>LB!CB468+FR!CB133+JN!CB195+TA!CB104+ŽB!CB78+ČL!CB297+NB!CB128+SM!CB170+JI!CB142+TU!CB203</f>
        <v>0</v>
      </c>
      <c r="BV27" s="504">
        <f>LB!CC468+FR!CC133+JN!CC195+TA!CC104+ŽB!CC78+ČL!CC297+NB!CC128+SM!CC170+JI!CC142+TU!CC203</f>
        <v>0</v>
      </c>
      <c r="BW27" s="504">
        <f>LB!CD468+FR!CD133+JN!CD195+TA!CD104+ŽB!CD78+ČL!CD297+NB!CD128+SM!CD170+JI!CD142+TU!CD203</f>
        <v>0</v>
      </c>
      <c r="BX27" s="504">
        <f>LB!CE468+FR!CE133+JN!CE195+TA!CE104+ŽB!CE78+ČL!CE297+NB!CE128+SM!CE170+JI!CE142+TU!CE203</f>
        <v>0</v>
      </c>
      <c r="BY27" s="510">
        <f>LB!CF468+FR!CF133+JN!CF195+TA!CF104+ŽB!CF78+ČL!CF297+NB!CF128+SM!CF170+JI!CF142+TU!CF203</f>
        <v>0</v>
      </c>
    </row>
    <row r="28" spans="1:77" x14ac:dyDescent="0.2">
      <c r="A28" s="2">
        <v>3113</v>
      </c>
      <c r="B28" s="167">
        <f>LB!I469+FR!I134+JN!I196+TA!I105+ŽB!I79+ČL!I298+NB!I129+SM!I171+JI!I143+TU!I204</f>
        <v>2741927688</v>
      </c>
      <c r="C28" s="16">
        <f>LB!J469+FR!J134+JN!J196+TA!J105+ŽB!J79+ČL!J298+NB!J129+SM!J171+JI!J143+TU!J204</f>
        <v>2006322902</v>
      </c>
      <c r="D28" s="16">
        <f>LB!K469+FR!K134+JN!K196+TA!K105+ŽB!K79+ČL!K298+NB!K129+SM!K171+JI!K143+TU!K204</f>
        <v>1858444680</v>
      </c>
      <c r="E28" s="16">
        <f>LB!L469+FR!L134+JN!L196+TA!L105+ŽB!L79+ČL!L298+NB!L129+SM!L171+JI!L143+TU!L204</f>
        <v>147878222</v>
      </c>
      <c r="F28" s="16">
        <f>LB!M469+FR!M134+JN!M196+TA!M105+ŽB!M79+ČL!M298+NB!M129+SM!M171+JI!M143+TU!M204</f>
        <v>0</v>
      </c>
      <c r="G28" s="16">
        <f>LB!N469+FR!N134+JN!N196+TA!N105+ŽB!N79+ČL!N298+NB!N129+SM!N171+JI!N143+TU!N204</f>
        <v>0</v>
      </c>
      <c r="H28" s="16">
        <f>LB!O469+FR!O134+JN!O196+TA!O105+ŽB!O79+ČL!O298+NB!O129+SM!O171+JI!O143+TU!O204</f>
        <v>0</v>
      </c>
      <c r="I28" s="16">
        <f>LB!P469+FR!P134+JN!P196+TA!P105+ŽB!P79+ČL!P298+NB!P129+SM!P171+JI!P143+TU!P204</f>
        <v>678137144</v>
      </c>
      <c r="J28" s="16">
        <f>LB!Q469+FR!Q134+JN!Q196+TA!Q105+ŽB!Q79+ČL!Q298+NB!Q129+SM!Q171+JI!Q143+TU!Q204</f>
        <v>20063238</v>
      </c>
      <c r="K28" s="16">
        <f>LB!R469+FR!R134+JN!R196+TA!R105+ŽB!R79+ČL!R298+NB!R129+SM!R171+JI!R143+TU!R204</f>
        <v>37404404</v>
      </c>
      <c r="L28" s="13">
        <f>LB!S469+FR!S134+JN!S196+TA!S105+ŽB!S79+ČL!S298+NB!S129+SM!S171+JI!S143+TU!S204</f>
        <v>3094.8042000000005</v>
      </c>
      <c r="M28" s="13">
        <f>LB!T469+FR!T134+JN!T196+TA!T105+ŽB!T79+ČL!T298+NB!T129+SM!T171+JI!T143+TU!T204</f>
        <v>2654.1514999999995</v>
      </c>
      <c r="N28" s="17">
        <f>LB!U469+FR!U134+JN!U196+TA!U105+ŽB!U79+ČL!U298+NB!U129+SM!U171+JI!U143+TU!U204</f>
        <v>440.65269999999992</v>
      </c>
      <c r="O28" s="168">
        <f>LB!V469+FR!V134+JN!V196+TA!V105+ŽB!V79+ČL!V298+NB!V129+SM!V171+JI!V143+TU!V204</f>
        <v>-3671973</v>
      </c>
      <c r="P28" s="16">
        <f>LB!W469+FR!W134+JN!W196+TA!W105+ŽB!W79+ČL!W298+NB!W129+SM!W171+JI!W143+TU!W204</f>
        <v>-1707840</v>
      </c>
      <c r="Q28" s="16">
        <f>LB!X469+FR!X134+JN!X196+TA!X105+ŽB!X79+ČL!X298+NB!X129+SM!X171+JI!X143+TU!X204</f>
        <v>246701716</v>
      </c>
      <c r="R28" s="16">
        <f>LB!Y469+FR!Y134+JN!Y196+TA!Y105+ŽB!Y79+ČL!Y298+NB!Y129+SM!Y171+JI!Y143+TU!Y204</f>
        <v>0</v>
      </c>
      <c r="S28" s="16">
        <f>LB!Z469+FR!Z134+JN!Z196+TA!Z105+ŽB!Z79+ČL!Z298+NB!Z129+SM!Z171+JI!Z143+TU!Z204</f>
        <v>0</v>
      </c>
      <c r="T28" s="16">
        <f>LB!AA469+FR!AA134+JN!AA196+TA!AA105+ŽB!AA79+ČL!AA298+NB!AA129+SM!AA171+JI!AA143+TU!AA204</f>
        <v>3507938</v>
      </c>
      <c r="U28" s="16">
        <f>LB!AB469+FR!AB134+JN!AB196+TA!AB105+ŽB!AB79+ČL!AB298+NB!AB129+SM!AB171+JI!AB143+TU!AB204</f>
        <v>20078400</v>
      </c>
      <c r="V28" s="16">
        <f>LB!AB469+FR!AB134+JN!AB196+TA!AB105+ŽB!AB79+ČL!AB298+NB!AB129+SM!AB171+JI!AB143+TU!AB204</f>
        <v>20078400</v>
      </c>
      <c r="W28" s="16">
        <f>LB!AD469+FR!AD134+JN!AD196+TA!AD105+ŽB!AD79+ČL!AD298+NB!AD129+SM!AD171+JI!AD143+TU!AD204</f>
        <v>-314886</v>
      </c>
      <c r="X28" s="16">
        <f>LB!AE469+FR!AE134+JN!AE196+TA!AE105+ŽB!AE79+ČL!AE298+NB!AE129+SM!AE171+JI!AE143+TU!AE204</f>
        <v>0</v>
      </c>
      <c r="Y28" s="16">
        <f>LB!AF469+FR!AF134+JN!AF196+TA!AF105+ŽB!AF79+ČL!AF298+NB!AF129+SM!AF171+JI!AF143+TU!AF204</f>
        <v>266301195</v>
      </c>
      <c r="Z28" s="16">
        <f>LB!AG469+FR!AG134+JN!AG196+TA!AG105+ŽB!AG79+ČL!AG298+NB!AG129+SM!AG171+JI!AG143+TU!AG204</f>
        <v>-1707840</v>
      </c>
      <c r="AA28" s="16">
        <f>LB!AH469+FR!AH134+JN!AH196+TA!AH105+ŽB!AH79+ČL!AH298+NB!AH129+SM!AH171+JI!AH143+TU!AH204</f>
        <v>264593355</v>
      </c>
      <c r="AB28" s="16">
        <f>LB!AI469+FR!AI134+JN!AI196+TA!AI105+ŽB!AI79+ČL!AI298+NB!AI129+SM!AI171+JI!AI143+TU!AI204</f>
        <v>3486774</v>
      </c>
      <c r="AC28" s="16">
        <f>LB!AJ469+FR!AJ134+JN!AJ196+TA!AJ105+ŽB!AJ79+ČL!AJ298+NB!AJ129+SM!AJ171+JI!AJ143+TU!AJ204</f>
        <v>1707840</v>
      </c>
      <c r="AD28" s="16">
        <f>LB!AK469+FR!AK134+JN!AK196+TA!AK105+ŽB!AK79+ČL!AK298+NB!AK129+SM!AK171+JI!AK143+TU!AK204</f>
        <v>1400412</v>
      </c>
      <c r="AE28" s="16">
        <f>LB!AL469+FR!AL134+JN!AL196+TA!AL105+ŽB!AL79+ČL!AL298+NB!AL129+SM!AL171+JI!AL143+TU!AL204</f>
        <v>847259</v>
      </c>
      <c r="AF28" s="16">
        <f>LB!AM469+FR!AM134+JN!AM196+TA!AM105+ŽB!AM79+ČL!AM298+NB!AM129+SM!AM171+JI!AM143+TU!AM204</f>
        <v>337662</v>
      </c>
      <c r="AG28" s="16">
        <f>LB!AN469+FR!AN134+JN!AN196+TA!AN105+ŽB!AN79+ČL!AN298+NB!AN129+SM!AN171+JI!AN143+TU!AN204</f>
        <v>0</v>
      </c>
      <c r="AH28" s="16">
        <f>LB!AO469+FR!AO134+JN!AO196+TA!AO105+ŽB!AO79+ČL!AO298+NB!AO129+SM!AO171+JI!AO143+TU!AO204</f>
        <v>6072107</v>
      </c>
      <c r="AI28" s="16">
        <f>LB!AP469+FR!AP134+JN!AP196+TA!AP105+ŽB!AP79+ČL!AP298+NB!AP129+SM!AP171+JI!AP143+TU!AP204</f>
        <v>1707840</v>
      </c>
      <c r="AJ28" s="16">
        <f>LB!AQ469+FR!AQ134+JN!AQ196+TA!AQ105+ŽB!AQ79+ČL!AQ298+NB!AQ129+SM!AQ171+JI!AQ143+TU!AQ204</f>
        <v>7779947</v>
      </c>
      <c r="AK28" s="16">
        <f>LB!AR469+FR!AR134+JN!AR196+TA!AR105+ŽB!AR79+ČL!AR298+NB!AR129+SM!AR171+JI!AR143+TU!AR204</f>
        <v>272373302</v>
      </c>
      <c r="AL28" s="16">
        <f>LB!AS469+FR!AS134+JN!AS196+TA!AS105+ŽB!AS79+ČL!AS298+NB!AS129+SM!AS171+JI!AS143+TU!AS204</f>
        <v>0</v>
      </c>
      <c r="AM28" s="16">
        <f>LB!AT469+FR!AT134+JN!AT196+TA!AT105+ŽB!AT79+ČL!AT298+NB!AT129+SM!AT171+JI!AT143+TU!AT204</f>
        <v>272373302</v>
      </c>
      <c r="AN28" s="16">
        <f>LB!AU469+FR!AU134+JN!AU196+TA!AU105+ŽB!AU79+ČL!AU298+NB!AU129+SM!AU171+JI!AU143+TU!AU204</f>
        <v>91948051</v>
      </c>
      <c r="AO28" s="16">
        <f>LB!AV469+FR!AV134+JN!AV196+TA!AV105+ŽB!AV79+ČL!AV298+NB!AV129+SM!AV171+JI!AV143+TU!AV204</f>
        <v>2645930</v>
      </c>
      <c r="AP28" s="16">
        <f>LB!AW469+FR!AW134+JN!AW196+TA!AW105+ŽB!AW79+ČL!AW298+NB!AW129+SM!AW171+JI!AW143+TU!AW204</f>
        <v>248200</v>
      </c>
      <c r="AQ28" s="16">
        <f>LB!AX469+FR!AX134+JN!AX196+TA!AX105+ŽB!AX79+ČL!AX298+NB!AX129+SM!AX171+JI!AX143+TU!AX204</f>
        <v>0</v>
      </c>
      <c r="AR28" s="16">
        <f>LB!AY469+FR!AY134+JN!AY196+TA!AY105+ŽB!AY79+ČL!AY298+NB!AY129+SM!AY171+JI!AY143+TU!AY204</f>
        <v>248200</v>
      </c>
      <c r="AS28" s="16">
        <f>LB!AZ469+FR!AZ134+JN!AZ196+TA!AZ105+ŽB!AZ79+ČL!AZ298+NB!AZ129+SM!AZ171+JI!AZ143+TU!AZ204</f>
        <v>367215483</v>
      </c>
      <c r="AT28" s="13">
        <f>LB!BA469+FR!BA134+JN!BA196+TA!BA105+ŽB!BA79+ČL!BA298+NB!BA129+SM!BA171+JI!BA143+TU!BA204</f>
        <v>-3.65</v>
      </c>
      <c r="AU28" s="13">
        <f>LB!BB469+FR!BB134+JN!BB196+TA!BB105+ŽB!BB79+ČL!BB298+NB!BB129+SM!BB171+JI!BB143+TU!BB204</f>
        <v>-4.1100000000000003</v>
      </c>
      <c r="AV28" s="13">
        <f>LB!BC469+FR!BC134+JN!BC196+TA!BC105+ŽB!BC79+ČL!BC298+NB!BC129+SM!BC171+JI!BC143+TU!BC204</f>
        <v>656.6400000000001</v>
      </c>
      <c r="AW28" s="13">
        <f>LB!BD469+FR!BD134+JN!BD196+TA!BD105+ŽB!BD79+ČL!BD298+NB!BD129+SM!BD171+JI!BD143+TU!BD204</f>
        <v>35.6</v>
      </c>
      <c r="AX28" s="13">
        <f>LB!BE469+FR!BE134+JN!BE196+TA!BE105+ŽB!BE79+ČL!BE298+NB!BE129+SM!BE171+JI!BE143+TU!BE204</f>
        <v>0</v>
      </c>
      <c r="AY28" s="13">
        <f>LB!BF469+FR!BF134+JN!BF196+TA!BF105+ŽB!BF79+ČL!BF298+NB!BF129+SM!BF171+JI!BF143+TU!BF204</f>
        <v>0</v>
      </c>
      <c r="AZ28" s="13">
        <f>LB!BG469+FR!BG134+JN!BG196+TA!BG105+ŽB!BG79+ČL!BG298+NB!BG129+SM!BG171+JI!BG143+TU!BG204</f>
        <v>0</v>
      </c>
      <c r="BA28" s="13">
        <f>LB!BH469+FR!BH134+JN!BH196+TA!BH105+ŽB!BH79+ČL!BH298+NB!BH129+SM!BH171+JI!BH143+TU!BH204</f>
        <v>5.05</v>
      </c>
      <c r="BB28" s="13">
        <f>LB!BI469+FR!BI134+JN!BI196+TA!BI105+ŽB!BI79+ČL!BI298+NB!BI129+SM!BI171+JI!BI143+TU!BI204</f>
        <v>-0.46</v>
      </c>
      <c r="BC28" s="13">
        <f>LB!BJ469+FR!BJ134+JN!BJ196+TA!BJ105+ŽB!BJ79+ČL!BJ298+NB!BJ129+SM!BJ171+JI!BJ143+TU!BJ204</f>
        <v>0</v>
      </c>
      <c r="BD28" s="13">
        <f>LB!BK469+FR!BK134+JN!BK196+TA!BK105+ŽB!BK79+ČL!BK298+NB!BK129+SM!BK171+JI!BK143+TU!BK204</f>
        <v>693.18000000000006</v>
      </c>
      <c r="BE28" s="13">
        <f>LB!BL469+FR!BL134+JN!BL196+TA!BL105+ŽB!BL79+ČL!BL298+NB!BL129+SM!BL171+JI!BL143+TU!BL204</f>
        <v>-4.1100000000000003</v>
      </c>
      <c r="BF28" s="169">
        <f>LB!BM469+FR!BM134+JN!BM196+TA!BM105+ŽB!BM79+ČL!BM298+NB!BM129+SM!BM171+JI!BM143+TU!BM204</f>
        <v>689.07000000000016</v>
      </c>
      <c r="BG28" s="167">
        <f>LB!BN469+FR!BN134+JN!BN196+TA!BN105+ŽB!BN79+ČL!BN298+NB!BN129+SM!BN171+JI!BN143+TU!BN204</f>
        <v>3109143171</v>
      </c>
      <c r="BH28" s="16">
        <f>LB!BO469+FR!BO134+JN!BO196+TA!BO105+ŽB!BO79+ČL!BO298+NB!BO129+SM!BO171+JI!BO143+TU!BO204</f>
        <v>2270916257</v>
      </c>
      <c r="BI28" s="16">
        <f>LB!BP469+FR!BP134+JN!BP196+TA!BP105+ŽB!BP79+ČL!BP298+NB!BP129+SM!BP171+JI!BP143+TU!BP204</f>
        <v>2124745875</v>
      </c>
      <c r="BJ28" s="16">
        <f>LB!BQ469+FR!BQ134+JN!BQ196+TA!BQ105+ŽB!BQ79+ČL!BQ298+NB!BQ129+SM!BQ171+JI!BQ143+TU!BQ204</f>
        <v>146170382</v>
      </c>
      <c r="BK28" s="16">
        <f>LB!BR469+FR!BR134+JN!BR196+TA!BR105+ŽB!BR79+ČL!BR298+NB!BR129+SM!BR171+JI!BR143+TU!BR204</f>
        <v>7779947</v>
      </c>
      <c r="BL28" s="16">
        <f>LB!BS469+FR!BS134+JN!BS196+TA!BS105+ŽB!BS79+ČL!BS298+NB!BS129+SM!BS171+JI!BS143+TU!BS204</f>
        <v>6072107</v>
      </c>
      <c r="BM28" s="16">
        <f>LB!BT469+FR!BT134+JN!BT196+TA!BT105+ŽB!BT79+ČL!BT298+NB!BT129+SM!BT171+JI!BT143+TU!BT204</f>
        <v>1707840</v>
      </c>
      <c r="BN28" s="16">
        <f>LB!BU469+FR!BU134+JN!BU196+TA!BU105+ŽB!BU79+ČL!BU298+NB!BU129+SM!BU171+JI!BU143+TU!BU204</f>
        <v>770085195</v>
      </c>
      <c r="BO28" s="16">
        <f>LB!BV469+FR!BV134+JN!BV196+TA!BV105+ŽB!BV79+ČL!BV298+NB!BV129+SM!BV171+JI!BV143+TU!BV204</f>
        <v>22709168</v>
      </c>
      <c r="BP28" s="16">
        <f>LB!BW469+FR!BW134+JN!BW196+TA!BW105+ŽB!BW79+ČL!BW298+NB!BW129+SM!BW171+JI!BW143+TU!BW204</f>
        <v>37652604</v>
      </c>
      <c r="BQ28" s="13">
        <f>LB!BX469+FR!BX134+JN!BX196+TA!BX105+ŽB!BX79+ČL!BX298+NB!BX129+SM!BX171+JI!BX143+TU!BX204</f>
        <v>3783.8741999999993</v>
      </c>
      <c r="BR28" s="13">
        <f>LB!BY469+FR!BY134+JN!BY196+TA!BY105+ŽB!BY79+ČL!BY298+NB!BY129+SM!BY171+JI!BY143+TU!BY204</f>
        <v>3347.3314999999989</v>
      </c>
      <c r="BS28" s="169">
        <f>LB!BZ469+FR!BZ134+JN!BZ196+TA!BZ105+ŽB!BZ79+ČL!BZ298+NB!BZ129+SM!BZ171+JI!BZ143+TU!BZ204</f>
        <v>436.54270000000002</v>
      </c>
      <c r="BT28" s="167">
        <f>LB!CA469+FR!CA134+JN!CA196+TA!CA105+ŽB!CA79+ČL!CA298+NB!CA129+SM!CA171+JI!CA143+TU!CA204</f>
        <v>28939437</v>
      </c>
      <c r="BU28" s="16">
        <f>LB!CB469+FR!CB134+JN!CB196+TA!CB105+ŽB!CB79+ČL!CB298+NB!CB129+SM!CB171+JI!CB143+TU!CB204</f>
        <v>20078400</v>
      </c>
      <c r="BV28" s="16">
        <f>LB!CC469+FR!CC134+JN!CC196+TA!CC105+ŽB!CC79+ČL!CC298+NB!CC129+SM!CC171+JI!CC143+TU!CC204</f>
        <v>1400412</v>
      </c>
      <c r="BW28" s="16">
        <f>LB!CD469+FR!CD134+JN!CD196+TA!CD105+ŽB!CD79+ČL!CD298+NB!CD129+SM!CD171+JI!CD143+TU!CD204</f>
        <v>7259841</v>
      </c>
      <c r="BX28" s="16">
        <f>LB!CE469+FR!CE134+JN!CE196+TA!CE105+ŽB!CE79+ČL!CE298+NB!CE129+SM!CE171+JI!CE143+TU!CE204</f>
        <v>200784</v>
      </c>
      <c r="BY28" s="17">
        <f>LB!CF469+FR!CF134+JN!CF196+TA!CF105+ŽB!CF79+ČL!CF298+NB!CF129+SM!CF171+JI!CF143+TU!CF204</f>
        <v>35.6</v>
      </c>
    </row>
    <row r="29" spans="1:77" x14ac:dyDescent="0.2">
      <c r="A29" s="2">
        <v>3114</v>
      </c>
      <c r="B29" s="167">
        <f>LB!I470+FR!I135+JN!I197+TA!I106+ŽB!I80+ČL!I299+NB!I130+SM!I172+JI!I144+TU!I205</f>
        <v>183890300</v>
      </c>
      <c r="C29" s="16">
        <f>LB!J470+FR!J135+JN!J197+TA!J106+ŽB!J80+ČL!J299+NB!J130+SM!J172+JI!J144+TU!J205</f>
        <v>135640881</v>
      </c>
      <c r="D29" s="16">
        <f>LB!K470+FR!K135+JN!K197+TA!K106+ŽB!K80+ČL!K299+NB!K130+SM!K172+JI!K144+TU!K205</f>
        <v>126484982</v>
      </c>
      <c r="E29" s="16">
        <f>LB!L470+FR!L135+JN!L197+TA!L106+ŽB!L80+ČL!L299+NB!L130+SM!L172+JI!L144+TU!L205</f>
        <v>9155899</v>
      </c>
      <c r="F29" s="16">
        <f>LB!M470+FR!M135+JN!M197+TA!M106+ŽB!M80+ČL!M299+NB!M130+SM!M172+JI!M144+TU!M205</f>
        <v>0</v>
      </c>
      <c r="G29" s="16">
        <f>LB!N470+FR!N135+JN!N197+TA!N106+ŽB!N80+ČL!N299+NB!N130+SM!N172+JI!N144+TU!N205</f>
        <v>0</v>
      </c>
      <c r="H29" s="16">
        <f>LB!O470+FR!O135+JN!O197+TA!O106+ŽB!O80+ČL!O299+NB!O130+SM!O172+JI!O144+TU!O205</f>
        <v>0</v>
      </c>
      <c r="I29" s="16">
        <f>LB!P470+FR!P135+JN!P197+TA!P106+ŽB!P80+ČL!P299+NB!P130+SM!P172+JI!P144+TU!P205</f>
        <v>45846617</v>
      </c>
      <c r="J29" s="16">
        <f>LB!Q470+FR!Q135+JN!Q197+TA!Q106+ŽB!Q80+ČL!Q299+NB!Q130+SM!Q172+JI!Q144+TU!Q205</f>
        <v>1356409</v>
      </c>
      <c r="K29" s="16">
        <f>LB!R470+FR!R135+JN!R197+TA!R106+ŽB!R80+ČL!R299+NB!R130+SM!R172+JI!R144+TU!R205</f>
        <v>1046393</v>
      </c>
      <c r="L29" s="13">
        <f>LB!S470+FR!S135+JN!S197+TA!S106+ŽB!S80+ČL!S299+NB!S130+SM!S172+JI!S144+TU!S205</f>
        <v>228.95180000000002</v>
      </c>
      <c r="M29" s="13">
        <f>LB!T470+FR!T135+JN!T197+TA!T106+ŽB!T80+ČL!T299+NB!T130+SM!T172+JI!T144+TU!T205</f>
        <v>202.10640000000001</v>
      </c>
      <c r="N29" s="17">
        <f>LB!U470+FR!U135+JN!U197+TA!U106+ŽB!U80+ČL!U299+NB!U130+SM!U172+JI!U144+TU!U205</f>
        <v>26.845399999999998</v>
      </c>
      <c r="O29" s="168">
        <f>LB!V470+FR!V135+JN!V197+TA!V106+ŽB!V80+ČL!V299+NB!V130+SM!V172+JI!V144+TU!V205</f>
        <v>-115200</v>
      </c>
      <c r="P29" s="16">
        <f>LB!W470+FR!W135+JN!W197+TA!W106+ŽB!W80+ČL!W299+NB!W130+SM!W172+JI!W144+TU!W205</f>
        <v>-251653</v>
      </c>
      <c r="Q29" s="16">
        <f>LB!X470+FR!X135+JN!X197+TA!X106+ŽB!X80+ČL!X299+NB!X130+SM!X172+JI!X144+TU!X205</f>
        <v>2140634</v>
      </c>
      <c r="R29" s="16">
        <f>LB!Y470+FR!Y135+JN!Y197+TA!Y106+ŽB!Y80+ČL!Y299+NB!Y130+SM!Y172+JI!Y144+TU!Y205</f>
        <v>0</v>
      </c>
      <c r="S29" s="16">
        <f>LB!Z470+FR!Z135+JN!Z197+TA!Z106+ŽB!Z80+ČL!Z299+NB!Z130+SM!Z172+JI!Z144+TU!Z205</f>
        <v>0</v>
      </c>
      <c r="T29" s="16">
        <f>LB!AA470+FR!AA135+JN!AA197+TA!AA106+ŽB!AA80+ČL!AA299+NB!AA130+SM!AA172+JI!AA144+TU!AA205</f>
        <v>0</v>
      </c>
      <c r="U29" s="16">
        <f>LB!AB470+FR!AB135+JN!AB197+TA!AB106+ŽB!AB80+ČL!AB299+NB!AB130+SM!AB172+JI!AB144+TU!AB205</f>
        <v>0</v>
      </c>
      <c r="V29" s="16">
        <f>LB!AB470+FR!AB135+JN!AB197+TA!AB106+ŽB!AB80+ČL!AB299+NB!AB130+SM!AB172+JI!AB144+TU!AB205</f>
        <v>0</v>
      </c>
      <c r="W29" s="16">
        <f>LB!AD470+FR!AD135+JN!AD197+TA!AD106+ŽB!AD80+ČL!AD299+NB!AD130+SM!AD172+JI!AD144+TU!AD205</f>
        <v>103457</v>
      </c>
      <c r="X29" s="16">
        <f>LB!AE470+FR!AE135+JN!AE197+TA!AE106+ŽB!AE80+ČL!AE299+NB!AE130+SM!AE172+JI!AE144+TU!AE205</f>
        <v>0</v>
      </c>
      <c r="Y29" s="16">
        <f>LB!AF470+FR!AF135+JN!AF197+TA!AF106+ŽB!AF80+ČL!AF299+NB!AF130+SM!AF172+JI!AF144+TU!AF205</f>
        <v>2128891</v>
      </c>
      <c r="Z29" s="16">
        <f>LB!AG470+FR!AG135+JN!AG197+TA!AG106+ŽB!AG80+ČL!AG299+NB!AG130+SM!AG172+JI!AG144+TU!AG205</f>
        <v>-251653</v>
      </c>
      <c r="AA29" s="16">
        <f>LB!AH470+FR!AH135+JN!AH197+TA!AH106+ŽB!AH80+ČL!AH299+NB!AH130+SM!AH172+JI!AH144+TU!AH205</f>
        <v>1877238</v>
      </c>
      <c r="AB29" s="16">
        <f>LB!AI470+FR!AI135+JN!AI197+TA!AI106+ŽB!AI80+ČL!AI299+NB!AI130+SM!AI172+JI!AI144+TU!AI205</f>
        <v>115200</v>
      </c>
      <c r="AC29" s="16">
        <f>LB!AJ470+FR!AJ135+JN!AJ197+TA!AJ106+ŽB!AJ80+ČL!AJ299+NB!AJ130+SM!AJ172+JI!AJ144+TU!AJ205</f>
        <v>251653</v>
      </c>
      <c r="AD29" s="16">
        <f>LB!AK470+FR!AK135+JN!AK197+TA!AK106+ŽB!AK80+ČL!AK299+NB!AK130+SM!AK172+JI!AK144+TU!AK205</f>
        <v>0</v>
      </c>
      <c r="AE29" s="16">
        <f>LB!AL470+FR!AL135+JN!AL197+TA!AL106+ŽB!AL80+ČL!AL299+NB!AL130+SM!AL172+JI!AL144+TU!AL205</f>
        <v>105920</v>
      </c>
      <c r="AF29" s="16">
        <f>LB!AM470+FR!AM135+JN!AM197+TA!AM106+ŽB!AM80+ČL!AM299+NB!AM130+SM!AM172+JI!AM144+TU!AM205</f>
        <v>0</v>
      </c>
      <c r="AG29" s="16">
        <f>LB!AN470+FR!AN135+JN!AN197+TA!AN106+ŽB!AN80+ČL!AN299+NB!AN130+SM!AN172+JI!AN144+TU!AN205</f>
        <v>0</v>
      </c>
      <c r="AH29" s="16">
        <f>LB!AO470+FR!AO135+JN!AO197+TA!AO106+ŽB!AO80+ČL!AO299+NB!AO130+SM!AO172+JI!AO144+TU!AO205</f>
        <v>221120</v>
      </c>
      <c r="AI29" s="16">
        <f>LB!AP470+FR!AP135+JN!AP197+TA!AP106+ŽB!AP80+ČL!AP299+NB!AP130+SM!AP172+JI!AP144+TU!AP205</f>
        <v>251653</v>
      </c>
      <c r="AJ29" s="16">
        <f>LB!AQ470+FR!AQ135+JN!AQ197+TA!AQ106+ŽB!AQ80+ČL!AQ299+NB!AQ130+SM!AQ172+JI!AQ144+TU!AQ205</f>
        <v>472773</v>
      </c>
      <c r="AK29" s="16">
        <f>LB!AR470+FR!AR135+JN!AR197+TA!AR106+ŽB!AR80+ČL!AR299+NB!AR130+SM!AR172+JI!AR144+TU!AR205</f>
        <v>2350011</v>
      </c>
      <c r="AL29" s="16">
        <f>LB!AS470+FR!AS135+JN!AS197+TA!AS106+ŽB!AS80+ČL!AS299+NB!AS130+SM!AS172+JI!AS144+TU!AS205</f>
        <v>0</v>
      </c>
      <c r="AM29" s="16">
        <f>LB!AT470+FR!AT135+JN!AT197+TA!AT106+ŽB!AT80+ČL!AT299+NB!AT130+SM!AT172+JI!AT144+TU!AT205</f>
        <v>2350011</v>
      </c>
      <c r="AN29" s="16">
        <f>LB!AU470+FR!AU135+JN!AU197+TA!AU106+ŽB!AU80+ČL!AU299+NB!AU130+SM!AU172+JI!AU144+TU!AU205</f>
        <v>794303</v>
      </c>
      <c r="AO29" s="16">
        <f>LB!AV470+FR!AV135+JN!AV197+TA!AV106+ŽB!AV80+ČL!AV299+NB!AV130+SM!AV172+JI!AV144+TU!AV205</f>
        <v>18771</v>
      </c>
      <c r="AP29" s="16">
        <f>LB!AW470+FR!AW135+JN!AW197+TA!AW106+ŽB!AW80+ČL!AW299+NB!AW130+SM!AW172+JI!AW144+TU!AW205</f>
        <v>0</v>
      </c>
      <c r="AQ29" s="16">
        <f>LB!AX470+FR!AX135+JN!AX197+TA!AX106+ŽB!AX80+ČL!AX299+NB!AX130+SM!AX172+JI!AX144+TU!AX205</f>
        <v>0</v>
      </c>
      <c r="AR29" s="16">
        <f>LB!AY470+FR!AY135+JN!AY197+TA!AY106+ŽB!AY80+ČL!AY299+NB!AY130+SM!AY172+JI!AY144+TU!AY205</f>
        <v>0</v>
      </c>
      <c r="AS29" s="16">
        <f>LB!AZ470+FR!AZ135+JN!AZ197+TA!AZ106+ŽB!AZ80+ČL!AZ299+NB!AZ130+SM!AZ172+JI!AZ144+TU!AZ205</f>
        <v>3163085</v>
      </c>
      <c r="AT29" s="13">
        <f>LB!BA470+FR!BA135+JN!BA197+TA!BA106+ŽB!BA80+ČL!BA299+NB!BA130+SM!BA172+JI!BA144+TU!BA205</f>
        <v>-0.11</v>
      </c>
      <c r="AU29" s="13">
        <f>LB!BB470+FR!BB135+JN!BB197+TA!BB106+ŽB!BB80+ČL!BB299+NB!BB130+SM!BB172+JI!BB144+TU!BB205</f>
        <v>-0.6</v>
      </c>
      <c r="AV29" s="13">
        <f>LB!BC470+FR!BC135+JN!BC197+TA!BC106+ŽB!BC80+ČL!BC299+NB!BC130+SM!BC172+JI!BC144+TU!BC205</f>
        <v>5.6400000000000006</v>
      </c>
      <c r="AW29" s="13">
        <f>LB!BD470+FR!BD135+JN!BD197+TA!BD106+ŽB!BD80+ČL!BD299+NB!BD130+SM!BD172+JI!BD144+TU!BD205</f>
        <v>0</v>
      </c>
      <c r="AX29" s="13">
        <f>LB!BE470+FR!BE135+JN!BE197+TA!BE106+ŽB!BE80+ČL!BE299+NB!BE130+SM!BE172+JI!BE144+TU!BE205</f>
        <v>0</v>
      </c>
      <c r="AY29" s="13">
        <f>LB!BF470+FR!BF135+JN!BF197+TA!BF106+ŽB!BF80+ČL!BF299+NB!BF130+SM!BF172+JI!BF144+TU!BF205</f>
        <v>0</v>
      </c>
      <c r="AZ29" s="13">
        <f>LB!BG470+FR!BG135+JN!BG197+TA!BG106+ŽB!BG80+ČL!BG299+NB!BG130+SM!BG172+JI!BG144+TU!BG205</f>
        <v>0</v>
      </c>
      <c r="BA29" s="13">
        <f>LB!BH470+FR!BH135+JN!BH197+TA!BH106+ŽB!BH80+ČL!BH299+NB!BH130+SM!BH172+JI!BH144+TU!BH205</f>
        <v>0</v>
      </c>
      <c r="BB29" s="13">
        <f>LB!BI470+FR!BI135+JN!BI197+TA!BI106+ŽB!BI80+ČL!BI299+NB!BI130+SM!BI172+JI!BI144+TU!BI205</f>
        <v>0.15000000000000002</v>
      </c>
      <c r="BC29" s="13">
        <f>LB!BJ470+FR!BJ135+JN!BJ197+TA!BJ106+ŽB!BJ80+ČL!BJ299+NB!BJ130+SM!BJ172+JI!BJ144+TU!BJ205</f>
        <v>0</v>
      </c>
      <c r="BD29" s="13">
        <f>LB!BK470+FR!BK135+JN!BK197+TA!BK106+ŽB!BK80+ČL!BK299+NB!BK130+SM!BK172+JI!BK144+TU!BK205</f>
        <v>5.68</v>
      </c>
      <c r="BE29" s="13">
        <f>LB!BL470+FR!BL135+JN!BL197+TA!BL106+ŽB!BL80+ČL!BL299+NB!BL130+SM!BL172+JI!BL144+TU!BL205</f>
        <v>-0.6</v>
      </c>
      <c r="BF29" s="169">
        <f>LB!BM470+FR!BM135+JN!BM197+TA!BM106+ŽB!BM80+ČL!BM299+NB!BM130+SM!BM172+JI!BM144+TU!BM205</f>
        <v>5.08</v>
      </c>
      <c r="BG29" s="167">
        <f>LB!BN470+FR!BN135+JN!BN197+TA!BN106+ŽB!BN80+ČL!BN299+NB!BN130+SM!BN172+JI!BN144+TU!BN205</f>
        <v>187053385</v>
      </c>
      <c r="BH29" s="16">
        <f>LB!BO470+FR!BO135+JN!BO197+TA!BO106+ŽB!BO80+ČL!BO299+NB!BO130+SM!BO172+JI!BO144+TU!BO205</f>
        <v>137518119</v>
      </c>
      <c r="BI29" s="16">
        <f>LB!BP470+FR!BP135+JN!BP197+TA!BP106+ŽB!BP80+ČL!BP299+NB!BP130+SM!BP172+JI!BP144+TU!BP205</f>
        <v>128613873</v>
      </c>
      <c r="BJ29" s="16">
        <f>LB!BQ470+FR!BQ135+JN!BQ197+TA!BQ106+ŽB!BQ80+ČL!BQ299+NB!BQ130+SM!BQ172+JI!BQ144+TU!BQ205</f>
        <v>8904246</v>
      </c>
      <c r="BK29" s="16">
        <f>LB!BR470+FR!BR135+JN!BR197+TA!BR106+ŽB!BR80+ČL!BR299+NB!BR130+SM!BR172+JI!BR144+TU!BR205</f>
        <v>472773</v>
      </c>
      <c r="BL29" s="16">
        <f>LB!BS470+FR!BS135+JN!BS197+TA!BS106+ŽB!BS80+ČL!BS299+NB!BS130+SM!BS172+JI!BS144+TU!BS205</f>
        <v>221120</v>
      </c>
      <c r="BM29" s="16">
        <f>LB!BT470+FR!BT135+JN!BT197+TA!BT106+ŽB!BT80+ČL!BT299+NB!BT130+SM!BT172+JI!BT144+TU!BT205</f>
        <v>251653</v>
      </c>
      <c r="BN29" s="16">
        <f>LB!BU470+FR!BU135+JN!BU197+TA!BU106+ŽB!BU80+ČL!BU299+NB!BU130+SM!BU172+JI!BU144+TU!BU205</f>
        <v>46640920</v>
      </c>
      <c r="BO29" s="16">
        <f>LB!BV470+FR!BV135+JN!BV197+TA!BV106+ŽB!BV80+ČL!BV299+NB!BV130+SM!BV172+JI!BV144+TU!BV205</f>
        <v>1375180</v>
      </c>
      <c r="BP29" s="16">
        <f>LB!BW470+FR!BW135+JN!BW197+TA!BW106+ŽB!BW80+ČL!BW299+NB!BW130+SM!BW172+JI!BW144+TU!BW205</f>
        <v>1046393</v>
      </c>
      <c r="BQ29" s="13">
        <f>LB!BX470+FR!BX135+JN!BX197+TA!BX106+ŽB!BX80+ČL!BX299+NB!BX130+SM!BX172+JI!BX144+TU!BX205</f>
        <v>234.03180000000003</v>
      </c>
      <c r="BR29" s="13">
        <f>LB!BY470+FR!BY135+JN!BY197+TA!BY106+ŽB!BY80+ČL!BY299+NB!BY130+SM!BY172+JI!BY144+TU!BY205</f>
        <v>207.78640000000001</v>
      </c>
      <c r="BS29" s="169">
        <f>LB!BZ470+FR!BZ135+JN!BZ197+TA!BZ106+ŽB!BZ80+ČL!BZ299+NB!BZ130+SM!BZ172+JI!BZ144+TU!BZ205</f>
        <v>26.2454</v>
      </c>
      <c r="BT29" s="167">
        <f>LB!CA470+FR!CA135+JN!CA197+TA!CA106+ŽB!CA80+ČL!CA299+NB!CA130+SM!CA172+JI!CA144+TU!CA205</f>
        <v>0</v>
      </c>
      <c r="BU29" s="16">
        <f>LB!CB470+FR!CB135+JN!CB197+TA!CB106+ŽB!CB80+ČL!CB299+NB!CB130+SM!CB172+JI!CB144+TU!CB205</f>
        <v>0</v>
      </c>
      <c r="BV29" s="16">
        <f>LB!CC470+FR!CC135+JN!CC197+TA!CC106+ŽB!CC80+ČL!CC299+NB!CC130+SM!CC172+JI!CC144+TU!CC205</f>
        <v>0</v>
      </c>
      <c r="BW29" s="16">
        <f>LB!CD470+FR!CD135+JN!CD197+TA!CD106+ŽB!CD80+ČL!CD299+NB!CD130+SM!CD172+JI!CD144+TU!CD205</f>
        <v>0</v>
      </c>
      <c r="BX29" s="16">
        <f>LB!CE470+FR!CE135+JN!CE197+TA!CE106+ŽB!CE80+ČL!CE299+NB!CE130+SM!CE172+JI!CE144+TU!CE205</f>
        <v>0</v>
      </c>
      <c r="BY29" s="17">
        <f>LB!CF470+FR!CF135+JN!CF197+TA!CF106+ŽB!CF80+ČL!CF299+NB!CF130+SM!CF172+JI!CF144+TU!CF205</f>
        <v>0</v>
      </c>
    </row>
    <row r="30" spans="1:77" x14ac:dyDescent="0.2">
      <c r="A30" s="2">
        <v>3117</v>
      </c>
      <c r="B30" s="167">
        <f>LB!I471+FR!I136+JN!I198+TA!I107+ŽB!I81+ČL!I300+NB!I131+SM!I173+JI!I145+TU!I206</f>
        <v>257967666</v>
      </c>
      <c r="C30" s="16">
        <f>LB!J471+FR!J136+JN!J198+TA!J107+ŽB!J81+ČL!J300+NB!J131+SM!J173+JI!J145+TU!J206</f>
        <v>188611970</v>
      </c>
      <c r="D30" s="16">
        <f>LB!K471+FR!K136+JN!K198+TA!K107+ŽB!K81+ČL!K300+NB!K131+SM!K173+JI!K145+TU!K206</f>
        <v>165208031</v>
      </c>
      <c r="E30" s="16">
        <f>LB!L471+FR!L136+JN!L198+TA!L107+ŽB!L81+ČL!L300+NB!L131+SM!L173+JI!L145+TU!L206</f>
        <v>23403939</v>
      </c>
      <c r="F30" s="16">
        <f>LB!M471+FR!M136+JN!M198+TA!M107+ŽB!M81+ČL!M300+NB!M131+SM!M173+JI!M145+TU!M206</f>
        <v>0</v>
      </c>
      <c r="G30" s="16">
        <f>LB!N471+FR!N136+JN!N198+TA!N107+ŽB!N81+ČL!N300+NB!N131+SM!N173+JI!N145+TU!N206</f>
        <v>0</v>
      </c>
      <c r="H30" s="16">
        <f>LB!O471+FR!O136+JN!O198+TA!O107+ŽB!O81+ČL!O300+NB!O131+SM!O173+JI!O145+TU!O206</f>
        <v>0</v>
      </c>
      <c r="I30" s="16">
        <f>LB!P471+FR!P136+JN!P198+TA!P107+ŽB!P81+ČL!P300+NB!P131+SM!P173+JI!P145+TU!P206</f>
        <v>63750845</v>
      </c>
      <c r="J30" s="16">
        <f>LB!Q471+FR!Q136+JN!Q198+TA!Q107+ŽB!Q81+ČL!Q300+NB!Q131+SM!Q173+JI!Q145+TU!Q206</f>
        <v>1886122</v>
      </c>
      <c r="K30" s="16">
        <f>LB!R471+FR!R136+JN!R198+TA!R107+ŽB!R81+ČL!R300+NB!R131+SM!R173+JI!R145+TU!R206</f>
        <v>3718729</v>
      </c>
      <c r="L30" s="13">
        <f>LB!S471+FR!S136+JN!S198+TA!S107+ŽB!S81+ČL!S300+NB!S131+SM!S173+JI!S145+TU!S206</f>
        <v>319.89429999999999</v>
      </c>
      <c r="M30" s="13">
        <f>LB!T471+FR!T136+JN!T198+TA!T107+ŽB!T81+ČL!T300+NB!T131+SM!T173+JI!T145+TU!T206</f>
        <v>255.93200000000002</v>
      </c>
      <c r="N30" s="17">
        <f>LB!U471+FR!U136+JN!U198+TA!U107+ŽB!U81+ČL!U300+NB!U131+SM!U173+JI!U145+TU!U206</f>
        <v>63.962300000000006</v>
      </c>
      <c r="O30" s="168">
        <f>LB!V471+FR!V136+JN!V198+TA!V107+ŽB!V81+ČL!V300+NB!V131+SM!V173+JI!V145+TU!V206</f>
        <v>-441421</v>
      </c>
      <c r="P30" s="16">
        <f>LB!W471+FR!W136+JN!W198+TA!W107+ŽB!W81+ČL!W300+NB!W131+SM!W173+JI!W145+TU!W206</f>
        <v>-482944</v>
      </c>
      <c r="Q30" s="16">
        <f>LB!X471+FR!X136+JN!X198+TA!X107+ŽB!X81+ČL!X300+NB!X131+SM!X173+JI!X145+TU!X206</f>
        <v>38441230</v>
      </c>
      <c r="R30" s="16">
        <f>LB!Y471+FR!Y136+JN!Y198+TA!Y107+ŽB!Y81+ČL!Y300+NB!Y131+SM!Y173+JI!Y145+TU!Y206</f>
        <v>0</v>
      </c>
      <c r="S30" s="16">
        <f>LB!Z471+FR!Z136+JN!Z198+TA!Z107+ŽB!Z81+ČL!Z300+NB!Z131+SM!Z173+JI!Z145+TU!Z206</f>
        <v>0</v>
      </c>
      <c r="T30" s="16">
        <f>LB!AA471+FR!AA136+JN!AA198+TA!AA107+ŽB!AA81+ČL!AA300+NB!AA131+SM!AA173+JI!AA145+TU!AA206</f>
        <v>0</v>
      </c>
      <c r="U30" s="16">
        <f>LB!AB471+FR!AB136+JN!AB198+TA!AB107+ŽB!AB81+ČL!AB300+NB!AB131+SM!AB173+JI!AB145+TU!AB206</f>
        <v>564000</v>
      </c>
      <c r="V30" s="16">
        <f>LB!AB471+FR!AB136+JN!AB198+TA!AB107+ŽB!AB81+ČL!AB300+NB!AB131+SM!AB173+JI!AB145+TU!AB206</f>
        <v>564000</v>
      </c>
      <c r="W30" s="16">
        <f>LB!AD471+FR!AD136+JN!AD198+TA!AD107+ŽB!AD81+ČL!AD300+NB!AD131+SM!AD173+JI!AD145+TU!AD206</f>
        <v>0</v>
      </c>
      <c r="X30" s="16">
        <f>LB!AE471+FR!AE136+JN!AE198+TA!AE107+ŽB!AE81+ČL!AE300+NB!AE131+SM!AE173+JI!AE145+TU!AE206</f>
        <v>0</v>
      </c>
      <c r="Y30" s="16">
        <f>LB!AF471+FR!AF136+JN!AF198+TA!AF107+ŽB!AF81+ČL!AF300+NB!AF131+SM!AF173+JI!AF145+TU!AF206</f>
        <v>38563809</v>
      </c>
      <c r="Z30" s="16">
        <f>LB!AG471+FR!AG136+JN!AG198+TA!AG107+ŽB!AG81+ČL!AG300+NB!AG131+SM!AG173+JI!AG145+TU!AG206</f>
        <v>-482944</v>
      </c>
      <c r="AA30" s="16">
        <f>LB!AH471+FR!AH136+JN!AH198+TA!AH107+ŽB!AH81+ČL!AH300+NB!AH131+SM!AH173+JI!AH145+TU!AH206</f>
        <v>38080865</v>
      </c>
      <c r="AB30" s="16">
        <f>LB!AI471+FR!AI136+JN!AI198+TA!AI107+ŽB!AI81+ČL!AI300+NB!AI131+SM!AI173+JI!AI145+TU!AI206</f>
        <v>441421</v>
      </c>
      <c r="AC30" s="16">
        <f>LB!AJ471+FR!AJ136+JN!AJ198+TA!AJ107+ŽB!AJ81+ČL!AJ300+NB!AJ131+SM!AJ173+JI!AJ145+TU!AJ206</f>
        <v>482944</v>
      </c>
      <c r="AD30" s="16">
        <f>LB!AK471+FR!AK136+JN!AK198+TA!AK107+ŽB!AK81+ČL!AK300+NB!AK131+SM!AK173+JI!AK145+TU!AK206</f>
        <v>112800</v>
      </c>
      <c r="AE30" s="16">
        <f>LB!AL471+FR!AL136+JN!AL198+TA!AL107+ŽB!AL81+ČL!AL300+NB!AL131+SM!AL173+JI!AL145+TU!AL206</f>
        <v>417031</v>
      </c>
      <c r="AF30" s="16">
        <f>LB!AM471+FR!AM136+JN!AM198+TA!AM107+ŽB!AM81+ČL!AM300+NB!AM131+SM!AM173+JI!AM145+TU!AM206</f>
        <v>0</v>
      </c>
      <c r="AG30" s="16">
        <f>LB!AN471+FR!AN136+JN!AN198+TA!AN107+ŽB!AN81+ČL!AN300+NB!AN131+SM!AN173+JI!AN145+TU!AN206</f>
        <v>0</v>
      </c>
      <c r="AH30" s="16">
        <f>LB!AO471+FR!AO136+JN!AO198+TA!AO107+ŽB!AO81+ČL!AO300+NB!AO131+SM!AO173+JI!AO145+TU!AO206</f>
        <v>971252</v>
      </c>
      <c r="AI30" s="16">
        <f>LB!AP471+FR!AP136+JN!AP198+TA!AP107+ŽB!AP81+ČL!AP300+NB!AP131+SM!AP173+JI!AP145+TU!AP206</f>
        <v>482944</v>
      </c>
      <c r="AJ30" s="16">
        <f>LB!AQ471+FR!AQ136+JN!AQ198+TA!AQ107+ŽB!AQ81+ČL!AQ300+NB!AQ131+SM!AQ173+JI!AQ145+TU!AQ206</f>
        <v>1454196</v>
      </c>
      <c r="AK30" s="16">
        <f>LB!AR471+FR!AR136+JN!AR198+TA!AR107+ŽB!AR81+ČL!AR300+NB!AR131+SM!AR173+JI!AR145+TU!AR206</f>
        <v>39535061</v>
      </c>
      <c r="AL30" s="16">
        <f>LB!AS471+FR!AS136+JN!AS198+TA!AS107+ŽB!AS81+ČL!AS300+NB!AS131+SM!AS173+JI!AS145+TU!AS206</f>
        <v>0</v>
      </c>
      <c r="AM30" s="16">
        <f>LB!AT471+FR!AT136+JN!AT198+TA!AT107+ŽB!AT81+ČL!AT300+NB!AT131+SM!AT173+JI!AT145+TU!AT206</f>
        <v>39535061</v>
      </c>
      <c r="AN30" s="16">
        <f>LB!AU471+FR!AU136+JN!AU198+TA!AU107+ŽB!AU81+ČL!AU300+NB!AU131+SM!AU173+JI!AU145+TU!AU206</f>
        <v>13362854</v>
      </c>
      <c r="AO30" s="16">
        <f>LB!AV471+FR!AV136+JN!AV198+TA!AV107+ŽB!AV81+ČL!AV300+NB!AV131+SM!AV173+JI!AV145+TU!AV206</f>
        <v>380809</v>
      </c>
      <c r="AP30" s="16">
        <f>LB!AW471+FR!AW136+JN!AW198+TA!AW107+ŽB!AW81+ČL!AW300+NB!AW131+SM!AW173+JI!AW145+TU!AW206</f>
        <v>52750</v>
      </c>
      <c r="AQ30" s="16">
        <f>LB!AX471+FR!AX136+JN!AX198+TA!AX107+ŽB!AX81+ČL!AX300+NB!AX131+SM!AX173+JI!AX145+TU!AX206</f>
        <v>0</v>
      </c>
      <c r="AR30" s="16">
        <f>LB!AY471+FR!AY136+JN!AY198+TA!AY107+ŽB!AY81+ČL!AY300+NB!AY131+SM!AY173+JI!AY145+TU!AY206</f>
        <v>52750</v>
      </c>
      <c r="AS30" s="16">
        <f>LB!AZ471+FR!AZ136+JN!AZ198+TA!AZ107+ŽB!AZ81+ČL!AZ300+NB!AZ131+SM!AZ173+JI!AZ145+TU!AZ206</f>
        <v>53331474</v>
      </c>
      <c r="AT30" s="13">
        <f>LB!BA471+FR!BA136+JN!BA198+TA!BA107+ŽB!BA81+ČL!BA300+NB!BA131+SM!BA173+JI!BA145+TU!BA206</f>
        <v>-0.41000000000000003</v>
      </c>
      <c r="AU30" s="13">
        <f>LB!BB471+FR!BB136+JN!BB198+TA!BB107+ŽB!BB81+ČL!BB300+NB!BB131+SM!BB173+JI!BB145+TU!BB206</f>
        <v>-0.9900000000000001</v>
      </c>
      <c r="AV30" s="13">
        <f>LB!BC471+FR!BC136+JN!BC198+TA!BC107+ŽB!BC81+ČL!BC300+NB!BC131+SM!BC173+JI!BC145+TU!BC206</f>
        <v>103.55000000000001</v>
      </c>
      <c r="AW30" s="13">
        <f>LB!BD471+FR!BD136+JN!BD198+TA!BD107+ŽB!BD81+ČL!BD300+NB!BD131+SM!BD173+JI!BD145+TU!BD206</f>
        <v>1</v>
      </c>
      <c r="AX30" s="13">
        <f>LB!BE471+FR!BE136+JN!BE198+TA!BE107+ŽB!BE81+ČL!BE300+NB!BE131+SM!BE173+JI!BE145+TU!BE206</f>
        <v>0</v>
      </c>
      <c r="AY30" s="13">
        <f>LB!BF471+FR!BF136+JN!BF198+TA!BF107+ŽB!BF81+ČL!BF300+NB!BF131+SM!BF173+JI!BF145+TU!BF206</f>
        <v>0</v>
      </c>
      <c r="AZ30" s="13">
        <f>LB!BG471+FR!BG136+JN!BG198+TA!BG107+ŽB!BG81+ČL!BG300+NB!BG131+SM!BG173+JI!BG145+TU!BG206</f>
        <v>0</v>
      </c>
      <c r="BA30" s="13">
        <f>LB!BH471+FR!BH136+JN!BH198+TA!BH107+ŽB!BH81+ČL!BH300+NB!BH131+SM!BH173+JI!BH145+TU!BH206</f>
        <v>0</v>
      </c>
      <c r="BB30" s="13">
        <f>LB!BI471+FR!BI136+JN!BI198+TA!BI107+ŽB!BI81+ČL!BI300+NB!BI131+SM!BI173+JI!BI145+TU!BI206</f>
        <v>0</v>
      </c>
      <c r="BC30" s="13">
        <f>LB!BJ471+FR!BJ136+JN!BJ198+TA!BJ107+ŽB!BJ81+ČL!BJ300+NB!BJ131+SM!BJ173+JI!BJ145+TU!BJ206</f>
        <v>0</v>
      </c>
      <c r="BD30" s="13">
        <f>LB!BK471+FR!BK136+JN!BK198+TA!BK107+ŽB!BK81+ČL!BK300+NB!BK131+SM!BK173+JI!BK145+TU!BK206</f>
        <v>104.14000000000003</v>
      </c>
      <c r="BE30" s="13">
        <f>LB!BL471+FR!BL136+JN!BL198+TA!BL107+ŽB!BL81+ČL!BL300+NB!BL131+SM!BL173+JI!BL145+TU!BL206</f>
        <v>-0.9900000000000001</v>
      </c>
      <c r="BF30" s="169">
        <f>LB!BM471+FR!BM136+JN!BM198+TA!BM107+ŽB!BM81+ČL!BM300+NB!BM131+SM!BM173+JI!BM145+TU!BM206</f>
        <v>103.15</v>
      </c>
      <c r="BG30" s="167">
        <f>LB!BN471+FR!BN136+JN!BN198+TA!BN107+ŽB!BN81+ČL!BN300+NB!BN131+SM!BN173+JI!BN145+TU!BN206</f>
        <v>311299140</v>
      </c>
      <c r="BH30" s="16">
        <f>LB!BO471+FR!BO136+JN!BO198+TA!BO107+ŽB!BO81+ČL!BO300+NB!BO131+SM!BO173+JI!BO145+TU!BO206</f>
        <v>226692835</v>
      </c>
      <c r="BI30" s="16">
        <f>LB!BP471+FR!BP136+JN!BP198+TA!BP107+ŽB!BP81+ČL!BP300+NB!BP131+SM!BP173+JI!BP145+TU!BP206</f>
        <v>203771840</v>
      </c>
      <c r="BJ30" s="16">
        <f>LB!BQ471+FR!BQ136+JN!BQ198+TA!BQ107+ŽB!BQ81+ČL!BQ300+NB!BQ131+SM!BQ173+JI!BQ145+TU!BQ206</f>
        <v>22920995</v>
      </c>
      <c r="BK30" s="16">
        <f>LB!BR471+FR!BR136+JN!BR198+TA!BR107+ŽB!BR81+ČL!BR300+NB!BR131+SM!BR173+JI!BR145+TU!BR206</f>
        <v>1454196</v>
      </c>
      <c r="BL30" s="16">
        <f>LB!BS471+FR!BS136+JN!BS198+TA!BS107+ŽB!BS81+ČL!BS300+NB!BS131+SM!BS173+JI!BS145+TU!BS206</f>
        <v>971252</v>
      </c>
      <c r="BM30" s="16">
        <f>LB!BT471+FR!BT136+JN!BT198+TA!BT107+ŽB!BT81+ČL!BT300+NB!BT131+SM!BT173+JI!BT145+TU!BT206</f>
        <v>482944</v>
      </c>
      <c r="BN30" s="16">
        <f>LB!BU471+FR!BU136+JN!BU198+TA!BU107+ŽB!BU81+ČL!BU300+NB!BU131+SM!BU173+JI!BU145+TU!BU206</f>
        <v>77113699</v>
      </c>
      <c r="BO30" s="16">
        <f>LB!BV471+FR!BV136+JN!BV198+TA!BV107+ŽB!BV81+ČL!BV300+NB!BV131+SM!BV173+JI!BV145+TU!BV206</f>
        <v>2266931</v>
      </c>
      <c r="BP30" s="16">
        <f>LB!BW471+FR!BW136+JN!BW198+TA!BW107+ŽB!BW81+ČL!BW300+NB!BW131+SM!BW173+JI!BW145+TU!BW206</f>
        <v>3771479</v>
      </c>
      <c r="BQ30" s="13">
        <f>LB!BX471+FR!BX136+JN!BX198+TA!BX107+ŽB!BX81+ČL!BX300+NB!BX131+SM!BX173+JI!BX145+TU!BX206</f>
        <v>423.04429999999996</v>
      </c>
      <c r="BR30" s="13">
        <f>LB!BY471+FR!BY136+JN!BY198+TA!BY107+ŽB!BY81+ČL!BY300+NB!BY131+SM!BY173+JI!BY145+TU!BY206</f>
        <v>360.072</v>
      </c>
      <c r="BS30" s="169">
        <f>LB!BZ471+FR!BZ136+JN!BZ198+TA!BZ107+ŽB!BZ81+ČL!BZ300+NB!BZ131+SM!BZ173+JI!BZ145+TU!BZ206</f>
        <v>62.972299999999997</v>
      </c>
      <c r="BT30" s="167">
        <f>LB!CA471+FR!CA136+JN!CA198+TA!CA107+ŽB!CA81+ČL!CA300+NB!CA131+SM!CA173+JI!CA145+TU!CA206</f>
        <v>911196</v>
      </c>
      <c r="BU30" s="16">
        <f>LB!CB471+FR!CB136+JN!CB198+TA!CB107+ŽB!CB81+ČL!CB300+NB!CB131+SM!CB173+JI!CB145+TU!CB206</f>
        <v>564000</v>
      </c>
      <c r="BV30" s="16">
        <f>LB!CC471+FR!CC136+JN!CC198+TA!CC107+ŽB!CC81+ČL!CC300+NB!CC131+SM!CC173+JI!CC145+TU!CC206</f>
        <v>112800</v>
      </c>
      <c r="BW30" s="16">
        <f>LB!CD471+FR!CD136+JN!CD198+TA!CD107+ŽB!CD81+ČL!CD300+NB!CD131+SM!CD173+JI!CD145+TU!CD206</f>
        <v>228756</v>
      </c>
      <c r="BX30" s="16">
        <f>LB!CE471+FR!CE136+JN!CE198+TA!CE107+ŽB!CE81+ČL!CE300+NB!CE131+SM!CE173+JI!CE145+TU!CE206</f>
        <v>5640</v>
      </c>
      <c r="BY30" s="17">
        <f>LB!CF471+FR!CF136+JN!CF198+TA!CF107+ŽB!CF81+ČL!CF300+NB!CF131+SM!CF173+JI!CF145+TU!CF206</f>
        <v>1</v>
      </c>
    </row>
    <row r="31" spans="1:77" x14ac:dyDescent="0.2">
      <c r="A31" s="2">
        <v>3122</v>
      </c>
      <c r="B31" s="167">
        <f>LB!I472+FR!I137+JN!I199+TA!I108+ŽB!I82+ČL!I301+NB!I132+SM!I174+JI!I146+TU!I207</f>
        <v>10362328</v>
      </c>
      <c r="C31" s="16">
        <f>LB!J472+FR!J137+JN!J199+TA!J108+ŽB!J82+ČL!J301+NB!J132+SM!J174+JI!J146+TU!J207</f>
        <v>7646920</v>
      </c>
      <c r="D31" s="16">
        <f>LB!K472+FR!K137+JN!K199+TA!K108+ŽB!K82+ČL!K301+NB!K132+SM!K174+JI!K146+TU!K207</f>
        <v>7414644</v>
      </c>
      <c r="E31" s="16">
        <f>LB!L472+FR!L137+JN!L199+TA!L108+ŽB!L82+ČL!L301+NB!L132+SM!L174+JI!L146+TU!L207</f>
        <v>232276</v>
      </c>
      <c r="F31" s="16">
        <f>LB!M472+FR!M137+JN!M199+TA!M108+ŽB!M82+ČL!M301+NB!M132+SM!M174+JI!M146+TU!M207</f>
        <v>0</v>
      </c>
      <c r="G31" s="16">
        <f>LB!N472+FR!N137+JN!N199+TA!N108+ŽB!N82+ČL!N301+NB!N132+SM!N174+JI!N146+TU!N207</f>
        <v>0</v>
      </c>
      <c r="H31" s="16">
        <f>LB!O472+FR!O137+JN!O199+TA!O108+ŽB!O82+ČL!O301+NB!O132+SM!O174+JI!O146+TU!O207</f>
        <v>0</v>
      </c>
      <c r="I31" s="16">
        <f>LB!P472+FR!P137+JN!P199+TA!P108+ŽB!P82+ČL!P301+NB!P132+SM!P174+JI!P146+TU!P207</f>
        <v>2584659</v>
      </c>
      <c r="J31" s="16">
        <f>LB!Q472+FR!Q137+JN!Q199+TA!Q108+ŽB!Q82+ČL!Q301+NB!Q132+SM!Q174+JI!Q146+TU!Q207</f>
        <v>76469</v>
      </c>
      <c r="K31" s="16">
        <f>LB!R472+FR!R137+JN!R199+TA!R108+ŽB!R82+ČL!R301+NB!R132+SM!R174+JI!R146+TU!R207</f>
        <v>54280</v>
      </c>
      <c r="L31" s="13">
        <f>LB!S472+FR!S137+JN!S199+TA!S108+ŽB!S82+ČL!S301+NB!S132+SM!S174+JI!S146+TU!S207</f>
        <v>10.788599999999999</v>
      </c>
      <c r="M31" s="13">
        <f>LB!T472+FR!T137+JN!T199+TA!T108+ŽB!T82+ČL!T301+NB!T132+SM!T174+JI!T146+TU!T207</f>
        <v>10.0954</v>
      </c>
      <c r="N31" s="17">
        <f>LB!U472+FR!U137+JN!U199+TA!U108+ŽB!U82+ČL!U301+NB!U132+SM!U174+JI!U146+TU!U207</f>
        <v>0.69320000000000004</v>
      </c>
      <c r="O31" s="168">
        <f>LB!V472+FR!V137+JN!V199+TA!V108+ŽB!V82+ČL!V301+NB!V132+SM!V174+JI!V146+TU!V207</f>
        <v>-64000</v>
      </c>
      <c r="P31" s="16">
        <f>LB!W472+FR!W137+JN!W199+TA!W108+ŽB!W82+ČL!W301+NB!W132+SM!W174+JI!W146+TU!W207</f>
        <v>0</v>
      </c>
      <c r="Q31" s="16">
        <f>LB!X472+FR!X137+JN!X199+TA!X108+ŽB!X82+ČL!X301+NB!X132+SM!X174+JI!X146+TU!X207</f>
        <v>0</v>
      </c>
      <c r="R31" s="16">
        <f>LB!Y472+FR!Y137+JN!Y199+TA!Y108+ŽB!Y82+ČL!Y301+NB!Y132+SM!Y174+JI!Y146+TU!Y207</f>
        <v>0</v>
      </c>
      <c r="S31" s="16">
        <f>LB!Z472+FR!Z137+JN!Z199+TA!Z108+ŽB!Z82+ČL!Z301+NB!Z132+SM!Z174+JI!Z146+TU!Z207</f>
        <v>0</v>
      </c>
      <c r="T31" s="16">
        <f>LB!AA472+FR!AA137+JN!AA199+TA!AA108+ŽB!AA82+ČL!AA301+NB!AA132+SM!AA174+JI!AA146+TU!AA207</f>
        <v>0</v>
      </c>
      <c r="U31" s="16">
        <f>LB!AB472+FR!AB137+JN!AB199+TA!AB108+ŽB!AB82+ČL!AB301+NB!AB132+SM!AB174+JI!AB146+TU!AB207</f>
        <v>0</v>
      </c>
      <c r="V31" s="16">
        <f>LB!AB472+FR!AB137+JN!AB199+TA!AB108+ŽB!AB82+ČL!AB301+NB!AB132+SM!AB174+JI!AB146+TU!AB207</f>
        <v>0</v>
      </c>
      <c r="W31" s="16">
        <f>LB!AD472+FR!AD137+JN!AD199+TA!AD108+ŽB!AD82+ČL!AD301+NB!AD132+SM!AD174+JI!AD146+TU!AD207</f>
        <v>0</v>
      </c>
      <c r="X31" s="16">
        <f>LB!AE472+FR!AE137+JN!AE199+TA!AE108+ŽB!AE82+ČL!AE301+NB!AE132+SM!AE174+JI!AE146+TU!AE207</f>
        <v>0</v>
      </c>
      <c r="Y31" s="16">
        <f>LB!AF472+FR!AF137+JN!AF199+TA!AF108+ŽB!AF82+ČL!AF301+NB!AF132+SM!AF174+JI!AF146+TU!AF207</f>
        <v>-64000</v>
      </c>
      <c r="Z31" s="16">
        <f>LB!AG472+FR!AG137+JN!AG199+TA!AG108+ŽB!AG82+ČL!AG301+NB!AG132+SM!AG174+JI!AG146+TU!AG207</f>
        <v>0</v>
      </c>
      <c r="AA31" s="16">
        <f>LB!AH472+FR!AH137+JN!AH199+TA!AH108+ŽB!AH82+ČL!AH301+NB!AH132+SM!AH174+JI!AH146+TU!AH207</f>
        <v>-64000</v>
      </c>
      <c r="AB31" s="16">
        <f>LB!AI472+FR!AI137+JN!AI199+TA!AI108+ŽB!AI82+ČL!AI301+NB!AI132+SM!AI174+JI!AI146+TU!AI207</f>
        <v>64000</v>
      </c>
      <c r="AC31" s="16">
        <f>LB!AJ472+FR!AJ137+JN!AJ199+TA!AJ108+ŽB!AJ82+ČL!AJ301+NB!AJ132+SM!AJ174+JI!AJ146+TU!AJ207</f>
        <v>0</v>
      </c>
      <c r="AD31" s="16">
        <f>LB!AK472+FR!AK137+JN!AK199+TA!AK108+ŽB!AK82+ČL!AK301+NB!AK132+SM!AK174+JI!AK146+TU!AK207</f>
        <v>0</v>
      </c>
      <c r="AE31" s="16">
        <f>LB!AL472+FR!AL137+JN!AL199+TA!AL108+ŽB!AL82+ČL!AL301+NB!AL132+SM!AL174+JI!AL146+TU!AL207</f>
        <v>28360</v>
      </c>
      <c r="AF31" s="16">
        <f>LB!AM472+FR!AM137+JN!AM199+TA!AM108+ŽB!AM82+ČL!AM301+NB!AM132+SM!AM174+JI!AM146+TU!AM207</f>
        <v>0</v>
      </c>
      <c r="AG31" s="16">
        <f>LB!AN472+FR!AN137+JN!AN199+TA!AN108+ŽB!AN82+ČL!AN301+NB!AN132+SM!AN174+JI!AN146+TU!AN207</f>
        <v>0</v>
      </c>
      <c r="AH31" s="16">
        <f>LB!AO472+FR!AO137+JN!AO199+TA!AO108+ŽB!AO82+ČL!AO301+NB!AO132+SM!AO174+JI!AO146+TU!AO207</f>
        <v>92360</v>
      </c>
      <c r="AI31" s="16">
        <f>LB!AP472+FR!AP137+JN!AP199+TA!AP108+ŽB!AP82+ČL!AP301+NB!AP132+SM!AP174+JI!AP146+TU!AP207</f>
        <v>0</v>
      </c>
      <c r="AJ31" s="16">
        <f>LB!AQ472+FR!AQ137+JN!AQ199+TA!AQ108+ŽB!AQ82+ČL!AQ301+NB!AQ132+SM!AQ174+JI!AQ146+TU!AQ207</f>
        <v>92360</v>
      </c>
      <c r="AK31" s="16">
        <f>LB!AR472+FR!AR137+JN!AR199+TA!AR108+ŽB!AR82+ČL!AR301+NB!AR132+SM!AR174+JI!AR146+TU!AR207</f>
        <v>28360</v>
      </c>
      <c r="AL31" s="16">
        <f>LB!AS472+FR!AS137+JN!AS199+TA!AS108+ŽB!AS82+ČL!AS301+NB!AS132+SM!AS174+JI!AS146+TU!AS207</f>
        <v>0</v>
      </c>
      <c r="AM31" s="16">
        <f>LB!AT472+FR!AT137+JN!AT199+TA!AT108+ŽB!AT82+ČL!AT301+NB!AT132+SM!AT174+JI!AT146+TU!AT207</f>
        <v>28360</v>
      </c>
      <c r="AN31" s="16">
        <f>LB!AU472+FR!AU137+JN!AU199+TA!AU108+ŽB!AU82+ČL!AU301+NB!AU132+SM!AU174+JI!AU146+TU!AU207</f>
        <v>9586</v>
      </c>
      <c r="AO31" s="16">
        <f>LB!AV472+FR!AV137+JN!AV199+TA!AV108+ŽB!AV82+ČL!AV301+NB!AV132+SM!AV174+JI!AV146+TU!AV207</f>
        <v>-640</v>
      </c>
      <c r="AP31" s="16">
        <f>LB!AW472+FR!AW137+JN!AW199+TA!AW108+ŽB!AW82+ČL!AW301+NB!AW132+SM!AW174+JI!AW146+TU!AW207</f>
        <v>0</v>
      </c>
      <c r="AQ31" s="16">
        <f>LB!AX472+FR!AX137+JN!AX199+TA!AX108+ŽB!AX82+ČL!AX301+NB!AX132+SM!AX174+JI!AX146+TU!AX207</f>
        <v>0</v>
      </c>
      <c r="AR31" s="16">
        <f>LB!AY472+FR!AY137+JN!AY199+TA!AY108+ŽB!AY82+ČL!AY301+NB!AY132+SM!AY174+JI!AY146+TU!AY207</f>
        <v>0</v>
      </c>
      <c r="AS31" s="16">
        <f>LB!AZ472+FR!AZ137+JN!AZ199+TA!AZ108+ŽB!AZ82+ČL!AZ301+NB!AZ132+SM!AZ174+JI!AZ146+TU!AZ207</f>
        <v>37306</v>
      </c>
      <c r="AT31" s="13">
        <f>LB!BA472+FR!BA137+JN!BA199+TA!BA108+ŽB!BA82+ČL!BA301+NB!BA132+SM!BA174+JI!BA146+TU!BA207</f>
        <v>-0.04</v>
      </c>
      <c r="AU31" s="13">
        <f>LB!BB472+FR!BB137+JN!BB199+TA!BB108+ŽB!BB82+ČL!BB301+NB!BB132+SM!BB174+JI!BB146+TU!BB207</f>
        <v>0</v>
      </c>
      <c r="AV31" s="13">
        <f>LB!BC472+FR!BC137+JN!BC199+TA!BC108+ŽB!BC82+ČL!BC301+NB!BC132+SM!BC174+JI!BC146+TU!BC207</f>
        <v>0</v>
      </c>
      <c r="AW31" s="13">
        <f>LB!BD472+FR!BD137+JN!BD199+TA!BD108+ŽB!BD82+ČL!BD301+NB!BD132+SM!BD174+JI!BD146+TU!BD207</f>
        <v>0</v>
      </c>
      <c r="AX31" s="13">
        <f>LB!BE472+FR!BE137+JN!BE199+TA!BE108+ŽB!BE82+ČL!BE301+NB!BE132+SM!BE174+JI!BE146+TU!BE207</f>
        <v>0</v>
      </c>
      <c r="AY31" s="13">
        <f>LB!BF472+FR!BF137+JN!BF199+TA!BF108+ŽB!BF82+ČL!BF301+NB!BF132+SM!BF174+JI!BF146+TU!BF207</f>
        <v>0</v>
      </c>
      <c r="AZ31" s="13">
        <f>LB!BG472+FR!BG137+JN!BG199+TA!BG108+ŽB!BG82+ČL!BG301+NB!BG132+SM!BG174+JI!BG146+TU!BG207</f>
        <v>0</v>
      </c>
      <c r="BA31" s="13">
        <f>LB!BH472+FR!BH137+JN!BH199+TA!BH108+ŽB!BH82+ČL!BH301+NB!BH132+SM!BH174+JI!BH146+TU!BH207</f>
        <v>0</v>
      </c>
      <c r="BB31" s="13">
        <f>LB!BI472+FR!BI137+JN!BI199+TA!BI108+ŽB!BI82+ČL!BI301+NB!BI132+SM!BI174+JI!BI146+TU!BI207</f>
        <v>0</v>
      </c>
      <c r="BC31" s="13">
        <f>LB!BJ472+FR!BJ137+JN!BJ199+TA!BJ108+ŽB!BJ82+ČL!BJ301+NB!BJ132+SM!BJ174+JI!BJ146+TU!BJ207</f>
        <v>0</v>
      </c>
      <c r="BD31" s="13">
        <f>LB!BK472+FR!BK137+JN!BK199+TA!BK108+ŽB!BK82+ČL!BK301+NB!BK132+SM!BK174+JI!BK146+TU!BK207</f>
        <v>-0.04</v>
      </c>
      <c r="BE31" s="13">
        <f>LB!BL472+FR!BL137+JN!BL199+TA!BL108+ŽB!BL82+ČL!BL301+NB!BL132+SM!BL174+JI!BL146+TU!BL207</f>
        <v>0</v>
      </c>
      <c r="BF31" s="169">
        <f>LB!BM472+FR!BM137+JN!BM199+TA!BM108+ŽB!BM82+ČL!BM301+NB!BM132+SM!BM174+JI!BM146+TU!BM207</f>
        <v>-0.04</v>
      </c>
      <c r="BG31" s="167">
        <f>LB!BN472+FR!BN137+JN!BN199+TA!BN108+ŽB!BN82+ČL!BN301+NB!BN132+SM!BN174+JI!BN146+TU!BN207</f>
        <v>10399634</v>
      </c>
      <c r="BH31" s="16">
        <f>LB!BO472+FR!BO137+JN!BO199+TA!BO108+ŽB!BO82+ČL!BO301+NB!BO132+SM!BO174+JI!BO146+TU!BO207</f>
        <v>7582920</v>
      </c>
      <c r="BI31" s="16">
        <f>LB!BP472+FR!BP137+JN!BP199+TA!BP108+ŽB!BP82+ČL!BP301+NB!BP132+SM!BP174+JI!BP146+TU!BP207</f>
        <v>7350644</v>
      </c>
      <c r="BJ31" s="16">
        <f>LB!BQ472+FR!BQ137+JN!BQ199+TA!BQ108+ŽB!BQ82+ČL!BQ301+NB!BQ132+SM!BQ174+JI!BQ146+TU!BQ207</f>
        <v>232276</v>
      </c>
      <c r="BK31" s="16">
        <f>LB!BR472+FR!BR137+JN!BR199+TA!BR108+ŽB!BR82+ČL!BR301+NB!BR132+SM!BR174+JI!BR146+TU!BR207</f>
        <v>92360</v>
      </c>
      <c r="BL31" s="16">
        <f>LB!BS472+FR!BS137+JN!BS199+TA!BS108+ŽB!BS82+ČL!BS301+NB!BS132+SM!BS174+JI!BS146+TU!BS207</f>
        <v>92360</v>
      </c>
      <c r="BM31" s="16">
        <f>LB!BT472+FR!BT137+JN!BT199+TA!BT108+ŽB!BT82+ČL!BT301+NB!BT132+SM!BT174+JI!BT146+TU!BT207</f>
        <v>0</v>
      </c>
      <c r="BN31" s="16">
        <f>LB!BU472+FR!BU137+JN!BU199+TA!BU108+ŽB!BU82+ČL!BU301+NB!BU132+SM!BU174+JI!BU146+TU!BU207</f>
        <v>2594245</v>
      </c>
      <c r="BO31" s="16">
        <f>LB!BV472+FR!BV137+JN!BV199+TA!BV108+ŽB!BV82+ČL!BV301+NB!BV132+SM!BV174+JI!BV146+TU!BV207</f>
        <v>75829</v>
      </c>
      <c r="BP31" s="16">
        <f>LB!BW472+FR!BW137+JN!BW199+TA!BW108+ŽB!BW82+ČL!BW301+NB!BW132+SM!BW174+JI!BW146+TU!BW207</f>
        <v>54280</v>
      </c>
      <c r="BQ31" s="13">
        <f>LB!BX472+FR!BX137+JN!BX199+TA!BX108+ŽB!BX82+ČL!BX301+NB!BX132+SM!BX174+JI!BX146+TU!BX207</f>
        <v>10.7486</v>
      </c>
      <c r="BR31" s="13">
        <f>LB!BY472+FR!BY137+JN!BY199+TA!BY108+ŽB!BY82+ČL!BY301+NB!BY132+SM!BY174+JI!BY146+TU!BY207</f>
        <v>10.055400000000001</v>
      </c>
      <c r="BS31" s="169">
        <f>LB!BZ472+FR!BZ137+JN!BZ199+TA!BZ108+ŽB!BZ82+ČL!BZ301+NB!BZ132+SM!BZ174+JI!BZ146+TU!BZ207</f>
        <v>0.69320000000000004</v>
      </c>
      <c r="BT31" s="167">
        <f>LB!CA472+FR!CA137+JN!CA199+TA!CA108+ŽB!CA82+ČL!CA301+NB!CA132+SM!CA174+JI!CA146+TU!CA207</f>
        <v>0</v>
      </c>
      <c r="BU31" s="16">
        <f>LB!CB472+FR!CB137+JN!CB199+TA!CB108+ŽB!CB82+ČL!CB301+NB!CB132+SM!CB174+JI!CB146+TU!CB207</f>
        <v>0</v>
      </c>
      <c r="BV31" s="16">
        <f>LB!CC472+FR!CC137+JN!CC199+TA!CC108+ŽB!CC82+ČL!CC301+NB!CC132+SM!CC174+JI!CC146+TU!CC207</f>
        <v>0</v>
      </c>
      <c r="BW31" s="16">
        <f>LB!CD472+FR!CD137+JN!CD199+TA!CD108+ŽB!CD82+ČL!CD301+NB!CD132+SM!CD174+JI!CD146+TU!CD207</f>
        <v>0</v>
      </c>
      <c r="BX31" s="16">
        <f>LB!CE472+FR!CE137+JN!CE199+TA!CE108+ŽB!CE82+ČL!CE301+NB!CE132+SM!CE174+JI!CE146+TU!CE207</f>
        <v>0</v>
      </c>
      <c r="BY31" s="17">
        <f>LB!CF472+FR!CF137+JN!CF199+TA!CF108+ŽB!CF82+ČL!CF301+NB!CF132+SM!CF174+JI!CF146+TU!CF207</f>
        <v>0</v>
      </c>
    </row>
    <row r="32" spans="1:77" x14ac:dyDescent="0.2">
      <c r="A32" s="2">
        <v>3124</v>
      </c>
      <c r="B32" s="167">
        <f>LB!I473+FR!I138+JN!I200+TA!I109+ŽB!I83+ČL!I302+NB!I133+SM!I175+JI!I147+TU!I208</f>
        <v>4110107</v>
      </c>
      <c r="C32" s="16">
        <f>LB!J473+FR!J138+JN!J200+TA!J109+ŽB!J83+ČL!J302+NB!J133+SM!J175+JI!J147+TU!J208</f>
        <v>3039835</v>
      </c>
      <c r="D32" s="16">
        <f>LB!K473+FR!K138+JN!K200+TA!K109+ŽB!K83+ČL!K302+NB!K133+SM!K175+JI!K147+TU!K208</f>
        <v>2937341</v>
      </c>
      <c r="E32" s="16">
        <f>LB!L473+FR!L138+JN!L200+TA!L109+ŽB!L83+ČL!L302+NB!L133+SM!L175+JI!L147+TU!L208</f>
        <v>102494</v>
      </c>
      <c r="F32" s="16">
        <f>LB!M473+FR!M138+JN!M200+TA!M109+ŽB!M83+ČL!M302+NB!M133+SM!M175+JI!M147+TU!M208</f>
        <v>0</v>
      </c>
      <c r="G32" s="16">
        <f>LB!N473+FR!N138+JN!N200+TA!N109+ŽB!N83+ČL!N302+NB!N133+SM!N175+JI!N147+TU!N208</f>
        <v>0</v>
      </c>
      <c r="H32" s="16">
        <f>LB!O473+FR!O138+JN!O200+TA!O109+ŽB!O83+ČL!O302+NB!O133+SM!O175+JI!O147+TU!O208</f>
        <v>0</v>
      </c>
      <c r="I32" s="16">
        <f>LB!P473+FR!P138+JN!P200+TA!P109+ŽB!P83+ČL!P302+NB!P133+SM!P175+JI!P147+TU!P208</f>
        <v>1027464</v>
      </c>
      <c r="J32" s="16">
        <f>LB!Q473+FR!Q138+JN!Q200+TA!Q109+ŽB!Q83+ČL!Q302+NB!Q133+SM!Q175+JI!Q147+TU!Q208</f>
        <v>30398</v>
      </c>
      <c r="K32" s="16">
        <f>LB!R473+FR!R138+JN!R200+TA!R109+ŽB!R83+ČL!R302+NB!R133+SM!R175+JI!R147+TU!R208</f>
        <v>12410</v>
      </c>
      <c r="L32" s="13">
        <f>LB!S473+FR!S138+JN!S200+TA!S109+ŽB!S83+ČL!S302+NB!S133+SM!S175+JI!S147+TU!S208</f>
        <v>4.6234000000000002</v>
      </c>
      <c r="M32" s="13">
        <f>LB!T473+FR!T138+JN!T200+TA!T109+ŽB!T83+ČL!T302+NB!T133+SM!T175+JI!T147+TU!T208</f>
        <v>4.3174999999999999</v>
      </c>
      <c r="N32" s="17">
        <f>LB!U473+FR!U138+JN!U200+TA!U109+ŽB!U83+ČL!U302+NB!U133+SM!U175+JI!U147+TU!U208</f>
        <v>0.30590000000000001</v>
      </c>
      <c r="O32" s="168">
        <f>LB!V473+FR!V138+JN!V200+TA!V109+ŽB!V83+ČL!V302+NB!V133+SM!V175+JI!V147+TU!V208</f>
        <v>0</v>
      </c>
      <c r="P32" s="16">
        <f>LB!W473+FR!W138+JN!W200+TA!W109+ŽB!W83+ČL!W302+NB!W133+SM!W175+JI!W147+TU!W208</f>
        <v>0</v>
      </c>
      <c r="Q32" s="16">
        <f>LB!X473+FR!X138+JN!X200+TA!X109+ŽB!X83+ČL!X302+NB!X133+SM!X175+JI!X147+TU!X208</f>
        <v>0</v>
      </c>
      <c r="R32" s="16">
        <f>LB!Y473+FR!Y138+JN!Y200+TA!Y109+ŽB!Y83+ČL!Y302+NB!Y133+SM!Y175+JI!Y147+TU!Y208</f>
        <v>0</v>
      </c>
      <c r="S32" s="16">
        <f>LB!Z473+FR!Z138+JN!Z200+TA!Z109+ŽB!Z83+ČL!Z302+NB!Z133+SM!Z175+JI!Z147+TU!Z208</f>
        <v>0</v>
      </c>
      <c r="T32" s="16">
        <f>LB!AA473+FR!AA138+JN!AA200+TA!AA109+ŽB!AA83+ČL!AA302+NB!AA133+SM!AA175+JI!AA147+TU!AA208</f>
        <v>0</v>
      </c>
      <c r="U32" s="16">
        <f>LB!AB473+FR!AB138+JN!AB200+TA!AB109+ŽB!AB83+ČL!AB302+NB!AB133+SM!AB175+JI!AB147+TU!AB208</f>
        <v>0</v>
      </c>
      <c r="V32" s="16">
        <f>LB!AB473+FR!AB138+JN!AB200+TA!AB109+ŽB!AB83+ČL!AB302+NB!AB133+SM!AB175+JI!AB147+TU!AB208</f>
        <v>0</v>
      </c>
      <c r="W32" s="16">
        <f>LB!AD473+FR!AD138+JN!AD200+TA!AD109+ŽB!AD83+ČL!AD302+NB!AD133+SM!AD175+JI!AD147+TU!AD208</f>
        <v>0</v>
      </c>
      <c r="X32" s="16">
        <f>LB!AE473+FR!AE138+JN!AE200+TA!AE109+ŽB!AE83+ČL!AE302+NB!AE133+SM!AE175+JI!AE147+TU!AE208</f>
        <v>0</v>
      </c>
      <c r="Y32" s="16">
        <f>LB!AF473+FR!AF138+JN!AF200+TA!AF109+ŽB!AF83+ČL!AF302+NB!AF133+SM!AF175+JI!AF147+TU!AF208</f>
        <v>0</v>
      </c>
      <c r="Z32" s="16">
        <f>LB!AG473+FR!AG138+JN!AG200+TA!AG109+ŽB!AG83+ČL!AG302+NB!AG133+SM!AG175+JI!AG147+TU!AG208</f>
        <v>0</v>
      </c>
      <c r="AA32" s="16">
        <f>LB!AH473+FR!AH138+JN!AH200+TA!AH109+ŽB!AH83+ČL!AH302+NB!AH133+SM!AH175+JI!AH147+TU!AH208</f>
        <v>0</v>
      </c>
      <c r="AB32" s="16">
        <f>LB!AI473+FR!AI138+JN!AI200+TA!AI109+ŽB!AI83+ČL!AI302+NB!AI133+SM!AI175+JI!AI147+TU!AI208</f>
        <v>0</v>
      </c>
      <c r="AC32" s="16">
        <f>LB!AJ473+FR!AJ138+JN!AJ200+TA!AJ109+ŽB!AJ83+ČL!AJ302+NB!AJ133+SM!AJ175+JI!AJ147+TU!AJ208</f>
        <v>0</v>
      </c>
      <c r="AD32" s="16">
        <f>LB!AK473+FR!AK138+JN!AK200+TA!AK109+ŽB!AK83+ČL!AK302+NB!AK133+SM!AK175+JI!AK147+TU!AK208</f>
        <v>0</v>
      </c>
      <c r="AE32" s="16">
        <f>LB!AL473+FR!AL138+JN!AL200+TA!AL109+ŽB!AL83+ČL!AL302+NB!AL133+SM!AL175+JI!AL147+TU!AL208</f>
        <v>0</v>
      </c>
      <c r="AF32" s="16">
        <f>LB!AM473+FR!AM138+JN!AM200+TA!AM109+ŽB!AM83+ČL!AM302+NB!AM133+SM!AM175+JI!AM147+TU!AM208</f>
        <v>0</v>
      </c>
      <c r="AG32" s="16">
        <f>LB!AN473+FR!AN138+JN!AN200+TA!AN109+ŽB!AN83+ČL!AN302+NB!AN133+SM!AN175+JI!AN147+TU!AN208</f>
        <v>0</v>
      </c>
      <c r="AH32" s="16">
        <f>LB!AO473+FR!AO138+JN!AO200+TA!AO109+ŽB!AO83+ČL!AO302+NB!AO133+SM!AO175+JI!AO147+TU!AO208</f>
        <v>0</v>
      </c>
      <c r="AI32" s="16">
        <f>LB!AP473+FR!AP138+JN!AP200+TA!AP109+ŽB!AP83+ČL!AP302+NB!AP133+SM!AP175+JI!AP147+TU!AP208</f>
        <v>0</v>
      </c>
      <c r="AJ32" s="16">
        <f>LB!AQ473+FR!AQ138+JN!AQ200+TA!AQ109+ŽB!AQ83+ČL!AQ302+NB!AQ133+SM!AQ175+JI!AQ147+TU!AQ208</f>
        <v>0</v>
      </c>
      <c r="AK32" s="16">
        <f>LB!AR473+FR!AR138+JN!AR200+TA!AR109+ŽB!AR83+ČL!AR302+NB!AR133+SM!AR175+JI!AR147+TU!AR208</f>
        <v>0</v>
      </c>
      <c r="AL32" s="16">
        <f>LB!AS473+FR!AS138+JN!AS200+TA!AS109+ŽB!AS83+ČL!AS302+NB!AS133+SM!AS175+JI!AS147+TU!AS208</f>
        <v>0</v>
      </c>
      <c r="AM32" s="16">
        <f>LB!AT473+FR!AT138+JN!AT200+TA!AT109+ŽB!AT83+ČL!AT302+NB!AT133+SM!AT175+JI!AT147+TU!AT208</f>
        <v>0</v>
      </c>
      <c r="AN32" s="16">
        <f>LB!AU473+FR!AU138+JN!AU200+TA!AU109+ŽB!AU83+ČL!AU302+NB!AU133+SM!AU175+JI!AU147+TU!AU208</f>
        <v>0</v>
      </c>
      <c r="AO32" s="16">
        <f>LB!AV473+FR!AV138+JN!AV200+TA!AV109+ŽB!AV83+ČL!AV302+NB!AV133+SM!AV175+JI!AV147+TU!AV208</f>
        <v>0</v>
      </c>
      <c r="AP32" s="16">
        <f>LB!AW473+FR!AW138+JN!AW200+TA!AW109+ŽB!AW83+ČL!AW302+NB!AW133+SM!AW175+JI!AW147+TU!AW208</f>
        <v>0</v>
      </c>
      <c r="AQ32" s="16">
        <f>LB!AX473+FR!AX138+JN!AX200+TA!AX109+ŽB!AX83+ČL!AX302+NB!AX133+SM!AX175+JI!AX147+TU!AX208</f>
        <v>0</v>
      </c>
      <c r="AR32" s="16">
        <f>LB!AY473+FR!AY138+JN!AY200+TA!AY109+ŽB!AY83+ČL!AY302+NB!AY133+SM!AY175+JI!AY147+TU!AY208</f>
        <v>0</v>
      </c>
      <c r="AS32" s="16">
        <f>LB!AZ473+FR!AZ138+JN!AZ200+TA!AZ109+ŽB!AZ83+ČL!AZ302+NB!AZ133+SM!AZ175+JI!AZ147+TU!AZ208</f>
        <v>0</v>
      </c>
      <c r="AT32" s="13">
        <f>LB!BA473+FR!BA138+JN!BA200+TA!BA109+ŽB!BA83+ČL!BA302+NB!BA133+SM!BA175+JI!BA147+TU!BA208</f>
        <v>0</v>
      </c>
      <c r="AU32" s="13">
        <f>LB!BB473+FR!BB138+JN!BB200+TA!BB109+ŽB!BB83+ČL!BB302+NB!BB133+SM!BB175+JI!BB147+TU!BB208</f>
        <v>0</v>
      </c>
      <c r="AV32" s="13">
        <f>LB!BC473+FR!BC138+JN!BC200+TA!BC109+ŽB!BC83+ČL!BC302+NB!BC133+SM!BC175+JI!BC147+TU!BC208</f>
        <v>0</v>
      </c>
      <c r="AW32" s="13">
        <f>LB!BD473+FR!BD138+JN!BD200+TA!BD109+ŽB!BD83+ČL!BD302+NB!BD133+SM!BD175+JI!BD147+TU!BD208</f>
        <v>0</v>
      </c>
      <c r="AX32" s="13">
        <f>LB!BE473+FR!BE138+JN!BE200+TA!BE109+ŽB!BE83+ČL!BE302+NB!BE133+SM!BE175+JI!BE147+TU!BE208</f>
        <v>0</v>
      </c>
      <c r="AY32" s="13">
        <f>LB!BF473+FR!BF138+JN!BF200+TA!BF109+ŽB!BF83+ČL!BF302+NB!BF133+SM!BF175+JI!BF147+TU!BF208</f>
        <v>0</v>
      </c>
      <c r="AZ32" s="13">
        <f>LB!BG473+FR!BG138+JN!BG200+TA!BG109+ŽB!BG83+ČL!BG302+NB!BG133+SM!BG175+JI!BG147+TU!BG208</f>
        <v>0</v>
      </c>
      <c r="BA32" s="13">
        <f>LB!BH473+FR!BH138+JN!BH200+TA!BH109+ŽB!BH83+ČL!BH302+NB!BH133+SM!BH175+JI!BH147+TU!BH208</f>
        <v>0</v>
      </c>
      <c r="BB32" s="13">
        <f>LB!BI473+FR!BI138+JN!BI200+TA!BI109+ŽB!BI83+ČL!BI302+NB!BI133+SM!BI175+JI!BI147+TU!BI208</f>
        <v>0</v>
      </c>
      <c r="BC32" s="13">
        <f>LB!BJ473+FR!BJ138+JN!BJ200+TA!BJ109+ŽB!BJ83+ČL!BJ302+NB!BJ133+SM!BJ175+JI!BJ147+TU!BJ208</f>
        <v>0</v>
      </c>
      <c r="BD32" s="13">
        <f>LB!BK473+FR!BK138+JN!BK200+TA!BK109+ŽB!BK83+ČL!BK302+NB!BK133+SM!BK175+JI!BK147+TU!BK208</f>
        <v>0</v>
      </c>
      <c r="BE32" s="13">
        <f>LB!BL473+FR!BL138+JN!BL200+TA!BL109+ŽB!BL83+ČL!BL302+NB!BL133+SM!BL175+JI!BL147+TU!BL208</f>
        <v>0</v>
      </c>
      <c r="BF32" s="169">
        <f>LB!BM473+FR!BM138+JN!BM200+TA!BM109+ŽB!BM83+ČL!BM302+NB!BM133+SM!BM175+JI!BM147+TU!BM208</f>
        <v>0</v>
      </c>
      <c r="BG32" s="167">
        <f>LB!BN473+FR!BN138+JN!BN200+TA!BN109+ŽB!BN83+ČL!BN302+NB!BN133+SM!BN175+JI!BN147+TU!BN208</f>
        <v>4110107</v>
      </c>
      <c r="BH32" s="16">
        <f>LB!BO473+FR!BO138+JN!BO200+TA!BO109+ŽB!BO83+ČL!BO302+NB!BO133+SM!BO175+JI!BO147+TU!BO208</f>
        <v>3039835</v>
      </c>
      <c r="BI32" s="16">
        <f>LB!BP473+FR!BP138+JN!BP200+TA!BP109+ŽB!BP83+ČL!BP302+NB!BP133+SM!BP175+JI!BP147+TU!BP208</f>
        <v>2937341</v>
      </c>
      <c r="BJ32" s="16">
        <f>LB!BQ473+FR!BQ138+JN!BQ200+TA!BQ109+ŽB!BQ83+ČL!BQ302+NB!BQ133+SM!BQ175+JI!BQ147+TU!BQ208</f>
        <v>102494</v>
      </c>
      <c r="BK32" s="16">
        <f>LB!BR473+FR!BR138+JN!BR200+TA!BR109+ŽB!BR83+ČL!BR302+NB!BR133+SM!BR175+JI!BR147+TU!BR208</f>
        <v>0</v>
      </c>
      <c r="BL32" s="16">
        <f>LB!BS473+FR!BS138+JN!BS200+TA!BS109+ŽB!BS83+ČL!BS302+NB!BS133+SM!BS175+JI!BS147+TU!BS208</f>
        <v>0</v>
      </c>
      <c r="BM32" s="16">
        <f>LB!BT473+FR!BT138+JN!BT200+TA!BT109+ŽB!BT83+ČL!BT302+NB!BT133+SM!BT175+JI!BT147+TU!BT208</f>
        <v>0</v>
      </c>
      <c r="BN32" s="16">
        <f>LB!BU473+FR!BU138+JN!BU200+TA!BU109+ŽB!BU83+ČL!BU302+NB!BU133+SM!BU175+JI!BU147+TU!BU208</f>
        <v>1027464</v>
      </c>
      <c r="BO32" s="16">
        <f>LB!BV473+FR!BV138+JN!BV200+TA!BV109+ŽB!BV83+ČL!BV302+NB!BV133+SM!BV175+JI!BV147+TU!BV208</f>
        <v>30398</v>
      </c>
      <c r="BP32" s="16">
        <f>LB!BW473+FR!BW138+JN!BW200+TA!BW109+ŽB!BW83+ČL!BW302+NB!BW133+SM!BW175+JI!BW147+TU!BW208</f>
        <v>12410</v>
      </c>
      <c r="BQ32" s="13">
        <f>LB!BX473+FR!BX138+JN!BX200+TA!BX109+ŽB!BX83+ČL!BX302+NB!BX133+SM!BX175+JI!BX147+TU!BX208</f>
        <v>4.6234000000000002</v>
      </c>
      <c r="BR32" s="13">
        <f>LB!BY473+FR!BY138+JN!BY200+TA!BY109+ŽB!BY83+ČL!BY302+NB!BY133+SM!BY175+JI!BY147+TU!BY208</f>
        <v>4.3174999999999999</v>
      </c>
      <c r="BS32" s="169">
        <f>LB!BZ473+FR!BZ138+JN!BZ200+TA!BZ109+ŽB!BZ83+ČL!BZ302+NB!BZ133+SM!BZ175+JI!BZ147+TU!BZ208</f>
        <v>0.30590000000000001</v>
      </c>
      <c r="BT32" s="167">
        <f>LB!CA473+FR!CA138+JN!CA200+TA!CA109+ŽB!CA83+ČL!CA302+NB!CA133+SM!CA175+JI!CA147+TU!CA208</f>
        <v>0</v>
      </c>
      <c r="BU32" s="16">
        <f>LB!CB473+FR!CB138+JN!CB200+TA!CB109+ŽB!CB83+ČL!CB302+NB!CB133+SM!CB175+JI!CB147+TU!CB208</f>
        <v>0</v>
      </c>
      <c r="BV32" s="16">
        <f>LB!CC473+FR!CC138+JN!CC200+TA!CC109+ŽB!CC83+ČL!CC302+NB!CC133+SM!CC175+JI!CC147+TU!CC208</f>
        <v>0</v>
      </c>
      <c r="BW32" s="16">
        <f>LB!CD473+FR!CD138+JN!CD200+TA!CD109+ŽB!CD83+ČL!CD302+NB!CD133+SM!CD175+JI!CD147+TU!CD208</f>
        <v>0</v>
      </c>
      <c r="BX32" s="16">
        <f>LB!CE473+FR!CE138+JN!CE200+TA!CE109+ŽB!CE83+ČL!CE302+NB!CE133+SM!CE175+JI!CE147+TU!CE208</f>
        <v>0</v>
      </c>
      <c r="BY32" s="17">
        <f>LB!CF473+FR!CF138+JN!CF200+TA!CF109+ŽB!CF83+ČL!CF302+NB!CF133+SM!CF175+JI!CF147+TU!CF208</f>
        <v>0</v>
      </c>
    </row>
    <row r="33" spans="1:79" x14ac:dyDescent="0.2">
      <c r="A33" s="2">
        <v>3141</v>
      </c>
      <c r="B33" s="167">
        <f>LB!I474+FR!I139+JN!I201+TA!I110+ŽB!I84+ČL!I303+NB!I134+SM!I176+JI!I148+TU!I209</f>
        <v>274859142</v>
      </c>
      <c r="C33" s="16">
        <f>LB!J474+FR!J139+JN!J201+TA!J110+ŽB!J84+ČL!J303+NB!J134+SM!J176+JI!J148+TU!J209</f>
        <v>202669269</v>
      </c>
      <c r="D33" s="16">
        <f>LB!K474+FR!K139+JN!K201+TA!K110+ŽB!K84+ČL!K303+NB!K134+SM!K176+JI!K148+TU!K209</f>
        <v>0</v>
      </c>
      <c r="E33" s="16">
        <f>LB!L474+FR!L139+JN!L201+TA!L110+ŽB!L84+ČL!L303+NB!L134+SM!L176+JI!L148+TU!L209</f>
        <v>202669269</v>
      </c>
      <c r="F33" s="16">
        <f>LB!M474+FR!M139+JN!M201+TA!M110+ŽB!M84+ČL!M303+NB!M134+SM!M176+JI!M148+TU!M209</f>
        <v>0</v>
      </c>
      <c r="G33" s="16">
        <f>LB!N474+FR!N139+JN!N201+TA!N110+ŽB!N84+ČL!N303+NB!N134+SM!N176+JI!N148+TU!N209</f>
        <v>0</v>
      </c>
      <c r="H33" s="16">
        <f>LB!O474+FR!O139+JN!O201+TA!O110+ŽB!O84+ČL!O303+NB!O134+SM!O176+JI!O148+TU!O209</f>
        <v>0</v>
      </c>
      <c r="I33" s="16">
        <f>LB!P474+FR!P139+JN!P201+TA!P110+ŽB!P84+ČL!P303+NB!P134+SM!P176+JI!P148+TU!P209</f>
        <v>68502208</v>
      </c>
      <c r="J33" s="16">
        <f>LB!Q474+FR!Q139+JN!Q201+TA!Q110+ŽB!Q84+ČL!Q303+NB!Q134+SM!Q176+JI!Q148+TU!Q209</f>
        <v>2026688</v>
      </c>
      <c r="K33" s="16">
        <f>LB!R474+FR!R139+JN!R201+TA!R110+ŽB!R84+ČL!R303+NB!R134+SM!R176+JI!R148+TU!R209</f>
        <v>1660977</v>
      </c>
      <c r="L33" s="13">
        <f>LB!S474+FR!S139+JN!S201+TA!S110+ŽB!S84+ČL!S303+NB!S134+SM!S176+JI!S148+TU!S209</f>
        <v>607.75060000000008</v>
      </c>
      <c r="M33" s="13">
        <f>LB!T474+FR!T139+JN!T201+TA!T110+ŽB!T84+ČL!T303+NB!T134+SM!T176+JI!T148+TU!T209</f>
        <v>0</v>
      </c>
      <c r="N33" s="17">
        <f>LB!U474+FR!U139+JN!U201+TA!U110+ŽB!U84+ČL!U303+NB!U134+SM!U176+JI!U148+TU!U209</f>
        <v>607.75060000000008</v>
      </c>
      <c r="O33" s="168">
        <f>LB!V474+FR!V139+JN!V201+TA!V110+ŽB!V84+ČL!V303+NB!V134+SM!V176+JI!V148+TU!V209</f>
        <v>0</v>
      </c>
      <c r="P33" s="16">
        <f>LB!W474+FR!W139+JN!W201+TA!W110+ŽB!W84+ČL!W303+NB!W134+SM!W176+JI!W148+TU!W209</f>
        <v>-1022464</v>
      </c>
      <c r="Q33" s="16">
        <f>LB!X474+FR!X139+JN!X201+TA!X110+ŽB!X84+ČL!X303+NB!X134+SM!X176+JI!X148+TU!X209</f>
        <v>0</v>
      </c>
      <c r="R33" s="16">
        <f>LB!Y474+FR!Y139+JN!Y201+TA!Y110+ŽB!Y84+ČL!Y303+NB!Y134+SM!Y176+JI!Y148+TU!Y209</f>
        <v>0</v>
      </c>
      <c r="S33" s="16">
        <f>LB!Z474+FR!Z139+JN!Z201+TA!Z110+ŽB!Z84+ČL!Z303+NB!Z134+SM!Z176+JI!Z148+TU!Z209</f>
        <v>0</v>
      </c>
      <c r="T33" s="16">
        <f>LB!AA474+FR!AA139+JN!AA201+TA!AA110+ŽB!AA84+ČL!AA303+NB!AA134+SM!AA176+JI!AA148+TU!AA209</f>
        <v>0</v>
      </c>
      <c r="U33" s="16">
        <f>LB!AB474+FR!AB139+JN!AB201+TA!AB110+ŽB!AB84+ČL!AB303+NB!AB134+SM!AB176+JI!AB148+TU!AB209</f>
        <v>0</v>
      </c>
      <c r="V33" s="16">
        <f>LB!AB474+FR!AB139+JN!AB201+TA!AB110+ŽB!AB84+ČL!AB303+NB!AB134+SM!AB176+JI!AB148+TU!AB209</f>
        <v>0</v>
      </c>
      <c r="W33" s="16">
        <f>LB!AD474+FR!AD139+JN!AD201+TA!AD110+ŽB!AD84+ČL!AD303+NB!AD134+SM!AD176+JI!AD148+TU!AD209</f>
        <v>0</v>
      </c>
      <c r="X33" s="16">
        <f>LB!AE474+FR!AE139+JN!AE201+TA!AE110+ŽB!AE84+ČL!AE303+NB!AE134+SM!AE176+JI!AE148+TU!AE209</f>
        <v>834476</v>
      </c>
      <c r="Y33" s="16">
        <f>LB!AF474+FR!AF139+JN!AF201+TA!AF110+ŽB!AF84+ČL!AF303+NB!AF134+SM!AF176+JI!AF148+TU!AF209</f>
        <v>0</v>
      </c>
      <c r="Z33" s="16">
        <f>LB!AG474+FR!AG139+JN!AG201+TA!AG110+ŽB!AG84+ČL!AG303+NB!AG134+SM!AG176+JI!AG148+TU!AG209</f>
        <v>-187988</v>
      </c>
      <c r="AA33" s="16">
        <f>LB!AH474+FR!AH139+JN!AH201+TA!AH110+ŽB!AH84+ČL!AH303+NB!AH134+SM!AH176+JI!AH148+TU!AH209</f>
        <v>-187988</v>
      </c>
      <c r="AB33" s="16">
        <f>LB!AI474+FR!AI139+JN!AI201+TA!AI110+ŽB!AI84+ČL!AI303+NB!AI134+SM!AI176+JI!AI148+TU!AI209</f>
        <v>0</v>
      </c>
      <c r="AC33" s="16">
        <f>LB!AJ474+FR!AJ139+JN!AJ201+TA!AJ110+ŽB!AJ84+ČL!AJ303+NB!AJ134+SM!AJ176+JI!AJ148+TU!AJ209</f>
        <v>1022464</v>
      </c>
      <c r="AD33" s="16">
        <f>LB!AK474+FR!AK139+JN!AK201+TA!AK110+ŽB!AK84+ČL!AK303+NB!AK134+SM!AK176+JI!AK148+TU!AK209</f>
        <v>0</v>
      </c>
      <c r="AE33" s="16">
        <f>LB!AL474+FR!AL139+JN!AL201+TA!AL110+ŽB!AL84+ČL!AL303+NB!AL134+SM!AL176+JI!AL148+TU!AL209</f>
        <v>0</v>
      </c>
      <c r="AF33" s="16">
        <f>LB!AM474+FR!AM139+JN!AM201+TA!AM110+ŽB!AM84+ČL!AM303+NB!AM134+SM!AM176+JI!AM148+TU!AM209</f>
        <v>0</v>
      </c>
      <c r="AG33" s="16">
        <f>LB!AN474+FR!AN139+JN!AN201+TA!AN110+ŽB!AN84+ČL!AN303+NB!AN134+SM!AN176+JI!AN148+TU!AN209</f>
        <v>106880</v>
      </c>
      <c r="AH33" s="16">
        <f>LB!AO474+FR!AO139+JN!AO201+TA!AO110+ŽB!AO84+ČL!AO303+NB!AO134+SM!AO176+JI!AO148+TU!AO209</f>
        <v>0</v>
      </c>
      <c r="AI33" s="16">
        <f>LB!AP474+FR!AP139+JN!AP201+TA!AP110+ŽB!AP84+ČL!AP303+NB!AP134+SM!AP176+JI!AP148+TU!AP209</f>
        <v>1129344</v>
      </c>
      <c r="AJ33" s="16">
        <f>LB!AQ474+FR!AQ139+JN!AQ201+TA!AQ110+ŽB!AQ84+ČL!AQ303+NB!AQ134+SM!AQ176+JI!AQ148+TU!AQ209</f>
        <v>1129344</v>
      </c>
      <c r="AK33" s="16">
        <f>LB!AR474+FR!AR139+JN!AR201+TA!AR110+ŽB!AR84+ČL!AR303+NB!AR134+SM!AR176+JI!AR148+TU!AR209</f>
        <v>0</v>
      </c>
      <c r="AL33" s="16">
        <f>LB!AS474+FR!AS139+JN!AS201+TA!AS110+ŽB!AS84+ČL!AS303+NB!AS134+SM!AS176+JI!AS148+TU!AS209</f>
        <v>941356</v>
      </c>
      <c r="AM33" s="16">
        <f>LB!AT474+FR!AT139+JN!AT201+TA!AT110+ŽB!AT84+ČL!AT303+NB!AT134+SM!AT176+JI!AT148+TU!AT209</f>
        <v>941356</v>
      </c>
      <c r="AN33" s="16">
        <f>LB!AU474+FR!AU139+JN!AU201+TA!AU110+ŽB!AU84+ČL!AU303+NB!AU134+SM!AU176+JI!AU148+TU!AU209</f>
        <v>282053</v>
      </c>
      <c r="AO33" s="16">
        <f>LB!AV474+FR!AV139+JN!AV201+TA!AV110+ŽB!AV84+ČL!AV303+NB!AV134+SM!AV176+JI!AV148+TU!AV209</f>
        <v>-1879</v>
      </c>
      <c r="AP33" s="16">
        <f>LB!AW474+FR!AW139+JN!AW201+TA!AW110+ŽB!AW84+ČL!AW303+NB!AW134+SM!AW176+JI!AW148+TU!AW209</f>
        <v>0</v>
      </c>
      <c r="AQ33" s="16">
        <f>LB!AX474+FR!AX139+JN!AX201+TA!AX110+ŽB!AX84+ČL!AX303+NB!AX134+SM!AX176+JI!AX148+TU!AX209</f>
        <v>460</v>
      </c>
      <c r="AR33" s="16">
        <f>LB!AY474+FR!AY139+JN!AY201+TA!AY110+ŽB!AY84+ČL!AY303+NB!AY134+SM!AY176+JI!AY148+TU!AY209</f>
        <v>460</v>
      </c>
      <c r="AS33" s="16">
        <f>LB!AZ474+FR!AZ139+JN!AZ201+TA!AZ110+ŽB!AZ84+ČL!AZ303+NB!AZ134+SM!AZ176+JI!AZ148+TU!AZ209</f>
        <v>1221990</v>
      </c>
      <c r="AT33" s="13">
        <f>LB!BA474+FR!BA139+JN!BA201+TA!BA110+ŽB!BA84+ČL!BA303+NB!BA134+SM!BA176+JI!BA148+TU!BA209</f>
        <v>0</v>
      </c>
      <c r="AU33" s="13">
        <f>LB!BB474+FR!BB139+JN!BB201+TA!BB110+ŽB!BB84+ČL!BB303+NB!BB134+SM!BB176+JI!BB148+TU!BB209</f>
        <v>-1.34</v>
      </c>
      <c r="AV33" s="13">
        <f>LB!BC474+FR!BC139+JN!BC201+TA!BC110+ŽB!BC84+ČL!BC303+NB!BC134+SM!BC176+JI!BC148+TU!BC209</f>
        <v>0</v>
      </c>
      <c r="AW33" s="13">
        <f>LB!BD474+FR!BD139+JN!BD201+TA!BD110+ŽB!BD84+ČL!BD303+NB!BD134+SM!BD176+JI!BD148+TU!BD209</f>
        <v>0</v>
      </c>
      <c r="AX33" s="13">
        <f>LB!BE474+FR!BE139+JN!BE201+TA!BE110+ŽB!BE84+ČL!BE303+NB!BE134+SM!BE176+JI!BE148+TU!BE209</f>
        <v>0</v>
      </c>
      <c r="AY33" s="13">
        <f>LB!BF474+FR!BF139+JN!BF201+TA!BF110+ŽB!BF84+ČL!BF303+NB!BF134+SM!BF176+JI!BF148+TU!BF209</f>
        <v>0</v>
      </c>
      <c r="AZ33" s="13">
        <f>LB!BG474+FR!BG139+JN!BG201+TA!BG110+ŽB!BG84+ČL!BG303+NB!BG134+SM!BG176+JI!BG148+TU!BG209</f>
        <v>0</v>
      </c>
      <c r="BA33" s="13">
        <f>LB!BH474+FR!BH139+JN!BH201+TA!BH110+ŽB!BH84+ČL!BH303+NB!BH134+SM!BH176+JI!BH148+TU!BH209</f>
        <v>0</v>
      </c>
      <c r="BB33" s="13">
        <f>LB!BI474+FR!BI139+JN!BI201+TA!BI110+ŽB!BI84+ČL!BI303+NB!BI134+SM!BI176+JI!BI148+TU!BI209</f>
        <v>0</v>
      </c>
      <c r="BC33" s="13">
        <f>LB!BJ474+FR!BJ139+JN!BJ201+TA!BJ110+ŽB!BJ84+ČL!BJ303+NB!BJ134+SM!BJ176+JI!BJ148+TU!BJ209</f>
        <v>2.5</v>
      </c>
      <c r="BD33" s="13">
        <f>LB!BK474+FR!BK139+JN!BK201+TA!BK110+ŽB!BK84+ČL!BK303+NB!BK134+SM!BK176+JI!BK148+TU!BK209</f>
        <v>0</v>
      </c>
      <c r="BE33" s="13">
        <f>LB!BL474+FR!BL139+JN!BL201+TA!BL110+ŽB!BL84+ČL!BL303+NB!BL134+SM!BL176+JI!BL148+TU!BL209</f>
        <v>1.1599999999999997</v>
      </c>
      <c r="BF33" s="169">
        <f>LB!BM474+FR!BM139+JN!BM201+TA!BM110+ŽB!BM84+ČL!BM303+NB!BM134+SM!BM176+JI!BM148+TU!BM209</f>
        <v>1.1599999999999997</v>
      </c>
      <c r="BG33" s="167">
        <f>LB!BN474+FR!BN139+JN!BN201+TA!BN110+ŽB!BN84+ČL!BN303+NB!BN134+SM!BN176+JI!BN148+TU!BN209</f>
        <v>276081132</v>
      </c>
      <c r="BH33" s="16">
        <f>LB!BO474+FR!BO139+JN!BO201+TA!BO110+ŽB!BO84+ČL!BO303+NB!BO134+SM!BO176+JI!BO148+TU!BO209</f>
        <v>202481281</v>
      </c>
      <c r="BI33" s="16">
        <f>LB!BP474+FR!BP139+JN!BP201+TA!BP110+ŽB!BP84+ČL!BP303+NB!BP134+SM!BP176+JI!BP148+TU!BP209</f>
        <v>0</v>
      </c>
      <c r="BJ33" s="16">
        <f>LB!BQ474+FR!BQ139+JN!BQ201+TA!BQ110+ŽB!BQ84+ČL!BQ303+NB!BQ134+SM!BQ176+JI!BQ148+TU!BQ209</f>
        <v>202481281</v>
      </c>
      <c r="BK33" s="16">
        <f>LB!BR474+FR!BR139+JN!BR201+TA!BR110+ŽB!BR84+ČL!BR303+NB!BR134+SM!BR176+JI!BR148+TU!BR209</f>
        <v>1129344</v>
      </c>
      <c r="BL33" s="16">
        <f>LB!BS474+FR!BS139+JN!BS201+TA!BS110+ŽB!BS84+ČL!BS303+NB!BS134+SM!BS176+JI!BS148+TU!BS209</f>
        <v>0</v>
      </c>
      <c r="BM33" s="16">
        <f>LB!BT474+FR!BT139+JN!BT201+TA!BT110+ŽB!BT84+ČL!BT303+NB!BT134+SM!BT176+JI!BT148+TU!BT209</f>
        <v>1129344</v>
      </c>
      <c r="BN33" s="16">
        <f>LB!BU474+FR!BU139+JN!BU201+TA!BU110+ŽB!BU84+ČL!BU303+NB!BU134+SM!BU176+JI!BU148+TU!BU209</f>
        <v>68784261</v>
      </c>
      <c r="BO33" s="16">
        <f>LB!BV474+FR!BV139+JN!BV201+TA!BV110+ŽB!BV84+ČL!BV303+NB!BV134+SM!BV176+JI!BV148+TU!BV209</f>
        <v>2024809</v>
      </c>
      <c r="BP33" s="16">
        <f>LB!BW474+FR!BW139+JN!BW201+TA!BW110+ŽB!BW84+ČL!BW303+NB!BW134+SM!BW176+JI!BW148+TU!BW209</f>
        <v>1661437</v>
      </c>
      <c r="BQ33" s="13">
        <f>LB!BX474+FR!BX139+JN!BX201+TA!BX110+ŽB!BX84+ČL!BX303+NB!BX134+SM!BX176+JI!BX148+TU!BX209</f>
        <v>608.91060000000016</v>
      </c>
      <c r="BR33" s="13">
        <f>LB!BY474+FR!BY139+JN!BY201+TA!BY110+ŽB!BY84+ČL!BY303+NB!BY134+SM!BY176+JI!BY148+TU!BY209</f>
        <v>0</v>
      </c>
      <c r="BS33" s="169">
        <f>LB!BZ474+FR!BZ139+JN!BZ201+TA!BZ110+ŽB!BZ84+ČL!BZ303+NB!BZ134+SM!BZ176+JI!BZ148+TU!BZ209</f>
        <v>608.91060000000016</v>
      </c>
      <c r="BT33" s="167">
        <f>LB!CA474+FR!CA139+JN!CA201+TA!CA110+ŽB!CA84+ČL!CA303+NB!CA134+SM!CA176+JI!CA148+TU!CA209</f>
        <v>0</v>
      </c>
      <c r="BU33" s="16">
        <f>LB!CB474+FR!CB139+JN!CB201+TA!CB110+ŽB!CB84+ČL!CB303+NB!CB134+SM!CB176+JI!CB148+TU!CB209</f>
        <v>0</v>
      </c>
      <c r="BV33" s="16">
        <f>LB!CC474+FR!CC139+JN!CC201+TA!CC110+ŽB!CC84+ČL!CC303+NB!CC134+SM!CC176+JI!CC148+TU!CC209</f>
        <v>0</v>
      </c>
      <c r="BW33" s="16">
        <f>LB!CD474+FR!CD139+JN!CD201+TA!CD110+ŽB!CD84+ČL!CD303+NB!CD134+SM!CD176+JI!CD148+TU!CD209</f>
        <v>0</v>
      </c>
      <c r="BX33" s="16">
        <f>LB!CE474+FR!CE139+JN!CE201+TA!CE110+ŽB!CE84+ČL!CE303+NB!CE134+SM!CE176+JI!CE148+TU!CE209</f>
        <v>0</v>
      </c>
      <c r="BY33" s="17">
        <f>LB!CF474+FR!CF139+JN!CF201+TA!CF110+ŽB!CF84+ČL!CF303+NB!CF134+SM!CF176+JI!CF148+TU!CF209</f>
        <v>0</v>
      </c>
    </row>
    <row r="34" spans="1:79" x14ac:dyDescent="0.2">
      <c r="A34" s="2">
        <v>3143</v>
      </c>
      <c r="B34" s="167">
        <f>LB!I475+FR!I140+JN!I202+TA!I111+ŽB!I85+ČL!I304+NB!I135+SM!I177+JI!I149+TU!I210</f>
        <v>327675475</v>
      </c>
      <c r="C34" s="16">
        <f>LB!J475+FR!J140+JN!J202+TA!J111+ŽB!J85+ČL!J304+NB!J135+SM!J177+JI!J149+TU!J210</f>
        <v>242895070</v>
      </c>
      <c r="D34" s="16">
        <f>LB!K475+FR!K140+JN!K202+TA!K111+ŽB!K85+ČL!K304+NB!K135+SM!K177+JI!K149+TU!K210</f>
        <v>237632701</v>
      </c>
      <c r="E34" s="16">
        <f>LB!L475+FR!L140+JN!L202+TA!L111+ŽB!L85+ČL!L304+NB!L135+SM!L177+JI!L149+TU!L210</f>
        <v>5262369</v>
      </c>
      <c r="F34" s="16">
        <f>LB!M475+FR!M140+JN!M202+TA!M111+ŽB!M85+ČL!M304+NB!M135+SM!M177+JI!M149+TU!M210</f>
        <v>0</v>
      </c>
      <c r="G34" s="16">
        <f>LB!N475+FR!N140+JN!N202+TA!N111+ŽB!N85+ČL!N304+NB!N135+SM!N177+JI!N149+TU!N210</f>
        <v>0</v>
      </c>
      <c r="H34" s="16">
        <f>LB!O475+FR!O140+JN!O202+TA!O111+ŽB!O85+ČL!O304+NB!O135+SM!O177+JI!O149+TU!O210</f>
        <v>0</v>
      </c>
      <c r="I34" s="16">
        <f>LB!P475+FR!P140+JN!P202+TA!P111+ŽB!P85+ČL!P304+NB!P135+SM!P177+JI!P149+TU!P210</f>
        <v>82098525</v>
      </c>
      <c r="J34" s="16">
        <f>LB!Q475+FR!Q140+JN!Q202+TA!Q111+ŽB!Q85+ČL!Q304+NB!Q135+SM!Q177+JI!Q149+TU!Q210</f>
        <v>2428950</v>
      </c>
      <c r="K34" s="16">
        <f>LB!R475+FR!R140+JN!R202+TA!R111+ŽB!R85+ČL!R304+NB!R135+SM!R177+JI!R149+TU!R210</f>
        <v>252930</v>
      </c>
      <c r="L34" s="13">
        <f>LB!S475+FR!S140+JN!S202+TA!S111+ŽB!S85+ČL!S304+NB!S135+SM!S177+JI!S149+TU!S210</f>
        <v>493.24720000000002</v>
      </c>
      <c r="M34" s="13">
        <f>LB!T475+FR!T140+JN!T202+TA!T111+ŽB!T85+ČL!T304+NB!T135+SM!T177+JI!T149+TU!T210</f>
        <v>473.30560000000008</v>
      </c>
      <c r="N34" s="17">
        <f>LB!U475+FR!U140+JN!U202+TA!U111+ŽB!U85+ČL!U304+NB!U135+SM!U177+JI!U149+TU!U210</f>
        <v>19.941599999999998</v>
      </c>
      <c r="O34" s="168">
        <f>LB!V475+FR!V140+JN!V202+TA!V111+ŽB!V85+ČL!V304+NB!V135+SM!V177+JI!V149+TU!V210</f>
        <v>-677248</v>
      </c>
      <c r="P34" s="16">
        <f>LB!W475+FR!W140+JN!W202+TA!W111+ŽB!W85+ČL!W304+NB!W135+SM!W177+JI!W149+TU!W210</f>
        <v>-17280</v>
      </c>
      <c r="Q34" s="16">
        <f>LB!X475+FR!X140+JN!X202+TA!X111+ŽB!X85+ČL!X304+NB!X135+SM!X177+JI!X149+TU!X210</f>
        <v>0</v>
      </c>
      <c r="R34" s="16">
        <f>LB!Y475+FR!Y140+JN!Y202+TA!Y111+ŽB!Y85+ČL!Y304+NB!Y135+SM!Y177+JI!Y149+TU!Y210</f>
        <v>-417117</v>
      </c>
      <c r="S34" s="16">
        <f>LB!Z475+FR!Z140+JN!Z202+TA!Z111+ŽB!Z85+ČL!Z304+NB!Z135+SM!Z177+JI!Z149+TU!Z210</f>
        <v>0</v>
      </c>
      <c r="T34" s="16">
        <f>LB!AA475+FR!AA140+JN!AA202+TA!AA111+ŽB!AA85+ČL!AA304+NB!AA135+SM!AA177+JI!AA149+TU!AA210</f>
        <v>0</v>
      </c>
      <c r="U34" s="16">
        <f>LB!AB475+FR!AB140+JN!AB202+TA!AB111+ŽB!AB85+ČL!AB304+NB!AB135+SM!AB177+JI!AB149+TU!AB210</f>
        <v>0</v>
      </c>
      <c r="V34" s="16">
        <f>LB!AB475+FR!AB140+JN!AB202+TA!AB111+ŽB!AB85+ČL!AB304+NB!AB135+SM!AB177+JI!AB149+TU!AB210</f>
        <v>0</v>
      </c>
      <c r="W34" s="16">
        <f>LB!AD475+FR!AD140+JN!AD202+TA!AD111+ŽB!AD85+ČL!AD304+NB!AD135+SM!AD177+JI!AD149+TU!AD210</f>
        <v>-17842</v>
      </c>
      <c r="X34" s="16">
        <f>LB!AE475+FR!AE140+JN!AE202+TA!AE111+ŽB!AE85+ČL!AE304+NB!AE135+SM!AE177+JI!AE149+TU!AE210</f>
        <v>0</v>
      </c>
      <c r="Y34" s="16">
        <f>LB!AF475+FR!AF140+JN!AF202+TA!AF111+ŽB!AF85+ČL!AF304+NB!AF135+SM!AF177+JI!AF149+TU!AF210</f>
        <v>-1112207</v>
      </c>
      <c r="Z34" s="16">
        <f>LB!AG475+FR!AG140+JN!AG202+TA!AG111+ŽB!AG85+ČL!AG304+NB!AG135+SM!AG177+JI!AG149+TU!AG210</f>
        <v>-17280</v>
      </c>
      <c r="AA34" s="16">
        <f>LB!AH475+FR!AH140+JN!AH202+TA!AH111+ŽB!AH85+ČL!AH304+NB!AH135+SM!AH177+JI!AH149+TU!AH210</f>
        <v>-1129487</v>
      </c>
      <c r="AB34" s="16">
        <f>LB!AI475+FR!AI140+JN!AI202+TA!AI111+ŽB!AI85+ČL!AI304+NB!AI135+SM!AI177+JI!AI149+TU!AI210</f>
        <v>677248</v>
      </c>
      <c r="AC34" s="16">
        <f>LB!AJ475+FR!AJ140+JN!AJ202+TA!AJ111+ŽB!AJ85+ČL!AJ304+NB!AJ135+SM!AJ177+JI!AJ149+TU!AJ210</f>
        <v>17280</v>
      </c>
      <c r="AD34" s="16">
        <f>LB!AK475+FR!AK140+JN!AK202+TA!AK111+ŽB!AK85+ČL!AK304+NB!AK135+SM!AK177+JI!AK149+TU!AK210</f>
        <v>0</v>
      </c>
      <c r="AE34" s="16">
        <f>LB!AL475+FR!AL140+JN!AL202+TA!AL111+ŽB!AL85+ČL!AL304+NB!AL135+SM!AL177+JI!AL149+TU!AL210</f>
        <v>27840</v>
      </c>
      <c r="AF34" s="16">
        <f>LB!AM475+FR!AM140+JN!AM202+TA!AM111+ŽB!AM85+ČL!AM304+NB!AM135+SM!AM177+JI!AM149+TU!AM210</f>
        <v>72209</v>
      </c>
      <c r="AG34" s="16">
        <f>LB!AN475+FR!AN140+JN!AN202+TA!AN111+ŽB!AN85+ČL!AN304+NB!AN135+SM!AN177+JI!AN149+TU!AN210</f>
        <v>0</v>
      </c>
      <c r="AH34" s="16">
        <f>LB!AO475+FR!AO140+JN!AO202+TA!AO111+ŽB!AO85+ČL!AO304+NB!AO135+SM!AO177+JI!AO149+TU!AO210</f>
        <v>777297</v>
      </c>
      <c r="AI34" s="16">
        <f>LB!AP475+FR!AP140+JN!AP202+TA!AP111+ŽB!AP85+ČL!AP304+NB!AP135+SM!AP177+JI!AP149+TU!AP210</f>
        <v>17280</v>
      </c>
      <c r="AJ34" s="16">
        <f>LB!AQ475+FR!AQ140+JN!AQ202+TA!AQ111+ŽB!AQ85+ČL!AQ304+NB!AQ135+SM!AQ177+JI!AQ149+TU!AQ210</f>
        <v>794577</v>
      </c>
      <c r="AK34" s="16">
        <f>LB!AR475+FR!AR140+JN!AR202+TA!AR111+ŽB!AR85+ČL!AR304+NB!AR135+SM!AR177+JI!AR149+TU!AR210</f>
        <v>-334910</v>
      </c>
      <c r="AL34" s="16">
        <f>LB!AS475+FR!AS140+JN!AS202+TA!AS111+ŽB!AS85+ČL!AS304+NB!AS135+SM!AS177+JI!AS149+TU!AS210</f>
        <v>0</v>
      </c>
      <c r="AM34" s="16">
        <f>LB!AT475+FR!AT140+JN!AT202+TA!AT111+ŽB!AT85+ČL!AT304+NB!AT135+SM!AT177+JI!AT149+TU!AT210</f>
        <v>-334910</v>
      </c>
      <c r="AN34" s="16">
        <f>LB!AU475+FR!AU140+JN!AU202+TA!AU111+ŽB!AU85+ČL!AU304+NB!AU135+SM!AU177+JI!AU149+TU!AU210</f>
        <v>-137607</v>
      </c>
      <c r="AO34" s="16">
        <f>LB!AV475+FR!AV140+JN!AV202+TA!AV111+ŽB!AV85+ČL!AV304+NB!AV135+SM!AV177+JI!AV149+TU!AV210</f>
        <v>-11294</v>
      </c>
      <c r="AP34" s="16">
        <f>LB!AW475+FR!AW140+JN!AW202+TA!AW111+ŽB!AW85+ČL!AW304+NB!AW135+SM!AW177+JI!AW149+TU!AW210</f>
        <v>0</v>
      </c>
      <c r="AQ34" s="16">
        <f>LB!AX475+FR!AX140+JN!AX202+TA!AX111+ŽB!AX85+ČL!AX304+NB!AX135+SM!AX177+JI!AX149+TU!AX210</f>
        <v>0</v>
      </c>
      <c r="AR34" s="16">
        <f>LB!AY475+FR!AY140+JN!AY202+TA!AY111+ŽB!AY85+ČL!AY304+NB!AY135+SM!AY177+JI!AY149+TU!AY210</f>
        <v>0</v>
      </c>
      <c r="AS34" s="16">
        <f>LB!AZ475+FR!AZ140+JN!AZ202+TA!AZ111+ŽB!AZ85+ČL!AZ304+NB!AZ135+SM!AZ177+JI!AZ149+TU!AZ210</f>
        <v>-483811</v>
      </c>
      <c r="AT34" s="13">
        <f>LB!BA475+FR!BA140+JN!BA202+TA!BA111+ŽB!BA85+ČL!BA304+NB!BA135+SM!BA177+JI!BA149+TU!BA210</f>
        <v>-0.46</v>
      </c>
      <c r="AU34" s="13">
        <f>LB!BB475+FR!BB140+JN!BB202+TA!BB111+ŽB!BB85+ČL!BB304+NB!BB135+SM!BB177+JI!BB149+TU!BB210</f>
        <v>0</v>
      </c>
      <c r="AV34" s="13">
        <f>LB!BC475+FR!BC140+JN!BC202+TA!BC111+ŽB!BC85+ČL!BC304+NB!BC135+SM!BC177+JI!BC149+TU!BC210</f>
        <v>0</v>
      </c>
      <c r="AW34" s="13">
        <f>LB!BD475+FR!BD140+JN!BD202+TA!BD111+ŽB!BD85+ČL!BD304+NB!BD135+SM!BD177+JI!BD149+TU!BD210</f>
        <v>0</v>
      </c>
      <c r="AX34" s="13">
        <f>LB!BE475+FR!BE140+JN!BE202+TA!BE111+ŽB!BE85+ČL!BE304+NB!BE135+SM!BE177+JI!BE149+TU!BE210</f>
        <v>0</v>
      </c>
      <c r="AY34" s="13">
        <f>LB!BF475+FR!BF140+JN!BF202+TA!BF111+ŽB!BF85+ČL!BF304+NB!BF135+SM!BF177+JI!BF149+TU!BF210</f>
        <v>-0.9</v>
      </c>
      <c r="AZ34" s="13">
        <f>LB!BG475+FR!BG140+JN!BG202+TA!BG111+ŽB!BG85+ČL!BG304+NB!BG135+SM!BG177+JI!BG149+TU!BG210</f>
        <v>0</v>
      </c>
      <c r="BA34" s="13">
        <f>LB!BH475+FR!BH140+JN!BH202+TA!BH111+ŽB!BH85+ČL!BH304+NB!BH135+SM!BH177+JI!BH149+TU!BH210</f>
        <v>0</v>
      </c>
      <c r="BB34" s="13">
        <f>LB!BI475+FR!BI140+JN!BI202+TA!BI111+ŽB!BI85+ČL!BI304+NB!BI135+SM!BI177+JI!BI149+TU!BI210</f>
        <v>0</v>
      </c>
      <c r="BC34" s="13">
        <f>LB!BJ475+FR!BJ140+JN!BJ202+TA!BJ111+ŽB!BJ85+ČL!BJ304+NB!BJ135+SM!BJ177+JI!BJ149+TU!BJ210</f>
        <v>0</v>
      </c>
      <c r="BD34" s="13">
        <f>LB!BK475+FR!BK140+JN!BK202+TA!BK111+ŽB!BK85+ČL!BK304+NB!BK135+SM!BK177+JI!BK149+TU!BK210</f>
        <v>-1.36</v>
      </c>
      <c r="BE34" s="13">
        <f>LB!BL475+FR!BL140+JN!BL202+TA!BL111+ŽB!BL85+ČL!BL304+NB!BL135+SM!BL177+JI!BL149+TU!BL210</f>
        <v>0</v>
      </c>
      <c r="BF34" s="169">
        <f>LB!BM475+FR!BM140+JN!BM202+TA!BM111+ŽB!BM85+ČL!BM304+NB!BM135+SM!BM177+JI!BM149+TU!BM210</f>
        <v>-1.36</v>
      </c>
      <c r="BG34" s="167">
        <f>LB!BN475+FR!BN140+JN!BN202+TA!BN111+ŽB!BN85+ČL!BN304+NB!BN135+SM!BN177+JI!BN149+TU!BN210</f>
        <v>327191664</v>
      </c>
      <c r="BH34" s="16">
        <f>LB!BO475+FR!BO140+JN!BO202+TA!BO111+ŽB!BO85+ČL!BO304+NB!BO135+SM!BO177+JI!BO149+TU!BO210</f>
        <v>241765583</v>
      </c>
      <c r="BI34" s="16">
        <f>LB!BP475+FR!BP140+JN!BP202+TA!BP111+ŽB!BP85+ČL!BP304+NB!BP135+SM!BP177+JI!BP149+TU!BP210</f>
        <v>236520494</v>
      </c>
      <c r="BJ34" s="16">
        <f>LB!BQ475+FR!BQ140+JN!BQ202+TA!BQ111+ŽB!BQ85+ČL!BQ304+NB!BQ135+SM!BQ177+JI!BQ149+TU!BQ210</f>
        <v>5245089</v>
      </c>
      <c r="BK34" s="16">
        <f>LB!BR475+FR!BR140+JN!BR202+TA!BR111+ŽB!BR85+ČL!BR304+NB!BR135+SM!BR177+JI!BR149+TU!BR210</f>
        <v>794577</v>
      </c>
      <c r="BL34" s="16">
        <f>LB!BS475+FR!BS140+JN!BS202+TA!BS111+ŽB!BS85+ČL!BS304+NB!BS135+SM!BS177+JI!BS149+TU!BS210</f>
        <v>777297</v>
      </c>
      <c r="BM34" s="16">
        <f>LB!BT475+FR!BT140+JN!BT202+TA!BT111+ŽB!BT85+ČL!BT304+NB!BT135+SM!BT177+JI!BT149+TU!BT210</f>
        <v>17280</v>
      </c>
      <c r="BN34" s="16">
        <f>LB!BU475+FR!BU140+JN!BU202+TA!BU111+ŽB!BU85+ČL!BU304+NB!BU135+SM!BU177+JI!BU149+TU!BU210</f>
        <v>81960918</v>
      </c>
      <c r="BO34" s="16">
        <f>LB!BV475+FR!BV140+JN!BV202+TA!BV111+ŽB!BV85+ČL!BV304+NB!BV135+SM!BV177+JI!BV149+TU!BV210</f>
        <v>2417656</v>
      </c>
      <c r="BP34" s="16">
        <f>LB!BW475+FR!BW140+JN!BW202+TA!BW111+ŽB!BW85+ČL!BW304+NB!BW135+SM!BW177+JI!BW149+TU!BW210</f>
        <v>252930</v>
      </c>
      <c r="BQ34" s="13">
        <f>LB!BX475+FR!BX140+JN!BX202+TA!BX111+ŽB!BX85+ČL!BX304+NB!BX135+SM!BX177+JI!BX149+TU!BX210</f>
        <v>491.88719999999995</v>
      </c>
      <c r="BR34" s="13">
        <f>LB!BY475+FR!BY140+JN!BY202+TA!BY111+ŽB!BY85+ČL!BY304+NB!BY135+SM!BY177+JI!BY149+TU!BY210</f>
        <v>471.94560000000013</v>
      </c>
      <c r="BS34" s="169">
        <f>LB!BZ475+FR!BZ140+JN!BZ202+TA!BZ111+ŽB!BZ85+ČL!BZ304+NB!BZ135+SM!BZ177+JI!BZ149+TU!BZ210</f>
        <v>19.941599999999998</v>
      </c>
      <c r="BT34" s="167">
        <f>LB!CA475+FR!CA140+JN!CA202+TA!CA111+ŽB!CA85+ČL!CA304+NB!CA135+SM!CA177+JI!CA149+TU!CA210</f>
        <v>0</v>
      </c>
      <c r="BU34" s="16">
        <f>LB!CB475+FR!CB140+JN!CB202+TA!CB111+ŽB!CB85+ČL!CB304+NB!CB135+SM!CB177+JI!CB149+TU!CB210</f>
        <v>0</v>
      </c>
      <c r="BV34" s="16">
        <f>LB!CC475+FR!CC140+JN!CC202+TA!CC111+ŽB!CC85+ČL!CC304+NB!CC135+SM!CC177+JI!CC149+TU!CC210</f>
        <v>0</v>
      </c>
      <c r="BW34" s="16">
        <f>LB!CD475+FR!CD140+JN!CD202+TA!CD111+ŽB!CD85+ČL!CD304+NB!CD135+SM!CD177+JI!CD149+TU!CD210</f>
        <v>0</v>
      </c>
      <c r="BX34" s="16">
        <f>LB!CE475+FR!CE140+JN!CE202+TA!CE111+ŽB!CE85+ČL!CE304+NB!CE135+SM!CE177+JI!CE149+TU!CE210</f>
        <v>0</v>
      </c>
      <c r="BY34" s="17">
        <f>LB!CF475+FR!CF140+JN!CF202+TA!CF111+ŽB!CF85+ČL!CF304+NB!CF135+SM!CF177+JI!CF149+TU!CF210</f>
        <v>0</v>
      </c>
    </row>
    <row r="35" spans="1:79" x14ac:dyDescent="0.2">
      <c r="A35" s="2">
        <v>3231</v>
      </c>
      <c r="B35" s="167">
        <f>LB!I476+FR!I141+JN!I203+TA!I112+ŽB!I86+ČL!I305+NB!I136+SM!I178+JI!I150+TU!I211</f>
        <v>326518640</v>
      </c>
      <c r="C35" s="16">
        <f>LB!J476+FR!J141+JN!J203+TA!J112+ŽB!J86+ČL!J305+NB!J136+SM!J178+JI!J150+TU!J211</f>
        <v>241915017</v>
      </c>
      <c r="D35" s="16">
        <f>LB!K476+FR!K141+JN!K203+TA!K112+ŽB!K86+ČL!K305+NB!K136+SM!K178+JI!K150+TU!K211</f>
        <v>232962065</v>
      </c>
      <c r="E35" s="16">
        <f>LB!L476+FR!L141+JN!L203+TA!L112+ŽB!L86+ČL!L305+NB!L136+SM!L178+JI!L150+TU!L211</f>
        <v>8952952</v>
      </c>
      <c r="F35" s="16">
        <f>LB!M476+FR!M141+JN!M203+TA!M112+ŽB!M86+ČL!M305+NB!M136+SM!M178+JI!M150+TU!M211</f>
        <v>0</v>
      </c>
      <c r="G35" s="16">
        <f>LB!N476+FR!N141+JN!N203+TA!N112+ŽB!N86+ČL!N305+NB!N136+SM!N178+JI!N150+TU!N211</f>
        <v>0</v>
      </c>
      <c r="H35" s="16">
        <f>LB!O476+FR!O141+JN!O203+TA!O112+ŽB!O86+ČL!O305+NB!O136+SM!O178+JI!O150+TU!O211</f>
        <v>0</v>
      </c>
      <c r="I35" s="16">
        <f>LB!P476+FR!P141+JN!P203+TA!P112+ŽB!P86+ČL!P305+NB!P136+SM!P178+JI!P150+TU!P211</f>
        <v>81767274</v>
      </c>
      <c r="J35" s="16">
        <f>LB!Q476+FR!Q141+JN!Q203+TA!Q112+ŽB!Q86+ČL!Q305+NB!Q136+SM!Q178+JI!Q150+TU!Q211</f>
        <v>2419152</v>
      </c>
      <c r="K35" s="16">
        <f>LB!R476+FR!R141+JN!R203+TA!R112+ŽB!R86+ČL!R305+NB!R136+SM!R178+JI!R150+TU!R211</f>
        <v>417197</v>
      </c>
      <c r="L35" s="13">
        <f>LB!S476+FR!S141+JN!S203+TA!S112+ŽB!S86+ČL!S305+NB!S136+SM!S178+JI!S150+TU!S211</f>
        <v>393.46530000000001</v>
      </c>
      <c r="M35" s="13">
        <f>LB!T476+FR!T141+JN!T203+TA!T112+ŽB!T86+ČL!T305+NB!T136+SM!T178+JI!T150+TU!T211</f>
        <v>368.34069999999997</v>
      </c>
      <c r="N35" s="17">
        <f>LB!U476+FR!U141+JN!U203+TA!U112+ŽB!U86+ČL!U305+NB!U136+SM!U178+JI!U150+TU!U211</f>
        <v>25.124599999999997</v>
      </c>
      <c r="O35" s="168">
        <f>LB!V476+FR!V141+JN!V203+TA!V112+ŽB!V86+ČL!V305+NB!V136+SM!V178+JI!V150+TU!V211</f>
        <v>-283456</v>
      </c>
      <c r="P35" s="16">
        <f>LB!W476+FR!W141+JN!W203+TA!W112+ŽB!W86+ČL!W305+NB!W136+SM!W178+JI!W150+TU!W211</f>
        <v>-127424</v>
      </c>
      <c r="Q35" s="16">
        <f>LB!X476+FR!X141+JN!X203+TA!X112+ŽB!X86+ČL!X305+NB!X136+SM!X178+JI!X150+TU!X211</f>
        <v>92700</v>
      </c>
      <c r="R35" s="16">
        <f>LB!Y476+FR!Y141+JN!Y203+TA!Y112+ŽB!Y86+ČL!Y305+NB!Y136+SM!Y178+JI!Y150+TU!Y211</f>
        <v>0</v>
      </c>
      <c r="S35" s="16">
        <f>LB!Z476+FR!Z141+JN!Z203+TA!Z112+ŽB!Z86+ČL!Z305+NB!Z136+SM!Z178+JI!Z150+TU!Z211</f>
        <v>0</v>
      </c>
      <c r="T35" s="16">
        <f>LB!AA476+FR!AA141+JN!AA203+TA!AA112+ŽB!AA86+ČL!AA305+NB!AA136+SM!AA178+JI!AA150+TU!AA211</f>
        <v>0</v>
      </c>
      <c r="U35" s="16">
        <f>LB!AB476+FR!AB141+JN!AB203+TA!AB112+ŽB!AB86+ČL!AB305+NB!AB136+SM!AB178+JI!AB150+TU!AB211</f>
        <v>0</v>
      </c>
      <c r="V35" s="16">
        <f>LB!AB476+FR!AB141+JN!AB203+TA!AB112+ŽB!AB86+ČL!AB305+NB!AB136+SM!AB178+JI!AB150+TU!AB211</f>
        <v>0</v>
      </c>
      <c r="W35" s="16">
        <f>LB!AD476+FR!AD141+JN!AD203+TA!AD112+ŽB!AD86+ČL!AD305+NB!AD136+SM!AD178+JI!AD150+TU!AD211</f>
        <v>0</v>
      </c>
      <c r="X35" s="16">
        <f>LB!AE476+FR!AE141+JN!AE203+TA!AE112+ŽB!AE86+ČL!AE305+NB!AE136+SM!AE178+JI!AE150+TU!AE211</f>
        <v>0</v>
      </c>
      <c r="Y35" s="16">
        <f>LB!AF476+FR!AF141+JN!AF203+TA!AF112+ŽB!AF86+ČL!AF305+NB!AF136+SM!AF178+JI!AF150+TU!AF211</f>
        <v>-190756</v>
      </c>
      <c r="Z35" s="16">
        <f>LB!AG476+FR!AG141+JN!AG203+TA!AG112+ŽB!AG86+ČL!AG305+NB!AG136+SM!AG178+JI!AG150+TU!AG211</f>
        <v>-127424</v>
      </c>
      <c r="AA35" s="16">
        <f>LB!AH476+FR!AH141+JN!AH203+TA!AH112+ŽB!AH86+ČL!AH305+NB!AH136+SM!AH178+JI!AH150+TU!AH211</f>
        <v>-318180</v>
      </c>
      <c r="AB35" s="16">
        <f>LB!AI476+FR!AI141+JN!AI203+TA!AI112+ŽB!AI86+ČL!AI305+NB!AI136+SM!AI178+JI!AI150+TU!AI211</f>
        <v>283456</v>
      </c>
      <c r="AC35" s="16">
        <f>LB!AJ476+FR!AJ141+JN!AJ203+TA!AJ112+ŽB!AJ86+ČL!AJ305+NB!AJ136+SM!AJ178+JI!AJ150+TU!AJ211</f>
        <v>127424</v>
      </c>
      <c r="AD35" s="16">
        <f>LB!AK476+FR!AK141+JN!AK203+TA!AK112+ŽB!AK86+ČL!AK305+NB!AK136+SM!AK178+JI!AK150+TU!AK211</f>
        <v>0</v>
      </c>
      <c r="AE35" s="16">
        <f>LB!AL476+FR!AL141+JN!AL203+TA!AL112+ŽB!AL86+ČL!AL305+NB!AL136+SM!AL178+JI!AL150+TU!AL211</f>
        <v>0</v>
      </c>
      <c r="AF35" s="16">
        <f>LB!AM476+FR!AM141+JN!AM203+TA!AM112+ŽB!AM86+ČL!AM305+NB!AM136+SM!AM178+JI!AM150+TU!AM211</f>
        <v>0</v>
      </c>
      <c r="AG35" s="16">
        <f>LB!AN476+FR!AN141+JN!AN203+TA!AN112+ŽB!AN86+ČL!AN305+NB!AN136+SM!AN178+JI!AN150+TU!AN211</f>
        <v>0</v>
      </c>
      <c r="AH35" s="16">
        <f>LB!AO476+FR!AO141+JN!AO203+TA!AO112+ŽB!AO86+ČL!AO305+NB!AO136+SM!AO178+JI!AO150+TU!AO211</f>
        <v>283456</v>
      </c>
      <c r="AI35" s="16">
        <f>LB!AP476+FR!AP141+JN!AP203+TA!AP112+ŽB!AP86+ČL!AP305+NB!AP136+SM!AP178+JI!AP150+TU!AP211</f>
        <v>127424</v>
      </c>
      <c r="AJ35" s="16">
        <f>LB!AQ476+FR!AQ141+JN!AQ203+TA!AQ112+ŽB!AQ86+ČL!AQ305+NB!AQ136+SM!AQ178+JI!AQ150+TU!AQ211</f>
        <v>410880</v>
      </c>
      <c r="AK35" s="16">
        <f>LB!AR476+FR!AR141+JN!AR203+TA!AR112+ŽB!AR86+ČL!AR305+NB!AR136+SM!AR178+JI!AR150+TU!AR211</f>
        <v>92700</v>
      </c>
      <c r="AL35" s="16">
        <f>LB!AS476+FR!AS141+JN!AS203+TA!AS112+ŽB!AS86+ČL!AS305+NB!AS136+SM!AS178+JI!AS150+TU!AS211</f>
        <v>0</v>
      </c>
      <c r="AM35" s="16">
        <f>LB!AT476+FR!AT141+JN!AT203+TA!AT112+ŽB!AT86+ČL!AT305+NB!AT136+SM!AT178+JI!AT150+TU!AT211</f>
        <v>92700</v>
      </c>
      <c r="AN35" s="16">
        <f>LB!AU476+FR!AU141+JN!AU203+TA!AU112+ŽB!AU86+ČL!AU305+NB!AU136+SM!AU178+JI!AU150+TU!AU211</f>
        <v>31333</v>
      </c>
      <c r="AO35" s="16">
        <f>LB!AV476+FR!AV141+JN!AV203+TA!AV112+ŽB!AV86+ČL!AV305+NB!AV136+SM!AV178+JI!AV150+TU!AV211</f>
        <v>-3182</v>
      </c>
      <c r="AP35" s="16">
        <f>LB!AW476+FR!AW141+JN!AW203+TA!AW112+ŽB!AW86+ČL!AW305+NB!AW136+SM!AW178+JI!AW150+TU!AW211</f>
        <v>0</v>
      </c>
      <c r="AQ35" s="16">
        <f>LB!AX476+FR!AX141+JN!AX203+TA!AX112+ŽB!AX86+ČL!AX305+NB!AX136+SM!AX178+JI!AX150+TU!AX211</f>
        <v>0</v>
      </c>
      <c r="AR35" s="16">
        <f>LB!AY476+FR!AY141+JN!AY203+TA!AY112+ŽB!AY86+ČL!AY305+NB!AY136+SM!AY178+JI!AY150+TU!AY211</f>
        <v>0</v>
      </c>
      <c r="AS35" s="16">
        <f>LB!AZ476+FR!AZ141+JN!AZ203+TA!AZ112+ŽB!AZ86+ČL!AZ305+NB!AZ136+SM!AZ178+JI!AZ150+TU!AZ211</f>
        <v>120851</v>
      </c>
      <c r="AT35" s="13">
        <f>LB!BA476+FR!BA141+JN!BA203+TA!BA112+ŽB!BA86+ČL!BA305+NB!BA136+SM!BA178+JI!BA150+TU!BA211</f>
        <v>-0.26</v>
      </c>
      <c r="AU35" s="13">
        <f>LB!BB476+FR!BB141+JN!BB203+TA!BB112+ŽB!BB86+ČL!BB305+NB!BB136+SM!BB178+JI!BB150+TU!BB211</f>
        <v>-0.34</v>
      </c>
      <c r="AV35" s="13">
        <f>LB!BC476+FR!BC141+JN!BC203+TA!BC112+ŽB!BC86+ČL!BC305+NB!BC136+SM!BC178+JI!BC150+TU!BC211</f>
        <v>0.25</v>
      </c>
      <c r="AW35" s="13">
        <f>LB!BD476+FR!BD141+JN!BD203+TA!BD112+ŽB!BD86+ČL!BD305+NB!BD136+SM!BD178+JI!BD150+TU!BD211</f>
        <v>0</v>
      </c>
      <c r="AX35" s="13">
        <f>LB!BE476+FR!BE141+JN!BE203+TA!BE112+ŽB!BE86+ČL!BE305+NB!BE136+SM!BE178+JI!BE150+TU!BE211</f>
        <v>0</v>
      </c>
      <c r="AY35" s="13">
        <f>LB!BF476+FR!BF141+JN!BF203+TA!BF112+ŽB!BF86+ČL!BF305+NB!BF136+SM!BF178+JI!BF150+TU!BF211</f>
        <v>0</v>
      </c>
      <c r="AZ35" s="13">
        <f>LB!BG476+FR!BG141+JN!BG203+TA!BG112+ŽB!BG86+ČL!BG305+NB!BG136+SM!BG178+JI!BG150+TU!BG211</f>
        <v>0</v>
      </c>
      <c r="BA35" s="13">
        <f>LB!BH476+FR!BH141+JN!BH203+TA!BH112+ŽB!BH86+ČL!BH305+NB!BH136+SM!BH178+JI!BH150+TU!BH211</f>
        <v>0</v>
      </c>
      <c r="BB35" s="13">
        <f>LB!BI476+FR!BI141+JN!BI203+TA!BI112+ŽB!BI86+ČL!BI305+NB!BI136+SM!BI178+JI!BI150+TU!BI211</f>
        <v>0</v>
      </c>
      <c r="BC35" s="13">
        <f>LB!BJ476+FR!BJ141+JN!BJ203+TA!BJ112+ŽB!BJ86+ČL!BJ305+NB!BJ136+SM!BJ178+JI!BJ150+TU!BJ211</f>
        <v>0</v>
      </c>
      <c r="BD35" s="13">
        <f>LB!BK476+FR!BK141+JN!BK203+TA!BK112+ŽB!BK86+ČL!BK305+NB!BK136+SM!BK178+JI!BK150+TU!BK211</f>
        <v>-1.0000000000000009E-2</v>
      </c>
      <c r="BE35" s="13">
        <f>LB!BL476+FR!BL141+JN!BL203+TA!BL112+ŽB!BL86+ČL!BL305+NB!BL136+SM!BL178+JI!BL150+TU!BL211</f>
        <v>-0.34</v>
      </c>
      <c r="BF35" s="169">
        <f>LB!BM476+FR!BM141+JN!BM203+TA!BM112+ŽB!BM86+ČL!BM305+NB!BM136+SM!BM178+JI!BM150+TU!BM211</f>
        <v>-0.35000000000000003</v>
      </c>
      <c r="BG35" s="167">
        <f>LB!BN476+FR!BN141+JN!BN203+TA!BN112+ŽB!BN86+ČL!BN305+NB!BN136+SM!BN178+JI!BN150+TU!BN211</f>
        <v>326639491</v>
      </c>
      <c r="BH35" s="16">
        <f>LB!BO476+FR!BO141+JN!BO203+TA!BO112+ŽB!BO86+ČL!BO305+NB!BO136+SM!BO178+JI!BO150+TU!BO211</f>
        <v>241596837</v>
      </c>
      <c r="BI35" s="16">
        <f>LB!BP476+FR!BP141+JN!BP203+TA!BP112+ŽB!BP86+ČL!BP305+NB!BP136+SM!BP178+JI!BP150+TU!BP211</f>
        <v>232771309</v>
      </c>
      <c r="BJ35" s="16">
        <f>LB!BQ476+FR!BQ141+JN!BQ203+TA!BQ112+ŽB!BQ86+ČL!BQ305+NB!BQ136+SM!BQ178+JI!BQ150+TU!BQ211</f>
        <v>8825528</v>
      </c>
      <c r="BK35" s="16">
        <f>LB!BR476+FR!BR141+JN!BR203+TA!BR112+ŽB!BR86+ČL!BR305+NB!BR136+SM!BR178+JI!BR150+TU!BR211</f>
        <v>410880</v>
      </c>
      <c r="BL35" s="16">
        <f>LB!BS476+FR!BS141+JN!BS203+TA!BS112+ŽB!BS86+ČL!BS305+NB!BS136+SM!BS178+JI!BS150+TU!BS211</f>
        <v>283456</v>
      </c>
      <c r="BM35" s="16">
        <f>LB!BT476+FR!BT141+JN!BT203+TA!BT112+ŽB!BT86+ČL!BT305+NB!BT136+SM!BT178+JI!BT150+TU!BT211</f>
        <v>127424</v>
      </c>
      <c r="BN35" s="16">
        <f>LB!BU476+FR!BU141+JN!BU203+TA!BU112+ŽB!BU86+ČL!BU305+NB!BU136+SM!BU178+JI!BU150+TU!BU211</f>
        <v>81798607</v>
      </c>
      <c r="BO35" s="16">
        <f>LB!BV476+FR!BV141+JN!BV203+TA!BV112+ŽB!BV86+ČL!BV305+NB!BV136+SM!BV178+JI!BV150+TU!BV211</f>
        <v>2415970</v>
      </c>
      <c r="BP35" s="16">
        <f>LB!BW476+FR!BW141+JN!BW203+TA!BW112+ŽB!BW86+ČL!BW305+NB!BW136+SM!BW178+JI!BW150+TU!BW211</f>
        <v>417197</v>
      </c>
      <c r="BQ35" s="13">
        <f>LB!BX476+FR!BX141+JN!BX203+TA!BX112+ŽB!BX86+ČL!BX305+NB!BX136+SM!BX178+JI!BX150+TU!BX211</f>
        <v>393.11529999999993</v>
      </c>
      <c r="BR35" s="13">
        <f>LB!BY476+FR!BY141+JN!BY203+TA!BY112+ŽB!BY86+ČL!BY305+NB!BY136+SM!BY178+JI!BY150+TU!BY211</f>
        <v>368.33069999999998</v>
      </c>
      <c r="BS35" s="169">
        <f>LB!BZ476+FR!BZ141+JN!BZ203+TA!BZ112+ŽB!BZ86+ČL!BZ305+NB!BZ136+SM!BZ178+JI!BZ150+TU!BZ211</f>
        <v>24.784600000000001</v>
      </c>
      <c r="BT35" s="167">
        <f>LB!CA476+FR!CA141+JN!CA203+TA!CA112+ŽB!CA86+ČL!CA305+NB!CA136+SM!CA178+JI!CA150+TU!CA211</f>
        <v>0</v>
      </c>
      <c r="BU35" s="16">
        <f>LB!CB476+FR!CB141+JN!CB203+TA!CB112+ŽB!CB86+ČL!CB305+NB!CB136+SM!CB178+JI!CB150+TU!CB211</f>
        <v>0</v>
      </c>
      <c r="BV35" s="16">
        <f>LB!CC476+FR!CC141+JN!CC203+TA!CC112+ŽB!CC86+ČL!CC305+NB!CC136+SM!CC178+JI!CC150+TU!CC211</f>
        <v>0</v>
      </c>
      <c r="BW35" s="16">
        <f>LB!CD476+FR!CD141+JN!CD203+TA!CD112+ŽB!CD86+ČL!CD305+NB!CD136+SM!CD178+JI!CD150+TU!CD211</f>
        <v>0</v>
      </c>
      <c r="BX35" s="16">
        <f>LB!CE476+FR!CE141+JN!CE203+TA!CE112+ŽB!CE86+ČL!CE305+NB!CE136+SM!CE178+JI!CE150+TU!CE211</f>
        <v>0</v>
      </c>
      <c r="BY35" s="17">
        <f>LB!CF476+FR!CF141+JN!CF203+TA!CF112+ŽB!CF86+ČL!CF305+NB!CF136+SM!CF178+JI!CF150+TU!CF211</f>
        <v>0</v>
      </c>
    </row>
    <row r="36" spans="1:79" ht="13.5" thickBot="1" x14ac:dyDescent="0.25">
      <c r="A36" s="151">
        <v>3233</v>
      </c>
      <c r="B36" s="170">
        <f>LB!I477+FR!I142+JN!I204+TA!I113+ŽB!I87+ČL!I306+NB!I137+SM!I179+JI!I151+TU!I212</f>
        <v>57832873</v>
      </c>
      <c r="C36" s="171">
        <f>LB!J477+FR!J142+JN!J204+TA!J113+ŽB!J87+ČL!J306+NB!J137+SM!J179+JI!J151+TU!J212</f>
        <v>42858414</v>
      </c>
      <c r="D36" s="171">
        <f>LB!K477+FR!K142+JN!K204+TA!K113+ŽB!K87+ČL!K306+NB!K137+SM!K179+JI!K151+TU!K212</f>
        <v>35139725</v>
      </c>
      <c r="E36" s="171">
        <f>LB!L477+FR!L142+JN!L204+TA!L113+ŽB!L87+ČL!L306+NB!L137+SM!L179+JI!L151+TU!L212</f>
        <v>7718689</v>
      </c>
      <c r="F36" s="171">
        <f>LB!M477+FR!M142+JN!M204+TA!M113+ŽB!M87+ČL!M306+NB!M137+SM!M179+JI!M151+TU!M212</f>
        <v>0</v>
      </c>
      <c r="G36" s="171">
        <f>LB!N477+FR!N142+JN!N204+TA!N113+ŽB!N87+ČL!N306+NB!N137+SM!N179+JI!N151+TU!N212</f>
        <v>0</v>
      </c>
      <c r="H36" s="171">
        <f>LB!O477+FR!O142+JN!O204+TA!O113+ŽB!O87+ČL!O306+NB!O137+SM!O179+JI!O151+TU!O212</f>
        <v>0</v>
      </c>
      <c r="I36" s="171">
        <f>LB!P477+FR!P142+JN!P204+TA!P113+ŽB!P87+ČL!P306+NB!P137+SM!P179+JI!P151+TU!P212</f>
        <v>14486144</v>
      </c>
      <c r="J36" s="171">
        <f>LB!Q477+FR!Q142+JN!Q204+TA!Q113+ŽB!Q87+ČL!Q306+NB!Q137+SM!Q179+JI!Q151+TU!Q212</f>
        <v>428585</v>
      </c>
      <c r="K36" s="171">
        <f>LB!R477+FR!R142+JN!R204+TA!R113+ŽB!R87+ČL!R306+NB!R137+SM!R179+JI!R151+TU!R212</f>
        <v>59730</v>
      </c>
      <c r="L36" s="172">
        <f>LB!S477+FR!S142+JN!S204+TA!S113+ŽB!S87+ČL!S306+NB!S137+SM!S179+JI!S151+TU!S212</f>
        <v>88.460000000000008</v>
      </c>
      <c r="M36" s="172">
        <f>LB!T477+FR!T142+JN!T204+TA!T113+ŽB!T87+ČL!T306+NB!T137+SM!T179+JI!T151+TU!T212</f>
        <v>63.62</v>
      </c>
      <c r="N36" s="173">
        <f>LB!U477+FR!U142+JN!U204+TA!U113+ŽB!U87+ČL!U306+NB!U137+SM!U179+JI!U151+TU!U212</f>
        <v>24.840000000000003</v>
      </c>
      <c r="O36" s="174">
        <f>LB!V477+FR!V142+JN!V204+TA!V113+ŽB!V87+ČL!V306+NB!V137+SM!V179+JI!V151+TU!V212</f>
        <v>-1287040</v>
      </c>
      <c r="P36" s="171">
        <f>LB!W477+FR!W142+JN!W204+TA!W113+ŽB!W87+ČL!W306+NB!W137+SM!W179+JI!W151+TU!W212</f>
        <v>-344960</v>
      </c>
      <c r="Q36" s="171">
        <f>LB!X477+FR!X142+JN!X204+TA!X113+ŽB!X87+ČL!X306+NB!X137+SM!X179+JI!X151+TU!X212</f>
        <v>0</v>
      </c>
      <c r="R36" s="171">
        <f>LB!Y477+FR!Y142+JN!Y204+TA!Y113+ŽB!Y87+ČL!Y306+NB!Y137+SM!Y179+JI!Y151+TU!Y212</f>
        <v>0</v>
      </c>
      <c r="S36" s="171">
        <f>LB!Z477+FR!Z142+JN!Z204+TA!Z113+ŽB!Z87+ČL!Z306+NB!Z137+SM!Z179+JI!Z151+TU!Z212</f>
        <v>0</v>
      </c>
      <c r="T36" s="171">
        <f>LB!AA477+FR!AA142+JN!AA204+TA!AA113+ŽB!AA87+ČL!AA306+NB!AA137+SM!AA179+JI!AA151+TU!AA212</f>
        <v>0</v>
      </c>
      <c r="U36" s="171">
        <f>LB!AB477+FR!AB142+JN!AB204+TA!AB113+ŽB!AB87+ČL!AB306+NB!AB137+SM!AB179+JI!AB151+TU!AB212</f>
        <v>0</v>
      </c>
      <c r="V36" s="171">
        <f>LB!AB477+FR!AB142+JN!AB204+TA!AB113+ŽB!AB87+ČL!AB306+NB!AB137+SM!AB179+JI!AB151+TU!AB212</f>
        <v>0</v>
      </c>
      <c r="W36" s="171">
        <f>LB!AD477+FR!AD142+JN!AD204+TA!AD113+ŽB!AD87+ČL!AD306+NB!AD137+SM!AD179+JI!AD151+TU!AD212</f>
        <v>0</v>
      </c>
      <c r="X36" s="171">
        <f>LB!AE477+FR!AE142+JN!AE204+TA!AE113+ŽB!AE87+ČL!AE306+NB!AE137+SM!AE179+JI!AE151+TU!AE212</f>
        <v>0</v>
      </c>
      <c r="Y36" s="171">
        <f>LB!AF477+FR!AF142+JN!AF204+TA!AF113+ŽB!AF87+ČL!AF306+NB!AF137+SM!AF179+JI!AF151+TU!AF212</f>
        <v>-1287040</v>
      </c>
      <c r="Z36" s="171">
        <f>LB!AG477+FR!AG142+JN!AG204+TA!AG113+ŽB!AG87+ČL!AG306+NB!AG137+SM!AG179+JI!AG151+TU!AG212</f>
        <v>-344960</v>
      </c>
      <c r="AA36" s="171">
        <f>LB!AH477+FR!AH142+JN!AH204+TA!AH113+ŽB!AH87+ČL!AH306+NB!AH137+SM!AH179+JI!AH151+TU!AH212</f>
        <v>-1632000</v>
      </c>
      <c r="AB36" s="171">
        <f>LB!AI477+FR!AI142+JN!AI204+TA!AI113+ŽB!AI87+ČL!AI306+NB!AI137+SM!AI179+JI!AI151+TU!AI212</f>
        <v>1287040</v>
      </c>
      <c r="AC36" s="171">
        <f>LB!AJ477+FR!AJ142+JN!AJ204+TA!AJ113+ŽB!AJ87+ČL!AJ306+NB!AJ137+SM!AJ179+JI!AJ151+TU!AJ212</f>
        <v>344960</v>
      </c>
      <c r="AD36" s="171">
        <f>LB!AK477+FR!AK142+JN!AK204+TA!AK113+ŽB!AK87+ČL!AK306+NB!AK137+SM!AK179+JI!AK151+TU!AK212</f>
        <v>0</v>
      </c>
      <c r="AE36" s="171">
        <f>LB!AL477+FR!AL142+JN!AL204+TA!AL113+ŽB!AL87+ČL!AL306+NB!AL137+SM!AL179+JI!AL151+TU!AL212</f>
        <v>0</v>
      </c>
      <c r="AF36" s="171">
        <f>LB!AM477+FR!AM142+JN!AM204+TA!AM113+ŽB!AM87+ČL!AM306+NB!AM137+SM!AM179+JI!AM151+TU!AM212</f>
        <v>0</v>
      </c>
      <c r="AG36" s="171">
        <f>LB!AN477+FR!AN142+JN!AN204+TA!AN113+ŽB!AN87+ČL!AN306+NB!AN137+SM!AN179+JI!AN151+TU!AN212</f>
        <v>0</v>
      </c>
      <c r="AH36" s="171">
        <f>LB!AO477+FR!AO142+JN!AO204+TA!AO113+ŽB!AO87+ČL!AO306+NB!AO137+SM!AO179+JI!AO151+TU!AO212</f>
        <v>1287040</v>
      </c>
      <c r="AI36" s="171">
        <f>LB!AP477+FR!AP142+JN!AP204+TA!AP113+ŽB!AP87+ČL!AP306+NB!AP137+SM!AP179+JI!AP151+TU!AP212</f>
        <v>344960</v>
      </c>
      <c r="AJ36" s="171">
        <f>LB!AQ477+FR!AQ142+JN!AQ204+TA!AQ113+ŽB!AQ87+ČL!AQ306+NB!AQ137+SM!AQ179+JI!AQ151+TU!AQ212</f>
        <v>1632000</v>
      </c>
      <c r="AK36" s="171">
        <f>LB!AR477+FR!AR142+JN!AR204+TA!AR113+ŽB!AR87+ČL!AR306+NB!AR137+SM!AR179+JI!AR151+TU!AR212</f>
        <v>0</v>
      </c>
      <c r="AL36" s="171">
        <f>LB!AS477+FR!AS142+JN!AS204+TA!AS113+ŽB!AS87+ČL!AS306+NB!AS137+SM!AS179+JI!AS151+TU!AS212</f>
        <v>0</v>
      </c>
      <c r="AM36" s="171">
        <f>LB!AT477+FR!AT142+JN!AT204+TA!AT113+ŽB!AT87+ČL!AT306+NB!AT137+SM!AT179+JI!AT151+TU!AT212</f>
        <v>0</v>
      </c>
      <c r="AN36" s="171">
        <f>LB!AU477+FR!AU142+JN!AU204+TA!AU113+ŽB!AU87+ČL!AU306+NB!AU137+SM!AU179+JI!AU151+TU!AU212</f>
        <v>0</v>
      </c>
      <c r="AO36" s="171">
        <f>LB!AV477+FR!AV142+JN!AV204+TA!AV113+ŽB!AV87+ČL!AV306+NB!AV137+SM!AV179+JI!AV151+TU!AV212</f>
        <v>-16320</v>
      </c>
      <c r="AP36" s="171">
        <f>LB!AW477+FR!AW142+JN!AW204+TA!AW113+ŽB!AW87+ČL!AW306+NB!AW137+SM!AW179+JI!AW151+TU!AW212</f>
        <v>0</v>
      </c>
      <c r="AQ36" s="171">
        <f>LB!AX477+FR!AX142+JN!AX204+TA!AX113+ŽB!AX87+ČL!AX306+NB!AX137+SM!AX179+JI!AX151+TU!AX212</f>
        <v>0</v>
      </c>
      <c r="AR36" s="171">
        <f>LB!AY477+FR!AY142+JN!AY204+TA!AY113+ŽB!AY87+ČL!AY306+NB!AY137+SM!AY179+JI!AY151+TU!AY212</f>
        <v>0</v>
      </c>
      <c r="AS36" s="171">
        <f>LB!AZ477+FR!AZ142+JN!AZ204+TA!AZ113+ŽB!AZ87+ČL!AZ306+NB!AZ137+SM!AZ179+JI!AZ151+TU!AZ212</f>
        <v>-16320</v>
      </c>
      <c r="AT36" s="172">
        <f>LB!BA477+FR!BA142+JN!BA204+TA!BA113+ŽB!BA87+ČL!BA306+NB!BA137+SM!BA179+JI!BA151+TU!BA212</f>
        <v>-2.42</v>
      </c>
      <c r="AU36" s="172">
        <f>LB!BB477+FR!BB142+JN!BB204+TA!BB113+ŽB!BB87+ČL!BB306+NB!BB137+SM!BB179+JI!BB151+TU!BB212</f>
        <v>-1.1100000000000001</v>
      </c>
      <c r="AV36" s="172">
        <f>LB!BC477+FR!BC142+JN!BC204+TA!BC113+ŽB!BC87+ČL!BC306+NB!BC137+SM!BC179+JI!BC151+TU!BC212</f>
        <v>0</v>
      </c>
      <c r="AW36" s="172">
        <f>LB!BD477+FR!BD142+JN!BD204+TA!BD113+ŽB!BD87+ČL!BD306+NB!BD137+SM!BD179+JI!BD151+TU!BD212</f>
        <v>0</v>
      </c>
      <c r="AX36" s="172">
        <f>LB!BE477+FR!BE142+JN!BE204+TA!BE113+ŽB!BE87+ČL!BE306+NB!BE137+SM!BE179+JI!BE151+TU!BE212</f>
        <v>0</v>
      </c>
      <c r="AY36" s="172">
        <f>LB!BF477+FR!BF142+JN!BF204+TA!BF113+ŽB!BF87+ČL!BF306+NB!BF137+SM!BF179+JI!BF151+TU!BF212</f>
        <v>0</v>
      </c>
      <c r="AZ36" s="172">
        <f>LB!BG477+FR!BG142+JN!BG204+TA!BG113+ŽB!BG87+ČL!BG306+NB!BG137+SM!BG179+JI!BG151+TU!BG212</f>
        <v>0</v>
      </c>
      <c r="BA36" s="172">
        <f>LB!BH477+FR!BH142+JN!BH204+TA!BH113+ŽB!BH87+ČL!BH306+NB!BH137+SM!BH179+JI!BH151+TU!BH212</f>
        <v>0</v>
      </c>
      <c r="BB36" s="172">
        <f>LB!BI477+FR!BI142+JN!BI204+TA!BI113+ŽB!BI87+ČL!BI306+NB!BI137+SM!BI179+JI!BI151+TU!BI212</f>
        <v>0</v>
      </c>
      <c r="BC36" s="172">
        <f>LB!BJ477+FR!BJ142+JN!BJ204+TA!BJ113+ŽB!BJ87+ČL!BJ306+NB!BJ137+SM!BJ179+JI!BJ151+TU!BJ212</f>
        <v>0</v>
      </c>
      <c r="BD36" s="172">
        <f>LB!BK477+FR!BK142+JN!BK204+TA!BK113+ŽB!BK87+ČL!BK306+NB!BK137+SM!BK179+JI!BK151+TU!BK212</f>
        <v>-2.42</v>
      </c>
      <c r="BE36" s="172">
        <f>LB!BL477+FR!BL142+JN!BL204+TA!BL113+ŽB!BL87+ČL!BL306+NB!BL137+SM!BL179+JI!BL151+TU!BL212</f>
        <v>-1.1100000000000001</v>
      </c>
      <c r="BF36" s="175">
        <f>LB!BM477+FR!BM142+JN!BM204+TA!BM113+ŽB!BM87+ČL!BM306+NB!BM137+SM!BM179+JI!BM151+TU!BM212</f>
        <v>-3.53</v>
      </c>
      <c r="BG36" s="170">
        <f>LB!BN477+FR!BN142+JN!BN204+TA!BN113+ŽB!BN87+ČL!BN306+NB!BN137+SM!BN179+JI!BN151+TU!BN212</f>
        <v>57816553</v>
      </c>
      <c r="BH36" s="171">
        <f>LB!BO477+FR!BO142+JN!BO204+TA!BO113+ŽB!BO87+ČL!BO306+NB!BO137+SM!BO179+JI!BO151+TU!BO212</f>
        <v>41226414</v>
      </c>
      <c r="BI36" s="171">
        <f>LB!BP477+FR!BP142+JN!BP204+TA!BP113+ŽB!BP87+ČL!BP306+NB!BP137+SM!BP179+JI!BP151+TU!BP212</f>
        <v>33852685</v>
      </c>
      <c r="BJ36" s="171">
        <f>LB!BQ477+FR!BQ142+JN!BQ204+TA!BQ113+ŽB!BQ87+ČL!BQ306+NB!BQ137+SM!BQ179+JI!BQ151+TU!BQ212</f>
        <v>7373729</v>
      </c>
      <c r="BK36" s="171">
        <f>LB!BR477+FR!BR142+JN!BR204+TA!BR113+ŽB!BR87+ČL!BR306+NB!BR137+SM!BR179+JI!BR151+TU!BR212</f>
        <v>1632000</v>
      </c>
      <c r="BL36" s="171">
        <f>LB!BS477+FR!BS142+JN!BS204+TA!BS113+ŽB!BS87+ČL!BS306+NB!BS137+SM!BS179+JI!BS151+TU!BS212</f>
        <v>1287040</v>
      </c>
      <c r="BM36" s="171">
        <f>LB!BT477+FR!BT142+JN!BT204+TA!BT113+ŽB!BT87+ČL!BT306+NB!BT137+SM!BT179+JI!BT151+TU!BT212</f>
        <v>344960</v>
      </c>
      <c r="BN36" s="171">
        <f>LB!BU477+FR!BU142+JN!BU204+TA!BU113+ŽB!BU87+ČL!BU306+NB!BU137+SM!BU179+JI!BU151+TU!BU212</f>
        <v>14486144</v>
      </c>
      <c r="BO36" s="171">
        <f>LB!BV477+FR!BV142+JN!BV204+TA!BV113+ŽB!BV87+ČL!BV306+NB!BV137+SM!BV179+JI!BV151+TU!BV212</f>
        <v>412265</v>
      </c>
      <c r="BP36" s="171">
        <f>LB!BW477+FR!BW142+JN!BW204+TA!BW113+ŽB!BW87+ČL!BW306+NB!BW137+SM!BW179+JI!BW151+TU!BW212</f>
        <v>59730</v>
      </c>
      <c r="BQ36" s="172">
        <f>LB!BX477+FR!BX142+JN!BX204+TA!BX113+ŽB!BX87+ČL!BX306+NB!BX137+SM!BX179+JI!BX151+TU!BX212</f>
        <v>84.929999999999993</v>
      </c>
      <c r="BR36" s="172">
        <f>LB!BY477+FR!BY142+JN!BY204+TA!BY113+ŽB!BY87+ČL!BY306+NB!BY137+SM!BY179+JI!BY151+TU!BY212</f>
        <v>61.199999999999989</v>
      </c>
      <c r="BS36" s="175">
        <f>LB!BZ477+FR!BZ142+JN!BZ204+TA!BZ113+ŽB!BZ87+ČL!BZ306+NB!BZ137+SM!BZ179+JI!BZ151+TU!BZ212</f>
        <v>23.73</v>
      </c>
      <c r="BT36" s="170">
        <f>LB!CA477+FR!CA142+JN!CA204+TA!CA113+ŽB!CA87+ČL!CA306+NB!CA137+SM!CA179+JI!CA151+TU!CA212</f>
        <v>0</v>
      </c>
      <c r="BU36" s="171">
        <f>LB!CB477+FR!CB142+JN!CB204+TA!CB113+ŽB!CB87+ČL!CB306+NB!CB137+SM!CB179+JI!CB151+TU!CB212</f>
        <v>0</v>
      </c>
      <c r="BV36" s="171">
        <f>LB!CC477+FR!CC142+JN!CC204+TA!CC113+ŽB!CC87+ČL!CC306+NB!CC137+SM!CC179+JI!CC151+TU!CC212</f>
        <v>0</v>
      </c>
      <c r="BW36" s="171">
        <f>LB!CD477+FR!CD142+JN!CD204+TA!CD113+ŽB!CD87+ČL!CD306+NB!CD137+SM!CD179+JI!CD151+TU!CD212</f>
        <v>0</v>
      </c>
      <c r="BX36" s="171">
        <f>LB!CE477+FR!CE142+JN!CE204+TA!CE113+ŽB!CE87+ČL!CE306+NB!CE137+SM!CE179+JI!CE151+TU!CE212</f>
        <v>0</v>
      </c>
      <c r="BY36" s="173">
        <f>LB!CF477+FR!CF142+JN!CF204+TA!CF113+ŽB!CF87+ČL!CF306+NB!CF137+SM!CF179+JI!CF151+TU!CF212</f>
        <v>0</v>
      </c>
    </row>
    <row r="37" spans="1:79" x14ac:dyDescent="0.2">
      <c r="A37" s="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4"/>
      <c r="M37" s="4"/>
      <c r="N37" s="4"/>
    </row>
    <row r="38" spans="1:79" x14ac:dyDescent="0.2">
      <c r="BT38" s="7"/>
      <c r="BU38" s="7"/>
      <c r="BV38" s="7"/>
      <c r="BW38" s="7"/>
      <c r="BX38" s="7"/>
      <c r="BZ38">
        <v>0</v>
      </c>
      <c r="CA38">
        <v>36.6</v>
      </c>
    </row>
    <row r="39" spans="1:79" x14ac:dyDescent="0.2">
      <c r="BT39" s="7"/>
      <c r="BU39" s="7"/>
      <c r="BV39" s="7"/>
      <c r="BW39" s="7"/>
      <c r="BX39" s="7"/>
    </row>
  </sheetData>
  <mergeCells count="59">
    <mergeCell ref="U12:V12"/>
    <mergeCell ref="AD10:AD11"/>
    <mergeCell ref="AW9:AX11"/>
    <mergeCell ref="AW12:AX12"/>
    <mergeCell ref="BT7:BY8"/>
    <mergeCell ref="BT9:BY10"/>
    <mergeCell ref="BQ9:BQ11"/>
    <mergeCell ref="BR9:BS10"/>
    <mergeCell ref="AA10:AA11"/>
    <mergeCell ref="AB10:AC10"/>
    <mergeCell ref="AE10:AE11"/>
    <mergeCell ref="AF10:AG10"/>
    <mergeCell ref="AH10:AI10"/>
    <mergeCell ref="AJ10:AJ11"/>
    <mergeCell ref="BH10:BH11"/>
    <mergeCell ref="BI10:BJ10"/>
    <mergeCell ref="BK10:BK11"/>
    <mergeCell ref="BL10:BM10"/>
    <mergeCell ref="BO10:BO11"/>
    <mergeCell ref="BP10:BP11"/>
    <mergeCell ref="BN10:BN11"/>
    <mergeCell ref="BH9:BP9"/>
    <mergeCell ref="O7:BF7"/>
    <mergeCell ref="BG7:BS8"/>
    <mergeCell ref="O8:AA9"/>
    <mergeCell ref="AB8:AJ9"/>
    <mergeCell ref="AK8:AM10"/>
    <mergeCell ref="AN8:AN11"/>
    <mergeCell ref="AO8:AO11"/>
    <mergeCell ref="AP8:AR10"/>
    <mergeCell ref="AS8:AS11"/>
    <mergeCell ref="AT8:BF8"/>
    <mergeCell ref="AT9:AU10"/>
    <mergeCell ref="AV9:AV10"/>
    <mergeCell ref="AY9:AZ9"/>
    <mergeCell ref="BA9:BA10"/>
    <mergeCell ref="BG9:BG11"/>
    <mergeCell ref="BB9:BC10"/>
    <mergeCell ref="O10:P10"/>
    <mergeCell ref="Q10:Q11"/>
    <mergeCell ref="R10:S10"/>
    <mergeCell ref="T10:T11"/>
    <mergeCell ref="U10:V11"/>
    <mergeCell ref="BD9:BF10"/>
    <mergeCell ref="J10:J11"/>
    <mergeCell ref="K10:K11"/>
    <mergeCell ref="A3:N3"/>
    <mergeCell ref="B9:B11"/>
    <mergeCell ref="B7:N8"/>
    <mergeCell ref="C9:K9"/>
    <mergeCell ref="C10:C11"/>
    <mergeCell ref="D10:E10"/>
    <mergeCell ref="F10:F11"/>
    <mergeCell ref="G10:H10"/>
    <mergeCell ref="I10:I11"/>
    <mergeCell ref="W10:X10"/>
    <mergeCell ref="Y10:Z10"/>
    <mergeCell ref="L9:L11"/>
    <mergeCell ref="M9:N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CG1416"/>
  <sheetViews>
    <sheetView zoomScaleNormal="100" workbookViewId="0">
      <pane xSplit="8" ySplit="11" topLeftCell="BQ12" activePane="bottomRight" state="frozen"/>
      <selection pane="topRight" activeCell="I1" sqref="I1"/>
      <selection pane="bottomLeft" activeCell="A12" sqref="A12"/>
      <selection pane="bottomRight" activeCell="BN6" sqref="BN6:CF7"/>
    </sheetView>
  </sheetViews>
  <sheetFormatPr defaultColWidth="9.140625" defaultRowHeight="11.25" x14ac:dyDescent="0.2"/>
  <cols>
    <col min="1" max="1" width="5" style="52" customWidth="1"/>
    <col min="2" max="2" width="4.7109375" style="51" customWidth="1"/>
    <col min="3" max="3" width="8.7109375" style="51" customWidth="1"/>
    <col min="4" max="4" width="7.85546875" style="51" customWidth="1"/>
    <col min="5" max="5" width="29.7109375" style="52" customWidth="1"/>
    <col min="6" max="6" width="4.42578125" style="52" customWidth="1"/>
    <col min="7" max="7" width="10" style="52" customWidth="1"/>
    <col min="8" max="8" width="9.42578125" style="52" customWidth="1"/>
    <col min="9" max="12" width="10.85546875" style="53" customWidth="1"/>
    <col min="13" max="15" width="5.7109375" style="53" hidden="1" customWidth="1"/>
    <col min="16" max="16" width="12.42578125" style="53" customWidth="1"/>
    <col min="17" max="17" width="10" style="53" customWidth="1"/>
    <col min="18" max="18" width="10.85546875" style="53" customWidth="1"/>
    <col min="19" max="21" width="9.28515625" style="87" customWidth="1"/>
    <col min="22" max="27" width="10.85546875" style="53" customWidth="1"/>
    <col min="28" max="28" width="10.5703125" style="53" customWidth="1"/>
    <col min="29" max="29" width="10.85546875" style="53" hidden="1" customWidth="1"/>
    <col min="30" max="52" width="10.85546875" style="53" customWidth="1"/>
    <col min="53" max="55" width="9.28515625" style="87" customWidth="1"/>
    <col min="56" max="56" width="9.7109375" style="87" customWidth="1"/>
    <col min="57" max="57" width="9.28515625" style="87" hidden="1" customWidth="1"/>
    <col min="58" max="65" width="9.28515625" style="87" customWidth="1"/>
    <col min="66" max="75" width="10.85546875" style="53" customWidth="1"/>
    <col min="76" max="78" width="9.28515625" style="87" customWidth="1"/>
    <col min="79" max="83" width="9.7109375" style="53" customWidth="1"/>
    <col min="84" max="84" width="9.7109375" style="87" customWidth="1"/>
    <col min="85" max="16384" width="9.140625" style="56"/>
  </cols>
  <sheetData>
    <row r="1" spans="1:85" ht="12.75" x14ac:dyDescent="0.2">
      <c r="A1" s="50" t="s">
        <v>2</v>
      </c>
      <c r="B1" s="50"/>
      <c r="C1" s="42"/>
      <c r="D1" s="50"/>
      <c r="E1" s="50"/>
      <c r="I1" s="52"/>
      <c r="J1" s="52"/>
      <c r="K1" s="52"/>
      <c r="L1" s="52"/>
      <c r="M1" s="52"/>
      <c r="N1" s="52"/>
      <c r="O1" s="52"/>
      <c r="P1" s="52"/>
      <c r="Q1" s="52"/>
      <c r="R1" s="52"/>
      <c r="S1" s="181"/>
      <c r="T1" s="181"/>
      <c r="U1" s="181"/>
      <c r="V1" s="87"/>
      <c r="W1" s="87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</row>
    <row r="2" spans="1:85" ht="12.75" x14ac:dyDescent="0.2">
      <c r="A2" s="50" t="s">
        <v>3</v>
      </c>
      <c r="B2" s="50"/>
      <c r="C2" s="42"/>
      <c r="D2" s="50"/>
      <c r="E2" s="50"/>
    </row>
    <row r="3" spans="1:85" ht="12" x14ac:dyDescent="0.2">
      <c r="A3" s="965" t="s">
        <v>4</v>
      </c>
      <c r="B3" s="965"/>
      <c r="C3" s="965"/>
      <c r="D3" s="965"/>
      <c r="E3" s="965"/>
      <c r="Y3" s="524"/>
      <c r="Z3" s="524"/>
      <c r="AA3" s="524"/>
      <c r="AB3" s="524"/>
      <c r="AC3" s="524"/>
    </row>
    <row r="4" spans="1:85" ht="12" x14ac:dyDescent="0.2">
      <c r="A4" s="50"/>
      <c r="B4" s="50"/>
      <c r="C4" s="50"/>
      <c r="D4" s="50"/>
      <c r="E4" s="50"/>
      <c r="I4" s="52"/>
      <c r="J4" s="52"/>
      <c r="K4" s="52"/>
      <c r="L4" s="52"/>
      <c r="M4" s="52"/>
      <c r="N4" s="52"/>
      <c r="O4" s="52"/>
      <c r="P4" s="52"/>
      <c r="Q4" s="52"/>
      <c r="R4" s="52"/>
      <c r="S4" s="181"/>
      <c r="Y4" s="523"/>
      <c r="Z4" s="523"/>
      <c r="AA4" s="523"/>
      <c r="AB4" s="523"/>
      <c r="AC4" s="523"/>
    </row>
    <row r="5" spans="1:85" ht="16.5" thickBot="1" x14ac:dyDescent="0.3">
      <c r="A5" s="182" t="s">
        <v>806</v>
      </c>
      <c r="F5" s="254"/>
      <c r="G5" s="254"/>
      <c r="I5" s="52"/>
      <c r="J5" s="52"/>
      <c r="K5" s="52"/>
      <c r="L5" s="52"/>
      <c r="M5" s="52"/>
      <c r="N5" s="52"/>
      <c r="O5" s="52"/>
      <c r="P5" s="52"/>
      <c r="Q5" s="52"/>
      <c r="R5" s="52"/>
      <c r="S5" s="181"/>
      <c r="Y5" s="523"/>
      <c r="Z5" s="523"/>
      <c r="AA5" s="523"/>
      <c r="AB5" s="523"/>
      <c r="AC5" s="523"/>
    </row>
    <row r="6" spans="1:85" ht="12.75" x14ac:dyDescent="0.2">
      <c r="A6" s="555" t="s">
        <v>805</v>
      </c>
      <c r="B6" s="556"/>
      <c r="C6" s="557"/>
      <c r="D6" s="557"/>
      <c r="E6" s="556"/>
      <c r="F6" s="556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1"/>
      <c r="V6" s="975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5" ht="16.5" thickBot="1" x14ac:dyDescent="0.3">
      <c r="B7" s="6"/>
      <c r="C7"/>
      <c r="D7" s="10"/>
      <c r="E7" s="6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4"/>
      <c r="V7" s="995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5" ht="12.75" customHeight="1" x14ac:dyDescent="0.2">
      <c r="A8" s="115"/>
      <c r="B8" s="57"/>
      <c r="C8" s="57"/>
      <c r="D8" s="57"/>
      <c r="E8" s="58"/>
      <c r="F8" s="59"/>
      <c r="G8" s="60"/>
      <c r="H8" s="60"/>
      <c r="I8" s="980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987"/>
      <c r="V8" s="998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36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781</v>
      </c>
      <c r="BZ8" s="1049"/>
      <c r="CA8" s="1014" t="s">
        <v>892</v>
      </c>
      <c r="CB8" s="1015"/>
      <c r="CC8" s="1015"/>
      <c r="CD8" s="1015"/>
      <c r="CE8" s="1015"/>
      <c r="CF8" s="1016"/>
    </row>
    <row r="9" spans="1:85" ht="13.5" thickBot="1" x14ac:dyDescent="0.25">
      <c r="A9" s="116" t="s">
        <v>750</v>
      </c>
      <c r="B9"/>
      <c r="C9"/>
      <c r="D9" s="12"/>
      <c r="E9"/>
      <c r="F9" s="59"/>
      <c r="G9" s="60"/>
      <c r="H9" s="60"/>
      <c r="I9" s="981"/>
      <c r="J9" s="990" t="s">
        <v>268</v>
      </c>
      <c r="K9" s="962" t="s">
        <v>839</v>
      </c>
      <c r="L9" s="963"/>
      <c r="M9" s="960" t="s">
        <v>274</v>
      </c>
      <c r="N9" s="962" t="s">
        <v>837</v>
      </c>
      <c r="O9" s="963"/>
      <c r="P9" s="960" t="s">
        <v>5</v>
      </c>
      <c r="Q9" s="960" t="s">
        <v>1</v>
      </c>
      <c r="R9" s="960" t="s">
        <v>7</v>
      </c>
      <c r="S9" s="984"/>
      <c r="T9" s="988"/>
      <c r="U9" s="989"/>
      <c r="V9" s="964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37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5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982"/>
      <c r="J10" s="991"/>
      <c r="K10" s="656" t="s">
        <v>812</v>
      </c>
      <c r="L10" s="656" t="s">
        <v>813</v>
      </c>
      <c r="M10" s="961"/>
      <c r="N10" s="656" t="s">
        <v>812</v>
      </c>
      <c r="O10" s="656" t="s">
        <v>813</v>
      </c>
      <c r="P10" s="961"/>
      <c r="Q10" s="961"/>
      <c r="R10" s="961"/>
      <c r="S10" s="985"/>
      <c r="T10" s="657" t="s">
        <v>812</v>
      </c>
      <c r="U10" s="677" t="s">
        <v>813</v>
      </c>
      <c r="V10" s="597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38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8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5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140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40" t="s">
        <v>882</v>
      </c>
      <c r="AC11" s="1041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7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40" t="s">
        <v>884</v>
      </c>
      <c r="BE11" s="1041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80" t="s">
        <v>288</v>
      </c>
      <c r="BN11" s="526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43" t="s">
        <v>534</v>
      </c>
      <c r="CA11" s="795" t="s">
        <v>889</v>
      </c>
      <c r="CB11" s="757" t="s">
        <v>882</v>
      </c>
      <c r="CC11" s="757" t="s">
        <v>883</v>
      </c>
      <c r="CD11" s="757" t="s">
        <v>890</v>
      </c>
      <c r="CE11" s="757" t="s">
        <v>891</v>
      </c>
      <c r="CF11" s="801" t="s">
        <v>884</v>
      </c>
      <c r="CG11" s="56"/>
    </row>
    <row r="12" spans="1:85" ht="14.1" customHeight="1" x14ac:dyDescent="0.2">
      <c r="A12" s="123">
        <v>1</v>
      </c>
      <c r="B12" s="124">
        <v>2330</v>
      </c>
      <c r="C12" s="125">
        <v>691009571</v>
      </c>
      <c r="D12" s="124">
        <v>71294511</v>
      </c>
      <c r="E12" s="126" t="s">
        <v>535</v>
      </c>
      <c r="F12" s="123">
        <v>3233</v>
      </c>
      <c r="G12" s="126" t="s">
        <v>298</v>
      </c>
      <c r="H12" s="127" t="s">
        <v>272</v>
      </c>
      <c r="I12" s="408">
        <f>J12+M12+P12+Q12+R12</f>
        <v>10683321</v>
      </c>
      <c r="J12" s="409">
        <f>K12+L12</f>
        <v>7914856</v>
      </c>
      <c r="K12" s="409">
        <v>6225099</v>
      </c>
      <c r="L12" s="409">
        <v>1689757</v>
      </c>
      <c r="M12" s="409">
        <f>N12+O12</f>
        <v>0</v>
      </c>
      <c r="N12" s="409">
        <v>0</v>
      </c>
      <c r="O12" s="409">
        <v>0</v>
      </c>
      <c r="P12" s="659">
        <f>ROUND(J12*33.8%,0)</f>
        <v>2675221</v>
      </c>
      <c r="Q12" s="659">
        <f>ROUND(J12*1%,0)</f>
        <v>79149</v>
      </c>
      <c r="R12" s="409">
        <v>14095</v>
      </c>
      <c r="S12" s="410">
        <f>T12+U12</f>
        <v>16.71</v>
      </c>
      <c r="T12" s="411">
        <v>11.27</v>
      </c>
      <c r="U12" s="425">
        <v>5.44</v>
      </c>
      <c r="V12" s="415">
        <f>AI12*-1</f>
        <v>-384000</v>
      </c>
      <c r="W12" s="413">
        <f>AJ12*-1</f>
        <v>-108800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-384000</v>
      </c>
      <c r="AG12" s="413">
        <f>W12+Z12+AC12+AE12</f>
        <v>-108800</v>
      </c>
      <c r="AH12" s="413">
        <f>SUM(AF12:AG12)</f>
        <v>-492800</v>
      </c>
      <c r="AI12" s="413">
        <v>384000</v>
      </c>
      <c r="AJ12" s="413">
        <v>108800</v>
      </c>
      <c r="AK12" s="413">
        <v>0</v>
      </c>
      <c r="AL12" s="413">
        <v>0</v>
      </c>
      <c r="AM12" s="413">
        <v>0</v>
      </c>
      <c r="AN12" s="413">
        <v>0</v>
      </c>
      <c r="AO12" s="413">
        <f>AI12+AL12+AK12+AM12</f>
        <v>384000</v>
      </c>
      <c r="AP12" s="413">
        <f>AJ12+AN12</f>
        <v>108800</v>
      </c>
      <c r="AQ12" s="413">
        <f>SUM(AO12:AP12)</f>
        <v>492800</v>
      </c>
      <c r="AR12" s="413">
        <f>AF12+AO12</f>
        <v>0</v>
      </c>
      <c r="AS12" s="413">
        <f>AG12+AP12</f>
        <v>0</v>
      </c>
      <c r="AT12" s="413">
        <f>SUM(AR12:AS12)</f>
        <v>0</v>
      </c>
      <c r="AU12" s="144">
        <f>ROUND((AH12+AI12+AJ12+AK12+AL12)*33.8%,0)</f>
        <v>0</v>
      </c>
      <c r="AV12" s="144">
        <f>ROUND(AH12*1%,0)</f>
        <v>-4928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-4928</v>
      </c>
      <c r="BA12" s="414">
        <v>-0.7</v>
      </c>
      <c r="BB12" s="414">
        <v>-0.35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-0.7</v>
      </c>
      <c r="BL12" s="414">
        <f>BB12+BE12+BG12+BJ12</f>
        <v>-0.35</v>
      </c>
      <c r="BM12" s="416">
        <f>SUM(BK12:BL12)</f>
        <v>-1.0499999999999998</v>
      </c>
      <c r="BN12" s="412">
        <f>I12+AZ12</f>
        <v>10678393</v>
      </c>
      <c r="BO12" s="413">
        <f>J12+AH12</f>
        <v>7422056</v>
      </c>
      <c r="BP12" s="413">
        <f>K12+AF12</f>
        <v>5841099</v>
      </c>
      <c r="BQ12" s="413">
        <f>L12+AG12</f>
        <v>1580957</v>
      </c>
      <c r="BR12" s="413">
        <f>M12+AQ12</f>
        <v>492800</v>
      </c>
      <c r="BS12" s="413">
        <f>N12+AO12</f>
        <v>384000</v>
      </c>
      <c r="BT12" s="413">
        <f>O12+AP12</f>
        <v>108800</v>
      </c>
      <c r="BU12" s="413">
        <f>P12+AU12</f>
        <v>2675221</v>
      </c>
      <c r="BV12" s="413">
        <f>Q12+AV12</f>
        <v>74221</v>
      </c>
      <c r="BW12" s="413">
        <f>R12+AY12</f>
        <v>14095</v>
      </c>
      <c r="BX12" s="414">
        <f>S12+BM12</f>
        <v>15.66</v>
      </c>
      <c r="BY12" s="414">
        <f>T12+BK12</f>
        <v>10.57</v>
      </c>
      <c r="BZ12" s="610">
        <f>U12+BL12</f>
        <v>5.0900000000000007</v>
      </c>
      <c r="CA12" s="408"/>
      <c r="CB12" s="409"/>
      <c r="CC12" s="409"/>
      <c r="CD12" s="409"/>
      <c r="CE12" s="409"/>
      <c r="CF12" s="509"/>
    </row>
    <row r="13" spans="1:85" ht="14.1" customHeight="1" x14ac:dyDescent="0.2">
      <c r="A13" s="72">
        <v>1</v>
      </c>
      <c r="B13" s="69">
        <v>2330</v>
      </c>
      <c r="C13" s="70">
        <v>691009571</v>
      </c>
      <c r="D13" s="69">
        <v>71294511</v>
      </c>
      <c r="E13" s="71" t="s">
        <v>536</v>
      </c>
      <c r="F13" s="72"/>
      <c r="G13" s="71"/>
      <c r="H13" s="73"/>
      <c r="I13" s="538">
        <f t="shared" ref="I13:BU13" si="0">SUM(I12)</f>
        <v>10683321</v>
      </c>
      <c r="J13" s="74">
        <f t="shared" si="0"/>
        <v>7914856</v>
      </c>
      <c r="K13" s="74">
        <f t="shared" si="0"/>
        <v>6225099</v>
      </c>
      <c r="L13" s="74">
        <f t="shared" si="0"/>
        <v>1689757</v>
      </c>
      <c r="M13" s="74">
        <f t="shared" si="0"/>
        <v>0</v>
      </c>
      <c r="N13" s="74">
        <f t="shared" si="0"/>
        <v>0</v>
      </c>
      <c r="O13" s="74">
        <f t="shared" si="0"/>
        <v>0</v>
      </c>
      <c r="P13" s="74">
        <f t="shared" si="0"/>
        <v>2675221</v>
      </c>
      <c r="Q13" s="74">
        <f t="shared" si="0"/>
        <v>79149</v>
      </c>
      <c r="R13" s="74">
        <f t="shared" si="0"/>
        <v>14095</v>
      </c>
      <c r="S13" s="75">
        <f t="shared" si="0"/>
        <v>16.71</v>
      </c>
      <c r="T13" s="75">
        <f t="shared" si="0"/>
        <v>11.27</v>
      </c>
      <c r="U13" s="753">
        <f t="shared" si="0"/>
        <v>5.44</v>
      </c>
      <c r="V13" s="538">
        <f t="shared" si="0"/>
        <v>-384000</v>
      </c>
      <c r="W13" s="74">
        <f t="shared" si="0"/>
        <v>-108800</v>
      </c>
      <c r="X13" s="74">
        <f t="shared" si="0"/>
        <v>0</v>
      </c>
      <c r="Y13" s="74">
        <f t="shared" si="0"/>
        <v>0</v>
      </c>
      <c r="Z13" s="74">
        <f t="shared" si="0"/>
        <v>0</v>
      </c>
      <c r="AA13" s="74">
        <f t="shared" si="0"/>
        <v>0</v>
      </c>
      <c r="AB13" s="74">
        <f t="shared" si="0"/>
        <v>0</v>
      </c>
      <c r="AC13" s="74">
        <f t="shared" si="0"/>
        <v>0</v>
      </c>
      <c r="AD13" s="74">
        <f t="shared" si="0"/>
        <v>0</v>
      </c>
      <c r="AE13" s="74">
        <f t="shared" si="0"/>
        <v>0</v>
      </c>
      <c r="AF13" s="74">
        <f t="shared" si="0"/>
        <v>-384000</v>
      </c>
      <c r="AG13" s="74">
        <f t="shared" si="0"/>
        <v>-108800</v>
      </c>
      <c r="AH13" s="74">
        <f t="shared" si="0"/>
        <v>-492800</v>
      </c>
      <c r="AI13" s="74">
        <f t="shared" si="0"/>
        <v>384000</v>
      </c>
      <c r="AJ13" s="74">
        <f t="shared" si="0"/>
        <v>108800</v>
      </c>
      <c r="AK13" s="74">
        <f t="shared" si="0"/>
        <v>0</v>
      </c>
      <c r="AL13" s="74">
        <f t="shared" si="0"/>
        <v>0</v>
      </c>
      <c r="AM13" s="74">
        <f t="shared" si="0"/>
        <v>0</v>
      </c>
      <c r="AN13" s="74">
        <f t="shared" si="0"/>
        <v>0</v>
      </c>
      <c r="AO13" s="74">
        <f t="shared" si="0"/>
        <v>384000</v>
      </c>
      <c r="AP13" s="74">
        <f t="shared" si="0"/>
        <v>108800</v>
      </c>
      <c r="AQ13" s="74">
        <f t="shared" si="0"/>
        <v>492800</v>
      </c>
      <c r="AR13" s="74">
        <f t="shared" si="0"/>
        <v>0</v>
      </c>
      <c r="AS13" s="74">
        <f t="shared" si="0"/>
        <v>0</v>
      </c>
      <c r="AT13" s="74">
        <f t="shared" si="0"/>
        <v>0</v>
      </c>
      <c r="AU13" s="74">
        <f t="shared" si="0"/>
        <v>0</v>
      </c>
      <c r="AV13" s="74">
        <f t="shared" si="0"/>
        <v>-4928</v>
      </c>
      <c r="AW13" s="74">
        <f t="shared" si="0"/>
        <v>0</v>
      </c>
      <c r="AX13" s="74">
        <f t="shared" si="0"/>
        <v>0</v>
      </c>
      <c r="AY13" s="74">
        <f t="shared" si="0"/>
        <v>0</v>
      </c>
      <c r="AZ13" s="74">
        <f t="shared" si="0"/>
        <v>-4928</v>
      </c>
      <c r="BA13" s="75">
        <f t="shared" si="0"/>
        <v>-0.7</v>
      </c>
      <c r="BB13" s="75">
        <f t="shared" si="0"/>
        <v>-0.35</v>
      </c>
      <c r="BC13" s="75">
        <f t="shared" si="0"/>
        <v>0</v>
      </c>
      <c r="BD13" s="75">
        <f t="shared" si="0"/>
        <v>0</v>
      </c>
      <c r="BE13" s="75">
        <f t="shared" si="0"/>
        <v>0</v>
      </c>
      <c r="BF13" s="75">
        <f t="shared" si="0"/>
        <v>0</v>
      </c>
      <c r="BG13" s="75">
        <f t="shared" si="0"/>
        <v>0</v>
      </c>
      <c r="BH13" s="75">
        <f t="shared" si="0"/>
        <v>0</v>
      </c>
      <c r="BI13" s="75">
        <f t="shared" si="0"/>
        <v>0</v>
      </c>
      <c r="BJ13" s="75">
        <f t="shared" si="0"/>
        <v>0</v>
      </c>
      <c r="BK13" s="75">
        <f t="shared" si="0"/>
        <v>-0.7</v>
      </c>
      <c r="BL13" s="75">
        <f t="shared" si="0"/>
        <v>-0.35</v>
      </c>
      <c r="BM13" s="76">
        <f t="shared" si="0"/>
        <v>-1.0499999999999998</v>
      </c>
      <c r="BN13" s="549">
        <f t="shared" si="0"/>
        <v>10678393</v>
      </c>
      <c r="BO13" s="74">
        <f t="shared" si="0"/>
        <v>7422056</v>
      </c>
      <c r="BP13" s="74">
        <f t="shared" si="0"/>
        <v>5841099</v>
      </c>
      <c r="BQ13" s="74">
        <f t="shared" si="0"/>
        <v>1580957</v>
      </c>
      <c r="BR13" s="74">
        <f t="shared" si="0"/>
        <v>492800</v>
      </c>
      <c r="BS13" s="74">
        <f t="shared" si="0"/>
        <v>384000</v>
      </c>
      <c r="BT13" s="74">
        <f t="shared" si="0"/>
        <v>108800</v>
      </c>
      <c r="BU13" s="74">
        <f t="shared" si="0"/>
        <v>2675221</v>
      </c>
      <c r="BV13" s="74">
        <f t="shared" ref="BV13:CF13" si="1">SUM(BV12)</f>
        <v>74221</v>
      </c>
      <c r="BW13" s="74">
        <f t="shared" si="1"/>
        <v>14095</v>
      </c>
      <c r="BX13" s="75">
        <f t="shared" si="1"/>
        <v>15.66</v>
      </c>
      <c r="BY13" s="75">
        <f t="shared" si="1"/>
        <v>10.57</v>
      </c>
      <c r="BZ13" s="753">
        <f t="shared" si="1"/>
        <v>5.0900000000000007</v>
      </c>
      <c r="CA13" s="796">
        <f t="shared" si="1"/>
        <v>0</v>
      </c>
      <c r="CB13" s="789">
        <f t="shared" si="1"/>
        <v>0</v>
      </c>
      <c r="CC13" s="789">
        <f t="shared" si="1"/>
        <v>0</v>
      </c>
      <c r="CD13" s="789">
        <f t="shared" si="1"/>
        <v>0</v>
      </c>
      <c r="CE13" s="789">
        <f t="shared" si="1"/>
        <v>0</v>
      </c>
      <c r="CF13" s="793">
        <f t="shared" si="1"/>
        <v>0</v>
      </c>
    </row>
    <row r="14" spans="1:85" ht="14.1" customHeight="1" x14ac:dyDescent="0.2">
      <c r="A14" s="66">
        <v>2</v>
      </c>
      <c r="B14" s="63">
        <v>2415</v>
      </c>
      <c r="C14" s="64">
        <v>600079465</v>
      </c>
      <c r="D14" s="63">
        <v>72742186</v>
      </c>
      <c r="E14" s="65" t="s">
        <v>537</v>
      </c>
      <c r="F14" s="66">
        <v>3111</v>
      </c>
      <c r="G14" s="65" t="s">
        <v>291</v>
      </c>
      <c r="H14" s="67" t="s">
        <v>271</v>
      </c>
      <c r="I14" s="423">
        <f t="shared" ref="I14:I76" si="2">J14+M14+P14+Q14+R14</f>
        <v>8053425</v>
      </c>
      <c r="J14" s="418">
        <f t="shared" ref="J14:J76" si="3">K14+L14</f>
        <v>5953177</v>
      </c>
      <c r="K14" s="418">
        <v>5469671</v>
      </c>
      <c r="L14" s="418">
        <v>483506</v>
      </c>
      <c r="M14" s="418">
        <f>N14+O14</f>
        <v>0</v>
      </c>
      <c r="N14" s="418">
        <v>0</v>
      </c>
      <c r="O14" s="418">
        <v>0</v>
      </c>
      <c r="P14" s="668">
        <f t="shared" ref="P14:P76" si="4">ROUND(J14*33.8%,0)</f>
        <v>2012174</v>
      </c>
      <c r="Q14" s="668">
        <f t="shared" ref="Q14:Q76" si="5">ROUND(J14*1%,0)</f>
        <v>59532</v>
      </c>
      <c r="R14" s="418">
        <v>28542</v>
      </c>
      <c r="S14" s="419">
        <f t="shared" ref="S14:S76" si="6">T14+U14</f>
        <v>10.986699999999999</v>
      </c>
      <c r="T14" s="419">
        <v>9.3332999999999995</v>
      </c>
      <c r="U14" s="426">
        <v>1.6534</v>
      </c>
      <c r="V14" s="428">
        <f t="shared" ref="V14:V76" si="7">AI14*-1</f>
        <v>-38400</v>
      </c>
      <c r="W14" s="421">
        <f t="shared" ref="W14:W76" si="8">AJ14*-1</f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 t="shared" ref="AF14:AF76" si="9">V14+X14+Y14+AA14+AB14+AD14</f>
        <v>-38400</v>
      </c>
      <c r="AG14" s="421">
        <f t="shared" ref="AG14:AG76" si="10">W14+Z14+AC14+AE14</f>
        <v>0</v>
      </c>
      <c r="AH14" s="421">
        <f t="shared" ref="AH14:AH76" si="11">SUM(AF14:AG14)</f>
        <v>-38400</v>
      </c>
      <c r="AI14" s="421">
        <v>38400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 t="shared" ref="AO14:AO76" si="12">AI14+AL14+AK14+AM14</f>
        <v>38400</v>
      </c>
      <c r="AP14" s="421">
        <f t="shared" ref="AP14:AP76" si="13">AJ14+AN14</f>
        <v>0</v>
      </c>
      <c r="AQ14" s="421">
        <f t="shared" ref="AQ14:AQ76" si="14">SUM(AO14:AP14)</f>
        <v>38400</v>
      </c>
      <c r="AR14" s="421">
        <f t="shared" ref="AR14:AS17" si="15">AF14+AO14</f>
        <v>0</v>
      </c>
      <c r="AS14" s="421">
        <f t="shared" si="15"/>
        <v>0</v>
      </c>
      <c r="AT14" s="421">
        <f t="shared" ref="AT14:AT76" si="16">SUM(AR14:AS14)</f>
        <v>0</v>
      </c>
      <c r="AU14" s="68">
        <f>ROUND((AH14+AI14+AJ14+AK14+AL14)*33.8%,0)</f>
        <v>0</v>
      </c>
      <c r="AV14" s="68">
        <f>ROUND(AH14*1%,0)</f>
        <v>-384</v>
      </c>
      <c r="AW14" s="421">
        <v>0</v>
      </c>
      <c r="AX14" s="421">
        <v>0</v>
      </c>
      <c r="AY14" s="421">
        <f t="shared" ref="AY14:AY76" si="17">AW14+AX14</f>
        <v>0</v>
      </c>
      <c r="AZ14" s="421">
        <f t="shared" ref="AZ14:AZ76" si="18">AT14+AU14+AV14+AY14</f>
        <v>-384</v>
      </c>
      <c r="BA14" s="422">
        <v>-0.05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-0.05</v>
      </c>
      <c r="BL14" s="422">
        <f>BB14+BE14+BG14+BJ14</f>
        <v>0</v>
      </c>
      <c r="BM14" s="424">
        <f t="shared" ref="BM14:BM76" si="19">SUM(BK14:BL14)</f>
        <v>-0.05</v>
      </c>
      <c r="BN14" s="427">
        <f>I14+AZ14</f>
        <v>8053041</v>
      </c>
      <c r="BO14" s="421">
        <f>J14+AH14</f>
        <v>5914777</v>
      </c>
      <c r="BP14" s="421">
        <f t="shared" ref="BP14:BQ17" si="20">K14+AF14</f>
        <v>5431271</v>
      </c>
      <c r="BQ14" s="421">
        <f t="shared" si="20"/>
        <v>483506</v>
      </c>
      <c r="BR14" s="421">
        <f>M14+AQ14</f>
        <v>38400</v>
      </c>
      <c r="BS14" s="421">
        <f t="shared" ref="BS14:BT17" si="21">N14+AO14</f>
        <v>38400</v>
      </c>
      <c r="BT14" s="421">
        <f t="shared" si="21"/>
        <v>0</v>
      </c>
      <c r="BU14" s="421">
        <f t="shared" ref="BU14:BV17" si="22">P14+AU14</f>
        <v>2012174</v>
      </c>
      <c r="BV14" s="421">
        <f t="shared" si="22"/>
        <v>59148</v>
      </c>
      <c r="BW14" s="421">
        <f>R14+AY14</f>
        <v>28542</v>
      </c>
      <c r="BX14" s="422">
        <f>S14+BM14</f>
        <v>10.936699999999998</v>
      </c>
      <c r="BY14" s="422">
        <f t="shared" ref="BY14:BZ17" si="23">T14+BK14</f>
        <v>9.2832999999999988</v>
      </c>
      <c r="BZ14" s="611">
        <f t="shared" si="23"/>
        <v>1.6534</v>
      </c>
      <c r="CA14" s="423"/>
      <c r="CB14" s="418"/>
      <c r="CC14" s="418"/>
      <c r="CD14" s="418"/>
      <c r="CE14" s="418"/>
      <c r="CF14" s="527"/>
    </row>
    <row r="15" spans="1:85" ht="14.1" customHeight="1" x14ac:dyDescent="0.2">
      <c r="A15" s="66">
        <v>2</v>
      </c>
      <c r="B15" s="63">
        <v>2415</v>
      </c>
      <c r="C15" s="64">
        <v>600079465</v>
      </c>
      <c r="D15" s="63">
        <v>72742186</v>
      </c>
      <c r="E15" s="65" t="s">
        <v>537</v>
      </c>
      <c r="F15" s="66">
        <v>3111</v>
      </c>
      <c r="G15" s="43" t="s">
        <v>293</v>
      </c>
      <c r="H15" s="67" t="s">
        <v>271</v>
      </c>
      <c r="I15" s="423">
        <f t="shared" si="2"/>
        <v>471045</v>
      </c>
      <c r="J15" s="418">
        <f t="shared" si="3"/>
        <v>349440</v>
      </c>
      <c r="K15" s="418">
        <v>349440</v>
      </c>
      <c r="L15" s="418">
        <v>0</v>
      </c>
      <c r="M15" s="418">
        <f t="shared" ref="M15:M73" si="24">N15+O15</f>
        <v>0</v>
      </c>
      <c r="N15" s="418">
        <v>0</v>
      </c>
      <c r="O15" s="418">
        <v>0</v>
      </c>
      <c r="P15" s="668">
        <f t="shared" si="4"/>
        <v>118111</v>
      </c>
      <c r="Q15" s="668">
        <f t="shared" si="5"/>
        <v>3494</v>
      </c>
      <c r="R15" s="418">
        <v>0</v>
      </c>
      <c r="S15" s="419">
        <f t="shared" si="6"/>
        <v>1</v>
      </c>
      <c r="T15" s="419">
        <v>1</v>
      </c>
      <c r="U15" s="426">
        <v>0</v>
      </c>
      <c r="V15" s="428">
        <f t="shared" si="7"/>
        <v>-19200</v>
      </c>
      <c r="W15" s="421">
        <f t="shared" si="8"/>
        <v>-6400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 t="shared" si="9"/>
        <v>-19200</v>
      </c>
      <c r="AG15" s="421">
        <f t="shared" si="10"/>
        <v>-6400</v>
      </c>
      <c r="AH15" s="421">
        <f t="shared" si="11"/>
        <v>-25600</v>
      </c>
      <c r="AI15" s="421">
        <v>19200</v>
      </c>
      <c r="AJ15" s="421">
        <v>6400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si="12"/>
        <v>19200</v>
      </c>
      <c r="AP15" s="421">
        <f t="shared" si="13"/>
        <v>6400</v>
      </c>
      <c r="AQ15" s="421">
        <f t="shared" si="14"/>
        <v>25600</v>
      </c>
      <c r="AR15" s="421">
        <f t="shared" si="15"/>
        <v>0</v>
      </c>
      <c r="AS15" s="421">
        <f t="shared" si="15"/>
        <v>0</v>
      </c>
      <c r="AT15" s="421">
        <f t="shared" si="16"/>
        <v>0</v>
      </c>
      <c r="AU15" s="68">
        <f t="shared" ref="AU15:AU17" si="25">ROUND((AH15+AI15+AJ15+AK15+AL15)*33.8%,0)</f>
        <v>0</v>
      </c>
      <c r="AV15" s="68">
        <f>ROUND(AH15*1%,0)</f>
        <v>-256</v>
      </c>
      <c r="AW15" s="421">
        <v>0</v>
      </c>
      <c r="AX15" s="421">
        <v>0</v>
      </c>
      <c r="AY15" s="421">
        <f t="shared" si="17"/>
        <v>0</v>
      </c>
      <c r="AZ15" s="421">
        <f t="shared" si="18"/>
        <v>-256</v>
      </c>
      <c r="BA15" s="422">
        <v>-0.02</v>
      </c>
      <c r="BB15" s="422">
        <v>0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-0.02</v>
      </c>
      <c r="BL15" s="422">
        <f>BB15+BE15+BG15+BJ15</f>
        <v>0</v>
      </c>
      <c r="BM15" s="424">
        <f t="shared" si="19"/>
        <v>-0.02</v>
      </c>
      <c r="BN15" s="427">
        <f>I15+AZ15</f>
        <v>470789</v>
      </c>
      <c r="BO15" s="421">
        <f>J15+AH15</f>
        <v>323840</v>
      </c>
      <c r="BP15" s="421">
        <f t="shared" si="20"/>
        <v>330240</v>
      </c>
      <c r="BQ15" s="421">
        <f t="shared" si="20"/>
        <v>-6400</v>
      </c>
      <c r="BR15" s="421">
        <f>M15+AQ15</f>
        <v>25600</v>
      </c>
      <c r="BS15" s="421">
        <f t="shared" si="21"/>
        <v>19200</v>
      </c>
      <c r="BT15" s="421">
        <f t="shared" si="21"/>
        <v>6400</v>
      </c>
      <c r="BU15" s="421">
        <f t="shared" si="22"/>
        <v>118111</v>
      </c>
      <c r="BV15" s="421">
        <f t="shared" si="22"/>
        <v>3238</v>
      </c>
      <c r="BW15" s="421">
        <f>R15+AY15</f>
        <v>0</v>
      </c>
      <c r="BX15" s="422">
        <f>S15+BM15</f>
        <v>0.98</v>
      </c>
      <c r="BY15" s="422">
        <f t="shared" si="23"/>
        <v>0.98</v>
      </c>
      <c r="BZ15" s="611">
        <f t="shared" si="23"/>
        <v>0</v>
      </c>
      <c r="CA15" s="423"/>
      <c r="CB15" s="418"/>
      <c r="CC15" s="418"/>
      <c r="CD15" s="418"/>
      <c r="CE15" s="418"/>
      <c r="CF15" s="527"/>
    </row>
    <row r="16" spans="1:85" ht="14.1" customHeight="1" x14ac:dyDescent="0.2">
      <c r="A16" s="66">
        <v>2</v>
      </c>
      <c r="B16" s="63">
        <v>2415</v>
      </c>
      <c r="C16" s="64">
        <v>600079465</v>
      </c>
      <c r="D16" s="63">
        <v>72742186</v>
      </c>
      <c r="E16" s="65" t="s">
        <v>537</v>
      </c>
      <c r="F16" s="66">
        <v>3111</v>
      </c>
      <c r="G16" s="65" t="s">
        <v>292</v>
      </c>
      <c r="H16" s="67" t="s">
        <v>272</v>
      </c>
      <c r="I16" s="423">
        <f t="shared" si="2"/>
        <v>0</v>
      </c>
      <c r="J16" s="418">
        <f t="shared" si="3"/>
        <v>0</v>
      </c>
      <c r="K16" s="418">
        <v>0</v>
      </c>
      <c r="L16" s="418">
        <v>0</v>
      </c>
      <c r="M16" s="418">
        <f t="shared" si="24"/>
        <v>0</v>
      </c>
      <c r="N16" s="418">
        <v>0</v>
      </c>
      <c r="O16" s="418">
        <v>0</v>
      </c>
      <c r="P16" s="668">
        <f t="shared" si="4"/>
        <v>0</v>
      </c>
      <c r="Q16" s="668">
        <f t="shared" si="5"/>
        <v>0</v>
      </c>
      <c r="R16" s="418">
        <v>0</v>
      </c>
      <c r="S16" s="419">
        <f t="shared" si="6"/>
        <v>0</v>
      </c>
      <c r="T16" s="420">
        <v>0</v>
      </c>
      <c r="U16" s="426">
        <v>0</v>
      </c>
      <c r="V16" s="428">
        <f t="shared" si="7"/>
        <v>0</v>
      </c>
      <c r="W16" s="421">
        <f t="shared" si="8"/>
        <v>0</v>
      </c>
      <c r="X16" s="16">
        <v>959959</v>
      </c>
      <c r="Y16" s="16">
        <v>0</v>
      </c>
      <c r="Z16" s="16">
        <v>0</v>
      </c>
      <c r="AA16" s="16">
        <v>0</v>
      </c>
      <c r="AB16" s="421">
        <v>0</v>
      </c>
      <c r="AC16" s="16">
        <v>0</v>
      </c>
      <c r="AD16" s="16">
        <v>0</v>
      </c>
      <c r="AE16" s="16">
        <v>0</v>
      </c>
      <c r="AF16" s="421">
        <f t="shared" si="9"/>
        <v>959959</v>
      </c>
      <c r="AG16" s="421">
        <f t="shared" si="10"/>
        <v>0</v>
      </c>
      <c r="AH16" s="421">
        <f t="shared" si="11"/>
        <v>959959</v>
      </c>
      <c r="AI16" s="16">
        <v>0</v>
      </c>
      <c r="AJ16" s="16">
        <v>0</v>
      </c>
      <c r="AK16" s="421">
        <v>0</v>
      </c>
      <c r="AL16" s="16">
        <v>0</v>
      </c>
      <c r="AM16" s="16">
        <v>0</v>
      </c>
      <c r="AN16" s="16">
        <v>0</v>
      </c>
      <c r="AO16" s="421">
        <f t="shared" si="12"/>
        <v>0</v>
      </c>
      <c r="AP16" s="16">
        <v>0</v>
      </c>
      <c r="AQ16" s="421">
        <f t="shared" si="14"/>
        <v>0</v>
      </c>
      <c r="AR16" s="421">
        <f t="shared" si="15"/>
        <v>959959</v>
      </c>
      <c r="AS16" s="421">
        <f t="shared" si="15"/>
        <v>0</v>
      </c>
      <c r="AT16" s="421">
        <f t="shared" si="16"/>
        <v>959959</v>
      </c>
      <c r="AU16" s="68">
        <f t="shared" si="25"/>
        <v>324466</v>
      </c>
      <c r="AV16" s="68">
        <f>ROUND(AH16*1%,0)</f>
        <v>9600</v>
      </c>
      <c r="AW16" s="16">
        <v>0</v>
      </c>
      <c r="AX16" s="16">
        <v>0</v>
      </c>
      <c r="AY16" s="421">
        <f t="shared" si="17"/>
        <v>0</v>
      </c>
      <c r="AZ16" s="421">
        <f t="shared" si="18"/>
        <v>1294025</v>
      </c>
      <c r="BA16" s="13">
        <v>0</v>
      </c>
      <c r="BB16" s="13">
        <v>0</v>
      </c>
      <c r="BC16" s="13">
        <v>2.6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2.6</v>
      </c>
      <c r="BL16" s="422">
        <f>BB16+BE16+BG16+BJ16</f>
        <v>0</v>
      </c>
      <c r="BM16" s="424">
        <f t="shared" si="19"/>
        <v>2.6</v>
      </c>
      <c r="BN16" s="427">
        <f>I16+AZ16</f>
        <v>1294025</v>
      </c>
      <c r="BO16" s="421">
        <f>J16+AH16</f>
        <v>959959</v>
      </c>
      <c r="BP16" s="421">
        <f t="shared" si="20"/>
        <v>959959</v>
      </c>
      <c r="BQ16" s="421">
        <f t="shared" si="20"/>
        <v>0</v>
      </c>
      <c r="BR16" s="421">
        <f>M16+AQ16</f>
        <v>0</v>
      </c>
      <c r="BS16" s="421">
        <f t="shared" si="21"/>
        <v>0</v>
      </c>
      <c r="BT16" s="421">
        <f t="shared" si="21"/>
        <v>0</v>
      </c>
      <c r="BU16" s="421">
        <f t="shared" si="22"/>
        <v>324466</v>
      </c>
      <c r="BV16" s="421">
        <f t="shared" si="22"/>
        <v>9600</v>
      </c>
      <c r="BW16" s="421">
        <f>R16+AY16</f>
        <v>0</v>
      </c>
      <c r="BX16" s="422">
        <f>S16+BM16</f>
        <v>2.6</v>
      </c>
      <c r="BY16" s="422">
        <f t="shared" si="23"/>
        <v>2.6</v>
      </c>
      <c r="BZ16" s="611">
        <f t="shared" si="23"/>
        <v>0</v>
      </c>
      <c r="CA16" s="423"/>
      <c r="CB16" s="418"/>
      <c r="CC16" s="418"/>
      <c r="CD16" s="418"/>
      <c r="CE16" s="418"/>
      <c r="CF16" s="527"/>
    </row>
    <row r="17" spans="1:84" ht="14.1" customHeight="1" x14ac:dyDescent="0.2">
      <c r="A17" s="66">
        <v>2</v>
      </c>
      <c r="B17" s="63">
        <v>2415</v>
      </c>
      <c r="C17" s="64">
        <v>600079465</v>
      </c>
      <c r="D17" s="63">
        <v>72742186</v>
      </c>
      <c r="E17" s="65" t="s">
        <v>537</v>
      </c>
      <c r="F17" s="66">
        <v>3141</v>
      </c>
      <c r="G17" s="65" t="s">
        <v>295</v>
      </c>
      <c r="H17" s="67" t="s">
        <v>272</v>
      </c>
      <c r="I17" s="423">
        <f t="shared" si="2"/>
        <v>626095</v>
      </c>
      <c r="J17" s="418">
        <f t="shared" si="3"/>
        <v>462437</v>
      </c>
      <c r="K17" s="418">
        <v>0</v>
      </c>
      <c r="L17" s="924">
        <v>462437</v>
      </c>
      <c r="M17" s="418">
        <f>N17+O17</f>
        <v>0</v>
      </c>
      <c r="N17" s="205">
        <v>0</v>
      </c>
      <c r="O17" s="205">
        <v>0</v>
      </c>
      <c r="P17" s="668">
        <f t="shared" si="4"/>
        <v>156304</v>
      </c>
      <c r="Q17" s="668">
        <f t="shared" si="5"/>
        <v>4624</v>
      </c>
      <c r="R17" s="674">
        <v>2730</v>
      </c>
      <c r="S17" s="419">
        <f>T17+U17</f>
        <v>1.3867</v>
      </c>
      <c r="T17" s="676">
        <v>0</v>
      </c>
      <c r="U17" s="909">
        <v>1.3867</v>
      </c>
      <c r="V17" s="428">
        <f t="shared" si="7"/>
        <v>0</v>
      </c>
      <c r="W17" s="421">
        <f t="shared" si="8"/>
        <v>-12800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 t="shared" si="9"/>
        <v>0</v>
      </c>
      <c r="AG17" s="421">
        <f t="shared" si="10"/>
        <v>-12800</v>
      </c>
      <c r="AH17" s="421">
        <f t="shared" si="11"/>
        <v>-12800</v>
      </c>
      <c r="AI17" s="421">
        <v>0</v>
      </c>
      <c r="AJ17" s="421">
        <v>12800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12"/>
        <v>0</v>
      </c>
      <c r="AP17" s="421">
        <f t="shared" si="13"/>
        <v>12800</v>
      </c>
      <c r="AQ17" s="421">
        <f t="shared" si="14"/>
        <v>12800</v>
      </c>
      <c r="AR17" s="421">
        <f t="shared" si="15"/>
        <v>0</v>
      </c>
      <c r="AS17" s="421">
        <f t="shared" si="15"/>
        <v>0</v>
      </c>
      <c r="AT17" s="421">
        <f t="shared" si="16"/>
        <v>0</v>
      </c>
      <c r="AU17" s="68">
        <f t="shared" si="25"/>
        <v>0</v>
      </c>
      <c r="AV17" s="68">
        <f>ROUND(AH17*1%,0)</f>
        <v>-128</v>
      </c>
      <c r="AW17" s="421">
        <v>0</v>
      </c>
      <c r="AX17" s="421">
        <v>0</v>
      </c>
      <c r="AY17" s="421">
        <f t="shared" si="17"/>
        <v>0</v>
      </c>
      <c r="AZ17" s="421">
        <f t="shared" si="18"/>
        <v>-128</v>
      </c>
      <c r="BA17" s="422">
        <v>0</v>
      </c>
      <c r="BB17" s="422">
        <v>-0.02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>BA17+BC17+BD17+BF17+BH17+BI17</f>
        <v>0</v>
      </c>
      <c r="BL17" s="422">
        <f>BB17+BE17+BG17+BJ17</f>
        <v>-0.02</v>
      </c>
      <c r="BM17" s="424">
        <f t="shared" si="19"/>
        <v>-0.02</v>
      </c>
      <c r="BN17" s="427">
        <f>I17+AZ17</f>
        <v>625967</v>
      </c>
      <c r="BO17" s="421">
        <f>J17+AH17</f>
        <v>449637</v>
      </c>
      <c r="BP17" s="421">
        <f t="shared" si="20"/>
        <v>0</v>
      </c>
      <c r="BQ17" s="421">
        <f t="shared" si="20"/>
        <v>449637</v>
      </c>
      <c r="BR17" s="421">
        <f>M17+AQ17</f>
        <v>12800</v>
      </c>
      <c r="BS17" s="421">
        <f t="shared" si="21"/>
        <v>0</v>
      </c>
      <c r="BT17" s="421">
        <f t="shared" si="21"/>
        <v>12800</v>
      </c>
      <c r="BU17" s="421">
        <f t="shared" si="22"/>
        <v>156304</v>
      </c>
      <c r="BV17" s="421">
        <f t="shared" si="22"/>
        <v>4496</v>
      </c>
      <c r="BW17" s="421">
        <f>R17+AY17</f>
        <v>2730</v>
      </c>
      <c r="BX17" s="422">
        <f>S17+BM17</f>
        <v>1.3667</v>
      </c>
      <c r="BY17" s="422">
        <f t="shared" si="23"/>
        <v>0</v>
      </c>
      <c r="BZ17" s="611">
        <f t="shared" si="23"/>
        <v>1.3667</v>
      </c>
      <c r="CA17" s="423"/>
      <c r="CB17" s="418"/>
      <c r="CC17" s="418"/>
      <c r="CD17" s="418"/>
      <c r="CE17" s="418"/>
      <c r="CF17" s="527"/>
    </row>
    <row r="18" spans="1:84" ht="14.1" customHeight="1" x14ac:dyDescent="0.2">
      <c r="A18" s="72">
        <v>2</v>
      </c>
      <c r="B18" s="69">
        <v>2415</v>
      </c>
      <c r="C18" s="70">
        <v>600079465</v>
      </c>
      <c r="D18" s="69">
        <v>72742186</v>
      </c>
      <c r="E18" s="71" t="s">
        <v>538</v>
      </c>
      <c r="F18" s="72"/>
      <c r="G18" s="71"/>
      <c r="H18" s="73"/>
      <c r="I18" s="538">
        <f t="shared" ref="I18:BU18" si="26">SUM(I14:I17)</f>
        <v>9150565</v>
      </c>
      <c r="J18" s="74">
        <f t="shared" si="26"/>
        <v>6765054</v>
      </c>
      <c r="K18" s="74">
        <f t="shared" si="26"/>
        <v>5819111</v>
      </c>
      <c r="L18" s="74">
        <f t="shared" si="26"/>
        <v>945943</v>
      </c>
      <c r="M18" s="74">
        <f t="shared" si="26"/>
        <v>0</v>
      </c>
      <c r="N18" s="74">
        <f t="shared" si="26"/>
        <v>0</v>
      </c>
      <c r="O18" s="74">
        <f t="shared" si="26"/>
        <v>0</v>
      </c>
      <c r="P18" s="74">
        <f t="shared" si="26"/>
        <v>2286589</v>
      </c>
      <c r="Q18" s="74">
        <f t="shared" si="26"/>
        <v>67650</v>
      </c>
      <c r="R18" s="74">
        <f t="shared" si="26"/>
        <v>31272</v>
      </c>
      <c r="S18" s="75">
        <f t="shared" si="26"/>
        <v>13.373399999999998</v>
      </c>
      <c r="T18" s="75">
        <f t="shared" si="26"/>
        <v>10.333299999999999</v>
      </c>
      <c r="U18" s="753">
        <f t="shared" si="26"/>
        <v>3.0400999999999998</v>
      </c>
      <c r="V18" s="538">
        <f t="shared" si="26"/>
        <v>-57600</v>
      </c>
      <c r="W18" s="74">
        <f t="shared" si="26"/>
        <v>-19200</v>
      </c>
      <c r="X18" s="74">
        <f t="shared" si="26"/>
        <v>959959</v>
      </c>
      <c r="Y18" s="74">
        <f t="shared" si="26"/>
        <v>0</v>
      </c>
      <c r="Z18" s="74">
        <f t="shared" si="26"/>
        <v>0</v>
      </c>
      <c r="AA18" s="74">
        <f t="shared" si="26"/>
        <v>0</v>
      </c>
      <c r="AB18" s="74">
        <f t="shared" si="26"/>
        <v>0</v>
      </c>
      <c r="AC18" s="74">
        <f t="shared" si="26"/>
        <v>0</v>
      </c>
      <c r="AD18" s="74">
        <f t="shared" si="26"/>
        <v>0</v>
      </c>
      <c r="AE18" s="74">
        <f t="shared" si="26"/>
        <v>0</v>
      </c>
      <c r="AF18" s="74">
        <f t="shared" si="26"/>
        <v>902359</v>
      </c>
      <c r="AG18" s="74">
        <f t="shared" si="26"/>
        <v>-19200</v>
      </c>
      <c r="AH18" s="74">
        <f t="shared" si="26"/>
        <v>883159</v>
      </c>
      <c r="AI18" s="74">
        <f t="shared" si="26"/>
        <v>57600</v>
      </c>
      <c r="AJ18" s="74">
        <f t="shared" si="26"/>
        <v>19200</v>
      </c>
      <c r="AK18" s="74">
        <f t="shared" si="26"/>
        <v>0</v>
      </c>
      <c r="AL18" s="74">
        <f t="shared" si="26"/>
        <v>0</v>
      </c>
      <c r="AM18" s="74">
        <f t="shared" si="26"/>
        <v>0</v>
      </c>
      <c r="AN18" s="74">
        <f t="shared" si="26"/>
        <v>0</v>
      </c>
      <c r="AO18" s="74">
        <f t="shared" si="26"/>
        <v>57600</v>
      </c>
      <c r="AP18" s="74">
        <f t="shared" si="26"/>
        <v>19200</v>
      </c>
      <c r="AQ18" s="74">
        <f t="shared" si="26"/>
        <v>76800</v>
      </c>
      <c r="AR18" s="74">
        <f t="shared" si="26"/>
        <v>959959</v>
      </c>
      <c r="AS18" s="74">
        <f t="shared" si="26"/>
        <v>0</v>
      </c>
      <c r="AT18" s="74">
        <f t="shared" si="26"/>
        <v>959959</v>
      </c>
      <c r="AU18" s="74">
        <f t="shared" si="26"/>
        <v>324466</v>
      </c>
      <c r="AV18" s="74">
        <f t="shared" si="26"/>
        <v>8832</v>
      </c>
      <c r="AW18" s="74">
        <f t="shared" si="26"/>
        <v>0</v>
      </c>
      <c r="AX18" s="74">
        <f t="shared" si="26"/>
        <v>0</v>
      </c>
      <c r="AY18" s="74">
        <f t="shared" si="26"/>
        <v>0</v>
      </c>
      <c r="AZ18" s="74">
        <f t="shared" si="26"/>
        <v>1293257</v>
      </c>
      <c r="BA18" s="75">
        <f t="shared" si="26"/>
        <v>-7.0000000000000007E-2</v>
      </c>
      <c r="BB18" s="75">
        <f t="shared" si="26"/>
        <v>-0.02</v>
      </c>
      <c r="BC18" s="75">
        <f t="shared" si="26"/>
        <v>2.6</v>
      </c>
      <c r="BD18" s="75">
        <f t="shared" si="26"/>
        <v>0</v>
      </c>
      <c r="BE18" s="75">
        <f t="shared" si="26"/>
        <v>0</v>
      </c>
      <c r="BF18" s="75">
        <f t="shared" si="26"/>
        <v>0</v>
      </c>
      <c r="BG18" s="75">
        <f t="shared" si="26"/>
        <v>0</v>
      </c>
      <c r="BH18" s="75">
        <f t="shared" si="26"/>
        <v>0</v>
      </c>
      <c r="BI18" s="75">
        <f t="shared" si="26"/>
        <v>0</v>
      </c>
      <c r="BJ18" s="75">
        <f t="shared" si="26"/>
        <v>0</v>
      </c>
      <c r="BK18" s="75">
        <f t="shared" si="26"/>
        <v>2.5300000000000002</v>
      </c>
      <c r="BL18" s="75">
        <f t="shared" si="26"/>
        <v>-0.02</v>
      </c>
      <c r="BM18" s="76">
        <f t="shared" si="26"/>
        <v>2.5100000000000002</v>
      </c>
      <c r="BN18" s="549">
        <f t="shared" si="26"/>
        <v>10443822</v>
      </c>
      <c r="BO18" s="74">
        <f t="shared" si="26"/>
        <v>7648213</v>
      </c>
      <c r="BP18" s="74">
        <f t="shared" si="26"/>
        <v>6721470</v>
      </c>
      <c r="BQ18" s="74">
        <f t="shared" si="26"/>
        <v>926743</v>
      </c>
      <c r="BR18" s="74">
        <f t="shared" si="26"/>
        <v>76800</v>
      </c>
      <c r="BS18" s="74">
        <f t="shared" si="26"/>
        <v>57600</v>
      </c>
      <c r="BT18" s="74">
        <f t="shared" si="26"/>
        <v>19200</v>
      </c>
      <c r="BU18" s="74">
        <f t="shared" si="26"/>
        <v>2611055</v>
      </c>
      <c r="BV18" s="74">
        <f t="shared" ref="BV18:CF18" si="27">SUM(BV14:BV17)</f>
        <v>76482</v>
      </c>
      <c r="BW18" s="74">
        <f t="shared" si="27"/>
        <v>31272</v>
      </c>
      <c r="BX18" s="75">
        <f t="shared" si="27"/>
        <v>15.883399999999998</v>
      </c>
      <c r="BY18" s="75">
        <f t="shared" si="27"/>
        <v>12.863299999999999</v>
      </c>
      <c r="BZ18" s="753">
        <f t="shared" si="27"/>
        <v>3.0201000000000002</v>
      </c>
      <c r="CA18" s="796">
        <f t="shared" si="27"/>
        <v>0</v>
      </c>
      <c r="CB18" s="789">
        <f t="shared" si="27"/>
        <v>0</v>
      </c>
      <c r="CC18" s="789">
        <f t="shared" si="27"/>
        <v>0</v>
      </c>
      <c r="CD18" s="789">
        <f t="shared" si="27"/>
        <v>0</v>
      </c>
      <c r="CE18" s="789">
        <f t="shared" si="27"/>
        <v>0</v>
      </c>
      <c r="CF18" s="793">
        <f t="shared" si="27"/>
        <v>0</v>
      </c>
    </row>
    <row r="19" spans="1:84" ht="14.1" customHeight="1" x14ac:dyDescent="0.2">
      <c r="A19" s="66">
        <v>3</v>
      </c>
      <c r="B19" s="63">
        <v>2442</v>
      </c>
      <c r="C19" s="64">
        <v>600079066</v>
      </c>
      <c r="D19" s="63">
        <v>72742101</v>
      </c>
      <c r="E19" s="65" t="s">
        <v>539</v>
      </c>
      <c r="F19" s="66">
        <v>3111</v>
      </c>
      <c r="G19" s="65" t="s">
        <v>291</v>
      </c>
      <c r="H19" s="67" t="s">
        <v>271</v>
      </c>
      <c r="I19" s="423">
        <f t="shared" si="2"/>
        <v>8729231</v>
      </c>
      <c r="J19" s="418">
        <f t="shared" si="3"/>
        <v>6453903</v>
      </c>
      <c r="K19" s="418">
        <v>5868684</v>
      </c>
      <c r="L19" s="418">
        <v>585219</v>
      </c>
      <c r="M19" s="418">
        <f>N19+O19</f>
        <v>0</v>
      </c>
      <c r="N19" s="418">
        <v>0</v>
      </c>
      <c r="O19" s="418">
        <v>0</v>
      </c>
      <c r="P19" s="668">
        <f t="shared" si="4"/>
        <v>2181419</v>
      </c>
      <c r="Q19" s="668">
        <f t="shared" si="5"/>
        <v>64539</v>
      </c>
      <c r="R19" s="418">
        <v>29370</v>
      </c>
      <c r="S19" s="419">
        <f t="shared" si="6"/>
        <v>11.993500000000001</v>
      </c>
      <c r="T19" s="419">
        <v>10</v>
      </c>
      <c r="U19" s="426">
        <v>1.9935</v>
      </c>
      <c r="V19" s="428">
        <f t="shared" si="7"/>
        <v>0</v>
      </c>
      <c r="W19" s="421">
        <f t="shared" si="8"/>
        <v>-1536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 t="shared" si="9"/>
        <v>0</v>
      </c>
      <c r="AG19" s="421">
        <f t="shared" si="10"/>
        <v>-1536</v>
      </c>
      <c r="AH19" s="421">
        <f t="shared" si="11"/>
        <v>-1536</v>
      </c>
      <c r="AI19" s="421">
        <v>0</v>
      </c>
      <c r="AJ19" s="421">
        <v>1536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12"/>
        <v>0</v>
      </c>
      <c r="AP19" s="421">
        <f t="shared" si="13"/>
        <v>1536</v>
      </c>
      <c r="AQ19" s="421">
        <f t="shared" si="14"/>
        <v>1536</v>
      </c>
      <c r="AR19" s="421">
        <f t="shared" ref="AR19:AS21" si="28">AF19+AO19</f>
        <v>0</v>
      </c>
      <c r="AS19" s="421">
        <f t="shared" si="28"/>
        <v>0</v>
      </c>
      <c r="AT19" s="421">
        <f t="shared" si="16"/>
        <v>0</v>
      </c>
      <c r="AU19" s="68">
        <f t="shared" ref="AU19:AU21" si="29">ROUND((AH19+AI19+AJ19+AK19+AL19)*33.8%,0)</f>
        <v>0</v>
      </c>
      <c r="AV19" s="68">
        <f>ROUND(AH19*1%,0)</f>
        <v>-15</v>
      </c>
      <c r="AW19" s="421">
        <v>0</v>
      </c>
      <c r="AX19" s="421">
        <v>0</v>
      </c>
      <c r="AY19" s="421">
        <f t="shared" si="17"/>
        <v>0</v>
      </c>
      <c r="AZ19" s="421">
        <f t="shared" si="18"/>
        <v>-15</v>
      </c>
      <c r="BA19" s="422">
        <v>0</v>
      </c>
      <c r="BB19" s="422">
        <v>-0.01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0</v>
      </c>
      <c r="BL19" s="422">
        <f>BB19+BE19+BG19+BJ19</f>
        <v>-0.01</v>
      </c>
      <c r="BM19" s="424">
        <f t="shared" si="19"/>
        <v>-0.01</v>
      </c>
      <c r="BN19" s="427">
        <f>I19+AZ19</f>
        <v>8729216</v>
      </c>
      <c r="BO19" s="421">
        <f>J19+AH19</f>
        <v>6452367</v>
      </c>
      <c r="BP19" s="421">
        <f t="shared" ref="BP19:BQ21" si="30">K19+AF19</f>
        <v>5868684</v>
      </c>
      <c r="BQ19" s="421">
        <f t="shared" si="30"/>
        <v>583683</v>
      </c>
      <c r="BR19" s="421">
        <f>M19+AQ19</f>
        <v>1536</v>
      </c>
      <c r="BS19" s="421">
        <f t="shared" ref="BS19:BT21" si="31">N19+AO19</f>
        <v>0</v>
      </c>
      <c r="BT19" s="421">
        <f t="shared" si="31"/>
        <v>1536</v>
      </c>
      <c r="BU19" s="421">
        <f t="shared" ref="BU19:BV21" si="32">P19+AU19</f>
        <v>2181419</v>
      </c>
      <c r="BV19" s="421">
        <f t="shared" si="32"/>
        <v>64524</v>
      </c>
      <c r="BW19" s="421">
        <f>R19+AY19</f>
        <v>29370</v>
      </c>
      <c r="BX19" s="422">
        <f>S19+BM19</f>
        <v>11.983500000000001</v>
      </c>
      <c r="BY19" s="422">
        <f t="shared" ref="BY19:BZ21" si="33">T19+BK19</f>
        <v>10</v>
      </c>
      <c r="BZ19" s="611">
        <f t="shared" si="33"/>
        <v>1.9835</v>
      </c>
      <c r="CA19" s="423"/>
      <c r="CB19" s="418"/>
      <c r="CC19" s="418"/>
      <c r="CD19" s="418"/>
      <c r="CE19" s="418"/>
      <c r="CF19" s="527"/>
    </row>
    <row r="20" spans="1:84" ht="14.1" customHeight="1" x14ac:dyDescent="0.2">
      <c r="A20" s="66">
        <v>3</v>
      </c>
      <c r="B20" s="63">
        <v>2442</v>
      </c>
      <c r="C20" s="64">
        <v>600079066</v>
      </c>
      <c r="D20" s="63">
        <v>72742101</v>
      </c>
      <c r="E20" s="65" t="s">
        <v>539</v>
      </c>
      <c r="F20" s="66">
        <v>3111</v>
      </c>
      <c r="G20" s="77" t="s">
        <v>292</v>
      </c>
      <c r="H20" s="67" t="s">
        <v>272</v>
      </c>
      <c r="I20" s="423">
        <f t="shared" si="2"/>
        <v>0</v>
      </c>
      <c r="J20" s="418">
        <f t="shared" si="3"/>
        <v>0</v>
      </c>
      <c r="K20" s="418">
        <v>0</v>
      </c>
      <c r="L20" s="418">
        <v>0</v>
      </c>
      <c r="M20" s="418">
        <f t="shared" si="24"/>
        <v>0</v>
      </c>
      <c r="N20" s="418">
        <v>0</v>
      </c>
      <c r="O20" s="418">
        <v>0</v>
      </c>
      <c r="P20" s="668">
        <f t="shared" si="4"/>
        <v>0</v>
      </c>
      <c r="Q20" s="668">
        <f t="shared" si="5"/>
        <v>0</v>
      </c>
      <c r="R20" s="418">
        <v>0</v>
      </c>
      <c r="S20" s="419">
        <f t="shared" si="6"/>
        <v>0</v>
      </c>
      <c r="T20" s="420">
        <v>0</v>
      </c>
      <c r="U20" s="426">
        <v>0</v>
      </c>
      <c r="V20" s="428">
        <f t="shared" si="7"/>
        <v>0</v>
      </c>
      <c r="W20" s="421">
        <f t="shared" si="8"/>
        <v>0</v>
      </c>
      <c r="X20" s="16">
        <v>741602</v>
      </c>
      <c r="Y20" s="16">
        <v>0</v>
      </c>
      <c r="Z20" s="16">
        <v>0</v>
      </c>
      <c r="AA20" s="16">
        <v>0</v>
      </c>
      <c r="AB20" s="421">
        <v>0</v>
      </c>
      <c r="AC20" s="16">
        <v>0</v>
      </c>
      <c r="AD20" s="16">
        <v>0</v>
      </c>
      <c r="AE20" s="16">
        <v>0</v>
      </c>
      <c r="AF20" s="421">
        <f t="shared" si="9"/>
        <v>741602</v>
      </c>
      <c r="AG20" s="421">
        <f t="shared" si="10"/>
        <v>0</v>
      </c>
      <c r="AH20" s="421">
        <f t="shared" si="11"/>
        <v>741602</v>
      </c>
      <c r="AI20" s="16">
        <v>0</v>
      </c>
      <c r="AJ20" s="16">
        <v>0</v>
      </c>
      <c r="AK20" s="421">
        <v>0</v>
      </c>
      <c r="AL20" s="16">
        <v>0</v>
      </c>
      <c r="AM20" s="16">
        <v>0</v>
      </c>
      <c r="AN20" s="16">
        <v>0</v>
      </c>
      <c r="AO20" s="421">
        <f t="shared" si="12"/>
        <v>0</v>
      </c>
      <c r="AP20" s="16">
        <v>0</v>
      </c>
      <c r="AQ20" s="421">
        <f t="shared" si="14"/>
        <v>0</v>
      </c>
      <c r="AR20" s="421">
        <f t="shared" si="28"/>
        <v>741602</v>
      </c>
      <c r="AS20" s="421">
        <f t="shared" si="28"/>
        <v>0</v>
      </c>
      <c r="AT20" s="421">
        <f t="shared" si="16"/>
        <v>741602</v>
      </c>
      <c r="AU20" s="68">
        <f t="shared" si="29"/>
        <v>250661</v>
      </c>
      <c r="AV20" s="68">
        <f>ROUND(AH20*1%,0)</f>
        <v>7416</v>
      </c>
      <c r="AW20" s="16">
        <v>0</v>
      </c>
      <c r="AX20" s="16">
        <v>0</v>
      </c>
      <c r="AY20" s="421">
        <f t="shared" si="17"/>
        <v>0</v>
      </c>
      <c r="AZ20" s="421">
        <f t="shared" si="18"/>
        <v>999679</v>
      </c>
      <c r="BA20" s="13">
        <v>0</v>
      </c>
      <c r="BB20" s="13">
        <v>0</v>
      </c>
      <c r="BC20" s="13">
        <v>2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2</v>
      </c>
      <c r="BL20" s="422">
        <f>BB20+BE20+BG20+BJ20</f>
        <v>0</v>
      </c>
      <c r="BM20" s="424">
        <f t="shared" si="19"/>
        <v>2</v>
      </c>
      <c r="BN20" s="427">
        <f>I20+AZ20</f>
        <v>999679</v>
      </c>
      <c r="BO20" s="421">
        <f>J20+AH20</f>
        <v>741602</v>
      </c>
      <c r="BP20" s="421">
        <f t="shared" si="30"/>
        <v>741602</v>
      </c>
      <c r="BQ20" s="421">
        <f t="shared" si="30"/>
        <v>0</v>
      </c>
      <c r="BR20" s="421">
        <f>M20+AQ20</f>
        <v>0</v>
      </c>
      <c r="BS20" s="421">
        <f t="shared" si="31"/>
        <v>0</v>
      </c>
      <c r="BT20" s="421">
        <f t="shared" si="31"/>
        <v>0</v>
      </c>
      <c r="BU20" s="421">
        <f t="shared" si="32"/>
        <v>250661</v>
      </c>
      <c r="BV20" s="421">
        <f t="shared" si="32"/>
        <v>7416</v>
      </c>
      <c r="BW20" s="421">
        <f>R20+AY20</f>
        <v>0</v>
      </c>
      <c r="BX20" s="422">
        <f>S20+BM20</f>
        <v>2</v>
      </c>
      <c r="BY20" s="422">
        <f t="shared" si="33"/>
        <v>2</v>
      </c>
      <c r="BZ20" s="611">
        <f t="shared" si="33"/>
        <v>0</v>
      </c>
      <c r="CA20" s="423"/>
      <c r="CB20" s="418"/>
      <c r="CC20" s="418"/>
      <c r="CD20" s="418"/>
      <c r="CE20" s="418"/>
      <c r="CF20" s="527"/>
    </row>
    <row r="21" spans="1:84" ht="14.1" customHeight="1" x14ac:dyDescent="0.2">
      <c r="A21" s="66">
        <v>3</v>
      </c>
      <c r="B21" s="63">
        <v>2442</v>
      </c>
      <c r="C21" s="64">
        <v>600079066</v>
      </c>
      <c r="D21" s="63">
        <v>72742101</v>
      </c>
      <c r="E21" s="65" t="s">
        <v>539</v>
      </c>
      <c r="F21" s="66">
        <v>3141</v>
      </c>
      <c r="G21" s="65" t="s">
        <v>295</v>
      </c>
      <c r="H21" s="67" t="s">
        <v>272</v>
      </c>
      <c r="I21" s="423">
        <f t="shared" si="2"/>
        <v>794990</v>
      </c>
      <c r="J21" s="418">
        <f t="shared" si="3"/>
        <v>586925</v>
      </c>
      <c r="K21" s="418">
        <v>0</v>
      </c>
      <c r="L21" s="924">
        <v>586925</v>
      </c>
      <c r="M21" s="418">
        <f>N21+O21</f>
        <v>0</v>
      </c>
      <c r="N21" s="205">
        <v>0</v>
      </c>
      <c r="O21" s="205">
        <v>0</v>
      </c>
      <c r="P21" s="668">
        <f t="shared" ref="P21" si="34">ROUND(J21*33.8%,0)</f>
        <v>198381</v>
      </c>
      <c r="Q21" s="668">
        <f t="shared" ref="Q21" si="35">ROUND(J21*1%,0)</f>
        <v>5869</v>
      </c>
      <c r="R21" s="674">
        <v>3815</v>
      </c>
      <c r="S21" s="419">
        <f>T21+U21</f>
        <v>1.76</v>
      </c>
      <c r="T21" s="676">
        <v>0</v>
      </c>
      <c r="U21" s="909">
        <v>1.76</v>
      </c>
      <c r="V21" s="428">
        <f t="shared" si="7"/>
        <v>0</v>
      </c>
      <c r="W21" s="421">
        <f t="shared" si="8"/>
        <v>0</v>
      </c>
      <c r="X21" s="421">
        <v>0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 t="shared" si="9"/>
        <v>0</v>
      </c>
      <c r="AG21" s="421">
        <f t="shared" si="10"/>
        <v>0</v>
      </c>
      <c r="AH21" s="421">
        <f t="shared" si="11"/>
        <v>0</v>
      </c>
      <c r="AI21" s="421">
        <v>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12"/>
        <v>0</v>
      </c>
      <c r="AP21" s="421">
        <f t="shared" si="13"/>
        <v>0</v>
      </c>
      <c r="AQ21" s="421">
        <f t="shared" si="14"/>
        <v>0</v>
      </c>
      <c r="AR21" s="421">
        <f t="shared" si="28"/>
        <v>0</v>
      </c>
      <c r="AS21" s="421">
        <f t="shared" si="28"/>
        <v>0</v>
      </c>
      <c r="AT21" s="421">
        <f t="shared" si="16"/>
        <v>0</v>
      </c>
      <c r="AU21" s="68">
        <f t="shared" si="29"/>
        <v>0</v>
      </c>
      <c r="AV21" s="68">
        <f>ROUND(AH21*1%,0)</f>
        <v>0</v>
      </c>
      <c r="AW21" s="421">
        <v>0</v>
      </c>
      <c r="AX21" s="421">
        <v>0</v>
      </c>
      <c r="AY21" s="421">
        <f t="shared" si="17"/>
        <v>0</v>
      </c>
      <c r="AZ21" s="421">
        <f t="shared" si="18"/>
        <v>0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0</v>
      </c>
      <c r="BL21" s="422">
        <f>BB21+BE21+BG21+BJ21</f>
        <v>0</v>
      </c>
      <c r="BM21" s="424">
        <f t="shared" si="19"/>
        <v>0</v>
      </c>
      <c r="BN21" s="427">
        <f>I21+AZ21</f>
        <v>794990</v>
      </c>
      <c r="BO21" s="421">
        <f>J21+AH21</f>
        <v>586925</v>
      </c>
      <c r="BP21" s="421">
        <f t="shared" si="30"/>
        <v>0</v>
      </c>
      <c r="BQ21" s="421">
        <f t="shared" si="30"/>
        <v>586925</v>
      </c>
      <c r="BR21" s="421">
        <f>M21+AQ21</f>
        <v>0</v>
      </c>
      <c r="BS21" s="421">
        <f t="shared" si="31"/>
        <v>0</v>
      </c>
      <c r="BT21" s="421">
        <f t="shared" si="31"/>
        <v>0</v>
      </c>
      <c r="BU21" s="421">
        <f t="shared" si="32"/>
        <v>198381</v>
      </c>
      <c r="BV21" s="421">
        <f t="shared" si="32"/>
        <v>5869</v>
      </c>
      <c r="BW21" s="421">
        <f>R21+AY21</f>
        <v>3815</v>
      </c>
      <c r="BX21" s="422">
        <f>S21+BM21</f>
        <v>1.76</v>
      </c>
      <c r="BY21" s="422">
        <f t="shared" si="33"/>
        <v>0</v>
      </c>
      <c r="BZ21" s="611">
        <f t="shared" si="33"/>
        <v>1.76</v>
      </c>
      <c r="CA21" s="423"/>
      <c r="CB21" s="418"/>
      <c r="CC21" s="418"/>
      <c r="CD21" s="418"/>
      <c r="CE21" s="418"/>
      <c r="CF21" s="527"/>
    </row>
    <row r="22" spans="1:84" ht="14.1" customHeight="1" x14ac:dyDescent="0.2">
      <c r="A22" s="72">
        <v>3</v>
      </c>
      <c r="B22" s="69">
        <v>2442</v>
      </c>
      <c r="C22" s="70">
        <v>600079066</v>
      </c>
      <c r="D22" s="69">
        <v>72742101</v>
      </c>
      <c r="E22" s="71" t="s">
        <v>540</v>
      </c>
      <c r="F22" s="72"/>
      <c r="G22" s="71"/>
      <c r="H22" s="73"/>
      <c r="I22" s="538">
        <f t="shared" ref="I22:BU22" si="36">SUM(I19:I21)</f>
        <v>9524221</v>
      </c>
      <c r="J22" s="74">
        <f t="shared" si="36"/>
        <v>7040828</v>
      </c>
      <c r="K22" s="74">
        <f t="shared" si="36"/>
        <v>5868684</v>
      </c>
      <c r="L22" s="74">
        <f t="shared" si="36"/>
        <v>1172144</v>
      </c>
      <c r="M22" s="74">
        <f t="shared" si="36"/>
        <v>0</v>
      </c>
      <c r="N22" s="74">
        <f t="shared" si="36"/>
        <v>0</v>
      </c>
      <c r="O22" s="74">
        <f t="shared" si="36"/>
        <v>0</v>
      </c>
      <c r="P22" s="74">
        <f t="shared" si="36"/>
        <v>2379800</v>
      </c>
      <c r="Q22" s="74">
        <f t="shared" si="36"/>
        <v>70408</v>
      </c>
      <c r="R22" s="74">
        <f t="shared" si="36"/>
        <v>33185</v>
      </c>
      <c r="S22" s="75">
        <f t="shared" si="36"/>
        <v>13.753500000000001</v>
      </c>
      <c r="T22" s="75">
        <f t="shared" si="36"/>
        <v>10</v>
      </c>
      <c r="U22" s="753">
        <f t="shared" si="36"/>
        <v>3.7534999999999998</v>
      </c>
      <c r="V22" s="538">
        <f t="shared" si="36"/>
        <v>0</v>
      </c>
      <c r="W22" s="74">
        <f t="shared" si="36"/>
        <v>-1536</v>
      </c>
      <c r="X22" s="74">
        <f t="shared" si="36"/>
        <v>741602</v>
      </c>
      <c r="Y22" s="74">
        <f t="shared" si="36"/>
        <v>0</v>
      </c>
      <c r="Z22" s="74">
        <f t="shared" si="36"/>
        <v>0</v>
      </c>
      <c r="AA22" s="74">
        <f t="shared" si="36"/>
        <v>0</v>
      </c>
      <c r="AB22" s="74">
        <f t="shared" si="36"/>
        <v>0</v>
      </c>
      <c r="AC22" s="74">
        <f t="shared" si="36"/>
        <v>0</v>
      </c>
      <c r="AD22" s="74">
        <f t="shared" si="36"/>
        <v>0</v>
      </c>
      <c r="AE22" s="74">
        <f t="shared" si="36"/>
        <v>0</v>
      </c>
      <c r="AF22" s="74">
        <f t="shared" si="36"/>
        <v>741602</v>
      </c>
      <c r="AG22" s="74">
        <f t="shared" si="36"/>
        <v>-1536</v>
      </c>
      <c r="AH22" s="74">
        <f t="shared" si="36"/>
        <v>740066</v>
      </c>
      <c r="AI22" s="74">
        <f t="shared" si="36"/>
        <v>0</v>
      </c>
      <c r="AJ22" s="74">
        <f t="shared" si="36"/>
        <v>1536</v>
      </c>
      <c r="AK22" s="74">
        <f t="shared" si="36"/>
        <v>0</v>
      </c>
      <c r="AL22" s="74">
        <f t="shared" si="36"/>
        <v>0</v>
      </c>
      <c r="AM22" s="74">
        <f t="shared" si="36"/>
        <v>0</v>
      </c>
      <c r="AN22" s="74">
        <f t="shared" si="36"/>
        <v>0</v>
      </c>
      <c r="AO22" s="74">
        <f t="shared" si="36"/>
        <v>0</v>
      </c>
      <c r="AP22" s="74">
        <f t="shared" si="36"/>
        <v>1536</v>
      </c>
      <c r="AQ22" s="74">
        <f t="shared" si="36"/>
        <v>1536</v>
      </c>
      <c r="AR22" s="74">
        <f t="shared" si="36"/>
        <v>741602</v>
      </c>
      <c r="AS22" s="74">
        <f t="shared" si="36"/>
        <v>0</v>
      </c>
      <c r="AT22" s="74">
        <f t="shared" si="36"/>
        <v>741602</v>
      </c>
      <c r="AU22" s="74">
        <f t="shared" si="36"/>
        <v>250661</v>
      </c>
      <c r="AV22" s="74">
        <f t="shared" si="36"/>
        <v>7401</v>
      </c>
      <c r="AW22" s="74">
        <f t="shared" si="36"/>
        <v>0</v>
      </c>
      <c r="AX22" s="74">
        <f t="shared" si="36"/>
        <v>0</v>
      </c>
      <c r="AY22" s="74">
        <f t="shared" si="36"/>
        <v>0</v>
      </c>
      <c r="AZ22" s="74">
        <f t="shared" si="36"/>
        <v>999664</v>
      </c>
      <c r="BA22" s="75">
        <f t="shared" si="36"/>
        <v>0</v>
      </c>
      <c r="BB22" s="75">
        <f t="shared" si="36"/>
        <v>-0.01</v>
      </c>
      <c r="BC22" s="75">
        <f t="shared" si="36"/>
        <v>2</v>
      </c>
      <c r="BD22" s="75">
        <f t="shared" si="36"/>
        <v>0</v>
      </c>
      <c r="BE22" s="75">
        <f t="shared" si="36"/>
        <v>0</v>
      </c>
      <c r="BF22" s="75">
        <f t="shared" si="36"/>
        <v>0</v>
      </c>
      <c r="BG22" s="75">
        <f t="shared" si="36"/>
        <v>0</v>
      </c>
      <c r="BH22" s="75">
        <f t="shared" si="36"/>
        <v>0</v>
      </c>
      <c r="BI22" s="75">
        <f t="shared" si="36"/>
        <v>0</v>
      </c>
      <c r="BJ22" s="75">
        <f t="shared" si="36"/>
        <v>0</v>
      </c>
      <c r="BK22" s="75">
        <f t="shared" si="36"/>
        <v>2</v>
      </c>
      <c r="BL22" s="75">
        <f t="shared" si="36"/>
        <v>-0.01</v>
      </c>
      <c r="BM22" s="76">
        <f t="shared" si="36"/>
        <v>1.99</v>
      </c>
      <c r="BN22" s="549">
        <f t="shared" si="36"/>
        <v>10523885</v>
      </c>
      <c r="BO22" s="74">
        <f t="shared" si="36"/>
        <v>7780894</v>
      </c>
      <c r="BP22" s="74">
        <f t="shared" si="36"/>
        <v>6610286</v>
      </c>
      <c r="BQ22" s="74">
        <f t="shared" si="36"/>
        <v>1170608</v>
      </c>
      <c r="BR22" s="74">
        <f t="shared" si="36"/>
        <v>1536</v>
      </c>
      <c r="BS22" s="74">
        <f t="shared" si="36"/>
        <v>0</v>
      </c>
      <c r="BT22" s="74">
        <f t="shared" si="36"/>
        <v>1536</v>
      </c>
      <c r="BU22" s="74">
        <f t="shared" si="36"/>
        <v>2630461</v>
      </c>
      <c r="BV22" s="74">
        <f t="shared" ref="BV22:CF22" si="37">SUM(BV19:BV21)</f>
        <v>77809</v>
      </c>
      <c r="BW22" s="74">
        <f t="shared" si="37"/>
        <v>33185</v>
      </c>
      <c r="BX22" s="75">
        <f t="shared" si="37"/>
        <v>15.743500000000001</v>
      </c>
      <c r="BY22" s="75">
        <f t="shared" si="37"/>
        <v>12</v>
      </c>
      <c r="BZ22" s="753">
        <f t="shared" si="37"/>
        <v>3.7435</v>
      </c>
      <c r="CA22" s="796">
        <f t="shared" si="37"/>
        <v>0</v>
      </c>
      <c r="CB22" s="789">
        <f t="shared" si="37"/>
        <v>0</v>
      </c>
      <c r="CC22" s="789">
        <f t="shared" si="37"/>
        <v>0</v>
      </c>
      <c r="CD22" s="789">
        <f t="shared" si="37"/>
        <v>0</v>
      </c>
      <c r="CE22" s="789">
        <f t="shared" si="37"/>
        <v>0</v>
      </c>
      <c r="CF22" s="793">
        <f t="shared" si="37"/>
        <v>0</v>
      </c>
    </row>
    <row r="23" spans="1:84" ht="14.1" customHeight="1" x14ac:dyDescent="0.2">
      <c r="A23" s="66">
        <v>4</v>
      </c>
      <c r="B23" s="63">
        <v>2437</v>
      </c>
      <c r="C23" s="64">
        <v>600079074</v>
      </c>
      <c r="D23" s="63">
        <v>72743221</v>
      </c>
      <c r="E23" s="65" t="s">
        <v>541</v>
      </c>
      <c r="F23" s="66">
        <v>3111</v>
      </c>
      <c r="G23" s="65" t="s">
        <v>291</v>
      </c>
      <c r="H23" s="67" t="s">
        <v>271</v>
      </c>
      <c r="I23" s="423">
        <f t="shared" si="2"/>
        <v>14433407</v>
      </c>
      <c r="J23" s="418">
        <f t="shared" si="3"/>
        <v>10668879</v>
      </c>
      <c r="K23" s="418">
        <v>9763012</v>
      </c>
      <c r="L23" s="418">
        <v>905867</v>
      </c>
      <c r="M23" s="418">
        <f>N23+O23</f>
        <v>0</v>
      </c>
      <c r="N23" s="418">
        <v>0</v>
      </c>
      <c r="O23" s="418">
        <v>0</v>
      </c>
      <c r="P23" s="668">
        <f t="shared" si="4"/>
        <v>3606081</v>
      </c>
      <c r="Q23" s="668">
        <f>ROUND(J23*1%,0)-1</f>
        <v>106688</v>
      </c>
      <c r="R23" s="418">
        <v>51759</v>
      </c>
      <c r="S23" s="419">
        <f t="shared" si="6"/>
        <v>19.595299999999998</v>
      </c>
      <c r="T23" s="419">
        <v>16.448399999999999</v>
      </c>
      <c r="U23" s="426">
        <v>3.1469</v>
      </c>
      <c r="V23" s="428">
        <f t="shared" si="7"/>
        <v>0</v>
      </c>
      <c r="W23" s="421">
        <f t="shared" si="8"/>
        <v>0</v>
      </c>
      <c r="X23" s="421">
        <v>0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 t="shared" si="9"/>
        <v>0</v>
      </c>
      <c r="AG23" s="421">
        <f t="shared" si="10"/>
        <v>0</v>
      </c>
      <c r="AH23" s="421">
        <f t="shared" si="11"/>
        <v>0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12"/>
        <v>0</v>
      </c>
      <c r="AP23" s="421">
        <f t="shared" si="13"/>
        <v>0</v>
      </c>
      <c r="AQ23" s="421">
        <f t="shared" si="14"/>
        <v>0</v>
      </c>
      <c r="AR23" s="421">
        <f t="shared" ref="AR23:AS26" si="38">AF23+AO23</f>
        <v>0</v>
      </c>
      <c r="AS23" s="421">
        <f t="shared" si="38"/>
        <v>0</v>
      </c>
      <c r="AT23" s="421">
        <f t="shared" si="16"/>
        <v>0</v>
      </c>
      <c r="AU23" s="68">
        <f t="shared" ref="AU23:AU26" si="39">ROUND((AH23+AI23+AJ23+AK23+AL23)*33.8%,0)</f>
        <v>0</v>
      </c>
      <c r="AV23" s="68">
        <f>ROUND(AH23*1%,0)</f>
        <v>0</v>
      </c>
      <c r="AW23" s="421">
        <v>0</v>
      </c>
      <c r="AX23" s="421">
        <v>0</v>
      </c>
      <c r="AY23" s="421">
        <f t="shared" si="17"/>
        <v>0</v>
      </c>
      <c r="AZ23" s="421">
        <f t="shared" si="18"/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0</v>
      </c>
      <c r="BL23" s="422">
        <f>BB23+BE23+BG23+BJ23</f>
        <v>0</v>
      </c>
      <c r="BM23" s="424">
        <f t="shared" si="19"/>
        <v>0</v>
      </c>
      <c r="BN23" s="427">
        <f>I23+AZ23</f>
        <v>14433407</v>
      </c>
      <c r="BO23" s="421">
        <f>J23+AH23</f>
        <v>10668879</v>
      </c>
      <c r="BP23" s="421">
        <f t="shared" ref="BP23:BQ26" si="40">K23+AF23</f>
        <v>9763012</v>
      </c>
      <c r="BQ23" s="421">
        <f t="shared" si="40"/>
        <v>905867</v>
      </c>
      <c r="BR23" s="421">
        <f>M23+AQ23</f>
        <v>0</v>
      </c>
      <c r="BS23" s="421">
        <f t="shared" ref="BS23:BT26" si="41">N23+AO23</f>
        <v>0</v>
      </c>
      <c r="BT23" s="421">
        <f t="shared" si="41"/>
        <v>0</v>
      </c>
      <c r="BU23" s="421">
        <f t="shared" ref="BU23:BV26" si="42">P23+AU23</f>
        <v>3606081</v>
      </c>
      <c r="BV23" s="421">
        <f t="shared" si="42"/>
        <v>106688</v>
      </c>
      <c r="BW23" s="421">
        <f>R23+AY23</f>
        <v>51759</v>
      </c>
      <c r="BX23" s="422">
        <f>S23+BM23</f>
        <v>19.595299999999998</v>
      </c>
      <c r="BY23" s="422">
        <f t="shared" ref="BY23:BZ26" si="43">T23+BK23</f>
        <v>16.448399999999999</v>
      </c>
      <c r="BZ23" s="611">
        <f t="shared" si="43"/>
        <v>3.1469</v>
      </c>
      <c r="CA23" s="423"/>
      <c r="CB23" s="418"/>
      <c r="CC23" s="418"/>
      <c r="CD23" s="418"/>
      <c r="CE23" s="418"/>
      <c r="CF23" s="527"/>
    </row>
    <row r="24" spans="1:84" ht="14.1" customHeight="1" x14ac:dyDescent="0.2">
      <c r="A24" s="66">
        <v>4</v>
      </c>
      <c r="B24" s="63">
        <v>2437</v>
      </c>
      <c r="C24" s="64">
        <v>600079074</v>
      </c>
      <c r="D24" s="63">
        <v>72743221</v>
      </c>
      <c r="E24" s="65" t="s">
        <v>541</v>
      </c>
      <c r="F24" s="66">
        <v>3111</v>
      </c>
      <c r="G24" s="43" t="s">
        <v>293</v>
      </c>
      <c r="H24" s="67" t="s">
        <v>271</v>
      </c>
      <c r="I24" s="423">
        <f t="shared" si="2"/>
        <v>1047882</v>
      </c>
      <c r="J24" s="418">
        <f t="shared" si="3"/>
        <v>777360</v>
      </c>
      <c r="K24" s="418">
        <v>777360</v>
      </c>
      <c r="L24" s="418">
        <v>0</v>
      </c>
      <c r="M24" s="418">
        <f t="shared" si="24"/>
        <v>0</v>
      </c>
      <c r="N24" s="418">
        <v>0</v>
      </c>
      <c r="O24" s="418">
        <v>0</v>
      </c>
      <c r="P24" s="668">
        <f t="shared" si="4"/>
        <v>262748</v>
      </c>
      <c r="Q24" s="668">
        <f t="shared" si="5"/>
        <v>7774</v>
      </c>
      <c r="R24" s="418">
        <v>0</v>
      </c>
      <c r="S24" s="419">
        <f t="shared" si="6"/>
        <v>2</v>
      </c>
      <c r="T24" s="419">
        <v>2</v>
      </c>
      <c r="U24" s="426">
        <v>0</v>
      </c>
      <c r="V24" s="428">
        <f t="shared" si="7"/>
        <v>0</v>
      </c>
      <c r="W24" s="421">
        <f t="shared" si="8"/>
        <v>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 t="shared" si="9"/>
        <v>0</v>
      </c>
      <c r="AG24" s="421">
        <f t="shared" si="10"/>
        <v>0</v>
      </c>
      <c r="AH24" s="421">
        <f t="shared" si="11"/>
        <v>0</v>
      </c>
      <c r="AI24" s="421">
        <v>0</v>
      </c>
      <c r="AJ24" s="421">
        <v>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si="12"/>
        <v>0</v>
      </c>
      <c r="AP24" s="421">
        <f t="shared" si="13"/>
        <v>0</v>
      </c>
      <c r="AQ24" s="421">
        <f t="shared" si="14"/>
        <v>0</v>
      </c>
      <c r="AR24" s="421">
        <f t="shared" si="38"/>
        <v>0</v>
      </c>
      <c r="AS24" s="421">
        <f t="shared" si="38"/>
        <v>0</v>
      </c>
      <c r="AT24" s="421">
        <f t="shared" si="16"/>
        <v>0</v>
      </c>
      <c r="AU24" s="68">
        <f t="shared" si="39"/>
        <v>0</v>
      </c>
      <c r="AV24" s="68">
        <f>ROUND(AH24*1%,0)</f>
        <v>0</v>
      </c>
      <c r="AW24" s="421">
        <v>0</v>
      </c>
      <c r="AX24" s="421">
        <v>0</v>
      </c>
      <c r="AY24" s="421">
        <f t="shared" si="17"/>
        <v>0</v>
      </c>
      <c r="AZ24" s="421">
        <f t="shared" si="18"/>
        <v>0</v>
      </c>
      <c r="BA24" s="422">
        <v>0</v>
      </c>
      <c r="BB24" s="422">
        <v>0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0</v>
      </c>
      <c r="BL24" s="422">
        <f>BB24+BE24+BG24+BJ24</f>
        <v>0</v>
      </c>
      <c r="BM24" s="424">
        <f t="shared" si="19"/>
        <v>0</v>
      </c>
      <c r="BN24" s="427">
        <f>I24+AZ24</f>
        <v>1047882</v>
      </c>
      <c r="BO24" s="421">
        <f>J24+AH24</f>
        <v>777360</v>
      </c>
      <c r="BP24" s="421">
        <f t="shared" si="40"/>
        <v>777360</v>
      </c>
      <c r="BQ24" s="421">
        <f t="shared" si="40"/>
        <v>0</v>
      </c>
      <c r="BR24" s="421">
        <f>M24+AQ24</f>
        <v>0</v>
      </c>
      <c r="BS24" s="421">
        <f t="shared" si="41"/>
        <v>0</v>
      </c>
      <c r="BT24" s="421">
        <f t="shared" si="41"/>
        <v>0</v>
      </c>
      <c r="BU24" s="421">
        <f t="shared" si="42"/>
        <v>262748</v>
      </c>
      <c r="BV24" s="421">
        <f t="shared" si="42"/>
        <v>7774</v>
      </c>
      <c r="BW24" s="421">
        <f>R24+AY24</f>
        <v>0</v>
      </c>
      <c r="BX24" s="422">
        <f>S24+BM24</f>
        <v>2</v>
      </c>
      <c r="BY24" s="422">
        <f t="shared" si="43"/>
        <v>2</v>
      </c>
      <c r="BZ24" s="611">
        <f t="shared" si="43"/>
        <v>0</v>
      </c>
      <c r="CA24" s="423"/>
      <c r="CB24" s="418"/>
      <c r="CC24" s="418"/>
      <c r="CD24" s="418"/>
      <c r="CE24" s="418"/>
      <c r="CF24" s="527"/>
    </row>
    <row r="25" spans="1:84" ht="14.1" customHeight="1" x14ac:dyDescent="0.2">
      <c r="A25" s="66">
        <v>4</v>
      </c>
      <c r="B25" s="63">
        <v>2437</v>
      </c>
      <c r="C25" s="64">
        <v>600079074</v>
      </c>
      <c r="D25" s="63">
        <v>72743221</v>
      </c>
      <c r="E25" s="65" t="s">
        <v>541</v>
      </c>
      <c r="F25" s="66">
        <v>3111</v>
      </c>
      <c r="G25" s="77" t="s">
        <v>292</v>
      </c>
      <c r="H25" s="67" t="s">
        <v>272</v>
      </c>
      <c r="I25" s="423">
        <f t="shared" si="2"/>
        <v>0</v>
      </c>
      <c r="J25" s="418">
        <f t="shared" si="3"/>
        <v>0</v>
      </c>
      <c r="K25" s="418">
        <v>0</v>
      </c>
      <c r="L25" s="418">
        <v>0</v>
      </c>
      <c r="M25" s="418">
        <f t="shared" si="24"/>
        <v>0</v>
      </c>
      <c r="N25" s="418">
        <v>0</v>
      </c>
      <c r="O25" s="418">
        <v>0</v>
      </c>
      <c r="P25" s="668">
        <f t="shared" si="4"/>
        <v>0</v>
      </c>
      <c r="Q25" s="668">
        <f t="shared" si="5"/>
        <v>0</v>
      </c>
      <c r="R25" s="418">
        <v>0</v>
      </c>
      <c r="S25" s="419">
        <f t="shared" si="6"/>
        <v>0</v>
      </c>
      <c r="T25" s="420">
        <v>0</v>
      </c>
      <c r="U25" s="426">
        <v>0</v>
      </c>
      <c r="V25" s="428">
        <f t="shared" si="7"/>
        <v>0</v>
      </c>
      <c r="W25" s="421">
        <f t="shared" si="8"/>
        <v>0</v>
      </c>
      <c r="X25" s="16">
        <v>370801</v>
      </c>
      <c r="Y25" s="16">
        <v>0</v>
      </c>
      <c r="Z25" s="16">
        <v>0</v>
      </c>
      <c r="AA25" s="16">
        <v>0</v>
      </c>
      <c r="AB25" s="421">
        <v>0</v>
      </c>
      <c r="AC25" s="16">
        <v>0</v>
      </c>
      <c r="AD25" s="16">
        <v>0</v>
      </c>
      <c r="AE25" s="16">
        <v>0</v>
      </c>
      <c r="AF25" s="421">
        <f t="shared" si="9"/>
        <v>370801</v>
      </c>
      <c r="AG25" s="421">
        <f t="shared" si="10"/>
        <v>0</v>
      </c>
      <c r="AH25" s="421">
        <f t="shared" si="11"/>
        <v>370801</v>
      </c>
      <c r="AI25" s="16">
        <v>0</v>
      </c>
      <c r="AJ25" s="16">
        <v>0</v>
      </c>
      <c r="AK25" s="421">
        <v>0</v>
      </c>
      <c r="AL25" s="16">
        <v>0</v>
      </c>
      <c r="AM25" s="16">
        <v>0</v>
      </c>
      <c r="AN25" s="16">
        <v>0</v>
      </c>
      <c r="AO25" s="421">
        <f t="shared" si="12"/>
        <v>0</v>
      </c>
      <c r="AP25" s="16">
        <v>0</v>
      </c>
      <c r="AQ25" s="421">
        <f t="shared" si="14"/>
        <v>0</v>
      </c>
      <c r="AR25" s="421">
        <f t="shared" si="38"/>
        <v>370801</v>
      </c>
      <c r="AS25" s="421">
        <f t="shared" si="38"/>
        <v>0</v>
      </c>
      <c r="AT25" s="421">
        <f t="shared" si="16"/>
        <v>370801</v>
      </c>
      <c r="AU25" s="68">
        <f t="shared" si="39"/>
        <v>125331</v>
      </c>
      <c r="AV25" s="68">
        <f>ROUND(AH25*1%,0)</f>
        <v>3708</v>
      </c>
      <c r="AW25" s="16">
        <v>0</v>
      </c>
      <c r="AX25" s="16">
        <v>0</v>
      </c>
      <c r="AY25" s="421">
        <f t="shared" si="17"/>
        <v>0</v>
      </c>
      <c r="AZ25" s="421">
        <f t="shared" si="18"/>
        <v>499840</v>
      </c>
      <c r="BA25" s="13">
        <v>0</v>
      </c>
      <c r="BB25" s="13">
        <v>0</v>
      </c>
      <c r="BC25" s="13">
        <v>1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1</v>
      </c>
      <c r="BL25" s="422">
        <f>BB25+BE25+BG25+BJ25</f>
        <v>0</v>
      </c>
      <c r="BM25" s="424">
        <f t="shared" si="19"/>
        <v>1</v>
      </c>
      <c r="BN25" s="427">
        <f>I25+AZ25</f>
        <v>499840</v>
      </c>
      <c r="BO25" s="421">
        <f>J25+AH25</f>
        <v>370801</v>
      </c>
      <c r="BP25" s="421">
        <f t="shared" si="40"/>
        <v>370801</v>
      </c>
      <c r="BQ25" s="421">
        <f t="shared" si="40"/>
        <v>0</v>
      </c>
      <c r="BR25" s="421">
        <f>M25+AQ25</f>
        <v>0</v>
      </c>
      <c r="BS25" s="421">
        <f t="shared" si="41"/>
        <v>0</v>
      </c>
      <c r="BT25" s="421">
        <f t="shared" si="41"/>
        <v>0</v>
      </c>
      <c r="BU25" s="421">
        <f t="shared" si="42"/>
        <v>125331</v>
      </c>
      <c r="BV25" s="421">
        <f t="shared" si="42"/>
        <v>3708</v>
      </c>
      <c r="BW25" s="421">
        <f>R25+AY25</f>
        <v>0</v>
      </c>
      <c r="BX25" s="422">
        <f>S25+BM25</f>
        <v>1</v>
      </c>
      <c r="BY25" s="422">
        <f t="shared" si="43"/>
        <v>1</v>
      </c>
      <c r="BZ25" s="611">
        <f t="shared" si="43"/>
        <v>0</v>
      </c>
      <c r="CA25" s="423"/>
      <c r="CB25" s="418"/>
      <c r="CC25" s="418"/>
      <c r="CD25" s="418"/>
      <c r="CE25" s="418"/>
      <c r="CF25" s="527"/>
    </row>
    <row r="26" spans="1:84" ht="14.1" customHeight="1" x14ac:dyDescent="0.2">
      <c r="A26" s="66">
        <v>4</v>
      </c>
      <c r="B26" s="63">
        <v>2437</v>
      </c>
      <c r="C26" s="64">
        <v>600079074</v>
      </c>
      <c r="D26" s="63">
        <v>72743221</v>
      </c>
      <c r="E26" s="65" t="s">
        <v>541</v>
      </c>
      <c r="F26" s="66">
        <v>3141</v>
      </c>
      <c r="G26" s="65" t="s">
        <v>295</v>
      </c>
      <c r="H26" s="67" t="s">
        <v>272</v>
      </c>
      <c r="I26" s="423">
        <f t="shared" si="2"/>
        <v>1108469</v>
      </c>
      <c r="J26" s="418">
        <f t="shared" si="3"/>
        <v>818126</v>
      </c>
      <c r="K26" s="418">
        <v>0</v>
      </c>
      <c r="L26" s="924">
        <v>818126</v>
      </c>
      <c r="M26" s="418">
        <f>N26+O26</f>
        <v>0</v>
      </c>
      <c r="N26" s="205">
        <v>0</v>
      </c>
      <c r="O26" s="205">
        <v>0</v>
      </c>
      <c r="P26" s="668">
        <f t="shared" ref="P26" si="44">ROUND(J26*33.8%,0)</f>
        <v>276527</v>
      </c>
      <c r="Q26" s="668">
        <f t="shared" ref="Q26" si="45">ROUND(J26*1%,0)</f>
        <v>8181</v>
      </c>
      <c r="R26" s="674">
        <v>5635</v>
      </c>
      <c r="S26" s="419">
        <f>T26+U26</f>
        <v>2.4533</v>
      </c>
      <c r="T26" s="676">
        <v>0</v>
      </c>
      <c r="U26" s="909">
        <v>2.4533</v>
      </c>
      <c r="V26" s="428">
        <f t="shared" si="7"/>
        <v>0</v>
      </c>
      <c r="W26" s="421">
        <f t="shared" si="8"/>
        <v>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 t="shared" si="9"/>
        <v>0</v>
      </c>
      <c r="AG26" s="421">
        <f t="shared" si="10"/>
        <v>0</v>
      </c>
      <c r="AH26" s="421">
        <f t="shared" si="11"/>
        <v>0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12"/>
        <v>0</v>
      </c>
      <c r="AP26" s="421">
        <f t="shared" si="13"/>
        <v>0</v>
      </c>
      <c r="AQ26" s="421">
        <f t="shared" si="14"/>
        <v>0</v>
      </c>
      <c r="AR26" s="421">
        <f t="shared" si="38"/>
        <v>0</v>
      </c>
      <c r="AS26" s="421">
        <f t="shared" si="38"/>
        <v>0</v>
      </c>
      <c r="AT26" s="421">
        <f t="shared" si="16"/>
        <v>0</v>
      </c>
      <c r="AU26" s="68">
        <f t="shared" si="39"/>
        <v>0</v>
      </c>
      <c r="AV26" s="68">
        <f>ROUND(AH26*1%,0)</f>
        <v>0</v>
      </c>
      <c r="AW26" s="421">
        <v>0</v>
      </c>
      <c r="AX26" s="421">
        <v>0</v>
      </c>
      <c r="AY26" s="421">
        <f t="shared" si="17"/>
        <v>0</v>
      </c>
      <c r="AZ26" s="421">
        <f t="shared" si="18"/>
        <v>0</v>
      </c>
      <c r="BA26" s="422">
        <v>0</v>
      </c>
      <c r="BB26" s="422">
        <v>0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0</v>
      </c>
      <c r="BL26" s="422">
        <f>BB26+BE26+BG26+BJ26</f>
        <v>0</v>
      </c>
      <c r="BM26" s="424">
        <f t="shared" si="19"/>
        <v>0</v>
      </c>
      <c r="BN26" s="427">
        <f>I26+AZ26</f>
        <v>1108469</v>
      </c>
      <c r="BO26" s="421">
        <f>J26+AH26</f>
        <v>818126</v>
      </c>
      <c r="BP26" s="421">
        <f t="shared" si="40"/>
        <v>0</v>
      </c>
      <c r="BQ26" s="421">
        <f t="shared" si="40"/>
        <v>818126</v>
      </c>
      <c r="BR26" s="421">
        <f>M26+AQ26</f>
        <v>0</v>
      </c>
      <c r="BS26" s="421">
        <f t="shared" si="41"/>
        <v>0</v>
      </c>
      <c r="BT26" s="421">
        <f t="shared" si="41"/>
        <v>0</v>
      </c>
      <c r="BU26" s="421">
        <f t="shared" si="42"/>
        <v>276527</v>
      </c>
      <c r="BV26" s="421">
        <f t="shared" si="42"/>
        <v>8181</v>
      </c>
      <c r="BW26" s="421">
        <f>R26+AY26</f>
        <v>5635</v>
      </c>
      <c r="BX26" s="422">
        <f>S26+BM26</f>
        <v>2.4533</v>
      </c>
      <c r="BY26" s="422">
        <f t="shared" si="43"/>
        <v>0</v>
      </c>
      <c r="BZ26" s="611">
        <f t="shared" si="43"/>
        <v>2.4533</v>
      </c>
      <c r="CA26" s="423"/>
      <c r="CB26" s="418"/>
      <c r="CC26" s="418"/>
      <c r="CD26" s="418"/>
      <c r="CE26" s="418"/>
      <c r="CF26" s="527"/>
    </row>
    <row r="27" spans="1:84" ht="14.1" customHeight="1" x14ac:dyDescent="0.2">
      <c r="A27" s="72">
        <v>4</v>
      </c>
      <c r="B27" s="69">
        <v>2437</v>
      </c>
      <c r="C27" s="70">
        <v>600079074</v>
      </c>
      <c r="D27" s="69">
        <v>72743221</v>
      </c>
      <c r="E27" s="71" t="s">
        <v>542</v>
      </c>
      <c r="F27" s="72"/>
      <c r="G27" s="71"/>
      <c r="H27" s="73"/>
      <c r="I27" s="538">
        <f t="shared" ref="I27:BU27" si="46">SUM(I23:I26)</f>
        <v>16589758</v>
      </c>
      <c r="J27" s="74">
        <f t="shared" si="46"/>
        <v>12264365</v>
      </c>
      <c r="K27" s="74">
        <f t="shared" si="46"/>
        <v>10540372</v>
      </c>
      <c r="L27" s="74">
        <f t="shared" si="46"/>
        <v>1723993</v>
      </c>
      <c r="M27" s="74">
        <f t="shared" si="46"/>
        <v>0</v>
      </c>
      <c r="N27" s="74">
        <f t="shared" si="46"/>
        <v>0</v>
      </c>
      <c r="O27" s="74">
        <f t="shared" si="46"/>
        <v>0</v>
      </c>
      <c r="P27" s="74">
        <f t="shared" si="46"/>
        <v>4145356</v>
      </c>
      <c r="Q27" s="74">
        <f t="shared" si="46"/>
        <v>122643</v>
      </c>
      <c r="R27" s="74">
        <f t="shared" si="46"/>
        <v>57394</v>
      </c>
      <c r="S27" s="75">
        <f t="shared" si="46"/>
        <v>24.048599999999997</v>
      </c>
      <c r="T27" s="75">
        <f t="shared" si="46"/>
        <v>18.448399999999999</v>
      </c>
      <c r="U27" s="753">
        <f t="shared" si="46"/>
        <v>5.6002000000000001</v>
      </c>
      <c r="V27" s="538">
        <f t="shared" si="46"/>
        <v>0</v>
      </c>
      <c r="W27" s="74">
        <f t="shared" si="46"/>
        <v>0</v>
      </c>
      <c r="X27" s="74">
        <f t="shared" si="46"/>
        <v>370801</v>
      </c>
      <c r="Y27" s="74">
        <f t="shared" si="46"/>
        <v>0</v>
      </c>
      <c r="Z27" s="74">
        <f t="shared" si="46"/>
        <v>0</v>
      </c>
      <c r="AA27" s="74">
        <f t="shared" si="46"/>
        <v>0</v>
      </c>
      <c r="AB27" s="74">
        <f t="shared" si="46"/>
        <v>0</v>
      </c>
      <c r="AC27" s="74">
        <f t="shared" si="46"/>
        <v>0</v>
      </c>
      <c r="AD27" s="74">
        <f t="shared" si="46"/>
        <v>0</v>
      </c>
      <c r="AE27" s="74">
        <f t="shared" si="46"/>
        <v>0</v>
      </c>
      <c r="AF27" s="74">
        <f t="shared" si="46"/>
        <v>370801</v>
      </c>
      <c r="AG27" s="74">
        <f t="shared" si="46"/>
        <v>0</v>
      </c>
      <c r="AH27" s="74">
        <f t="shared" si="46"/>
        <v>370801</v>
      </c>
      <c r="AI27" s="74">
        <f t="shared" si="46"/>
        <v>0</v>
      </c>
      <c r="AJ27" s="74">
        <f t="shared" si="46"/>
        <v>0</v>
      </c>
      <c r="AK27" s="74">
        <f t="shared" si="46"/>
        <v>0</v>
      </c>
      <c r="AL27" s="74">
        <f t="shared" si="46"/>
        <v>0</v>
      </c>
      <c r="AM27" s="74">
        <f t="shared" si="46"/>
        <v>0</v>
      </c>
      <c r="AN27" s="74">
        <f t="shared" si="46"/>
        <v>0</v>
      </c>
      <c r="AO27" s="74">
        <f t="shared" si="46"/>
        <v>0</v>
      </c>
      <c r="AP27" s="74">
        <f t="shared" si="46"/>
        <v>0</v>
      </c>
      <c r="AQ27" s="74">
        <f t="shared" si="46"/>
        <v>0</v>
      </c>
      <c r="AR27" s="74">
        <f t="shared" si="46"/>
        <v>370801</v>
      </c>
      <c r="AS27" s="74">
        <f t="shared" si="46"/>
        <v>0</v>
      </c>
      <c r="AT27" s="74">
        <f t="shared" si="46"/>
        <v>370801</v>
      </c>
      <c r="AU27" s="74">
        <f t="shared" si="46"/>
        <v>125331</v>
      </c>
      <c r="AV27" s="74">
        <f t="shared" si="46"/>
        <v>3708</v>
      </c>
      <c r="AW27" s="74">
        <f t="shared" si="46"/>
        <v>0</v>
      </c>
      <c r="AX27" s="74">
        <f t="shared" si="46"/>
        <v>0</v>
      </c>
      <c r="AY27" s="74">
        <f t="shared" si="46"/>
        <v>0</v>
      </c>
      <c r="AZ27" s="74">
        <f t="shared" si="46"/>
        <v>499840</v>
      </c>
      <c r="BA27" s="75">
        <f t="shared" si="46"/>
        <v>0</v>
      </c>
      <c r="BB27" s="75">
        <f t="shared" si="46"/>
        <v>0</v>
      </c>
      <c r="BC27" s="75">
        <f t="shared" si="46"/>
        <v>1</v>
      </c>
      <c r="BD27" s="75">
        <f t="shared" si="46"/>
        <v>0</v>
      </c>
      <c r="BE27" s="75">
        <f t="shared" si="46"/>
        <v>0</v>
      </c>
      <c r="BF27" s="75">
        <f t="shared" si="46"/>
        <v>0</v>
      </c>
      <c r="BG27" s="75">
        <f t="shared" si="46"/>
        <v>0</v>
      </c>
      <c r="BH27" s="75">
        <f t="shared" si="46"/>
        <v>0</v>
      </c>
      <c r="BI27" s="75">
        <f t="shared" si="46"/>
        <v>0</v>
      </c>
      <c r="BJ27" s="75">
        <f t="shared" si="46"/>
        <v>0</v>
      </c>
      <c r="BK27" s="75">
        <f t="shared" si="46"/>
        <v>1</v>
      </c>
      <c r="BL27" s="75">
        <f t="shared" si="46"/>
        <v>0</v>
      </c>
      <c r="BM27" s="76">
        <f t="shared" si="46"/>
        <v>1</v>
      </c>
      <c r="BN27" s="549">
        <f t="shared" si="46"/>
        <v>17089598</v>
      </c>
      <c r="BO27" s="74">
        <f t="shared" si="46"/>
        <v>12635166</v>
      </c>
      <c r="BP27" s="74">
        <f t="shared" si="46"/>
        <v>10911173</v>
      </c>
      <c r="BQ27" s="74">
        <f t="shared" si="46"/>
        <v>1723993</v>
      </c>
      <c r="BR27" s="74">
        <f t="shared" si="46"/>
        <v>0</v>
      </c>
      <c r="BS27" s="74">
        <f t="shared" si="46"/>
        <v>0</v>
      </c>
      <c r="BT27" s="74">
        <f t="shared" si="46"/>
        <v>0</v>
      </c>
      <c r="BU27" s="74">
        <f t="shared" si="46"/>
        <v>4270687</v>
      </c>
      <c r="BV27" s="74">
        <f t="shared" ref="BV27:CF27" si="47">SUM(BV23:BV26)</f>
        <v>126351</v>
      </c>
      <c r="BW27" s="74">
        <f t="shared" si="47"/>
        <v>57394</v>
      </c>
      <c r="BX27" s="75">
        <f t="shared" si="47"/>
        <v>25.048599999999997</v>
      </c>
      <c r="BY27" s="75">
        <f t="shared" si="47"/>
        <v>19.448399999999999</v>
      </c>
      <c r="BZ27" s="753">
        <f t="shared" si="47"/>
        <v>5.6002000000000001</v>
      </c>
      <c r="CA27" s="796">
        <f t="shared" si="47"/>
        <v>0</v>
      </c>
      <c r="CB27" s="789">
        <f t="shared" si="47"/>
        <v>0</v>
      </c>
      <c r="CC27" s="789">
        <f t="shared" si="47"/>
        <v>0</v>
      </c>
      <c r="CD27" s="789">
        <f t="shared" si="47"/>
        <v>0</v>
      </c>
      <c r="CE27" s="789">
        <f t="shared" si="47"/>
        <v>0</v>
      </c>
      <c r="CF27" s="793">
        <f t="shared" si="47"/>
        <v>0</v>
      </c>
    </row>
    <row r="28" spans="1:84" ht="14.1" customHeight="1" x14ac:dyDescent="0.2">
      <c r="A28" s="66">
        <v>5</v>
      </c>
      <c r="B28" s="63">
        <v>2411</v>
      </c>
      <c r="C28" s="64">
        <v>600079554</v>
      </c>
      <c r="D28" s="63">
        <v>72742666</v>
      </c>
      <c r="E28" s="65" t="s">
        <v>543</v>
      </c>
      <c r="F28" s="66">
        <v>3111</v>
      </c>
      <c r="G28" s="65" t="s">
        <v>291</v>
      </c>
      <c r="H28" s="67" t="s">
        <v>271</v>
      </c>
      <c r="I28" s="423">
        <f t="shared" si="2"/>
        <v>7462480</v>
      </c>
      <c r="J28" s="418">
        <f t="shared" si="3"/>
        <v>5518138</v>
      </c>
      <c r="K28" s="418">
        <v>5047936</v>
      </c>
      <c r="L28" s="418">
        <v>470202</v>
      </c>
      <c r="M28" s="418">
        <f>N28+O28</f>
        <v>0</v>
      </c>
      <c r="N28" s="418">
        <v>0</v>
      </c>
      <c r="O28" s="418">
        <v>0</v>
      </c>
      <c r="P28" s="668">
        <f t="shared" si="4"/>
        <v>1865131</v>
      </c>
      <c r="Q28" s="668">
        <f t="shared" si="5"/>
        <v>55181</v>
      </c>
      <c r="R28" s="418">
        <v>24030</v>
      </c>
      <c r="S28" s="419">
        <f t="shared" si="6"/>
        <v>10.019399999999999</v>
      </c>
      <c r="T28" s="419">
        <v>8.4192999999999998</v>
      </c>
      <c r="U28" s="426">
        <v>1.6000999999999999</v>
      </c>
      <c r="V28" s="428">
        <f t="shared" si="7"/>
        <v>0</v>
      </c>
      <c r="W28" s="421">
        <f t="shared" si="8"/>
        <v>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 t="shared" si="9"/>
        <v>0</v>
      </c>
      <c r="AG28" s="421">
        <f t="shared" si="10"/>
        <v>0</v>
      </c>
      <c r="AH28" s="421">
        <f t="shared" si="11"/>
        <v>0</v>
      </c>
      <c r="AI28" s="421">
        <v>0</v>
      </c>
      <c r="AJ28" s="421">
        <v>0</v>
      </c>
      <c r="AK28" s="421">
        <v>0</v>
      </c>
      <c r="AL28" s="421">
        <v>0</v>
      </c>
      <c r="AM28" s="421">
        <v>0</v>
      </c>
      <c r="AN28" s="421">
        <v>0</v>
      </c>
      <c r="AO28" s="421">
        <f t="shared" si="12"/>
        <v>0</v>
      </c>
      <c r="AP28" s="421">
        <f t="shared" si="13"/>
        <v>0</v>
      </c>
      <c r="AQ28" s="421">
        <f t="shared" si="14"/>
        <v>0</v>
      </c>
      <c r="AR28" s="421">
        <f t="shared" ref="AR28:AS30" si="48">AF28+AO28</f>
        <v>0</v>
      </c>
      <c r="AS28" s="421">
        <f t="shared" si="48"/>
        <v>0</v>
      </c>
      <c r="AT28" s="421">
        <f t="shared" si="16"/>
        <v>0</v>
      </c>
      <c r="AU28" s="68">
        <f t="shared" ref="AU28:AU30" si="49">ROUND((AH28+AI28+AJ28+AK28+AL28)*33.8%,0)</f>
        <v>0</v>
      </c>
      <c r="AV28" s="68">
        <f>ROUND(AH28*1%,0)</f>
        <v>0</v>
      </c>
      <c r="AW28" s="421">
        <v>0</v>
      </c>
      <c r="AX28" s="421">
        <v>0</v>
      </c>
      <c r="AY28" s="421">
        <f t="shared" si="17"/>
        <v>0</v>
      </c>
      <c r="AZ28" s="421">
        <f t="shared" si="18"/>
        <v>0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>BA28+BC28+BD28+BF28+BH28+BI28</f>
        <v>0</v>
      </c>
      <c r="BL28" s="422">
        <f>BB28+BE28+BG28+BJ28</f>
        <v>0</v>
      </c>
      <c r="BM28" s="424">
        <f t="shared" si="19"/>
        <v>0</v>
      </c>
      <c r="BN28" s="427">
        <f>I28+AZ28</f>
        <v>7462480</v>
      </c>
      <c r="BO28" s="421">
        <f>J28+AH28</f>
        <v>5518138</v>
      </c>
      <c r="BP28" s="421">
        <f t="shared" ref="BP28:BQ30" si="50">K28+AF28</f>
        <v>5047936</v>
      </c>
      <c r="BQ28" s="421">
        <f t="shared" si="50"/>
        <v>470202</v>
      </c>
      <c r="BR28" s="421">
        <f>M28+AQ28</f>
        <v>0</v>
      </c>
      <c r="BS28" s="421">
        <f t="shared" ref="BS28:BT30" si="51">N28+AO28</f>
        <v>0</v>
      </c>
      <c r="BT28" s="421">
        <f t="shared" si="51"/>
        <v>0</v>
      </c>
      <c r="BU28" s="421">
        <f t="shared" ref="BU28:BV30" si="52">P28+AU28</f>
        <v>1865131</v>
      </c>
      <c r="BV28" s="421">
        <f t="shared" si="52"/>
        <v>55181</v>
      </c>
      <c r="BW28" s="421">
        <f>R28+AY28</f>
        <v>24030</v>
      </c>
      <c r="BX28" s="422">
        <f>S28+BM28</f>
        <v>10.019399999999999</v>
      </c>
      <c r="BY28" s="422">
        <f t="shared" ref="BY28:BZ30" si="53">T28+BK28</f>
        <v>8.4192999999999998</v>
      </c>
      <c r="BZ28" s="611">
        <f t="shared" si="53"/>
        <v>1.6000999999999999</v>
      </c>
      <c r="CA28" s="423"/>
      <c r="CB28" s="418"/>
      <c r="CC28" s="418"/>
      <c r="CD28" s="418"/>
      <c r="CE28" s="418"/>
      <c r="CF28" s="527"/>
    </row>
    <row r="29" spans="1:84" ht="14.1" customHeight="1" x14ac:dyDescent="0.2">
      <c r="A29" s="66">
        <v>5</v>
      </c>
      <c r="B29" s="63">
        <v>2411</v>
      </c>
      <c r="C29" s="64">
        <v>600079554</v>
      </c>
      <c r="D29" s="63">
        <v>72742666</v>
      </c>
      <c r="E29" s="65" t="s">
        <v>543</v>
      </c>
      <c r="F29" s="66">
        <v>3111</v>
      </c>
      <c r="G29" s="65" t="s">
        <v>292</v>
      </c>
      <c r="H29" s="67" t="s">
        <v>272</v>
      </c>
      <c r="I29" s="423">
        <f t="shared" si="2"/>
        <v>0</v>
      </c>
      <c r="J29" s="418">
        <f t="shared" si="3"/>
        <v>0</v>
      </c>
      <c r="K29" s="418">
        <v>0</v>
      </c>
      <c r="L29" s="418">
        <v>0</v>
      </c>
      <c r="M29" s="418">
        <f t="shared" si="24"/>
        <v>0</v>
      </c>
      <c r="N29" s="418">
        <v>0</v>
      </c>
      <c r="O29" s="418">
        <v>0</v>
      </c>
      <c r="P29" s="668">
        <f t="shared" si="4"/>
        <v>0</v>
      </c>
      <c r="Q29" s="668">
        <f t="shared" si="5"/>
        <v>0</v>
      </c>
      <c r="R29" s="418">
        <v>0</v>
      </c>
      <c r="S29" s="419">
        <f t="shared" si="6"/>
        <v>0</v>
      </c>
      <c r="T29" s="420">
        <v>0</v>
      </c>
      <c r="U29" s="426">
        <v>0</v>
      </c>
      <c r="V29" s="428">
        <f t="shared" si="7"/>
        <v>0</v>
      </c>
      <c r="W29" s="421">
        <f t="shared" si="8"/>
        <v>0</v>
      </c>
      <c r="X29" s="16">
        <v>185401</v>
      </c>
      <c r="Y29" s="16">
        <v>0</v>
      </c>
      <c r="Z29" s="16">
        <v>0</v>
      </c>
      <c r="AA29" s="16">
        <v>0</v>
      </c>
      <c r="AB29" s="421">
        <v>0</v>
      </c>
      <c r="AC29" s="16">
        <v>0</v>
      </c>
      <c r="AD29" s="16">
        <v>0</v>
      </c>
      <c r="AE29" s="16">
        <v>0</v>
      </c>
      <c r="AF29" s="421">
        <f t="shared" si="9"/>
        <v>185401</v>
      </c>
      <c r="AG29" s="421">
        <f t="shared" si="10"/>
        <v>0</v>
      </c>
      <c r="AH29" s="421">
        <f t="shared" si="11"/>
        <v>185401</v>
      </c>
      <c r="AI29" s="16">
        <v>0</v>
      </c>
      <c r="AJ29" s="16">
        <v>0</v>
      </c>
      <c r="AK29" s="421">
        <v>0</v>
      </c>
      <c r="AL29" s="16">
        <v>0</v>
      </c>
      <c r="AM29" s="16">
        <v>0</v>
      </c>
      <c r="AN29" s="16">
        <v>0</v>
      </c>
      <c r="AO29" s="421">
        <f t="shared" si="12"/>
        <v>0</v>
      </c>
      <c r="AP29" s="16">
        <v>0</v>
      </c>
      <c r="AQ29" s="421">
        <f t="shared" si="14"/>
        <v>0</v>
      </c>
      <c r="AR29" s="421">
        <f t="shared" si="48"/>
        <v>185401</v>
      </c>
      <c r="AS29" s="421">
        <f t="shared" si="48"/>
        <v>0</v>
      </c>
      <c r="AT29" s="421">
        <f t="shared" si="16"/>
        <v>185401</v>
      </c>
      <c r="AU29" s="68">
        <f t="shared" si="49"/>
        <v>62666</v>
      </c>
      <c r="AV29" s="68">
        <f>ROUND(AH29*1%,0)</f>
        <v>1854</v>
      </c>
      <c r="AW29" s="16">
        <v>0</v>
      </c>
      <c r="AX29" s="16">
        <v>0</v>
      </c>
      <c r="AY29" s="421">
        <f t="shared" si="17"/>
        <v>0</v>
      </c>
      <c r="AZ29" s="421">
        <f t="shared" si="18"/>
        <v>249921</v>
      </c>
      <c r="BA29" s="13">
        <v>0</v>
      </c>
      <c r="BB29" s="13">
        <v>0</v>
      </c>
      <c r="BC29" s="13">
        <v>0.5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>BA29+BC29+BD29+BF29+BH29+BI29</f>
        <v>0.5</v>
      </c>
      <c r="BL29" s="422">
        <f>BB29+BE29+BG29+BJ29</f>
        <v>0</v>
      </c>
      <c r="BM29" s="424">
        <f t="shared" si="19"/>
        <v>0.5</v>
      </c>
      <c r="BN29" s="427">
        <f>I29+AZ29</f>
        <v>249921</v>
      </c>
      <c r="BO29" s="421">
        <f>J29+AH29</f>
        <v>185401</v>
      </c>
      <c r="BP29" s="421">
        <f t="shared" si="50"/>
        <v>185401</v>
      </c>
      <c r="BQ29" s="421">
        <f t="shared" si="50"/>
        <v>0</v>
      </c>
      <c r="BR29" s="421">
        <f>M29+AQ29</f>
        <v>0</v>
      </c>
      <c r="BS29" s="421">
        <f t="shared" si="51"/>
        <v>0</v>
      </c>
      <c r="BT29" s="421">
        <f t="shared" si="51"/>
        <v>0</v>
      </c>
      <c r="BU29" s="421">
        <f t="shared" si="52"/>
        <v>62666</v>
      </c>
      <c r="BV29" s="421">
        <f t="shared" si="52"/>
        <v>1854</v>
      </c>
      <c r="BW29" s="421">
        <f>R29+AY29</f>
        <v>0</v>
      </c>
      <c r="BX29" s="422">
        <f>S29+BM29</f>
        <v>0.5</v>
      </c>
      <c r="BY29" s="422">
        <f t="shared" si="53"/>
        <v>0.5</v>
      </c>
      <c r="BZ29" s="611">
        <f t="shared" si="53"/>
        <v>0</v>
      </c>
      <c r="CA29" s="423"/>
      <c r="CB29" s="418"/>
      <c r="CC29" s="418"/>
      <c r="CD29" s="418"/>
      <c r="CE29" s="418"/>
      <c r="CF29" s="527"/>
    </row>
    <row r="30" spans="1:84" ht="14.1" customHeight="1" x14ac:dyDescent="0.2">
      <c r="A30" s="66">
        <v>5</v>
      </c>
      <c r="B30" s="63">
        <v>2411</v>
      </c>
      <c r="C30" s="64">
        <v>600079554</v>
      </c>
      <c r="D30" s="63">
        <v>72742666</v>
      </c>
      <c r="E30" s="65" t="s">
        <v>543</v>
      </c>
      <c r="F30" s="66">
        <v>3141</v>
      </c>
      <c r="G30" s="65" t="s">
        <v>295</v>
      </c>
      <c r="H30" s="67" t="s">
        <v>272</v>
      </c>
      <c r="I30" s="423">
        <f t="shared" si="2"/>
        <v>698475</v>
      </c>
      <c r="J30" s="418">
        <f t="shared" si="3"/>
        <v>515794</v>
      </c>
      <c r="K30" s="418">
        <v>0</v>
      </c>
      <c r="L30" s="924">
        <v>515794</v>
      </c>
      <c r="M30" s="418">
        <f>N30+O30</f>
        <v>0</v>
      </c>
      <c r="N30" s="205">
        <v>0</v>
      </c>
      <c r="O30" s="205">
        <v>0</v>
      </c>
      <c r="P30" s="668">
        <f t="shared" ref="P30" si="54">ROUND(J30*33.8%,0)</f>
        <v>174338</v>
      </c>
      <c r="Q30" s="668">
        <f t="shared" ref="Q30" si="55">ROUND(J30*1%,0)</f>
        <v>5158</v>
      </c>
      <c r="R30" s="674">
        <v>3185</v>
      </c>
      <c r="S30" s="419">
        <f>T30+U30</f>
        <v>1.5467</v>
      </c>
      <c r="T30" s="676">
        <v>0</v>
      </c>
      <c r="U30" s="909">
        <v>1.5467</v>
      </c>
      <c r="V30" s="428">
        <f t="shared" si="7"/>
        <v>0</v>
      </c>
      <c r="W30" s="421">
        <f t="shared" si="8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 t="shared" si="9"/>
        <v>0</v>
      </c>
      <c r="AG30" s="421">
        <f t="shared" si="10"/>
        <v>0</v>
      </c>
      <c r="AH30" s="421">
        <f t="shared" si="11"/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12"/>
        <v>0</v>
      </c>
      <c r="AP30" s="421">
        <f t="shared" si="13"/>
        <v>0</v>
      </c>
      <c r="AQ30" s="421">
        <f t="shared" si="14"/>
        <v>0</v>
      </c>
      <c r="AR30" s="421">
        <f t="shared" si="48"/>
        <v>0</v>
      </c>
      <c r="AS30" s="421">
        <f t="shared" si="48"/>
        <v>0</v>
      </c>
      <c r="AT30" s="421">
        <f t="shared" si="16"/>
        <v>0</v>
      </c>
      <c r="AU30" s="68">
        <f t="shared" si="49"/>
        <v>0</v>
      </c>
      <c r="AV30" s="68">
        <f>ROUND(AH30*1%,0)</f>
        <v>0</v>
      </c>
      <c r="AW30" s="421">
        <v>0</v>
      </c>
      <c r="AX30" s="421">
        <v>0</v>
      </c>
      <c r="AY30" s="421">
        <f t="shared" si="17"/>
        <v>0</v>
      </c>
      <c r="AZ30" s="421">
        <f t="shared" si="18"/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>BA30+BC30+BD30+BF30+BH30+BI30</f>
        <v>0</v>
      </c>
      <c r="BL30" s="422">
        <f>BB30+BE30+BG30+BJ30</f>
        <v>0</v>
      </c>
      <c r="BM30" s="424">
        <f t="shared" si="19"/>
        <v>0</v>
      </c>
      <c r="BN30" s="427">
        <f>I30+AZ30</f>
        <v>698475</v>
      </c>
      <c r="BO30" s="421">
        <f>J30+AH30</f>
        <v>515794</v>
      </c>
      <c r="BP30" s="421">
        <f t="shared" si="50"/>
        <v>0</v>
      </c>
      <c r="BQ30" s="421">
        <f t="shared" si="50"/>
        <v>515794</v>
      </c>
      <c r="BR30" s="421">
        <f>M30+AQ30</f>
        <v>0</v>
      </c>
      <c r="BS30" s="421">
        <f t="shared" si="51"/>
        <v>0</v>
      </c>
      <c r="BT30" s="421">
        <f t="shared" si="51"/>
        <v>0</v>
      </c>
      <c r="BU30" s="421">
        <f t="shared" si="52"/>
        <v>174338</v>
      </c>
      <c r="BV30" s="421">
        <f t="shared" si="52"/>
        <v>5158</v>
      </c>
      <c r="BW30" s="421">
        <f>R30+AY30</f>
        <v>3185</v>
      </c>
      <c r="BX30" s="422">
        <f>S30+BM30</f>
        <v>1.5467</v>
      </c>
      <c r="BY30" s="422">
        <f t="shared" si="53"/>
        <v>0</v>
      </c>
      <c r="BZ30" s="611">
        <f t="shared" si="53"/>
        <v>1.5467</v>
      </c>
      <c r="CA30" s="423"/>
      <c r="CB30" s="418"/>
      <c r="CC30" s="418"/>
      <c r="CD30" s="418"/>
      <c r="CE30" s="418"/>
      <c r="CF30" s="527"/>
    </row>
    <row r="31" spans="1:84" ht="14.1" customHeight="1" x14ac:dyDescent="0.2">
      <c r="A31" s="72">
        <v>5</v>
      </c>
      <c r="B31" s="69">
        <v>2411</v>
      </c>
      <c r="C31" s="70">
        <v>600079554</v>
      </c>
      <c r="D31" s="69">
        <v>72742666</v>
      </c>
      <c r="E31" s="71" t="s">
        <v>544</v>
      </c>
      <c r="F31" s="72"/>
      <c r="G31" s="71"/>
      <c r="H31" s="73"/>
      <c r="I31" s="538">
        <f t="shared" ref="I31:BU31" si="56">SUM(I28:I30)</f>
        <v>8160955</v>
      </c>
      <c r="J31" s="74">
        <f t="shared" si="56"/>
        <v>6033932</v>
      </c>
      <c r="K31" s="74">
        <f t="shared" si="56"/>
        <v>5047936</v>
      </c>
      <c r="L31" s="74">
        <f t="shared" si="56"/>
        <v>985996</v>
      </c>
      <c r="M31" s="74">
        <f t="shared" si="56"/>
        <v>0</v>
      </c>
      <c r="N31" s="74">
        <f t="shared" si="56"/>
        <v>0</v>
      </c>
      <c r="O31" s="74">
        <f t="shared" si="56"/>
        <v>0</v>
      </c>
      <c r="P31" s="74">
        <f t="shared" si="56"/>
        <v>2039469</v>
      </c>
      <c r="Q31" s="74">
        <f t="shared" si="56"/>
        <v>60339</v>
      </c>
      <c r="R31" s="74">
        <f t="shared" si="56"/>
        <v>27215</v>
      </c>
      <c r="S31" s="75">
        <f t="shared" si="56"/>
        <v>11.566099999999999</v>
      </c>
      <c r="T31" s="75">
        <f t="shared" si="56"/>
        <v>8.4192999999999998</v>
      </c>
      <c r="U31" s="753">
        <f t="shared" si="56"/>
        <v>3.1467999999999998</v>
      </c>
      <c r="V31" s="538">
        <f t="shared" si="56"/>
        <v>0</v>
      </c>
      <c r="W31" s="74">
        <f t="shared" si="56"/>
        <v>0</v>
      </c>
      <c r="X31" s="74">
        <f t="shared" si="56"/>
        <v>185401</v>
      </c>
      <c r="Y31" s="74">
        <f t="shared" si="56"/>
        <v>0</v>
      </c>
      <c r="Z31" s="74">
        <f t="shared" si="56"/>
        <v>0</v>
      </c>
      <c r="AA31" s="74">
        <f t="shared" si="56"/>
        <v>0</v>
      </c>
      <c r="AB31" s="74">
        <f t="shared" si="56"/>
        <v>0</v>
      </c>
      <c r="AC31" s="74">
        <f t="shared" si="56"/>
        <v>0</v>
      </c>
      <c r="AD31" s="74">
        <f t="shared" si="56"/>
        <v>0</v>
      </c>
      <c r="AE31" s="74">
        <f t="shared" si="56"/>
        <v>0</v>
      </c>
      <c r="AF31" s="74">
        <f t="shared" si="56"/>
        <v>185401</v>
      </c>
      <c r="AG31" s="74">
        <f t="shared" si="56"/>
        <v>0</v>
      </c>
      <c r="AH31" s="74">
        <f t="shared" si="56"/>
        <v>185401</v>
      </c>
      <c r="AI31" s="74">
        <f t="shared" si="56"/>
        <v>0</v>
      </c>
      <c r="AJ31" s="74">
        <f t="shared" si="56"/>
        <v>0</v>
      </c>
      <c r="AK31" s="74">
        <f t="shared" si="56"/>
        <v>0</v>
      </c>
      <c r="AL31" s="74">
        <f t="shared" si="56"/>
        <v>0</v>
      </c>
      <c r="AM31" s="74">
        <f t="shared" si="56"/>
        <v>0</v>
      </c>
      <c r="AN31" s="74">
        <f t="shared" si="56"/>
        <v>0</v>
      </c>
      <c r="AO31" s="74">
        <f t="shared" si="56"/>
        <v>0</v>
      </c>
      <c r="AP31" s="74">
        <f t="shared" si="56"/>
        <v>0</v>
      </c>
      <c r="AQ31" s="74">
        <f t="shared" si="56"/>
        <v>0</v>
      </c>
      <c r="AR31" s="74">
        <f t="shared" si="56"/>
        <v>185401</v>
      </c>
      <c r="AS31" s="74">
        <f t="shared" si="56"/>
        <v>0</v>
      </c>
      <c r="AT31" s="74">
        <f t="shared" si="56"/>
        <v>185401</v>
      </c>
      <c r="AU31" s="74">
        <f t="shared" si="56"/>
        <v>62666</v>
      </c>
      <c r="AV31" s="74">
        <f t="shared" si="56"/>
        <v>1854</v>
      </c>
      <c r="AW31" s="74">
        <f t="shared" si="56"/>
        <v>0</v>
      </c>
      <c r="AX31" s="74">
        <f t="shared" si="56"/>
        <v>0</v>
      </c>
      <c r="AY31" s="74">
        <f t="shared" si="56"/>
        <v>0</v>
      </c>
      <c r="AZ31" s="74">
        <f t="shared" si="56"/>
        <v>249921</v>
      </c>
      <c r="BA31" s="75">
        <f t="shared" si="56"/>
        <v>0</v>
      </c>
      <c r="BB31" s="75">
        <f t="shared" si="56"/>
        <v>0</v>
      </c>
      <c r="BC31" s="75">
        <f t="shared" si="56"/>
        <v>0.5</v>
      </c>
      <c r="BD31" s="75">
        <f t="shared" si="56"/>
        <v>0</v>
      </c>
      <c r="BE31" s="75">
        <f t="shared" si="56"/>
        <v>0</v>
      </c>
      <c r="BF31" s="75">
        <f t="shared" si="56"/>
        <v>0</v>
      </c>
      <c r="BG31" s="75">
        <f t="shared" si="56"/>
        <v>0</v>
      </c>
      <c r="BH31" s="75">
        <f t="shared" si="56"/>
        <v>0</v>
      </c>
      <c r="BI31" s="75">
        <f t="shared" si="56"/>
        <v>0</v>
      </c>
      <c r="BJ31" s="75">
        <f t="shared" si="56"/>
        <v>0</v>
      </c>
      <c r="BK31" s="75">
        <f t="shared" si="56"/>
        <v>0.5</v>
      </c>
      <c r="BL31" s="75">
        <f t="shared" si="56"/>
        <v>0</v>
      </c>
      <c r="BM31" s="76">
        <f t="shared" si="56"/>
        <v>0.5</v>
      </c>
      <c r="BN31" s="549">
        <f t="shared" si="56"/>
        <v>8410876</v>
      </c>
      <c r="BO31" s="74">
        <f t="shared" si="56"/>
        <v>6219333</v>
      </c>
      <c r="BP31" s="74">
        <f t="shared" si="56"/>
        <v>5233337</v>
      </c>
      <c r="BQ31" s="74">
        <f t="shared" si="56"/>
        <v>985996</v>
      </c>
      <c r="BR31" s="74">
        <f t="shared" si="56"/>
        <v>0</v>
      </c>
      <c r="BS31" s="74">
        <f t="shared" si="56"/>
        <v>0</v>
      </c>
      <c r="BT31" s="74">
        <f t="shared" si="56"/>
        <v>0</v>
      </c>
      <c r="BU31" s="74">
        <f t="shared" si="56"/>
        <v>2102135</v>
      </c>
      <c r="BV31" s="74">
        <f t="shared" ref="BV31:CF31" si="57">SUM(BV28:BV30)</f>
        <v>62193</v>
      </c>
      <c r="BW31" s="74">
        <f t="shared" si="57"/>
        <v>27215</v>
      </c>
      <c r="BX31" s="75">
        <f t="shared" si="57"/>
        <v>12.066099999999999</v>
      </c>
      <c r="BY31" s="75">
        <f t="shared" si="57"/>
        <v>8.9192999999999998</v>
      </c>
      <c r="BZ31" s="753">
        <f t="shared" si="57"/>
        <v>3.1467999999999998</v>
      </c>
      <c r="CA31" s="796">
        <f t="shared" si="57"/>
        <v>0</v>
      </c>
      <c r="CB31" s="789">
        <f t="shared" si="57"/>
        <v>0</v>
      </c>
      <c r="CC31" s="789">
        <f t="shared" si="57"/>
        <v>0</v>
      </c>
      <c r="CD31" s="789">
        <f t="shared" si="57"/>
        <v>0</v>
      </c>
      <c r="CE31" s="789">
        <f t="shared" si="57"/>
        <v>0</v>
      </c>
      <c r="CF31" s="793">
        <f t="shared" si="57"/>
        <v>0</v>
      </c>
    </row>
    <row r="32" spans="1:84" ht="14.1" customHeight="1" x14ac:dyDescent="0.2">
      <c r="A32" s="66">
        <v>6</v>
      </c>
      <c r="B32" s="63">
        <v>2407</v>
      </c>
      <c r="C32" s="64">
        <v>600079520</v>
      </c>
      <c r="D32" s="63">
        <v>72741465</v>
      </c>
      <c r="E32" s="65" t="s">
        <v>545</v>
      </c>
      <c r="F32" s="66">
        <v>3111</v>
      </c>
      <c r="G32" s="65" t="s">
        <v>291</v>
      </c>
      <c r="H32" s="67" t="s">
        <v>271</v>
      </c>
      <c r="I32" s="423">
        <f t="shared" si="2"/>
        <v>14746643</v>
      </c>
      <c r="J32" s="418">
        <f t="shared" si="3"/>
        <v>10902758</v>
      </c>
      <c r="K32" s="418">
        <v>10023499</v>
      </c>
      <c r="L32" s="418">
        <v>879259</v>
      </c>
      <c r="M32" s="418">
        <f>N32+O32</f>
        <v>0</v>
      </c>
      <c r="N32" s="418">
        <v>0</v>
      </c>
      <c r="O32" s="418">
        <v>0</v>
      </c>
      <c r="P32" s="668">
        <f t="shared" si="4"/>
        <v>3685132</v>
      </c>
      <c r="Q32" s="668">
        <f t="shared" si="5"/>
        <v>109028</v>
      </c>
      <c r="R32" s="418">
        <v>49725</v>
      </c>
      <c r="S32" s="419">
        <f t="shared" si="6"/>
        <v>20.491899999999998</v>
      </c>
      <c r="T32" s="419">
        <v>17.451599999999999</v>
      </c>
      <c r="U32" s="426">
        <v>3.0402999999999998</v>
      </c>
      <c r="V32" s="428">
        <f t="shared" si="7"/>
        <v>0</v>
      </c>
      <c r="W32" s="421">
        <f t="shared" si="8"/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 t="shared" si="9"/>
        <v>0</v>
      </c>
      <c r="AG32" s="421">
        <f t="shared" si="10"/>
        <v>0</v>
      </c>
      <c r="AH32" s="421">
        <f t="shared" si="11"/>
        <v>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12"/>
        <v>0</v>
      </c>
      <c r="AP32" s="421">
        <f t="shared" si="13"/>
        <v>0</v>
      </c>
      <c r="AQ32" s="421">
        <f t="shared" si="14"/>
        <v>0</v>
      </c>
      <c r="AR32" s="421">
        <f t="shared" ref="AR32:AS34" si="58">AF32+AO32</f>
        <v>0</v>
      </c>
      <c r="AS32" s="421">
        <f t="shared" si="58"/>
        <v>0</v>
      </c>
      <c r="AT32" s="421">
        <f t="shared" si="16"/>
        <v>0</v>
      </c>
      <c r="AU32" s="68">
        <f t="shared" ref="AU32:AU34" si="59">ROUND((AH32+AI32+AJ32+AK32+AL32)*33.8%,0)</f>
        <v>0</v>
      </c>
      <c r="AV32" s="68">
        <f>ROUND(AH32*1%,0)</f>
        <v>0</v>
      </c>
      <c r="AW32" s="421">
        <v>0</v>
      </c>
      <c r="AX32" s="421">
        <v>0</v>
      </c>
      <c r="AY32" s="421">
        <f t="shared" si="17"/>
        <v>0</v>
      </c>
      <c r="AZ32" s="421">
        <f t="shared" si="18"/>
        <v>0</v>
      </c>
      <c r="BA32" s="422">
        <v>0</v>
      </c>
      <c r="BB32" s="422">
        <v>0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>BA32+BC32+BD32+BF32+BH32+BI32</f>
        <v>0</v>
      </c>
      <c r="BL32" s="422">
        <f>BB32+BE32+BG32+BJ32</f>
        <v>0</v>
      </c>
      <c r="BM32" s="424">
        <f t="shared" si="19"/>
        <v>0</v>
      </c>
      <c r="BN32" s="427">
        <f>I32+AZ32</f>
        <v>14746643</v>
      </c>
      <c r="BO32" s="421">
        <f>J32+AH32</f>
        <v>10902758</v>
      </c>
      <c r="BP32" s="421">
        <f t="shared" ref="BP32:BQ34" si="60">K32+AF32</f>
        <v>10023499</v>
      </c>
      <c r="BQ32" s="421">
        <f t="shared" si="60"/>
        <v>879259</v>
      </c>
      <c r="BR32" s="421">
        <f>M32+AQ32</f>
        <v>0</v>
      </c>
      <c r="BS32" s="421">
        <f t="shared" ref="BS32:BT34" si="61">N32+AO32</f>
        <v>0</v>
      </c>
      <c r="BT32" s="421">
        <f t="shared" si="61"/>
        <v>0</v>
      </c>
      <c r="BU32" s="421">
        <f t="shared" ref="BU32:BV34" si="62">P32+AU32</f>
        <v>3685132</v>
      </c>
      <c r="BV32" s="421">
        <f t="shared" si="62"/>
        <v>109028</v>
      </c>
      <c r="BW32" s="421">
        <f>R32+AY32</f>
        <v>49725</v>
      </c>
      <c r="BX32" s="422">
        <f>S32+BM32</f>
        <v>20.491899999999998</v>
      </c>
      <c r="BY32" s="422">
        <f t="shared" ref="BY32:BZ34" si="63">T32+BK32</f>
        <v>17.451599999999999</v>
      </c>
      <c r="BZ32" s="611">
        <f t="shared" si="63"/>
        <v>3.0402999999999998</v>
      </c>
      <c r="CA32" s="423"/>
      <c r="CB32" s="418"/>
      <c r="CC32" s="418"/>
      <c r="CD32" s="418"/>
      <c r="CE32" s="418"/>
      <c r="CF32" s="527"/>
    </row>
    <row r="33" spans="1:84" ht="14.1" customHeight="1" x14ac:dyDescent="0.2">
      <c r="A33" s="66">
        <v>6</v>
      </c>
      <c r="B33" s="63">
        <v>2407</v>
      </c>
      <c r="C33" s="64">
        <v>600079520</v>
      </c>
      <c r="D33" s="63">
        <v>72741465</v>
      </c>
      <c r="E33" s="65" t="s">
        <v>545</v>
      </c>
      <c r="F33" s="66">
        <v>3111</v>
      </c>
      <c r="G33" s="77" t="s">
        <v>292</v>
      </c>
      <c r="H33" s="67" t="s">
        <v>272</v>
      </c>
      <c r="I33" s="423">
        <f t="shared" si="2"/>
        <v>0</v>
      </c>
      <c r="J33" s="418">
        <f t="shared" si="3"/>
        <v>0</v>
      </c>
      <c r="K33" s="418">
        <v>0</v>
      </c>
      <c r="L33" s="418">
        <v>0</v>
      </c>
      <c r="M33" s="418">
        <f t="shared" si="24"/>
        <v>0</v>
      </c>
      <c r="N33" s="418">
        <v>0</v>
      </c>
      <c r="O33" s="418">
        <v>0</v>
      </c>
      <c r="P33" s="668">
        <f t="shared" si="4"/>
        <v>0</v>
      </c>
      <c r="Q33" s="668">
        <f t="shared" si="5"/>
        <v>0</v>
      </c>
      <c r="R33" s="418">
        <v>0</v>
      </c>
      <c r="S33" s="419">
        <f t="shared" si="6"/>
        <v>0</v>
      </c>
      <c r="T33" s="420">
        <v>0</v>
      </c>
      <c r="U33" s="426">
        <v>0</v>
      </c>
      <c r="V33" s="428">
        <f t="shared" si="7"/>
        <v>0</v>
      </c>
      <c r="W33" s="421">
        <f t="shared" si="8"/>
        <v>0</v>
      </c>
      <c r="X33" s="16">
        <v>945543</v>
      </c>
      <c r="Y33" s="16">
        <v>0</v>
      </c>
      <c r="Z33" s="16">
        <v>0</v>
      </c>
      <c r="AA33" s="16">
        <v>0</v>
      </c>
      <c r="AB33" s="421">
        <v>0</v>
      </c>
      <c r="AC33" s="16">
        <v>0</v>
      </c>
      <c r="AD33" s="16">
        <v>0</v>
      </c>
      <c r="AE33" s="16">
        <v>0</v>
      </c>
      <c r="AF33" s="421">
        <f t="shared" si="9"/>
        <v>945543</v>
      </c>
      <c r="AG33" s="421">
        <f t="shared" si="10"/>
        <v>0</v>
      </c>
      <c r="AH33" s="421">
        <f t="shared" si="11"/>
        <v>945543</v>
      </c>
      <c r="AI33" s="16">
        <v>0</v>
      </c>
      <c r="AJ33" s="16">
        <v>0</v>
      </c>
      <c r="AK33" s="421">
        <v>0</v>
      </c>
      <c r="AL33" s="16">
        <v>0</v>
      </c>
      <c r="AM33" s="16">
        <v>0</v>
      </c>
      <c r="AN33" s="16">
        <v>0</v>
      </c>
      <c r="AO33" s="421">
        <f t="shared" si="12"/>
        <v>0</v>
      </c>
      <c r="AP33" s="16">
        <v>0</v>
      </c>
      <c r="AQ33" s="421">
        <f t="shared" si="14"/>
        <v>0</v>
      </c>
      <c r="AR33" s="421">
        <f t="shared" si="58"/>
        <v>945543</v>
      </c>
      <c r="AS33" s="421">
        <f t="shared" si="58"/>
        <v>0</v>
      </c>
      <c r="AT33" s="421">
        <f t="shared" si="16"/>
        <v>945543</v>
      </c>
      <c r="AU33" s="68">
        <f t="shared" si="59"/>
        <v>319594</v>
      </c>
      <c r="AV33" s="68">
        <f>ROUND(AH33*1%,0)</f>
        <v>9455</v>
      </c>
      <c r="AW33" s="16">
        <v>0</v>
      </c>
      <c r="AX33" s="16">
        <v>0</v>
      </c>
      <c r="AY33" s="421">
        <f t="shared" si="17"/>
        <v>0</v>
      </c>
      <c r="AZ33" s="421">
        <f t="shared" si="18"/>
        <v>1274592</v>
      </c>
      <c r="BA33" s="13">
        <v>0</v>
      </c>
      <c r="BB33" s="13">
        <v>0</v>
      </c>
      <c r="BC33" s="13">
        <v>2.75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>BA33+BC33+BD33+BF33+BH33+BI33</f>
        <v>2.75</v>
      </c>
      <c r="BL33" s="422">
        <f>BB33+BE33+BG33+BJ33</f>
        <v>0</v>
      </c>
      <c r="BM33" s="424">
        <f t="shared" si="19"/>
        <v>2.75</v>
      </c>
      <c r="BN33" s="427">
        <f>I33+AZ33</f>
        <v>1274592</v>
      </c>
      <c r="BO33" s="421">
        <f>J33+AH33</f>
        <v>945543</v>
      </c>
      <c r="BP33" s="421">
        <f t="shared" si="60"/>
        <v>945543</v>
      </c>
      <c r="BQ33" s="421">
        <f t="shared" si="60"/>
        <v>0</v>
      </c>
      <c r="BR33" s="421">
        <f>M33+AQ33</f>
        <v>0</v>
      </c>
      <c r="BS33" s="421">
        <f t="shared" si="61"/>
        <v>0</v>
      </c>
      <c r="BT33" s="421">
        <f t="shared" si="61"/>
        <v>0</v>
      </c>
      <c r="BU33" s="421">
        <f t="shared" si="62"/>
        <v>319594</v>
      </c>
      <c r="BV33" s="421">
        <f t="shared" si="62"/>
        <v>9455</v>
      </c>
      <c r="BW33" s="421">
        <f>R33+AY33</f>
        <v>0</v>
      </c>
      <c r="BX33" s="422">
        <f>S33+BM33</f>
        <v>2.75</v>
      </c>
      <c r="BY33" s="422">
        <f t="shared" si="63"/>
        <v>2.75</v>
      </c>
      <c r="BZ33" s="611">
        <f t="shared" si="63"/>
        <v>0</v>
      </c>
      <c r="CA33" s="423"/>
      <c r="CB33" s="418"/>
      <c r="CC33" s="418"/>
      <c r="CD33" s="418"/>
      <c r="CE33" s="418"/>
      <c r="CF33" s="527"/>
    </row>
    <row r="34" spans="1:84" ht="14.1" customHeight="1" x14ac:dyDescent="0.2">
      <c r="A34" s="66">
        <v>6</v>
      </c>
      <c r="B34" s="63">
        <v>2407</v>
      </c>
      <c r="C34" s="64">
        <v>600079520</v>
      </c>
      <c r="D34" s="63">
        <v>72741465</v>
      </c>
      <c r="E34" s="65" t="s">
        <v>545</v>
      </c>
      <c r="F34" s="66">
        <v>3141</v>
      </c>
      <c r="G34" s="65" t="s">
        <v>295</v>
      </c>
      <c r="H34" s="67" t="s">
        <v>272</v>
      </c>
      <c r="I34" s="423">
        <f t="shared" si="2"/>
        <v>1201878</v>
      </c>
      <c r="J34" s="418">
        <f t="shared" si="3"/>
        <v>887057</v>
      </c>
      <c r="K34" s="418">
        <v>0</v>
      </c>
      <c r="L34" s="924">
        <v>887057</v>
      </c>
      <c r="M34" s="418">
        <f>N34+O34</f>
        <v>0</v>
      </c>
      <c r="N34" s="205">
        <v>0</v>
      </c>
      <c r="O34" s="205">
        <v>0</v>
      </c>
      <c r="P34" s="668">
        <f t="shared" ref="P34" si="64">ROUND(J34*33.8%,0)</f>
        <v>299825</v>
      </c>
      <c r="Q34" s="668">
        <f t="shared" ref="Q34" si="65">ROUND(J34*1%,0)</f>
        <v>8871</v>
      </c>
      <c r="R34" s="674">
        <v>6125</v>
      </c>
      <c r="S34" s="419">
        <f>T34+U34</f>
        <v>2.66</v>
      </c>
      <c r="T34" s="676">
        <v>0</v>
      </c>
      <c r="U34" s="909">
        <v>2.66</v>
      </c>
      <c r="V34" s="428">
        <f t="shared" si="7"/>
        <v>0</v>
      </c>
      <c r="W34" s="421">
        <f t="shared" si="8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 t="shared" si="9"/>
        <v>0</v>
      </c>
      <c r="AG34" s="421">
        <f t="shared" si="10"/>
        <v>0</v>
      </c>
      <c r="AH34" s="421">
        <f t="shared" si="11"/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12"/>
        <v>0</v>
      </c>
      <c r="AP34" s="421">
        <f t="shared" si="13"/>
        <v>0</v>
      </c>
      <c r="AQ34" s="421">
        <f t="shared" si="14"/>
        <v>0</v>
      </c>
      <c r="AR34" s="421">
        <f t="shared" si="58"/>
        <v>0</v>
      </c>
      <c r="AS34" s="421">
        <f t="shared" si="58"/>
        <v>0</v>
      </c>
      <c r="AT34" s="421">
        <f t="shared" si="16"/>
        <v>0</v>
      </c>
      <c r="AU34" s="68">
        <f t="shared" si="59"/>
        <v>0</v>
      </c>
      <c r="AV34" s="68">
        <f>ROUND(AH34*1%,0)</f>
        <v>0</v>
      </c>
      <c r="AW34" s="421">
        <v>0</v>
      </c>
      <c r="AX34" s="421">
        <v>0</v>
      </c>
      <c r="AY34" s="421">
        <f t="shared" si="17"/>
        <v>0</v>
      </c>
      <c r="AZ34" s="421">
        <f t="shared" si="18"/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424">
        <f t="shared" si="19"/>
        <v>0</v>
      </c>
      <c r="BN34" s="427">
        <f>I34+AZ34</f>
        <v>1201878</v>
      </c>
      <c r="BO34" s="421">
        <f>J34+AH34</f>
        <v>887057</v>
      </c>
      <c r="BP34" s="421">
        <f t="shared" si="60"/>
        <v>0</v>
      </c>
      <c r="BQ34" s="421">
        <f t="shared" si="60"/>
        <v>887057</v>
      </c>
      <c r="BR34" s="421">
        <f>M34+AQ34</f>
        <v>0</v>
      </c>
      <c r="BS34" s="421">
        <f t="shared" si="61"/>
        <v>0</v>
      </c>
      <c r="BT34" s="421">
        <f t="shared" si="61"/>
        <v>0</v>
      </c>
      <c r="BU34" s="421">
        <f t="shared" si="62"/>
        <v>299825</v>
      </c>
      <c r="BV34" s="421">
        <f t="shared" si="62"/>
        <v>8871</v>
      </c>
      <c r="BW34" s="421">
        <f>R34+AY34</f>
        <v>6125</v>
      </c>
      <c r="BX34" s="422">
        <f>S34+BM34</f>
        <v>2.66</v>
      </c>
      <c r="BY34" s="422">
        <f t="shared" si="63"/>
        <v>0</v>
      </c>
      <c r="BZ34" s="611">
        <f t="shared" si="63"/>
        <v>2.66</v>
      </c>
      <c r="CA34" s="423"/>
      <c r="CB34" s="418"/>
      <c r="CC34" s="418"/>
      <c r="CD34" s="418"/>
      <c r="CE34" s="418"/>
      <c r="CF34" s="527"/>
    </row>
    <row r="35" spans="1:84" ht="14.1" customHeight="1" x14ac:dyDescent="0.2">
      <c r="A35" s="72">
        <v>6</v>
      </c>
      <c r="B35" s="69">
        <v>2407</v>
      </c>
      <c r="C35" s="70">
        <v>600079520</v>
      </c>
      <c r="D35" s="69">
        <v>72741465</v>
      </c>
      <c r="E35" s="71" t="s">
        <v>546</v>
      </c>
      <c r="F35" s="72"/>
      <c r="G35" s="71"/>
      <c r="H35" s="73"/>
      <c r="I35" s="538">
        <f t="shared" ref="I35:BU35" si="66">SUM(I32:I34)</f>
        <v>15948521</v>
      </c>
      <c r="J35" s="74">
        <f t="shared" si="66"/>
        <v>11789815</v>
      </c>
      <c r="K35" s="74">
        <f t="shared" si="66"/>
        <v>10023499</v>
      </c>
      <c r="L35" s="74">
        <f t="shared" si="66"/>
        <v>1766316</v>
      </c>
      <c r="M35" s="74">
        <f t="shared" si="66"/>
        <v>0</v>
      </c>
      <c r="N35" s="74">
        <f t="shared" si="66"/>
        <v>0</v>
      </c>
      <c r="O35" s="74">
        <f t="shared" si="66"/>
        <v>0</v>
      </c>
      <c r="P35" s="74">
        <f t="shared" si="66"/>
        <v>3984957</v>
      </c>
      <c r="Q35" s="74">
        <f t="shared" si="66"/>
        <v>117899</v>
      </c>
      <c r="R35" s="74">
        <f t="shared" si="66"/>
        <v>55850</v>
      </c>
      <c r="S35" s="75">
        <f t="shared" si="66"/>
        <v>23.151899999999998</v>
      </c>
      <c r="T35" s="75">
        <f t="shared" si="66"/>
        <v>17.451599999999999</v>
      </c>
      <c r="U35" s="753">
        <f t="shared" si="66"/>
        <v>5.7003000000000004</v>
      </c>
      <c r="V35" s="538">
        <f t="shared" si="66"/>
        <v>0</v>
      </c>
      <c r="W35" s="74">
        <f t="shared" si="66"/>
        <v>0</v>
      </c>
      <c r="X35" s="74">
        <f t="shared" si="66"/>
        <v>945543</v>
      </c>
      <c r="Y35" s="74">
        <f t="shared" si="66"/>
        <v>0</v>
      </c>
      <c r="Z35" s="74">
        <f t="shared" si="66"/>
        <v>0</v>
      </c>
      <c r="AA35" s="74">
        <f t="shared" si="66"/>
        <v>0</v>
      </c>
      <c r="AB35" s="74">
        <f t="shared" si="66"/>
        <v>0</v>
      </c>
      <c r="AC35" s="74">
        <f t="shared" si="66"/>
        <v>0</v>
      </c>
      <c r="AD35" s="74">
        <f t="shared" si="66"/>
        <v>0</v>
      </c>
      <c r="AE35" s="74">
        <f t="shared" si="66"/>
        <v>0</v>
      </c>
      <c r="AF35" s="74">
        <f t="shared" si="66"/>
        <v>945543</v>
      </c>
      <c r="AG35" s="74">
        <f t="shared" si="66"/>
        <v>0</v>
      </c>
      <c r="AH35" s="74">
        <f t="shared" si="66"/>
        <v>945543</v>
      </c>
      <c r="AI35" s="74">
        <f t="shared" si="66"/>
        <v>0</v>
      </c>
      <c r="AJ35" s="74">
        <f t="shared" si="66"/>
        <v>0</v>
      </c>
      <c r="AK35" s="74">
        <f t="shared" si="66"/>
        <v>0</v>
      </c>
      <c r="AL35" s="74">
        <f t="shared" si="66"/>
        <v>0</v>
      </c>
      <c r="AM35" s="74">
        <f t="shared" si="66"/>
        <v>0</v>
      </c>
      <c r="AN35" s="74">
        <f t="shared" si="66"/>
        <v>0</v>
      </c>
      <c r="AO35" s="74">
        <f t="shared" si="66"/>
        <v>0</v>
      </c>
      <c r="AP35" s="74">
        <f t="shared" si="66"/>
        <v>0</v>
      </c>
      <c r="AQ35" s="74">
        <f t="shared" si="66"/>
        <v>0</v>
      </c>
      <c r="AR35" s="74">
        <f t="shared" si="66"/>
        <v>945543</v>
      </c>
      <c r="AS35" s="74">
        <f t="shared" si="66"/>
        <v>0</v>
      </c>
      <c r="AT35" s="74">
        <f t="shared" si="66"/>
        <v>945543</v>
      </c>
      <c r="AU35" s="74">
        <f t="shared" si="66"/>
        <v>319594</v>
      </c>
      <c r="AV35" s="74">
        <f t="shared" si="66"/>
        <v>9455</v>
      </c>
      <c r="AW35" s="74">
        <f t="shared" si="66"/>
        <v>0</v>
      </c>
      <c r="AX35" s="74">
        <f t="shared" si="66"/>
        <v>0</v>
      </c>
      <c r="AY35" s="74">
        <f t="shared" si="66"/>
        <v>0</v>
      </c>
      <c r="AZ35" s="74">
        <f t="shared" si="66"/>
        <v>1274592</v>
      </c>
      <c r="BA35" s="75">
        <f t="shared" si="66"/>
        <v>0</v>
      </c>
      <c r="BB35" s="75">
        <f t="shared" si="66"/>
        <v>0</v>
      </c>
      <c r="BC35" s="75">
        <f t="shared" si="66"/>
        <v>2.75</v>
      </c>
      <c r="BD35" s="75">
        <f t="shared" si="66"/>
        <v>0</v>
      </c>
      <c r="BE35" s="75">
        <f t="shared" si="66"/>
        <v>0</v>
      </c>
      <c r="BF35" s="75">
        <f t="shared" si="66"/>
        <v>0</v>
      </c>
      <c r="BG35" s="75">
        <f t="shared" si="66"/>
        <v>0</v>
      </c>
      <c r="BH35" s="75">
        <f t="shared" si="66"/>
        <v>0</v>
      </c>
      <c r="BI35" s="75">
        <f t="shared" si="66"/>
        <v>0</v>
      </c>
      <c r="BJ35" s="75">
        <f t="shared" si="66"/>
        <v>0</v>
      </c>
      <c r="BK35" s="75">
        <f t="shared" si="66"/>
        <v>2.75</v>
      </c>
      <c r="BL35" s="75">
        <f t="shared" si="66"/>
        <v>0</v>
      </c>
      <c r="BM35" s="76">
        <f t="shared" si="66"/>
        <v>2.75</v>
      </c>
      <c r="BN35" s="549">
        <f t="shared" si="66"/>
        <v>17223113</v>
      </c>
      <c r="BO35" s="74">
        <f t="shared" si="66"/>
        <v>12735358</v>
      </c>
      <c r="BP35" s="74">
        <f t="shared" si="66"/>
        <v>10969042</v>
      </c>
      <c r="BQ35" s="74">
        <f t="shared" si="66"/>
        <v>1766316</v>
      </c>
      <c r="BR35" s="74">
        <f t="shared" si="66"/>
        <v>0</v>
      </c>
      <c r="BS35" s="74">
        <f t="shared" si="66"/>
        <v>0</v>
      </c>
      <c r="BT35" s="74">
        <f t="shared" si="66"/>
        <v>0</v>
      </c>
      <c r="BU35" s="74">
        <f t="shared" si="66"/>
        <v>4304551</v>
      </c>
      <c r="BV35" s="74">
        <f t="shared" ref="BV35:CF35" si="67">SUM(BV32:BV34)</f>
        <v>127354</v>
      </c>
      <c r="BW35" s="74">
        <f t="shared" si="67"/>
        <v>55850</v>
      </c>
      <c r="BX35" s="75">
        <f t="shared" si="67"/>
        <v>25.901899999999998</v>
      </c>
      <c r="BY35" s="75">
        <f t="shared" si="67"/>
        <v>20.201599999999999</v>
      </c>
      <c r="BZ35" s="753">
        <f t="shared" si="67"/>
        <v>5.7003000000000004</v>
      </c>
      <c r="CA35" s="796">
        <f t="shared" si="67"/>
        <v>0</v>
      </c>
      <c r="CB35" s="789">
        <f t="shared" si="67"/>
        <v>0</v>
      </c>
      <c r="CC35" s="789">
        <f t="shared" si="67"/>
        <v>0</v>
      </c>
      <c r="CD35" s="789">
        <f t="shared" si="67"/>
        <v>0</v>
      </c>
      <c r="CE35" s="789">
        <f t="shared" si="67"/>
        <v>0</v>
      </c>
      <c r="CF35" s="793">
        <f t="shared" si="67"/>
        <v>0</v>
      </c>
    </row>
    <row r="36" spans="1:84" ht="14.1" customHeight="1" x14ac:dyDescent="0.2">
      <c r="A36" s="66">
        <v>7</v>
      </c>
      <c r="B36" s="63">
        <v>2422</v>
      </c>
      <c r="C36" s="64">
        <v>600079082</v>
      </c>
      <c r="D36" s="63">
        <v>72742585</v>
      </c>
      <c r="E36" s="65" t="s">
        <v>547</v>
      </c>
      <c r="F36" s="66">
        <v>3111</v>
      </c>
      <c r="G36" s="65" t="s">
        <v>291</v>
      </c>
      <c r="H36" s="67" t="s">
        <v>271</v>
      </c>
      <c r="I36" s="423">
        <f t="shared" si="2"/>
        <v>9359277</v>
      </c>
      <c r="J36" s="418">
        <f t="shared" si="3"/>
        <v>6918674</v>
      </c>
      <c r="K36" s="418">
        <v>6333455</v>
      </c>
      <c r="L36" s="418">
        <v>585219</v>
      </c>
      <c r="M36" s="418">
        <f>N36+O36</f>
        <v>0</v>
      </c>
      <c r="N36" s="418">
        <v>0</v>
      </c>
      <c r="O36" s="418">
        <v>0</v>
      </c>
      <c r="P36" s="668">
        <f t="shared" si="4"/>
        <v>2338512</v>
      </c>
      <c r="Q36" s="668">
        <f t="shared" si="5"/>
        <v>69187</v>
      </c>
      <c r="R36" s="418">
        <v>32904</v>
      </c>
      <c r="S36" s="419">
        <f t="shared" si="6"/>
        <v>12.8</v>
      </c>
      <c r="T36" s="419">
        <v>10.8065</v>
      </c>
      <c r="U36" s="426">
        <v>1.9935</v>
      </c>
      <c r="V36" s="428">
        <f t="shared" si="7"/>
        <v>-25600</v>
      </c>
      <c r="W36" s="421">
        <f t="shared" si="8"/>
        <v>-10240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 t="shared" si="9"/>
        <v>-25600</v>
      </c>
      <c r="AG36" s="421">
        <f t="shared" si="10"/>
        <v>-10240</v>
      </c>
      <c r="AH36" s="421">
        <f t="shared" si="11"/>
        <v>-35840</v>
      </c>
      <c r="AI36" s="421">
        <v>25600</v>
      </c>
      <c r="AJ36" s="421">
        <v>10240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si="12"/>
        <v>25600</v>
      </c>
      <c r="AP36" s="421">
        <f t="shared" si="13"/>
        <v>10240</v>
      </c>
      <c r="AQ36" s="421">
        <f t="shared" si="14"/>
        <v>35840</v>
      </c>
      <c r="AR36" s="421">
        <f t="shared" ref="AR36:AS38" si="68">AF36+AO36</f>
        <v>0</v>
      </c>
      <c r="AS36" s="421">
        <f t="shared" si="68"/>
        <v>0</v>
      </c>
      <c r="AT36" s="421">
        <f t="shared" si="16"/>
        <v>0</v>
      </c>
      <c r="AU36" s="68">
        <f t="shared" ref="AU36:AU38" si="69">ROUND((AH36+AI36+AJ36+AK36+AL36)*33.8%,0)</f>
        <v>0</v>
      </c>
      <c r="AV36" s="68">
        <f>ROUND(AH36*1%,0)</f>
        <v>-358</v>
      </c>
      <c r="AW36" s="421">
        <v>0</v>
      </c>
      <c r="AX36" s="421">
        <v>0</v>
      </c>
      <c r="AY36" s="421">
        <f t="shared" si="17"/>
        <v>0</v>
      </c>
      <c r="AZ36" s="421">
        <f t="shared" si="18"/>
        <v>-358</v>
      </c>
      <c r="BA36" s="422">
        <v>0</v>
      </c>
      <c r="BB36" s="422">
        <v>-0.01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-0.01</v>
      </c>
      <c r="BM36" s="424">
        <f t="shared" si="19"/>
        <v>-0.01</v>
      </c>
      <c r="BN36" s="427">
        <f>I36+AZ36</f>
        <v>9358919</v>
      </c>
      <c r="BO36" s="421">
        <f>J36+AH36</f>
        <v>6882834</v>
      </c>
      <c r="BP36" s="421">
        <f t="shared" ref="BP36:BQ38" si="70">K36+AF36</f>
        <v>6307855</v>
      </c>
      <c r="BQ36" s="421">
        <f t="shared" si="70"/>
        <v>574979</v>
      </c>
      <c r="BR36" s="421">
        <f>M36+AQ36</f>
        <v>35840</v>
      </c>
      <c r="BS36" s="421">
        <f t="shared" ref="BS36:BT38" si="71">N36+AO36</f>
        <v>25600</v>
      </c>
      <c r="BT36" s="421">
        <f t="shared" si="71"/>
        <v>10240</v>
      </c>
      <c r="BU36" s="421">
        <f t="shared" ref="BU36:BV38" si="72">P36+AU36</f>
        <v>2338512</v>
      </c>
      <c r="BV36" s="421">
        <f t="shared" si="72"/>
        <v>68829</v>
      </c>
      <c r="BW36" s="421">
        <f>R36+AY36</f>
        <v>32904</v>
      </c>
      <c r="BX36" s="422">
        <f>S36+BM36</f>
        <v>12.790000000000001</v>
      </c>
      <c r="BY36" s="422">
        <f t="shared" ref="BY36:BZ38" si="73">T36+BK36</f>
        <v>10.8065</v>
      </c>
      <c r="BZ36" s="611">
        <f t="shared" si="73"/>
        <v>1.9835</v>
      </c>
      <c r="CA36" s="423"/>
      <c r="CB36" s="418"/>
      <c r="CC36" s="418"/>
      <c r="CD36" s="418"/>
      <c r="CE36" s="418"/>
      <c r="CF36" s="527"/>
    </row>
    <row r="37" spans="1:84" ht="14.1" customHeight="1" x14ac:dyDescent="0.2">
      <c r="A37" s="66">
        <v>7</v>
      </c>
      <c r="B37" s="63">
        <v>2422</v>
      </c>
      <c r="C37" s="64">
        <v>600079082</v>
      </c>
      <c r="D37" s="63">
        <v>72742585</v>
      </c>
      <c r="E37" s="65" t="s">
        <v>547</v>
      </c>
      <c r="F37" s="66">
        <v>3111</v>
      </c>
      <c r="G37" s="77" t="s">
        <v>292</v>
      </c>
      <c r="H37" s="67" t="s">
        <v>272</v>
      </c>
      <c r="I37" s="423">
        <f t="shared" si="2"/>
        <v>0</v>
      </c>
      <c r="J37" s="418">
        <f t="shared" si="3"/>
        <v>0</v>
      </c>
      <c r="K37" s="418">
        <v>0</v>
      </c>
      <c r="L37" s="418">
        <v>0</v>
      </c>
      <c r="M37" s="418">
        <f t="shared" si="24"/>
        <v>0</v>
      </c>
      <c r="N37" s="418">
        <v>0</v>
      </c>
      <c r="O37" s="418">
        <v>0</v>
      </c>
      <c r="P37" s="668">
        <f t="shared" si="4"/>
        <v>0</v>
      </c>
      <c r="Q37" s="668">
        <f t="shared" si="5"/>
        <v>0</v>
      </c>
      <c r="R37" s="418">
        <v>0</v>
      </c>
      <c r="S37" s="419">
        <f t="shared" si="6"/>
        <v>0</v>
      </c>
      <c r="T37" s="420">
        <v>0</v>
      </c>
      <c r="U37" s="426">
        <v>0</v>
      </c>
      <c r="V37" s="428">
        <f t="shared" si="7"/>
        <v>0</v>
      </c>
      <c r="W37" s="421">
        <f t="shared" si="8"/>
        <v>0</v>
      </c>
      <c r="X37" s="16">
        <v>278101</v>
      </c>
      <c r="Y37" s="16">
        <v>0</v>
      </c>
      <c r="Z37" s="16">
        <v>0</v>
      </c>
      <c r="AA37" s="16">
        <v>0</v>
      </c>
      <c r="AB37" s="421">
        <v>0</v>
      </c>
      <c r="AC37" s="16">
        <v>0</v>
      </c>
      <c r="AD37" s="16">
        <v>0</v>
      </c>
      <c r="AE37" s="16">
        <v>0</v>
      </c>
      <c r="AF37" s="421">
        <f t="shared" si="9"/>
        <v>278101</v>
      </c>
      <c r="AG37" s="421">
        <f t="shared" si="10"/>
        <v>0</v>
      </c>
      <c r="AH37" s="421">
        <f t="shared" si="11"/>
        <v>278101</v>
      </c>
      <c r="AI37" s="16">
        <v>0</v>
      </c>
      <c r="AJ37" s="16">
        <v>0</v>
      </c>
      <c r="AK37" s="421">
        <v>0</v>
      </c>
      <c r="AL37" s="16">
        <v>0</v>
      </c>
      <c r="AM37" s="16">
        <v>0</v>
      </c>
      <c r="AN37" s="16">
        <v>0</v>
      </c>
      <c r="AO37" s="421">
        <f t="shared" si="12"/>
        <v>0</v>
      </c>
      <c r="AP37" s="16">
        <v>0</v>
      </c>
      <c r="AQ37" s="421">
        <f t="shared" si="14"/>
        <v>0</v>
      </c>
      <c r="AR37" s="421">
        <f t="shared" si="68"/>
        <v>278101</v>
      </c>
      <c r="AS37" s="421">
        <f t="shared" si="68"/>
        <v>0</v>
      </c>
      <c r="AT37" s="421">
        <f t="shared" si="16"/>
        <v>278101</v>
      </c>
      <c r="AU37" s="68">
        <f t="shared" si="69"/>
        <v>93998</v>
      </c>
      <c r="AV37" s="68">
        <f>ROUND(AH37*1%,0)</f>
        <v>2781</v>
      </c>
      <c r="AW37" s="16">
        <v>0</v>
      </c>
      <c r="AX37" s="16">
        <v>0</v>
      </c>
      <c r="AY37" s="421">
        <f t="shared" si="17"/>
        <v>0</v>
      </c>
      <c r="AZ37" s="421">
        <f t="shared" si="18"/>
        <v>374880</v>
      </c>
      <c r="BA37" s="13">
        <v>0</v>
      </c>
      <c r="BB37" s="13">
        <v>0</v>
      </c>
      <c r="BC37" s="13">
        <v>0.75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0.75</v>
      </c>
      <c r="BL37" s="422">
        <f>BB37+BE37+BG37+BJ37</f>
        <v>0</v>
      </c>
      <c r="BM37" s="424">
        <f t="shared" si="19"/>
        <v>0.75</v>
      </c>
      <c r="BN37" s="427">
        <f>I37+AZ37</f>
        <v>374880</v>
      </c>
      <c r="BO37" s="421">
        <f>J37+AH37</f>
        <v>278101</v>
      </c>
      <c r="BP37" s="421">
        <f t="shared" si="70"/>
        <v>278101</v>
      </c>
      <c r="BQ37" s="421">
        <f t="shared" si="70"/>
        <v>0</v>
      </c>
      <c r="BR37" s="421">
        <f>M37+AQ37</f>
        <v>0</v>
      </c>
      <c r="BS37" s="421">
        <f t="shared" si="71"/>
        <v>0</v>
      </c>
      <c r="BT37" s="421">
        <f t="shared" si="71"/>
        <v>0</v>
      </c>
      <c r="BU37" s="421">
        <f t="shared" si="72"/>
        <v>93998</v>
      </c>
      <c r="BV37" s="421">
        <f t="shared" si="72"/>
        <v>2781</v>
      </c>
      <c r="BW37" s="421">
        <f>R37+AY37</f>
        <v>0</v>
      </c>
      <c r="BX37" s="422">
        <f>S37+BM37</f>
        <v>0.75</v>
      </c>
      <c r="BY37" s="422">
        <f t="shared" si="73"/>
        <v>0.75</v>
      </c>
      <c r="BZ37" s="611">
        <f t="shared" si="73"/>
        <v>0</v>
      </c>
      <c r="CA37" s="423"/>
      <c r="CB37" s="418"/>
      <c r="CC37" s="418"/>
      <c r="CD37" s="418"/>
      <c r="CE37" s="418"/>
      <c r="CF37" s="527"/>
    </row>
    <row r="38" spans="1:84" ht="14.1" customHeight="1" x14ac:dyDescent="0.2">
      <c r="A38" s="66">
        <v>7</v>
      </c>
      <c r="B38" s="63">
        <v>2422</v>
      </c>
      <c r="C38" s="64">
        <v>600079082</v>
      </c>
      <c r="D38" s="63">
        <v>72742585</v>
      </c>
      <c r="E38" s="65" t="s">
        <v>547</v>
      </c>
      <c r="F38" s="66">
        <v>3141</v>
      </c>
      <c r="G38" s="65" t="s">
        <v>295</v>
      </c>
      <c r="H38" s="67" t="s">
        <v>272</v>
      </c>
      <c r="I38" s="423">
        <f t="shared" si="2"/>
        <v>810064</v>
      </c>
      <c r="J38" s="418">
        <f t="shared" si="3"/>
        <v>598030</v>
      </c>
      <c r="K38" s="418">
        <v>0</v>
      </c>
      <c r="L38" s="924">
        <v>598030</v>
      </c>
      <c r="M38" s="418">
        <f>N38+O38</f>
        <v>0</v>
      </c>
      <c r="N38" s="205">
        <v>0</v>
      </c>
      <c r="O38" s="205">
        <v>0</v>
      </c>
      <c r="P38" s="668">
        <f t="shared" ref="P38" si="74">ROUND(J38*33.8%,0)</f>
        <v>202134</v>
      </c>
      <c r="Q38" s="668">
        <f t="shared" ref="Q38" si="75">ROUND(J38*1%,0)</f>
        <v>5980</v>
      </c>
      <c r="R38" s="674">
        <v>3920</v>
      </c>
      <c r="S38" s="419">
        <f>T38+U38</f>
        <v>1.7932999999999999</v>
      </c>
      <c r="T38" s="676">
        <v>0</v>
      </c>
      <c r="U38" s="909">
        <v>1.7932999999999999</v>
      </c>
      <c r="V38" s="428">
        <f t="shared" si="7"/>
        <v>0</v>
      </c>
      <c r="W38" s="421">
        <f t="shared" si="8"/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 t="shared" si="9"/>
        <v>0</v>
      </c>
      <c r="AG38" s="421">
        <f t="shared" si="10"/>
        <v>0</v>
      </c>
      <c r="AH38" s="421">
        <f t="shared" si="11"/>
        <v>0</v>
      </c>
      <c r="AI38" s="421">
        <v>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si="12"/>
        <v>0</v>
      </c>
      <c r="AP38" s="421">
        <f t="shared" si="13"/>
        <v>0</v>
      </c>
      <c r="AQ38" s="421">
        <f t="shared" si="14"/>
        <v>0</v>
      </c>
      <c r="AR38" s="421">
        <f t="shared" si="68"/>
        <v>0</v>
      </c>
      <c r="AS38" s="421">
        <f t="shared" si="68"/>
        <v>0</v>
      </c>
      <c r="AT38" s="421">
        <f t="shared" si="16"/>
        <v>0</v>
      </c>
      <c r="AU38" s="68">
        <f t="shared" si="69"/>
        <v>0</v>
      </c>
      <c r="AV38" s="68">
        <f>ROUND(AH38*1%,0)</f>
        <v>0</v>
      </c>
      <c r="AW38" s="421">
        <v>0</v>
      </c>
      <c r="AX38" s="421">
        <v>0</v>
      </c>
      <c r="AY38" s="421">
        <f t="shared" si="17"/>
        <v>0</v>
      </c>
      <c r="AZ38" s="421">
        <f t="shared" si="18"/>
        <v>0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>BA38+BC38+BD38+BF38+BH38+BI38</f>
        <v>0</v>
      </c>
      <c r="BL38" s="422">
        <f>BB38+BE38+BG38+BJ38</f>
        <v>0</v>
      </c>
      <c r="BM38" s="424">
        <f t="shared" si="19"/>
        <v>0</v>
      </c>
      <c r="BN38" s="427">
        <f>I38+AZ38</f>
        <v>810064</v>
      </c>
      <c r="BO38" s="421">
        <f>J38+AH38</f>
        <v>598030</v>
      </c>
      <c r="BP38" s="421">
        <f t="shared" si="70"/>
        <v>0</v>
      </c>
      <c r="BQ38" s="421">
        <f t="shared" si="70"/>
        <v>598030</v>
      </c>
      <c r="BR38" s="421">
        <f>M38+AQ38</f>
        <v>0</v>
      </c>
      <c r="BS38" s="421">
        <f t="shared" si="71"/>
        <v>0</v>
      </c>
      <c r="BT38" s="421">
        <f t="shared" si="71"/>
        <v>0</v>
      </c>
      <c r="BU38" s="421">
        <f t="shared" si="72"/>
        <v>202134</v>
      </c>
      <c r="BV38" s="421">
        <f t="shared" si="72"/>
        <v>5980</v>
      </c>
      <c r="BW38" s="421">
        <f>R38+AY38</f>
        <v>3920</v>
      </c>
      <c r="BX38" s="422">
        <f>S38+BM38</f>
        <v>1.7932999999999999</v>
      </c>
      <c r="BY38" s="422">
        <f t="shared" si="73"/>
        <v>0</v>
      </c>
      <c r="BZ38" s="611">
        <f t="shared" si="73"/>
        <v>1.7932999999999999</v>
      </c>
      <c r="CA38" s="423"/>
      <c r="CB38" s="418"/>
      <c r="CC38" s="418"/>
      <c r="CD38" s="418"/>
      <c r="CE38" s="418"/>
      <c r="CF38" s="527"/>
    </row>
    <row r="39" spans="1:84" ht="14.1" customHeight="1" x14ac:dyDescent="0.2">
      <c r="A39" s="72">
        <v>7</v>
      </c>
      <c r="B39" s="69">
        <v>2422</v>
      </c>
      <c r="C39" s="70">
        <v>600079082</v>
      </c>
      <c r="D39" s="69">
        <v>72742585</v>
      </c>
      <c r="E39" s="71" t="s">
        <v>548</v>
      </c>
      <c r="F39" s="72"/>
      <c r="G39" s="71"/>
      <c r="H39" s="73"/>
      <c r="I39" s="538">
        <f t="shared" ref="I39:BU39" si="76">SUM(I36:I38)</f>
        <v>10169341</v>
      </c>
      <c r="J39" s="74">
        <f t="shared" si="76"/>
        <v>7516704</v>
      </c>
      <c r="K39" s="74">
        <f t="shared" si="76"/>
        <v>6333455</v>
      </c>
      <c r="L39" s="74">
        <f t="shared" si="76"/>
        <v>1183249</v>
      </c>
      <c r="M39" s="74">
        <f t="shared" si="76"/>
        <v>0</v>
      </c>
      <c r="N39" s="74">
        <f t="shared" si="76"/>
        <v>0</v>
      </c>
      <c r="O39" s="74">
        <f t="shared" si="76"/>
        <v>0</v>
      </c>
      <c r="P39" s="74">
        <f t="shared" si="76"/>
        <v>2540646</v>
      </c>
      <c r="Q39" s="74">
        <f t="shared" si="76"/>
        <v>75167</v>
      </c>
      <c r="R39" s="74">
        <f t="shared" si="76"/>
        <v>36824</v>
      </c>
      <c r="S39" s="75">
        <f t="shared" si="76"/>
        <v>14.593300000000001</v>
      </c>
      <c r="T39" s="75">
        <f t="shared" si="76"/>
        <v>10.8065</v>
      </c>
      <c r="U39" s="753">
        <f t="shared" si="76"/>
        <v>3.7867999999999999</v>
      </c>
      <c r="V39" s="538">
        <f t="shared" si="76"/>
        <v>-25600</v>
      </c>
      <c r="W39" s="74">
        <f t="shared" si="76"/>
        <v>-10240</v>
      </c>
      <c r="X39" s="74">
        <f t="shared" si="76"/>
        <v>278101</v>
      </c>
      <c r="Y39" s="74">
        <f t="shared" si="76"/>
        <v>0</v>
      </c>
      <c r="Z39" s="74">
        <f t="shared" si="76"/>
        <v>0</v>
      </c>
      <c r="AA39" s="74">
        <f t="shared" si="76"/>
        <v>0</v>
      </c>
      <c r="AB39" s="74">
        <f t="shared" si="76"/>
        <v>0</v>
      </c>
      <c r="AC39" s="74">
        <f t="shared" si="76"/>
        <v>0</v>
      </c>
      <c r="AD39" s="74">
        <f t="shared" si="76"/>
        <v>0</v>
      </c>
      <c r="AE39" s="74">
        <f t="shared" si="76"/>
        <v>0</v>
      </c>
      <c r="AF39" s="74">
        <f t="shared" si="76"/>
        <v>252501</v>
      </c>
      <c r="AG39" s="74">
        <f t="shared" si="76"/>
        <v>-10240</v>
      </c>
      <c r="AH39" s="74">
        <f t="shared" si="76"/>
        <v>242261</v>
      </c>
      <c r="AI39" s="74">
        <f t="shared" si="76"/>
        <v>25600</v>
      </c>
      <c r="AJ39" s="74">
        <f t="shared" si="76"/>
        <v>10240</v>
      </c>
      <c r="AK39" s="74">
        <f t="shared" si="76"/>
        <v>0</v>
      </c>
      <c r="AL39" s="74">
        <f t="shared" si="76"/>
        <v>0</v>
      </c>
      <c r="AM39" s="74">
        <f t="shared" si="76"/>
        <v>0</v>
      </c>
      <c r="AN39" s="74">
        <f t="shared" si="76"/>
        <v>0</v>
      </c>
      <c r="AO39" s="74">
        <f t="shared" si="76"/>
        <v>25600</v>
      </c>
      <c r="AP39" s="74">
        <f t="shared" si="76"/>
        <v>10240</v>
      </c>
      <c r="AQ39" s="74">
        <f t="shared" si="76"/>
        <v>35840</v>
      </c>
      <c r="AR39" s="74">
        <f t="shared" si="76"/>
        <v>278101</v>
      </c>
      <c r="AS39" s="74">
        <f t="shared" si="76"/>
        <v>0</v>
      </c>
      <c r="AT39" s="74">
        <f t="shared" si="76"/>
        <v>278101</v>
      </c>
      <c r="AU39" s="74">
        <f t="shared" si="76"/>
        <v>93998</v>
      </c>
      <c r="AV39" s="74">
        <f t="shared" si="76"/>
        <v>2423</v>
      </c>
      <c r="AW39" s="74">
        <f t="shared" si="76"/>
        <v>0</v>
      </c>
      <c r="AX39" s="74">
        <f t="shared" si="76"/>
        <v>0</v>
      </c>
      <c r="AY39" s="74">
        <f t="shared" si="76"/>
        <v>0</v>
      </c>
      <c r="AZ39" s="74">
        <f t="shared" si="76"/>
        <v>374522</v>
      </c>
      <c r="BA39" s="75">
        <f t="shared" si="76"/>
        <v>0</v>
      </c>
      <c r="BB39" s="75">
        <f t="shared" si="76"/>
        <v>-0.01</v>
      </c>
      <c r="BC39" s="75">
        <f t="shared" si="76"/>
        <v>0.75</v>
      </c>
      <c r="BD39" s="75">
        <f t="shared" si="76"/>
        <v>0</v>
      </c>
      <c r="BE39" s="75">
        <f t="shared" si="76"/>
        <v>0</v>
      </c>
      <c r="BF39" s="75">
        <f t="shared" si="76"/>
        <v>0</v>
      </c>
      <c r="BG39" s="75">
        <f t="shared" si="76"/>
        <v>0</v>
      </c>
      <c r="BH39" s="75">
        <f t="shared" si="76"/>
        <v>0</v>
      </c>
      <c r="BI39" s="75">
        <f t="shared" si="76"/>
        <v>0</v>
      </c>
      <c r="BJ39" s="75">
        <f t="shared" si="76"/>
        <v>0</v>
      </c>
      <c r="BK39" s="75">
        <f t="shared" si="76"/>
        <v>0.75</v>
      </c>
      <c r="BL39" s="75">
        <f t="shared" si="76"/>
        <v>-0.01</v>
      </c>
      <c r="BM39" s="76">
        <f t="shared" si="76"/>
        <v>0.74</v>
      </c>
      <c r="BN39" s="549">
        <f t="shared" si="76"/>
        <v>10543863</v>
      </c>
      <c r="BO39" s="74">
        <f t="shared" si="76"/>
        <v>7758965</v>
      </c>
      <c r="BP39" s="74">
        <f t="shared" si="76"/>
        <v>6585956</v>
      </c>
      <c r="BQ39" s="74">
        <f t="shared" si="76"/>
        <v>1173009</v>
      </c>
      <c r="BR39" s="74">
        <f t="shared" si="76"/>
        <v>35840</v>
      </c>
      <c r="BS39" s="74">
        <f t="shared" si="76"/>
        <v>25600</v>
      </c>
      <c r="BT39" s="74">
        <f t="shared" si="76"/>
        <v>10240</v>
      </c>
      <c r="BU39" s="74">
        <f t="shared" si="76"/>
        <v>2634644</v>
      </c>
      <c r="BV39" s="74">
        <f t="shared" ref="BV39:CF39" si="77">SUM(BV36:BV38)</f>
        <v>77590</v>
      </c>
      <c r="BW39" s="74">
        <f t="shared" si="77"/>
        <v>36824</v>
      </c>
      <c r="BX39" s="75">
        <f t="shared" si="77"/>
        <v>15.333300000000001</v>
      </c>
      <c r="BY39" s="75">
        <f t="shared" si="77"/>
        <v>11.5565</v>
      </c>
      <c r="BZ39" s="753">
        <f t="shared" si="77"/>
        <v>3.7767999999999997</v>
      </c>
      <c r="CA39" s="796">
        <f t="shared" si="77"/>
        <v>0</v>
      </c>
      <c r="CB39" s="789">
        <f t="shared" si="77"/>
        <v>0</v>
      </c>
      <c r="CC39" s="789">
        <f t="shared" si="77"/>
        <v>0</v>
      </c>
      <c r="CD39" s="789">
        <f t="shared" si="77"/>
        <v>0</v>
      </c>
      <c r="CE39" s="789">
        <f t="shared" si="77"/>
        <v>0</v>
      </c>
      <c r="CF39" s="793">
        <f t="shared" si="77"/>
        <v>0</v>
      </c>
    </row>
    <row r="40" spans="1:84" ht="14.1" customHeight="1" x14ac:dyDescent="0.2">
      <c r="A40" s="66">
        <v>8</v>
      </c>
      <c r="B40" s="63">
        <v>2427</v>
      </c>
      <c r="C40" s="64">
        <v>600079091</v>
      </c>
      <c r="D40" s="63">
        <v>72741627</v>
      </c>
      <c r="E40" s="65" t="s">
        <v>549</v>
      </c>
      <c r="F40" s="66">
        <v>3111</v>
      </c>
      <c r="G40" s="65" t="s">
        <v>291</v>
      </c>
      <c r="H40" s="67" t="s">
        <v>271</v>
      </c>
      <c r="I40" s="423">
        <f t="shared" si="2"/>
        <v>5292786</v>
      </c>
      <c r="J40" s="418">
        <f t="shared" si="3"/>
        <v>3915703</v>
      </c>
      <c r="K40" s="418">
        <v>3583034</v>
      </c>
      <c r="L40" s="418">
        <v>332669</v>
      </c>
      <c r="M40" s="418">
        <f>N40+O40</f>
        <v>0</v>
      </c>
      <c r="N40" s="418">
        <v>0</v>
      </c>
      <c r="O40" s="418">
        <v>0</v>
      </c>
      <c r="P40" s="668">
        <f t="shared" si="4"/>
        <v>1323508</v>
      </c>
      <c r="Q40" s="668">
        <f t="shared" si="5"/>
        <v>39157</v>
      </c>
      <c r="R40" s="418">
        <v>14418</v>
      </c>
      <c r="S40" s="419">
        <f t="shared" si="6"/>
        <v>7.3617999999999997</v>
      </c>
      <c r="T40" s="419">
        <v>6.2417999999999996</v>
      </c>
      <c r="U40" s="426">
        <v>1.1200000000000001</v>
      </c>
      <c r="V40" s="428">
        <f t="shared" si="7"/>
        <v>0</v>
      </c>
      <c r="W40" s="421">
        <f t="shared" si="8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 t="shared" si="9"/>
        <v>0</v>
      </c>
      <c r="AG40" s="421">
        <f t="shared" si="10"/>
        <v>0</v>
      </c>
      <c r="AH40" s="421">
        <f t="shared" si="11"/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12"/>
        <v>0</v>
      </c>
      <c r="AP40" s="421">
        <f t="shared" si="13"/>
        <v>0</v>
      </c>
      <c r="AQ40" s="421">
        <f t="shared" si="14"/>
        <v>0</v>
      </c>
      <c r="AR40" s="421">
        <f>AF40+AO40</f>
        <v>0</v>
      </c>
      <c r="AS40" s="421">
        <f>AG40+AP40</f>
        <v>0</v>
      </c>
      <c r="AT40" s="421">
        <f t="shared" si="16"/>
        <v>0</v>
      </c>
      <c r="AU40" s="68">
        <f t="shared" ref="AU40:AU41" si="78">ROUND((AH40+AI40+AJ40+AK40+AL40)*33.8%,0)</f>
        <v>0</v>
      </c>
      <c r="AV40" s="68">
        <f>ROUND(AH40*1%,0)</f>
        <v>0</v>
      </c>
      <c r="AW40" s="421">
        <v>0</v>
      </c>
      <c r="AX40" s="421">
        <v>0</v>
      </c>
      <c r="AY40" s="421">
        <f t="shared" si="17"/>
        <v>0</v>
      </c>
      <c r="AZ40" s="421">
        <f t="shared" si="18"/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>BA40+BC40+BD40+BF40+BH40+BI40</f>
        <v>0</v>
      </c>
      <c r="BL40" s="422">
        <f>BB40+BE40+BG40+BJ40</f>
        <v>0</v>
      </c>
      <c r="BM40" s="424">
        <f t="shared" si="19"/>
        <v>0</v>
      </c>
      <c r="BN40" s="427">
        <f>I40+AZ40</f>
        <v>5292786</v>
      </c>
      <c r="BO40" s="421">
        <f>J40+AH40</f>
        <v>3915703</v>
      </c>
      <c r="BP40" s="421">
        <f>K40+AF40</f>
        <v>3583034</v>
      </c>
      <c r="BQ40" s="421">
        <f>L40+AG40</f>
        <v>332669</v>
      </c>
      <c r="BR40" s="421">
        <f>M40+AQ40</f>
        <v>0</v>
      </c>
      <c r="BS40" s="421">
        <f>N40+AO40</f>
        <v>0</v>
      </c>
      <c r="BT40" s="421">
        <f>O40+AP40</f>
        <v>0</v>
      </c>
      <c r="BU40" s="421">
        <f>P40+AU40</f>
        <v>1323508</v>
      </c>
      <c r="BV40" s="421">
        <f>Q40+AV40</f>
        <v>39157</v>
      </c>
      <c r="BW40" s="421">
        <f>R40+AY40</f>
        <v>14418</v>
      </c>
      <c r="BX40" s="422">
        <f>S40+BM40</f>
        <v>7.3617999999999997</v>
      </c>
      <c r="BY40" s="422">
        <f>T40+BK40</f>
        <v>6.2417999999999996</v>
      </c>
      <c r="BZ40" s="611">
        <f>U40+BL40</f>
        <v>1.1200000000000001</v>
      </c>
      <c r="CA40" s="423"/>
      <c r="CB40" s="418"/>
      <c r="CC40" s="418"/>
      <c r="CD40" s="418"/>
      <c r="CE40" s="418"/>
      <c r="CF40" s="527"/>
    </row>
    <row r="41" spans="1:84" ht="14.1" customHeight="1" x14ac:dyDescent="0.2">
      <c r="A41" s="66">
        <v>8</v>
      </c>
      <c r="B41" s="63">
        <v>2427</v>
      </c>
      <c r="C41" s="64">
        <v>600079091</v>
      </c>
      <c r="D41" s="63">
        <v>72741627</v>
      </c>
      <c r="E41" s="65" t="s">
        <v>549</v>
      </c>
      <c r="F41" s="66">
        <v>3141</v>
      </c>
      <c r="G41" s="65" t="s">
        <v>295</v>
      </c>
      <c r="H41" s="67" t="s">
        <v>272</v>
      </c>
      <c r="I41" s="423">
        <f t="shared" si="2"/>
        <v>199058</v>
      </c>
      <c r="J41" s="418">
        <f t="shared" si="3"/>
        <v>146731</v>
      </c>
      <c r="K41" s="418">
        <v>0</v>
      </c>
      <c r="L41" s="924">
        <v>146731</v>
      </c>
      <c r="M41" s="418">
        <f>N41+O41</f>
        <v>0</v>
      </c>
      <c r="N41" s="205">
        <v>0</v>
      </c>
      <c r="O41" s="205">
        <v>0</v>
      </c>
      <c r="P41" s="668">
        <f t="shared" ref="P41" si="79">ROUND(J41*33.8%,0)</f>
        <v>49595</v>
      </c>
      <c r="Q41" s="668">
        <f t="shared" ref="Q41" si="80">ROUND(J41*1%,0)</f>
        <v>1467</v>
      </c>
      <c r="R41" s="674">
        <v>1265</v>
      </c>
      <c r="S41" s="419">
        <f>T41+U41</f>
        <v>0.44</v>
      </c>
      <c r="T41" s="676">
        <v>0</v>
      </c>
      <c r="U41" s="909">
        <v>0.44</v>
      </c>
      <c r="V41" s="428">
        <f t="shared" si="7"/>
        <v>0</v>
      </c>
      <c r="W41" s="421">
        <f t="shared" si="8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 t="shared" si="9"/>
        <v>0</v>
      </c>
      <c r="AG41" s="421">
        <f t="shared" si="10"/>
        <v>0</v>
      </c>
      <c r="AH41" s="421">
        <f t="shared" si="11"/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12"/>
        <v>0</v>
      </c>
      <c r="AP41" s="421">
        <f t="shared" si="13"/>
        <v>0</v>
      </c>
      <c r="AQ41" s="421">
        <f t="shared" si="14"/>
        <v>0</v>
      </c>
      <c r="AR41" s="421">
        <f>AF41+AO41</f>
        <v>0</v>
      </c>
      <c r="AS41" s="421">
        <f>AG41+AP41</f>
        <v>0</v>
      </c>
      <c r="AT41" s="421">
        <f t="shared" si="16"/>
        <v>0</v>
      </c>
      <c r="AU41" s="68">
        <f t="shared" si="78"/>
        <v>0</v>
      </c>
      <c r="AV41" s="68">
        <f>ROUND(AH41*1%,0)</f>
        <v>0</v>
      </c>
      <c r="AW41" s="421">
        <v>0</v>
      </c>
      <c r="AX41" s="421">
        <v>0</v>
      </c>
      <c r="AY41" s="421">
        <f t="shared" si="17"/>
        <v>0</v>
      </c>
      <c r="AZ41" s="421">
        <f t="shared" si="18"/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0</v>
      </c>
      <c r="BL41" s="422">
        <f>BB41+BE41+BG41+BJ41</f>
        <v>0</v>
      </c>
      <c r="BM41" s="424">
        <f t="shared" si="19"/>
        <v>0</v>
      </c>
      <c r="BN41" s="427">
        <f>I41+AZ41</f>
        <v>199058</v>
      </c>
      <c r="BO41" s="421">
        <f>J41+AH41</f>
        <v>146731</v>
      </c>
      <c r="BP41" s="421">
        <f>K41+AF41</f>
        <v>0</v>
      </c>
      <c r="BQ41" s="421">
        <f>L41+AG41</f>
        <v>146731</v>
      </c>
      <c r="BR41" s="421">
        <f>M41+AQ41</f>
        <v>0</v>
      </c>
      <c r="BS41" s="421">
        <f>N41+AO41</f>
        <v>0</v>
      </c>
      <c r="BT41" s="421">
        <f>O41+AP41</f>
        <v>0</v>
      </c>
      <c r="BU41" s="421">
        <f>P41+AU41</f>
        <v>49595</v>
      </c>
      <c r="BV41" s="421">
        <f>Q41+AV41</f>
        <v>1467</v>
      </c>
      <c r="BW41" s="421">
        <f>R41+AY41</f>
        <v>1265</v>
      </c>
      <c r="BX41" s="422">
        <f>S41+BM41</f>
        <v>0.44</v>
      </c>
      <c r="BY41" s="422">
        <f>T41+BK41</f>
        <v>0</v>
      </c>
      <c r="BZ41" s="611">
        <f>U41+BL41</f>
        <v>0.44</v>
      </c>
      <c r="CA41" s="423"/>
      <c r="CB41" s="418"/>
      <c r="CC41" s="418"/>
      <c r="CD41" s="418"/>
      <c r="CE41" s="418"/>
      <c r="CF41" s="527"/>
    </row>
    <row r="42" spans="1:84" ht="14.1" customHeight="1" x14ac:dyDescent="0.2">
      <c r="A42" s="72">
        <v>8</v>
      </c>
      <c r="B42" s="69">
        <v>2427</v>
      </c>
      <c r="C42" s="70">
        <v>600079091</v>
      </c>
      <c r="D42" s="69">
        <v>72741627</v>
      </c>
      <c r="E42" s="71" t="s">
        <v>550</v>
      </c>
      <c r="F42" s="72"/>
      <c r="G42" s="71"/>
      <c r="H42" s="73"/>
      <c r="I42" s="538">
        <f t="shared" ref="I42:BU42" si="81">SUM(I40:I41)</f>
        <v>5491844</v>
      </c>
      <c r="J42" s="74">
        <f t="shared" si="81"/>
        <v>4062434</v>
      </c>
      <c r="K42" s="74">
        <f t="shared" si="81"/>
        <v>3583034</v>
      </c>
      <c r="L42" s="74">
        <f t="shared" si="81"/>
        <v>479400</v>
      </c>
      <c r="M42" s="74">
        <f t="shared" si="81"/>
        <v>0</v>
      </c>
      <c r="N42" s="74">
        <f t="shared" si="81"/>
        <v>0</v>
      </c>
      <c r="O42" s="74">
        <f t="shared" si="81"/>
        <v>0</v>
      </c>
      <c r="P42" s="74">
        <f t="shared" si="81"/>
        <v>1373103</v>
      </c>
      <c r="Q42" s="74">
        <f t="shared" si="81"/>
        <v>40624</v>
      </c>
      <c r="R42" s="74">
        <f t="shared" si="81"/>
        <v>15683</v>
      </c>
      <c r="S42" s="75">
        <f t="shared" si="81"/>
        <v>7.8018000000000001</v>
      </c>
      <c r="T42" s="75">
        <f t="shared" si="81"/>
        <v>6.2417999999999996</v>
      </c>
      <c r="U42" s="753">
        <f t="shared" si="81"/>
        <v>1.56</v>
      </c>
      <c r="V42" s="538">
        <f t="shared" si="81"/>
        <v>0</v>
      </c>
      <c r="W42" s="74">
        <f t="shared" si="81"/>
        <v>0</v>
      </c>
      <c r="X42" s="74">
        <f t="shared" si="81"/>
        <v>0</v>
      </c>
      <c r="Y42" s="74">
        <f t="shared" si="81"/>
        <v>0</v>
      </c>
      <c r="Z42" s="74">
        <f t="shared" si="81"/>
        <v>0</v>
      </c>
      <c r="AA42" s="74">
        <f t="shared" si="81"/>
        <v>0</v>
      </c>
      <c r="AB42" s="74">
        <f t="shared" si="81"/>
        <v>0</v>
      </c>
      <c r="AC42" s="74">
        <f t="shared" si="81"/>
        <v>0</v>
      </c>
      <c r="AD42" s="74">
        <f t="shared" si="81"/>
        <v>0</v>
      </c>
      <c r="AE42" s="74">
        <f t="shared" si="81"/>
        <v>0</v>
      </c>
      <c r="AF42" s="74">
        <f t="shared" si="81"/>
        <v>0</v>
      </c>
      <c r="AG42" s="74">
        <f t="shared" si="81"/>
        <v>0</v>
      </c>
      <c r="AH42" s="74">
        <f t="shared" si="81"/>
        <v>0</v>
      </c>
      <c r="AI42" s="74">
        <f t="shared" si="81"/>
        <v>0</v>
      </c>
      <c r="AJ42" s="74">
        <f t="shared" si="81"/>
        <v>0</v>
      </c>
      <c r="AK42" s="74">
        <f t="shared" si="81"/>
        <v>0</v>
      </c>
      <c r="AL42" s="74">
        <f t="shared" si="81"/>
        <v>0</v>
      </c>
      <c r="AM42" s="74">
        <f t="shared" si="81"/>
        <v>0</v>
      </c>
      <c r="AN42" s="74">
        <f t="shared" si="81"/>
        <v>0</v>
      </c>
      <c r="AO42" s="74">
        <f t="shared" si="81"/>
        <v>0</v>
      </c>
      <c r="AP42" s="74">
        <f t="shared" si="81"/>
        <v>0</v>
      </c>
      <c r="AQ42" s="74">
        <f t="shared" si="81"/>
        <v>0</v>
      </c>
      <c r="AR42" s="74">
        <f t="shared" si="81"/>
        <v>0</v>
      </c>
      <c r="AS42" s="74">
        <f t="shared" si="81"/>
        <v>0</v>
      </c>
      <c r="AT42" s="74">
        <f t="shared" si="81"/>
        <v>0</v>
      </c>
      <c r="AU42" s="74">
        <f t="shared" si="81"/>
        <v>0</v>
      </c>
      <c r="AV42" s="74">
        <f t="shared" si="81"/>
        <v>0</v>
      </c>
      <c r="AW42" s="74">
        <f t="shared" si="81"/>
        <v>0</v>
      </c>
      <c r="AX42" s="74">
        <f t="shared" si="81"/>
        <v>0</v>
      </c>
      <c r="AY42" s="74">
        <f t="shared" si="81"/>
        <v>0</v>
      </c>
      <c r="AZ42" s="74">
        <f t="shared" si="81"/>
        <v>0</v>
      </c>
      <c r="BA42" s="75">
        <f t="shared" si="81"/>
        <v>0</v>
      </c>
      <c r="BB42" s="75">
        <f t="shared" si="81"/>
        <v>0</v>
      </c>
      <c r="BC42" s="75">
        <f t="shared" si="81"/>
        <v>0</v>
      </c>
      <c r="BD42" s="75">
        <f t="shared" si="81"/>
        <v>0</v>
      </c>
      <c r="BE42" s="75">
        <f t="shared" si="81"/>
        <v>0</v>
      </c>
      <c r="BF42" s="75">
        <f t="shared" si="81"/>
        <v>0</v>
      </c>
      <c r="BG42" s="75">
        <f t="shared" si="81"/>
        <v>0</v>
      </c>
      <c r="BH42" s="75">
        <f t="shared" si="81"/>
        <v>0</v>
      </c>
      <c r="BI42" s="75">
        <f t="shared" si="81"/>
        <v>0</v>
      </c>
      <c r="BJ42" s="75">
        <f t="shared" si="81"/>
        <v>0</v>
      </c>
      <c r="BK42" s="75">
        <f t="shared" si="81"/>
        <v>0</v>
      </c>
      <c r="BL42" s="75">
        <f t="shared" si="81"/>
        <v>0</v>
      </c>
      <c r="BM42" s="76">
        <f t="shared" si="81"/>
        <v>0</v>
      </c>
      <c r="BN42" s="549">
        <f t="shared" si="81"/>
        <v>5491844</v>
      </c>
      <c r="BO42" s="74">
        <f t="shared" si="81"/>
        <v>4062434</v>
      </c>
      <c r="BP42" s="74">
        <f t="shared" si="81"/>
        <v>3583034</v>
      </c>
      <c r="BQ42" s="74">
        <f t="shared" si="81"/>
        <v>479400</v>
      </c>
      <c r="BR42" s="74">
        <f t="shared" si="81"/>
        <v>0</v>
      </c>
      <c r="BS42" s="74">
        <f t="shared" si="81"/>
        <v>0</v>
      </c>
      <c r="BT42" s="74">
        <f t="shared" si="81"/>
        <v>0</v>
      </c>
      <c r="BU42" s="74">
        <f t="shared" si="81"/>
        <v>1373103</v>
      </c>
      <c r="BV42" s="74">
        <f t="shared" ref="BV42:CF42" si="82">SUM(BV40:BV41)</f>
        <v>40624</v>
      </c>
      <c r="BW42" s="74">
        <f t="shared" si="82"/>
        <v>15683</v>
      </c>
      <c r="BX42" s="75">
        <f t="shared" si="82"/>
        <v>7.8018000000000001</v>
      </c>
      <c r="BY42" s="75">
        <f t="shared" si="82"/>
        <v>6.2417999999999996</v>
      </c>
      <c r="BZ42" s="753">
        <f t="shared" si="82"/>
        <v>1.56</v>
      </c>
      <c r="CA42" s="796">
        <f t="shared" si="82"/>
        <v>0</v>
      </c>
      <c r="CB42" s="789">
        <f t="shared" si="82"/>
        <v>0</v>
      </c>
      <c r="CC42" s="789">
        <f t="shared" si="82"/>
        <v>0</v>
      </c>
      <c r="CD42" s="789">
        <f t="shared" si="82"/>
        <v>0</v>
      </c>
      <c r="CE42" s="789">
        <f t="shared" si="82"/>
        <v>0</v>
      </c>
      <c r="CF42" s="793">
        <f t="shared" si="82"/>
        <v>0</v>
      </c>
    </row>
    <row r="43" spans="1:84" ht="14.1" customHeight="1" x14ac:dyDescent="0.2">
      <c r="A43" s="66">
        <v>9</v>
      </c>
      <c r="B43" s="63">
        <v>2327</v>
      </c>
      <c r="C43" s="64">
        <v>691002606</v>
      </c>
      <c r="D43" s="63">
        <v>72076950</v>
      </c>
      <c r="E43" s="65" t="s">
        <v>551</v>
      </c>
      <c r="F43" s="66">
        <v>3111</v>
      </c>
      <c r="G43" s="65" t="s">
        <v>291</v>
      </c>
      <c r="H43" s="67" t="s">
        <v>271</v>
      </c>
      <c r="I43" s="423">
        <f t="shared" si="2"/>
        <v>9615436</v>
      </c>
      <c r="J43" s="418">
        <f t="shared" si="3"/>
        <v>7111523</v>
      </c>
      <c r="K43" s="418">
        <v>6526304</v>
      </c>
      <c r="L43" s="418">
        <v>585219</v>
      </c>
      <c r="M43" s="418">
        <f>N43+O43</f>
        <v>0</v>
      </c>
      <c r="N43" s="418">
        <v>0</v>
      </c>
      <c r="O43" s="418">
        <v>0</v>
      </c>
      <c r="P43" s="668">
        <f t="shared" si="4"/>
        <v>2403695</v>
      </c>
      <c r="Q43" s="668">
        <f t="shared" si="5"/>
        <v>71115</v>
      </c>
      <c r="R43" s="418">
        <v>29103</v>
      </c>
      <c r="S43" s="419">
        <f t="shared" si="6"/>
        <v>13.203099999999999</v>
      </c>
      <c r="T43" s="419">
        <v>11.2096</v>
      </c>
      <c r="U43" s="426">
        <v>1.9935</v>
      </c>
      <c r="V43" s="428">
        <f t="shared" si="7"/>
        <v>0</v>
      </c>
      <c r="W43" s="421">
        <f t="shared" si="8"/>
        <v>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 t="shared" si="9"/>
        <v>0</v>
      </c>
      <c r="AG43" s="421">
        <f t="shared" si="10"/>
        <v>0</v>
      </c>
      <c r="AH43" s="421">
        <f t="shared" si="11"/>
        <v>0</v>
      </c>
      <c r="AI43" s="421">
        <v>0</v>
      </c>
      <c r="AJ43" s="421">
        <v>0</v>
      </c>
      <c r="AK43" s="421">
        <v>0</v>
      </c>
      <c r="AL43" s="421">
        <v>0</v>
      </c>
      <c r="AM43" s="421">
        <v>0</v>
      </c>
      <c r="AN43" s="421">
        <v>0</v>
      </c>
      <c r="AO43" s="421">
        <f t="shared" si="12"/>
        <v>0</v>
      </c>
      <c r="AP43" s="421">
        <f t="shared" si="13"/>
        <v>0</v>
      </c>
      <c r="AQ43" s="421">
        <f t="shared" si="14"/>
        <v>0</v>
      </c>
      <c r="AR43" s="421">
        <f t="shared" ref="AR43:AS45" si="83">AF43+AO43</f>
        <v>0</v>
      </c>
      <c r="AS43" s="421">
        <f t="shared" si="83"/>
        <v>0</v>
      </c>
      <c r="AT43" s="421">
        <f t="shared" si="16"/>
        <v>0</v>
      </c>
      <c r="AU43" s="68">
        <f t="shared" ref="AU43:AU45" si="84">ROUND((AH43+AI43+AJ43+AK43+AL43)*33.8%,0)</f>
        <v>0</v>
      </c>
      <c r="AV43" s="68">
        <f>ROUND(AH43*1%,0)</f>
        <v>0</v>
      </c>
      <c r="AW43" s="421">
        <v>0</v>
      </c>
      <c r="AX43" s="421">
        <v>0</v>
      </c>
      <c r="AY43" s="421">
        <f t="shared" si="17"/>
        <v>0</v>
      </c>
      <c r="AZ43" s="421">
        <f t="shared" si="18"/>
        <v>0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>BA43+BC43+BD43+BF43+BH43+BI43</f>
        <v>0</v>
      </c>
      <c r="BL43" s="422">
        <f>BB43+BE43+BG43+BJ43</f>
        <v>0</v>
      </c>
      <c r="BM43" s="424">
        <f t="shared" si="19"/>
        <v>0</v>
      </c>
      <c r="BN43" s="427">
        <f>I43+AZ43</f>
        <v>9615436</v>
      </c>
      <c r="BO43" s="421">
        <f>J43+AH43</f>
        <v>7111523</v>
      </c>
      <c r="BP43" s="421">
        <f t="shared" ref="BP43:BQ45" si="85">K43+AF43</f>
        <v>6526304</v>
      </c>
      <c r="BQ43" s="421">
        <f t="shared" si="85"/>
        <v>585219</v>
      </c>
      <c r="BR43" s="421">
        <f>M43+AQ43</f>
        <v>0</v>
      </c>
      <c r="BS43" s="421">
        <f t="shared" ref="BS43:BT45" si="86">N43+AO43</f>
        <v>0</v>
      </c>
      <c r="BT43" s="421">
        <f t="shared" si="86"/>
        <v>0</v>
      </c>
      <c r="BU43" s="421">
        <f t="shared" ref="BU43:BV45" si="87">P43+AU43</f>
        <v>2403695</v>
      </c>
      <c r="BV43" s="421">
        <f t="shared" si="87"/>
        <v>71115</v>
      </c>
      <c r="BW43" s="421">
        <f>R43+AY43</f>
        <v>29103</v>
      </c>
      <c r="BX43" s="422">
        <f>S43+BM43</f>
        <v>13.203099999999999</v>
      </c>
      <c r="BY43" s="422">
        <f t="shared" ref="BY43:BZ45" si="88">T43+BK43</f>
        <v>11.2096</v>
      </c>
      <c r="BZ43" s="611">
        <f t="shared" si="88"/>
        <v>1.9935</v>
      </c>
      <c r="CA43" s="423"/>
      <c r="CB43" s="418"/>
      <c r="CC43" s="418"/>
      <c r="CD43" s="418"/>
      <c r="CE43" s="418"/>
      <c r="CF43" s="527"/>
    </row>
    <row r="44" spans="1:84" ht="14.1" customHeight="1" x14ac:dyDescent="0.2">
      <c r="A44" s="66">
        <v>9</v>
      </c>
      <c r="B44" s="63">
        <v>2327</v>
      </c>
      <c r="C44" s="64">
        <v>691002606</v>
      </c>
      <c r="D44" s="63">
        <v>72076950</v>
      </c>
      <c r="E44" s="65" t="s">
        <v>551</v>
      </c>
      <c r="F44" s="66">
        <v>3111</v>
      </c>
      <c r="G44" s="77" t="s">
        <v>292</v>
      </c>
      <c r="H44" s="67" t="s">
        <v>272</v>
      </c>
      <c r="I44" s="423">
        <f t="shared" si="2"/>
        <v>0</v>
      </c>
      <c r="J44" s="418">
        <f t="shared" si="3"/>
        <v>0</v>
      </c>
      <c r="K44" s="418">
        <v>0</v>
      </c>
      <c r="L44" s="418">
        <v>0</v>
      </c>
      <c r="M44" s="418">
        <f t="shared" si="24"/>
        <v>0</v>
      </c>
      <c r="N44" s="418">
        <v>0</v>
      </c>
      <c r="O44" s="418">
        <v>0</v>
      </c>
      <c r="P44" s="668">
        <f t="shared" si="4"/>
        <v>0</v>
      </c>
      <c r="Q44" s="668">
        <f t="shared" si="5"/>
        <v>0</v>
      </c>
      <c r="R44" s="418">
        <v>0</v>
      </c>
      <c r="S44" s="419">
        <f t="shared" si="6"/>
        <v>0</v>
      </c>
      <c r="T44" s="420">
        <v>0</v>
      </c>
      <c r="U44" s="426">
        <v>0</v>
      </c>
      <c r="V44" s="428">
        <f t="shared" si="7"/>
        <v>0</v>
      </c>
      <c r="W44" s="421">
        <f t="shared" si="8"/>
        <v>0</v>
      </c>
      <c r="X44" s="16">
        <v>457322</v>
      </c>
      <c r="Y44" s="16">
        <v>0</v>
      </c>
      <c r="Z44" s="16">
        <v>0</v>
      </c>
      <c r="AA44" s="16">
        <v>0</v>
      </c>
      <c r="AB44" s="421">
        <v>0</v>
      </c>
      <c r="AC44" s="16">
        <v>0</v>
      </c>
      <c r="AD44" s="16">
        <v>0</v>
      </c>
      <c r="AE44" s="16">
        <v>0</v>
      </c>
      <c r="AF44" s="421">
        <f t="shared" si="9"/>
        <v>457322</v>
      </c>
      <c r="AG44" s="421">
        <f t="shared" si="10"/>
        <v>0</v>
      </c>
      <c r="AH44" s="421">
        <f t="shared" si="11"/>
        <v>457322</v>
      </c>
      <c r="AI44" s="16">
        <v>0</v>
      </c>
      <c r="AJ44" s="16">
        <v>0</v>
      </c>
      <c r="AK44" s="421">
        <v>0</v>
      </c>
      <c r="AL44" s="16">
        <v>0</v>
      </c>
      <c r="AM44" s="16">
        <v>0</v>
      </c>
      <c r="AN44" s="16">
        <v>0</v>
      </c>
      <c r="AO44" s="421">
        <f t="shared" si="12"/>
        <v>0</v>
      </c>
      <c r="AP44" s="16">
        <v>0</v>
      </c>
      <c r="AQ44" s="421">
        <f t="shared" si="14"/>
        <v>0</v>
      </c>
      <c r="AR44" s="421">
        <f t="shared" si="83"/>
        <v>457322</v>
      </c>
      <c r="AS44" s="421">
        <f t="shared" si="83"/>
        <v>0</v>
      </c>
      <c r="AT44" s="421">
        <f t="shared" si="16"/>
        <v>457322</v>
      </c>
      <c r="AU44" s="68">
        <f t="shared" si="84"/>
        <v>154575</v>
      </c>
      <c r="AV44" s="68">
        <f>ROUND(AH44*1%,0)</f>
        <v>4573</v>
      </c>
      <c r="AW44" s="16">
        <v>0</v>
      </c>
      <c r="AX44" s="16">
        <v>0</v>
      </c>
      <c r="AY44" s="421">
        <f t="shared" si="17"/>
        <v>0</v>
      </c>
      <c r="AZ44" s="421">
        <f t="shared" si="18"/>
        <v>616470</v>
      </c>
      <c r="BA44" s="13">
        <v>0</v>
      </c>
      <c r="BB44" s="13">
        <v>0</v>
      </c>
      <c r="BC44" s="13">
        <v>1.5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</v>
      </c>
      <c r="BK44" s="422">
        <f>BA44+BC44+BD44+BF44+BH44+BI44</f>
        <v>1.5</v>
      </c>
      <c r="BL44" s="422">
        <f>BB44+BE44+BG44+BJ44</f>
        <v>0</v>
      </c>
      <c r="BM44" s="424">
        <f t="shared" si="19"/>
        <v>1.5</v>
      </c>
      <c r="BN44" s="427">
        <f>I44+AZ44</f>
        <v>616470</v>
      </c>
      <c r="BO44" s="421">
        <f>J44+AH44</f>
        <v>457322</v>
      </c>
      <c r="BP44" s="421">
        <f t="shared" si="85"/>
        <v>457322</v>
      </c>
      <c r="BQ44" s="421">
        <f t="shared" si="85"/>
        <v>0</v>
      </c>
      <c r="BR44" s="421">
        <f>M44+AQ44</f>
        <v>0</v>
      </c>
      <c r="BS44" s="421">
        <f t="shared" si="86"/>
        <v>0</v>
      </c>
      <c r="BT44" s="421">
        <f t="shared" si="86"/>
        <v>0</v>
      </c>
      <c r="BU44" s="421">
        <f t="shared" si="87"/>
        <v>154575</v>
      </c>
      <c r="BV44" s="421">
        <f t="shared" si="87"/>
        <v>4573</v>
      </c>
      <c r="BW44" s="421">
        <f>R44+AY44</f>
        <v>0</v>
      </c>
      <c r="BX44" s="422">
        <f>S44+BM44</f>
        <v>1.5</v>
      </c>
      <c r="BY44" s="422">
        <f t="shared" si="88"/>
        <v>1.5</v>
      </c>
      <c r="BZ44" s="611">
        <f t="shared" si="88"/>
        <v>0</v>
      </c>
      <c r="CA44" s="423"/>
      <c r="CB44" s="418"/>
      <c r="CC44" s="418"/>
      <c r="CD44" s="418"/>
      <c r="CE44" s="418"/>
      <c r="CF44" s="527"/>
    </row>
    <row r="45" spans="1:84" ht="14.1" customHeight="1" x14ac:dyDescent="0.2">
      <c r="A45" s="66">
        <v>9</v>
      </c>
      <c r="B45" s="63">
        <v>2327</v>
      </c>
      <c r="C45" s="64">
        <v>691002606</v>
      </c>
      <c r="D45" s="63">
        <v>72076950</v>
      </c>
      <c r="E45" s="65" t="s">
        <v>551</v>
      </c>
      <c r="F45" s="66">
        <v>3141</v>
      </c>
      <c r="G45" s="65" t="s">
        <v>295</v>
      </c>
      <c r="H45" s="67" t="s">
        <v>272</v>
      </c>
      <c r="I45" s="423">
        <f t="shared" si="2"/>
        <v>788977</v>
      </c>
      <c r="J45" s="418">
        <f t="shared" si="3"/>
        <v>582490</v>
      </c>
      <c r="K45" s="418">
        <v>0</v>
      </c>
      <c r="L45" s="924">
        <v>582490</v>
      </c>
      <c r="M45" s="418">
        <f>N45+O45</f>
        <v>0</v>
      </c>
      <c r="N45" s="205">
        <v>0</v>
      </c>
      <c r="O45" s="205">
        <v>0</v>
      </c>
      <c r="P45" s="668">
        <f t="shared" ref="P45" si="89">ROUND(J45*33.8%,0)</f>
        <v>196882</v>
      </c>
      <c r="Q45" s="668">
        <f t="shared" ref="Q45" si="90">ROUND(J45*1%,0)</f>
        <v>5825</v>
      </c>
      <c r="R45" s="674">
        <v>3780</v>
      </c>
      <c r="S45" s="419">
        <f>T45+U45</f>
        <v>1.7466999999999999</v>
      </c>
      <c r="T45" s="676">
        <v>0</v>
      </c>
      <c r="U45" s="909">
        <v>1.7466999999999999</v>
      </c>
      <c r="V45" s="428">
        <f t="shared" si="7"/>
        <v>0</v>
      </c>
      <c r="W45" s="421">
        <f t="shared" si="8"/>
        <v>0</v>
      </c>
      <c r="X45" s="421">
        <v>0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 t="shared" si="9"/>
        <v>0</v>
      </c>
      <c r="AG45" s="421">
        <f t="shared" si="10"/>
        <v>0</v>
      </c>
      <c r="AH45" s="421">
        <f t="shared" si="11"/>
        <v>0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si="12"/>
        <v>0</v>
      </c>
      <c r="AP45" s="421">
        <f t="shared" si="13"/>
        <v>0</v>
      </c>
      <c r="AQ45" s="421">
        <f t="shared" si="14"/>
        <v>0</v>
      </c>
      <c r="AR45" s="421">
        <f t="shared" si="83"/>
        <v>0</v>
      </c>
      <c r="AS45" s="421">
        <f t="shared" si="83"/>
        <v>0</v>
      </c>
      <c r="AT45" s="421">
        <f t="shared" si="16"/>
        <v>0</v>
      </c>
      <c r="AU45" s="68">
        <f t="shared" si="84"/>
        <v>0</v>
      </c>
      <c r="AV45" s="68">
        <f>ROUND(AH45*1%,0)</f>
        <v>0</v>
      </c>
      <c r="AW45" s="421">
        <v>0</v>
      </c>
      <c r="AX45" s="421">
        <v>0</v>
      </c>
      <c r="AY45" s="421">
        <f t="shared" si="17"/>
        <v>0</v>
      </c>
      <c r="AZ45" s="421">
        <f t="shared" si="18"/>
        <v>0</v>
      </c>
      <c r="BA45" s="422">
        <v>0</v>
      </c>
      <c r="BB45" s="422">
        <v>0</v>
      </c>
      <c r="BC45" s="422">
        <v>0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0</v>
      </c>
      <c r="BL45" s="422">
        <f>BB45+BE45+BG45+BJ45</f>
        <v>0</v>
      </c>
      <c r="BM45" s="424">
        <f t="shared" si="19"/>
        <v>0</v>
      </c>
      <c r="BN45" s="427">
        <f>I45+AZ45</f>
        <v>788977</v>
      </c>
      <c r="BO45" s="421">
        <f>J45+AH45</f>
        <v>582490</v>
      </c>
      <c r="BP45" s="421">
        <f t="shared" si="85"/>
        <v>0</v>
      </c>
      <c r="BQ45" s="421">
        <f t="shared" si="85"/>
        <v>582490</v>
      </c>
      <c r="BR45" s="421">
        <f>M45+AQ45</f>
        <v>0</v>
      </c>
      <c r="BS45" s="421">
        <f t="shared" si="86"/>
        <v>0</v>
      </c>
      <c r="BT45" s="421">
        <f t="shared" si="86"/>
        <v>0</v>
      </c>
      <c r="BU45" s="421">
        <f t="shared" si="87"/>
        <v>196882</v>
      </c>
      <c r="BV45" s="421">
        <f t="shared" si="87"/>
        <v>5825</v>
      </c>
      <c r="BW45" s="421">
        <f>R45+AY45</f>
        <v>3780</v>
      </c>
      <c r="BX45" s="422">
        <f>S45+BM45</f>
        <v>1.7466999999999999</v>
      </c>
      <c r="BY45" s="422">
        <f t="shared" si="88"/>
        <v>0</v>
      </c>
      <c r="BZ45" s="611">
        <f t="shared" si="88"/>
        <v>1.7466999999999999</v>
      </c>
      <c r="CA45" s="423"/>
      <c r="CB45" s="418"/>
      <c r="CC45" s="418"/>
      <c r="CD45" s="418"/>
      <c r="CE45" s="418"/>
      <c r="CF45" s="527"/>
    </row>
    <row r="46" spans="1:84" ht="14.1" customHeight="1" x14ac:dyDescent="0.2">
      <c r="A46" s="72">
        <v>9</v>
      </c>
      <c r="B46" s="69">
        <v>2327</v>
      </c>
      <c r="C46" s="70">
        <v>691002606</v>
      </c>
      <c r="D46" s="69">
        <v>72076950</v>
      </c>
      <c r="E46" s="71" t="s">
        <v>552</v>
      </c>
      <c r="F46" s="72"/>
      <c r="G46" s="71"/>
      <c r="H46" s="73"/>
      <c r="I46" s="538">
        <f t="shared" ref="I46:BU46" si="91">SUM(I43:I45)</f>
        <v>10404413</v>
      </c>
      <c r="J46" s="74">
        <f t="shared" si="91"/>
        <v>7694013</v>
      </c>
      <c r="K46" s="74">
        <f t="shared" si="91"/>
        <v>6526304</v>
      </c>
      <c r="L46" s="74">
        <f t="shared" si="91"/>
        <v>1167709</v>
      </c>
      <c r="M46" s="74">
        <f t="shared" si="91"/>
        <v>0</v>
      </c>
      <c r="N46" s="74">
        <f t="shared" si="91"/>
        <v>0</v>
      </c>
      <c r="O46" s="74">
        <f t="shared" si="91"/>
        <v>0</v>
      </c>
      <c r="P46" s="74">
        <f t="shared" si="91"/>
        <v>2600577</v>
      </c>
      <c r="Q46" s="74">
        <f t="shared" si="91"/>
        <v>76940</v>
      </c>
      <c r="R46" s="74">
        <f t="shared" si="91"/>
        <v>32883</v>
      </c>
      <c r="S46" s="75">
        <f t="shared" si="91"/>
        <v>14.9498</v>
      </c>
      <c r="T46" s="75">
        <f t="shared" si="91"/>
        <v>11.2096</v>
      </c>
      <c r="U46" s="753">
        <f t="shared" si="91"/>
        <v>3.7401999999999997</v>
      </c>
      <c r="V46" s="538">
        <f t="shared" si="91"/>
        <v>0</v>
      </c>
      <c r="W46" s="74">
        <f t="shared" si="91"/>
        <v>0</v>
      </c>
      <c r="X46" s="74">
        <f t="shared" si="91"/>
        <v>457322</v>
      </c>
      <c r="Y46" s="74">
        <f t="shared" si="91"/>
        <v>0</v>
      </c>
      <c r="Z46" s="74">
        <f t="shared" si="91"/>
        <v>0</v>
      </c>
      <c r="AA46" s="74">
        <f t="shared" si="91"/>
        <v>0</v>
      </c>
      <c r="AB46" s="74">
        <f t="shared" si="91"/>
        <v>0</v>
      </c>
      <c r="AC46" s="74">
        <f t="shared" si="91"/>
        <v>0</v>
      </c>
      <c r="AD46" s="74">
        <f t="shared" si="91"/>
        <v>0</v>
      </c>
      <c r="AE46" s="74">
        <f t="shared" si="91"/>
        <v>0</v>
      </c>
      <c r="AF46" s="74">
        <f t="shared" si="91"/>
        <v>457322</v>
      </c>
      <c r="AG46" s="74">
        <f t="shared" si="91"/>
        <v>0</v>
      </c>
      <c r="AH46" s="74">
        <f t="shared" si="91"/>
        <v>457322</v>
      </c>
      <c r="AI46" s="74">
        <f t="shared" si="91"/>
        <v>0</v>
      </c>
      <c r="AJ46" s="74">
        <f t="shared" si="91"/>
        <v>0</v>
      </c>
      <c r="AK46" s="74">
        <f t="shared" si="91"/>
        <v>0</v>
      </c>
      <c r="AL46" s="74">
        <f t="shared" si="91"/>
        <v>0</v>
      </c>
      <c r="AM46" s="74">
        <f t="shared" si="91"/>
        <v>0</v>
      </c>
      <c r="AN46" s="74">
        <f t="shared" si="91"/>
        <v>0</v>
      </c>
      <c r="AO46" s="74">
        <f t="shared" si="91"/>
        <v>0</v>
      </c>
      <c r="AP46" s="74">
        <f t="shared" si="91"/>
        <v>0</v>
      </c>
      <c r="AQ46" s="74">
        <f t="shared" si="91"/>
        <v>0</v>
      </c>
      <c r="AR46" s="74">
        <f t="shared" si="91"/>
        <v>457322</v>
      </c>
      <c r="AS46" s="74">
        <f t="shared" si="91"/>
        <v>0</v>
      </c>
      <c r="AT46" s="74">
        <f t="shared" si="91"/>
        <v>457322</v>
      </c>
      <c r="AU46" s="74">
        <f t="shared" si="91"/>
        <v>154575</v>
      </c>
      <c r="AV46" s="74">
        <f t="shared" si="91"/>
        <v>4573</v>
      </c>
      <c r="AW46" s="74">
        <f t="shared" si="91"/>
        <v>0</v>
      </c>
      <c r="AX46" s="74">
        <f t="shared" si="91"/>
        <v>0</v>
      </c>
      <c r="AY46" s="74">
        <f t="shared" si="91"/>
        <v>0</v>
      </c>
      <c r="AZ46" s="74">
        <f t="shared" si="91"/>
        <v>616470</v>
      </c>
      <c r="BA46" s="75">
        <f t="shared" si="91"/>
        <v>0</v>
      </c>
      <c r="BB46" s="75">
        <f t="shared" si="91"/>
        <v>0</v>
      </c>
      <c r="BC46" s="75">
        <f t="shared" si="91"/>
        <v>1.5</v>
      </c>
      <c r="BD46" s="75">
        <f t="shared" si="91"/>
        <v>0</v>
      </c>
      <c r="BE46" s="75">
        <f t="shared" si="91"/>
        <v>0</v>
      </c>
      <c r="BF46" s="75">
        <f t="shared" si="91"/>
        <v>0</v>
      </c>
      <c r="BG46" s="75">
        <f t="shared" si="91"/>
        <v>0</v>
      </c>
      <c r="BH46" s="75">
        <f t="shared" si="91"/>
        <v>0</v>
      </c>
      <c r="BI46" s="75">
        <f t="shared" si="91"/>
        <v>0</v>
      </c>
      <c r="BJ46" s="75">
        <f t="shared" si="91"/>
        <v>0</v>
      </c>
      <c r="BK46" s="75">
        <f t="shared" si="91"/>
        <v>1.5</v>
      </c>
      <c r="BL46" s="75">
        <f t="shared" si="91"/>
        <v>0</v>
      </c>
      <c r="BM46" s="76">
        <f t="shared" si="91"/>
        <v>1.5</v>
      </c>
      <c r="BN46" s="549">
        <f t="shared" si="91"/>
        <v>11020883</v>
      </c>
      <c r="BO46" s="74">
        <f t="shared" si="91"/>
        <v>8151335</v>
      </c>
      <c r="BP46" s="74">
        <f t="shared" si="91"/>
        <v>6983626</v>
      </c>
      <c r="BQ46" s="74">
        <f t="shared" si="91"/>
        <v>1167709</v>
      </c>
      <c r="BR46" s="74">
        <f t="shared" si="91"/>
        <v>0</v>
      </c>
      <c r="BS46" s="74">
        <f t="shared" si="91"/>
        <v>0</v>
      </c>
      <c r="BT46" s="74">
        <f t="shared" si="91"/>
        <v>0</v>
      </c>
      <c r="BU46" s="74">
        <f t="shared" si="91"/>
        <v>2755152</v>
      </c>
      <c r="BV46" s="74">
        <f t="shared" ref="BV46:CF46" si="92">SUM(BV43:BV45)</f>
        <v>81513</v>
      </c>
      <c r="BW46" s="74">
        <f t="shared" si="92"/>
        <v>32883</v>
      </c>
      <c r="BX46" s="75">
        <f t="shared" si="92"/>
        <v>16.4498</v>
      </c>
      <c r="BY46" s="75">
        <f t="shared" si="92"/>
        <v>12.7096</v>
      </c>
      <c r="BZ46" s="753">
        <f t="shared" si="92"/>
        <v>3.7401999999999997</v>
      </c>
      <c r="CA46" s="796">
        <f t="shared" si="92"/>
        <v>0</v>
      </c>
      <c r="CB46" s="789">
        <f t="shared" si="92"/>
        <v>0</v>
      </c>
      <c r="CC46" s="789">
        <f t="shared" si="92"/>
        <v>0</v>
      </c>
      <c r="CD46" s="789">
        <f t="shared" si="92"/>
        <v>0</v>
      </c>
      <c r="CE46" s="789">
        <f t="shared" si="92"/>
        <v>0</v>
      </c>
      <c r="CF46" s="793">
        <f t="shared" si="92"/>
        <v>0</v>
      </c>
    </row>
    <row r="47" spans="1:84" ht="14.1" customHeight="1" x14ac:dyDescent="0.2">
      <c r="A47" s="66">
        <v>10</v>
      </c>
      <c r="B47" s="63">
        <v>2321</v>
      </c>
      <c r="C47" s="64">
        <v>600079287</v>
      </c>
      <c r="D47" s="63">
        <v>72742976</v>
      </c>
      <c r="E47" s="65" t="s">
        <v>553</v>
      </c>
      <c r="F47" s="66">
        <v>3111</v>
      </c>
      <c r="G47" s="65" t="s">
        <v>291</v>
      </c>
      <c r="H47" s="67" t="s">
        <v>271</v>
      </c>
      <c r="I47" s="423">
        <f t="shared" si="2"/>
        <v>9116947</v>
      </c>
      <c r="J47" s="418">
        <f t="shared" si="3"/>
        <v>6740932</v>
      </c>
      <c r="K47" s="418">
        <v>6081585</v>
      </c>
      <c r="L47" s="418">
        <v>659347</v>
      </c>
      <c r="M47" s="418">
        <f>N47+O47</f>
        <v>0</v>
      </c>
      <c r="N47" s="418">
        <v>0</v>
      </c>
      <c r="O47" s="418">
        <v>0</v>
      </c>
      <c r="P47" s="668">
        <f t="shared" si="4"/>
        <v>2278435</v>
      </c>
      <c r="Q47" s="668">
        <f t="shared" si="5"/>
        <v>67409</v>
      </c>
      <c r="R47" s="418">
        <v>30171</v>
      </c>
      <c r="S47" s="419">
        <f t="shared" si="6"/>
        <v>12.7118</v>
      </c>
      <c r="T47" s="419">
        <v>10.451599999999999</v>
      </c>
      <c r="U47" s="426">
        <v>2.2602000000000002</v>
      </c>
      <c r="V47" s="428">
        <f t="shared" si="7"/>
        <v>0</v>
      </c>
      <c r="W47" s="421">
        <f t="shared" si="8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 t="shared" si="9"/>
        <v>0</v>
      </c>
      <c r="AG47" s="421">
        <f t="shared" si="10"/>
        <v>0</v>
      </c>
      <c r="AH47" s="421">
        <f t="shared" si="11"/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2"/>
        <v>0</v>
      </c>
      <c r="AP47" s="421">
        <f t="shared" si="13"/>
        <v>0</v>
      </c>
      <c r="AQ47" s="421">
        <f t="shared" si="14"/>
        <v>0</v>
      </c>
      <c r="AR47" s="421">
        <f>AF47+AO47</f>
        <v>0</v>
      </c>
      <c r="AS47" s="421">
        <f>AG47+AP47</f>
        <v>0</v>
      </c>
      <c r="AT47" s="421">
        <f t="shared" si="16"/>
        <v>0</v>
      </c>
      <c r="AU47" s="68">
        <f t="shared" ref="AU47:AU48" si="93">ROUND((AH47+AI47+AJ47+AK47+AL47)*33.8%,0)</f>
        <v>0</v>
      </c>
      <c r="AV47" s="68">
        <f>ROUND(AH47*1%,0)</f>
        <v>0</v>
      </c>
      <c r="AW47" s="421">
        <v>0</v>
      </c>
      <c r="AX47" s="421">
        <v>0</v>
      </c>
      <c r="AY47" s="421">
        <f t="shared" si="17"/>
        <v>0</v>
      </c>
      <c r="AZ47" s="421">
        <f t="shared" si="18"/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>BA47+BC47+BD47+BF47+BH47+BI47</f>
        <v>0</v>
      </c>
      <c r="BL47" s="422">
        <f>BB47+BE47+BG47+BJ47</f>
        <v>0</v>
      </c>
      <c r="BM47" s="424">
        <f t="shared" si="19"/>
        <v>0</v>
      </c>
      <c r="BN47" s="427">
        <f>I47+AZ47</f>
        <v>9116947</v>
      </c>
      <c r="BO47" s="421">
        <f>J47+AH47</f>
        <v>6740932</v>
      </c>
      <c r="BP47" s="421">
        <f>K47+AF47</f>
        <v>6081585</v>
      </c>
      <c r="BQ47" s="421">
        <f>L47+AG47</f>
        <v>659347</v>
      </c>
      <c r="BR47" s="421">
        <f>M47+AQ47</f>
        <v>0</v>
      </c>
      <c r="BS47" s="421">
        <f>N47+AO47</f>
        <v>0</v>
      </c>
      <c r="BT47" s="421">
        <f>O47+AP47</f>
        <v>0</v>
      </c>
      <c r="BU47" s="421">
        <f>P47+AU47</f>
        <v>2278435</v>
      </c>
      <c r="BV47" s="421">
        <f>Q47+AV47</f>
        <v>67409</v>
      </c>
      <c r="BW47" s="421">
        <f>R47+AY47</f>
        <v>30171</v>
      </c>
      <c r="BX47" s="422">
        <f>S47+BM47</f>
        <v>12.7118</v>
      </c>
      <c r="BY47" s="422">
        <f>T47+BK47</f>
        <v>10.451599999999999</v>
      </c>
      <c r="BZ47" s="611">
        <f>U47+BL47</f>
        <v>2.2602000000000002</v>
      </c>
      <c r="CA47" s="423"/>
      <c r="CB47" s="418"/>
      <c r="CC47" s="418"/>
      <c r="CD47" s="418"/>
      <c r="CE47" s="418"/>
      <c r="CF47" s="527"/>
    </row>
    <row r="48" spans="1:84" ht="14.1" customHeight="1" x14ac:dyDescent="0.2">
      <c r="A48" s="66">
        <v>10</v>
      </c>
      <c r="B48" s="63">
        <v>2321</v>
      </c>
      <c r="C48" s="64">
        <v>600079287</v>
      </c>
      <c r="D48" s="63">
        <v>72742976</v>
      </c>
      <c r="E48" s="65" t="s">
        <v>553</v>
      </c>
      <c r="F48" s="66">
        <v>3141</v>
      </c>
      <c r="G48" s="65" t="s">
        <v>295</v>
      </c>
      <c r="H48" s="67" t="s">
        <v>272</v>
      </c>
      <c r="I48" s="423">
        <f t="shared" si="2"/>
        <v>1004880</v>
      </c>
      <c r="J48" s="418">
        <f t="shared" si="3"/>
        <v>742526</v>
      </c>
      <c r="K48" s="418">
        <v>0</v>
      </c>
      <c r="L48" s="924">
        <v>742526</v>
      </c>
      <c r="M48" s="418">
        <f>N48+O48</f>
        <v>0</v>
      </c>
      <c r="N48" s="418">
        <v>0</v>
      </c>
      <c r="O48" s="418">
        <v>0</v>
      </c>
      <c r="P48" s="668">
        <f t="shared" ref="P48" si="94">ROUND(J48*33.8%,0)</f>
        <v>250974</v>
      </c>
      <c r="Q48" s="668">
        <f t="shared" ref="Q48" si="95">ROUND(J48*1%,0)</f>
        <v>7425</v>
      </c>
      <c r="R48" s="418">
        <v>3955</v>
      </c>
      <c r="S48" s="419">
        <f>T48+U48</f>
        <v>2.2266000000000004</v>
      </c>
      <c r="T48" s="420">
        <v>0</v>
      </c>
      <c r="U48" s="426">
        <v>2.2266000000000004</v>
      </c>
      <c r="V48" s="428">
        <f t="shared" si="7"/>
        <v>0</v>
      </c>
      <c r="W48" s="421">
        <f t="shared" si="8"/>
        <v>0</v>
      </c>
      <c r="X48" s="421">
        <v>0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 t="shared" si="9"/>
        <v>0</v>
      </c>
      <c r="AG48" s="421">
        <f t="shared" si="10"/>
        <v>0</v>
      </c>
      <c r="AH48" s="421">
        <f t="shared" si="11"/>
        <v>0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12"/>
        <v>0</v>
      </c>
      <c r="AP48" s="421">
        <f t="shared" si="13"/>
        <v>0</v>
      </c>
      <c r="AQ48" s="421">
        <f t="shared" si="14"/>
        <v>0</v>
      </c>
      <c r="AR48" s="421">
        <f>AF48+AO48</f>
        <v>0</v>
      </c>
      <c r="AS48" s="421">
        <f>AG48+AP48</f>
        <v>0</v>
      </c>
      <c r="AT48" s="421">
        <f t="shared" si="16"/>
        <v>0</v>
      </c>
      <c r="AU48" s="68">
        <f t="shared" si="93"/>
        <v>0</v>
      </c>
      <c r="AV48" s="68">
        <f>ROUND(AH48*1%,0)</f>
        <v>0</v>
      </c>
      <c r="AW48" s="421">
        <v>0</v>
      </c>
      <c r="AX48" s="421">
        <v>0</v>
      </c>
      <c r="AY48" s="421">
        <f t="shared" si="17"/>
        <v>0</v>
      </c>
      <c r="AZ48" s="421">
        <f t="shared" si="18"/>
        <v>0</v>
      </c>
      <c r="BA48" s="422">
        <v>0</v>
      </c>
      <c r="BB48" s="422">
        <v>0</v>
      </c>
      <c r="BC48" s="422">
        <v>0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>BA48+BC48+BD48+BF48+BH48+BI48</f>
        <v>0</v>
      </c>
      <c r="BL48" s="422">
        <f>BB48+BE48+BG48+BJ48</f>
        <v>0</v>
      </c>
      <c r="BM48" s="424">
        <f t="shared" si="19"/>
        <v>0</v>
      </c>
      <c r="BN48" s="427">
        <f>I48+AZ48</f>
        <v>1004880</v>
      </c>
      <c r="BO48" s="421">
        <f>J48+AH48</f>
        <v>742526</v>
      </c>
      <c r="BP48" s="421">
        <f>K48+AF48</f>
        <v>0</v>
      </c>
      <c r="BQ48" s="421">
        <f>L48+AG48</f>
        <v>742526</v>
      </c>
      <c r="BR48" s="421">
        <f>M48+AQ48</f>
        <v>0</v>
      </c>
      <c r="BS48" s="421">
        <f>N48+AO48</f>
        <v>0</v>
      </c>
      <c r="BT48" s="421">
        <f>O48+AP48</f>
        <v>0</v>
      </c>
      <c r="BU48" s="421">
        <f>P48+AU48</f>
        <v>250974</v>
      </c>
      <c r="BV48" s="421">
        <f>Q48+AV48</f>
        <v>7425</v>
      </c>
      <c r="BW48" s="421">
        <f>R48+AY48</f>
        <v>3955</v>
      </c>
      <c r="BX48" s="422">
        <f>S48+BM48</f>
        <v>2.2266000000000004</v>
      </c>
      <c r="BY48" s="422">
        <f>T48+BK48</f>
        <v>0</v>
      </c>
      <c r="BZ48" s="611">
        <f>U48+BL48</f>
        <v>2.2266000000000004</v>
      </c>
      <c r="CA48" s="423"/>
      <c r="CB48" s="418"/>
      <c r="CC48" s="418"/>
      <c r="CD48" s="418"/>
      <c r="CE48" s="418"/>
      <c r="CF48" s="527"/>
    </row>
    <row r="49" spans="1:84" ht="14.1" customHeight="1" x14ac:dyDescent="0.2">
      <c r="A49" s="72">
        <v>10</v>
      </c>
      <c r="B49" s="69">
        <v>2321</v>
      </c>
      <c r="C49" s="70">
        <v>600079287</v>
      </c>
      <c r="D49" s="69">
        <v>72742976</v>
      </c>
      <c r="E49" s="71" t="s">
        <v>554</v>
      </c>
      <c r="F49" s="72"/>
      <c r="G49" s="71"/>
      <c r="H49" s="73"/>
      <c r="I49" s="538">
        <f t="shared" ref="I49:BU49" si="96">SUM(I47:I48)</f>
        <v>10121827</v>
      </c>
      <c r="J49" s="74">
        <f t="shared" si="96"/>
        <v>7483458</v>
      </c>
      <c r="K49" s="74">
        <f t="shared" si="96"/>
        <v>6081585</v>
      </c>
      <c r="L49" s="74">
        <f t="shared" si="96"/>
        <v>1401873</v>
      </c>
      <c r="M49" s="74">
        <f t="shared" si="96"/>
        <v>0</v>
      </c>
      <c r="N49" s="74">
        <f t="shared" si="96"/>
        <v>0</v>
      </c>
      <c r="O49" s="74">
        <f t="shared" si="96"/>
        <v>0</v>
      </c>
      <c r="P49" s="74">
        <f t="shared" si="96"/>
        <v>2529409</v>
      </c>
      <c r="Q49" s="74">
        <f t="shared" si="96"/>
        <v>74834</v>
      </c>
      <c r="R49" s="74">
        <f t="shared" si="96"/>
        <v>34126</v>
      </c>
      <c r="S49" s="75">
        <f t="shared" si="96"/>
        <v>14.938400000000001</v>
      </c>
      <c r="T49" s="75">
        <f t="shared" si="96"/>
        <v>10.451599999999999</v>
      </c>
      <c r="U49" s="753">
        <f t="shared" si="96"/>
        <v>4.4868000000000006</v>
      </c>
      <c r="V49" s="538">
        <f t="shared" si="96"/>
        <v>0</v>
      </c>
      <c r="W49" s="74">
        <f t="shared" si="96"/>
        <v>0</v>
      </c>
      <c r="X49" s="74">
        <f t="shared" si="96"/>
        <v>0</v>
      </c>
      <c r="Y49" s="74">
        <f t="shared" si="96"/>
        <v>0</v>
      </c>
      <c r="Z49" s="74">
        <f t="shared" si="96"/>
        <v>0</v>
      </c>
      <c r="AA49" s="74">
        <f t="shared" si="96"/>
        <v>0</v>
      </c>
      <c r="AB49" s="74">
        <f t="shared" si="96"/>
        <v>0</v>
      </c>
      <c r="AC49" s="74">
        <f t="shared" si="96"/>
        <v>0</v>
      </c>
      <c r="AD49" s="74">
        <f t="shared" si="96"/>
        <v>0</v>
      </c>
      <c r="AE49" s="74">
        <f t="shared" si="96"/>
        <v>0</v>
      </c>
      <c r="AF49" s="74">
        <f t="shared" si="96"/>
        <v>0</v>
      </c>
      <c r="AG49" s="74">
        <f t="shared" si="96"/>
        <v>0</v>
      </c>
      <c r="AH49" s="74">
        <f t="shared" si="96"/>
        <v>0</v>
      </c>
      <c r="AI49" s="74">
        <f t="shared" si="96"/>
        <v>0</v>
      </c>
      <c r="AJ49" s="74">
        <f t="shared" si="96"/>
        <v>0</v>
      </c>
      <c r="AK49" s="74">
        <f t="shared" si="96"/>
        <v>0</v>
      </c>
      <c r="AL49" s="74">
        <f t="shared" si="96"/>
        <v>0</v>
      </c>
      <c r="AM49" s="74">
        <f t="shared" si="96"/>
        <v>0</v>
      </c>
      <c r="AN49" s="74">
        <f t="shared" si="96"/>
        <v>0</v>
      </c>
      <c r="AO49" s="74">
        <f t="shared" si="96"/>
        <v>0</v>
      </c>
      <c r="AP49" s="74">
        <f t="shared" si="96"/>
        <v>0</v>
      </c>
      <c r="AQ49" s="74">
        <f t="shared" si="96"/>
        <v>0</v>
      </c>
      <c r="AR49" s="74">
        <f t="shared" si="96"/>
        <v>0</v>
      </c>
      <c r="AS49" s="74">
        <f t="shared" si="96"/>
        <v>0</v>
      </c>
      <c r="AT49" s="74">
        <f t="shared" si="96"/>
        <v>0</v>
      </c>
      <c r="AU49" s="74">
        <f t="shared" si="96"/>
        <v>0</v>
      </c>
      <c r="AV49" s="74">
        <f t="shared" si="96"/>
        <v>0</v>
      </c>
      <c r="AW49" s="74">
        <f t="shared" si="96"/>
        <v>0</v>
      </c>
      <c r="AX49" s="74">
        <f t="shared" si="96"/>
        <v>0</v>
      </c>
      <c r="AY49" s="74">
        <f t="shared" si="96"/>
        <v>0</v>
      </c>
      <c r="AZ49" s="74">
        <f t="shared" si="96"/>
        <v>0</v>
      </c>
      <c r="BA49" s="75">
        <f t="shared" si="96"/>
        <v>0</v>
      </c>
      <c r="BB49" s="75">
        <f t="shared" si="96"/>
        <v>0</v>
      </c>
      <c r="BC49" s="75">
        <f t="shared" si="96"/>
        <v>0</v>
      </c>
      <c r="BD49" s="75">
        <f t="shared" si="96"/>
        <v>0</v>
      </c>
      <c r="BE49" s="75">
        <f t="shared" si="96"/>
        <v>0</v>
      </c>
      <c r="BF49" s="75">
        <f t="shared" si="96"/>
        <v>0</v>
      </c>
      <c r="BG49" s="75">
        <f t="shared" si="96"/>
        <v>0</v>
      </c>
      <c r="BH49" s="75">
        <f t="shared" si="96"/>
        <v>0</v>
      </c>
      <c r="BI49" s="75">
        <f t="shared" si="96"/>
        <v>0</v>
      </c>
      <c r="BJ49" s="75">
        <f t="shared" si="96"/>
        <v>0</v>
      </c>
      <c r="BK49" s="75">
        <f t="shared" si="96"/>
        <v>0</v>
      </c>
      <c r="BL49" s="75">
        <f t="shared" si="96"/>
        <v>0</v>
      </c>
      <c r="BM49" s="76">
        <f t="shared" si="96"/>
        <v>0</v>
      </c>
      <c r="BN49" s="549">
        <f t="shared" si="96"/>
        <v>10121827</v>
      </c>
      <c r="BO49" s="74">
        <f t="shared" si="96"/>
        <v>7483458</v>
      </c>
      <c r="BP49" s="74">
        <f t="shared" si="96"/>
        <v>6081585</v>
      </c>
      <c r="BQ49" s="74">
        <f t="shared" si="96"/>
        <v>1401873</v>
      </c>
      <c r="BR49" s="74">
        <f t="shared" si="96"/>
        <v>0</v>
      </c>
      <c r="BS49" s="74">
        <f t="shared" si="96"/>
        <v>0</v>
      </c>
      <c r="BT49" s="74">
        <f t="shared" si="96"/>
        <v>0</v>
      </c>
      <c r="BU49" s="74">
        <f t="shared" si="96"/>
        <v>2529409</v>
      </c>
      <c r="BV49" s="74">
        <f t="shared" ref="BV49:CF49" si="97">SUM(BV47:BV48)</f>
        <v>74834</v>
      </c>
      <c r="BW49" s="74">
        <f t="shared" si="97"/>
        <v>34126</v>
      </c>
      <c r="BX49" s="75">
        <f t="shared" si="97"/>
        <v>14.938400000000001</v>
      </c>
      <c r="BY49" s="75">
        <f t="shared" si="97"/>
        <v>10.451599999999999</v>
      </c>
      <c r="BZ49" s="753">
        <f t="shared" si="97"/>
        <v>4.4868000000000006</v>
      </c>
      <c r="CA49" s="796">
        <f t="shared" si="97"/>
        <v>0</v>
      </c>
      <c r="CB49" s="789">
        <f t="shared" si="97"/>
        <v>0</v>
      </c>
      <c r="CC49" s="789">
        <f t="shared" si="97"/>
        <v>0</v>
      </c>
      <c r="CD49" s="789">
        <f t="shared" si="97"/>
        <v>0</v>
      </c>
      <c r="CE49" s="789">
        <f t="shared" si="97"/>
        <v>0</v>
      </c>
      <c r="CF49" s="793">
        <f t="shared" si="97"/>
        <v>0</v>
      </c>
    </row>
    <row r="50" spans="1:84" ht="14.1" customHeight="1" x14ac:dyDescent="0.2">
      <c r="A50" s="66">
        <v>11</v>
      </c>
      <c r="B50" s="63">
        <v>2423</v>
      </c>
      <c r="C50" s="64">
        <v>600079368</v>
      </c>
      <c r="D50" s="63">
        <v>72742828</v>
      </c>
      <c r="E50" s="65" t="s">
        <v>555</v>
      </c>
      <c r="F50" s="66">
        <v>3111</v>
      </c>
      <c r="G50" s="65" t="s">
        <v>291</v>
      </c>
      <c r="H50" s="67" t="s">
        <v>271</v>
      </c>
      <c r="I50" s="423">
        <f t="shared" si="2"/>
        <v>3772811</v>
      </c>
      <c r="J50" s="418">
        <f t="shared" si="3"/>
        <v>2789314</v>
      </c>
      <c r="K50" s="418">
        <v>2554194</v>
      </c>
      <c r="L50" s="418">
        <v>235120</v>
      </c>
      <c r="M50" s="418">
        <f>N50+O50</f>
        <v>0</v>
      </c>
      <c r="N50" s="418">
        <v>0</v>
      </c>
      <c r="O50" s="418">
        <v>0</v>
      </c>
      <c r="P50" s="668">
        <f t="shared" si="4"/>
        <v>942788</v>
      </c>
      <c r="Q50" s="668">
        <f t="shared" si="5"/>
        <v>27893</v>
      </c>
      <c r="R50" s="418">
        <v>12816</v>
      </c>
      <c r="S50" s="419">
        <f t="shared" si="6"/>
        <v>5.0259</v>
      </c>
      <c r="T50" s="419">
        <v>4.2257999999999996</v>
      </c>
      <c r="U50" s="426">
        <v>0.80010000000000003</v>
      </c>
      <c r="V50" s="428">
        <f t="shared" si="7"/>
        <v>0</v>
      </c>
      <c r="W50" s="421">
        <f t="shared" si="8"/>
        <v>-25600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 t="shared" si="9"/>
        <v>0</v>
      </c>
      <c r="AG50" s="421">
        <f t="shared" si="10"/>
        <v>-25600</v>
      </c>
      <c r="AH50" s="421">
        <f t="shared" si="11"/>
        <v>-25600</v>
      </c>
      <c r="AI50" s="421">
        <v>0</v>
      </c>
      <c r="AJ50" s="421">
        <v>25600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2"/>
        <v>0</v>
      </c>
      <c r="AP50" s="421">
        <f t="shared" si="13"/>
        <v>25600</v>
      </c>
      <c r="AQ50" s="421">
        <f t="shared" si="14"/>
        <v>25600</v>
      </c>
      <c r="AR50" s="421">
        <f>AF50+AO50</f>
        <v>0</v>
      </c>
      <c r="AS50" s="421">
        <f>AG50+AP50</f>
        <v>0</v>
      </c>
      <c r="AT50" s="421">
        <f t="shared" si="16"/>
        <v>0</v>
      </c>
      <c r="AU50" s="68">
        <f t="shared" ref="AU50:AU51" si="98">ROUND((AH50+AI50+AJ50+AK50+AL50)*33.8%,0)</f>
        <v>0</v>
      </c>
      <c r="AV50" s="68">
        <f>ROUND(AH50*1%,0)</f>
        <v>-256</v>
      </c>
      <c r="AW50" s="421">
        <v>0</v>
      </c>
      <c r="AX50" s="421">
        <v>0</v>
      </c>
      <c r="AY50" s="421">
        <f t="shared" si="17"/>
        <v>0</v>
      </c>
      <c r="AZ50" s="421">
        <f t="shared" si="18"/>
        <v>-256</v>
      </c>
      <c r="BA50" s="422">
        <v>0</v>
      </c>
      <c r="BB50" s="422">
        <v>-0.04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>BA50+BC50+BD50+BF50+BH50+BI50</f>
        <v>0</v>
      </c>
      <c r="BL50" s="422">
        <f>BB50+BE50+BG50+BJ50</f>
        <v>-0.04</v>
      </c>
      <c r="BM50" s="424">
        <f t="shared" si="19"/>
        <v>-0.04</v>
      </c>
      <c r="BN50" s="427">
        <f>I50+AZ50</f>
        <v>3772555</v>
      </c>
      <c r="BO50" s="421">
        <f>J50+AH50</f>
        <v>2763714</v>
      </c>
      <c r="BP50" s="421">
        <f>K50+AF50</f>
        <v>2554194</v>
      </c>
      <c r="BQ50" s="421">
        <f>L50+AG50</f>
        <v>209520</v>
      </c>
      <c r="BR50" s="421">
        <f>M50+AQ50</f>
        <v>25600</v>
      </c>
      <c r="BS50" s="421">
        <f>N50+AO50</f>
        <v>0</v>
      </c>
      <c r="BT50" s="421">
        <f>O50+AP50</f>
        <v>25600</v>
      </c>
      <c r="BU50" s="421">
        <f>P50+AU50</f>
        <v>942788</v>
      </c>
      <c r="BV50" s="421">
        <f>Q50+AV50</f>
        <v>27637</v>
      </c>
      <c r="BW50" s="421">
        <f>R50+AY50</f>
        <v>12816</v>
      </c>
      <c r="BX50" s="422">
        <f>S50+BM50</f>
        <v>4.9859</v>
      </c>
      <c r="BY50" s="422">
        <f>T50+BK50</f>
        <v>4.2257999999999996</v>
      </c>
      <c r="BZ50" s="611">
        <f>U50+BL50</f>
        <v>0.7601</v>
      </c>
      <c r="CA50" s="423"/>
      <c r="CB50" s="418"/>
      <c r="CC50" s="418"/>
      <c r="CD50" s="418"/>
      <c r="CE50" s="418"/>
      <c r="CF50" s="527"/>
    </row>
    <row r="51" spans="1:84" ht="14.1" customHeight="1" x14ac:dyDescent="0.2">
      <c r="A51" s="66">
        <v>11</v>
      </c>
      <c r="B51" s="63">
        <v>2423</v>
      </c>
      <c r="C51" s="64">
        <v>600079368</v>
      </c>
      <c r="D51" s="63">
        <v>72742828</v>
      </c>
      <c r="E51" s="65" t="s">
        <v>555</v>
      </c>
      <c r="F51" s="66">
        <v>3141</v>
      </c>
      <c r="G51" s="65" t="s">
        <v>295</v>
      </c>
      <c r="H51" s="67" t="s">
        <v>272</v>
      </c>
      <c r="I51" s="423">
        <f t="shared" si="2"/>
        <v>451211</v>
      </c>
      <c r="J51" s="418">
        <f t="shared" si="3"/>
        <v>333480</v>
      </c>
      <c r="K51" s="418">
        <v>0</v>
      </c>
      <c r="L51" s="924">
        <v>333480</v>
      </c>
      <c r="M51" s="418">
        <f>N51+O51</f>
        <v>0</v>
      </c>
      <c r="N51" s="205">
        <v>0</v>
      </c>
      <c r="O51" s="205">
        <v>0</v>
      </c>
      <c r="P51" s="668">
        <f t="shared" ref="P51" si="99">ROUND(J51*33.8%,0)</f>
        <v>112716</v>
      </c>
      <c r="Q51" s="668">
        <f t="shared" ref="Q51" si="100">ROUND(J51*1%,0)</f>
        <v>3335</v>
      </c>
      <c r="R51" s="674">
        <v>1680</v>
      </c>
      <c r="S51" s="419">
        <f>T51+U51</f>
        <v>1</v>
      </c>
      <c r="T51" s="676">
        <v>0</v>
      </c>
      <c r="U51" s="909">
        <v>1</v>
      </c>
      <c r="V51" s="428">
        <f t="shared" si="7"/>
        <v>0</v>
      </c>
      <c r="W51" s="421">
        <f t="shared" si="8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 t="shared" si="9"/>
        <v>0</v>
      </c>
      <c r="AG51" s="421">
        <f t="shared" si="10"/>
        <v>0</v>
      </c>
      <c r="AH51" s="421">
        <f t="shared" si="11"/>
        <v>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2"/>
        <v>0</v>
      </c>
      <c r="AP51" s="421">
        <f t="shared" si="13"/>
        <v>0</v>
      </c>
      <c r="AQ51" s="421">
        <f t="shared" si="14"/>
        <v>0</v>
      </c>
      <c r="AR51" s="421">
        <f>AF51+AO51</f>
        <v>0</v>
      </c>
      <c r="AS51" s="421">
        <f>AG51+AP51</f>
        <v>0</v>
      </c>
      <c r="AT51" s="421">
        <f t="shared" si="16"/>
        <v>0</v>
      </c>
      <c r="AU51" s="68">
        <f t="shared" si="98"/>
        <v>0</v>
      </c>
      <c r="AV51" s="68">
        <f>ROUND(AH51*1%,0)</f>
        <v>0</v>
      </c>
      <c r="AW51" s="421">
        <v>0</v>
      </c>
      <c r="AX51" s="421">
        <v>0</v>
      </c>
      <c r="AY51" s="421">
        <f t="shared" si="17"/>
        <v>0</v>
      </c>
      <c r="AZ51" s="421">
        <f t="shared" si="18"/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>BA51+BC51+BD51+BF51+BH51+BI51</f>
        <v>0</v>
      </c>
      <c r="BL51" s="422">
        <f>BB51+BE51+BG51+BJ51</f>
        <v>0</v>
      </c>
      <c r="BM51" s="424">
        <f t="shared" si="19"/>
        <v>0</v>
      </c>
      <c r="BN51" s="427">
        <f>I51+AZ51</f>
        <v>451211</v>
      </c>
      <c r="BO51" s="421">
        <f>J51+AH51</f>
        <v>333480</v>
      </c>
      <c r="BP51" s="421">
        <f>K51+AF51</f>
        <v>0</v>
      </c>
      <c r="BQ51" s="421">
        <f>L51+AG51</f>
        <v>333480</v>
      </c>
      <c r="BR51" s="421">
        <f>M51+AQ51</f>
        <v>0</v>
      </c>
      <c r="BS51" s="421">
        <f>N51+AO51</f>
        <v>0</v>
      </c>
      <c r="BT51" s="421">
        <f>O51+AP51</f>
        <v>0</v>
      </c>
      <c r="BU51" s="421">
        <f>P51+AU51</f>
        <v>112716</v>
      </c>
      <c r="BV51" s="421">
        <f>Q51+AV51</f>
        <v>3335</v>
      </c>
      <c r="BW51" s="421">
        <f>R51+AY51</f>
        <v>1680</v>
      </c>
      <c r="BX51" s="422">
        <f>S51+BM51</f>
        <v>1</v>
      </c>
      <c r="BY51" s="422">
        <f>T51+BK51</f>
        <v>0</v>
      </c>
      <c r="BZ51" s="611">
        <f>U51+BL51</f>
        <v>1</v>
      </c>
      <c r="CA51" s="423"/>
      <c r="CB51" s="418"/>
      <c r="CC51" s="418"/>
      <c r="CD51" s="418"/>
      <c r="CE51" s="418"/>
      <c r="CF51" s="527"/>
    </row>
    <row r="52" spans="1:84" ht="14.1" customHeight="1" x14ac:dyDescent="0.2">
      <c r="A52" s="72">
        <v>11</v>
      </c>
      <c r="B52" s="69">
        <v>2423</v>
      </c>
      <c r="C52" s="70">
        <v>600079368</v>
      </c>
      <c r="D52" s="69">
        <v>72742828</v>
      </c>
      <c r="E52" s="71" t="s">
        <v>556</v>
      </c>
      <c r="F52" s="72"/>
      <c r="G52" s="71"/>
      <c r="H52" s="73"/>
      <c r="I52" s="538">
        <f t="shared" ref="I52:BU52" si="101">SUM(I50:I51)</f>
        <v>4224022</v>
      </c>
      <c r="J52" s="74">
        <f t="shared" si="101"/>
        <v>3122794</v>
      </c>
      <c r="K52" s="74">
        <f t="shared" si="101"/>
        <v>2554194</v>
      </c>
      <c r="L52" s="74">
        <f t="shared" si="101"/>
        <v>568600</v>
      </c>
      <c r="M52" s="74">
        <f t="shared" si="101"/>
        <v>0</v>
      </c>
      <c r="N52" s="74">
        <f t="shared" si="101"/>
        <v>0</v>
      </c>
      <c r="O52" s="74">
        <f t="shared" si="101"/>
        <v>0</v>
      </c>
      <c r="P52" s="74">
        <f t="shared" si="101"/>
        <v>1055504</v>
      </c>
      <c r="Q52" s="74">
        <f t="shared" si="101"/>
        <v>31228</v>
      </c>
      <c r="R52" s="74">
        <f t="shared" si="101"/>
        <v>14496</v>
      </c>
      <c r="S52" s="75">
        <f t="shared" si="101"/>
        <v>6.0259</v>
      </c>
      <c r="T52" s="75">
        <f t="shared" si="101"/>
        <v>4.2257999999999996</v>
      </c>
      <c r="U52" s="753">
        <f t="shared" si="101"/>
        <v>1.8001</v>
      </c>
      <c r="V52" s="538">
        <f t="shared" si="101"/>
        <v>0</v>
      </c>
      <c r="W52" s="74">
        <f t="shared" si="101"/>
        <v>-25600</v>
      </c>
      <c r="X52" s="74">
        <f t="shared" si="101"/>
        <v>0</v>
      </c>
      <c r="Y52" s="74">
        <f t="shared" si="101"/>
        <v>0</v>
      </c>
      <c r="Z52" s="74">
        <f t="shared" si="101"/>
        <v>0</v>
      </c>
      <c r="AA52" s="74">
        <f t="shared" si="101"/>
        <v>0</v>
      </c>
      <c r="AB52" s="74">
        <f t="shared" si="101"/>
        <v>0</v>
      </c>
      <c r="AC52" s="74">
        <f t="shared" si="101"/>
        <v>0</v>
      </c>
      <c r="AD52" s="74">
        <f t="shared" si="101"/>
        <v>0</v>
      </c>
      <c r="AE52" s="74">
        <f t="shared" si="101"/>
        <v>0</v>
      </c>
      <c r="AF52" s="74">
        <f t="shared" si="101"/>
        <v>0</v>
      </c>
      <c r="AG52" s="74">
        <f t="shared" si="101"/>
        <v>-25600</v>
      </c>
      <c r="AH52" s="74">
        <f t="shared" si="101"/>
        <v>-25600</v>
      </c>
      <c r="AI52" s="74">
        <f t="shared" si="101"/>
        <v>0</v>
      </c>
      <c r="AJ52" s="74">
        <f t="shared" si="101"/>
        <v>25600</v>
      </c>
      <c r="AK52" s="74">
        <f t="shared" si="101"/>
        <v>0</v>
      </c>
      <c r="AL52" s="74">
        <f t="shared" si="101"/>
        <v>0</v>
      </c>
      <c r="AM52" s="74">
        <f t="shared" si="101"/>
        <v>0</v>
      </c>
      <c r="AN52" s="74">
        <f t="shared" si="101"/>
        <v>0</v>
      </c>
      <c r="AO52" s="74">
        <f t="shared" si="101"/>
        <v>0</v>
      </c>
      <c r="AP52" s="74">
        <f t="shared" si="101"/>
        <v>25600</v>
      </c>
      <c r="AQ52" s="74">
        <f t="shared" si="101"/>
        <v>25600</v>
      </c>
      <c r="AR52" s="74">
        <f t="shared" si="101"/>
        <v>0</v>
      </c>
      <c r="AS52" s="74">
        <f t="shared" si="101"/>
        <v>0</v>
      </c>
      <c r="AT52" s="74">
        <f t="shared" si="101"/>
        <v>0</v>
      </c>
      <c r="AU52" s="74">
        <f t="shared" si="101"/>
        <v>0</v>
      </c>
      <c r="AV52" s="74">
        <f t="shared" si="101"/>
        <v>-256</v>
      </c>
      <c r="AW52" s="74">
        <f t="shared" si="101"/>
        <v>0</v>
      </c>
      <c r="AX52" s="74">
        <f t="shared" si="101"/>
        <v>0</v>
      </c>
      <c r="AY52" s="74">
        <f t="shared" si="101"/>
        <v>0</v>
      </c>
      <c r="AZ52" s="74">
        <f t="shared" si="101"/>
        <v>-256</v>
      </c>
      <c r="BA52" s="75">
        <f t="shared" si="101"/>
        <v>0</v>
      </c>
      <c r="BB52" s="75">
        <f t="shared" si="101"/>
        <v>-0.04</v>
      </c>
      <c r="BC52" s="75">
        <f t="shared" si="101"/>
        <v>0</v>
      </c>
      <c r="BD52" s="75">
        <f t="shared" si="101"/>
        <v>0</v>
      </c>
      <c r="BE52" s="75">
        <f t="shared" si="101"/>
        <v>0</v>
      </c>
      <c r="BF52" s="75">
        <f t="shared" si="101"/>
        <v>0</v>
      </c>
      <c r="BG52" s="75">
        <f t="shared" si="101"/>
        <v>0</v>
      </c>
      <c r="BH52" s="75">
        <f t="shared" si="101"/>
        <v>0</v>
      </c>
      <c r="BI52" s="75">
        <f t="shared" si="101"/>
        <v>0</v>
      </c>
      <c r="BJ52" s="75">
        <f t="shared" si="101"/>
        <v>0</v>
      </c>
      <c r="BK52" s="75">
        <f t="shared" si="101"/>
        <v>0</v>
      </c>
      <c r="BL52" s="75">
        <f t="shared" si="101"/>
        <v>-0.04</v>
      </c>
      <c r="BM52" s="76">
        <f t="shared" si="101"/>
        <v>-0.04</v>
      </c>
      <c r="BN52" s="549">
        <f t="shared" si="101"/>
        <v>4223766</v>
      </c>
      <c r="BO52" s="74">
        <f t="shared" si="101"/>
        <v>3097194</v>
      </c>
      <c r="BP52" s="74">
        <f t="shared" si="101"/>
        <v>2554194</v>
      </c>
      <c r="BQ52" s="74">
        <f t="shared" si="101"/>
        <v>543000</v>
      </c>
      <c r="BR52" s="74">
        <f t="shared" si="101"/>
        <v>25600</v>
      </c>
      <c r="BS52" s="74">
        <f t="shared" si="101"/>
        <v>0</v>
      </c>
      <c r="BT52" s="74">
        <f t="shared" si="101"/>
        <v>25600</v>
      </c>
      <c r="BU52" s="74">
        <f t="shared" si="101"/>
        <v>1055504</v>
      </c>
      <c r="BV52" s="74">
        <f t="shared" ref="BV52:CF52" si="102">SUM(BV50:BV51)</f>
        <v>30972</v>
      </c>
      <c r="BW52" s="74">
        <f t="shared" si="102"/>
        <v>14496</v>
      </c>
      <c r="BX52" s="75">
        <f t="shared" si="102"/>
        <v>5.9859</v>
      </c>
      <c r="BY52" s="75">
        <f t="shared" si="102"/>
        <v>4.2257999999999996</v>
      </c>
      <c r="BZ52" s="753">
        <f t="shared" si="102"/>
        <v>1.7601</v>
      </c>
      <c r="CA52" s="796">
        <f t="shared" si="102"/>
        <v>0</v>
      </c>
      <c r="CB52" s="789">
        <f t="shared" si="102"/>
        <v>0</v>
      </c>
      <c r="CC52" s="789">
        <f t="shared" si="102"/>
        <v>0</v>
      </c>
      <c r="CD52" s="789">
        <f t="shared" si="102"/>
        <v>0</v>
      </c>
      <c r="CE52" s="789">
        <f t="shared" si="102"/>
        <v>0</v>
      </c>
      <c r="CF52" s="793">
        <f t="shared" si="102"/>
        <v>0</v>
      </c>
    </row>
    <row r="53" spans="1:84" ht="14.1" customHeight="1" x14ac:dyDescent="0.2">
      <c r="A53" s="66">
        <v>12</v>
      </c>
      <c r="B53" s="63">
        <v>2428</v>
      </c>
      <c r="C53" s="64">
        <v>600079112</v>
      </c>
      <c r="D53" s="63">
        <v>72743140</v>
      </c>
      <c r="E53" s="65" t="s">
        <v>557</v>
      </c>
      <c r="F53" s="66">
        <v>3111</v>
      </c>
      <c r="G53" s="65" t="s">
        <v>291</v>
      </c>
      <c r="H53" s="67" t="s">
        <v>271</v>
      </c>
      <c r="I53" s="423">
        <f t="shared" si="2"/>
        <v>7601142</v>
      </c>
      <c r="J53" s="418">
        <f t="shared" si="3"/>
        <v>5620607</v>
      </c>
      <c r="K53" s="418">
        <v>5150405</v>
      </c>
      <c r="L53" s="418">
        <v>470202</v>
      </c>
      <c r="M53" s="418">
        <f>N53+O53</f>
        <v>0</v>
      </c>
      <c r="N53" s="418">
        <v>0</v>
      </c>
      <c r="O53" s="418">
        <v>0</v>
      </c>
      <c r="P53" s="668">
        <f t="shared" si="4"/>
        <v>1899765</v>
      </c>
      <c r="Q53" s="668">
        <f t="shared" si="5"/>
        <v>56206</v>
      </c>
      <c r="R53" s="418">
        <v>24564</v>
      </c>
      <c r="S53" s="419">
        <f t="shared" si="6"/>
        <v>10.3743</v>
      </c>
      <c r="T53" s="419">
        <v>8.7742000000000004</v>
      </c>
      <c r="U53" s="426">
        <v>1.6000999999999999</v>
      </c>
      <c r="V53" s="428">
        <f t="shared" si="7"/>
        <v>0</v>
      </c>
      <c r="W53" s="421">
        <f t="shared" si="8"/>
        <v>0</v>
      </c>
      <c r="X53" s="421">
        <v>0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 t="shared" si="9"/>
        <v>0</v>
      </c>
      <c r="AG53" s="421">
        <f t="shared" si="10"/>
        <v>0</v>
      </c>
      <c r="AH53" s="421">
        <f t="shared" si="11"/>
        <v>0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2"/>
        <v>0</v>
      </c>
      <c r="AP53" s="421">
        <f t="shared" si="13"/>
        <v>0</v>
      </c>
      <c r="AQ53" s="421">
        <f t="shared" si="14"/>
        <v>0</v>
      </c>
      <c r="AR53" s="421">
        <f>AF53+AO53</f>
        <v>0</v>
      </c>
      <c r="AS53" s="421">
        <f>AG53+AP53</f>
        <v>0</v>
      </c>
      <c r="AT53" s="421">
        <f t="shared" si="16"/>
        <v>0</v>
      </c>
      <c r="AU53" s="68">
        <f t="shared" ref="AU53:AU54" si="103">ROUND((AH53+AI53+AJ53+AK53+AL53)*33.8%,0)</f>
        <v>0</v>
      </c>
      <c r="AV53" s="68">
        <f>ROUND(AH53*1%,0)</f>
        <v>0</v>
      </c>
      <c r="AW53" s="421">
        <v>0</v>
      </c>
      <c r="AX53" s="421">
        <v>0</v>
      </c>
      <c r="AY53" s="421">
        <f t="shared" si="17"/>
        <v>0</v>
      </c>
      <c r="AZ53" s="421">
        <f t="shared" si="18"/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>BA53+BC53+BD53+BF53+BH53+BI53</f>
        <v>0</v>
      </c>
      <c r="BL53" s="422">
        <f>BB53+BE53+BG53+BJ53</f>
        <v>0</v>
      </c>
      <c r="BM53" s="424">
        <f t="shared" si="19"/>
        <v>0</v>
      </c>
      <c r="BN53" s="427">
        <f>I53+AZ53</f>
        <v>7601142</v>
      </c>
      <c r="BO53" s="421">
        <f>J53+AH53</f>
        <v>5620607</v>
      </c>
      <c r="BP53" s="421">
        <f>K53+AF53</f>
        <v>5150405</v>
      </c>
      <c r="BQ53" s="421">
        <f>L53+AG53</f>
        <v>470202</v>
      </c>
      <c r="BR53" s="421">
        <f>M53+AQ53</f>
        <v>0</v>
      </c>
      <c r="BS53" s="421">
        <f>N53+AO53</f>
        <v>0</v>
      </c>
      <c r="BT53" s="421">
        <f>O53+AP53</f>
        <v>0</v>
      </c>
      <c r="BU53" s="421">
        <f>P53+AU53</f>
        <v>1899765</v>
      </c>
      <c r="BV53" s="421">
        <f>Q53+AV53</f>
        <v>56206</v>
      </c>
      <c r="BW53" s="421">
        <f>R53+AY53</f>
        <v>24564</v>
      </c>
      <c r="BX53" s="422">
        <f>S53+BM53</f>
        <v>10.3743</v>
      </c>
      <c r="BY53" s="422">
        <f>T53+BK53</f>
        <v>8.7742000000000004</v>
      </c>
      <c r="BZ53" s="611">
        <f>U53+BL53</f>
        <v>1.6000999999999999</v>
      </c>
      <c r="CA53" s="423"/>
      <c r="CB53" s="418"/>
      <c r="CC53" s="418"/>
      <c r="CD53" s="418"/>
      <c r="CE53" s="418"/>
      <c r="CF53" s="527"/>
    </row>
    <row r="54" spans="1:84" ht="14.1" customHeight="1" x14ac:dyDescent="0.2">
      <c r="A54" s="66">
        <v>12</v>
      </c>
      <c r="B54" s="63">
        <v>2428</v>
      </c>
      <c r="C54" s="64">
        <v>600079112</v>
      </c>
      <c r="D54" s="63">
        <v>72743140</v>
      </c>
      <c r="E54" s="65" t="s">
        <v>557</v>
      </c>
      <c r="F54" s="66">
        <v>3141</v>
      </c>
      <c r="G54" s="65" t="s">
        <v>295</v>
      </c>
      <c r="H54" s="67" t="s">
        <v>272</v>
      </c>
      <c r="I54" s="423">
        <f t="shared" si="2"/>
        <v>707535</v>
      </c>
      <c r="J54" s="418">
        <f t="shared" si="3"/>
        <v>522463</v>
      </c>
      <c r="K54" s="418">
        <v>0</v>
      </c>
      <c r="L54" s="924">
        <v>522463</v>
      </c>
      <c r="M54" s="418">
        <f>N54+O54</f>
        <v>0</v>
      </c>
      <c r="N54" s="205">
        <v>0</v>
      </c>
      <c r="O54" s="205">
        <v>0</v>
      </c>
      <c r="P54" s="668">
        <f t="shared" ref="P54" si="104">ROUND(J54*33.8%,0)</f>
        <v>176592</v>
      </c>
      <c r="Q54" s="668">
        <f t="shared" ref="Q54" si="105">ROUND(J54*1%,0)</f>
        <v>5225</v>
      </c>
      <c r="R54" s="674">
        <v>3255</v>
      </c>
      <c r="S54" s="419">
        <f>T54+U54</f>
        <v>1.5667</v>
      </c>
      <c r="T54" s="676">
        <v>0</v>
      </c>
      <c r="U54" s="909">
        <v>1.5667</v>
      </c>
      <c r="V54" s="428">
        <f t="shared" si="7"/>
        <v>0</v>
      </c>
      <c r="W54" s="421">
        <f t="shared" si="8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 t="shared" si="9"/>
        <v>0</v>
      </c>
      <c r="AG54" s="421">
        <f t="shared" si="10"/>
        <v>0</v>
      </c>
      <c r="AH54" s="421">
        <f t="shared" si="11"/>
        <v>0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2"/>
        <v>0</v>
      </c>
      <c r="AP54" s="421">
        <f t="shared" si="13"/>
        <v>0</v>
      </c>
      <c r="AQ54" s="421">
        <f t="shared" si="14"/>
        <v>0</v>
      </c>
      <c r="AR54" s="421">
        <f>AF54+AO54</f>
        <v>0</v>
      </c>
      <c r="AS54" s="421">
        <f>AG54+AP54</f>
        <v>0</v>
      </c>
      <c r="AT54" s="421">
        <f t="shared" si="16"/>
        <v>0</v>
      </c>
      <c r="AU54" s="68">
        <f t="shared" si="103"/>
        <v>0</v>
      </c>
      <c r="AV54" s="68">
        <f>ROUND(AH54*1%,0)</f>
        <v>0</v>
      </c>
      <c r="AW54" s="421">
        <v>0</v>
      </c>
      <c r="AX54" s="421">
        <v>0</v>
      </c>
      <c r="AY54" s="421">
        <f t="shared" si="17"/>
        <v>0</v>
      </c>
      <c r="AZ54" s="421">
        <f t="shared" si="18"/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0</v>
      </c>
      <c r="BL54" s="422">
        <f>BB54+BE54+BG54+BJ54</f>
        <v>0</v>
      </c>
      <c r="BM54" s="424">
        <f t="shared" si="19"/>
        <v>0</v>
      </c>
      <c r="BN54" s="427">
        <f>I54+AZ54</f>
        <v>707535</v>
      </c>
      <c r="BO54" s="421">
        <f>J54+AH54</f>
        <v>522463</v>
      </c>
      <c r="BP54" s="421">
        <f>K54+AF54</f>
        <v>0</v>
      </c>
      <c r="BQ54" s="421">
        <f>L54+AG54</f>
        <v>522463</v>
      </c>
      <c r="BR54" s="421">
        <f>M54+AQ54</f>
        <v>0</v>
      </c>
      <c r="BS54" s="421">
        <f>N54+AO54</f>
        <v>0</v>
      </c>
      <c r="BT54" s="421">
        <f>O54+AP54</f>
        <v>0</v>
      </c>
      <c r="BU54" s="421">
        <f>P54+AU54</f>
        <v>176592</v>
      </c>
      <c r="BV54" s="421">
        <f>Q54+AV54</f>
        <v>5225</v>
      </c>
      <c r="BW54" s="421">
        <f>R54+AY54</f>
        <v>3255</v>
      </c>
      <c r="BX54" s="422">
        <f>S54+BM54</f>
        <v>1.5667</v>
      </c>
      <c r="BY54" s="422">
        <f>T54+BK54</f>
        <v>0</v>
      </c>
      <c r="BZ54" s="611">
        <f>U54+BL54</f>
        <v>1.5667</v>
      </c>
      <c r="CA54" s="423"/>
      <c r="CB54" s="418"/>
      <c r="CC54" s="418"/>
      <c r="CD54" s="418"/>
      <c r="CE54" s="418"/>
      <c r="CF54" s="527"/>
    </row>
    <row r="55" spans="1:84" ht="14.1" customHeight="1" x14ac:dyDescent="0.2">
      <c r="A55" s="72">
        <v>12</v>
      </c>
      <c r="B55" s="69">
        <v>2428</v>
      </c>
      <c r="C55" s="70">
        <v>600079112</v>
      </c>
      <c r="D55" s="69">
        <v>72743140</v>
      </c>
      <c r="E55" s="71" t="s">
        <v>558</v>
      </c>
      <c r="F55" s="72"/>
      <c r="G55" s="71"/>
      <c r="H55" s="73"/>
      <c r="I55" s="538">
        <f t="shared" ref="I55:BU55" si="106">SUM(I53:I54)</f>
        <v>8308677</v>
      </c>
      <c r="J55" s="74">
        <f t="shared" si="106"/>
        <v>6143070</v>
      </c>
      <c r="K55" s="74">
        <f t="shared" si="106"/>
        <v>5150405</v>
      </c>
      <c r="L55" s="74">
        <f t="shared" si="106"/>
        <v>992665</v>
      </c>
      <c r="M55" s="74">
        <f t="shared" si="106"/>
        <v>0</v>
      </c>
      <c r="N55" s="74">
        <f t="shared" si="106"/>
        <v>0</v>
      </c>
      <c r="O55" s="74">
        <f t="shared" si="106"/>
        <v>0</v>
      </c>
      <c r="P55" s="74">
        <f t="shared" si="106"/>
        <v>2076357</v>
      </c>
      <c r="Q55" s="74">
        <f t="shared" si="106"/>
        <v>61431</v>
      </c>
      <c r="R55" s="74">
        <f t="shared" si="106"/>
        <v>27819</v>
      </c>
      <c r="S55" s="75">
        <f t="shared" si="106"/>
        <v>11.940999999999999</v>
      </c>
      <c r="T55" s="75">
        <f t="shared" si="106"/>
        <v>8.7742000000000004</v>
      </c>
      <c r="U55" s="753">
        <f t="shared" si="106"/>
        <v>3.1667999999999998</v>
      </c>
      <c r="V55" s="538">
        <f t="shared" si="106"/>
        <v>0</v>
      </c>
      <c r="W55" s="74">
        <f t="shared" si="106"/>
        <v>0</v>
      </c>
      <c r="X55" s="74">
        <f t="shared" si="106"/>
        <v>0</v>
      </c>
      <c r="Y55" s="74">
        <f t="shared" si="106"/>
        <v>0</v>
      </c>
      <c r="Z55" s="74">
        <f t="shared" si="106"/>
        <v>0</v>
      </c>
      <c r="AA55" s="74">
        <f t="shared" si="106"/>
        <v>0</v>
      </c>
      <c r="AB55" s="74">
        <f t="shared" si="106"/>
        <v>0</v>
      </c>
      <c r="AC55" s="74">
        <f t="shared" si="106"/>
        <v>0</v>
      </c>
      <c r="AD55" s="74">
        <f t="shared" si="106"/>
        <v>0</v>
      </c>
      <c r="AE55" s="74">
        <f t="shared" si="106"/>
        <v>0</v>
      </c>
      <c r="AF55" s="74">
        <f t="shared" si="106"/>
        <v>0</v>
      </c>
      <c r="AG55" s="74">
        <f t="shared" si="106"/>
        <v>0</v>
      </c>
      <c r="AH55" s="74">
        <f t="shared" si="106"/>
        <v>0</v>
      </c>
      <c r="AI55" s="74">
        <f t="shared" si="106"/>
        <v>0</v>
      </c>
      <c r="AJ55" s="74">
        <f t="shared" si="106"/>
        <v>0</v>
      </c>
      <c r="AK55" s="74">
        <f t="shared" si="106"/>
        <v>0</v>
      </c>
      <c r="AL55" s="74">
        <f t="shared" si="106"/>
        <v>0</v>
      </c>
      <c r="AM55" s="74">
        <f t="shared" si="106"/>
        <v>0</v>
      </c>
      <c r="AN55" s="74">
        <f t="shared" si="106"/>
        <v>0</v>
      </c>
      <c r="AO55" s="74">
        <f t="shared" si="106"/>
        <v>0</v>
      </c>
      <c r="AP55" s="74">
        <f t="shared" si="106"/>
        <v>0</v>
      </c>
      <c r="AQ55" s="74">
        <f t="shared" si="106"/>
        <v>0</v>
      </c>
      <c r="AR55" s="74">
        <f t="shared" si="106"/>
        <v>0</v>
      </c>
      <c r="AS55" s="74">
        <f t="shared" si="106"/>
        <v>0</v>
      </c>
      <c r="AT55" s="74">
        <f t="shared" si="106"/>
        <v>0</v>
      </c>
      <c r="AU55" s="74">
        <f t="shared" si="106"/>
        <v>0</v>
      </c>
      <c r="AV55" s="74">
        <f t="shared" si="106"/>
        <v>0</v>
      </c>
      <c r="AW55" s="74">
        <f t="shared" si="106"/>
        <v>0</v>
      </c>
      <c r="AX55" s="74">
        <f t="shared" si="106"/>
        <v>0</v>
      </c>
      <c r="AY55" s="74">
        <f t="shared" si="106"/>
        <v>0</v>
      </c>
      <c r="AZ55" s="74">
        <f t="shared" si="106"/>
        <v>0</v>
      </c>
      <c r="BA55" s="75">
        <f t="shared" si="106"/>
        <v>0</v>
      </c>
      <c r="BB55" s="75">
        <f t="shared" si="106"/>
        <v>0</v>
      </c>
      <c r="BC55" s="75">
        <f t="shared" si="106"/>
        <v>0</v>
      </c>
      <c r="BD55" s="75">
        <f t="shared" si="106"/>
        <v>0</v>
      </c>
      <c r="BE55" s="75">
        <f t="shared" si="106"/>
        <v>0</v>
      </c>
      <c r="BF55" s="75">
        <f t="shared" si="106"/>
        <v>0</v>
      </c>
      <c r="BG55" s="75">
        <f t="shared" si="106"/>
        <v>0</v>
      </c>
      <c r="BH55" s="75">
        <f t="shared" si="106"/>
        <v>0</v>
      </c>
      <c r="BI55" s="75">
        <f t="shared" si="106"/>
        <v>0</v>
      </c>
      <c r="BJ55" s="75">
        <f t="shared" si="106"/>
        <v>0</v>
      </c>
      <c r="BK55" s="75">
        <f t="shared" si="106"/>
        <v>0</v>
      </c>
      <c r="BL55" s="75">
        <f t="shared" si="106"/>
        <v>0</v>
      </c>
      <c r="BM55" s="76">
        <f t="shared" si="106"/>
        <v>0</v>
      </c>
      <c r="BN55" s="549">
        <f t="shared" si="106"/>
        <v>8308677</v>
      </c>
      <c r="BO55" s="74">
        <f t="shared" si="106"/>
        <v>6143070</v>
      </c>
      <c r="BP55" s="74">
        <f t="shared" si="106"/>
        <v>5150405</v>
      </c>
      <c r="BQ55" s="74">
        <f t="shared" si="106"/>
        <v>992665</v>
      </c>
      <c r="BR55" s="74">
        <f t="shared" si="106"/>
        <v>0</v>
      </c>
      <c r="BS55" s="74">
        <f t="shared" si="106"/>
        <v>0</v>
      </c>
      <c r="BT55" s="74">
        <f t="shared" si="106"/>
        <v>0</v>
      </c>
      <c r="BU55" s="74">
        <f t="shared" si="106"/>
        <v>2076357</v>
      </c>
      <c r="BV55" s="74">
        <f t="shared" ref="BV55:CF55" si="107">SUM(BV53:BV54)</f>
        <v>61431</v>
      </c>
      <c r="BW55" s="74">
        <f t="shared" si="107"/>
        <v>27819</v>
      </c>
      <c r="BX55" s="75">
        <f t="shared" si="107"/>
        <v>11.940999999999999</v>
      </c>
      <c r="BY55" s="75">
        <f t="shared" si="107"/>
        <v>8.7742000000000004</v>
      </c>
      <c r="BZ55" s="753">
        <f t="shared" si="107"/>
        <v>3.1667999999999998</v>
      </c>
      <c r="CA55" s="796">
        <f t="shared" si="107"/>
        <v>0</v>
      </c>
      <c r="CB55" s="789">
        <f t="shared" si="107"/>
        <v>0</v>
      </c>
      <c r="CC55" s="789">
        <f t="shared" si="107"/>
        <v>0</v>
      </c>
      <c r="CD55" s="789">
        <f t="shared" si="107"/>
        <v>0</v>
      </c>
      <c r="CE55" s="789">
        <f t="shared" si="107"/>
        <v>0</v>
      </c>
      <c r="CF55" s="793">
        <f t="shared" si="107"/>
        <v>0</v>
      </c>
    </row>
    <row r="56" spans="1:84" ht="14.1" customHeight="1" x14ac:dyDescent="0.2">
      <c r="A56" s="66">
        <v>13</v>
      </c>
      <c r="B56" s="63">
        <v>2413</v>
      </c>
      <c r="C56" s="64">
        <v>600079601</v>
      </c>
      <c r="D56" s="63">
        <v>72742909</v>
      </c>
      <c r="E56" s="65" t="s">
        <v>559</v>
      </c>
      <c r="F56" s="66">
        <v>3111</v>
      </c>
      <c r="G56" s="65" t="s">
        <v>291</v>
      </c>
      <c r="H56" s="67" t="s">
        <v>271</v>
      </c>
      <c r="I56" s="423">
        <f t="shared" si="2"/>
        <v>5335215</v>
      </c>
      <c r="J56" s="418">
        <f t="shared" si="3"/>
        <v>3945396</v>
      </c>
      <c r="K56" s="418">
        <v>3592735</v>
      </c>
      <c r="L56" s="418">
        <v>352661</v>
      </c>
      <c r="M56" s="418">
        <f>N56+O56</f>
        <v>0</v>
      </c>
      <c r="N56" s="418">
        <v>0</v>
      </c>
      <c r="O56" s="418">
        <v>0</v>
      </c>
      <c r="P56" s="668">
        <f t="shared" si="4"/>
        <v>1333544</v>
      </c>
      <c r="Q56" s="668">
        <f t="shared" si="5"/>
        <v>39454</v>
      </c>
      <c r="R56" s="418">
        <v>16821</v>
      </c>
      <c r="S56" s="419">
        <f t="shared" si="6"/>
        <v>7.4418999999999995</v>
      </c>
      <c r="T56" s="419">
        <v>6.2417999999999996</v>
      </c>
      <c r="U56" s="426">
        <v>1.2000999999999999</v>
      </c>
      <c r="V56" s="428">
        <f t="shared" si="7"/>
        <v>0</v>
      </c>
      <c r="W56" s="421">
        <f t="shared" si="8"/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 t="shared" si="9"/>
        <v>0</v>
      </c>
      <c r="AG56" s="421">
        <f t="shared" si="10"/>
        <v>0</v>
      </c>
      <c r="AH56" s="421">
        <f>SUM(AF56:AG56)</f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2"/>
        <v>0</v>
      </c>
      <c r="AP56" s="421">
        <f t="shared" si="13"/>
        <v>0</v>
      </c>
      <c r="AQ56" s="421">
        <f t="shared" si="14"/>
        <v>0</v>
      </c>
      <c r="AR56" s="421">
        <f t="shared" ref="AR56:AS58" si="108">AF56+AO56</f>
        <v>0</v>
      </c>
      <c r="AS56" s="421">
        <f t="shared" si="108"/>
        <v>0</v>
      </c>
      <c r="AT56" s="421">
        <f t="shared" si="16"/>
        <v>0</v>
      </c>
      <c r="AU56" s="68">
        <f t="shared" ref="AU56:AU58" si="109">ROUND((AH56+AI56+AJ56+AK56+AL56)*33.8%,0)</f>
        <v>0</v>
      </c>
      <c r="AV56" s="68">
        <f>ROUND(AH56*1%,0)</f>
        <v>0</v>
      </c>
      <c r="AW56" s="421">
        <v>0</v>
      </c>
      <c r="AX56" s="421">
        <v>0</v>
      </c>
      <c r="AY56" s="421">
        <f t="shared" si="17"/>
        <v>0</v>
      </c>
      <c r="AZ56" s="421">
        <f t="shared" si="18"/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>BA56+BC56+BD56+BF56+BH56+BI56</f>
        <v>0</v>
      </c>
      <c r="BL56" s="422">
        <f>BB56+BE56+BG56+BJ56</f>
        <v>0</v>
      </c>
      <c r="BM56" s="424">
        <f t="shared" si="19"/>
        <v>0</v>
      </c>
      <c r="BN56" s="427">
        <f>I56+AZ56</f>
        <v>5335215</v>
      </c>
      <c r="BO56" s="421">
        <f>J56+AH56</f>
        <v>3945396</v>
      </c>
      <c r="BP56" s="421">
        <f t="shared" ref="BP56:BQ58" si="110">K56+AF56</f>
        <v>3592735</v>
      </c>
      <c r="BQ56" s="421">
        <f t="shared" si="110"/>
        <v>352661</v>
      </c>
      <c r="BR56" s="421">
        <f>M56+AQ56</f>
        <v>0</v>
      </c>
      <c r="BS56" s="421">
        <f t="shared" ref="BS56:BT58" si="111">N56+AO56</f>
        <v>0</v>
      </c>
      <c r="BT56" s="421">
        <f t="shared" si="111"/>
        <v>0</v>
      </c>
      <c r="BU56" s="421">
        <f t="shared" ref="BU56:BV58" si="112">P56+AU56</f>
        <v>1333544</v>
      </c>
      <c r="BV56" s="421">
        <f t="shared" si="112"/>
        <v>39454</v>
      </c>
      <c r="BW56" s="421">
        <f>R56+AY56</f>
        <v>16821</v>
      </c>
      <c r="BX56" s="422">
        <f>S56+BM56</f>
        <v>7.4418999999999995</v>
      </c>
      <c r="BY56" s="422">
        <f t="shared" ref="BY56:BZ58" si="113">T56+BK56</f>
        <v>6.2417999999999996</v>
      </c>
      <c r="BZ56" s="611">
        <f t="shared" si="113"/>
        <v>1.2000999999999999</v>
      </c>
      <c r="CA56" s="423"/>
      <c r="CB56" s="418"/>
      <c r="CC56" s="418"/>
      <c r="CD56" s="418"/>
      <c r="CE56" s="418"/>
      <c r="CF56" s="527"/>
    </row>
    <row r="57" spans="1:84" ht="14.1" customHeight="1" x14ac:dyDescent="0.2">
      <c r="A57" s="66">
        <v>13</v>
      </c>
      <c r="B57" s="63">
        <v>2413</v>
      </c>
      <c r="C57" s="64">
        <v>600079601</v>
      </c>
      <c r="D57" s="63">
        <v>72742909</v>
      </c>
      <c r="E57" s="65" t="s">
        <v>559</v>
      </c>
      <c r="F57" s="66">
        <v>3111</v>
      </c>
      <c r="G57" s="77" t="s">
        <v>292</v>
      </c>
      <c r="H57" s="67" t="s">
        <v>272</v>
      </c>
      <c r="I57" s="423">
        <f t="shared" si="2"/>
        <v>0</v>
      </c>
      <c r="J57" s="418">
        <f t="shared" si="3"/>
        <v>0</v>
      </c>
      <c r="K57" s="418">
        <v>0</v>
      </c>
      <c r="L57" s="418">
        <v>0</v>
      </c>
      <c r="M57" s="418">
        <f t="shared" si="24"/>
        <v>0</v>
      </c>
      <c r="N57" s="418">
        <v>0</v>
      </c>
      <c r="O57" s="418">
        <v>0</v>
      </c>
      <c r="P57" s="668">
        <f t="shared" si="4"/>
        <v>0</v>
      </c>
      <c r="Q57" s="668">
        <f t="shared" si="5"/>
        <v>0</v>
      </c>
      <c r="R57" s="418">
        <v>0</v>
      </c>
      <c r="S57" s="419">
        <f t="shared" si="6"/>
        <v>0</v>
      </c>
      <c r="T57" s="420">
        <v>0</v>
      </c>
      <c r="U57" s="426">
        <v>0</v>
      </c>
      <c r="V57" s="428">
        <f t="shared" si="7"/>
        <v>0</v>
      </c>
      <c r="W57" s="421">
        <f t="shared" si="8"/>
        <v>0</v>
      </c>
      <c r="X57" s="16">
        <v>169951</v>
      </c>
      <c r="Y57" s="16">
        <v>0</v>
      </c>
      <c r="Z57" s="16">
        <v>0</v>
      </c>
      <c r="AA57" s="16">
        <v>0</v>
      </c>
      <c r="AB57" s="421">
        <v>0</v>
      </c>
      <c r="AC57" s="16">
        <v>0</v>
      </c>
      <c r="AD57" s="16">
        <v>0</v>
      </c>
      <c r="AE57" s="16">
        <v>0</v>
      </c>
      <c r="AF57" s="421">
        <f t="shared" si="9"/>
        <v>169951</v>
      </c>
      <c r="AG57" s="421">
        <f t="shared" si="10"/>
        <v>0</v>
      </c>
      <c r="AH57" s="421">
        <f t="shared" si="11"/>
        <v>169951</v>
      </c>
      <c r="AI57" s="16">
        <v>0</v>
      </c>
      <c r="AJ57" s="16">
        <v>0</v>
      </c>
      <c r="AK57" s="421">
        <v>0</v>
      </c>
      <c r="AL57" s="16">
        <v>0</v>
      </c>
      <c r="AM57" s="16">
        <v>0</v>
      </c>
      <c r="AN57" s="16">
        <v>0</v>
      </c>
      <c r="AO57" s="421">
        <f t="shared" si="12"/>
        <v>0</v>
      </c>
      <c r="AP57" s="16">
        <v>0</v>
      </c>
      <c r="AQ57" s="421">
        <f t="shared" si="14"/>
        <v>0</v>
      </c>
      <c r="AR57" s="421">
        <f t="shared" si="108"/>
        <v>169951</v>
      </c>
      <c r="AS57" s="421">
        <f t="shared" si="108"/>
        <v>0</v>
      </c>
      <c r="AT57" s="421">
        <f t="shared" si="16"/>
        <v>169951</v>
      </c>
      <c r="AU57" s="68">
        <f t="shared" si="109"/>
        <v>57443</v>
      </c>
      <c r="AV57" s="68">
        <f>ROUND(AH57*1%,0)</f>
        <v>1700</v>
      </c>
      <c r="AW57" s="16">
        <v>0</v>
      </c>
      <c r="AX57" s="16">
        <v>0</v>
      </c>
      <c r="AY57" s="421">
        <f t="shared" si="17"/>
        <v>0</v>
      </c>
      <c r="AZ57" s="421">
        <f t="shared" si="18"/>
        <v>229094</v>
      </c>
      <c r="BA57" s="13">
        <v>0</v>
      </c>
      <c r="BB57" s="13">
        <v>0</v>
      </c>
      <c r="BC57" s="13">
        <v>0.46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>BA57+BC57+BD57+BF57+BH57+BI57</f>
        <v>0.46</v>
      </c>
      <c r="BL57" s="422">
        <f>BB57+BE57+BG57+BJ57</f>
        <v>0</v>
      </c>
      <c r="BM57" s="424">
        <f t="shared" si="19"/>
        <v>0.46</v>
      </c>
      <c r="BN57" s="427">
        <f>I57+AZ57</f>
        <v>229094</v>
      </c>
      <c r="BO57" s="421">
        <f>J57+AH57</f>
        <v>169951</v>
      </c>
      <c r="BP57" s="421">
        <f t="shared" si="110"/>
        <v>169951</v>
      </c>
      <c r="BQ57" s="421">
        <f t="shared" si="110"/>
        <v>0</v>
      </c>
      <c r="BR57" s="421">
        <f>M57+AQ57</f>
        <v>0</v>
      </c>
      <c r="BS57" s="421">
        <f t="shared" si="111"/>
        <v>0</v>
      </c>
      <c r="BT57" s="421">
        <f t="shared" si="111"/>
        <v>0</v>
      </c>
      <c r="BU57" s="421">
        <f t="shared" si="112"/>
        <v>57443</v>
      </c>
      <c r="BV57" s="421">
        <f t="shared" si="112"/>
        <v>1700</v>
      </c>
      <c r="BW57" s="421">
        <f>R57+AY57</f>
        <v>0</v>
      </c>
      <c r="BX57" s="422">
        <f>S57+BM57</f>
        <v>0.46</v>
      </c>
      <c r="BY57" s="422">
        <f t="shared" si="113"/>
        <v>0.46</v>
      </c>
      <c r="BZ57" s="611">
        <f t="shared" si="113"/>
        <v>0</v>
      </c>
      <c r="CA57" s="423"/>
      <c r="CB57" s="418"/>
      <c r="CC57" s="418"/>
      <c r="CD57" s="418"/>
      <c r="CE57" s="418"/>
      <c r="CF57" s="527"/>
    </row>
    <row r="58" spans="1:84" ht="14.1" customHeight="1" x14ac:dyDescent="0.2">
      <c r="A58" s="66">
        <v>13</v>
      </c>
      <c r="B58" s="63">
        <v>2413</v>
      </c>
      <c r="C58" s="64">
        <v>600079601</v>
      </c>
      <c r="D58" s="63">
        <v>72742909</v>
      </c>
      <c r="E58" s="65" t="s">
        <v>559</v>
      </c>
      <c r="F58" s="66">
        <v>3141</v>
      </c>
      <c r="G58" s="65" t="s">
        <v>295</v>
      </c>
      <c r="H58" s="67" t="s">
        <v>272</v>
      </c>
      <c r="I58" s="423">
        <f t="shared" si="2"/>
        <v>547656</v>
      </c>
      <c r="J58" s="418">
        <f t="shared" si="3"/>
        <v>404611</v>
      </c>
      <c r="K58" s="418">
        <v>0</v>
      </c>
      <c r="L58" s="924">
        <v>404611</v>
      </c>
      <c r="M58" s="418">
        <f>N58+O58</f>
        <v>0</v>
      </c>
      <c r="N58" s="205">
        <v>0</v>
      </c>
      <c r="O58" s="205">
        <v>0</v>
      </c>
      <c r="P58" s="668">
        <f t="shared" ref="P58" si="114">ROUND(J58*33.8%,0)</f>
        <v>136759</v>
      </c>
      <c r="Q58" s="668">
        <f t="shared" ref="Q58" si="115">ROUND(J58*1%,0)</f>
        <v>4046</v>
      </c>
      <c r="R58" s="674">
        <v>2240</v>
      </c>
      <c r="S58" s="419">
        <f>T58+U58</f>
        <v>1.2133</v>
      </c>
      <c r="T58" s="676">
        <v>0</v>
      </c>
      <c r="U58" s="909">
        <v>1.2133</v>
      </c>
      <c r="V58" s="428">
        <f t="shared" si="7"/>
        <v>0</v>
      </c>
      <c r="W58" s="421">
        <f t="shared" si="8"/>
        <v>0</v>
      </c>
      <c r="X58" s="421">
        <v>0</v>
      </c>
      <c r="Y58" s="421">
        <v>0</v>
      </c>
      <c r="Z58" s="421">
        <v>0</v>
      </c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f t="shared" si="9"/>
        <v>0</v>
      </c>
      <c r="AG58" s="421">
        <f t="shared" si="10"/>
        <v>0</v>
      </c>
      <c r="AH58" s="421">
        <f t="shared" si="11"/>
        <v>0</v>
      </c>
      <c r="AI58" s="421">
        <v>0</v>
      </c>
      <c r="AJ58" s="421">
        <v>0</v>
      </c>
      <c r="AK58" s="421">
        <v>0</v>
      </c>
      <c r="AL58" s="421">
        <v>0</v>
      </c>
      <c r="AM58" s="421">
        <v>0</v>
      </c>
      <c r="AN58" s="421">
        <v>0</v>
      </c>
      <c r="AO58" s="421">
        <f t="shared" si="12"/>
        <v>0</v>
      </c>
      <c r="AP58" s="421">
        <f t="shared" si="13"/>
        <v>0</v>
      </c>
      <c r="AQ58" s="421">
        <f t="shared" si="14"/>
        <v>0</v>
      </c>
      <c r="AR58" s="421">
        <f t="shared" si="108"/>
        <v>0</v>
      </c>
      <c r="AS58" s="421">
        <f t="shared" si="108"/>
        <v>0</v>
      </c>
      <c r="AT58" s="421">
        <f t="shared" si="16"/>
        <v>0</v>
      </c>
      <c r="AU58" s="68">
        <f t="shared" si="109"/>
        <v>0</v>
      </c>
      <c r="AV58" s="68">
        <f>ROUND(AH58*1%,0)</f>
        <v>0</v>
      </c>
      <c r="AW58" s="421">
        <v>0</v>
      </c>
      <c r="AX58" s="421">
        <v>0</v>
      </c>
      <c r="AY58" s="421">
        <f t="shared" si="17"/>
        <v>0</v>
      </c>
      <c r="AZ58" s="421">
        <f t="shared" si="18"/>
        <v>0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0</v>
      </c>
      <c r="BK58" s="422">
        <f>BA58+BC58+BD58+BF58+BH58+BI58</f>
        <v>0</v>
      </c>
      <c r="BL58" s="422">
        <f>BB58+BE58+BG58+BJ58</f>
        <v>0</v>
      </c>
      <c r="BM58" s="424">
        <f t="shared" si="19"/>
        <v>0</v>
      </c>
      <c r="BN58" s="427">
        <f>I58+AZ58</f>
        <v>547656</v>
      </c>
      <c r="BO58" s="421">
        <f>J58+AH58</f>
        <v>404611</v>
      </c>
      <c r="BP58" s="421">
        <f t="shared" si="110"/>
        <v>0</v>
      </c>
      <c r="BQ58" s="421">
        <f t="shared" si="110"/>
        <v>404611</v>
      </c>
      <c r="BR58" s="421">
        <f>M58+AQ58</f>
        <v>0</v>
      </c>
      <c r="BS58" s="421">
        <f t="shared" si="111"/>
        <v>0</v>
      </c>
      <c r="BT58" s="421">
        <f t="shared" si="111"/>
        <v>0</v>
      </c>
      <c r="BU58" s="421">
        <f t="shared" si="112"/>
        <v>136759</v>
      </c>
      <c r="BV58" s="421">
        <f t="shared" si="112"/>
        <v>4046</v>
      </c>
      <c r="BW58" s="421">
        <f>R58+AY58</f>
        <v>2240</v>
      </c>
      <c r="BX58" s="422">
        <f>S58+BM58</f>
        <v>1.2133</v>
      </c>
      <c r="BY58" s="422">
        <f t="shared" si="113"/>
        <v>0</v>
      </c>
      <c r="BZ58" s="611">
        <f t="shared" si="113"/>
        <v>1.2133</v>
      </c>
      <c r="CA58" s="423"/>
      <c r="CB58" s="418"/>
      <c r="CC58" s="418"/>
      <c r="CD58" s="418"/>
      <c r="CE58" s="418"/>
      <c r="CF58" s="527"/>
    </row>
    <row r="59" spans="1:84" ht="14.1" customHeight="1" x14ac:dyDescent="0.2">
      <c r="A59" s="72">
        <v>13</v>
      </c>
      <c r="B59" s="69">
        <v>2413</v>
      </c>
      <c r="C59" s="70">
        <v>600079601</v>
      </c>
      <c r="D59" s="69">
        <v>72742909</v>
      </c>
      <c r="E59" s="71" t="s">
        <v>560</v>
      </c>
      <c r="F59" s="72"/>
      <c r="G59" s="71"/>
      <c r="H59" s="73"/>
      <c r="I59" s="538">
        <f t="shared" ref="I59:BU59" si="116">SUM(I56:I58)</f>
        <v>5882871</v>
      </c>
      <c r="J59" s="74">
        <f t="shared" si="116"/>
        <v>4350007</v>
      </c>
      <c r="K59" s="74">
        <f t="shared" si="116"/>
        <v>3592735</v>
      </c>
      <c r="L59" s="74">
        <f t="shared" si="116"/>
        <v>757272</v>
      </c>
      <c r="M59" s="74">
        <f t="shared" si="116"/>
        <v>0</v>
      </c>
      <c r="N59" s="74">
        <f t="shared" si="116"/>
        <v>0</v>
      </c>
      <c r="O59" s="74">
        <f t="shared" si="116"/>
        <v>0</v>
      </c>
      <c r="P59" s="74">
        <f t="shared" si="116"/>
        <v>1470303</v>
      </c>
      <c r="Q59" s="74">
        <f t="shared" si="116"/>
        <v>43500</v>
      </c>
      <c r="R59" s="74">
        <f t="shared" si="116"/>
        <v>19061</v>
      </c>
      <c r="S59" s="75">
        <f t="shared" si="116"/>
        <v>8.6551999999999989</v>
      </c>
      <c r="T59" s="75">
        <f t="shared" si="116"/>
        <v>6.2417999999999996</v>
      </c>
      <c r="U59" s="753">
        <f t="shared" si="116"/>
        <v>2.4134000000000002</v>
      </c>
      <c r="V59" s="538">
        <f t="shared" si="116"/>
        <v>0</v>
      </c>
      <c r="W59" s="74">
        <f t="shared" si="116"/>
        <v>0</v>
      </c>
      <c r="X59" s="74">
        <f t="shared" si="116"/>
        <v>169951</v>
      </c>
      <c r="Y59" s="74">
        <f t="shared" si="116"/>
        <v>0</v>
      </c>
      <c r="Z59" s="74">
        <f t="shared" si="116"/>
        <v>0</v>
      </c>
      <c r="AA59" s="74">
        <f t="shared" si="116"/>
        <v>0</v>
      </c>
      <c r="AB59" s="74">
        <f t="shared" si="116"/>
        <v>0</v>
      </c>
      <c r="AC59" s="74">
        <f t="shared" si="116"/>
        <v>0</v>
      </c>
      <c r="AD59" s="74">
        <f t="shared" si="116"/>
        <v>0</v>
      </c>
      <c r="AE59" s="74">
        <f t="shared" si="116"/>
        <v>0</v>
      </c>
      <c r="AF59" s="74">
        <f t="shared" si="116"/>
        <v>169951</v>
      </c>
      <c r="AG59" s="74">
        <f t="shared" si="116"/>
        <v>0</v>
      </c>
      <c r="AH59" s="74">
        <f t="shared" si="116"/>
        <v>169951</v>
      </c>
      <c r="AI59" s="74">
        <f t="shared" si="116"/>
        <v>0</v>
      </c>
      <c r="AJ59" s="74">
        <f t="shared" si="116"/>
        <v>0</v>
      </c>
      <c r="AK59" s="74">
        <f t="shared" si="116"/>
        <v>0</v>
      </c>
      <c r="AL59" s="74">
        <f t="shared" si="116"/>
        <v>0</v>
      </c>
      <c r="AM59" s="74">
        <f t="shared" si="116"/>
        <v>0</v>
      </c>
      <c r="AN59" s="74">
        <f t="shared" si="116"/>
        <v>0</v>
      </c>
      <c r="AO59" s="74">
        <f t="shared" si="116"/>
        <v>0</v>
      </c>
      <c r="AP59" s="74">
        <f t="shared" si="116"/>
        <v>0</v>
      </c>
      <c r="AQ59" s="74">
        <f t="shared" si="116"/>
        <v>0</v>
      </c>
      <c r="AR59" s="74">
        <f t="shared" si="116"/>
        <v>169951</v>
      </c>
      <c r="AS59" s="74">
        <f t="shared" si="116"/>
        <v>0</v>
      </c>
      <c r="AT59" s="74">
        <f t="shared" si="116"/>
        <v>169951</v>
      </c>
      <c r="AU59" s="74">
        <f t="shared" si="116"/>
        <v>57443</v>
      </c>
      <c r="AV59" s="74">
        <f t="shared" si="116"/>
        <v>1700</v>
      </c>
      <c r="AW59" s="74">
        <f t="shared" si="116"/>
        <v>0</v>
      </c>
      <c r="AX59" s="74">
        <f t="shared" si="116"/>
        <v>0</v>
      </c>
      <c r="AY59" s="74">
        <f t="shared" si="116"/>
        <v>0</v>
      </c>
      <c r="AZ59" s="74">
        <f t="shared" si="116"/>
        <v>229094</v>
      </c>
      <c r="BA59" s="75">
        <f t="shared" si="116"/>
        <v>0</v>
      </c>
      <c r="BB59" s="75">
        <f t="shared" si="116"/>
        <v>0</v>
      </c>
      <c r="BC59" s="75">
        <f t="shared" si="116"/>
        <v>0.46</v>
      </c>
      <c r="BD59" s="75">
        <f t="shared" si="116"/>
        <v>0</v>
      </c>
      <c r="BE59" s="75">
        <f t="shared" si="116"/>
        <v>0</v>
      </c>
      <c r="BF59" s="75">
        <f t="shared" si="116"/>
        <v>0</v>
      </c>
      <c r="BG59" s="75">
        <f t="shared" si="116"/>
        <v>0</v>
      </c>
      <c r="BH59" s="75">
        <f t="shared" si="116"/>
        <v>0</v>
      </c>
      <c r="BI59" s="75">
        <f t="shared" si="116"/>
        <v>0</v>
      </c>
      <c r="BJ59" s="75">
        <f t="shared" si="116"/>
        <v>0</v>
      </c>
      <c r="BK59" s="75">
        <f t="shared" si="116"/>
        <v>0.46</v>
      </c>
      <c r="BL59" s="75">
        <f t="shared" si="116"/>
        <v>0</v>
      </c>
      <c r="BM59" s="76">
        <f t="shared" si="116"/>
        <v>0.46</v>
      </c>
      <c r="BN59" s="549">
        <f t="shared" si="116"/>
        <v>6111965</v>
      </c>
      <c r="BO59" s="74">
        <f t="shared" si="116"/>
        <v>4519958</v>
      </c>
      <c r="BP59" s="74">
        <f t="shared" si="116"/>
        <v>3762686</v>
      </c>
      <c r="BQ59" s="74">
        <f t="shared" si="116"/>
        <v>757272</v>
      </c>
      <c r="BR59" s="74">
        <f t="shared" si="116"/>
        <v>0</v>
      </c>
      <c r="BS59" s="74">
        <f t="shared" si="116"/>
        <v>0</v>
      </c>
      <c r="BT59" s="74">
        <f t="shared" si="116"/>
        <v>0</v>
      </c>
      <c r="BU59" s="74">
        <f t="shared" si="116"/>
        <v>1527746</v>
      </c>
      <c r="BV59" s="74">
        <f t="shared" ref="BV59:CF59" si="117">SUM(BV56:BV58)</f>
        <v>45200</v>
      </c>
      <c r="BW59" s="74">
        <f t="shared" si="117"/>
        <v>19061</v>
      </c>
      <c r="BX59" s="75">
        <f t="shared" si="117"/>
        <v>9.1151999999999997</v>
      </c>
      <c r="BY59" s="75">
        <f t="shared" si="117"/>
        <v>6.7017999999999995</v>
      </c>
      <c r="BZ59" s="753">
        <f t="shared" si="117"/>
        <v>2.4134000000000002</v>
      </c>
      <c r="CA59" s="796">
        <f t="shared" si="117"/>
        <v>0</v>
      </c>
      <c r="CB59" s="789">
        <f t="shared" si="117"/>
        <v>0</v>
      </c>
      <c r="CC59" s="789">
        <f t="shared" si="117"/>
        <v>0</v>
      </c>
      <c r="CD59" s="789">
        <f t="shared" si="117"/>
        <v>0</v>
      </c>
      <c r="CE59" s="789">
        <f t="shared" si="117"/>
        <v>0</v>
      </c>
      <c r="CF59" s="793">
        <f t="shared" si="117"/>
        <v>0</v>
      </c>
    </row>
    <row r="60" spans="1:84" ht="14.1" customHeight="1" x14ac:dyDescent="0.2">
      <c r="A60" s="66">
        <v>14</v>
      </c>
      <c r="B60" s="63">
        <v>2410</v>
      </c>
      <c r="C60" s="64">
        <v>600079121</v>
      </c>
      <c r="D60" s="63">
        <v>72742348</v>
      </c>
      <c r="E60" s="65" t="s">
        <v>561</v>
      </c>
      <c r="F60" s="66">
        <v>3111</v>
      </c>
      <c r="G60" s="65" t="s">
        <v>291</v>
      </c>
      <c r="H60" s="67" t="s">
        <v>271</v>
      </c>
      <c r="I60" s="423">
        <f t="shared" si="2"/>
        <v>7349583</v>
      </c>
      <c r="J60" s="418">
        <f t="shared" si="3"/>
        <v>5430654</v>
      </c>
      <c r="K60" s="418">
        <v>4947148</v>
      </c>
      <c r="L60" s="418">
        <v>483506</v>
      </c>
      <c r="M60" s="418">
        <f>N60+O60</f>
        <v>0</v>
      </c>
      <c r="N60" s="418">
        <v>0</v>
      </c>
      <c r="O60" s="418">
        <v>0</v>
      </c>
      <c r="P60" s="668">
        <f t="shared" si="4"/>
        <v>1835561</v>
      </c>
      <c r="Q60" s="668">
        <f t="shared" si="5"/>
        <v>54307</v>
      </c>
      <c r="R60" s="418">
        <v>29061</v>
      </c>
      <c r="S60" s="419">
        <f t="shared" si="6"/>
        <v>10.234</v>
      </c>
      <c r="T60" s="419">
        <v>8.5806000000000004</v>
      </c>
      <c r="U60" s="426">
        <v>1.6534</v>
      </c>
      <c r="V60" s="428">
        <f t="shared" si="7"/>
        <v>-20992</v>
      </c>
      <c r="W60" s="421">
        <f t="shared" si="8"/>
        <v>0</v>
      </c>
      <c r="X60" s="421">
        <v>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9"/>
        <v>-20992</v>
      </c>
      <c r="AG60" s="421">
        <f t="shared" si="10"/>
        <v>0</v>
      </c>
      <c r="AH60" s="421">
        <f t="shared" si="11"/>
        <v>-20992</v>
      </c>
      <c r="AI60" s="421">
        <v>20992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2"/>
        <v>20992</v>
      </c>
      <c r="AP60" s="421">
        <f t="shared" si="13"/>
        <v>0</v>
      </c>
      <c r="AQ60" s="421">
        <f t="shared" si="14"/>
        <v>20992</v>
      </c>
      <c r="AR60" s="421">
        <f t="shared" ref="AR60:AS62" si="118">AF60+AO60</f>
        <v>0</v>
      </c>
      <c r="AS60" s="421">
        <f t="shared" si="118"/>
        <v>0</v>
      </c>
      <c r="AT60" s="421">
        <f t="shared" si="16"/>
        <v>0</v>
      </c>
      <c r="AU60" s="68">
        <f t="shared" ref="AU60:AU62" si="119">ROUND((AH60+AI60+AJ60+AK60+AL60)*33.8%,0)</f>
        <v>0</v>
      </c>
      <c r="AV60" s="68">
        <f>ROUND(AH60*1%,0)</f>
        <v>-210</v>
      </c>
      <c r="AW60" s="421">
        <v>0</v>
      </c>
      <c r="AX60" s="421">
        <v>0</v>
      </c>
      <c r="AY60" s="421">
        <f t="shared" si="17"/>
        <v>0</v>
      </c>
      <c r="AZ60" s="421">
        <f t="shared" si="18"/>
        <v>-210</v>
      </c>
      <c r="BA60" s="422">
        <v>-0.04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>BA60+BC60+BD60+BF60+BH60+BI60</f>
        <v>-0.04</v>
      </c>
      <c r="BL60" s="422">
        <f>BB60+BE60+BG60+BJ60</f>
        <v>0</v>
      </c>
      <c r="BM60" s="424">
        <f t="shared" si="19"/>
        <v>-0.04</v>
      </c>
      <c r="BN60" s="427">
        <f>I60+AZ60</f>
        <v>7349373</v>
      </c>
      <c r="BO60" s="421">
        <f>J60+AH60</f>
        <v>5409662</v>
      </c>
      <c r="BP60" s="421">
        <f t="shared" ref="BP60:BQ62" si="120">K60+AF60</f>
        <v>4926156</v>
      </c>
      <c r="BQ60" s="421">
        <f t="shared" si="120"/>
        <v>483506</v>
      </c>
      <c r="BR60" s="421">
        <f>M60+AQ60</f>
        <v>20992</v>
      </c>
      <c r="BS60" s="421">
        <f t="shared" ref="BS60:BT62" si="121">N60+AO60</f>
        <v>20992</v>
      </c>
      <c r="BT60" s="421">
        <f t="shared" si="121"/>
        <v>0</v>
      </c>
      <c r="BU60" s="421">
        <f t="shared" ref="BU60:BV62" si="122">P60+AU60</f>
        <v>1835561</v>
      </c>
      <c r="BV60" s="421">
        <f t="shared" si="122"/>
        <v>54097</v>
      </c>
      <c r="BW60" s="421">
        <f>R60+AY60</f>
        <v>29061</v>
      </c>
      <c r="BX60" s="422">
        <f>S60+BM60</f>
        <v>10.194000000000001</v>
      </c>
      <c r="BY60" s="422">
        <f t="shared" ref="BY60:BZ62" si="123">T60+BK60</f>
        <v>8.5406000000000013</v>
      </c>
      <c r="BZ60" s="611">
        <f t="shared" si="123"/>
        <v>1.6534</v>
      </c>
      <c r="CA60" s="423"/>
      <c r="CB60" s="418"/>
      <c r="CC60" s="418"/>
      <c r="CD60" s="418"/>
      <c r="CE60" s="418"/>
      <c r="CF60" s="527"/>
    </row>
    <row r="61" spans="1:84" ht="14.1" customHeight="1" x14ac:dyDescent="0.2">
      <c r="A61" s="66">
        <v>14</v>
      </c>
      <c r="B61" s="63">
        <v>2410</v>
      </c>
      <c r="C61" s="64">
        <v>600079121</v>
      </c>
      <c r="D61" s="63">
        <v>72742348</v>
      </c>
      <c r="E61" s="65" t="s">
        <v>561</v>
      </c>
      <c r="F61" s="66">
        <v>3111</v>
      </c>
      <c r="G61" s="43" t="s">
        <v>293</v>
      </c>
      <c r="H61" s="67" t="s">
        <v>271</v>
      </c>
      <c r="I61" s="423">
        <f t="shared" si="2"/>
        <v>432870</v>
      </c>
      <c r="J61" s="418">
        <f t="shared" si="3"/>
        <v>321120</v>
      </c>
      <c r="K61" s="418">
        <v>321120</v>
      </c>
      <c r="L61" s="418">
        <v>0</v>
      </c>
      <c r="M61" s="418">
        <f t="shared" si="24"/>
        <v>0</v>
      </c>
      <c r="N61" s="418">
        <v>0</v>
      </c>
      <c r="O61" s="418">
        <v>0</v>
      </c>
      <c r="P61" s="668">
        <f t="shared" si="4"/>
        <v>108539</v>
      </c>
      <c r="Q61" s="668">
        <f t="shared" si="5"/>
        <v>3211</v>
      </c>
      <c r="R61" s="418">
        <v>0</v>
      </c>
      <c r="S61" s="419">
        <f t="shared" si="6"/>
        <v>1</v>
      </c>
      <c r="T61" s="419">
        <v>1</v>
      </c>
      <c r="U61" s="426">
        <v>0</v>
      </c>
      <c r="V61" s="428">
        <f t="shared" si="7"/>
        <v>0</v>
      </c>
      <c r="W61" s="421">
        <f t="shared" si="8"/>
        <v>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si="9"/>
        <v>0</v>
      </c>
      <c r="AG61" s="421">
        <f t="shared" si="10"/>
        <v>0</v>
      </c>
      <c r="AH61" s="421">
        <f t="shared" si="11"/>
        <v>0</v>
      </c>
      <c r="AI61" s="421">
        <v>0</v>
      </c>
      <c r="AJ61" s="421">
        <v>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2"/>
        <v>0</v>
      </c>
      <c r="AP61" s="421">
        <f t="shared" si="13"/>
        <v>0</v>
      </c>
      <c r="AQ61" s="421">
        <f t="shared" si="14"/>
        <v>0</v>
      </c>
      <c r="AR61" s="421">
        <f t="shared" si="118"/>
        <v>0</v>
      </c>
      <c r="AS61" s="421">
        <f t="shared" si="118"/>
        <v>0</v>
      </c>
      <c r="AT61" s="421">
        <f t="shared" si="16"/>
        <v>0</v>
      </c>
      <c r="AU61" s="68">
        <f t="shared" si="119"/>
        <v>0</v>
      </c>
      <c r="AV61" s="68">
        <f>ROUND(AH61*1%,0)</f>
        <v>0</v>
      </c>
      <c r="AW61" s="421">
        <v>0</v>
      </c>
      <c r="AX61" s="421">
        <v>0</v>
      </c>
      <c r="AY61" s="421">
        <f t="shared" si="17"/>
        <v>0</v>
      </c>
      <c r="AZ61" s="421">
        <f t="shared" si="18"/>
        <v>0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>BA61+BC61+BD61+BF61+BH61+BI61</f>
        <v>0</v>
      </c>
      <c r="BL61" s="422">
        <f>BB61+BE61+BG61+BJ61</f>
        <v>0</v>
      </c>
      <c r="BM61" s="424">
        <f t="shared" si="19"/>
        <v>0</v>
      </c>
      <c r="BN61" s="427">
        <f>I61+AZ61</f>
        <v>432870</v>
      </c>
      <c r="BO61" s="421">
        <f>J61+AH61</f>
        <v>321120</v>
      </c>
      <c r="BP61" s="421">
        <f t="shared" si="120"/>
        <v>321120</v>
      </c>
      <c r="BQ61" s="421">
        <f t="shared" si="120"/>
        <v>0</v>
      </c>
      <c r="BR61" s="421">
        <f>M61+AQ61</f>
        <v>0</v>
      </c>
      <c r="BS61" s="421">
        <f t="shared" si="121"/>
        <v>0</v>
      </c>
      <c r="BT61" s="421">
        <f t="shared" si="121"/>
        <v>0</v>
      </c>
      <c r="BU61" s="421">
        <f t="shared" si="122"/>
        <v>108539</v>
      </c>
      <c r="BV61" s="421">
        <f t="shared" si="122"/>
        <v>3211</v>
      </c>
      <c r="BW61" s="421">
        <f>R61+AY61</f>
        <v>0</v>
      </c>
      <c r="BX61" s="422">
        <f>S61+BM61</f>
        <v>1</v>
      </c>
      <c r="BY61" s="422">
        <f t="shared" si="123"/>
        <v>1</v>
      </c>
      <c r="BZ61" s="611">
        <f t="shared" si="123"/>
        <v>0</v>
      </c>
      <c r="CA61" s="423"/>
      <c r="CB61" s="418"/>
      <c r="CC61" s="418"/>
      <c r="CD61" s="418"/>
      <c r="CE61" s="418"/>
      <c r="CF61" s="527"/>
    </row>
    <row r="62" spans="1:84" ht="14.1" customHeight="1" x14ac:dyDescent="0.2">
      <c r="A62" s="66">
        <v>14</v>
      </c>
      <c r="B62" s="63">
        <v>2410</v>
      </c>
      <c r="C62" s="64">
        <v>600079121</v>
      </c>
      <c r="D62" s="63">
        <v>72742348</v>
      </c>
      <c r="E62" s="65" t="s">
        <v>561</v>
      </c>
      <c r="F62" s="66">
        <v>3141</v>
      </c>
      <c r="G62" s="65" t="s">
        <v>295</v>
      </c>
      <c r="H62" s="67" t="s">
        <v>272</v>
      </c>
      <c r="I62" s="423">
        <f t="shared" si="2"/>
        <v>626095</v>
      </c>
      <c r="J62" s="418">
        <f t="shared" si="3"/>
        <v>462437</v>
      </c>
      <c r="K62" s="418">
        <v>0</v>
      </c>
      <c r="L62" s="924">
        <v>462437</v>
      </c>
      <c r="M62" s="418">
        <f>N62+O62</f>
        <v>0</v>
      </c>
      <c r="N62" s="205">
        <v>0</v>
      </c>
      <c r="O62" s="205">
        <v>0</v>
      </c>
      <c r="P62" s="668">
        <f t="shared" ref="P62" si="124">ROUND(J62*33.8%,0)</f>
        <v>156304</v>
      </c>
      <c r="Q62" s="668">
        <f t="shared" ref="Q62" si="125">ROUND(J62*1%,0)</f>
        <v>4624</v>
      </c>
      <c r="R62" s="674">
        <v>2730</v>
      </c>
      <c r="S62" s="419">
        <f>T62+U62</f>
        <v>1.3867</v>
      </c>
      <c r="T62" s="676">
        <v>0</v>
      </c>
      <c r="U62" s="909">
        <v>1.3867</v>
      </c>
      <c r="V62" s="428">
        <f t="shared" si="7"/>
        <v>0</v>
      </c>
      <c r="W62" s="421">
        <f t="shared" si="8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9"/>
        <v>0</v>
      </c>
      <c r="AG62" s="421">
        <f t="shared" si="10"/>
        <v>0</v>
      </c>
      <c r="AH62" s="421">
        <f t="shared" si="11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2"/>
        <v>0</v>
      </c>
      <c r="AP62" s="421">
        <f t="shared" si="13"/>
        <v>0</v>
      </c>
      <c r="AQ62" s="421">
        <f t="shared" si="14"/>
        <v>0</v>
      </c>
      <c r="AR62" s="421">
        <f t="shared" si="118"/>
        <v>0</v>
      </c>
      <c r="AS62" s="421">
        <f t="shared" si="118"/>
        <v>0</v>
      </c>
      <c r="AT62" s="421">
        <f t="shared" si="16"/>
        <v>0</v>
      </c>
      <c r="AU62" s="68">
        <f t="shared" si="119"/>
        <v>0</v>
      </c>
      <c r="AV62" s="68">
        <f>ROUND(AH62*1%,0)</f>
        <v>0</v>
      </c>
      <c r="AW62" s="421">
        <v>0</v>
      </c>
      <c r="AX62" s="421">
        <v>0</v>
      </c>
      <c r="AY62" s="421">
        <f t="shared" si="17"/>
        <v>0</v>
      </c>
      <c r="AZ62" s="421">
        <f t="shared" si="18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>BA62+BC62+BD62+BF62+BH62+BI62</f>
        <v>0</v>
      </c>
      <c r="BL62" s="422">
        <f>BB62+BE62+BG62+BJ62</f>
        <v>0</v>
      </c>
      <c r="BM62" s="424">
        <f t="shared" si="19"/>
        <v>0</v>
      </c>
      <c r="BN62" s="427">
        <f>I62+AZ62</f>
        <v>626095</v>
      </c>
      <c r="BO62" s="421">
        <f>J62+AH62</f>
        <v>462437</v>
      </c>
      <c r="BP62" s="421">
        <f t="shared" si="120"/>
        <v>0</v>
      </c>
      <c r="BQ62" s="421">
        <f t="shared" si="120"/>
        <v>462437</v>
      </c>
      <c r="BR62" s="421">
        <f>M62+AQ62</f>
        <v>0</v>
      </c>
      <c r="BS62" s="421">
        <f t="shared" si="121"/>
        <v>0</v>
      </c>
      <c r="BT62" s="421">
        <f t="shared" si="121"/>
        <v>0</v>
      </c>
      <c r="BU62" s="421">
        <f t="shared" si="122"/>
        <v>156304</v>
      </c>
      <c r="BV62" s="421">
        <f t="shared" si="122"/>
        <v>4624</v>
      </c>
      <c r="BW62" s="421">
        <f>R62+AY62</f>
        <v>2730</v>
      </c>
      <c r="BX62" s="422">
        <f>S62+BM62</f>
        <v>1.3867</v>
      </c>
      <c r="BY62" s="422">
        <f t="shared" si="123"/>
        <v>0</v>
      </c>
      <c r="BZ62" s="611">
        <f t="shared" si="123"/>
        <v>1.3867</v>
      </c>
      <c r="CA62" s="423"/>
      <c r="CB62" s="418"/>
      <c r="CC62" s="418"/>
      <c r="CD62" s="418"/>
      <c r="CE62" s="418"/>
      <c r="CF62" s="527"/>
    </row>
    <row r="63" spans="1:84" ht="14.1" customHeight="1" x14ac:dyDescent="0.2">
      <c r="A63" s="72">
        <v>14</v>
      </c>
      <c r="B63" s="69">
        <v>2410</v>
      </c>
      <c r="C63" s="70">
        <v>600079121</v>
      </c>
      <c r="D63" s="69">
        <v>72742348</v>
      </c>
      <c r="E63" s="71" t="s">
        <v>562</v>
      </c>
      <c r="F63" s="72"/>
      <c r="G63" s="71"/>
      <c r="H63" s="73"/>
      <c r="I63" s="538">
        <f t="shared" ref="I63:BU63" si="126">SUM(I60:I62)</f>
        <v>8408548</v>
      </c>
      <c r="J63" s="74">
        <f t="shared" si="126"/>
        <v>6214211</v>
      </c>
      <c r="K63" s="74">
        <f t="shared" si="126"/>
        <v>5268268</v>
      </c>
      <c r="L63" s="74">
        <f t="shared" si="126"/>
        <v>945943</v>
      </c>
      <c r="M63" s="74">
        <f t="shared" si="126"/>
        <v>0</v>
      </c>
      <c r="N63" s="74">
        <f t="shared" si="126"/>
        <v>0</v>
      </c>
      <c r="O63" s="74">
        <f t="shared" si="126"/>
        <v>0</v>
      </c>
      <c r="P63" s="74">
        <f t="shared" si="126"/>
        <v>2100404</v>
      </c>
      <c r="Q63" s="74">
        <f t="shared" si="126"/>
        <v>62142</v>
      </c>
      <c r="R63" s="74">
        <f t="shared" si="126"/>
        <v>31791</v>
      </c>
      <c r="S63" s="75">
        <f t="shared" si="126"/>
        <v>12.620699999999999</v>
      </c>
      <c r="T63" s="75">
        <f t="shared" si="126"/>
        <v>9.5806000000000004</v>
      </c>
      <c r="U63" s="753">
        <f t="shared" si="126"/>
        <v>3.0400999999999998</v>
      </c>
      <c r="V63" s="538">
        <f t="shared" si="126"/>
        <v>-20992</v>
      </c>
      <c r="W63" s="74">
        <f t="shared" si="126"/>
        <v>0</v>
      </c>
      <c r="X63" s="74">
        <f t="shared" si="126"/>
        <v>0</v>
      </c>
      <c r="Y63" s="74">
        <f t="shared" si="126"/>
        <v>0</v>
      </c>
      <c r="Z63" s="74">
        <f t="shared" si="126"/>
        <v>0</v>
      </c>
      <c r="AA63" s="74">
        <f t="shared" si="126"/>
        <v>0</v>
      </c>
      <c r="AB63" s="74">
        <f t="shared" si="126"/>
        <v>0</v>
      </c>
      <c r="AC63" s="74">
        <f t="shared" si="126"/>
        <v>0</v>
      </c>
      <c r="AD63" s="74">
        <f t="shared" si="126"/>
        <v>0</v>
      </c>
      <c r="AE63" s="74">
        <f t="shared" si="126"/>
        <v>0</v>
      </c>
      <c r="AF63" s="74">
        <f t="shared" si="126"/>
        <v>-20992</v>
      </c>
      <c r="AG63" s="74">
        <f t="shared" si="126"/>
        <v>0</v>
      </c>
      <c r="AH63" s="74">
        <f t="shared" si="126"/>
        <v>-20992</v>
      </c>
      <c r="AI63" s="74">
        <f t="shared" si="126"/>
        <v>20992</v>
      </c>
      <c r="AJ63" s="74">
        <f t="shared" si="126"/>
        <v>0</v>
      </c>
      <c r="AK63" s="74">
        <f t="shared" si="126"/>
        <v>0</v>
      </c>
      <c r="AL63" s="74">
        <f t="shared" si="126"/>
        <v>0</v>
      </c>
      <c r="AM63" s="74">
        <f t="shared" si="126"/>
        <v>0</v>
      </c>
      <c r="AN63" s="74">
        <f t="shared" si="126"/>
        <v>0</v>
      </c>
      <c r="AO63" s="74">
        <f t="shared" si="126"/>
        <v>20992</v>
      </c>
      <c r="AP63" s="74">
        <f t="shared" si="126"/>
        <v>0</v>
      </c>
      <c r="AQ63" s="74">
        <f t="shared" si="126"/>
        <v>20992</v>
      </c>
      <c r="AR63" s="74">
        <f t="shared" si="126"/>
        <v>0</v>
      </c>
      <c r="AS63" s="74">
        <f t="shared" si="126"/>
        <v>0</v>
      </c>
      <c r="AT63" s="74">
        <f t="shared" si="126"/>
        <v>0</v>
      </c>
      <c r="AU63" s="74">
        <f t="shared" si="126"/>
        <v>0</v>
      </c>
      <c r="AV63" s="74">
        <f t="shared" si="126"/>
        <v>-210</v>
      </c>
      <c r="AW63" s="74">
        <f t="shared" si="126"/>
        <v>0</v>
      </c>
      <c r="AX63" s="74">
        <f t="shared" si="126"/>
        <v>0</v>
      </c>
      <c r="AY63" s="74">
        <f t="shared" si="126"/>
        <v>0</v>
      </c>
      <c r="AZ63" s="74">
        <f t="shared" si="126"/>
        <v>-210</v>
      </c>
      <c r="BA63" s="75">
        <f t="shared" si="126"/>
        <v>-0.04</v>
      </c>
      <c r="BB63" s="75">
        <f t="shared" si="126"/>
        <v>0</v>
      </c>
      <c r="BC63" s="75">
        <f t="shared" si="126"/>
        <v>0</v>
      </c>
      <c r="BD63" s="75">
        <f t="shared" si="126"/>
        <v>0</v>
      </c>
      <c r="BE63" s="75">
        <f t="shared" si="126"/>
        <v>0</v>
      </c>
      <c r="BF63" s="75">
        <f t="shared" si="126"/>
        <v>0</v>
      </c>
      <c r="BG63" s="75">
        <f t="shared" si="126"/>
        <v>0</v>
      </c>
      <c r="BH63" s="75">
        <f t="shared" si="126"/>
        <v>0</v>
      </c>
      <c r="BI63" s="75">
        <f t="shared" si="126"/>
        <v>0</v>
      </c>
      <c r="BJ63" s="75">
        <f t="shared" si="126"/>
        <v>0</v>
      </c>
      <c r="BK63" s="75">
        <f t="shared" si="126"/>
        <v>-0.04</v>
      </c>
      <c r="BL63" s="75">
        <f t="shared" si="126"/>
        <v>0</v>
      </c>
      <c r="BM63" s="76">
        <f t="shared" si="126"/>
        <v>-0.04</v>
      </c>
      <c r="BN63" s="549">
        <f t="shared" si="126"/>
        <v>8408338</v>
      </c>
      <c r="BO63" s="74">
        <f t="shared" si="126"/>
        <v>6193219</v>
      </c>
      <c r="BP63" s="74">
        <f t="shared" si="126"/>
        <v>5247276</v>
      </c>
      <c r="BQ63" s="74">
        <f t="shared" si="126"/>
        <v>945943</v>
      </c>
      <c r="BR63" s="74">
        <f t="shared" si="126"/>
        <v>20992</v>
      </c>
      <c r="BS63" s="74">
        <f t="shared" si="126"/>
        <v>20992</v>
      </c>
      <c r="BT63" s="74">
        <f t="shared" si="126"/>
        <v>0</v>
      </c>
      <c r="BU63" s="74">
        <f t="shared" si="126"/>
        <v>2100404</v>
      </c>
      <c r="BV63" s="74">
        <f t="shared" ref="BV63:CF63" si="127">SUM(BV60:BV62)</f>
        <v>61932</v>
      </c>
      <c r="BW63" s="74">
        <f t="shared" si="127"/>
        <v>31791</v>
      </c>
      <c r="BX63" s="75">
        <f t="shared" si="127"/>
        <v>12.5807</v>
      </c>
      <c r="BY63" s="75">
        <f t="shared" si="127"/>
        <v>9.5406000000000013</v>
      </c>
      <c r="BZ63" s="753">
        <f t="shared" si="127"/>
        <v>3.0400999999999998</v>
      </c>
      <c r="CA63" s="796">
        <f t="shared" si="127"/>
        <v>0</v>
      </c>
      <c r="CB63" s="789">
        <f t="shared" si="127"/>
        <v>0</v>
      </c>
      <c r="CC63" s="789">
        <f t="shared" si="127"/>
        <v>0</v>
      </c>
      <c r="CD63" s="789">
        <f t="shared" si="127"/>
        <v>0</v>
      </c>
      <c r="CE63" s="789">
        <f t="shared" si="127"/>
        <v>0</v>
      </c>
      <c r="CF63" s="793">
        <f t="shared" si="127"/>
        <v>0</v>
      </c>
    </row>
    <row r="64" spans="1:84" ht="14.1" customHeight="1" x14ac:dyDescent="0.2">
      <c r="A64" s="66">
        <v>15</v>
      </c>
      <c r="B64" s="63">
        <v>2436</v>
      </c>
      <c r="C64" s="64">
        <v>600079538</v>
      </c>
      <c r="D64" s="63">
        <v>72741546</v>
      </c>
      <c r="E64" s="65" t="s">
        <v>563</v>
      </c>
      <c r="F64" s="66">
        <v>3111</v>
      </c>
      <c r="G64" s="65" t="s">
        <v>291</v>
      </c>
      <c r="H64" s="67" t="s">
        <v>271</v>
      </c>
      <c r="I64" s="423">
        <f t="shared" si="2"/>
        <v>8794264</v>
      </c>
      <c r="J64" s="418">
        <f t="shared" si="3"/>
        <v>6498488</v>
      </c>
      <c r="K64" s="418">
        <v>5913269</v>
      </c>
      <c r="L64" s="418">
        <v>585219</v>
      </c>
      <c r="M64" s="418">
        <f>N64+O64</f>
        <v>0</v>
      </c>
      <c r="N64" s="418">
        <v>0</v>
      </c>
      <c r="O64" s="418">
        <v>0</v>
      </c>
      <c r="P64" s="668">
        <f t="shared" si="4"/>
        <v>2196489</v>
      </c>
      <c r="Q64" s="668">
        <f t="shared" si="5"/>
        <v>64985</v>
      </c>
      <c r="R64" s="418">
        <v>34302</v>
      </c>
      <c r="S64" s="419">
        <f t="shared" si="6"/>
        <v>12.633500000000002</v>
      </c>
      <c r="T64" s="419">
        <v>10.64</v>
      </c>
      <c r="U64" s="426">
        <v>1.9935</v>
      </c>
      <c r="V64" s="428">
        <f t="shared" si="7"/>
        <v>-22400</v>
      </c>
      <c r="W64" s="421">
        <f t="shared" si="8"/>
        <v>-73600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 t="shared" si="9"/>
        <v>-22400</v>
      </c>
      <c r="AG64" s="421">
        <f t="shared" si="10"/>
        <v>-73600</v>
      </c>
      <c r="AH64" s="421">
        <f t="shared" si="11"/>
        <v>-96000</v>
      </c>
      <c r="AI64" s="421">
        <v>22400</v>
      </c>
      <c r="AJ64" s="421">
        <v>73600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2"/>
        <v>22400</v>
      </c>
      <c r="AP64" s="421">
        <f t="shared" si="13"/>
        <v>73600</v>
      </c>
      <c r="AQ64" s="421">
        <f t="shared" si="14"/>
        <v>96000</v>
      </c>
      <c r="AR64" s="421">
        <f t="shared" ref="AR64:AS66" si="128">AF64+AO64</f>
        <v>0</v>
      </c>
      <c r="AS64" s="421">
        <f t="shared" si="128"/>
        <v>0</v>
      </c>
      <c r="AT64" s="421">
        <f t="shared" si="16"/>
        <v>0</v>
      </c>
      <c r="AU64" s="68">
        <f t="shared" ref="AU64:AU66" si="129">ROUND((AH64+AI64+AJ64+AK64+AL64)*33.8%,0)</f>
        <v>0</v>
      </c>
      <c r="AV64" s="68">
        <f>ROUND(AH64*1%,0)</f>
        <v>-960</v>
      </c>
      <c r="AW64" s="421">
        <v>0</v>
      </c>
      <c r="AX64" s="421">
        <v>0</v>
      </c>
      <c r="AY64" s="421">
        <f t="shared" si="17"/>
        <v>0</v>
      </c>
      <c r="AZ64" s="421">
        <f t="shared" si="18"/>
        <v>-960</v>
      </c>
      <c r="BA64" s="422">
        <v>-0.02</v>
      </c>
      <c r="BB64" s="422">
        <v>-0.24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>BA64+BC64+BD64+BF64+BH64+BI64</f>
        <v>-0.02</v>
      </c>
      <c r="BL64" s="422">
        <f>BB64+BE64+BG64+BJ64</f>
        <v>-0.24</v>
      </c>
      <c r="BM64" s="424">
        <f t="shared" si="19"/>
        <v>-0.26</v>
      </c>
      <c r="BN64" s="427">
        <f>I64+AZ64</f>
        <v>8793304</v>
      </c>
      <c r="BO64" s="421">
        <f>J64+AH64</f>
        <v>6402488</v>
      </c>
      <c r="BP64" s="421">
        <f t="shared" ref="BP64:BQ66" si="130">K64+AF64</f>
        <v>5890869</v>
      </c>
      <c r="BQ64" s="421">
        <f t="shared" si="130"/>
        <v>511619</v>
      </c>
      <c r="BR64" s="421">
        <f>M64+AQ64</f>
        <v>96000</v>
      </c>
      <c r="BS64" s="421">
        <f t="shared" ref="BS64:BT66" si="131">N64+AO64</f>
        <v>22400</v>
      </c>
      <c r="BT64" s="421">
        <f t="shared" si="131"/>
        <v>73600</v>
      </c>
      <c r="BU64" s="421">
        <f t="shared" ref="BU64:BV66" si="132">P64+AU64</f>
        <v>2196489</v>
      </c>
      <c r="BV64" s="421">
        <f t="shared" si="132"/>
        <v>64025</v>
      </c>
      <c r="BW64" s="421">
        <f>R64+AY64</f>
        <v>34302</v>
      </c>
      <c r="BX64" s="422">
        <f>S64+BM64</f>
        <v>12.373500000000002</v>
      </c>
      <c r="BY64" s="422">
        <f t="shared" ref="BY64:BZ66" si="133">T64+BK64</f>
        <v>10.620000000000001</v>
      </c>
      <c r="BZ64" s="611">
        <f t="shared" si="133"/>
        <v>1.7535000000000001</v>
      </c>
      <c r="CA64" s="423"/>
      <c r="CB64" s="418"/>
      <c r="CC64" s="418"/>
      <c r="CD64" s="418"/>
      <c r="CE64" s="418"/>
      <c r="CF64" s="527"/>
    </row>
    <row r="65" spans="1:84" ht="14.1" customHeight="1" x14ac:dyDescent="0.2">
      <c r="A65" s="66">
        <v>15</v>
      </c>
      <c r="B65" s="63">
        <v>2436</v>
      </c>
      <c r="C65" s="64">
        <v>600079538</v>
      </c>
      <c r="D65" s="63">
        <v>72741546</v>
      </c>
      <c r="E65" s="65" t="s">
        <v>563</v>
      </c>
      <c r="F65" s="66">
        <v>3111</v>
      </c>
      <c r="G65" s="77" t="s">
        <v>292</v>
      </c>
      <c r="H65" s="67" t="s">
        <v>272</v>
      </c>
      <c r="I65" s="423">
        <f t="shared" si="2"/>
        <v>0</v>
      </c>
      <c r="J65" s="418">
        <f t="shared" si="3"/>
        <v>0</v>
      </c>
      <c r="K65" s="418">
        <v>0</v>
      </c>
      <c r="L65" s="418">
        <v>0</v>
      </c>
      <c r="M65" s="418">
        <f t="shared" si="24"/>
        <v>0</v>
      </c>
      <c r="N65" s="418">
        <v>0</v>
      </c>
      <c r="O65" s="418">
        <v>0</v>
      </c>
      <c r="P65" s="668">
        <f t="shared" si="4"/>
        <v>0</v>
      </c>
      <c r="Q65" s="668">
        <f t="shared" si="5"/>
        <v>0</v>
      </c>
      <c r="R65" s="418">
        <v>0</v>
      </c>
      <c r="S65" s="419">
        <f t="shared" si="6"/>
        <v>0</v>
      </c>
      <c r="T65" s="420">
        <v>0</v>
      </c>
      <c r="U65" s="426">
        <v>0</v>
      </c>
      <c r="V65" s="428">
        <f t="shared" si="7"/>
        <v>0</v>
      </c>
      <c r="W65" s="421">
        <f t="shared" si="8"/>
        <v>0</v>
      </c>
      <c r="X65" s="16">
        <v>1439982</v>
      </c>
      <c r="Y65" s="16">
        <v>0</v>
      </c>
      <c r="Z65" s="16">
        <v>0</v>
      </c>
      <c r="AA65" s="16">
        <v>0</v>
      </c>
      <c r="AB65" s="421">
        <v>0</v>
      </c>
      <c r="AC65" s="16">
        <v>0</v>
      </c>
      <c r="AD65" s="16">
        <v>0</v>
      </c>
      <c r="AE65" s="16">
        <v>0</v>
      </c>
      <c r="AF65" s="421">
        <f t="shared" si="9"/>
        <v>1439982</v>
      </c>
      <c r="AG65" s="421">
        <f t="shared" si="10"/>
        <v>0</v>
      </c>
      <c r="AH65" s="421">
        <f t="shared" si="11"/>
        <v>1439982</v>
      </c>
      <c r="AI65" s="16">
        <v>0</v>
      </c>
      <c r="AJ65" s="16">
        <v>0</v>
      </c>
      <c r="AK65" s="421">
        <v>0</v>
      </c>
      <c r="AL65" s="16">
        <v>0</v>
      </c>
      <c r="AM65" s="16">
        <v>0</v>
      </c>
      <c r="AN65" s="16">
        <v>0</v>
      </c>
      <c r="AO65" s="421">
        <f t="shared" si="12"/>
        <v>0</v>
      </c>
      <c r="AP65" s="16">
        <v>0</v>
      </c>
      <c r="AQ65" s="421">
        <f t="shared" si="14"/>
        <v>0</v>
      </c>
      <c r="AR65" s="421">
        <f t="shared" si="128"/>
        <v>1439982</v>
      </c>
      <c r="AS65" s="421">
        <f t="shared" si="128"/>
        <v>0</v>
      </c>
      <c r="AT65" s="421">
        <f t="shared" si="16"/>
        <v>1439982</v>
      </c>
      <c r="AU65" s="68">
        <f t="shared" si="129"/>
        <v>486714</v>
      </c>
      <c r="AV65" s="68">
        <f>ROUND(AH65*1%,0)</f>
        <v>14400</v>
      </c>
      <c r="AW65" s="16">
        <v>0</v>
      </c>
      <c r="AX65" s="16">
        <v>0</v>
      </c>
      <c r="AY65" s="421">
        <f t="shared" si="17"/>
        <v>0</v>
      </c>
      <c r="AZ65" s="421">
        <f t="shared" si="18"/>
        <v>1941096</v>
      </c>
      <c r="BA65" s="13">
        <v>0</v>
      </c>
      <c r="BB65" s="13">
        <v>0</v>
      </c>
      <c r="BC65" s="13">
        <v>4.1399999999999997</v>
      </c>
      <c r="BD65" s="422">
        <v>0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>BA65+BC65+BD65+BF65+BH65+BI65</f>
        <v>4.1399999999999997</v>
      </c>
      <c r="BL65" s="422">
        <f>BB65+BE65+BG65+BJ65</f>
        <v>0</v>
      </c>
      <c r="BM65" s="424">
        <f t="shared" si="19"/>
        <v>4.1399999999999997</v>
      </c>
      <c r="BN65" s="427">
        <f>I65+AZ65</f>
        <v>1941096</v>
      </c>
      <c r="BO65" s="421">
        <f>J65+AH65</f>
        <v>1439982</v>
      </c>
      <c r="BP65" s="421">
        <f t="shared" si="130"/>
        <v>1439982</v>
      </c>
      <c r="BQ65" s="421">
        <f t="shared" si="130"/>
        <v>0</v>
      </c>
      <c r="BR65" s="421">
        <f>M65+AQ65</f>
        <v>0</v>
      </c>
      <c r="BS65" s="421">
        <f t="shared" si="131"/>
        <v>0</v>
      </c>
      <c r="BT65" s="421">
        <f t="shared" si="131"/>
        <v>0</v>
      </c>
      <c r="BU65" s="421">
        <f t="shared" si="132"/>
        <v>486714</v>
      </c>
      <c r="BV65" s="421">
        <f t="shared" si="132"/>
        <v>14400</v>
      </c>
      <c r="BW65" s="421">
        <f>R65+AY65</f>
        <v>0</v>
      </c>
      <c r="BX65" s="422">
        <f>S65+BM65</f>
        <v>4.1399999999999997</v>
      </c>
      <c r="BY65" s="422">
        <f t="shared" si="133"/>
        <v>4.1399999999999997</v>
      </c>
      <c r="BZ65" s="611">
        <f t="shared" si="133"/>
        <v>0</v>
      </c>
      <c r="CA65" s="423"/>
      <c r="CB65" s="418"/>
      <c r="CC65" s="418"/>
      <c r="CD65" s="418"/>
      <c r="CE65" s="418"/>
      <c r="CF65" s="527"/>
    </row>
    <row r="66" spans="1:84" ht="14.1" customHeight="1" x14ac:dyDescent="0.2">
      <c r="A66" s="66">
        <v>15</v>
      </c>
      <c r="B66" s="63">
        <v>2436</v>
      </c>
      <c r="C66" s="64">
        <v>600079538</v>
      </c>
      <c r="D66" s="63">
        <v>72741546</v>
      </c>
      <c r="E66" s="65" t="s">
        <v>563</v>
      </c>
      <c r="F66" s="66">
        <v>3141</v>
      </c>
      <c r="G66" s="65" t="s">
        <v>295</v>
      </c>
      <c r="H66" s="67" t="s">
        <v>272</v>
      </c>
      <c r="I66" s="423">
        <f t="shared" si="2"/>
        <v>776904</v>
      </c>
      <c r="J66" s="418">
        <f t="shared" si="3"/>
        <v>573586</v>
      </c>
      <c r="K66" s="418">
        <v>0</v>
      </c>
      <c r="L66" s="924">
        <v>573586</v>
      </c>
      <c r="M66" s="418">
        <f>N66+O66</f>
        <v>0</v>
      </c>
      <c r="N66" s="205">
        <v>0</v>
      </c>
      <c r="O66" s="205">
        <v>0</v>
      </c>
      <c r="P66" s="668">
        <f t="shared" ref="P66" si="134">ROUND(J66*33.8%,0)</f>
        <v>193872</v>
      </c>
      <c r="Q66" s="668">
        <f t="shared" ref="Q66" si="135">ROUND(J66*1%,0)</f>
        <v>5736</v>
      </c>
      <c r="R66" s="674">
        <v>3710</v>
      </c>
      <c r="S66" s="419">
        <f>T66+U66</f>
        <v>1.72</v>
      </c>
      <c r="T66" s="676">
        <v>0</v>
      </c>
      <c r="U66" s="909">
        <v>1.72</v>
      </c>
      <c r="V66" s="428">
        <f t="shared" si="7"/>
        <v>0</v>
      </c>
      <c r="W66" s="421">
        <f t="shared" si="8"/>
        <v>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 t="shared" si="9"/>
        <v>0</v>
      </c>
      <c r="AG66" s="421">
        <f t="shared" si="10"/>
        <v>0</v>
      </c>
      <c r="AH66" s="421">
        <f t="shared" si="11"/>
        <v>0</v>
      </c>
      <c r="AI66" s="421">
        <v>0</v>
      </c>
      <c r="AJ66" s="421">
        <v>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si="12"/>
        <v>0</v>
      </c>
      <c r="AP66" s="421">
        <f t="shared" si="13"/>
        <v>0</v>
      </c>
      <c r="AQ66" s="421">
        <f t="shared" si="14"/>
        <v>0</v>
      </c>
      <c r="AR66" s="421">
        <f t="shared" si="128"/>
        <v>0</v>
      </c>
      <c r="AS66" s="421">
        <f t="shared" si="128"/>
        <v>0</v>
      </c>
      <c r="AT66" s="421">
        <f t="shared" si="16"/>
        <v>0</v>
      </c>
      <c r="AU66" s="68">
        <f t="shared" si="129"/>
        <v>0</v>
      </c>
      <c r="AV66" s="68">
        <f>ROUND(AH66*1%,0)</f>
        <v>0</v>
      </c>
      <c r="AW66" s="421">
        <v>0</v>
      </c>
      <c r="AX66" s="421">
        <v>0</v>
      </c>
      <c r="AY66" s="421">
        <f t="shared" si="17"/>
        <v>0</v>
      </c>
      <c r="AZ66" s="421">
        <f t="shared" si="18"/>
        <v>0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>BA66+BC66+BD66+BF66+BH66+BI66</f>
        <v>0</v>
      </c>
      <c r="BL66" s="422">
        <f>BB66+BE66+BG66+BJ66</f>
        <v>0</v>
      </c>
      <c r="BM66" s="424">
        <f t="shared" si="19"/>
        <v>0</v>
      </c>
      <c r="BN66" s="427">
        <f>I66+AZ66</f>
        <v>776904</v>
      </c>
      <c r="BO66" s="421">
        <f>J66+AH66</f>
        <v>573586</v>
      </c>
      <c r="BP66" s="421">
        <f t="shared" si="130"/>
        <v>0</v>
      </c>
      <c r="BQ66" s="421">
        <f t="shared" si="130"/>
        <v>573586</v>
      </c>
      <c r="BR66" s="421">
        <f>M66+AQ66</f>
        <v>0</v>
      </c>
      <c r="BS66" s="421">
        <f t="shared" si="131"/>
        <v>0</v>
      </c>
      <c r="BT66" s="421">
        <f t="shared" si="131"/>
        <v>0</v>
      </c>
      <c r="BU66" s="421">
        <f t="shared" si="132"/>
        <v>193872</v>
      </c>
      <c r="BV66" s="421">
        <f t="shared" si="132"/>
        <v>5736</v>
      </c>
      <c r="BW66" s="421">
        <f>R66+AY66</f>
        <v>3710</v>
      </c>
      <c r="BX66" s="422">
        <f>S66+BM66</f>
        <v>1.72</v>
      </c>
      <c r="BY66" s="422">
        <f t="shared" si="133"/>
        <v>0</v>
      </c>
      <c r="BZ66" s="611">
        <f t="shared" si="133"/>
        <v>1.72</v>
      </c>
      <c r="CA66" s="423"/>
      <c r="CB66" s="418"/>
      <c r="CC66" s="418"/>
      <c r="CD66" s="418"/>
      <c r="CE66" s="418"/>
      <c r="CF66" s="527"/>
    </row>
    <row r="67" spans="1:84" ht="14.1" customHeight="1" x14ac:dyDescent="0.2">
      <c r="A67" s="72">
        <v>15</v>
      </c>
      <c r="B67" s="69">
        <v>2436</v>
      </c>
      <c r="C67" s="70">
        <v>600079538</v>
      </c>
      <c r="D67" s="69">
        <v>72741546</v>
      </c>
      <c r="E67" s="71" t="s">
        <v>564</v>
      </c>
      <c r="F67" s="72"/>
      <c r="G67" s="71"/>
      <c r="H67" s="73"/>
      <c r="I67" s="538">
        <f t="shared" ref="I67:BU67" si="136">SUM(I64:I66)</f>
        <v>9571168</v>
      </c>
      <c r="J67" s="74">
        <f t="shared" si="136"/>
        <v>7072074</v>
      </c>
      <c r="K67" s="74">
        <f t="shared" si="136"/>
        <v>5913269</v>
      </c>
      <c r="L67" s="74">
        <f t="shared" si="136"/>
        <v>1158805</v>
      </c>
      <c r="M67" s="74">
        <f t="shared" si="136"/>
        <v>0</v>
      </c>
      <c r="N67" s="74">
        <f t="shared" si="136"/>
        <v>0</v>
      </c>
      <c r="O67" s="74">
        <f t="shared" si="136"/>
        <v>0</v>
      </c>
      <c r="P67" s="74">
        <f t="shared" si="136"/>
        <v>2390361</v>
      </c>
      <c r="Q67" s="74">
        <f t="shared" si="136"/>
        <v>70721</v>
      </c>
      <c r="R67" s="74">
        <f t="shared" si="136"/>
        <v>38012</v>
      </c>
      <c r="S67" s="75">
        <f t="shared" si="136"/>
        <v>14.353500000000002</v>
      </c>
      <c r="T67" s="75">
        <f t="shared" si="136"/>
        <v>10.64</v>
      </c>
      <c r="U67" s="753">
        <f t="shared" si="136"/>
        <v>3.7134999999999998</v>
      </c>
      <c r="V67" s="538">
        <f t="shared" si="136"/>
        <v>-22400</v>
      </c>
      <c r="W67" s="74">
        <f t="shared" si="136"/>
        <v>-73600</v>
      </c>
      <c r="X67" s="74">
        <f t="shared" si="136"/>
        <v>1439982</v>
      </c>
      <c r="Y67" s="74">
        <f t="shared" si="136"/>
        <v>0</v>
      </c>
      <c r="Z67" s="74">
        <f t="shared" si="136"/>
        <v>0</v>
      </c>
      <c r="AA67" s="74">
        <f t="shared" si="136"/>
        <v>0</v>
      </c>
      <c r="AB67" s="74">
        <f t="shared" si="136"/>
        <v>0</v>
      </c>
      <c r="AC67" s="74">
        <f t="shared" si="136"/>
        <v>0</v>
      </c>
      <c r="AD67" s="74">
        <f t="shared" si="136"/>
        <v>0</v>
      </c>
      <c r="AE67" s="74">
        <f t="shared" si="136"/>
        <v>0</v>
      </c>
      <c r="AF67" s="74">
        <f t="shared" si="136"/>
        <v>1417582</v>
      </c>
      <c r="AG67" s="74">
        <f t="shared" si="136"/>
        <v>-73600</v>
      </c>
      <c r="AH67" s="74">
        <f t="shared" si="136"/>
        <v>1343982</v>
      </c>
      <c r="AI67" s="74">
        <f t="shared" si="136"/>
        <v>22400</v>
      </c>
      <c r="AJ67" s="74">
        <f t="shared" si="136"/>
        <v>73600</v>
      </c>
      <c r="AK67" s="74">
        <f t="shared" si="136"/>
        <v>0</v>
      </c>
      <c r="AL67" s="74">
        <f t="shared" si="136"/>
        <v>0</v>
      </c>
      <c r="AM67" s="74">
        <f t="shared" si="136"/>
        <v>0</v>
      </c>
      <c r="AN67" s="74">
        <f t="shared" si="136"/>
        <v>0</v>
      </c>
      <c r="AO67" s="74">
        <f t="shared" si="136"/>
        <v>22400</v>
      </c>
      <c r="AP67" s="74">
        <f t="shared" si="136"/>
        <v>73600</v>
      </c>
      <c r="AQ67" s="74">
        <f t="shared" si="136"/>
        <v>96000</v>
      </c>
      <c r="AR67" s="74">
        <f t="shared" si="136"/>
        <v>1439982</v>
      </c>
      <c r="AS67" s="74">
        <f t="shared" si="136"/>
        <v>0</v>
      </c>
      <c r="AT67" s="74">
        <f t="shared" si="136"/>
        <v>1439982</v>
      </c>
      <c r="AU67" s="74">
        <f t="shared" si="136"/>
        <v>486714</v>
      </c>
      <c r="AV67" s="74">
        <f t="shared" si="136"/>
        <v>13440</v>
      </c>
      <c r="AW67" s="74">
        <f t="shared" si="136"/>
        <v>0</v>
      </c>
      <c r="AX67" s="74">
        <f t="shared" si="136"/>
        <v>0</v>
      </c>
      <c r="AY67" s="74">
        <f t="shared" si="136"/>
        <v>0</v>
      </c>
      <c r="AZ67" s="74">
        <f t="shared" si="136"/>
        <v>1940136</v>
      </c>
      <c r="BA67" s="75">
        <f t="shared" si="136"/>
        <v>-0.02</v>
      </c>
      <c r="BB67" s="75">
        <f t="shared" si="136"/>
        <v>-0.24</v>
      </c>
      <c r="BC67" s="75">
        <f t="shared" si="136"/>
        <v>4.1399999999999997</v>
      </c>
      <c r="BD67" s="75">
        <f t="shared" si="136"/>
        <v>0</v>
      </c>
      <c r="BE67" s="75">
        <f t="shared" si="136"/>
        <v>0</v>
      </c>
      <c r="BF67" s="75">
        <f t="shared" si="136"/>
        <v>0</v>
      </c>
      <c r="BG67" s="75">
        <f t="shared" si="136"/>
        <v>0</v>
      </c>
      <c r="BH67" s="75">
        <f t="shared" si="136"/>
        <v>0</v>
      </c>
      <c r="BI67" s="75">
        <f t="shared" si="136"/>
        <v>0</v>
      </c>
      <c r="BJ67" s="75">
        <f t="shared" si="136"/>
        <v>0</v>
      </c>
      <c r="BK67" s="75">
        <f t="shared" si="136"/>
        <v>4.12</v>
      </c>
      <c r="BL67" s="75">
        <f t="shared" si="136"/>
        <v>-0.24</v>
      </c>
      <c r="BM67" s="76">
        <f t="shared" si="136"/>
        <v>3.88</v>
      </c>
      <c r="BN67" s="549">
        <f t="shared" si="136"/>
        <v>11511304</v>
      </c>
      <c r="BO67" s="74">
        <f t="shared" si="136"/>
        <v>8416056</v>
      </c>
      <c r="BP67" s="74">
        <f t="shared" si="136"/>
        <v>7330851</v>
      </c>
      <c r="BQ67" s="74">
        <f t="shared" si="136"/>
        <v>1085205</v>
      </c>
      <c r="BR67" s="74">
        <f t="shared" si="136"/>
        <v>96000</v>
      </c>
      <c r="BS67" s="74">
        <f t="shared" si="136"/>
        <v>22400</v>
      </c>
      <c r="BT67" s="74">
        <f t="shared" si="136"/>
        <v>73600</v>
      </c>
      <c r="BU67" s="74">
        <f t="shared" si="136"/>
        <v>2877075</v>
      </c>
      <c r="BV67" s="74">
        <f t="shared" ref="BV67:CF67" si="137">SUM(BV64:BV66)</f>
        <v>84161</v>
      </c>
      <c r="BW67" s="74">
        <f t="shared" si="137"/>
        <v>38012</v>
      </c>
      <c r="BX67" s="75">
        <f t="shared" si="137"/>
        <v>18.233499999999999</v>
      </c>
      <c r="BY67" s="75">
        <f t="shared" si="137"/>
        <v>14.760000000000002</v>
      </c>
      <c r="BZ67" s="753">
        <f t="shared" si="137"/>
        <v>3.4735</v>
      </c>
      <c r="CA67" s="796">
        <f t="shared" si="137"/>
        <v>0</v>
      </c>
      <c r="CB67" s="789">
        <f t="shared" si="137"/>
        <v>0</v>
      </c>
      <c r="CC67" s="789">
        <f t="shared" si="137"/>
        <v>0</v>
      </c>
      <c r="CD67" s="789">
        <f t="shared" si="137"/>
        <v>0</v>
      </c>
      <c r="CE67" s="789">
        <f t="shared" si="137"/>
        <v>0</v>
      </c>
      <c r="CF67" s="793">
        <f t="shared" si="137"/>
        <v>0</v>
      </c>
    </row>
    <row r="68" spans="1:84" ht="14.1" customHeight="1" x14ac:dyDescent="0.2">
      <c r="A68" s="66">
        <v>16</v>
      </c>
      <c r="B68" s="63">
        <v>2424</v>
      </c>
      <c r="C68" s="64">
        <v>600079147</v>
      </c>
      <c r="D68" s="63">
        <v>72741945</v>
      </c>
      <c r="E68" s="65" t="s">
        <v>565</v>
      </c>
      <c r="F68" s="66">
        <v>3111</v>
      </c>
      <c r="G68" s="65" t="s">
        <v>291</v>
      </c>
      <c r="H68" s="67" t="s">
        <v>271</v>
      </c>
      <c r="I68" s="423">
        <f t="shared" si="2"/>
        <v>3541092</v>
      </c>
      <c r="J68" s="418">
        <f t="shared" si="3"/>
        <v>2618010</v>
      </c>
      <c r="K68" s="418">
        <v>2382890</v>
      </c>
      <c r="L68" s="418">
        <v>235120</v>
      </c>
      <c r="M68" s="418">
        <f>N68+O68</f>
        <v>0</v>
      </c>
      <c r="N68" s="418">
        <v>0</v>
      </c>
      <c r="O68" s="418">
        <v>0</v>
      </c>
      <c r="P68" s="668">
        <f t="shared" si="4"/>
        <v>884887</v>
      </c>
      <c r="Q68" s="668">
        <f t="shared" si="5"/>
        <v>26180</v>
      </c>
      <c r="R68" s="418">
        <v>12015</v>
      </c>
      <c r="S68" s="419">
        <f t="shared" si="6"/>
        <v>4.8001000000000005</v>
      </c>
      <c r="T68" s="419">
        <v>4</v>
      </c>
      <c r="U68" s="426">
        <v>0.80010000000000003</v>
      </c>
      <c r="V68" s="428">
        <f t="shared" si="7"/>
        <v>0</v>
      </c>
      <c r="W68" s="421">
        <f t="shared" si="8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si="9"/>
        <v>0</v>
      </c>
      <c r="AG68" s="421">
        <f t="shared" si="10"/>
        <v>0</v>
      </c>
      <c r="AH68" s="421">
        <f t="shared" si="11"/>
        <v>0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2"/>
        <v>0</v>
      </c>
      <c r="AP68" s="421">
        <f t="shared" si="13"/>
        <v>0</v>
      </c>
      <c r="AQ68" s="421">
        <f t="shared" si="14"/>
        <v>0</v>
      </c>
      <c r="AR68" s="421">
        <f>AF68+AO68</f>
        <v>0</v>
      </c>
      <c r="AS68" s="421">
        <f>AG68+AP68</f>
        <v>0</v>
      </c>
      <c r="AT68" s="421">
        <f t="shared" si="16"/>
        <v>0</v>
      </c>
      <c r="AU68" s="68">
        <f t="shared" ref="AU68:AU69" si="138">ROUND((AH68+AI68+AJ68+AK68+AL68)*33.8%,0)</f>
        <v>0</v>
      </c>
      <c r="AV68" s="68">
        <f>ROUND(AH68*1%,0)</f>
        <v>0</v>
      </c>
      <c r="AW68" s="421">
        <v>0</v>
      </c>
      <c r="AX68" s="421">
        <v>0</v>
      </c>
      <c r="AY68" s="421">
        <f t="shared" si="17"/>
        <v>0</v>
      </c>
      <c r="AZ68" s="421">
        <f t="shared" si="18"/>
        <v>0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>BA68+BC68+BD68+BF68+BH68+BI68</f>
        <v>0</v>
      </c>
      <c r="BL68" s="422">
        <f>BB68+BE68+BG68+BJ68</f>
        <v>0</v>
      </c>
      <c r="BM68" s="424">
        <f t="shared" si="19"/>
        <v>0</v>
      </c>
      <c r="BN68" s="427">
        <f>I68+AZ68</f>
        <v>3541092</v>
      </c>
      <c r="BO68" s="421">
        <f>J68+AH68</f>
        <v>2618010</v>
      </c>
      <c r="BP68" s="421">
        <f>K68+AF68</f>
        <v>2382890</v>
      </c>
      <c r="BQ68" s="421">
        <f>L68+AG68</f>
        <v>235120</v>
      </c>
      <c r="BR68" s="421">
        <f>M68+AQ68</f>
        <v>0</v>
      </c>
      <c r="BS68" s="421">
        <f>N68+AO68</f>
        <v>0</v>
      </c>
      <c r="BT68" s="421">
        <f>O68+AP68</f>
        <v>0</v>
      </c>
      <c r="BU68" s="421">
        <f>P68+AU68</f>
        <v>884887</v>
      </c>
      <c r="BV68" s="421">
        <f>Q68+AV68</f>
        <v>26180</v>
      </c>
      <c r="BW68" s="421">
        <f>R68+AY68</f>
        <v>12015</v>
      </c>
      <c r="BX68" s="422">
        <f>S68+BM68</f>
        <v>4.8001000000000005</v>
      </c>
      <c r="BY68" s="422">
        <f>T68+BK68</f>
        <v>4</v>
      </c>
      <c r="BZ68" s="611">
        <f>U68+BL68</f>
        <v>0.80010000000000003</v>
      </c>
      <c r="CA68" s="423"/>
      <c r="CB68" s="418"/>
      <c r="CC68" s="418"/>
      <c r="CD68" s="418"/>
      <c r="CE68" s="418"/>
      <c r="CF68" s="527"/>
    </row>
    <row r="69" spans="1:84" ht="14.1" customHeight="1" x14ac:dyDescent="0.2">
      <c r="A69" s="66">
        <v>16</v>
      </c>
      <c r="B69" s="63">
        <v>2424</v>
      </c>
      <c r="C69" s="64">
        <v>600079147</v>
      </c>
      <c r="D69" s="63">
        <v>72741945</v>
      </c>
      <c r="E69" s="65" t="s">
        <v>565</v>
      </c>
      <c r="F69" s="66">
        <v>3141</v>
      </c>
      <c r="G69" s="65" t="s">
        <v>295</v>
      </c>
      <c r="H69" s="67" t="s">
        <v>272</v>
      </c>
      <c r="I69" s="423">
        <f t="shared" si="2"/>
        <v>430112</v>
      </c>
      <c r="J69" s="418">
        <f t="shared" si="3"/>
        <v>317906</v>
      </c>
      <c r="K69" s="418">
        <v>0</v>
      </c>
      <c r="L69" s="924">
        <v>317906</v>
      </c>
      <c r="M69" s="418">
        <f>N69+O69</f>
        <v>0</v>
      </c>
      <c r="N69" s="205">
        <v>0</v>
      </c>
      <c r="O69" s="205">
        <v>0</v>
      </c>
      <c r="P69" s="668">
        <f t="shared" ref="P69" si="139">ROUND(J69*33.8%,0)</f>
        <v>107452</v>
      </c>
      <c r="Q69" s="668">
        <f t="shared" ref="Q69" si="140">ROUND(J69*1%,0)</f>
        <v>3179</v>
      </c>
      <c r="R69" s="674">
        <v>1575</v>
      </c>
      <c r="S69" s="419">
        <f>T69+U69</f>
        <v>0.95330000000000004</v>
      </c>
      <c r="T69" s="676">
        <v>0</v>
      </c>
      <c r="U69" s="909">
        <v>0.95330000000000004</v>
      </c>
      <c r="V69" s="428">
        <f t="shared" si="7"/>
        <v>0</v>
      </c>
      <c r="W69" s="421">
        <f t="shared" si="8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 t="shared" si="9"/>
        <v>0</v>
      </c>
      <c r="AG69" s="421">
        <f t="shared" si="10"/>
        <v>0</v>
      </c>
      <c r="AH69" s="421">
        <f t="shared" si="11"/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2"/>
        <v>0</v>
      </c>
      <c r="AP69" s="421">
        <f t="shared" si="13"/>
        <v>0</v>
      </c>
      <c r="AQ69" s="421">
        <f t="shared" si="14"/>
        <v>0</v>
      </c>
      <c r="AR69" s="421">
        <f>AF69+AO69</f>
        <v>0</v>
      </c>
      <c r="AS69" s="421">
        <f>AG69+AP69</f>
        <v>0</v>
      </c>
      <c r="AT69" s="421">
        <f t="shared" si="16"/>
        <v>0</v>
      </c>
      <c r="AU69" s="68">
        <f t="shared" si="138"/>
        <v>0</v>
      </c>
      <c r="AV69" s="68">
        <f>ROUND(AH69*1%,0)</f>
        <v>0</v>
      </c>
      <c r="AW69" s="421">
        <v>0</v>
      </c>
      <c r="AX69" s="421">
        <v>0</v>
      </c>
      <c r="AY69" s="421">
        <f t="shared" si="17"/>
        <v>0</v>
      </c>
      <c r="AZ69" s="421">
        <f t="shared" si="18"/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>BA69+BC69+BD69+BF69+BH69+BI69</f>
        <v>0</v>
      </c>
      <c r="BL69" s="422">
        <f>BB69+BE69+BG69+BJ69</f>
        <v>0</v>
      </c>
      <c r="BM69" s="424">
        <f t="shared" si="19"/>
        <v>0</v>
      </c>
      <c r="BN69" s="427">
        <f>I69+AZ69</f>
        <v>430112</v>
      </c>
      <c r="BO69" s="421">
        <f>J69+AH69</f>
        <v>317906</v>
      </c>
      <c r="BP69" s="421">
        <f>K69+AF69</f>
        <v>0</v>
      </c>
      <c r="BQ69" s="421">
        <f>L69+AG69</f>
        <v>317906</v>
      </c>
      <c r="BR69" s="421">
        <f>M69+AQ69</f>
        <v>0</v>
      </c>
      <c r="BS69" s="421">
        <f>N69+AO69</f>
        <v>0</v>
      </c>
      <c r="BT69" s="421">
        <f>O69+AP69</f>
        <v>0</v>
      </c>
      <c r="BU69" s="421">
        <f>P69+AU69</f>
        <v>107452</v>
      </c>
      <c r="BV69" s="421">
        <f>Q69+AV69</f>
        <v>3179</v>
      </c>
      <c r="BW69" s="421">
        <f>R69+AY69</f>
        <v>1575</v>
      </c>
      <c r="BX69" s="422">
        <f>S69+BM69</f>
        <v>0.95330000000000004</v>
      </c>
      <c r="BY69" s="422">
        <f>T69+BK69</f>
        <v>0</v>
      </c>
      <c r="BZ69" s="611">
        <f>U69+BL69</f>
        <v>0.95330000000000004</v>
      </c>
      <c r="CA69" s="423"/>
      <c r="CB69" s="418"/>
      <c r="CC69" s="418"/>
      <c r="CD69" s="418"/>
      <c r="CE69" s="418"/>
      <c r="CF69" s="527"/>
    </row>
    <row r="70" spans="1:84" ht="14.1" customHeight="1" x14ac:dyDescent="0.2">
      <c r="A70" s="72">
        <v>16</v>
      </c>
      <c r="B70" s="69">
        <v>2424</v>
      </c>
      <c r="C70" s="70">
        <v>600079147</v>
      </c>
      <c r="D70" s="69">
        <v>72741945</v>
      </c>
      <c r="E70" s="71" t="s">
        <v>566</v>
      </c>
      <c r="F70" s="72"/>
      <c r="G70" s="71"/>
      <c r="H70" s="73"/>
      <c r="I70" s="538">
        <f t="shared" ref="I70:BU70" si="141">SUM(I68:I69)</f>
        <v>3971204</v>
      </c>
      <c r="J70" s="74">
        <f t="shared" si="141"/>
        <v>2935916</v>
      </c>
      <c r="K70" s="74">
        <f t="shared" si="141"/>
        <v>2382890</v>
      </c>
      <c r="L70" s="74">
        <f t="shared" si="141"/>
        <v>553026</v>
      </c>
      <c r="M70" s="74">
        <f t="shared" si="141"/>
        <v>0</v>
      </c>
      <c r="N70" s="74">
        <f t="shared" si="141"/>
        <v>0</v>
      </c>
      <c r="O70" s="74">
        <f t="shared" si="141"/>
        <v>0</v>
      </c>
      <c r="P70" s="74">
        <f t="shared" si="141"/>
        <v>992339</v>
      </c>
      <c r="Q70" s="74">
        <f t="shared" si="141"/>
        <v>29359</v>
      </c>
      <c r="R70" s="74">
        <f t="shared" si="141"/>
        <v>13590</v>
      </c>
      <c r="S70" s="75">
        <f t="shared" si="141"/>
        <v>5.753400000000001</v>
      </c>
      <c r="T70" s="75">
        <f t="shared" si="141"/>
        <v>4</v>
      </c>
      <c r="U70" s="753">
        <f t="shared" si="141"/>
        <v>1.7534000000000001</v>
      </c>
      <c r="V70" s="538">
        <f t="shared" si="141"/>
        <v>0</v>
      </c>
      <c r="W70" s="74">
        <f t="shared" si="141"/>
        <v>0</v>
      </c>
      <c r="X70" s="74">
        <f t="shared" si="141"/>
        <v>0</v>
      </c>
      <c r="Y70" s="74">
        <f t="shared" si="141"/>
        <v>0</v>
      </c>
      <c r="Z70" s="74">
        <f t="shared" si="141"/>
        <v>0</v>
      </c>
      <c r="AA70" s="74">
        <f t="shared" si="141"/>
        <v>0</v>
      </c>
      <c r="AB70" s="74">
        <f t="shared" si="141"/>
        <v>0</v>
      </c>
      <c r="AC70" s="74">
        <f t="shared" si="141"/>
        <v>0</v>
      </c>
      <c r="AD70" s="74">
        <f t="shared" si="141"/>
        <v>0</v>
      </c>
      <c r="AE70" s="74">
        <f t="shared" si="141"/>
        <v>0</v>
      </c>
      <c r="AF70" s="74">
        <f t="shared" si="141"/>
        <v>0</v>
      </c>
      <c r="AG70" s="74">
        <f t="shared" si="141"/>
        <v>0</v>
      </c>
      <c r="AH70" s="74">
        <f t="shared" si="141"/>
        <v>0</v>
      </c>
      <c r="AI70" s="74">
        <f t="shared" si="141"/>
        <v>0</v>
      </c>
      <c r="AJ70" s="74">
        <f t="shared" si="141"/>
        <v>0</v>
      </c>
      <c r="AK70" s="74">
        <f t="shared" si="141"/>
        <v>0</v>
      </c>
      <c r="AL70" s="74">
        <f t="shared" si="141"/>
        <v>0</v>
      </c>
      <c r="AM70" s="74">
        <f t="shared" si="141"/>
        <v>0</v>
      </c>
      <c r="AN70" s="74">
        <f t="shared" si="141"/>
        <v>0</v>
      </c>
      <c r="AO70" s="74">
        <f t="shared" si="141"/>
        <v>0</v>
      </c>
      <c r="AP70" s="74">
        <f t="shared" si="141"/>
        <v>0</v>
      </c>
      <c r="AQ70" s="74">
        <f t="shared" si="141"/>
        <v>0</v>
      </c>
      <c r="AR70" s="74">
        <f t="shared" si="141"/>
        <v>0</v>
      </c>
      <c r="AS70" s="74">
        <f t="shared" si="141"/>
        <v>0</v>
      </c>
      <c r="AT70" s="74">
        <f t="shared" si="141"/>
        <v>0</v>
      </c>
      <c r="AU70" s="74">
        <f t="shared" si="141"/>
        <v>0</v>
      </c>
      <c r="AV70" s="74">
        <f t="shared" si="141"/>
        <v>0</v>
      </c>
      <c r="AW70" s="74">
        <f t="shared" si="141"/>
        <v>0</v>
      </c>
      <c r="AX70" s="74">
        <f t="shared" si="141"/>
        <v>0</v>
      </c>
      <c r="AY70" s="74">
        <f t="shared" si="141"/>
        <v>0</v>
      </c>
      <c r="AZ70" s="74">
        <f t="shared" si="141"/>
        <v>0</v>
      </c>
      <c r="BA70" s="75">
        <f t="shared" si="141"/>
        <v>0</v>
      </c>
      <c r="BB70" s="75">
        <f t="shared" si="141"/>
        <v>0</v>
      </c>
      <c r="BC70" s="75">
        <f t="shared" si="141"/>
        <v>0</v>
      </c>
      <c r="BD70" s="75">
        <f t="shared" si="141"/>
        <v>0</v>
      </c>
      <c r="BE70" s="75">
        <f t="shared" si="141"/>
        <v>0</v>
      </c>
      <c r="BF70" s="75">
        <f t="shared" si="141"/>
        <v>0</v>
      </c>
      <c r="BG70" s="75">
        <f t="shared" si="141"/>
        <v>0</v>
      </c>
      <c r="BH70" s="75">
        <f t="shared" si="141"/>
        <v>0</v>
      </c>
      <c r="BI70" s="75">
        <f t="shared" si="141"/>
        <v>0</v>
      </c>
      <c r="BJ70" s="75">
        <f t="shared" si="141"/>
        <v>0</v>
      </c>
      <c r="BK70" s="75">
        <f t="shared" si="141"/>
        <v>0</v>
      </c>
      <c r="BL70" s="75">
        <f t="shared" si="141"/>
        <v>0</v>
      </c>
      <c r="BM70" s="76">
        <f t="shared" si="141"/>
        <v>0</v>
      </c>
      <c r="BN70" s="549">
        <f t="shared" si="141"/>
        <v>3971204</v>
      </c>
      <c r="BO70" s="74">
        <f t="shared" si="141"/>
        <v>2935916</v>
      </c>
      <c r="BP70" s="74">
        <f t="shared" si="141"/>
        <v>2382890</v>
      </c>
      <c r="BQ70" s="74">
        <f t="shared" si="141"/>
        <v>553026</v>
      </c>
      <c r="BR70" s="74">
        <f t="shared" si="141"/>
        <v>0</v>
      </c>
      <c r="BS70" s="74">
        <f t="shared" si="141"/>
        <v>0</v>
      </c>
      <c r="BT70" s="74">
        <f t="shared" si="141"/>
        <v>0</v>
      </c>
      <c r="BU70" s="74">
        <f t="shared" si="141"/>
        <v>992339</v>
      </c>
      <c r="BV70" s="74">
        <f t="shared" ref="BV70:CF70" si="142">SUM(BV68:BV69)</f>
        <v>29359</v>
      </c>
      <c r="BW70" s="74">
        <f t="shared" si="142"/>
        <v>13590</v>
      </c>
      <c r="BX70" s="75">
        <f t="shared" si="142"/>
        <v>5.753400000000001</v>
      </c>
      <c r="BY70" s="75">
        <f t="shared" si="142"/>
        <v>4</v>
      </c>
      <c r="BZ70" s="753">
        <f t="shared" si="142"/>
        <v>1.7534000000000001</v>
      </c>
      <c r="CA70" s="796">
        <f t="shared" si="142"/>
        <v>0</v>
      </c>
      <c r="CB70" s="789">
        <f t="shared" si="142"/>
        <v>0</v>
      </c>
      <c r="CC70" s="789">
        <f t="shared" si="142"/>
        <v>0</v>
      </c>
      <c r="CD70" s="789">
        <f t="shared" si="142"/>
        <v>0</v>
      </c>
      <c r="CE70" s="789">
        <f t="shared" si="142"/>
        <v>0</v>
      </c>
      <c r="CF70" s="793">
        <f t="shared" si="142"/>
        <v>0</v>
      </c>
    </row>
    <row r="71" spans="1:84" ht="14.1" customHeight="1" x14ac:dyDescent="0.2">
      <c r="A71" s="66">
        <v>17</v>
      </c>
      <c r="B71" s="63">
        <v>2417</v>
      </c>
      <c r="C71" s="64">
        <v>600079562</v>
      </c>
      <c r="D71" s="63">
        <v>72742810</v>
      </c>
      <c r="E71" s="65" t="s">
        <v>567</v>
      </c>
      <c r="F71" s="66">
        <v>3111</v>
      </c>
      <c r="G71" s="65" t="s">
        <v>291</v>
      </c>
      <c r="H71" s="67" t="s">
        <v>271</v>
      </c>
      <c r="I71" s="423">
        <f t="shared" si="2"/>
        <v>18036055</v>
      </c>
      <c r="J71" s="418">
        <f t="shared" si="3"/>
        <v>13335532</v>
      </c>
      <c r="K71" s="418">
        <v>12185716</v>
      </c>
      <c r="L71" s="418">
        <v>1149816</v>
      </c>
      <c r="M71" s="418">
        <f>N71+O71</f>
        <v>0</v>
      </c>
      <c r="N71" s="418">
        <v>0</v>
      </c>
      <c r="O71" s="418">
        <v>0</v>
      </c>
      <c r="P71" s="668">
        <f t="shared" si="4"/>
        <v>4507410</v>
      </c>
      <c r="Q71" s="668">
        <f>ROUND(J71*1%,0)+1</f>
        <v>133356</v>
      </c>
      <c r="R71" s="418">
        <v>59757</v>
      </c>
      <c r="S71" s="419">
        <f t="shared" si="6"/>
        <v>25.0337</v>
      </c>
      <c r="T71" s="419">
        <v>21</v>
      </c>
      <c r="U71" s="426">
        <v>4.0336999999999996</v>
      </c>
      <c r="V71" s="428">
        <f t="shared" si="7"/>
        <v>0</v>
      </c>
      <c r="W71" s="421">
        <f t="shared" si="8"/>
        <v>-12800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9"/>
        <v>0</v>
      </c>
      <c r="AG71" s="421">
        <f t="shared" si="10"/>
        <v>-12800</v>
      </c>
      <c r="AH71" s="421">
        <f t="shared" si="11"/>
        <v>-12800</v>
      </c>
      <c r="AI71" s="421">
        <v>0</v>
      </c>
      <c r="AJ71" s="421">
        <v>12800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12"/>
        <v>0</v>
      </c>
      <c r="AP71" s="421">
        <f t="shared" si="13"/>
        <v>12800</v>
      </c>
      <c r="AQ71" s="421">
        <f t="shared" si="14"/>
        <v>12800</v>
      </c>
      <c r="AR71" s="421">
        <f t="shared" ref="AR71:AS74" si="143">AF71+AO71</f>
        <v>0</v>
      </c>
      <c r="AS71" s="421">
        <f t="shared" si="143"/>
        <v>0</v>
      </c>
      <c r="AT71" s="421">
        <f t="shared" si="16"/>
        <v>0</v>
      </c>
      <c r="AU71" s="68">
        <f t="shared" ref="AU71:AU74" si="144">ROUND((AH71+AI71+AJ71+AK71+AL71)*33.8%,0)</f>
        <v>0</v>
      </c>
      <c r="AV71" s="68">
        <f>ROUND(AH71*1%,0)</f>
        <v>-128</v>
      </c>
      <c r="AW71" s="421">
        <v>0</v>
      </c>
      <c r="AX71" s="421">
        <v>0</v>
      </c>
      <c r="AY71" s="421">
        <f t="shared" si="17"/>
        <v>0</v>
      </c>
      <c r="AZ71" s="421">
        <f t="shared" si="18"/>
        <v>-128</v>
      </c>
      <c r="BA71" s="422">
        <v>0</v>
      </c>
      <c r="BB71" s="422">
        <v>-0.04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>BA71+BC71+BD71+BF71+BH71+BI71</f>
        <v>0</v>
      </c>
      <c r="BL71" s="422">
        <f>BB71+BE71+BG71+BJ71</f>
        <v>-0.04</v>
      </c>
      <c r="BM71" s="424">
        <f t="shared" si="19"/>
        <v>-0.04</v>
      </c>
      <c r="BN71" s="427">
        <f>I71+AZ71</f>
        <v>18035927</v>
      </c>
      <c r="BO71" s="421">
        <f>J71+AH71</f>
        <v>13322732</v>
      </c>
      <c r="BP71" s="421">
        <f t="shared" ref="BP71:BQ74" si="145">K71+AF71</f>
        <v>12185716</v>
      </c>
      <c r="BQ71" s="421">
        <f t="shared" si="145"/>
        <v>1137016</v>
      </c>
      <c r="BR71" s="421">
        <f>M71+AQ71</f>
        <v>12800</v>
      </c>
      <c r="BS71" s="421">
        <f t="shared" ref="BS71:BT74" si="146">N71+AO71</f>
        <v>0</v>
      </c>
      <c r="BT71" s="421">
        <f t="shared" si="146"/>
        <v>12800</v>
      </c>
      <c r="BU71" s="421">
        <f t="shared" ref="BU71:BV74" si="147">P71+AU71</f>
        <v>4507410</v>
      </c>
      <c r="BV71" s="421">
        <f t="shared" si="147"/>
        <v>133228</v>
      </c>
      <c r="BW71" s="421">
        <f>R71+AY71</f>
        <v>59757</v>
      </c>
      <c r="BX71" s="422">
        <f>S71+BM71</f>
        <v>24.9937</v>
      </c>
      <c r="BY71" s="422">
        <f t="shared" ref="BY71:BZ74" si="148">T71+BK71</f>
        <v>21</v>
      </c>
      <c r="BZ71" s="611">
        <f t="shared" si="148"/>
        <v>3.9936999999999996</v>
      </c>
      <c r="CA71" s="423"/>
      <c r="CB71" s="418"/>
      <c r="CC71" s="418"/>
      <c r="CD71" s="418"/>
      <c r="CE71" s="418"/>
      <c r="CF71" s="527"/>
    </row>
    <row r="72" spans="1:84" ht="14.1" customHeight="1" x14ac:dyDescent="0.2">
      <c r="A72" s="66">
        <v>17</v>
      </c>
      <c r="B72" s="63">
        <v>2417</v>
      </c>
      <c r="C72" s="64">
        <v>600079562</v>
      </c>
      <c r="D72" s="63">
        <v>72742810</v>
      </c>
      <c r="E72" s="65" t="s">
        <v>567</v>
      </c>
      <c r="F72" s="66">
        <v>3111</v>
      </c>
      <c r="G72" s="43" t="s">
        <v>293</v>
      </c>
      <c r="H72" s="67" t="s">
        <v>271</v>
      </c>
      <c r="I72" s="423">
        <f t="shared" si="2"/>
        <v>1760919</v>
      </c>
      <c r="J72" s="418">
        <f t="shared" si="3"/>
        <v>1306320</v>
      </c>
      <c r="K72" s="418">
        <v>1306320</v>
      </c>
      <c r="L72" s="418">
        <v>0</v>
      </c>
      <c r="M72" s="418">
        <f t="shared" si="24"/>
        <v>0</v>
      </c>
      <c r="N72" s="418">
        <v>0</v>
      </c>
      <c r="O72" s="418">
        <v>0</v>
      </c>
      <c r="P72" s="668">
        <f t="shared" si="4"/>
        <v>441536</v>
      </c>
      <c r="Q72" s="668">
        <f t="shared" si="5"/>
        <v>13063</v>
      </c>
      <c r="R72" s="418">
        <v>0</v>
      </c>
      <c r="S72" s="419">
        <f t="shared" si="6"/>
        <v>4</v>
      </c>
      <c r="T72" s="419">
        <v>4</v>
      </c>
      <c r="U72" s="426">
        <v>0</v>
      </c>
      <c r="V72" s="428">
        <f t="shared" si="7"/>
        <v>0</v>
      </c>
      <c r="W72" s="421">
        <f t="shared" si="8"/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 t="shared" si="9"/>
        <v>0</v>
      </c>
      <c r="AG72" s="421">
        <f t="shared" si="10"/>
        <v>0</v>
      </c>
      <c r="AH72" s="421">
        <f t="shared" si="11"/>
        <v>0</v>
      </c>
      <c r="AI72" s="421">
        <v>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12"/>
        <v>0</v>
      </c>
      <c r="AP72" s="421">
        <f t="shared" si="13"/>
        <v>0</v>
      </c>
      <c r="AQ72" s="421">
        <f t="shared" si="14"/>
        <v>0</v>
      </c>
      <c r="AR72" s="421">
        <f t="shared" si="143"/>
        <v>0</v>
      </c>
      <c r="AS72" s="421">
        <f t="shared" si="143"/>
        <v>0</v>
      </c>
      <c r="AT72" s="421">
        <f t="shared" si="16"/>
        <v>0</v>
      </c>
      <c r="AU72" s="68">
        <f t="shared" si="144"/>
        <v>0</v>
      </c>
      <c r="AV72" s="68">
        <f>ROUND(AH72*1%,0)</f>
        <v>0</v>
      </c>
      <c r="AW72" s="421">
        <v>0</v>
      </c>
      <c r="AX72" s="421">
        <v>0</v>
      </c>
      <c r="AY72" s="421">
        <f t="shared" si="17"/>
        <v>0</v>
      </c>
      <c r="AZ72" s="421">
        <f t="shared" si="18"/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>BA72+BC72+BD72+BF72+BH72+BI72</f>
        <v>0</v>
      </c>
      <c r="BL72" s="422">
        <f>BB72+BE72+BG72+BJ72</f>
        <v>0</v>
      </c>
      <c r="BM72" s="424">
        <f t="shared" si="19"/>
        <v>0</v>
      </c>
      <c r="BN72" s="427">
        <f>I72+AZ72</f>
        <v>1760919</v>
      </c>
      <c r="BO72" s="421">
        <f>J72+AH72</f>
        <v>1306320</v>
      </c>
      <c r="BP72" s="421">
        <f t="shared" si="145"/>
        <v>1306320</v>
      </c>
      <c r="BQ72" s="421">
        <f t="shared" si="145"/>
        <v>0</v>
      </c>
      <c r="BR72" s="421">
        <f>M72+AQ72</f>
        <v>0</v>
      </c>
      <c r="BS72" s="421">
        <f t="shared" si="146"/>
        <v>0</v>
      </c>
      <c r="BT72" s="421">
        <f t="shared" si="146"/>
        <v>0</v>
      </c>
      <c r="BU72" s="421">
        <f t="shared" si="147"/>
        <v>441536</v>
      </c>
      <c r="BV72" s="421">
        <f t="shared" si="147"/>
        <v>13063</v>
      </c>
      <c r="BW72" s="421">
        <f>R72+AY72</f>
        <v>0</v>
      </c>
      <c r="BX72" s="422">
        <f>S72+BM72</f>
        <v>4</v>
      </c>
      <c r="BY72" s="422">
        <f t="shared" si="148"/>
        <v>4</v>
      </c>
      <c r="BZ72" s="611">
        <f t="shared" si="148"/>
        <v>0</v>
      </c>
      <c r="CA72" s="423"/>
      <c r="CB72" s="418"/>
      <c r="CC72" s="418"/>
      <c r="CD72" s="418"/>
      <c r="CE72" s="418"/>
      <c r="CF72" s="527"/>
    </row>
    <row r="73" spans="1:84" ht="14.1" customHeight="1" x14ac:dyDescent="0.2">
      <c r="A73" s="66">
        <v>17</v>
      </c>
      <c r="B73" s="63">
        <v>2417</v>
      </c>
      <c r="C73" s="64">
        <v>600079562</v>
      </c>
      <c r="D73" s="63">
        <v>72742810</v>
      </c>
      <c r="E73" s="65" t="s">
        <v>567</v>
      </c>
      <c r="F73" s="66">
        <v>3111</v>
      </c>
      <c r="G73" s="43" t="s">
        <v>292</v>
      </c>
      <c r="H73" s="67" t="s">
        <v>272</v>
      </c>
      <c r="I73" s="423">
        <f t="shared" si="2"/>
        <v>0</v>
      </c>
      <c r="J73" s="418">
        <f t="shared" si="3"/>
        <v>0</v>
      </c>
      <c r="K73" s="418">
        <v>0</v>
      </c>
      <c r="L73" s="418">
        <v>0</v>
      </c>
      <c r="M73" s="418">
        <f t="shared" si="24"/>
        <v>0</v>
      </c>
      <c r="N73" s="418">
        <v>0</v>
      </c>
      <c r="O73" s="418">
        <v>0</v>
      </c>
      <c r="P73" s="668">
        <f t="shared" si="4"/>
        <v>0</v>
      </c>
      <c r="Q73" s="668">
        <f t="shared" si="5"/>
        <v>0</v>
      </c>
      <c r="R73" s="418">
        <v>0</v>
      </c>
      <c r="S73" s="419">
        <f t="shared" si="6"/>
        <v>0</v>
      </c>
      <c r="T73" s="420">
        <v>0</v>
      </c>
      <c r="U73" s="426">
        <v>0</v>
      </c>
      <c r="V73" s="428">
        <f t="shared" si="7"/>
        <v>0</v>
      </c>
      <c r="W73" s="421">
        <f t="shared" si="8"/>
        <v>0</v>
      </c>
      <c r="X73" s="16">
        <v>457322</v>
      </c>
      <c r="Y73" s="16">
        <v>0</v>
      </c>
      <c r="Z73" s="16">
        <v>0</v>
      </c>
      <c r="AA73" s="16">
        <v>0</v>
      </c>
      <c r="AB73" s="421">
        <v>0</v>
      </c>
      <c r="AC73" s="16">
        <v>0</v>
      </c>
      <c r="AD73" s="16">
        <v>0</v>
      </c>
      <c r="AE73" s="16">
        <v>0</v>
      </c>
      <c r="AF73" s="421">
        <f t="shared" si="9"/>
        <v>457322</v>
      </c>
      <c r="AG73" s="421">
        <f t="shared" si="10"/>
        <v>0</v>
      </c>
      <c r="AH73" s="421">
        <f t="shared" si="11"/>
        <v>457322</v>
      </c>
      <c r="AI73" s="16">
        <v>0</v>
      </c>
      <c r="AJ73" s="16">
        <v>0</v>
      </c>
      <c r="AK73" s="421">
        <v>0</v>
      </c>
      <c r="AL73" s="16">
        <v>0</v>
      </c>
      <c r="AM73" s="16">
        <v>0</v>
      </c>
      <c r="AN73" s="16">
        <v>0</v>
      </c>
      <c r="AO73" s="421">
        <f t="shared" si="12"/>
        <v>0</v>
      </c>
      <c r="AP73" s="16">
        <v>0</v>
      </c>
      <c r="AQ73" s="421">
        <f t="shared" si="14"/>
        <v>0</v>
      </c>
      <c r="AR73" s="421">
        <f t="shared" si="143"/>
        <v>457322</v>
      </c>
      <c r="AS73" s="421">
        <f t="shared" si="143"/>
        <v>0</v>
      </c>
      <c r="AT73" s="421">
        <f t="shared" si="16"/>
        <v>457322</v>
      </c>
      <c r="AU73" s="68">
        <f t="shared" si="144"/>
        <v>154575</v>
      </c>
      <c r="AV73" s="68">
        <f>ROUND(AH73*1%,0)</f>
        <v>4573</v>
      </c>
      <c r="AW73" s="16">
        <v>0</v>
      </c>
      <c r="AX73" s="16">
        <v>0</v>
      </c>
      <c r="AY73" s="421">
        <f t="shared" si="17"/>
        <v>0</v>
      </c>
      <c r="AZ73" s="421">
        <f t="shared" si="18"/>
        <v>616470</v>
      </c>
      <c r="BA73" s="13">
        <v>0</v>
      </c>
      <c r="BB73" s="13">
        <v>0</v>
      </c>
      <c r="BC73" s="13">
        <v>1.5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>BA73+BC73+BD73+BF73+BH73+BI73</f>
        <v>1.5</v>
      </c>
      <c r="BL73" s="422">
        <f>BB73+BE73+BG73+BJ73</f>
        <v>0</v>
      </c>
      <c r="BM73" s="424">
        <f t="shared" si="19"/>
        <v>1.5</v>
      </c>
      <c r="BN73" s="427">
        <f>I73+AZ73</f>
        <v>616470</v>
      </c>
      <c r="BO73" s="421">
        <f>J73+AH73</f>
        <v>457322</v>
      </c>
      <c r="BP73" s="421">
        <f t="shared" si="145"/>
        <v>457322</v>
      </c>
      <c r="BQ73" s="421">
        <f t="shared" si="145"/>
        <v>0</v>
      </c>
      <c r="BR73" s="421">
        <f>M73+AQ73</f>
        <v>0</v>
      </c>
      <c r="BS73" s="421">
        <f t="shared" si="146"/>
        <v>0</v>
      </c>
      <c r="BT73" s="421">
        <f t="shared" si="146"/>
        <v>0</v>
      </c>
      <c r="BU73" s="421">
        <f t="shared" si="147"/>
        <v>154575</v>
      </c>
      <c r="BV73" s="421">
        <f t="shared" si="147"/>
        <v>4573</v>
      </c>
      <c r="BW73" s="421">
        <f>R73+AY73</f>
        <v>0</v>
      </c>
      <c r="BX73" s="422">
        <f>S73+BM73</f>
        <v>1.5</v>
      </c>
      <c r="BY73" s="422">
        <f t="shared" si="148"/>
        <v>1.5</v>
      </c>
      <c r="BZ73" s="611">
        <f t="shared" si="148"/>
        <v>0</v>
      </c>
      <c r="CA73" s="423"/>
      <c r="CB73" s="418"/>
      <c r="CC73" s="418"/>
      <c r="CD73" s="418"/>
      <c r="CE73" s="418"/>
      <c r="CF73" s="527"/>
    </row>
    <row r="74" spans="1:84" ht="14.1" customHeight="1" x14ac:dyDescent="0.2">
      <c r="A74" s="66">
        <v>17</v>
      </c>
      <c r="B74" s="63">
        <v>2417</v>
      </c>
      <c r="C74" s="64">
        <v>600079562</v>
      </c>
      <c r="D74" s="63">
        <v>72742810</v>
      </c>
      <c r="E74" s="65" t="s">
        <v>567</v>
      </c>
      <c r="F74" s="66">
        <v>3141</v>
      </c>
      <c r="G74" s="65" t="s">
        <v>295</v>
      </c>
      <c r="H74" s="67" t="s">
        <v>272</v>
      </c>
      <c r="I74" s="423">
        <f t="shared" si="2"/>
        <v>1258448</v>
      </c>
      <c r="J74" s="418">
        <f t="shared" si="3"/>
        <v>929309</v>
      </c>
      <c r="K74" s="418">
        <v>0</v>
      </c>
      <c r="L74" s="924">
        <v>929309</v>
      </c>
      <c r="M74" s="418">
        <f>N74+O74</f>
        <v>0</v>
      </c>
      <c r="N74" s="205">
        <v>0</v>
      </c>
      <c r="O74" s="205">
        <v>0</v>
      </c>
      <c r="P74" s="668">
        <f t="shared" ref="P74" si="149">ROUND(J74*33.8%,0)</f>
        <v>314106</v>
      </c>
      <c r="Q74" s="668">
        <f t="shared" ref="Q74" si="150">ROUND(J74*1%,0)</f>
        <v>9293</v>
      </c>
      <c r="R74" s="674">
        <v>5740</v>
      </c>
      <c r="S74" s="419">
        <f>T74+U74</f>
        <v>2.7866999999999997</v>
      </c>
      <c r="T74" s="676">
        <v>0</v>
      </c>
      <c r="U74" s="909">
        <v>2.7866999999999997</v>
      </c>
      <c r="V74" s="428">
        <f t="shared" si="7"/>
        <v>0</v>
      </c>
      <c r="W74" s="421">
        <f t="shared" si="8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 t="shared" si="9"/>
        <v>0</v>
      </c>
      <c r="AG74" s="421">
        <f t="shared" si="10"/>
        <v>0</v>
      </c>
      <c r="AH74" s="421">
        <f t="shared" si="11"/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12"/>
        <v>0</v>
      </c>
      <c r="AP74" s="421">
        <f t="shared" si="13"/>
        <v>0</v>
      </c>
      <c r="AQ74" s="421">
        <f t="shared" si="14"/>
        <v>0</v>
      </c>
      <c r="AR74" s="421">
        <f t="shared" si="143"/>
        <v>0</v>
      </c>
      <c r="AS74" s="421">
        <f t="shared" si="143"/>
        <v>0</v>
      </c>
      <c r="AT74" s="421">
        <f t="shared" si="16"/>
        <v>0</v>
      </c>
      <c r="AU74" s="68">
        <f t="shared" si="144"/>
        <v>0</v>
      </c>
      <c r="AV74" s="68">
        <f>ROUND(AH74*1%,0)</f>
        <v>0</v>
      </c>
      <c r="AW74" s="421">
        <v>0</v>
      </c>
      <c r="AX74" s="421">
        <v>0</v>
      </c>
      <c r="AY74" s="421">
        <f t="shared" si="17"/>
        <v>0</v>
      </c>
      <c r="AZ74" s="421">
        <f t="shared" si="18"/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>BA74+BC74+BD74+BF74+BH74+BI74</f>
        <v>0</v>
      </c>
      <c r="BL74" s="422">
        <f>BB74+BE74+BG74+BJ74</f>
        <v>0</v>
      </c>
      <c r="BM74" s="424">
        <f t="shared" si="19"/>
        <v>0</v>
      </c>
      <c r="BN74" s="427">
        <f>I74+AZ74</f>
        <v>1258448</v>
      </c>
      <c r="BO74" s="421">
        <f>J74+AH74</f>
        <v>929309</v>
      </c>
      <c r="BP74" s="421">
        <f t="shared" si="145"/>
        <v>0</v>
      </c>
      <c r="BQ74" s="421">
        <f t="shared" si="145"/>
        <v>929309</v>
      </c>
      <c r="BR74" s="421">
        <f>M74+AQ74</f>
        <v>0</v>
      </c>
      <c r="BS74" s="421">
        <f t="shared" si="146"/>
        <v>0</v>
      </c>
      <c r="BT74" s="421">
        <f t="shared" si="146"/>
        <v>0</v>
      </c>
      <c r="BU74" s="421">
        <f t="shared" si="147"/>
        <v>314106</v>
      </c>
      <c r="BV74" s="421">
        <f t="shared" si="147"/>
        <v>9293</v>
      </c>
      <c r="BW74" s="421">
        <f>R74+AY74</f>
        <v>5740</v>
      </c>
      <c r="BX74" s="422">
        <f>S74+BM74</f>
        <v>2.7866999999999997</v>
      </c>
      <c r="BY74" s="422">
        <f t="shared" si="148"/>
        <v>0</v>
      </c>
      <c r="BZ74" s="611">
        <f t="shared" si="148"/>
        <v>2.7866999999999997</v>
      </c>
      <c r="CA74" s="423"/>
      <c r="CB74" s="418"/>
      <c r="CC74" s="418"/>
      <c r="CD74" s="418"/>
      <c r="CE74" s="418"/>
      <c r="CF74" s="527"/>
    </row>
    <row r="75" spans="1:84" ht="14.1" customHeight="1" x14ac:dyDescent="0.2">
      <c r="A75" s="72">
        <v>17</v>
      </c>
      <c r="B75" s="69">
        <v>2417</v>
      </c>
      <c r="C75" s="70">
        <v>600079562</v>
      </c>
      <c r="D75" s="69">
        <v>72742810</v>
      </c>
      <c r="E75" s="71" t="s">
        <v>568</v>
      </c>
      <c r="F75" s="72"/>
      <c r="G75" s="71"/>
      <c r="H75" s="73"/>
      <c r="I75" s="538">
        <f t="shared" ref="I75:BU75" si="151">SUM(I71:I74)</f>
        <v>21055422</v>
      </c>
      <c r="J75" s="74">
        <f t="shared" si="151"/>
        <v>15571161</v>
      </c>
      <c r="K75" s="74">
        <f t="shared" si="151"/>
        <v>13492036</v>
      </c>
      <c r="L75" s="74">
        <f t="shared" si="151"/>
        <v>2079125</v>
      </c>
      <c r="M75" s="74">
        <f t="shared" si="151"/>
        <v>0</v>
      </c>
      <c r="N75" s="74">
        <f t="shared" si="151"/>
        <v>0</v>
      </c>
      <c r="O75" s="74">
        <f t="shared" si="151"/>
        <v>0</v>
      </c>
      <c r="P75" s="74">
        <f t="shared" si="151"/>
        <v>5263052</v>
      </c>
      <c r="Q75" s="74">
        <f t="shared" si="151"/>
        <v>155712</v>
      </c>
      <c r="R75" s="74">
        <f t="shared" si="151"/>
        <v>65497</v>
      </c>
      <c r="S75" s="75">
        <f t="shared" si="151"/>
        <v>31.820399999999999</v>
      </c>
      <c r="T75" s="75">
        <f t="shared" si="151"/>
        <v>25</v>
      </c>
      <c r="U75" s="753">
        <f t="shared" si="151"/>
        <v>6.8203999999999994</v>
      </c>
      <c r="V75" s="538">
        <f t="shared" si="151"/>
        <v>0</v>
      </c>
      <c r="W75" s="74">
        <f t="shared" si="151"/>
        <v>-12800</v>
      </c>
      <c r="X75" s="74">
        <f t="shared" si="151"/>
        <v>457322</v>
      </c>
      <c r="Y75" s="74">
        <f t="shared" si="151"/>
        <v>0</v>
      </c>
      <c r="Z75" s="74">
        <f t="shared" si="151"/>
        <v>0</v>
      </c>
      <c r="AA75" s="74">
        <f t="shared" si="151"/>
        <v>0</v>
      </c>
      <c r="AB75" s="74">
        <f t="shared" si="151"/>
        <v>0</v>
      </c>
      <c r="AC75" s="74">
        <f t="shared" si="151"/>
        <v>0</v>
      </c>
      <c r="AD75" s="74">
        <f t="shared" si="151"/>
        <v>0</v>
      </c>
      <c r="AE75" s="74">
        <f t="shared" si="151"/>
        <v>0</v>
      </c>
      <c r="AF75" s="74">
        <f t="shared" si="151"/>
        <v>457322</v>
      </c>
      <c r="AG75" s="74">
        <f t="shared" si="151"/>
        <v>-12800</v>
      </c>
      <c r="AH75" s="74">
        <f t="shared" si="151"/>
        <v>444522</v>
      </c>
      <c r="AI75" s="74">
        <f t="shared" si="151"/>
        <v>0</v>
      </c>
      <c r="AJ75" s="74">
        <f t="shared" si="151"/>
        <v>12800</v>
      </c>
      <c r="AK75" s="74">
        <f t="shared" si="151"/>
        <v>0</v>
      </c>
      <c r="AL75" s="74">
        <f t="shared" si="151"/>
        <v>0</v>
      </c>
      <c r="AM75" s="74">
        <f t="shared" si="151"/>
        <v>0</v>
      </c>
      <c r="AN75" s="74">
        <f t="shared" si="151"/>
        <v>0</v>
      </c>
      <c r="AO75" s="74">
        <f t="shared" si="151"/>
        <v>0</v>
      </c>
      <c r="AP75" s="74">
        <f t="shared" si="151"/>
        <v>12800</v>
      </c>
      <c r="AQ75" s="74">
        <f t="shared" si="151"/>
        <v>12800</v>
      </c>
      <c r="AR75" s="74">
        <f t="shared" si="151"/>
        <v>457322</v>
      </c>
      <c r="AS75" s="74">
        <f t="shared" si="151"/>
        <v>0</v>
      </c>
      <c r="AT75" s="74">
        <f t="shared" si="151"/>
        <v>457322</v>
      </c>
      <c r="AU75" s="74">
        <f t="shared" si="151"/>
        <v>154575</v>
      </c>
      <c r="AV75" s="74">
        <f t="shared" si="151"/>
        <v>4445</v>
      </c>
      <c r="AW75" s="74">
        <f t="shared" si="151"/>
        <v>0</v>
      </c>
      <c r="AX75" s="74">
        <f t="shared" si="151"/>
        <v>0</v>
      </c>
      <c r="AY75" s="74">
        <f t="shared" si="151"/>
        <v>0</v>
      </c>
      <c r="AZ75" s="74">
        <f t="shared" si="151"/>
        <v>616342</v>
      </c>
      <c r="BA75" s="75">
        <f t="shared" si="151"/>
        <v>0</v>
      </c>
      <c r="BB75" s="75">
        <f t="shared" si="151"/>
        <v>-0.04</v>
      </c>
      <c r="BC75" s="75">
        <f t="shared" si="151"/>
        <v>1.5</v>
      </c>
      <c r="BD75" s="75">
        <f t="shared" si="151"/>
        <v>0</v>
      </c>
      <c r="BE75" s="75">
        <f t="shared" si="151"/>
        <v>0</v>
      </c>
      <c r="BF75" s="75">
        <f t="shared" si="151"/>
        <v>0</v>
      </c>
      <c r="BG75" s="75">
        <f t="shared" si="151"/>
        <v>0</v>
      </c>
      <c r="BH75" s="75">
        <f t="shared" si="151"/>
        <v>0</v>
      </c>
      <c r="BI75" s="75">
        <f t="shared" si="151"/>
        <v>0</v>
      </c>
      <c r="BJ75" s="75">
        <f t="shared" si="151"/>
        <v>0</v>
      </c>
      <c r="BK75" s="75">
        <f t="shared" si="151"/>
        <v>1.5</v>
      </c>
      <c r="BL75" s="75">
        <f t="shared" si="151"/>
        <v>-0.04</v>
      </c>
      <c r="BM75" s="76">
        <f t="shared" si="151"/>
        <v>1.46</v>
      </c>
      <c r="BN75" s="549">
        <f t="shared" si="151"/>
        <v>21671764</v>
      </c>
      <c r="BO75" s="74">
        <f t="shared" si="151"/>
        <v>16015683</v>
      </c>
      <c r="BP75" s="74">
        <f t="shared" si="151"/>
        <v>13949358</v>
      </c>
      <c r="BQ75" s="74">
        <f t="shared" si="151"/>
        <v>2066325</v>
      </c>
      <c r="BR75" s="74">
        <f t="shared" si="151"/>
        <v>12800</v>
      </c>
      <c r="BS75" s="74">
        <f t="shared" si="151"/>
        <v>0</v>
      </c>
      <c r="BT75" s="74">
        <f t="shared" si="151"/>
        <v>12800</v>
      </c>
      <c r="BU75" s="74">
        <f t="shared" si="151"/>
        <v>5417627</v>
      </c>
      <c r="BV75" s="74">
        <f t="shared" ref="BV75:CF75" si="152">SUM(BV71:BV74)</f>
        <v>160157</v>
      </c>
      <c r="BW75" s="74">
        <f t="shared" si="152"/>
        <v>65497</v>
      </c>
      <c r="BX75" s="75">
        <f t="shared" si="152"/>
        <v>33.2804</v>
      </c>
      <c r="BY75" s="75">
        <f t="shared" si="152"/>
        <v>26.5</v>
      </c>
      <c r="BZ75" s="753">
        <f t="shared" si="152"/>
        <v>6.7803999999999993</v>
      </c>
      <c r="CA75" s="796">
        <f t="shared" si="152"/>
        <v>0</v>
      </c>
      <c r="CB75" s="789">
        <f t="shared" si="152"/>
        <v>0</v>
      </c>
      <c r="CC75" s="789">
        <f t="shared" si="152"/>
        <v>0</v>
      </c>
      <c r="CD75" s="789">
        <f t="shared" si="152"/>
        <v>0</v>
      </c>
      <c r="CE75" s="789">
        <f t="shared" si="152"/>
        <v>0</v>
      </c>
      <c r="CF75" s="793">
        <f t="shared" si="152"/>
        <v>0</v>
      </c>
    </row>
    <row r="76" spans="1:84" ht="14.1" customHeight="1" x14ac:dyDescent="0.2">
      <c r="A76" s="66">
        <v>18</v>
      </c>
      <c r="B76" s="63">
        <v>2416</v>
      </c>
      <c r="C76" s="64">
        <v>600079571</v>
      </c>
      <c r="D76" s="63">
        <v>72742895</v>
      </c>
      <c r="E76" s="65" t="s">
        <v>569</v>
      </c>
      <c r="F76" s="66">
        <v>3111</v>
      </c>
      <c r="G76" s="65" t="s">
        <v>291</v>
      </c>
      <c r="H76" s="67" t="s">
        <v>271</v>
      </c>
      <c r="I76" s="423">
        <f t="shared" si="2"/>
        <v>5667315</v>
      </c>
      <c r="J76" s="418">
        <f t="shared" si="3"/>
        <v>4188225</v>
      </c>
      <c r="K76" s="418">
        <v>3808956</v>
      </c>
      <c r="L76" s="418">
        <v>379269</v>
      </c>
      <c r="M76" s="418">
        <f>N76+O76</f>
        <v>0</v>
      </c>
      <c r="N76" s="418">
        <v>0</v>
      </c>
      <c r="O76" s="418">
        <v>0</v>
      </c>
      <c r="P76" s="668">
        <f t="shared" si="4"/>
        <v>1415620</v>
      </c>
      <c r="Q76" s="668">
        <f t="shared" si="5"/>
        <v>41882</v>
      </c>
      <c r="R76" s="418">
        <v>21588</v>
      </c>
      <c r="S76" s="419">
        <f t="shared" si="6"/>
        <v>7.8712</v>
      </c>
      <c r="T76" s="419">
        <v>6.5644999999999998</v>
      </c>
      <c r="U76" s="426">
        <v>1.3067</v>
      </c>
      <c r="V76" s="428">
        <f t="shared" si="7"/>
        <v>0</v>
      </c>
      <c r="W76" s="421">
        <f t="shared" si="8"/>
        <v>-33280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 t="shared" si="9"/>
        <v>0</v>
      </c>
      <c r="AG76" s="421">
        <f t="shared" si="10"/>
        <v>-33280</v>
      </c>
      <c r="AH76" s="421">
        <f t="shared" si="11"/>
        <v>-33280</v>
      </c>
      <c r="AI76" s="421">
        <v>0</v>
      </c>
      <c r="AJ76" s="421">
        <v>33280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12"/>
        <v>0</v>
      </c>
      <c r="AP76" s="421">
        <f t="shared" si="13"/>
        <v>33280</v>
      </c>
      <c r="AQ76" s="421">
        <f t="shared" si="14"/>
        <v>33280</v>
      </c>
      <c r="AR76" s="421">
        <f t="shared" ref="AR76:AS78" si="153">AF76+AO76</f>
        <v>0</v>
      </c>
      <c r="AS76" s="421">
        <f t="shared" si="153"/>
        <v>0</v>
      </c>
      <c r="AT76" s="421">
        <f t="shared" si="16"/>
        <v>0</v>
      </c>
      <c r="AU76" s="68">
        <f t="shared" ref="AU76:AU78" si="154">ROUND((AH76+AI76+AJ76+AK76+AL76)*33.8%,0)</f>
        <v>0</v>
      </c>
      <c r="AV76" s="68">
        <f>ROUND(AH76*1%,0)</f>
        <v>-333</v>
      </c>
      <c r="AW76" s="421">
        <v>0</v>
      </c>
      <c r="AX76" s="421">
        <v>0</v>
      </c>
      <c r="AY76" s="421">
        <f t="shared" si="17"/>
        <v>0</v>
      </c>
      <c r="AZ76" s="421">
        <f t="shared" si="18"/>
        <v>-333</v>
      </c>
      <c r="BA76" s="422">
        <v>0</v>
      </c>
      <c r="BB76" s="422">
        <v>-0.11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>BA76+BC76+BD76+BF76+BH76+BI76</f>
        <v>0</v>
      </c>
      <c r="BL76" s="422">
        <f>BB76+BE76+BG76+BJ76</f>
        <v>-0.11</v>
      </c>
      <c r="BM76" s="424">
        <f t="shared" si="19"/>
        <v>-0.11</v>
      </c>
      <c r="BN76" s="427">
        <f>I76+AZ76</f>
        <v>5666982</v>
      </c>
      <c r="BO76" s="421">
        <f>J76+AH76</f>
        <v>4154945</v>
      </c>
      <c r="BP76" s="421">
        <f t="shared" ref="BP76:BQ78" si="155">K76+AF76</f>
        <v>3808956</v>
      </c>
      <c r="BQ76" s="421">
        <f t="shared" si="155"/>
        <v>345989</v>
      </c>
      <c r="BR76" s="421">
        <f>M76+AQ76</f>
        <v>33280</v>
      </c>
      <c r="BS76" s="421">
        <f t="shared" ref="BS76:BT78" si="156">N76+AO76</f>
        <v>0</v>
      </c>
      <c r="BT76" s="421">
        <f t="shared" si="156"/>
        <v>33280</v>
      </c>
      <c r="BU76" s="421">
        <f t="shared" ref="BU76:BV78" si="157">P76+AU76</f>
        <v>1415620</v>
      </c>
      <c r="BV76" s="421">
        <f t="shared" si="157"/>
        <v>41549</v>
      </c>
      <c r="BW76" s="421">
        <f>R76+AY76</f>
        <v>21588</v>
      </c>
      <c r="BX76" s="422">
        <f>S76+BM76</f>
        <v>7.7611999999999997</v>
      </c>
      <c r="BY76" s="422">
        <f t="shared" ref="BY76:BZ78" si="158">T76+BK76</f>
        <v>6.5644999999999998</v>
      </c>
      <c r="BZ76" s="611">
        <f t="shared" si="158"/>
        <v>1.1966999999999999</v>
      </c>
      <c r="CA76" s="423"/>
      <c r="CB76" s="418"/>
      <c r="CC76" s="418"/>
      <c r="CD76" s="418"/>
      <c r="CE76" s="418"/>
      <c r="CF76" s="527"/>
    </row>
    <row r="77" spans="1:84" ht="14.1" customHeight="1" x14ac:dyDescent="0.2">
      <c r="A77" s="66">
        <v>18</v>
      </c>
      <c r="B77" s="63">
        <v>2416</v>
      </c>
      <c r="C77" s="64">
        <v>600079571</v>
      </c>
      <c r="D77" s="63">
        <v>72742895</v>
      </c>
      <c r="E77" s="65" t="s">
        <v>569</v>
      </c>
      <c r="F77" s="66">
        <v>3111</v>
      </c>
      <c r="G77" s="43" t="s">
        <v>293</v>
      </c>
      <c r="H77" s="67" t="s">
        <v>271</v>
      </c>
      <c r="I77" s="423">
        <f t="shared" ref="I77:I140" si="159">J77+M77+P77+Q77+R77</f>
        <v>949208</v>
      </c>
      <c r="J77" s="418">
        <f t="shared" ref="J77:J140" si="160">K77+L77</f>
        <v>704160</v>
      </c>
      <c r="K77" s="418">
        <v>704160</v>
      </c>
      <c r="L77" s="418">
        <v>0</v>
      </c>
      <c r="M77" s="418">
        <f t="shared" ref="M77:M138" si="161">N77+O77</f>
        <v>0</v>
      </c>
      <c r="N77" s="418">
        <v>0</v>
      </c>
      <c r="O77" s="418">
        <v>0</v>
      </c>
      <c r="P77" s="668">
        <f t="shared" ref="P77:P140" si="162">ROUND(J77*33.8%,0)</f>
        <v>238006</v>
      </c>
      <c r="Q77" s="668">
        <f t="shared" ref="Q77:Q138" si="163">ROUND(J77*1%,0)</f>
        <v>7042</v>
      </c>
      <c r="R77" s="418">
        <v>0</v>
      </c>
      <c r="S77" s="419">
        <f t="shared" ref="S77:S138" si="164">T77+U77</f>
        <v>2</v>
      </c>
      <c r="T77" s="419">
        <v>2</v>
      </c>
      <c r="U77" s="426">
        <v>0</v>
      </c>
      <c r="V77" s="428">
        <f t="shared" ref="V77:V140" si="165">AI77*-1</f>
        <v>0</v>
      </c>
      <c r="W77" s="421">
        <f t="shared" ref="W77:W140" si="166">AJ77*-1</f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 t="shared" ref="AF77:AF140" si="167">V77+X77+Y77+AA77+AB77+AD77</f>
        <v>0</v>
      </c>
      <c r="AG77" s="421">
        <f t="shared" ref="AG77:AG140" si="168">W77+Z77+AC77+AE77</f>
        <v>0</v>
      </c>
      <c r="AH77" s="421">
        <f t="shared" ref="AH77:AH140" si="169">SUM(AF77:AG77)</f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ref="AO77:AO140" si="170">AI77+AL77+AK77+AM77</f>
        <v>0</v>
      </c>
      <c r="AP77" s="421">
        <f t="shared" ref="AP77:AP140" si="171">AJ77+AN77</f>
        <v>0</v>
      </c>
      <c r="AQ77" s="421">
        <f t="shared" ref="AQ77:AQ140" si="172">SUM(AO77:AP77)</f>
        <v>0</v>
      </c>
      <c r="AR77" s="421">
        <f t="shared" si="153"/>
        <v>0</v>
      </c>
      <c r="AS77" s="421">
        <f t="shared" si="153"/>
        <v>0</v>
      </c>
      <c r="AT77" s="421">
        <f t="shared" ref="AT77:AT140" si="173">SUM(AR77:AS77)</f>
        <v>0</v>
      </c>
      <c r="AU77" s="68">
        <f t="shared" si="154"/>
        <v>0</v>
      </c>
      <c r="AV77" s="68">
        <f>ROUND(AH77*1%,0)</f>
        <v>0</v>
      </c>
      <c r="AW77" s="421">
        <v>0</v>
      </c>
      <c r="AX77" s="421">
        <v>0</v>
      </c>
      <c r="AY77" s="421">
        <f t="shared" ref="AY77:AY140" si="174">AW77+AX77</f>
        <v>0</v>
      </c>
      <c r="AZ77" s="421">
        <f t="shared" ref="AZ77:AZ140" si="175">AT77+AU77+AV77+AY77</f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>BA77+BC77+BD77+BF77+BH77+BI77</f>
        <v>0</v>
      </c>
      <c r="BL77" s="422">
        <f>BB77+BE77+BG77+BJ77</f>
        <v>0</v>
      </c>
      <c r="BM77" s="424">
        <f t="shared" ref="BM77:BM140" si="176">SUM(BK77:BL77)</f>
        <v>0</v>
      </c>
      <c r="BN77" s="427">
        <f>I77+AZ77</f>
        <v>949208</v>
      </c>
      <c r="BO77" s="421">
        <f>J77+AH77</f>
        <v>704160</v>
      </c>
      <c r="BP77" s="421">
        <f t="shared" si="155"/>
        <v>704160</v>
      </c>
      <c r="BQ77" s="421">
        <f t="shared" si="155"/>
        <v>0</v>
      </c>
      <c r="BR77" s="421">
        <f>M77+AQ77</f>
        <v>0</v>
      </c>
      <c r="BS77" s="421">
        <f t="shared" si="156"/>
        <v>0</v>
      </c>
      <c r="BT77" s="421">
        <f t="shared" si="156"/>
        <v>0</v>
      </c>
      <c r="BU77" s="421">
        <f t="shared" si="157"/>
        <v>238006</v>
      </c>
      <c r="BV77" s="421">
        <f t="shared" si="157"/>
        <v>7042</v>
      </c>
      <c r="BW77" s="421">
        <f>R77+AY77</f>
        <v>0</v>
      </c>
      <c r="BX77" s="422">
        <f>S77+BM77</f>
        <v>2</v>
      </c>
      <c r="BY77" s="422">
        <f t="shared" si="158"/>
        <v>2</v>
      </c>
      <c r="BZ77" s="611">
        <f t="shared" si="158"/>
        <v>0</v>
      </c>
      <c r="CA77" s="423"/>
      <c r="CB77" s="418"/>
      <c r="CC77" s="418"/>
      <c r="CD77" s="418"/>
      <c r="CE77" s="418"/>
      <c r="CF77" s="527"/>
    </row>
    <row r="78" spans="1:84" ht="14.1" customHeight="1" x14ac:dyDescent="0.2">
      <c r="A78" s="66">
        <v>18</v>
      </c>
      <c r="B78" s="63">
        <v>2416</v>
      </c>
      <c r="C78" s="64">
        <v>600079571</v>
      </c>
      <c r="D78" s="63">
        <v>72742895</v>
      </c>
      <c r="E78" s="65" t="s">
        <v>569</v>
      </c>
      <c r="F78" s="66">
        <v>3141</v>
      </c>
      <c r="G78" s="65" t="s">
        <v>295</v>
      </c>
      <c r="H78" s="67" t="s">
        <v>272</v>
      </c>
      <c r="I78" s="423">
        <f t="shared" si="159"/>
        <v>445197</v>
      </c>
      <c r="J78" s="418">
        <f t="shared" si="160"/>
        <v>329045</v>
      </c>
      <c r="K78" s="418">
        <v>0</v>
      </c>
      <c r="L78" s="924">
        <v>329045</v>
      </c>
      <c r="M78" s="418">
        <f>N78+O78</f>
        <v>0</v>
      </c>
      <c r="N78" s="205">
        <v>0</v>
      </c>
      <c r="O78" s="205">
        <v>0</v>
      </c>
      <c r="P78" s="668">
        <f t="shared" si="162"/>
        <v>111217</v>
      </c>
      <c r="Q78" s="668">
        <f t="shared" si="163"/>
        <v>3290</v>
      </c>
      <c r="R78" s="674">
        <v>1645</v>
      </c>
      <c r="S78" s="419">
        <f>T78+U78</f>
        <v>0.98670000000000002</v>
      </c>
      <c r="T78" s="676">
        <v>0</v>
      </c>
      <c r="U78" s="909">
        <v>0.98670000000000002</v>
      </c>
      <c r="V78" s="428">
        <f t="shared" si="165"/>
        <v>0</v>
      </c>
      <c r="W78" s="421">
        <f t="shared" si="166"/>
        <v>-14720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si="167"/>
        <v>0</v>
      </c>
      <c r="AG78" s="421">
        <f t="shared" si="168"/>
        <v>-14720</v>
      </c>
      <c r="AH78" s="421">
        <f t="shared" si="169"/>
        <v>-14720</v>
      </c>
      <c r="AI78" s="421">
        <v>0</v>
      </c>
      <c r="AJ78" s="421">
        <v>14720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si="170"/>
        <v>0</v>
      </c>
      <c r="AP78" s="421">
        <f t="shared" si="171"/>
        <v>14720</v>
      </c>
      <c r="AQ78" s="421">
        <f t="shared" si="172"/>
        <v>14720</v>
      </c>
      <c r="AR78" s="421">
        <f t="shared" si="153"/>
        <v>0</v>
      </c>
      <c r="AS78" s="421">
        <f t="shared" si="153"/>
        <v>0</v>
      </c>
      <c r="AT78" s="421">
        <f t="shared" si="173"/>
        <v>0</v>
      </c>
      <c r="AU78" s="68">
        <f t="shared" si="154"/>
        <v>0</v>
      </c>
      <c r="AV78" s="68">
        <f>ROUND(AH78*1%,0)</f>
        <v>-147</v>
      </c>
      <c r="AW78" s="421">
        <v>0</v>
      </c>
      <c r="AX78" s="421">
        <v>0</v>
      </c>
      <c r="AY78" s="421">
        <f t="shared" si="174"/>
        <v>0</v>
      </c>
      <c r="AZ78" s="421">
        <f t="shared" si="175"/>
        <v>-147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>BA78+BC78+BD78+BF78+BH78+BI78</f>
        <v>0</v>
      </c>
      <c r="BL78" s="422">
        <f>BB78+BE78+BG78+BJ78</f>
        <v>0</v>
      </c>
      <c r="BM78" s="424">
        <f t="shared" si="176"/>
        <v>0</v>
      </c>
      <c r="BN78" s="427">
        <f>I78+AZ78</f>
        <v>445050</v>
      </c>
      <c r="BO78" s="421">
        <f>J78+AH78</f>
        <v>314325</v>
      </c>
      <c r="BP78" s="421">
        <f t="shared" si="155"/>
        <v>0</v>
      </c>
      <c r="BQ78" s="421">
        <f t="shared" si="155"/>
        <v>314325</v>
      </c>
      <c r="BR78" s="421">
        <f>M78+AQ78</f>
        <v>14720</v>
      </c>
      <c r="BS78" s="421">
        <f t="shared" si="156"/>
        <v>0</v>
      </c>
      <c r="BT78" s="421">
        <f t="shared" si="156"/>
        <v>14720</v>
      </c>
      <c r="BU78" s="421">
        <f t="shared" si="157"/>
        <v>111217</v>
      </c>
      <c r="BV78" s="421">
        <f t="shared" si="157"/>
        <v>3143</v>
      </c>
      <c r="BW78" s="421">
        <f>R78+AY78</f>
        <v>1645</v>
      </c>
      <c r="BX78" s="422">
        <f>S78+BM78</f>
        <v>0.98670000000000002</v>
      </c>
      <c r="BY78" s="422">
        <f t="shared" si="158"/>
        <v>0</v>
      </c>
      <c r="BZ78" s="611">
        <f t="shared" si="158"/>
        <v>0.98670000000000002</v>
      </c>
      <c r="CA78" s="423"/>
      <c r="CB78" s="418"/>
      <c r="CC78" s="418"/>
      <c r="CD78" s="418"/>
      <c r="CE78" s="418"/>
      <c r="CF78" s="527"/>
    </row>
    <row r="79" spans="1:84" ht="14.1" customHeight="1" x14ac:dyDescent="0.2">
      <c r="A79" s="72">
        <v>18</v>
      </c>
      <c r="B79" s="69">
        <v>2416</v>
      </c>
      <c r="C79" s="70">
        <v>600079571</v>
      </c>
      <c r="D79" s="69">
        <v>72742895</v>
      </c>
      <c r="E79" s="71" t="s">
        <v>570</v>
      </c>
      <c r="F79" s="72"/>
      <c r="G79" s="71"/>
      <c r="H79" s="73"/>
      <c r="I79" s="538">
        <f t="shared" ref="I79:BU79" si="177">SUM(I76:I78)</f>
        <v>7061720</v>
      </c>
      <c r="J79" s="74">
        <f t="shared" si="177"/>
        <v>5221430</v>
      </c>
      <c r="K79" s="74">
        <f t="shared" si="177"/>
        <v>4513116</v>
      </c>
      <c r="L79" s="74">
        <f t="shared" si="177"/>
        <v>708314</v>
      </c>
      <c r="M79" s="74">
        <f t="shared" si="177"/>
        <v>0</v>
      </c>
      <c r="N79" s="74">
        <f t="shared" si="177"/>
        <v>0</v>
      </c>
      <c r="O79" s="74">
        <f t="shared" si="177"/>
        <v>0</v>
      </c>
      <c r="P79" s="74">
        <f t="shared" si="177"/>
        <v>1764843</v>
      </c>
      <c r="Q79" s="74">
        <f t="shared" si="177"/>
        <v>52214</v>
      </c>
      <c r="R79" s="74">
        <f t="shared" si="177"/>
        <v>23233</v>
      </c>
      <c r="S79" s="75">
        <f t="shared" si="177"/>
        <v>10.857900000000001</v>
      </c>
      <c r="T79" s="75">
        <f t="shared" si="177"/>
        <v>8.5644999999999989</v>
      </c>
      <c r="U79" s="753">
        <f t="shared" si="177"/>
        <v>2.2934000000000001</v>
      </c>
      <c r="V79" s="538">
        <f t="shared" si="177"/>
        <v>0</v>
      </c>
      <c r="W79" s="74">
        <f t="shared" si="177"/>
        <v>-48000</v>
      </c>
      <c r="X79" s="74">
        <f t="shared" si="177"/>
        <v>0</v>
      </c>
      <c r="Y79" s="74">
        <f t="shared" si="177"/>
        <v>0</v>
      </c>
      <c r="Z79" s="74">
        <f t="shared" si="177"/>
        <v>0</v>
      </c>
      <c r="AA79" s="74">
        <f t="shared" si="177"/>
        <v>0</v>
      </c>
      <c r="AB79" s="74">
        <f t="shared" si="177"/>
        <v>0</v>
      </c>
      <c r="AC79" s="74">
        <f t="shared" si="177"/>
        <v>0</v>
      </c>
      <c r="AD79" s="74">
        <f t="shared" si="177"/>
        <v>0</v>
      </c>
      <c r="AE79" s="74">
        <f t="shared" si="177"/>
        <v>0</v>
      </c>
      <c r="AF79" s="74">
        <f t="shared" si="177"/>
        <v>0</v>
      </c>
      <c r="AG79" s="74">
        <f t="shared" si="177"/>
        <v>-48000</v>
      </c>
      <c r="AH79" s="74">
        <f t="shared" si="177"/>
        <v>-48000</v>
      </c>
      <c r="AI79" s="74">
        <f t="shared" si="177"/>
        <v>0</v>
      </c>
      <c r="AJ79" s="74">
        <f t="shared" si="177"/>
        <v>48000</v>
      </c>
      <c r="AK79" s="74">
        <f t="shared" si="177"/>
        <v>0</v>
      </c>
      <c r="AL79" s="74">
        <f t="shared" si="177"/>
        <v>0</v>
      </c>
      <c r="AM79" s="74">
        <f t="shared" si="177"/>
        <v>0</v>
      </c>
      <c r="AN79" s="74">
        <f t="shared" si="177"/>
        <v>0</v>
      </c>
      <c r="AO79" s="74">
        <f t="shared" si="177"/>
        <v>0</v>
      </c>
      <c r="AP79" s="74">
        <f t="shared" si="177"/>
        <v>48000</v>
      </c>
      <c r="AQ79" s="74">
        <f t="shared" si="177"/>
        <v>48000</v>
      </c>
      <c r="AR79" s="74">
        <f t="shared" si="177"/>
        <v>0</v>
      </c>
      <c r="AS79" s="74">
        <f t="shared" si="177"/>
        <v>0</v>
      </c>
      <c r="AT79" s="74">
        <f t="shared" si="177"/>
        <v>0</v>
      </c>
      <c r="AU79" s="74">
        <f t="shared" si="177"/>
        <v>0</v>
      </c>
      <c r="AV79" s="74">
        <f t="shared" si="177"/>
        <v>-480</v>
      </c>
      <c r="AW79" s="74">
        <f t="shared" si="177"/>
        <v>0</v>
      </c>
      <c r="AX79" s="74">
        <f t="shared" si="177"/>
        <v>0</v>
      </c>
      <c r="AY79" s="74">
        <f t="shared" si="177"/>
        <v>0</v>
      </c>
      <c r="AZ79" s="74">
        <f t="shared" si="177"/>
        <v>-480</v>
      </c>
      <c r="BA79" s="75">
        <f t="shared" si="177"/>
        <v>0</v>
      </c>
      <c r="BB79" s="75">
        <f t="shared" si="177"/>
        <v>-0.11</v>
      </c>
      <c r="BC79" s="75">
        <f t="shared" si="177"/>
        <v>0</v>
      </c>
      <c r="BD79" s="75">
        <f t="shared" si="177"/>
        <v>0</v>
      </c>
      <c r="BE79" s="75">
        <f t="shared" si="177"/>
        <v>0</v>
      </c>
      <c r="BF79" s="75">
        <f t="shared" si="177"/>
        <v>0</v>
      </c>
      <c r="BG79" s="75">
        <f t="shared" si="177"/>
        <v>0</v>
      </c>
      <c r="BH79" s="75">
        <f t="shared" si="177"/>
        <v>0</v>
      </c>
      <c r="BI79" s="75">
        <f t="shared" si="177"/>
        <v>0</v>
      </c>
      <c r="BJ79" s="75">
        <f t="shared" si="177"/>
        <v>0</v>
      </c>
      <c r="BK79" s="75">
        <f t="shared" si="177"/>
        <v>0</v>
      </c>
      <c r="BL79" s="75">
        <f t="shared" si="177"/>
        <v>-0.11</v>
      </c>
      <c r="BM79" s="76">
        <f t="shared" si="177"/>
        <v>-0.11</v>
      </c>
      <c r="BN79" s="549">
        <f t="shared" si="177"/>
        <v>7061240</v>
      </c>
      <c r="BO79" s="74">
        <f t="shared" si="177"/>
        <v>5173430</v>
      </c>
      <c r="BP79" s="74">
        <f t="shared" si="177"/>
        <v>4513116</v>
      </c>
      <c r="BQ79" s="74">
        <f t="shared" si="177"/>
        <v>660314</v>
      </c>
      <c r="BR79" s="74">
        <f t="shared" si="177"/>
        <v>48000</v>
      </c>
      <c r="BS79" s="74">
        <f t="shared" si="177"/>
        <v>0</v>
      </c>
      <c r="BT79" s="74">
        <f t="shared" si="177"/>
        <v>48000</v>
      </c>
      <c r="BU79" s="74">
        <f t="shared" si="177"/>
        <v>1764843</v>
      </c>
      <c r="BV79" s="74">
        <f t="shared" ref="BV79:CF79" si="178">SUM(BV76:BV78)</f>
        <v>51734</v>
      </c>
      <c r="BW79" s="74">
        <f t="shared" si="178"/>
        <v>23233</v>
      </c>
      <c r="BX79" s="75">
        <f t="shared" si="178"/>
        <v>10.7479</v>
      </c>
      <c r="BY79" s="75">
        <f t="shared" si="178"/>
        <v>8.5644999999999989</v>
      </c>
      <c r="BZ79" s="753">
        <f t="shared" si="178"/>
        <v>2.1833999999999998</v>
      </c>
      <c r="CA79" s="796">
        <f t="shared" si="178"/>
        <v>0</v>
      </c>
      <c r="CB79" s="789">
        <f t="shared" si="178"/>
        <v>0</v>
      </c>
      <c r="CC79" s="789">
        <f t="shared" si="178"/>
        <v>0</v>
      </c>
      <c r="CD79" s="789">
        <f t="shared" si="178"/>
        <v>0</v>
      </c>
      <c r="CE79" s="789">
        <f t="shared" si="178"/>
        <v>0</v>
      </c>
      <c r="CF79" s="793">
        <f t="shared" si="178"/>
        <v>0</v>
      </c>
    </row>
    <row r="80" spans="1:84" ht="14.1" customHeight="1" x14ac:dyDescent="0.2">
      <c r="A80" s="66">
        <v>19</v>
      </c>
      <c r="B80" s="63">
        <v>2421</v>
      </c>
      <c r="C80" s="64">
        <v>600079163</v>
      </c>
      <c r="D80" s="63">
        <v>72743301</v>
      </c>
      <c r="E80" s="65" t="s">
        <v>571</v>
      </c>
      <c r="F80" s="66">
        <v>3111</v>
      </c>
      <c r="G80" s="65" t="s">
        <v>291</v>
      </c>
      <c r="H80" s="67" t="s">
        <v>271</v>
      </c>
      <c r="I80" s="423">
        <f t="shared" si="159"/>
        <v>11155514</v>
      </c>
      <c r="J80" s="418">
        <f t="shared" si="160"/>
        <v>8245649</v>
      </c>
      <c r="K80" s="418">
        <v>7558185</v>
      </c>
      <c r="L80" s="418">
        <v>687464</v>
      </c>
      <c r="M80" s="418">
        <f>N80+O80</f>
        <v>0</v>
      </c>
      <c r="N80" s="418">
        <v>0</v>
      </c>
      <c r="O80" s="418">
        <v>0</v>
      </c>
      <c r="P80" s="668">
        <f t="shared" si="162"/>
        <v>2787029</v>
      </c>
      <c r="Q80" s="668">
        <f t="shared" si="163"/>
        <v>82456</v>
      </c>
      <c r="R80" s="418">
        <v>40380</v>
      </c>
      <c r="S80" s="419">
        <f t="shared" si="164"/>
        <v>15.0954</v>
      </c>
      <c r="T80" s="419">
        <v>12.741899999999999</v>
      </c>
      <c r="U80" s="426">
        <v>2.3534999999999999</v>
      </c>
      <c r="V80" s="428">
        <f t="shared" si="165"/>
        <v>0</v>
      </c>
      <c r="W80" s="421">
        <f t="shared" si="166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 t="shared" si="167"/>
        <v>0</v>
      </c>
      <c r="AG80" s="421">
        <f t="shared" si="168"/>
        <v>0</v>
      </c>
      <c r="AH80" s="421">
        <f t="shared" si="169"/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170"/>
        <v>0</v>
      </c>
      <c r="AP80" s="421">
        <f t="shared" si="171"/>
        <v>0</v>
      </c>
      <c r="AQ80" s="421">
        <f t="shared" si="172"/>
        <v>0</v>
      </c>
      <c r="AR80" s="421">
        <f>AF80+AO80</f>
        <v>0</v>
      </c>
      <c r="AS80" s="421">
        <f>AG80+AP80</f>
        <v>0</v>
      </c>
      <c r="AT80" s="421">
        <f t="shared" si="173"/>
        <v>0</v>
      </c>
      <c r="AU80" s="68">
        <f t="shared" ref="AU80:AU81" si="179">ROUND((AH80+AI80+AJ80+AK80+AL80)*33.8%,0)</f>
        <v>0</v>
      </c>
      <c r="AV80" s="68">
        <f>ROUND(AH80*1%,0)</f>
        <v>0</v>
      </c>
      <c r="AW80" s="421">
        <v>0</v>
      </c>
      <c r="AX80" s="421">
        <v>0</v>
      </c>
      <c r="AY80" s="421">
        <f t="shared" si="174"/>
        <v>0</v>
      </c>
      <c r="AZ80" s="421">
        <f t="shared" si="175"/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>BA80+BC80+BD80+BF80+BH80+BI80</f>
        <v>0</v>
      </c>
      <c r="BL80" s="422">
        <f>BB80+BE80+BG80+BJ80</f>
        <v>0</v>
      </c>
      <c r="BM80" s="424">
        <f t="shared" si="176"/>
        <v>0</v>
      </c>
      <c r="BN80" s="427">
        <f>I80+AZ80</f>
        <v>11155514</v>
      </c>
      <c r="BO80" s="421">
        <f>J80+AH80</f>
        <v>8245649</v>
      </c>
      <c r="BP80" s="421">
        <f>K80+AF80</f>
        <v>7558185</v>
      </c>
      <c r="BQ80" s="421">
        <f>L80+AG80</f>
        <v>687464</v>
      </c>
      <c r="BR80" s="421">
        <f>M80+AQ80</f>
        <v>0</v>
      </c>
      <c r="BS80" s="421">
        <f>N80+AO80</f>
        <v>0</v>
      </c>
      <c r="BT80" s="421">
        <f>O80+AP80</f>
        <v>0</v>
      </c>
      <c r="BU80" s="421">
        <f>P80+AU80</f>
        <v>2787029</v>
      </c>
      <c r="BV80" s="421">
        <f>Q80+AV80</f>
        <v>82456</v>
      </c>
      <c r="BW80" s="421">
        <f>R80+AY80</f>
        <v>40380</v>
      </c>
      <c r="BX80" s="422">
        <f>S80+BM80</f>
        <v>15.0954</v>
      </c>
      <c r="BY80" s="422">
        <f>T80+BK80</f>
        <v>12.741899999999999</v>
      </c>
      <c r="BZ80" s="611">
        <f>U80+BL80</f>
        <v>2.3534999999999999</v>
      </c>
      <c r="CA80" s="423"/>
      <c r="CB80" s="418"/>
      <c r="CC80" s="418"/>
      <c r="CD80" s="418"/>
      <c r="CE80" s="418"/>
      <c r="CF80" s="527"/>
    </row>
    <row r="81" spans="1:84" ht="14.1" customHeight="1" x14ac:dyDescent="0.2">
      <c r="A81" s="66">
        <v>19</v>
      </c>
      <c r="B81" s="63">
        <v>2421</v>
      </c>
      <c r="C81" s="64">
        <v>600079163</v>
      </c>
      <c r="D81" s="63">
        <v>72743301</v>
      </c>
      <c r="E81" s="65" t="s">
        <v>571</v>
      </c>
      <c r="F81" s="66">
        <v>3141</v>
      </c>
      <c r="G81" s="65" t="s">
        <v>295</v>
      </c>
      <c r="H81" s="67" t="s">
        <v>272</v>
      </c>
      <c r="I81" s="423">
        <f t="shared" si="159"/>
        <v>972875</v>
      </c>
      <c r="J81" s="418">
        <f t="shared" si="160"/>
        <v>718082</v>
      </c>
      <c r="K81" s="418">
        <v>0</v>
      </c>
      <c r="L81" s="924">
        <v>718082</v>
      </c>
      <c r="M81" s="418">
        <f>N81+O81</f>
        <v>0</v>
      </c>
      <c r="N81" s="205">
        <v>0</v>
      </c>
      <c r="O81" s="205">
        <v>0</v>
      </c>
      <c r="P81" s="668">
        <f t="shared" si="162"/>
        <v>242712</v>
      </c>
      <c r="Q81" s="668">
        <f t="shared" si="163"/>
        <v>7181</v>
      </c>
      <c r="R81" s="674">
        <v>4900</v>
      </c>
      <c r="S81" s="419">
        <f>T81+U81</f>
        <v>2.1533000000000002</v>
      </c>
      <c r="T81" s="676">
        <v>0</v>
      </c>
      <c r="U81" s="909">
        <v>2.1533000000000002</v>
      </c>
      <c r="V81" s="428">
        <f t="shared" si="165"/>
        <v>0</v>
      </c>
      <c r="W81" s="421">
        <f t="shared" si="166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 t="shared" si="167"/>
        <v>0</v>
      </c>
      <c r="AG81" s="421">
        <f t="shared" si="168"/>
        <v>0</v>
      </c>
      <c r="AH81" s="421">
        <f t="shared" si="169"/>
        <v>0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170"/>
        <v>0</v>
      </c>
      <c r="AP81" s="421">
        <f t="shared" si="171"/>
        <v>0</v>
      </c>
      <c r="AQ81" s="421">
        <f t="shared" si="172"/>
        <v>0</v>
      </c>
      <c r="AR81" s="421">
        <f>AF81+AO81</f>
        <v>0</v>
      </c>
      <c r="AS81" s="421">
        <f>AG81+AP81</f>
        <v>0</v>
      </c>
      <c r="AT81" s="421">
        <f t="shared" si="173"/>
        <v>0</v>
      </c>
      <c r="AU81" s="68">
        <f t="shared" si="179"/>
        <v>0</v>
      </c>
      <c r="AV81" s="68">
        <f>ROUND(AH81*1%,0)</f>
        <v>0</v>
      </c>
      <c r="AW81" s="421">
        <v>0</v>
      </c>
      <c r="AX81" s="421">
        <v>0</v>
      </c>
      <c r="AY81" s="421">
        <f t="shared" si="174"/>
        <v>0</v>
      </c>
      <c r="AZ81" s="421">
        <f t="shared" si="175"/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>BA81+BC81+BD81+BF81+BH81+BI81</f>
        <v>0</v>
      </c>
      <c r="BL81" s="422">
        <f>BB81+BE81+BG81+BJ81</f>
        <v>0</v>
      </c>
      <c r="BM81" s="424">
        <f t="shared" si="176"/>
        <v>0</v>
      </c>
      <c r="BN81" s="427">
        <f>I81+AZ81</f>
        <v>972875</v>
      </c>
      <c r="BO81" s="421">
        <f>J81+AH81</f>
        <v>718082</v>
      </c>
      <c r="BP81" s="421">
        <f>K81+AF81</f>
        <v>0</v>
      </c>
      <c r="BQ81" s="421">
        <f>L81+AG81</f>
        <v>718082</v>
      </c>
      <c r="BR81" s="421">
        <f>M81+AQ81</f>
        <v>0</v>
      </c>
      <c r="BS81" s="421">
        <f>N81+AO81</f>
        <v>0</v>
      </c>
      <c r="BT81" s="421">
        <f>O81+AP81</f>
        <v>0</v>
      </c>
      <c r="BU81" s="421">
        <f>P81+AU81</f>
        <v>242712</v>
      </c>
      <c r="BV81" s="421">
        <f>Q81+AV81</f>
        <v>7181</v>
      </c>
      <c r="BW81" s="421">
        <f>R81+AY81</f>
        <v>4900</v>
      </c>
      <c r="BX81" s="422">
        <f>S81+BM81</f>
        <v>2.1533000000000002</v>
      </c>
      <c r="BY81" s="422">
        <f>T81+BK81</f>
        <v>0</v>
      </c>
      <c r="BZ81" s="611">
        <f>U81+BL81</f>
        <v>2.1533000000000002</v>
      </c>
      <c r="CA81" s="423"/>
      <c r="CB81" s="418"/>
      <c r="CC81" s="418"/>
      <c r="CD81" s="418"/>
      <c r="CE81" s="418"/>
      <c r="CF81" s="527"/>
    </row>
    <row r="82" spans="1:84" ht="14.1" customHeight="1" x14ac:dyDescent="0.2">
      <c r="A82" s="72">
        <v>19</v>
      </c>
      <c r="B82" s="69">
        <v>2421</v>
      </c>
      <c r="C82" s="70">
        <v>600079163</v>
      </c>
      <c r="D82" s="69">
        <v>72743301</v>
      </c>
      <c r="E82" s="71" t="s">
        <v>572</v>
      </c>
      <c r="F82" s="72"/>
      <c r="G82" s="71"/>
      <c r="H82" s="73"/>
      <c r="I82" s="538">
        <f t="shared" ref="I82:BU82" si="180">SUM(I80:I81)</f>
        <v>12128389</v>
      </c>
      <c r="J82" s="74">
        <f t="shared" si="180"/>
        <v>8963731</v>
      </c>
      <c r="K82" s="74">
        <f t="shared" si="180"/>
        <v>7558185</v>
      </c>
      <c r="L82" s="74">
        <f t="shared" si="180"/>
        <v>1405546</v>
      </c>
      <c r="M82" s="74">
        <f t="shared" si="180"/>
        <v>0</v>
      </c>
      <c r="N82" s="74">
        <f t="shared" si="180"/>
        <v>0</v>
      </c>
      <c r="O82" s="74">
        <f t="shared" si="180"/>
        <v>0</v>
      </c>
      <c r="P82" s="74">
        <f t="shared" si="180"/>
        <v>3029741</v>
      </c>
      <c r="Q82" s="74">
        <f t="shared" si="180"/>
        <v>89637</v>
      </c>
      <c r="R82" s="74">
        <f t="shared" si="180"/>
        <v>45280</v>
      </c>
      <c r="S82" s="75">
        <f t="shared" si="180"/>
        <v>17.248699999999999</v>
      </c>
      <c r="T82" s="75">
        <f t="shared" si="180"/>
        <v>12.741899999999999</v>
      </c>
      <c r="U82" s="753">
        <f t="shared" si="180"/>
        <v>4.5068000000000001</v>
      </c>
      <c r="V82" s="538">
        <f t="shared" si="180"/>
        <v>0</v>
      </c>
      <c r="W82" s="74">
        <f t="shared" si="180"/>
        <v>0</v>
      </c>
      <c r="X82" s="74">
        <f t="shared" si="180"/>
        <v>0</v>
      </c>
      <c r="Y82" s="74">
        <f t="shared" si="180"/>
        <v>0</v>
      </c>
      <c r="Z82" s="74">
        <f t="shared" si="180"/>
        <v>0</v>
      </c>
      <c r="AA82" s="74">
        <f t="shared" si="180"/>
        <v>0</v>
      </c>
      <c r="AB82" s="74">
        <f t="shared" si="180"/>
        <v>0</v>
      </c>
      <c r="AC82" s="74">
        <f t="shared" si="180"/>
        <v>0</v>
      </c>
      <c r="AD82" s="74">
        <f t="shared" si="180"/>
        <v>0</v>
      </c>
      <c r="AE82" s="74">
        <f t="shared" si="180"/>
        <v>0</v>
      </c>
      <c r="AF82" s="74">
        <f t="shared" si="180"/>
        <v>0</v>
      </c>
      <c r="AG82" s="74">
        <f t="shared" si="180"/>
        <v>0</v>
      </c>
      <c r="AH82" s="74">
        <f t="shared" si="180"/>
        <v>0</v>
      </c>
      <c r="AI82" s="74">
        <f t="shared" si="180"/>
        <v>0</v>
      </c>
      <c r="AJ82" s="74">
        <f t="shared" si="180"/>
        <v>0</v>
      </c>
      <c r="AK82" s="74">
        <f t="shared" si="180"/>
        <v>0</v>
      </c>
      <c r="AL82" s="74">
        <f t="shared" si="180"/>
        <v>0</v>
      </c>
      <c r="AM82" s="74">
        <f t="shared" si="180"/>
        <v>0</v>
      </c>
      <c r="AN82" s="74">
        <f t="shared" si="180"/>
        <v>0</v>
      </c>
      <c r="AO82" s="74">
        <f t="shared" si="180"/>
        <v>0</v>
      </c>
      <c r="AP82" s="74">
        <f t="shared" si="180"/>
        <v>0</v>
      </c>
      <c r="AQ82" s="74">
        <f t="shared" si="180"/>
        <v>0</v>
      </c>
      <c r="AR82" s="74">
        <f t="shared" si="180"/>
        <v>0</v>
      </c>
      <c r="AS82" s="74">
        <f t="shared" si="180"/>
        <v>0</v>
      </c>
      <c r="AT82" s="74">
        <f t="shared" si="180"/>
        <v>0</v>
      </c>
      <c r="AU82" s="74">
        <f t="shared" si="180"/>
        <v>0</v>
      </c>
      <c r="AV82" s="74">
        <f t="shared" si="180"/>
        <v>0</v>
      </c>
      <c r="AW82" s="74">
        <f t="shared" si="180"/>
        <v>0</v>
      </c>
      <c r="AX82" s="74">
        <f t="shared" si="180"/>
        <v>0</v>
      </c>
      <c r="AY82" s="74">
        <f t="shared" si="180"/>
        <v>0</v>
      </c>
      <c r="AZ82" s="74">
        <f t="shared" si="180"/>
        <v>0</v>
      </c>
      <c r="BA82" s="75">
        <f t="shared" si="180"/>
        <v>0</v>
      </c>
      <c r="BB82" s="75">
        <f t="shared" si="180"/>
        <v>0</v>
      </c>
      <c r="BC82" s="75">
        <f t="shared" si="180"/>
        <v>0</v>
      </c>
      <c r="BD82" s="75">
        <f t="shared" si="180"/>
        <v>0</v>
      </c>
      <c r="BE82" s="75">
        <f t="shared" si="180"/>
        <v>0</v>
      </c>
      <c r="BF82" s="75">
        <f t="shared" si="180"/>
        <v>0</v>
      </c>
      <c r="BG82" s="75">
        <f t="shared" si="180"/>
        <v>0</v>
      </c>
      <c r="BH82" s="75">
        <f t="shared" si="180"/>
        <v>0</v>
      </c>
      <c r="BI82" s="75">
        <f t="shared" si="180"/>
        <v>0</v>
      </c>
      <c r="BJ82" s="75">
        <f t="shared" si="180"/>
        <v>0</v>
      </c>
      <c r="BK82" s="75">
        <f t="shared" si="180"/>
        <v>0</v>
      </c>
      <c r="BL82" s="75">
        <f t="shared" si="180"/>
        <v>0</v>
      </c>
      <c r="BM82" s="76">
        <f t="shared" si="180"/>
        <v>0</v>
      </c>
      <c r="BN82" s="549">
        <f t="shared" si="180"/>
        <v>12128389</v>
      </c>
      <c r="BO82" s="74">
        <f t="shared" si="180"/>
        <v>8963731</v>
      </c>
      <c r="BP82" s="74">
        <f t="shared" si="180"/>
        <v>7558185</v>
      </c>
      <c r="BQ82" s="74">
        <f t="shared" si="180"/>
        <v>1405546</v>
      </c>
      <c r="BR82" s="74">
        <f t="shared" si="180"/>
        <v>0</v>
      </c>
      <c r="BS82" s="74">
        <f t="shared" si="180"/>
        <v>0</v>
      </c>
      <c r="BT82" s="74">
        <f t="shared" si="180"/>
        <v>0</v>
      </c>
      <c r="BU82" s="74">
        <f t="shared" si="180"/>
        <v>3029741</v>
      </c>
      <c r="BV82" s="74">
        <f t="shared" ref="BV82:CF82" si="181">SUM(BV80:BV81)</f>
        <v>89637</v>
      </c>
      <c r="BW82" s="74">
        <f t="shared" si="181"/>
        <v>45280</v>
      </c>
      <c r="BX82" s="75">
        <f t="shared" si="181"/>
        <v>17.248699999999999</v>
      </c>
      <c r="BY82" s="75">
        <f t="shared" si="181"/>
        <v>12.741899999999999</v>
      </c>
      <c r="BZ82" s="753">
        <f t="shared" si="181"/>
        <v>4.5068000000000001</v>
      </c>
      <c r="CA82" s="796">
        <f t="shared" si="181"/>
        <v>0</v>
      </c>
      <c r="CB82" s="789">
        <f t="shared" si="181"/>
        <v>0</v>
      </c>
      <c r="CC82" s="789">
        <f t="shared" si="181"/>
        <v>0</v>
      </c>
      <c r="CD82" s="789">
        <f t="shared" si="181"/>
        <v>0</v>
      </c>
      <c r="CE82" s="789">
        <f t="shared" si="181"/>
        <v>0</v>
      </c>
      <c r="CF82" s="793">
        <f t="shared" si="181"/>
        <v>0</v>
      </c>
    </row>
    <row r="83" spans="1:84" ht="14.1" customHeight="1" x14ac:dyDescent="0.2">
      <c r="A83" s="66">
        <v>20</v>
      </c>
      <c r="B83" s="63">
        <v>2419</v>
      </c>
      <c r="C83" s="64">
        <v>600079171</v>
      </c>
      <c r="D83" s="63">
        <v>72742500</v>
      </c>
      <c r="E83" s="65" t="s">
        <v>573</v>
      </c>
      <c r="F83" s="66">
        <v>3111</v>
      </c>
      <c r="G83" s="65" t="s">
        <v>291</v>
      </c>
      <c r="H83" s="67" t="s">
        <v>271</v>
      </c>
      <c r="I83" s="423">
        <f t="shared" si="159"/>
        <v>5488954</v>
      </c>
      <c r="J83" s="418">
        <f t="shared" si="160"/>
        <v>4058257</v>
      </c>
      <c r="K83" s="418">
        <v>3705596</v>
      </c>
      <c r="L83" s="418">
        <v>352661</v>
      </c>
      <c r="M83" s="418">
        <f>N83+O83</f>
        <v>0</v>
      </c>
      <c r="N83" s="418">
        <v>0</v>
      </c>
      <c r="O83" s="418">
        <v>0</v>
      </c>
      <c r="P83" s="668">
        <f t="shared" si="162"/>
        <v>1371691</v>
      </c>
      <c r="Q83" s="668">
        <f t="shared" si="163"/>
        <v>40583</v>
      </c>
      <c r="R83" s="418">
        <v>18423</v>
      </c>
      <c r="S83" s="419">
        <f t="shared" si="164"/>
        <v>7.4420000000000002</v>
      </c>
      <c r="T83" s="419">
        <v>6.2419000000000002</v>
      </c>
      <c r="U83" s="426">
        <v>1.2000999999999999</v>
      </c>
      <c r="V83" s="428">
        <f t="shared" si="165"/>
        <v>0</v>
      </c>
      <c r="W83" s="421">
        <f t="shared" si="166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167"/>
        <v>0</v>
      </c>
      <c r="AG83" s="421">
        <f t="shared" si="168"/>
        <v>0</v>
      </c>
      <c r="AH83" s="421">
        <f t="shared" si="169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170"/>
        <v>0</v>
      </c>
      <c r="AP83" s="421">
        <f t="shared" si="171"/>
        <v>0</v>
      </c>
      <c r="AQ83" s="421">
        <f t="shared" si="172"/>
        <v>0</v>
      </c>
      <c r="AR83" s="421">
        <f t="shared" ref="AR83:AS85" si="182">AF83+AO83</f>
        <v>0</v>
      </c>
      <c r="AS83" s="421">
        <f t="shared" si="182"/>
        <v>0</v>
      </c>
      <c r="AT83" s="421">
        <f t="shared" si="173"/>
        <v>0</v>
      </c>
      <c r="AU83" s="68">
        <f t="shared" ref="AU83:AU85" si="183">ROUND((AH83+AI83+AJ83+AK83+AL83)*33.8%,0)</f>
        <v>0</v>
      </c>
      <c r="AV83" s="68">
        <f>ROUND(AH83*1%,0)</f>
        <v>0</v>
      </c>
      <c r="AW83" s="421">
        <v>0</v>
      </c>
      <c r="AX83" s="421">
        <v>0</v>
      </c>
      <c r="AY83" s="421">
        <f t="shared" si="174"/>
        <v>0</v>
      </c>
      <c r="AZ83" s="421">
        <f t="shared" si="175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>BA83+BC83+BD83+BF83+BH83+BI83</f>
        <v>0</v>
      </c>
      <c r="BL83" s="422">
        <f>BB83+BE83+BG83+BJ83</f>
        <v>0</v>
      </c>
      <c r="BM83" s="424">
        <f t="shared" si="176"/>
        <v>0</v>
      </c>
      <c r="BN83" s="427">
        <f>I83+AZ83</f>
        <v>5488954</v>
      </c>
      <c r="BO83" s="421">
        <f>J83+AH83</f>
        <v>4058257</v>
      </c>
      <c r="BP83" s="421">
        <f t="shared" ref="BP83:BQ85" si="184">K83+AF83</f>
        <v>3705596</v>
      </c>
      <c r="BQ83" s="421">
        <f t="shared" si="184"/>
        <v>352661</v>
      </c>
      <c r="BR83" s="421">
        <f>M83+AQ83</f>
        <v>0</v>
      </c>
      <c r="BS83" s="421">
        <f t="shared" ref="BS83:BT85" si="185">N83+AO83</f>
        <v>0</v>
      </c>
      <c r="BT83" s="421">
        <f t="shared" si="185"/>
        <v>0</v>
      </c>
      <c r="BU83" s="421">
        <f t="shared" ref="BU83:BV85" si="186">P83+AU83</f>
        <v>1371691</v>
      </c>
      <c r="BV83" s="421">
        <f t="shared" si="186"/>
        <v>40583</v>
      </c>
      <c r="BW83" s="421">
        <f>R83+AY83</f>
        <v>18423</v>
      </c>
      <c r="BX83" s="422">
        <f>S83+BM83</f>
        <v>7.4420000000000002</v>
      </c>
      <c r="BY83" s="422">
        <f t="shared" ref="BY83:BZ85" si="187">T83+BK83</f>
        <v>6.2419000000000002</v>
      </c>
      <c r="BZ83" s="611">
        <f t="shared" si="187"/>
        <v>1.2000999999999999</v>
      </c>
      <c r="CA83" s="423"/>
      <c r="CB83" s="418"/>
      <c r="CC83" s="418"/>
      <c r="CD83" s="418"/>
      <c r="CE83" s="418"/>
      <c r="CF83" s="527"/>
    </row>
    <row r="84" spans="1:84" ht="14.1" customHeight="1" x14ac:dyDescent="0.2">
      <c r="A84" s="66">
        <v>20</v>
      </c>
      <c r="B84" s="63">
        <v>2419</v>
      </c>
      <c r="C84" s="64">
        <v>600079171</v>
      </c>
      <c r="D84" s="63">
        <v>72742500</v>
      </c>
      <c r="E84" s="65" t="s">
        <v>573</v>
      </c>
      <c r="F84" s="66">
        <v>3111</v>
      </c>
      <c r="G84" s="43" t="s">
        <v>292</v>
      </c>
      <c r="H84" s="67" t="s">
        <v>272</v>
      </c>
      <c r="I84" s="423">
        <f t="shared" si="159"/>
        <v>0</v>
      </c>
      <c r="J84" s="418">
        <f t="shared" si="160"/>
        <v>0</v>
      </c>
      <c r="K84" s="418">
        <v>0</v>
      </c>
      <c r="L84" s="418">
        <v>0</v>
      </c>
      <c r="M84" s="418">
        <f t="shared" si="161"/>
        <v>0</v>
      </c>
      <c r="N84" s="418">
        <v>0</v>
      </c>
      <c r="O84" s="418">
        <v>0</v>
      </c>
      <c r="P84" s="668">
        <f t="shared" si="162"/>
        <v>0</v>
      </c>
      <c r="Q84" s="668">
        <f t="shared" si="163"/>
        <v>0</v>
      </c>
      <c r="R84" s="418">
        <v>0</v>
      </c>
      <c r="S84" s="419">
        <f t="shared" si="164"/>
        <v>0</v>
      </c>
      <c r="T84" s="420">
        <v>0</v>
      </c>
      <c r="U84" s="426">
        <v>0</v>
      </c>
      <c r="V84" s="428">
        <f t="shared" si="165"/>
        <v>0</v>
      </c>
      <c r="W84" s="421">
        <f t="shared" si="166"/>
        <v>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 t="shared" si="167"/>
        <v>0</v>
      </c>
      <c r="AG84" s="421">
        <f t="shared" si="168"/>
        <v>0</v>
      </c>
      <c r="AH84" s="421">
        <f t="shared" si="169"/>
        <v>0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si="170"/>
        <v>0</v>
      </c>
      <c r="AP84" s="421">
        <f t="shared" si="171"/>
        <v>0</v>
      </c>
      <c r="AQ84" s="421">
        <f t="shared" si="172"/>
        <v>0</v>
      </c>
      <c r="AR84" s="421">
        <f t="shared" si="182"/>
        <v>0</v>
      </c>
      <c r="AS84" s="421">
        <f t="shared" si="182"/>
        <v>0</v>
      </c>
      <c r="AT84" s="421">
        <f t="shared" si="173"/>
        <v>0</v>
      </c>
      <c r="AU84" s="68">
        <f t="shared" si="183"/>
        <v>0</v>
      </c>
      <c r="AV84" s="68">
        <f>ROUND(AH84*1%,0)</f>
        <v>0</v>
      </c>
      <c r="AW84" s="421">
        <v>0</v>
      </c>
      <c r="AX84" s="421">
        <v>0</v>
      </c>
      <c r="AY84" s="421">
        <f t="shared" si="174"/>
        <v>0</v>
      </c>
      <c r="AZ84" s="421">
        <f t="shared" si="175"/>
        <v>0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>BA84+BC84+BD84+BF84+BH84+BI84</f>
        <v>0</v>
      </c>
      <c r="BL84" s="422">
        <f>BB84+BE84+BG84+BJ84</f>
        <v>0</v>
      </c>
      <c r="BM84" s="424">
        <f t="shared" si="176"/>
        <v>0</v>
      </c>
      <c r="BN84" s="427">
        <f>I84+AZ84</f>
        <v>0</v>
      </c>
      <c r="BO84" s="421">
        <f>J84+AH84</f>
        <v>0</v>
      </c>
      <c r="BP84" s="421">
        <f t="shared" si="184"/>
        <v>0</v>
      </c>
      <c r="BQ84" s="421">
        <f t="shared" si="184"/>
        <v>0</v>
      </c>
      <c r="BR84" s="421">
        <f>M84+AQ84</f>
        <v>0</v>
      </c>
      <c r="BS84" s="421">
        <f t="shared" si="185"/>
        <v>0</v>
      </c>
      <c r="BT84" s="421">
        <f t="shared" si="185"/>
        <v>0</v>
      </c>
      <c r="BU84" s="421">
        <f t="shared" si="186"/>
        <v>0</v>
      </c>
      <c r="BV84" s="421">
        <f t="shared" si="186"/>
        <v>0</v>
      </c>
      <c r="BW84" s="421">
        <f>R84+AY84</f>
        <v>0</v>
      </c>
      <c r="BX84" s="422">
        <f>S84+BM84</f>
        <v>0</v>
      </c>
      <c r="BY84" s="422">
        <f t="shared" si="187"/>
        <v>0</v>
      </c>
      <c r="BZ84" s="611">
        <f t="shared" si="187"/>
        <v>0</v>
      </c>
      <c r="CA84" s="423"/>
      <c r="CB84" s="418"/>
      <c r="CC84" s="418"/>
      <c r="CD84" s="418"/>
      <c r="CE84" s="418"/>
      <c r="CF84" s="527"/>
    </row>
    <row r="85" spans="1:84" ht="14.1" customHeight="1" x14ac:dyDescent="0.2">
      <c r="A85" s="66">
        <v>20</v>
      </c>
      <c r="B85" s="63">
        <v>2419</v>
      </c>
      <c r="C85" s="64">
        <v>600079171</v>
      </c>
      <c r="D85" s="63">
        <v>72742500</v>
      </c>
      <c r="E85" s="65" t="s">
        <v>573</v>
      </c>
      <c r="F85" s="66">
        <v>3141</v>
      </c>
      <c r="G85" s="65" t="s">
        <v>295</v>
      </c>
      <c r="H85" s="67" t="s">
        <v>272</v>
      </c>
      <c r="I85" s="423">
        <f t="shared" si="159"/>
        <v>577815</v>
      </c>
      <c r="J85" s="418">
        <f t="shared" si="160"/>
        <v>426854</v>
      </c>
      <c r="K85" s="418">
        <v>0</v>
      </c>
      <c r="L85" s="924">
        <v>426854</v>
      </c>
      <c r="M85" s="418">
        <f>N85+O85</f>
        <v>0</v>
      </c>
      <c r="N85" s="205">
        <v>0</v>
      </c>
      <c r="O85" s="205">
        <v>0</v>
      </c>
      <c r="P85" s="668">
        <f t="shared" si="162"/>
        <v>144277</v>
      </c>
      <c r="Q85" s="668">
        <f t="shared" si="163"/>
        <v>4269</v>
      </c>
      <c r="R85" s="674">
        <v>2415</v>
      </c>
      <c r="S85" s="419">
        <f>T85+U85</f>
        <v>1.28</v>
      </c>
      <c r="T85" s="676">
        <v>0</v>
      </c>
      <c r="U85" s="909">
        <v>1.28</v>
      </c>
      <c r="V85" s="428">
        <f t="shared" si="165"/>
        <v>0</v>
      </c>
      <c r="W85" s="421">
        <f t="shared" si="166"/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 t="shared" si="167"/>
        <v>0</v>
      </c>
      <c r="AG85" s="421">
        <f t="shared" si="168"/>
        <v>0</v>
      </c>
      <c r="AH85" s="421">
        <f t="shared" si="169"/>
        <v>0</v>
      </c>
      <c r="AI85" s="421">
        <v>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si="170"/>
        <v>0</v>
      </c>
      <c r="AP85" s="421">
        <f t="shared" si="171"/>
        <v>0</v>
      </c>
      <c r="AQ85" s="421">
        <f t="shared" si="172"/>
        <v>0</v>
      </c>
      <c r="AR85" s="421">
        <f t="shared" si="182"/>
        <v>0</v>
      </c>
      <c r="AS85" s="421">
        <f t="shared" si="182"/>
        <v>0</v>
      </c>
      <c r="AT85" s="421">
        <f t="shared" si="173"/>
        <v>0</v>
      </c>
      <c r="AU85" s="68">
        <f t="shared" si="183"/>
        <v>0</v>
      </c>
      <c r="AV85" s="68">
        <f>ROUND(AH85*1%,0)</f>
        <v>0</v>
      </c>
      <c r="AW85" s="421">
        <v>0</v>
      </c>
      <c r="AX85" s="421">
        <v>0</v>
      </c>
      <c r="AY85" s="421">
        <f t="shared" si="174"/>
        <v>0</v>
      </c>
      <c r="AZ85" s="421">
        <f t="shared" si="175"/>
        <v>0</v>
      </c>
      <c r="BA85" s="422">
        <v>0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>BA85+BC85+BD85+BF85+BH85+BI85</f>
        <v>0</v>
      </c>
      <c r="BL85" s="422">
        <f>BB85+BE85+BG85+BJ85</f>
        <v>0</v>
      </c>
      <c r="BM85" s="424">
        <f t="shared" si="176"/>
        <v>0</v>
      </c>
      <c r="BN85" s="427">
        <f>I85+AZ85</f>
        <v>577815</v>
      </c>
      <c r="BO85" s="421">
        <f>J85+AH85</f>
        <v>426854</v>
      </c>
      <c r="BP85" s="421">
        <f t="shared" si="184"/>
        <v>0</v>
      </c>
      <c r="BQ85" s="421">
        <f t="shared" si="184"/>
        <v>426854</v>
      </c>
      <c r="BR85" s="421">
        <f>M85+AQ85</f>
        <v>0</v>
      </c>
      <c r="BS85" s="421">
        <f t="shared" si="185"/>
        <v>0</v>
      </c>
      <c r="BT85" s="421">
        <f t="shared" si="185"/>
        <v>0</v>
      </c>
      <c r="BU85" s="421">
        <f t="shared" si="186"/>
        <v>144277</v>
      </c>
      <c r="BV85" s="421">
        <f t="shared" si="186"/>
        <v>4269</v>
      </c>
      <c r="BW85" s="421">
        <f>R85+AY85</f>
        <v>2415</v>
      </c>
      <c r="BX85" s="422">
        <f>S85+BM85</f>
        <v>1.28</v>
      </c>
      <c r="BY85" s="422">
        <f t="shared" si="187"/>
        <v>0</v>
      </c>
      <c r="BZ85" s="611">
        <f t="shared" si="187"/>
        <v>1.28</v>
      </c>
      <c r="CA85" s="423"/>
      <c r="CB85" s="418"/>
      <c r="CC85" s="418"/>
      <c r="CD85" s="418"/>
      <c r="CE85" s="418"/>
      <c r="CF85" s="527"/>
    </row>
    <row r="86" spans="1:84" ht="14.1" customHeight="1" x14ac:dyDescent="0.2">
      <c r="A86" s="72">
        <v>20</v>
      </c>
      <c r="B86" s="69">
        <v>2419</v>
      </c>
      <c r="C86" s="70">
        <v>600079171</v>
      </c>
      <c r="D86" s="69">
        <v>72742500</v>
      </c>
      <c r="E86" s="71" t="s">
        <v>574</v>
      </c>
      <c r="F86" s="72"/>
      <c r="G86" s="71"/>
      <c r="H86" s="73"/>
      <c r="I86" s="538">
        <f t="shared" ref="I86:BU86" si="188">SUM(I83:I85)</f>
        <v>6066769</v>
      </c>
      <c r="J86" s="74">
        <f t="shared" si="188"/>
        <v>4485111</v>
      </c>
      <c r="K86" s="74">
        <f t="shared" si="188"/>
        <v>3705596</v>
      </c>
      <c r="L86" s="74">
        <f t="shared" si="188"/>
        <v>779515</v>
      </c>
      <c r="M86" s="74">
        <f t="shared" si="188"/>
        <v>0</v>
      </c>
      <c r="N86" s="74">
        <f t="shared" si="188"/>
        <v>0</v>
      </c>
      <c r="O86" s="74">
        <f t="shared" si="188"/>
        <v>0</v>
      </c>
      <c r="P86" s="74">
        <f t="shared" si="188"/>
        <v>1515968</v>
      </c>
      <c r="Q86" s="74">
        <f t="shared" si="188"/>
        <v>44852</v>
      </c>
      <c r="R86" s="74">
        <f t="shared" si="188"/>
        <v>20838</v>
      </c>
      <c r="S86" s="75">
        <f t="shared" si="188"/>
        <v>8.7219999999999995</v>
      </c>
      <c r="T86" s="75">
        <f t="shared" si="188"/>
        <v>6.2419000000000002</v>
      </c>
      <c r="U86" s="753">
        <f t="shared" si="188"/>
        <v>2.4801000000000002</v>
      </c>
      <c r="V86" s="538">
        <f t="shared" si="188"/>
        <v>0</v>
      </c>
      <c r="W86" s="74">
        <f t="shared" si="188"/>
        <v>0</v>
      </c>
      <c r="X86" s="74">
        <f t="shared" si="188"/>
        <v>0</v>
      </c>
      <c r="Y86" s="74">
        <f t="shared" si="188"/>
        <v>0</v>
      </c>
      <c r="Z86" s="74">
        <f t="shared" si="188"/>
        <v>0</v>
      </c>
      <c r="AA86" s="74">
        <f t="shared" si="188"/>
        <v>0</v>
      </c>
      <c r="AB86" s="74">
        <f t="shared" si="188"/>
        <v>0</v>
      </c>
      <c r="AC86" s="74">
        <f t="shared" si="188"/>
        <v>0</v>
      </c>
      <c r="AD86" s="74">
        <f t="shared" si="188"/>
        <v>0</v>
      </c>
      <c r="AE86" s="74">
        <f t="shared" si="188"/>
        <v>0</v>
      </c>
      <c r="AF86" s="74">
        <f t="shared" si="188"/>
        <v>0</v>
      </c>
      <c r="AG86" s="74">
        <f t="shared" si="188"/>
        <v>0</v>
      </c>
      <c r="AH86" s="74">
        <f t="shared" si="188"/>
        <v>0</v>
      </c>
      <c r="AI86" s="74">
        <f t="shared" si="188"/>
        <v>0</v>
      </c>
      <c r="AJ86" s="74">
        <f t="shared" si="188"/>
        <v>0</v>
      </c>
      <c r="AK86" s="74">
        <f t="shared" si="188"/>
        <v>0</v>
      </c>
      <c r="AL86" s="74">
        <f t="shared" si="188"/>
        <v>0</v>
      </c>
      <c r="AM86" s="74">
        <f t="shared" si="188"/>
        <v>0</v>
      </c>
      <c r="AN86" s="74">
        <f t="shared" si="188"/>
        <v>0</v>
      </c>
      <c r="AO86" s="74">
        <f t="shared" si="188"/>
        <v>0</v>
      </c>
      <c r="AP86" s="74">
        <f t="shared" si="188"/>
        <v>0</v>
      </c>
      <c r="AQ86" s="74">
        <f t="shared" si="188"/>
        <v>0</v>
      </c>
      <c r="AR86" s="74">
        <f t="shared" si="188"/>
        <v>0</v>
      </c>
      <c r="AS86" s="74">
        <f t="shared" si="188"/>
        <v>0</v>
      </c>
      <c r="AT86" s="74">
        <f t="shared" si="188"/>
        <v>0</v>
      </c>
      <c r="AU86" s="74">
        <f t="shared" si="188"/>
        <v>0</v>
      </c>
      <c r="AV86" s="74">
        <f t="shared" si="188"/>
        <v>0</v>
      </c>
      <c r="AW86" s="74">
        <f t="shared" si="188"/>
        <v>0</v>
      </c>
      <c r="AX86" s="74">
        <f t="shared" si="188"/>
        <v>0</v>
      </c>
      <c r="AY86" s="74">
        <f t="shared" si="188"/>
        <v>0</v>
      </c>
      <c r="AZ86" s="74">
        <f t="shared" si="188"/>
        <v>0</v>
      </c>
      <c r="BA86" s="75">
        <f t="shared" si="188"/>
        <v>0</v>
      </c>
      <c r="BB86" s="75">
        <f t="shared" si="188"/>
        <v>0</v>
      </c>
      <c r="BC86" s="75">
        <f t="shared" si="188"/>
        <v>0</v>
      </c>
      <c r="BD86" s="75">
        <f t="shared" si="188"/>
        <v>0</v>
      </c>
      <c r="BE86" s="75">
        <f t="shared" si="188"/>
        <v>0</v>
      </c>
      <c r="BF86" s="75">
        <f t="shared" si="188"/>
        <v>0</v>
      </c>
      <c r="BG86" s="75">
        <f t="shared" si="188"/>
        <v>0</v>
      </c>
      <c r="BH86" s="75">
        <f t="shared" si="188"/>
        <v>0</v>
      </c>
      <c r="BI86" s="75">
        <f t="shared" si="188"/>
        <v>0</v>
      </c>
      <c r="BJ86" s="75">
        <f t="shared" si="188"/>
        <v>0</v>
      </c>
      <c r="BK86" s="75">
        <f t="shared" si="188"/>
        <v>0</v>
      </c>
      <c r="BL86" s="75">
        <f t="shared" si="188"/>
        <v>0</v>
      </c>
      <c r="BM86" s="76">
        <f t="shared" si="188"/>
        <v>0</v>
      </c>
      <c r="BN86" s="549">
        <f t="shared" si="188"/>
        <v>6066769</v>
      </c>
      <c r="BO86" s="74">
        <f t="shared" si="188"/>
        <v>4485111</v>
      </c>
      <c r="BP86" s="74">
        <f t="shared" si="188"/>
        <v>3705596</v>
      </c>
      <c r="BQ86" s="74">
        <f t="shared" si="188"/>
        <v>779515</v>
      </c>
      <c r="BR86" s="74">
        <f t="shared" si="188"/>
        <v>0</v>
      </c>
      <c r="BS86" s="74">
        <f t="shared" si="188"/>
        <v>0</v>
      </c>
      <c r="BT86" s="74">
        <f t="shared" si="188"/>
        <v>0</v>
      </c>
      <c r="BU86" s="74">
        <f t="shared" si="188"/>
        <v>1515968</v>
      </c>
      <c r="BV86" s="74">
        <f t="shared" ref="BV86:CF86" si="189">SUM(BV83:BV85)</f>
        <v>44852</v>
      </c>
      <c r="BW86" s="74">
        <f t="shared" si="189"/>
        <v>20838</v>
      </c>
      <c r="BX86" s="75">
        <f t="shared" si="189"/>
        <v>8.7219999999999995</v>
      </c>
      <c r="BY86" s="75">
        <f t="shared" si="189"/>
        <v>6.2419000000000002</v>
      </c>
      <c r="BZ86" s="753">
        <f t="shared" si="189"/>
        <v>2.4801000000000002</v>
      </c>
      <c r="CA86" s="796">
        <f t="shared" si="189"/>
        <v>0</v>
      </c>
      <c r="CB86" s="789">
        <f t="shared" si="189"/>
        <v>0</v>
      </c>
      <c r="CC86" s="789">
        <f t="shared" si="189"/>
        <v>0</v>
      </c>
      <c r="CD86" s="789">
        <f t="shared" si="189"/>
        <v>0</v>
      </c>
      <c r="CE86" s="789">
        <f t="shared" si="189"/>
        <v>0</v>
      </c>
      <c r="CF86" s="793">
        <f t="shared" si="189"/>
        <v>0</v>
      </c>
    </row>
    <row r="87" spans="1:84" ht="14.1" customHeight="1" x14ac:dyDescent="0.2">
      <c r="A87" s="66">
        <v>21</v>
      </c>
      <c r="B87" s="63">
        <v>2430</v>
      </c>
      <c r="C87" s="64">
        <v>600079180</v>
      </c>
      <c r="D87" s="63">
        <v>46747532</v>
      </c>
      <c r="E87" s="65" t="s">
        <v>575</v>
      </c>
      <c r="F87" s="66">
        <v>3111</v>
      </c>
      <c r="G87" s="65" t="s">
        <v>291</v>
      </c>
      <c r="H87" s="67" t="s">
        <v>271</v>
      </c>
      <c r="I87" s="423">
        <f t="shared" si="159"/>
        <v>5422563</v>
      </c>
      <c r="J87" s="418">
        <f t="shared" si="160"/>
        <v>4009798</v>
      </c>
      <c r="K87" s="418">
        <v>3657137</v>
      </c>
      <c r="L87" s="418">
        <v>352661</v>
      </c>
      <c r="M87" s="418">
        <f>N87+O87</f>
        <v>0</v>
      </c>
      <c r="N87" s="418">
        <v>0</v>
      </c>
      <c r="O87" s="418">
        <v>0</v>
      </c>
      <c r="P87" s="668">
        <f t="shared" si="162"/>
        <v>1355312</v>
      </c>
      <c r="Q87" s="668">
        <f t="shared" si="163"/>
        <v>40098</v>
      </c>
      <c r="R87" s="418">
        <v>17355</v>
      </c>
      <c r="S87" s="419">
        <f t="shared" si="164"/>
        <v>7.2000999999999999</v>
      </c>
      <c r="T87" s="419">
        <v>6</v>
      </c>
      <c r="U87" s="426">
        <v>1.2000999999999999</v>
      </c>
      <c r="V87" s="428">
        <f t="shared" si="165"/>
        <v>0</v>
      </c>
      <c r="W87" s="421">
        <f t="shared" si="166"/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 t="shared" si="167"/>
        <v>0</v>
      </c>
      <c r="AG87" s="421">
        <f t="shared" si="168"/>
        <v>0</v>
      </c>
      <c r="AH87" s="421">
        <f t="shared" si="169"/>
        <v>0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170"/>
        <v>0</v>
      </c>
      <c r="AP87" s="421">
        <f t="shared" si="171"/>
        <v>0</v>
      </c>
      <c r="AQ87" s="421">
        <f t="shared" si="172"/>
        <v>0</v>
      </c>
      <c r="AR87" s="421">
        <f t="shared" ref="AR87:AS89" si="190">AF87+AO87</f>
        <v>0</v>
      </c>
      <c r="AS87" s="421">
        <f t="shared" si="190"/>
        <v>0</v>
      </c>
      <c r="AT87" s="421">
        <f t="shared" si="173"/>
        <v>0</v>
      </c>
      <c r="AU87" s="68">
        <f t="shared" ref="AU87:AU89" si="191">ROUND((AH87+AI87+AJ87+AK87+AL87)*33.8%,0)</f>
        <v>0</v>
      </c>
      <c r="AV87" s="68">
        <f>ROUND(AH87*1%,0)</f>
        <v>0</v>
      </c>
      <c r="AW87" s="421">
        <v>0</v>
      </c>
      <c r="AX87" s="421">
        <v>0</v>
      </c>
      <c r="AY87" s="421">
        <f t="shared" si="174"/>
        <v>0</v>
      </c>
      <c r="AZ87" s="421">
        <f t="shared" si="175"/>
        <v>0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>BA87+BC87+BD87+BF87+BH87+BI87</f>
        <v>0</v>
      </c>
      <c r="BL87" s="422">
        <f>BB87+BE87+BG87+BJ87</f>
        <v>0</v>
      </c>
      <c r="BM87" s="424">
        <f t="shared" si="176"/>
        <v>0</v>
      </c>
      <c r="BN87" s="427">
        <f>I87+AZ87</f>
        <v>5422563</v>
      </c>
      <c r="BO87" s="421">
        <f>J87+AH87</f>
        <v>4009798</v>
      </c>
      <c r="BP87" s="421">
        <f t="shared" ref="BP87:BQ89" si="192">K87+AF87</f>
        <v>3657137</v>
      </c>
      <c r="BQ87" s="421">
        <f t="shared" si="192"/>
        <v>352661</v>
      </c>
      <c r="BR87" s="421">
        <f>M87+AQ87</f>
        <v>0</v>
      </c>
      <c r="BS87" s="421">
        <f t="shared" ref="BS87:BT89" si="193">N87+AO87</f>
        <v>0</v>
      </c>
      <c r="BT87" s="421">
        <f t="shared" si="193"/>
        <v>0</v>
      </c>
      <c r="BU87" s="421">
        <f t="shared" ref="BU87:BV89" si="194">P87+AU87</f>
        <v>1355312</v>
      </c>
      <c r="BV87" s="421">
        <f t="shared" si="194"/>
        <v>40098</v>
      </c>
      <c r="BW87" s="421">
        <f>R87+AY87</f>
        <v>17355</v>
      </c>
      <c r="BX87" s="422">
        <f>S87+BM87</f>
        <v>7.2000999999999999</v>
      </c>
      <c r="BY87" s="422">
        <f t="shared" ref="BY87:BZ89" si="195">T87+BK87</f>
        <v>6</v>
      </c>
      <c r="BZ87" s="611">
        <f t="shared" si="195"/>
        <v>1.2000999999999999</v>
      </c>
      <c r="CA87" s="423"/>
      <c r="CB87" s="418"/>
      <c r="CC87" s="418"/>
      <c r="CD87" s="418"/>
      <c r="CE87" s="418"/>
      <c r="CF87" s="527"/>
    </row>
    <row r="88" spans="1:84" ht="14.1" customHeight="1" x14ac:dyDescent="0.2">
      <c r="A88" s="66">
        <v>21</v>
      </c>
      <c r="B88" s="63">
        <v>2430</v>
      </c>
      <c r="C88" s="64">
        <v>600079180</v>
      </c>
      <c r="D88" s="63">
        <v>46747532</v>
      </c>
      <c r="E88" s="65" t="s">
        <v>575</v>
      </c>
      <c r="F88" s="66">
        <v>3111</v>
      </c>
      <c r="G88" s="77" t="s">
        <v>292</v>
      </c>
      <c r="H88" s="67" t="s">
        <v>272</v>
      </c>
      <c r="I88" s="423">
        <f t="shared" si="159"/>
        <v>0</v>
      </c>
      <c r="J88" s="418">
        <f t="shared" si="160"/>
        <v>0</v>
      </c>
      <c r="K88" s="418">
        <v>0</v>
      </c>
      <c r="L88" s="418">
        <v>0</v>
      </c>
      <c r="M88" s="418">
        <f t="shared" si="161"/>
        <v>0</v>
      </c>
      <c r="N88" s="418">
        <v>0</v>
      </c>
      <c r="O88" s="418">
        <v>0</v>
      </c>
      <c r="P88" s="668">
        <f t="shared" si="162"/>
        <v>0</v>
      </c>
      <c r="Q88" s="668">
        <f t="shared" si="163"/>
        <v>0</v>
      </c>
      <c r="R88" s="418">
        <v>0</v>
      </c>
      <c r="S88" s="419">
        <f t="shared" si="164"/>
        <v>0</v>
      </c>
      <c r="T88" s="420">
        <v>0</v>
      </c>
      <c r="U88" s="426">
        <v>0</v>
      </c>
      <c r="V88" s="428">
        <f t="shared" si="165"/>
        <v>0</v>
      </c>
      <c r="W88" s="421">
        <f t="shared" si="166"/>
        <v>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 t="shared" si="167"/>
        <v>0</v>
      </c>
      <c r="AG88" s="421">
        <f t="shared" si="168"/>
        <v>0</v>
      </c>
      <c r="AH88" s="421">
        <f t="shared" si="169"/>
        <v>0</v>
      </c>
      <c r="AI88" s="421">
        <v>0</v>
      </c>
      <c r="AJ88" s="421">
        <v>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170"/>
        <v>0</v>
      </c>
      <c r="AP88" s="421">
        <f t="shared" si="171"/>
        <v>0</v>
      </c>
      <c r="AQ88" s="421">
        <f t="shared" si="172"/>
        <v>0</v>
      </c>
      <c r="AR88" s="421">
        <f t="shared" si="190"/>
        <v>0</v>
      </c>
      <c r="AS88" s="421">
        <f t="shared" si="190"/>
        <v>0</v>
      </c>
      <c r="AT88" s="421">
        <f t="shared" si="173"/>
        <v>0</v>
      </c>
      <c r="AU88" s="68">
        <f t="shared" si="191"/>
        <v>0</v>
      </c>
      <c r="AV88" s="68">
        <f>ROUND(AH88*1%,0)</f>
        <v>0</v>
      </c>
      <c r="AW88" s="421">
        <v>0</v>
      </c>
      <c r="AX88" s="421">
        <v>0</v>
      </c>
      <c r="AY88" s="421">
        <f t="shared" si="174"/>
        <v>0</v>
      </c>
      <c r="AZ88" s="421">
        <f t="shared" si="175"/>
        <v>0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>BA88+BC88+BD88+BF88+BH88+BI88</f>
        <v>0</v>
      </c>
      <c r="BL88" s="422">
        <f>BB88+BE88+BG88+BJ88</f>
        <v>0</v>
      </c>
      <c r="BM88" s="424">
        <f t="shared" si="176"/>
        <v>0</v>
      </c>
      <c r="BN88" s="427">
        <f>I88+AZ88</f>
        <v>0</v>
      </c>
      <c r="BO88" s="421">
        <f>J88+AH88</f>
        <v>0</v>
      </c>
      <c r="BP88" s="421">
        <f t="shared" si="192"/>
        <v>0</v>
      </c>
      <c r="BQ88" s="421">
        <f t="shared" si="192"/>
        <v>0</v>
      </c>
      <c r="BR88" s="421">
        <f>M88+AQ88</f>
        <v>0</v>
      </c>
      <c r="BS88" s="421">
        <f t="shared" si="193"/>
        <v>0</v>
      </c>
      <c r="BT88" s="421">
        <f t="shared" si="193"/>
        <v>0</v>
      </c>
      <c r="BU88" s="421">
        <f t="shared" si="194"/>
        <v>0</v>
      </c>
      <c r="BV88" s="421">
        <f t="shared" si="194"/>
        <v>0</v>
      </c>
      <c r="BW88" s="421">
        <f>R88+AY88</f>
        <v>0</v>
      </c>
      <c r="BX88" s="422">
        <f>S88+BM88</f>
        <v>0</v>
      </c>
      <c r="BY88" s="422">
        <f t="shared" si="195"/>
        <v>0</v>
      </c>
      <c r="BZ88" s="611">
        <f t="shared" si="195"/>
        <v>0</v>
      </c>
      <c r="CA88" s="423"/>
      <c r="CB88" s="418"/>
      <c r="CC88" s="418"/>
      <c r="CD88" s="418"/>
      <c r="CE88" s="418"/>
      <c r="CF88" s="527"/>
    </row>
    <row r="89" spans="1:84" ht="14.1" customHeight="1" x14ac:dyDescent="0.2">
      <c r="A89" s="66">
        <v>21</v>
      </c>
      <c r="B89" s="63">
        <v>2430</v>
      </c>
      <c r="C89" s="64">
        <v>600079180</v>
      </c>
      <c r="D89" s="63">
        <v>46747532</v>
      </c>
      <c r="E89" s="65" t="s">
        <v>575</v>
      </c>
      <c r="F89" s="66">
        <v>3141</v>
      </c>
      <c r="G89" s="65" t="s">
        <v>295</v>
      </c>
      <c r="H89" s="67" t="s">
        <v>272</v>
      </c>
      <c r="I89" s="423">
        <f t="shared" si="159"/>
        <v>565742</v>
      </c>
      <c r="J89" s="418">
        <f t="shared" si="160"/>
        <v>417950</v>
      </c>
      <c r="K89" s="418">
        <v>0</v>
      </c>
      <c r="L89" s="924">
        <v>417950</v>
      </c>
      <c r="M89" s="418">
        <f>N89+O89</f>
        <v>0</v>
      </c>
      <c r="N89" s="205">
        <v>0</v>
      </c>
      <c r="O89" s="205">
        <v>0</v>
      </c>
      <c r="P89" s="668">
        <f t="shared" si="162"/>
        <v>141267</v>
      </c>
      <c r="Q89" s="668">
        <f t="shared" si="163"/>
        <v>4180</v>
      </c>
      <c r="R89" s="674">
        <v>2345</v>
      </c>
      <c r="S89" s="419">
        <f>T89+U89</f>
        <v>1.2533000000000001</v>
      </c>
      <c r="T89" s="676">
        <v>0</v>
      </c>
      <c r="U89" s="909">
        <v>1.2533000000000001</v>
      </c>
      <c r="V89" s="428">
        <f t="shared" si="165"/>
        <v>0</v>
      </c>
      <c r="W89" s="421">
        <f t="shared" si="166"/>
        <v>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 t="shared" si="167"/>
        <v>0</v>
      </c>
      <c r="AG89" s="421">
        <f t="shared" si="168"/>
        <v>0</v>
      </c>
      <c r="AH89" s="421">
        <f t="shared" si="169"/>
        <v>0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si="170"/>
        <v>0</v>
      </c>
      <c r="AP89" s="421">
        <f t="shared" si="171"/>
        <v>0</v>
      </c>
      <c r="AQ89" s="421">
        <f t="shared" si="172"/>
        <v>0</v>
      </c>
      <c r="AR89" s="421">
        <f t="shared" si="190"/>
        <v>0</v>
      </c>
      <c r="AS89" s="421">
        <f t="shared" si="190"/>
        <v>0</v>
      </c>
      <c r="AT89" s="421">
        <f t="shared" si="173"/>
        <v>0</v>
      </c>
      <c r="AU89" s="68">
        <f t="shared" si="191"/>
        <v>0</v>
      </c>
      <c r="AV89" s="68">
        <f>ROUND(AH89*1%,0)</f>
        <v>0</v>
      </c>
      <c r="AW89" s="421">
        <v>0</v>
      </c>
      <c r="AX89" s="421">
        <v>0</v>
      </c>
      <c r="AY89" s="421">
        <f t="shared" si="174"/>
        <v>0</v>
      </c>
      <c r="AZ89" s="421">
        <f t="shared" si="175"/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>BA89+BC89+BD89+BF89+BH89+BI89</f>
        <v>0</v>
      </c>
      <c r="BL89" s="422">
        <f>BB89+BE89+BG89+BJ89</f>
        <v>0</v>
      </c>
      <c r="BM89" s="424">
        <f t="shared" si="176"/>
        <v>0</v>
      </c>
      <c r="BN89" s="427">
        <f>I89+AZ89</f>
        <v>565742</v>
      </c>
      <c r="BO89" s="421">
        <f>J89+AH89</f>
        <v>417950</v>
      </c>
      <c r="BP89" s="421">
        <f t="shared" si="192"/>
        <v>0</v>
      </c>
      <c r="BQ89" s="421">
        <f t="shared" si="192"/>
        <v>417950</v>
      </c>
      <c r="BR89" s="421">
        <f>M89+AQ89</f>
        <v>0</v>
      </c>
      <c r="BS89" s="421">
        <f t="shared" si="193"/>
        <v>0</v>
      </c>
      <c r="BT89" s="421">
        <f t="shared" si="193"/>
        <v>0</v>
      </c>
      <c r="BU89" s="421">
        <f t="shared" si="194"/>
        <v>141267</v>
      </c>
      <c r="BV89" s="421">
        <f t="shared" si="194"/>
        <v>4180</v>
      </c>
      <c r="BW89" s="421">
        <f>R89+AY89</f>
        <v>2345</v>
      </c>
      <c r="BX89" s="422">
        <f>S89+BM89</f>
        <v>1.2533000000000001</v>
      </c>
      <c r="BY89" s="422">
        <f t="shared" si="195"/>
        <v>0</v>
      </c>
      <c r="BZ89" s="611">
        <f t="shared" si="195"/>
        <v>1.2533000000000001</v>
      </c>
      <c r="CA89" s="423"/>
      <c r="CB89" s="418"/>
      <c r="CC89" s="418"/>
      <c r="CD89" s="418"/>
      <c r="CE89" s="418"/>
      <c r="CF89" s="527"/>
    </row>
    <row r="90" spans="1:84" ht="13.5" customHeight="1" x14ac:dyDescent="0.2">
      <c r="A90" s="72">
        <v>21</v>
      </c>
      <c r="B90" s="69">
        <v>2430</v>
      </c>
      <c r="C90" s="70">
        <v>600079180</v>
      </c>
      <c r="D90" s="69">
        <v>46747532</v>
      </c>
      <c r="E90" s="71" t="s">
        <v>576</v>
      </c>
      <c r="F90" s="72"/>
      <c r="G90" s="71"/>
      <c r="H90" s="73"/>
      <c r="I90" s="538">
        <f t="shared" ref="I90:BU90" si="196">SUM(I87:I89)</f>
        <v>5988305</v>
      </c>
      <c r="J90" s="74">
        <f t="shared" si="196"/>
        <v>4427748</v>
      </c>
      <c r="K90" s="74">
        <f t="shared" si="196"/>
        <v>3657137</v>
      </c>
      <c r="L90" s="74">
        <f t="shared" si="196"/>
        <v>770611</v>
      </c>
      <c r="M90" s="74">
        <f t="shared" si="196"/>
        <v>0</v>
      </c>
      <c r="N90" s="74">
        <f t="shared" si="196"/>
        <v>0</v>
      </c>
      <c r="O90" s="74">
        <f t="shared" si="196"/>
        <v>0</v>
      </c>
      <c r="P90" s="74">
        <f t="shared" si="196"/>
        <v>1496579</v>
      </c>
      <c r="Q90" s="74">
        <f t="shared" si="196"/>
        <v>44278</v>
      </c>
      <c r="R90" s="74">
        <f t="shared" si="196"/>
        <v>19700</v>
      </c>
      <c r="S90" s="75">
        <f t="shared" si="196"/>
        <v>8.4534000000000002</v>
      </c>
      <c r="T90" s="75">
        <f t="shared" si="196"/>
        <v>6</v>
      </c>
      <c r="U90" s="753">
        <f t="shared" si="196"/>
        <v>2.4534000000000002</v>
      </c>
      <c r="V90" s="538">
        <f t="shared" si="196"/>
        <v>0</v>
      </c>
      <c r="W90" s="74">
        <f t="shared" si="196"/>
        <v>0</v>
      </c>
      <c r="X90" s="74">
        <f t="shared" si="196"/>
        <v>0</v>
      </c>
      <c r="Y90" s="74">
        <f t="shared" si="196"/>
        <v>0</v>
      </c>
      <c r="Z90" s="74">
        <f t="shared" si="196"/>
        <v>0</v>
      </c>
      <c r="AA90" s="74">
        <f t="shared" si="196"/>
        <v>0</v>
      </c>
      <c r="AB90" s="74">
        <f t="shared" si="196"/>
        <v>0</v>
      </c>
      <c r="AC90" s="74">
        <f t="shared" si="196"/>
        <v>0</v>
      </c>
      <c r="AD90" s="74">
        <f t="shared" si="196"/>
        <v>0</v>
      </c>
      <c r="AE90" s="74">
        <f t="shared" si="196"/>
        <v>0</v>
      </c>
      <c r="AF90" s="74">
        <f t="shared" si="196"/>
        <v>0</v>
      </c>
      <c r="AG90" s="74">
        <f t="shared" si="196"/>
        <v>0</v>
      </c>
      <c r="AH90" s="74">
        <f t="shared" si="196"/>
        <v>0</v>
      </c>
      <c r="AI90" s="74">
        <f t="shared" si="196"/>
        <v>0</v>
      </c>
      <c r="AJ90" s="74">
        <f t="shared" si="196"/>
        <v>0</v>
      </c>
      <c r="AK90" s="74">
        <f t="shared" si="196"/>
        <v>0</v>
      </c>
      <c r="AL90" s="74">
        <f t="shared" si="196"/>
        <v>0</v>
      </c>
      <c r="AM90" s="74">
        <f t="shared" si="196"/>
        <v>0</v>
      </c>
      <c r="AN90" s="74">
        <f t="shared" si="196"/>
        <v>0</v>
      </c>
      <c r="AO90" s="74">
        <f t="shared" si="196"/>
        <v>0</v>
      </c>
      <c r="AP90" s="74">
        <f t="shared" si="196"/>
        <v>0</v>
      </c>
      <c r="AQ90" s="74">
        <f t="shared" si="196"/>
        <v>0</v>
      </c>
      <c r="AR90" s="74">
        <f t="shared" si="196"/>
        <v>0</v>
      </c>
      <c r="AS90" s="74">
        <f t="shared" si="196"/>
        <v>0</v>
      </c>
      <c r="AT90" s="74">
        <f t="shared" si="196"/>
        <v>0</v>
      </c>
      <c r="AU90" s="74">
        <f t="shared" si="196"/>
        <v>0</v>
      </c>
      <c r="AV90" s="74">
        <f t="shared" si="196"/>
        <v>0</v>
      </c>
      <c r="AW90" s="74">
        <f t="shared" si="196"/>
        <v>0</v>
      </c>
      <c r="AX90" s="74">
        <f t="shared" si="196"/>
        <v>0</v>
      </c>
      <c r="AY90" s="74">
        <f t="shared" si="196"/>
        <v>0</v>
      </c>
      <c r="AZ90" s="74">
        <f t="shared" si="196"/>
        <v>0</v>
      </c>
      <c r="BA90" s="75">
        <f t="shared" si="196"/>
        <v>0</v>
      </c>
      <c r="BB90" s="75">
        <f t="shared" si="196"/>
        <v>0</v>
      </c>
      <c r="BC90" s="75">
        <f t="shared" si="196"/>
        <v>0</v>
      </c>
      <c r="BD90" s="75">
        <f t="shared" si="196"/>
        <v>0</v>
      </c>
      <c r="BE90" s="75">
        <f t="shared" si="196"/>
        <v>0</v>
      </c>
      <c r="BF90" s="75">
        <f t="shared" si="196"/>
        <v>0</v>
      </c>
      <c r="BG90" s="75">
        <f t="shared" si="196"/>
        <v>0</v>
      </c>
      <c r="BH90" s="75">
        <f t="shared" si="196"/>
        <v>0</v>
      </c>
      <c r="BI90" s="75">
        <f t="shared" si="196"/>
        <v>0</v>
      </c>
      <c r="BJ90" s="75">
        <f t="shared" si="196"/>
        <v>0</v>
      </c>
      <c r="BK90" s="75">
        <f t="shared" si="196"/>
        <v>0</v>
      </c>
      <c r="BL90" s="75">
        <f t="shared" si="196"/>
        <v>0</v>
      </c>
      <c r="BM90" s="76">
        <f t="shared" si="196"/>
        <v>0</v>
      </c>
      <c r="BN90" s="549">
        <f t="shared" si="196"/>
        <v>5988305</v>
      </c>
      <c r="BO90" s="74">
        <f t="shared" si="196"/>
        <v>4427748</v>
      </c>
      <c r="BP90" s="74">
        <f t="shared" si="196"/>
        <v>3657137</v>
      </c>
      <c r="BQ90" s="74">
        <f t="shared" si="196"/>
        <v>770611</v>
      </c>
      <c r="BR90" s="74">
        <f t="shared" si="196"/>
        <v>0</v>
      </c>
      <c r="BS90" s="74">
        <f t="shared" si="196"/>
        <v>0</v>
      </c>
      <c r="BT90" s="74">
        <f t="shared" si="196"/>
        <v>0</v>
      </c>
      <c r="BU90" s="74">
        <f t="shared" si="196"/>
        <v>1496579</v>
      </c>
      <c r="BV90" s="74">
        <f t="shared" ref="BV90:CF90" si="197">SUM(BV87:BV89)</f>
        <v>44278</v>
      </c>
      <c r="BW90" s="74">
        <f t="shared" si="197"/>
        <v>19700</v>
      </c>
      <c r="BX90" s="75">
        <f t="shared" si="197"/>
        <v>8.4534000000000002</v>
      </c>
      <c r="BY90" s="75">
        <f t="shared" si="197"/>
        <v>6</v>
      </c>
      <c r="BZ90" s="753">
        <f t="shared" si="197"/>
        <v>2.4534000000000002</v>
      </c>
      <c r="CA90" s="796">
        <f t="shared" si="197"/>
        <v>0</v>
      </c>
      <c r="CB90" s="789">
        <f t="shared" si="197"/>
        <v>0</v>
      </c>
      <c r="CC90" s="789">
        <f t="shared" si="197"/>
        <v>0</v>
      </c>
      <c r="CD90" s="789">
        <f t="shared" si="197"/>
        <v>0</v>
      </c>
      <c r="CE90" s="789">
        <f t="shared" si="197"/>
        <v>0</v>
      </c>
      <c r="CF90" s="793">
        <f t="shared" si="197"/>
        <v>0</v>
      </c>
    </row>
    <row r="91" spans="1:84" ht="14.1" customHeight="1" x14ac:dyDescent="0.2">
      <c r="A91" s="66">
        <v>22</v>
      </c>
      <c r="B91" s="63">
        <v>2409</v>
      </c>
      <c r="C91" s="64">
        <v>600079635</v>
      </c>
      <c r="D91" s="63">
        <v>72742747</v>
      </c>
      <c r="E91" s="65" t="s">
        <v>577</v>
      </c>
      <c r="F91" s="66">
        <v>3111</v>
      </c>
      <c r="G91" s="65" t="s">
        <v>291</v>
      </c>
      <c r="H91" s="67" t="s">
        <v>271</v>
      </c>
      <c r="I91" s="423">
        <f t="shared" si="159"/>
        <v>7957500</v>
      </c>
      <c r="J91" s="418">
        <f t="shared" si="160"/>
        <v>5879328</v>
      </c>
      <c r="K91" s="418">
        <v>5334998</v>
      </c>
      <c r="L91" s="418">
        <v>544330</v>
      </c>
      <c r="M91" s="418">
        <f>N91+O91</f>
        <v>0</v>
      </c>
      <c r="N91" s="418">
        <v>0</v>
      </c>
      <c r="O91" s="418">
        <v>0</v>
      </c>
      <c r="P91" s="668">
        <f t="shared" si="162"/>
        <v>1987213</v>
      </c>
      <c r="Q91" s="668">
        <f t="shared" si="163"/>
        <v>58793</v>
      </c>
      <c r="R91" s="418">
        <v>32166</v>
      </c>
      <c r="S91" s="419">
        <f t="shared" si="164"/>
        <v>10.7668</v>
      </c>
      <c r="T91" s="419">
        <v>8.9</v>
      </c>
      <c r="U91" s="426">
        <v>1.8667999999999998</v>
      </c>
      <c r="V91" s="428">
        <f t="shared" si="165"/>
        <v>0</v>
      </c>
      <c r="W91" s="421">
        <f t="shared" si="166"/>
        <v>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 t="shared" si="167"/>
        <v>0</v>
      </c>
      <c r="AG91" s="421">
        <f t="shared" si="168"/>
        <v>0</v>
      </c>
      <c r="AH91" s="421">
        <f t="shared" si="169"/>
        <v>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170"/>
        <v>0</v>
      </c>
      <c r="AP91" s="421">
        <f t="shared" si="171"/>
        <v>0</v>
      </c>
      <c r="AQ91" s="421">
        <f t="shared" si="172"/>
        <v>0</v>
      </c>
      <c r="AR91" s="421">
        <f t="shared" ref="AR91:AS93" si="198">AF91+AO91</f>
        <v>0</v>
      </c>
      <c r="AS91" s="421">
        <f t="shared" si="198"/>
        <v>0</v>
      </c>
      <c r="AT91" s="421">
        <f t="shared" si="173"/>
        <v>0</v>
      </c>
      <c r="AU91" s="68">
        <f t="shared" ref="AU91:AU93" si="199">ROUND((AH91+AI91+AJ91+AK91+AL91)*33.8%,0)</f>
        <v>0</v>
      </c>
      <c r="AV91" s="68">
        <f>ROUND(AH91*1%,0)</f>
        <v>0</v>
      </c>
      <c r="AW91" s="421">
        <v>0</v>
      </c>
      <c r="AX91" s="421">
        <v>0</v>
      </c>
      <c r="AY91" s="421">
        <f t="shared" si="174"/>
        <v>0</v>
      </c>
      <c r="AZ91" s="421">
        <f t="shared" si="175"/>
        <v>0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0</v>
      </c>
      <c r="BL91" s="422">
        <f>BB91+BE91+BG91+BJ91</f>
        <v>0</v>
      </c>
      <c r="BM91" s="424">
        <f t="shared" si="176"/>
        <v>0</v>
      </c>
      <c r="BN91" s="427">
        <f>I91+AZ91</f>
        <v>7957500</v>
      </c>
      <c r="BO91" s="421">
        <f>J91+AH91</f>
        <v>5879328</v>
      </c>
      <c r="BP91" s="421">
        <f t="shared" ref="BP91:BQ93" si="200">K91+AF91</f>
        <v>5334998</v>
      </c>
      <c r="BQ91" s="421">
        <f t="shared" si="200"/>
        <v>544330</v>
      </c>
      <c r="BR91" s="421">
        <f>M91+AQ91</f>
        <v>0</v>
      </c>
      <c r="BS91" s="421">
        <f t="shared" ref="BS91:BT93" si="201">N91+AO91</f>
        <v>0</v>
      </c>
      <c r="BT91" s="421">
        <f t="shared" si="201"/>
        <v>0</v>
      </c>
      <c r="BU91" s="421">
        <f t="shared" ref="BU91:BV93" si="202">P91+AU91</f>
        <v>1987213</v>
      </c>
      <c r="BV91" s="421">
        <f t="shared" si="202"/>
        <v>58793</v>
      </c>
      <c r="BW91" s="421">
        <f>R91+AY91</f>
        <v>32166</v>
      </c>
      <c r="BX91" s="422">
        <f>S91+BM91</f>
        <v>10.7668</v>
      </c>
      <c r="BY91" s="422">
        <f t="shared" ref="BY91:BZ93" si="203">T91+BK91</f>
        <v>8.9</v>
      </c>
      <c r="BZ91" s="611">
        <f t="shared" si="203"/>
        <v>1.8667999999999998</v>
      </c>
      <c r="CA91" s="423"/>
      <c r="CB91" s="418"/>
      <c r="CC91" s="418"/>
      <c r="CD91" s="418"/>
      <c r="CE91" s="418"/>
      <c r="CF91" s="527"/>
    </row>
    <row r="92" spans="1:84" ht="14.1" customHeight="1" x14ac:dyDescent="0.2">
      <c r="A92" s="66">
        <v>22</v>
      </c>
      <c r="B92" s="63">
        <v>2409</v>
      </c>
      <c r="C92" s="64">
        <v>600079635</v>
      </c>
      <c r="D92" s="63">
        <v>72742747</v>
      </c>
      <c r="E92" s="65" t="s">
        <v>577</v>
      </c>
      <c r="F92" s="66">
        <v>3111</v>
      </c>
      <c r="G92" s="65" t="s">
        <v>292</v>
      </c>
      <c r="H92" s="67" t="s">
        <v>272</v>
      </c>
      <c r="I92" s="423">
        <f t="shared" si="159"/>
        <v>0</v>
      </c>
      <c r="J92" s="418">
        <f t="shared" si="160"/>
        <v>0</v>
      </c>
      <c r="K92" s="418">
        <v>0</v>
      </c>
      <c r="L92" s="418">
        <v>0</v>
      </c>
      <c r="M92" s="418">
        <f t="shared" si="161"/>
        <v>0</v>
      </c>
      <c r="N92" s="418">
        <v>0</v>
      </c>
      <c r="O92" s="418">
        <v>0</v>
      </c>
      <c r="P92" s="668">
        <f t="shared" si="162"/>
        <v>0</v>
      </c>
      <c r="Q92" s="668">
        <f t="shared" si="163"/>
        <v>0</v>
      </c>
      <c r="R92" s="418">
        <v>0</v>
      </c>
      <c r="S92" s="419">
        <f t="shared" si="164"/>
        <v>0</v>
      </c>
      <c r="T92" s="420">
        <v>0</v>
      </c>
      <c r="U92" s="426">
        <v>0</v>
      </c>
      <c r="V92" s="428">
        <f t="shared" si="165"/>
        <v>0</v>
      </c>
      <c r="W92" s="421">
        <f t="shared" si="166"/>
        <v>0</v>
      </c>
      <c r="X92" s="16">
        <v>370801</v>
      </c>
      <c r="Y92" s="16">
        <v>0</v>
      </c>
      <c r="Z92" s="16">
        <v>0</v>
      </c>
      <c r="AA92" s="16">
        <v>0</v>
      </c>
      <c r="AB92" s="421">
        <v>0</v>
      </c>
      <c r="AC92" s="16">
        <v>0</v>
      </c>
      <c r="AD92" s="16">
        <v>0</v>
      </c>
      <c r="AE92" s="16">
        <v>0</v>
      </c>
      <c r="AF92" s="421">
        <f t="shared" si="167"/>
        <v>370801</v>
      </c>
      <c r="AG92" s="421">
        <f t="shared" si="168"/>
        <v>0</v>
      </c>
      <c r="AH92" s="421">
        <f t="shared" si="169"/>
        <v>370801</v>
      </c>
      <c r="AI92" s="16">
        <v>0</v>
      </c>
      <c r="AJ92" s="16">
        <v>0</v>
      </c>
      <c r="AK92" s="421">
        <v>0</v>
      </c>
      <c r="AL92" s="16">
        <v>0</v>
      </c>
      <c r="AM92" s="16">
        <v>0</v>
      </c>
      <c r="AN92" s="16">
        <v>0</v>
      </c>
      <c r="AO92" s="421">
        <f t="shared" si="170"/>
        <v>0</v>
      </c>
      <c r="AP92" s="16">
        <v>0</v>
      </c>
      <c r="AQ92" s="421">
        <f t="shared" si="172"/>
        <v>0</v>
      </c>
      <c r="AR92" s="421">
        <f t="shared" si="198"/>
        <v>370801</v>
      </c>
      <c r="AS92" s="421">
        <f t="shared" si="198"/>
        <v>0</v>
      </c>
      <c r="AT92" s="421">
        <f t="shared" si="173"/>
        <v>370801</v>
      </c>
      <c r="AU92" s="68">
        <f t="shared" si="199"/>
        <v>125331</v>
      </c>
      <c r="AV92" s="68">
        <f>ROUND(AH92*1%,0)</f>
        <v>3708</v>
      </c>
      <c r="AW92" s="16">
        <v>0</v>
      </c>
      <c r="AX92" s="16">
        <v>0</v>
      </c>
      <c r="AY92" s="421">
        <f t="shared" si="174"/>
        <v>0</v>
      </c>
      <c r="AZ92" s="421">
        <f t="shared" si="175"/>
        <v>499840</v>
      </c>
      <c r="BA92" s="13">
        <v>0</v>
      </c>
      <c r="BB92" s="13">
        <v>0</v>
      </c>
      <c r="BC92" s="13">
        <v>1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>BA92+BC92+BD92+BF92+BH92+BI92</f>
        <v>1</v>
      </c>
      <c r="BL92" s="422">
        <f>BB92+BE92+BG92+BJ92</f>
        <v>0</v>
      </c>
      <c r="BM92" s="424">
        <f t="shared" si="176"/>
        <v>1</v>
      </c>
      <c r="BN92" s="427">
        <f>I92+AZ92</f>
        <v>499840</v>
      </c>
      <c r="BO92" s="421">
        <f>J92+AH92</f>
        <v>370801</v>
      </c>
      <c r="BP92" s="421">
        <f t="shared" si="200"/>
        <v>370801</v>
      </c>
      <c r="BQ92" s="421">
        <f t="shared" si="200"/>
        <v>0</v>
      </c>
      <c r="BR92" s="421">
        <f>M92+AQ92</f>
        <v>0</v>
      </c>
      <c r="BS92" s="421">
        <f t="shared" si="201"/>
        <v>0</v>
      </c>
      <c r="BT92" s="421">
        <f t="shared" si="201"/>
        <v>0</v>
      </c>
      <c r="BU92" s="421">
        <f t="shared" si="202"/>
        <v>125331</v>
      </c>
      <c r="BV92" s="421">
        <f t="shared" si="202"/>
        <v>3708</v>
      </c>
      <c r="BW92" s="421">
        <f>R92+AY92</f>
        <v>0</v>
      </c>
      <c r="BX92" s="422">
        <f>S92+BM92</f>
        <v>1</v>
      </c>
      <c r="BY92" s="422">
        <f t="shared" si="203"/>
        <v>1</v>
      </c>
      <c r="BZ92" s="611">
        <f t="shared" si="203"/>
        <v>0</v>
      </c>
      <c r="CA92" s="423"/>
      <c r="CB92" s="418"/>
      <c r="CC92" s="418"/>
      <c r="CD92" s="418"/>
      <c r="CE92" s="418"/>
      <c r="CF92" s="527"/>
    </row>
    <row r="93" spans="1:84" ht="14.1" customHeight="1" x14ac:dyDescent="0.2">
      <c r="A93" s="66">
        <v>22</v>
      </c>
      <c r="B93" s="63">
        <v>2409</v>
      </c>
      <c r="C93" s="64">
        <v>600079635</v>
      </c>
      <c r="D93" s="63">
        <v>72742747</v>
      </c>
      <c r="E93" s="65" t="s">
        <v>577</v>
      </c>
      <c r="F93" s="66">
        <v>3141</v>
      </c>
      <c r="G93" s="65" t="s">
        <v>295</v>
      </c>
      <c r="H93" s="67" t="s">
        <v>272</v>
      </c>
      <c r="I93" s="423">
        <f t="shared" si="159"/>
        <v>914449</v>
      </c>
      <c r="J93" s="418">
        <f t="shared" si="160"/>
        <v>675830</v>
      </c>
      <c r="K93" s="418">
        <v>0</v>
      </c>
      <c r="L93" s="924">
        <v>675830</v>
      </c>
      <c r="M93" s="418">
        <f>N93+O93</f>
        <v>0</v>
      </c>
      <c r="N93" s="674">
        <v>0</v>
      </c>
      <c r="O93" s="674">
        <v>0</v>
      </c>
      <c r="P93" s="668">
        <f t="shared" si="162"/>
        <v>228431</v>
      </c>
      <c r="Q93" s="668">
        <f t="shared" si="163"/>
        <v>6758</v>
      </c>
      <c r="R93" s="674">
        <v>3430</v>
      </c>
      <c r="S93" s="419">
        <f>T93+U93</f>
        <v>2.0266000000000002</v>
      </c>
      <c r="T93" s="676">
        <v>0</v>
      </c>
      <c r="U93" s="909">
        <v>2.0266000000000002</v>
      </c>
      <c r="V93" s="428">
        <f t="shared" si="165"/>
        <v>0</v>
      </c>
      <c r="W93" s="421">
        <f t="shared" si="166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 t="shared" si="167"/>
        <v>0</v>
      </c>
      <c r="AG93" s="421">
        <f t="shared" si="168"/>
        <v>0</v>
      </c>
      <c r="AH93" s="421">
        <f t="shared" si="169"/>
        <v>0</v>
      </c>
      <c r="AI93" s="421">
        <v>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si="170"/>
        <v>0</v>
      </c>
      <c r="AP93" s="421">
        <f t="shared" si="171"/>
        <v>0</v>
      </c>
      <c r="AQ93" s="421">
        <f t="shared" si="172"/>
        <v>0</v>
      </c>
      <c r="AR93" s="421">
        <f t="shared" si="198"/>
        <v>0</v>
      </c>
      <c r="AS93" s="421">
        <f t="shared" si="198"/>
        <v>0</v>
      </c>
      <c r="AT93" s="421">
        <f t="shared" si="173"/>
        <v>0</v>
      </c>
      <c r="AU93" s="68">
        <f t="shared" si="199"/>
        <v>0</v>
      </c>
      <c r="AV93" s="68">
        <f>ROUND(AH93*1%,0)</f>
        <v>0</v>
      </c>
      <c r="AW93" s="421">
        <v>0</v>
      </c>
      <c r="AX93" s="421">
        <v>0</v>
      </c>
      <c r="AY93" s="421">
        <f t="shared" si="174"/>
        <v>0</v>
      </c>
      <c r="AZ93" s="421">
        <f t="shared" si="175"/>
        <v>0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424">
        <f t="shared" si="176"/>
        <v>0</v>
      </c>
      <c r="BN93" s="427">
        <f>I93+AZ93</f>
        <v>914449</v>
      </c>
      <c r="BO93" s="421">
        <f>J93+AH93</f>
        <v>675830</v>
      </c>
      <c r="BP93" s="421">
        <f t="shared" si="200"/>
        <v>0</v>
      </c>
      <c r="BQ93" s="421">
        <f t="shared" si="200"/>
        <v>675830</v>
      </c>
      <c r="BR93" s="421">
        <f>M93+AQ93</f>
        <v>0</v>
      </c>
      <c r="BS93" s="421">
        <f t="shared" si="201"/>
        <v>0</v>
      </c>
      <c r="BT93" s="421">
        <f t="shared" si="201"/>
        <v>0</v>
      </c>
      <c r="BU93" s="421">
        <f t="shared" si="202"/>
        <v>228431</v>
      </c>
      <c r="BV93" s="421">
        <f t="shared" si="202"/>
        <v>6758</v>
      </c>
      <c r="BW93" s="421">
        <f>R93+AY93</f>
        <v>3430</v>
      </c>
      <c r="BX93" s="422">
        <f>S93+BM93</f>
        <v>2.0266000000000002</v>
      </c>
      <c r="BY93" s="422">
        <f t="shared" si="203"/>
        <v>0</v>
      </c>
      <c r="BZ93" s="611">
        <f t="shared" si="203"/>
        <v>2.0266000000000002</v>
      </c>
      <c r="CA93" s="423"/>
      <c r="CB93" s="418"/>
      <c r="CC93" s="418"/>
      <c r="CD93" s="418"/>
      <c r="CE93" s="418"/>
      <c r="CF93" s="527"/>
    </row>
    <row r="94" spans="1:84" ht="13.5" customHeight="1" x14ac:dyDescent="0.2">
      <c r="A94" s="72">
        <v>22</v>
      </c>
      <c r="B94" s="69">
        <v>2409</v>
      </c>
      <c r="C94" s="70">
        <v>600079635</v>
      </c>
      <c r="D94" s="69">
        <v>72742747</v>
      </c>
      <c r="E94" s="71" t="s">
        <v>578</v>
      </c>
      <c r="F94" s="72"/>
      <c r="G94" s="71"/>
      <c r="H94" s="73"/>
      <c r="I94" s="538">
        <f t="shared" ref="I94:BU94" si="204">SUM(I91:I93)</f>
        <v>8871949</v>
      </c>
      <c r="J94" s="74">
        <f t="shared" si="204"/>
        <v>6555158</v>
      </c>
      <c r="K94" s="74">
        <f t="shared" si="204"/>
        <v>5334998</v>
      </c>
      <c r="L94" s="74">
        <f t="shared" si="204"/>
        <v>1220160</v>
      </c>
      <c r="M94" s="74">
        <f t="shared" si="204"/>
        <v>0</v>
      </c>
      <c r="N94" s="74">
        <f t="shared" si="204"/>
        <v>0</v>
      </c>
      <c r="O94" s="74">
        <f t="shared" si="204"/>
        <v>0</v>
      </c>
      <c r="P94" s="74">
        <f t="shared" si="204"/>
        <v>2215644</v>
      </c>
      <c r="Q94" s="74">
        <f t="shared" si="204"/>
        <v>65551</v>
      </c>
      <c r="R94" s="74">
        <f t="shared" si="204"/>
        <v>35596</v>
      </c>
      <c r="S94" s="75">
        <f t="shared" si="204"/>
        <v>12.7934</v>
      </c>
      <c r="T94" s="75">
        <f t="shared" si="204"/>
        <v>8.9</v>
      </c>
      <c r="U94" s="753">
        <f t="shared" si="204"/>
        <v>3.8933999999999997</v>
      </c>
      <c r="V94" s="538">
        <f t="shared" si="204"/>
        <v>0</v>
      </c>
      <c r="W94" s="74">
        <f t="shared" si="204"/>
        <v>0</v>
      </c>
      <c r="X94" s="74">
        <f t="shared" si="204"/>
        <v>370801</v>
      </c>
      <c r="Y94" s="74">
        <f t="shared" si="204"/>
        <v>0</v>
      </c>
      <c r="Z94" s="74">
        <f t="shared" si="204"/>
        <v>0</v>
      </c>
      <c r="AA94" s="74">
        <f t="shared" si="204"/>
        <v>0</v>
      </c>
      <c r="AB94" s="74">
        <f t="shared" si="204"/>
        <v>0</v>
      </c>
      <c r="AC94" s="74">
        <f t="shared" si="204"/>
        <v>0</v>
      </c>
      <c r="AD94" s="74">
        <f t="shared" si="204"/>
        <v>0</v>
      </c>
      <c r="AE94" s="74">
        <f t="shared" si="204"/>
        <v>0</v>
      </c>
      <c r="AF94" s="74">
        <f t="shared" si="204"/>
        <v>370801</v>
      </c>
      <c r="AG94" s="74">
        <f t="shared" si="204"/>
        <v>0</v>
      </c>
      <c r="AH94" s="74">
        <f t="shared" si="204"/>
        <v>370801</v>
      </c>
      <c r="AI94" s="74">
        <f t="shared" si="204"/>
        <v>0</v>
      </c>
      <c r="AJ94" s="74">
        <f t="shared" si="204"/>
        <v>0</v>
      </c>
      <c r="AK94" s="74">
        <f t="shared" si="204"/>
        <v>0</v>
      </c>
      <c r="AL94" s="74">
        <f t="shared" si="204"/>
        <v>0</v>
      </c>
      <c r="AM94" s="74">
        <f t="shared" si="204"/>
        <v>0</v>
      </c>
      <c r="AN94" s="74">
        <f t="shared" si="204"/>
        <v>0</v>
      </c>
      <c r="AO94" s="74">
        <f t="shared" si="204"/>
        <v>0</v>
      </c>
      <c r="AP94" s="74">
        <f t="shared" si="204"/>
        <v>0</v>
      </c>
      <c r="AQ94" s="74">
        <f t="shared" si="204"/>
        <v>0</v>
      </c>
      <c r="AR94" s="74">
        <f t="shared" si="204"/>
        <v>370801</v>
      </c>
      <c r="AS94" s="74">
        <f t="shared" si="204"/>
        <v>0</v>
      </c>
      <c r="AT94" s="74">
        <f t="shared" si="204"/>
        <v>370801</v>
      </c>
      <c r="AU94" s="74">
        <f t="shared" si="204"/>
        <v>125331</v>
      </c>
      <c r="AV94" s="74">
        <f t="shared" si="204"/>
        <v>3708</v>
      </c>
      <c r="AW94" s="74">
        <f t="shared" si="204"/>
        <v>0</v>
      </c>
      <c r="AX94" s="74">
        <f t="shared" si="204"/>
        <v>0</v>
      </c>
      <c r="AY94" s="74">
        <f t="shared" si="204"/>
        <v>0</v>
      </c>
      <c r="AZ94" s="74">
        <f t="shared" si="204"/>
        <v>499840</v>
      </c>
      <c r="BA94" s="75">
        <f t="shared" si="204"/>
        <v>0</v>
      </c>
      <c r="BB94" s="75">
        <f t="shared" si="204"/>
        <v>0</v>
      </c>
      <c r="BC94" s="75">
        <f t="shared" si="204"/>
        <v>1</v>
      </c>
      <c r="BD94" s="75">
        <f t="shared" si="204"/>
        <v>0</v>
      </c>
      <c r="BE94" s="75">
        <f t="shared" si="204"/>
        <v>0</v>
      </c>
      <c r="BF94" s="75">
        <f t="shared" si="204"/>
        <v>0</v>
      </c>
      <c r="BG94" s="75">
        <f t="shared" si="204"/>
        <v>0</v>
      </c>
      <c r="BH94" s="75">
        <f t="shared" si="204"/>
        <v>0</v>
      </c>
      <c r="BI94" s="75">
        <f t="shared" si="204"/>
        <v>0</v>
      </c>
      <c r="BJ94" s="75">
        <f t="shared" si="204"/>
        <v>0</v>
      </c>
      <c r="BK94" s="75">
        <f t="shared" si="204"/>
        <v>1</v>
      </c>
      <c r="BL94" s="75">
        <f t="shared" si="204"/>
        <v>0</v>
      </c>
      <c r="BM94" s="76">
        <f t="shared" si="204"/>
        <v>1</v>
      </c>
      <c r="BN94" s="549">
        <f t="shared" si="204"/>
        <v>9371789</v>
      </c>
      <c r="BO94" s="74">
        <f t="shared" si="204"/>
        <v>6925959</v>
      </c>
      <c r="BP94" s="74">
        <f t="shared" si="204"/>
        <v>5705799</v>
      </c>
      <c r="BQ94" s="74">
        <f t="shared" si="204"/>
        <v>1220160</v>
      </c>
      <c r="BR94" s="74">
        <f t="shared" si="204"/>
        <v>0</v>
      </c>
      <c r="BS94" s="74">
        <f t="shared" si="204"/>
        <v>0</v>
      </c>
      <c r="BT94" s="74">
        <f t="shared" si="204"/>
        <v>0</v>
      </c>
      <c r="BU94" s="74">
        <f t="shared" si="204"/>
        <v>2340975</v>
      </c>
      <c r="BV94" s="74">
        <f t="shared" ref="BV94:CF94" si="205">SUM(BV91:BV93)</f>
        <v>69259</v>
      </c>
      <c r="BW94" s="74">
        <f t="shared" si="205"/>
        <v>35596</v>
      </c>
      <c r="BX94" s="75">
        <f t="shared" si="205"/>
        <v>13.7934</v>
      </c>
      <c r="BY94" s="75">
        <f t="shared" si="205"/>
        <v>9.9</v>
      </c>
      <c r="BZ94" s="753">
        <f t="shared" si="205"/>
        <v>3.8933999999999997</v>
      </c>
      <c r="CA94" s="796">
        <f t="shared" si="205"/>
        <v>0</v>
      </c>
      <c r="CB94" s="789">
        <f t="shared" si="205"/>
        <v>0</v>
      </c>
      <c r="CC94" s="789">
        <f t="shared" si="205"/>
        <v>0</v>
      </c>
      <c r="CD94" s="789">
        <f t="shared" si="205"/>
        <v>0</v>
      </c>
      <c r="CE94" s="789">
        <f t="shared" si="205"/>
        <v>0</v>
      </c>
      <c r="CF94" s="793">
        <f t="shared" si="205"/>
        <v>0</v>
      </c>
    </row>
    <row r="95" spans="1:84" ht="14.1" customHeight="1" x14ac:dyDescent="0.2">
      <c r="A95" s="66">
        <v>23</v>
      </c>
      <c r="B95" s="63">
        <v>2429</v>
      </c>
      <c r="C95" s="64">
        <v>600079244</v>
      </c>
      <c r="D95" s="63">
        <v>72741708</v>
      </c>
      <c r="E95" s="65" t="s">
        <v>579</v>
      </c>
      <c r="F95" s="66">
        <v>3111</v>
      </c>
      <c r="G95" s="65" t="s">
        <v>291</v>
      </c>
      <c r="H95" s="67" t="s">
        <v>271</v>
      </c>
      <c r="I95" s="423">
        <f t="shared" si="159"/>
        <v>7359324</v>
      </c>
      <c r="J95" s="418">
        <f t="shared" si="160"/>
        <v>5441811</v>
      </c>
      <c r="K95" s="418">
        <v>4971609</v>
      </c>
      <c r="L95" s="418">
        <v>470202</v>
      </c>
      <c r="M95" s="418">
        <f>N95+O95</f>
        <v>0</v>
      </c>
      <c r="N95" s="418">
        <v>0</v>
      </c>
      <c r="O95" s="418">
        <v>0</v>
      </c>
      <c r="P95" s="668">
        <f t="shared" si="162"/>
        <v>1839332</v>
      </c>
      <c r="Q95" s="668">
        <f t="shared" si="163"/>
        <v>54418</v>
      </c>
      <c r="R95" s="418">
        <v>23763</v>
      </c>
      <c r="S95" s="419">
        <f t="shared" si="164"/>
        <v>10.051699999999999</v>
      </c>
      <c r="T95" s="419">
        <v>8.4515999999999991</v>
      </c>
      <c r="U95" s="426">
        <v>1.6000999999999999</v>
      </c>
      <c r="V95" s="428">
        <f t="shared" si="165"/>
        <v>0</v>
      </c>
      <c r="W95" s="421">
        <f t="shared" si="166"/>
        <v>0</v>
      </c>
      <c r="X95" s="421">
        <v>0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 t="shared" si="167"/>
        <v>0</v>
      </c>
      <c r="AG95" s="421">
        <f t="shared" si="168"/>
        <v>0</v>
      </c>
      <c r="AH95" s="421">
        <f t="shared" si="169"/>
        <v>0</v>
      </c>
      <c r="AI95" s="421">
        <v>0</v>
      </c>
      <c r="AJ95" s="421">
        <v>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170"/>
        <v>0</v>
      </c>
      <c r="AP95" s="421">
        <f t="shared" si="171"/>
        <v>0</v>
      </c>
      <c r="AQ95" s="421">
        <f t="shared" si="172"/>
        <v>0</v>
      </c>
      <c r="AR95" s="421">
        <f t="shared" ref="AR95:AS97" si="206">AF95+AO95</f>
        <v>0</v>
      </c>
      <c r="AS95" s="421">
        <f t="shared" si="206"/>
        <v>0</v>
      </c>
      <c r="AT95" s="421">
        <f t="shared" si="173"/>
        <v>0</v>
      </c>
      <c r="AU95" s="68">
        <f t="shared" ref="AU95:AU97" si="207">ROUND((AH95+AI95+AJ95+AK95+AL95)*33.8%,0)</f>
        <v>0</v>
      </c>
      <c r="AV95" s="68">
        <f>ROUND(AH95*1%,0)</f>
        <v>0</v>
      </c>
      <c r="AW95" s="421">
        <v>0</v>
      </c>
      <c r="AX95" s="421">
        <v>0</v>
      </c>
      <c r="AY95" s="421">
        <f t="shared" si="174"/>
        <v>0</v>
      </c>
      <c r="AZ95" s="421">
        <f t="shared" si="175"/>
        <v>0</v>
      </c>
      <c r="BA95" s="422">
        <v>0</v>
      </c>
      <c r="BB95" s="422">
        <v>0</v>
      </c>
      <c r="BC95" s="422">
        <v>0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>BA95+BC95+BD95+BF95+BH95+BI95</f>
        <v>0</v>
      </c>
      <c r="BL95" s="422">
        <f>BB95+BE95+BG95+BJ95</f>
        <v>0</v>
      </c>
      <c r="BM95" s="424">
        <f t="shared" si="176"/>
        <v>0</v>
      </c>
      <c r="BN95" s="427">
        <f>I95+AZ95</f>
        <v>7359324</v>
      </c>
      <c r="BO95" s="421">
        <f>J95+AH95</f>
        <v>5441811</v>
      </c>
      <c r="BP95" s="421">
        <f t="shared" ref="BP95:BQ97" si="208">K95+AF95</f>
        <v>4971609</v>
      </c>
      <c r="BQ95" s="421">
        <f t="shared" si="208"/>
        <v>470202</v>
      </c>
      <c r="BR95" s="421">
        <f>M95+AQ95</f>
        <v>0</v>
      </c>
      <c r="BS95" s="421">
        <f t="shared" ref="BS95:BT97" si="209">N95+AO95</f>
        <v>0</v>
      </c>
      <c r="BT95" s="421">
        <f t="shared" si="209"/>
        <v>0</v>
      </c>
      <c r="BU95" s="421">
        <f t="shared" ref="BU95:BV97" si="210">P95+AU95</f>
        <v>1839332</v>
      </c>
      <c r="BV95" s="421">
        <f t="shared" si="210"/>
        <v>54418</v>
      </c>
      <c r="BW95" s="421">
        <f>R95+AY95</f>
        <v>23763</v>
      </c>
      <c r="BX95" s="422">
        <f>S95+BM95</f>
        <v>10.051699999999999</v>
      </c>
      <c r="BY95" s="422">
        <f t="shared" ref="BY95:BZ97" si="211">T95+BK95</f>
        <v>8.4515999999999991</v>
      </c>
      <c r="BZ95" s="611">
        <f t="shared" si="211"/>
        <v>1.6000999999999999</v>
      </c>
      <c r="CA95" s="423"/>
      <c r="CB95" s="418"/>
      <c r="CC95" s="418"/>
      <c r="CD95" s="418"/>
      <c r="CE95" s="418"/>
      <c r="CF95" s="527"/>
    </row>
    <row r="96" spans="1:84" ht="14.1" customHeight="1" x14ac:dyDescent="0.2">
      <c r="A96" s="66">
        <v>23</v>
      </c>
      <c r="B96" s="63">
        <v>2429</v>
      </c>
      <c r="C96" s="64">
        <v>600079244</v>
      </c>
      <c r="D96" s="63">
        <v>72741708</v>
      </c>
      <c r="E96" s="65" t="s">
        <v>579</v>
      </c>
      <c r="F96" s="66">
        <v>3111</v>
      </c>
      <c r="G96" s="77" t="s">
        <v>292</v>
      </c>
      <c r="H96" s="67" t="s">
        <v>272</v>
      </c>
      <c r="I96" s="423">
        <f t="shared" si="159"/>
        <v>0</v>
      </c>
      <c r="J96" s="418">
        <f t="shared" si="160"/>
        <v>0</v>
      </c>
      <c r="K96" s="418">
        <v>0</v>
      </c>
      <c r="L96" s="418">
        <v>0</v>
      </c>
      <c r="M96" s="418">
        <f t="shared" si="161"/>
        <v>0</v>
      </c>
      <c r="N96" s="418">
        <v>0</v>
      </c>
      <c r="O96" s="418">
        <v>0</v>
      </c>
      <c r="P96" s="668">
        <f t="shared" si="162"/>
        <v>0</v>
      </c>
      <c r="Q96" s="668">
        <f t="shared" si="163"/>
        <v>0</v>
      </c>
      <c r="R96" s="418">
        <v>0</v>
      </c>
      <c r="S96" s="419">
        <f t="shared" si="164"/>
        <v>0</v>
      </c>
      <c r="T96" s="420">
        <v>0</v>
      </c>
      <c r="U96" s="426">
        <v>0</v>
      </c>
      <c r="V96" s="428">
        <f t="shared" si="165"/>
        <v>0</v>
      </c>
      <c r="W96" s="421">
        <f t="shared" si="166"/>
        <v>0</v>
      </c>
      <c r="X96" s="16">
        <v>741603</v>
      </c>
      <c r="Y96" s="16">
        <v>0</v>
      </c>
      <c r="Z96" s="16">
        <v>0</v>
      </c>
      <c r="AA96" s="16">
        <v>0</v>
      </c>
      <c r="AB96" s="421">
        <v>0</v>
      </c>
      <c r="AC96" s="16">
        <v>0</v>
      </c>
      <c r="AD96" s="16">
        <v>0</v>
      </c>
      <c r="AE96" s="16">
        <v>0</v>
      </c>
      <c r="AF96" s="421">
        <f t="shared" si="167"/>
        <v>741603</v>
      </c>
      <c r="AG96" s="421">
        <f t="shared" si="168"/>
        <v>0</v>
      </c>
      <c r="AH96" s="421">
        <f t="shared" si="169"/>
        <v>741603</v>
      </c>
      <c r="AI96" s="16">
        <v>0</v>
      </c>
      <c r="AJ96" s="16">
        <v>0</v>
      </c>
      <c r="AK96" s="421">
        <v>0</v>
      </c>
      <c r="AL96" s="16">
        <v>0</v>
      </c>
      <c r="AM96" s="16">
        <v>0</v>
      </c>
      <c r="AN96" s="16">
        <v>0</v>
      </c>
      <c r="AO96" s="421">
        <f t="shared" si="170"/>
        <v>0</v>
      </c>
      <c r="AP96" s="16">
        <v>0</v>
      </c>
      <c r="AQ96" s="421">
        <f t="shared" si="172"/>
        <v>0</v>
      </c>
      <c r="AR96" s="421">
        <f t="shared" si="206"/>
        <v>741603</v>
      </c>
      <c r="AS96" s="421">
        <f t="shared" si="206"/>
        <v>0</v>
      </c>
      <c r="AT96" s="421">
        <f t="shared" si="173"/>
        <v>741603</v>
      </c>
      <c r="AU96" s="68">
        <f t="shared" si="207"/>
        <v>250662</v>
      </c>
      <c r="AV96" s="68">
        <f>ROUND(AH96*1%,0)</f>
        <v>7416</v>
      </c>
      <c r="AW96" s="16">
        <v>0</v>
      </c>
      <c r="AX96" s="16">
        <v>0</v>
      </c>
      <c r="AY96" s="421">
        <f t="shared" si="174"/>
        <v>0</v>
      </c>
      <c r="AZ96" s="421">
        <f t="shared" si="175"/>
        <v>999681</v>
      </c>
      <c r="BA96" s="13">
        <v>0</v>
      </c>
      <c r="BB96" s="13">
        <v>0</v>
      </c>
      <c r="BC96" s="13">
        <v>2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>BA96+BC96+BD96+BF96+BH96+BI96</f>
        <v>2</v>
      </c>
      <c r="BL96" s="422">
        <f>BB96+BE96+BG96+BJ96</f>
        <v>0</v>
      </c>
      <c r="BM96" s="424">
        <f t="shared" si="176"/>
        <v>2</v>
      </c>
      <c r="BN96" s="427">
        <f>I96+AZ96</f>
        <v>999681</v>
      </c>
      <c r="BO96" s="421">
        <f>J96+AH96</f>
        <v>741603</v>
      </c>
      <c r="BP96" s="421">
        <f t="shared" si="208"/>
        <v>741603</v>
      </c>
      <c r="BQ96" s="421">
        <f t="shared" si="208"/>
        <v>0</v>
      </c>
      <c r="BR96" s="421">
        <f>M96+AQ96</f>
        <v>0</v>
      </c>
      <c r="BS96" s="421">
        <f t="shared" si="209"/>
        <v>0</v>
      </c>
      <c r="BT96" s="421">
        <f t="shared" si="209"/>
        <v>0</v>
      </c>
      <c r="BU96" s="421">
        <f t="shared" si="210"/>
        <v>250662</v>
      </c>
      <c r="BV96" s="421">
        <f t="shared" si="210"/>
        <v>7416</v>
      </c>
      <c r="BW96" s="421">
        <f>R96+AY96</f>
        <v>0</v>
      </c>
      <c r="BX96" s="422">
        <f>S96+BM96</f>
        <v>2</v>
      </c>
      <c r="BY96" s="422">
        <f t="shared" si="211"/>
        <v>2</v>
      </c>
      <c r="BZ96" s="611">
        <f t="shared" si="211"/>
        <v>0</v>
      </c>
      <c r="CA96" s="423"/>
      <c r="CB96" s="418"/>
      <c r="CC96" s="418"/>
      <c r="CD96" s="418"/>
      <c r="CE96" s="418"/>
      <c r="CF96" s="527"/>
    </row>
    <row r="97" spans="1:84" ht="14.1" customHeight="1" x14ac:dyDescent="0.2">
      <c r="A97" s="66">
        <v>23</v>
      </c>
      <c r="B97" s="63">
        <v>2429</v>
      </c>
      <c r="C97" s="64">
        <v>600079244</v>
      </c>
      <c r="D97" s="63">
        <v>72741708</v>
      </c>
      <c r="E97" s="65" t="s">
        <v>579</v>
      </c>
      <c r="F97" s="66">
        <v>3141</v>
      </c>
      <c r="G97" s="65" t="s">
        <v>295</v>
      </c>
      <c r="H97" s="67" t="s">
        <v>272</v>
      </c>
      <c r="I97" s="423">
        <f t="shared" si="159"/>
        <v>698475</v>
      </c>
      <c r="J97" s="418">
        <f t="shared" si="160"/>
        <v>515794</v>
      </c>
      <c r="K97" s="418">
        <v>0</v>
      </c>
      <c r="L97" s="924">
        <v>515794</v>
      </c>
      <c r="M97" s="418">
        <f>N97+O97</f>
        <v>0</v>
      </c>
      <c r="N97" s="205">
        <v>0</v>
      </c>
      <c r="O97" s="205">
        <v>0</v>
      </c>
      <c r="P97" s="668">
        <f t="shared" si="162"/>
        <v>174338</v>
      </c>
      <c r="Q97" s="668">
        <f t="shared" si="163"/>
        <v>5158</v>
      </c>
      <c r="R97" s="674">
        <v>3185</v>
      </c>
      <c r="S97" s="419">
        <f>T97+U97</f>
        <v>1.5467</v>
      </c>
      <c r="T97" s="676">
        <v>0</v>
      </c>
      <c r="U97" s="909">
        <v>1.5467</v>
      </c>
      <c r="V97" s="428">
        <f t="shared" si="165"/>
        <v>0</v>
      </c>
      <c r="W97" s="421">
        <f t="shared" si="166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 t="shared" si="167"/>
        <v>0</v>
      </c>
      <c r="AG97" s="421">
        <f t="shared" si="168"/>
        <v>0</v>
      </c>
      <c r="AH97" s="421">
        <f t="shared" si="169"/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170"/>
        <v>0</v>
      </c>
      <c r="AP97" s="421">
        <f t="shared" si="171"/>
        <v>0</v>
      </c>
      <c r="AQ97" s="421">
        <f t="shared" si="172"/>
        <v>0</v>
      </c>
      <c r="AR97" s="421">
        <f t="shared" si="206"/>
        <v>0</v>
      </c>
      <c r="AS97" s="421">
        <f t="shared" si="206"/>
        <v>0</v>
      </c>
      <c r="AT97" s="421">
        <f t="shared" si="173"/>
        <v>0</v>
      </c>
      <c r="AU97" s="68">
        <f t="shared" si="207"/>
        <v>0</v>
      </c>
      <c r="AV97" s="68">
        <f>ROUND(AH97*1%,0)</f>
        <v>0</v>
      </c>
      <c r="AW97" s="421">
        <v>0</v>
      </c>
      <c r="AX97" s="421">
        <v>0</v>
      </c>
      <c r="AY97" s="421">
        <f t="shared" si="174"/>
        <v>0</v>
      </c>
      <c r="AZ97" s="421">
        <f t="shared" si="175"/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>BA97+BC97+BD97+BF97+BH97+BI97</f>
        <v>0</v>
      </c>
      <c r="BL97" s="422">
        <f>BB97+BE97+BG97+BJ97</f>
        <v>0</v>
      </c>
      <c r="BM97" s="424">
        <f t="shared" si="176"/>
        <v>0</v>
      </c>
      <c r="BN97" s="427">
        <f>I97+AZ97</f>
        <v>698475</v>
      </c>
      <c r="BO97" s="421">
        <f>J97+AH97</f>
        <v>515794</v>
      </c>
      <c r="BP97" s="421">
        <f t="shared" si="208"/>
        <v>0</v>
      </c>
      <c r="BQ97" s="421">
        <f t="shared" si="208"/>
        <v>515794</v>
      </c>
      <c r="BR97" s="421">
        <f>M97+AQ97</f>
        <v>0</v>
      </c>
      <c r="BS97" s="421">
        <f t="shared" si="209"/>
        <v>0</v>
      </c>
      <c r="BT97" s="421">
        <f t="shared" si="209"/>
        <v>0</v>
      </c>
      <c r="BU97" s="421">
        <f t="shared" si="210"/>
        <v>174338</v>
      </c>
      <c r="BV97" s="421">
        <f t="shared" si="210"/>
        <v>5158</v>
      </c>
      <c r="BW97" s="421">
        <f>R97+AY97</f>
        <v>3185</v>
      </c>
      <c r="BX97" s="422">
        <f>S97+BM97</f>
        <v>1.5467</v>
      </c>
      <c r="BY97" s="422">
        <f t="shared" si="211"/>
        <v>0</v>
      </c>
      <c r="BZ97" s="611">
        <f t="shared" si="211"/>
        <v>1.5467</v>
      </c>
      <c r="CA97" s="423"/>
      <c r="CB97" s="418"/>
      <c r="CC97" s="418"/>
      <c r="CD97" s="418"/>
      <c r="CE97" s="418"/>
      <c r="CF97" s="527"/>
    </row>
    <row r="98" spans="1:84" ht="13.5" customHeight="1" x14ac:dyDescent="0.2">
      <c r="A98" s="72">
        <v>23</v>
      </c>
      <c r="B98" s="69">
        <v>2429</v>
      </c>
      <c r="C98" s="70">
        <v>600079244</v>
      </c>
      <c r="D98" s="69">
        <v>72741708</v>
      </c>
      <c r="E98" s="71" t="s">
        <v>580</v>
      </c>
      <c r="F98" s="72"/>
      <c r="G98" s="71"/>
      <c r="H98" s="73"/>
      <c r="I98" s="538">
        <f t="shared" ref="I98:BU98" si="212">SUM(I95:I97)</f>
        <v>8057799</v>
      </c>
      <c r="J98" s="74">
        <f t="shared" si="212"/>
        <v>5957605</v>
      </c>
      <c r="K98" s="74">
        <f t="shared" si="212"/>
        <v>4971609</v>
      </c>
      <c r="L98" s="74">
        <f t="shared" si="212"/>
        <v>985996</v>
      </c>
      <c r="M98" s="74">
        <f t="shared" si="212"/>
        <v>0</v>
      </c>
      <c r="N98" s="74">
        <f t="shared" si="212"/>
        <v>0</v>
      </c>
      <c r="O98" s="74">
        <f t="shared" si="212"/>
        <v>0</v>
      </c>
      <c r="P98" s="74">
        <f t="shared" si="212"/>
        <v>2013670</v>
      </c>
      <c r="Q98" s="74">
        <f t="shared" si="212"/>
        <v>59576</v>
      </c>
      <c r="R98" s="74">
        <f t="shared" si="212"/>
        <v>26948</v>
      </c>
      <c r="S98" s="75">
        <f t="shared" si="212"/>
        <v>11.598399999999998</v>
      </c>
      <c r="T98" s="75">
        <f t="shared" si="212"/>
        <v>8.4515999999999991</v>
      </c>
      <c r="U98" s="753">
        <f t="shared" si="212"/>
        <v>3.1467999999999998</v>
      </c>
      <c r="V98" s="538">
        <f t="shared" si="212"/>
        <v>0</v>
      </c>
      <c r="W98" s="74">
        <f t="shared" si="212"/>
        <v>0</v>
      </c>
      <c r="X98" s="74">
        <f t="shared" si="212"/>
        <v>741603</v>
      </c>
      <c r="Y98" s="74">
        <f t="shared" si="212"/>
        <v>0</v>
      </c>
      <c r="Z98" s="74">
        <f t="shared" si="212"/>
        <v>0</v>
      </c>
      <c r="AA98" s="74">
        <f t="shared" si="212"/>
        <v>0</v>
      </c>
      <c r="AB98" s="74">
        <f t="shared" si="212"/>
        <v>0</v>
      </c>
      <c r="AC98" s="74">
        <f t="shared" si="212"/>
        <v>0</v>
      </c>
      <c r="AD98" s="74">
        <f t="shared" si="212"/>
        <v>0</v>
      </c>
      <c r="AE98" s="74">
        <f t="shared" si="212"/>
        <v>0</v>
      </c>
      <c r="AF98" s="74">
        <f t="shared" si="212"/>
        <v>741603</v>
      </c>
      <c r="AG98" s="74">
        <f t="shared" si="212"/>
        <v>0</v>
      </c>
      <c r="AH98" s="74">
        <f t="shared" si="212"/>
        <v>741603</v>
      </c>
      <c r="AI98" s="74">
        <f t="shared" si="212"/>
        <v>0</v>
      </c>
      <c r="AJ98" s="74">
        <f t="shared" si="212"/>
        <v>0</v>
      </c>
      <c r="AK98" s="74">
        <f t="shared" si="212"/>
        <v>0</v>
      </c>
      <c r="AL98" s="74">
        <f t="shared" si="212"/>
        <v>0</v>
      </c>
      <c r="AM98" s="74">
        <f t="shared" si="212"/>
        <v>0</v>
      </c>
      <c r="AN98" s="74">
        <f t="shared" si="212"/>
        <v>0</v>
      </c>
      <c r="AO98" s="74">
        <f t="shared" si="212"/>
        <v>0</v>
      </c>
      <c r="AP98" s="74">
        <f t="shared" si="212"/>
        <v>0</v>
      </c>
      <c r="AQ98" s="74">
        <f t="shared" si="212"/>
        <v>0</v>
      </c>
      <c r="AR98" s="74">
        <f t="shared" si="212"/>
        <v>741603</v>
      </c>
      <c r="AS98" s="74">
        <f t="shared" si="212"/>
        <v>0</v>
      </c>
      <c r="AT98" s="74">
        <f t="shared" si="212"/>
        <v>741603</v>
      </c>
      <c r="AU98" s="74">
        <f t="shared" si="212"/>
        <v>250662</v>
      </c>
      <c r="AV98" s="74">
        <f t="shared" si="212"/>
        <v>7416</v>
      </c>
      <c r="AW98" s="74">
        <f t="shared" si="212"/>
        <v>0</v>
      </c>
      <c r="AX98" s="74">
        <f t="shared" si="212"/>
        <v>0</v>
      </c>
      <c r="AY98" s="74">
        <f t="shared" si="212"/>
        <v>0</v>
      </c>
      <c r="AZ98" s="74">
        <f t="shared" si="212"/>
        <v>999681</v>
      </c>
      <c r="BA98" s="75">
        <f t="shared" si="212"/>
        <v>0</v>
      </c>
      <c r="BB98" s="75">
        <f t="shared" si="212"/>
        <v>0</v>
      </c>
      <c r="BC98" s="75">
        <f t="shared" si="212"/>
        <v>2</v>
      </c>
      <c r="BD98" s="75">
        <f t="shared" si="212"/>
        <v>0</v>
      </c>
      <c r="BE98" s="75">
        <f t="shared" si="212"/>
        <v>0</v>
      </c>
      <c r="BF98" s="75">
        <f t="shared" si="212"/>
        <v>0</v>
      </c>
      <c r="BG98" s="75">
        <f t="shared" si="212"/>
        <v>0</v>
      </c>
      <c r="BH98" s="75">
        <f t="shared" si="212"/>
        <v>0</v>
      </c>
      <c r="BI98" s="75">
        <f t="shared" si="212"/>
        <v>0</v>
      </c>
      <c r="BJ98" s="75">
        <f t="shared" si="212"/>
        <v>0</v>
      </c>
      <c r="BK98" s="75">
        <f t="shared" si="212"/>
        <v>2</v>
      </c>
      <c r="BL98" s="75">
        <f t="shared" si="212"/>
        <v>0</v>
      </c>
      <c r="BM98" s="76">
        <f t="shared" si="212"/>
        <v>2</v>
      </c>
      <c r="BN98" s="549">
        <f t="shared" si="212"/>
        <v>9057480</v>
      </c>
      <c r="BO98" s="74">
        <f t="shared" si="212"/>
        <v>6699208</v>
      </c>
      <c r="BP98" s="74">
        <f t="shared" si="212"/>
        <v>5713212</v>
      </c>
      <c r="BQ98" s="74">
        <f t="shared" si="212"/>
        <v>985996</v>
      </c>
      <c r="BR98" s="74">
        <f t="shared" si="212"/>
        <v>0</v>
      </c>
      <c r="BS98" s="74">
        <f t="shared" si="212"/>
        <v>0</v>
      </c>
      <c r="BT98" s="74">
        <f t="shared" si="212"/>
        <v>0</v>
      </c>
      <c r="BU98" s="74">
        <f t="shared" si="212"/>
        <v>2264332</v>
      </c>
      <c r="BV98" s="74">
        <f t="shared" ref="BV98:CF98" si="213">SUM(BV95:BV97)</f>
        <v>66992</v>
      </c>
      <c r="BW98" s="74">
        <f t="shared" si="213"/>
        <v>26948</v>
      </c>
      <c r="BX98" s="75">
        <f t="shared" si="213"/>
        <v>13.598399999999998</v>
      </c>
      <c r="BY98" s="75">
        <f t="shared" si="213"/>
        <v>10.451599999999999</v>
      </c>
      <c r="BZ98" s="753">
        <f t="shared" si="213"/>
        <v>3.1467999999999998</v>
      </c>
      <c r="CA98" s="796">
        <f t="shared" si="213"/>
        <v>0</v>
      </c>
      <c r="CB98" s="789">
        <f t="shared" si="213"/>
        <v>0</v>
      </c>
      <c r="CC98" s="789">
        <f t="shared" si="213"/>
        <v>0</v>
      </c>
      <c r="CD98" s="789">
        <f t="shared" si="213"/>
        <v>0</v>
      </c>
      <c r="CE98" s="789">
        <f t="shared" si="213"/>
        <v>0</v>
      </c>
      <c r="CF98" s="793">
        <f t="shared" si="213"/>
        <v>0</v>
      </c>
    </row>
    <row r="99" spans="1:84" ht="14.1" customHeight="1" x14ac:dyDescent="0.2">
      <c r="A99" s="66">
        <v>24</v>
      </c>
      <c r="B99" s="63">
        <v>2412</v>
      </c>
      <c r="C99" s="64">
        <v>600079252</v>
      </c>
      <c r="D99" s="63">
        <v>72742429</v>
      </c>
      <c r="E99" s="65" t="s">
        <v>581</v>
      </c>
      <c r="F99" s="66">
        <v>3111</v>
      </c>
      <c r="G99" s="65" t="s">
        <v>291</v>
      </c>
      <c r="H99" s="67" t="s">
        <v>271</v>
      </c>
      <c r="I99" s="423">
        <f t="shared" si="159"/>
        <v>12202143</v>
      </c>
      <c r="J99" s="418">
        <f t="shared" si="160"/>
        <v>9022033</v>
      </c>
      <c r="K99" s="418">
        <v>8209930</v>
      </c>
      <c r="L99" s="418">
        <v>812103</v>
      </c>
      <c r="M99" s="418">
        <f>N99+O99</f>
        <v>0</v>
      </c>
      <c r="N99" s="418">
        <v>0</v>
      </c>
      <c r="O99" s="418">
        <v>0</v>
      </c>
      <c r="P99" s="668">
        <f t="shared" si="162"/>
        <v>3049447</v>
      </c>
      <c r="Q99" s="668">
        <f t="shared" si="163"/>
        <v>90220</v>
      </c>
      <c r="R99" s="418">
        <v>40443</v>
      </c>
      <c r="S99" s="419">
        <f t="shared" si="164"/>
        <v>17.6509</v>
      </c>
      <c r="T99" s="419">
        <v>14.870900000000001</v>
      </c>
      <c r="U99" s="426">
        <v>2.7800000000000002</v>
      </c>
      <c r="V99" s="428">
        <f t="shared" si="165"/>
        <v>-21125</v>
      </c>
      <c r="W99" s="421">
        <f t="shared" si="166"/>
        <v>-5325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 t="shared" si="167"/>
        <v>-21125</v>
      </c>
      <c r="AG99" s="421">
        <f t="shared" si="168"/>
        <v>-5325</v>
      </c>
      <c r="AH99" s="421">
        <f t="shared" si="169"/>
        <v>-26450</v>
      </c>
      <c r="AI99" s="421">
        <v>21125</v>
      </c>
      <c r="AJ99" s="421">
        <v>5325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si="170"/>
        <v>21125</v>
      </c>
      <c r="AP99" s="421">
        <f t="shared" si="171"/>
        <v>5325</v>
      </c>
      <c r="AQ99" s="421">
        <f t="shared" si="172"/>
        <v>26450</v>
      </c>
      <c r="AR99" s="421">
        <f t="shared" ref="AR99:AS101" si="214">AF99+AO99</f>
        <v>0</v>
      </c>
      <c r="AS99" s="421">
        <f t="shared" si="214"/>
        <v>0</v>
      </c>
      <c r="AT99" s="421">
        <f t="shared" si="173"/>
        <v>0</v>
      </c>
      <c r="AU99" s="68">
        <f t="shared" ref="AU99:AU101" si="215">ROUND((AH99+AI99+AJ99+AK99+AL99)*33.8%,0)</f>
        <v>0</v>
      </c>
      <c r="AV99" s="68">
        <f>ROUND(AH99*1%,0)</f>
        <v>-265</v>
      </c>
      <c r="AW99" s="421">
        <v>0</v>
      </c>
      <c r="AX99" s="421">
        <v>0</v>
      </c>
      <c r="AY99" s="421">
        <f t="shared" si="174"/>
        <v>0</v>
      </c>
      <c r="AZ99" s="421">
        <f t="shared" si="175"/>
        <v>-265</v>
      </c>
      <c r="BA99" s="422">
        <v>-0.04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>BA99+BC99+BD99+BF99+BH99+BI99</f>
        <v>-0.04</v>
      </c>
      <c r="BL99" s="422">
        <f>BB99+BE99+BG99+BJ99</f>
        <v>0</v>
      </c>
      <c r="BM99" s="424">
        <f t="shared" si="176"/>
        <v>-0.04</v>
      </c>
      <c r="BN99" s="427">
        <f>I99+AZ99</f>
        <v>12201878</v>
      </c>
      <c r="BO99" s="421">
        <f>J99+AH99</f>
        <v>8995583</v>
      </c>
      <c r="BP99" s="421">
        <f t="shared" ref="BP99:BQ101" si="216">K99+AF99</f>
        <v>8188805</v>
      </c>
      <c r="BQ99" s="421">
        <f t="shared" si="216"/>
        <v>806778</v>
      </c>
      <c r="BR99" s="421">
        <f>M99+AQ99</f>
        <v>26450</v>
      </c>
      <c r="BS99" s="421">
        <f t="shared" ref="BS99:BT101" si="217">N99+AO99</f>
        <v>21125</v>
      </c>
      <c r="BT99" s="421">
        <f t="shared" si="217"/>
        <v>5325</v>
      </c>
      <c r="BU99" s="421">
        <f t="shared" ref="BU99:BV101" si="218">P99+AU99</f>
        <v>3049447</v>
      </c>
      <c r="BV99" s="421">
        <f t="shared" si="218"/>
        <v>89955</v>
      </c>
      <c r="BW99" s="421">
        <f>R99+AY99</f>
        <v>40443</v>
      </c>
      <c r="BX99" s="422">
        <f>S99+BM99</f>
        <v>17.610900000000001</v>
      </c>
      <c r="BY99" s="422">
        <f t="shared" ref="BY99:BZ101" si="219">T99+BK99</f>
        <v>14.830900000000002</v>
      </c>
      <c r="BZ99" s="611">
        <f t="shared" si="219"/>
        <v>2.7800000000000002</v>
      </c>
      <c r="CA99" s="423"/>
      <c r="CB99" s="418"/>
      <c r="CC99" s="418"/>
      <c r="CD99" s="418"/>
      <c r="CE99" s="418"/>
      <c r="CF99" s="527"/>
    </row>
    <row r="100" spans="1:84" ht="14.1" customHeight="1" x14ac:dyDescent="0.2">
      <c r="A100" s="66">
        <v>24</v>
      </c>
      <c r="B100" s="63">
        <v>2412</v>
      </c>
      <c r="C100" s="64">
        <v>600079252</v>
      </c>
      <c r="D100" s="63">
        <v>72742429</v>
      </c>
      <c r="E100" s="65" t="s">
        <v>581</v>
      </c>
      <c r="F100" s="66">
        <v>3111</v>
      </c>
      <c r="G100" s="77" t="s">
        <v>292</v>
      </c>
      <c r="H100" s="67" t="s">
        <v>272</v>
      </c>
      <c r="I100" s="423">
        <f t="shared" si="159"/>
        <v>0</v>
      </c>
      <c r="J100" s="418">
        <f t="shared" si="160"/>
        <v>0</v>
      </c>
      <c r="K100" s="418">
        <v>0</v>
      </c>
      <c r="L100" s="418">
        <v>0</v>
      </c>
      <c r="M100" s="418">
        <f t="shared" si="161"/>
        <v>0</v>
      </c>
      <c r="N100" s="418">
        <v>0</v>
      </c>
      <c r="O100" s="418">
        <v>0</v>
      </c>
      <c r="P100" s="668">
        <f t="shared" si="162"/>
        <v>0</v>
      </c>
      <c r="Q100" s="668">
        <f t="shared" si="163"/>
        <v>0</v>
      </c>
      <c r="R100" s="418">
        <v>0</v>
      </c>
      <c r="S100" s="419">
        <f t="shared" si="164"/>
        <v>0</v>
      </c>
      <c r="T100" s="420">
        <v>0</v>
      </c>
      <c r="U100" s="426">
        <v>0</v>
      </c>
      <c r="V100" s="428">
        <f t="shared" si="165"/>
        <v>0</v>
      </c>
      <c r="W100" s="421">
        <f t="shared" si="166"/>
        <v>0</v>
      </c>
      <c r="X100" s="16">
        <v>1063036</v>
      </c>
      <c r="Y100" s="16">
        <v>0</v>
      </c>
      <c r="Z100" s="16">
        <v>0</v>
      </c>
      <c r="AA100" s="16">
        <v>0</v>
      </c>
      <c r="AB100" s="421">
        <v>0</v>
      </c>
      <c r="AC100" s="16">
        <v>0</v>
      </c>
      <c r="AD100" s="16">
        <v>0</v>
      </c>
      <c r="AE100" s="16">
        <v>0</v>
      </c>
      <c r="AF100" s="421">
        <f t="shared" si="167"/>
        <v>1063036</v>
      </c>
      <c r="AG100" s="421">
        <f t="shared" si="168"/>
        <v>0</v>
      </c>
      <c r="AH100" s="421">
        <f t="shared" si="169"/>
        <v>1063036</v>
      </c>
      <c r="AI100" s="16">
        <v>0</v>
      </c>
      <c r="AJ100" s="16">
        <v>0</v>
      </c>
      <c r="AK100" s="421">
        <v>0</v>
      </c>
      <c r="AL100" s="16">
        <v>0</v>
      </c>
      <c r="AM100" s="16">
        <v>0</v>
      </c>
      <c r="AN100" s="16">
        <v>0</v>
      </c>
      <c r="AO100" s="421">
        <f t="shared" si="170"/>
        <v>0</v>
      </c>
      <c r="AP100" s="16">
        <v>0</v>
      </c>
      <c r="AQ100" s="421">
        <f t="shared" si="172"/>
        <v>0</v>
      </c>
      <c r="AR100" s="421">
        <f t="shared" si="214"/>
        <v>1063036</v>
      </c>
      <c r="AS100" s="421">
        <f t="shared" si="214"/>
        <v>0</v>
      </c>
      <c r="AT100" s="421">
        <f t="shared" si="173"/>
        <v>1063036</v>
      </c>
      <c r="AU100" s="68">
        <f t="shared" si="215"/>
        <v>359306</v>
      </c>
      <c r="AV100" s="68">
        <f>ROUND(AH100*1%,0)</f>
        <v>10630</v>
      </c>
      <c r="AW100" s="16">
        <v>0</v>
      </c>
      <c r="AX100" s="16">
        <v>0</v>
      </c>
      <c r="AY100" s="421">
        <f t="shared" si="174"/>
        <v>0</v>
      </c>
      <c r="AZ100" s="421">
        <f t="shared" si="175"/>
        <v>1432972</v>
      </c>
      <c r="BA100" s="13">
        <v>0</v>
      </c>
      <c r="BB100" s="13">
        <v>0</v>
      </c>
      <c r="BC100" s="13">
        <v>3.1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>BA100+BC100+BD100+BF100+BH100+BI100</f>
        <v>3.1</v>
      </c>
      <c r="BL100" s="422">
        <f>BB100+BE100+BG100+BJ100</f>
        <v>0</v>
      </c>
      <c r="BM100" s="424">
        <f t="shared" si="176"/>
        <v>3.1</v>
      </c>
      <c r="BN100" s="427">
        <f>I100+AZ100</f>
        <v>1432972</v>
      </c>
      <c r="BO100" s="421">
        <f>J100+AH100</f>
        <v>1063036</v>
      </c>
      <c r="BP100" s="421">
        <f t="shared" si="216"/>
        <v>1063036</v>
      </c>
      <c r="BQ100" s="421">
        <f t="shared" si="216"/>
        <v>0</v>
      </c>
      <c r="BR100" s="421">
        <f>M100+AQ100</f>
        <v>0</v>
      </c>
      <c r="BS100" s="421">
        <f t="shared" si="217"/>
        <v>0</v>
      </c>
      <c r="BT100" s="421">
        <f t="shared" si="217"/>
        <v>0</v>
      </c>
      <c r="BU100" s="421">
        <f t="shared" si="218"/>
        <v>359306</v>
      </c>
      <c r="BV100" s="421">
        <f t="shared" si="218"/>
        <v>10630</v>
      </c>
      <c r="BW100" s="421">
        <f>R100+AY100</f>
        <v>0</v>
      </c>
      <c r="BX100" s="422">
        <f>S100+BM100</f>
        <v>3.1</v>
      </c>
      <c r="BY100" s="422">
        <f t="shared" si="219"/>
        <v>3.1</v>
      </c>
      <c r="BZ100" s="611">
        <f t="shared" si="219"/>
        <v>0</v>
      </c>
      <c r="CA100" s="423"/>
      <c r="CB100" s="418"/>
      <c r="CC100" s="418"/>
      <c r="CD100" s="418"/>
      <c r="CE100" s="418"/>
      <c r="CF100" s="527"/>
    </row>
    <row r="101" spans="1:84" ht="14.1" customHeight="1" x14ac:dyDescent="0.2">
      <c r="A101" s="66">
        <v>24</v>
      </c>
      <c r="B101" s="63">
        <v>2412</v>
      </c>
      <c r="C101" s="64">
        <v>600079252</v>
      </c>
      <c r="D101" s="63">
        <v>72742429</v>
      </c>
      <c r="E101" s="65" t="s">
        <v>581</v>
      </c>
      <c r="F101" s="66">
        <v>3141</v>
      </c>
      <c r="G101" s="65" t="s">
        <v>295</v>
      </c>
      <c r="H101" s="67" t="s">
        <v>272</v>
      </c>
      <c r="I101" s="423">
        <f t="shared" si="159"/>
        <v>1074399</v>
      </c>
      <c r="J101" s="418">
        <f t="shared" si="160"/>
        <v>793682</v>
      </c>
      <c r="K101" s="418">
        <v>0</v>
      </c>
      <c r="L101" s="924">
        <v>793682</v>
      </c>
      <c r="M101" s="418">
        <f>N101+O101</f>
        <v>0</v>
      </c>
      <c r="N101" s="205">
        <v>0</v>
      </c>
      <c r="O101" s="205">
        <v>0</v>
      </c>
      <c r="P101" s="668">
        <f t="shared" si="162"/>
        <v>268265</v>
      </c>
      <c r="Q101" s="668">
        <f t="shared" si="163"/>
        <v>7937</v>
      </c>
      <c r="R101" s="674">
        <v>4515</v>
      </c>
      <c r="S101" s="419">
        <f>T101+U101</f>
        <v>2.38</v>
      </c>
      <c r="T101" s="676">
        <v>0</v>
      </c>
      <c r="U101" s="909">
        <v>2.38</v>
      </c>
      <c r="V101" s="428">
        <f t="shared" si="165"/>
        <v>0</v>
      </c>
      <c r="W101" s="421">
        <f t="shared" si="166"/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 t="shared" si="167"/>
        <v>0</v>
      </c>
      <c r="AG101" s="421">
        <f t="shared" si="168"/>
        <v>0</v>
      </c>
      <c r="AH101" s="421">
        <f t="shared" si="169"/>
        <v>0</v>
      </c>
      <c r="AI101" s="421">
        <v>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170"/>
        <v>0</v>
      </c>
      <c r="AP101" s="421">
        <f t="shared" si="171"/>
        <v>0</v>
      </c>
      <c r="AQ101" s="421">
        <f t="shared" si="172"/>
        <v>0</v>
      </c>
      <c r="AR101" s="421">
        <f t="shared" si="214"/>
        <v>0</v>
      </c>
      <c r="AS101" s="421">
        <f t="shared" si="214"/>
        <v>0</v>
      </c>
      <c r="AT101" s="421">
        <f t="shared" si="173"/>
        <v>0</v>
      </c>
      <c r="AU101" s="68">
        <f t="shared" si="215"/>
        <v>0</v>
      </c>
      <c r="AV101" s="68">
        <f>ROUND(AH101*1%,0)</f>
        <v>0</v>
      </c>
      <c r="AW101" s="421">
        <v>0</v>
      </c>
      <c r="AX101" s="421">
        <v>0</v>
      </c>
      <c r="AY101" s="421">
        <f t="shared" si="174"/>
        <v>0</v>
      </c>
      <c r="AZ101" s="421">
        <f t="shared" si="175"/>
        <v>0</v>
      </c>
      <c r="BA101" s="422">
        <v>0</v>
      </c>
      <c r="BB101" s="422">
        <v>0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>BA101+BC101+BD101+BF101+BH101+BI101</f>
        <v>0</v>
      </c>
      <c r="BL101" s="422">
        <f>BB101+BE101+BG101+BJ101</f>
        <v>0</v>
      </c>
      <c r="BM101" s="424">
        <f t="shared" si="176"/>
        <v>0</v>
      </c>
      <c r="BN101" s="427">
        <f>I101+AZ101</f>
        <v>1074399</v>
      </c>
      <c r="BO101" s="421">
        <f>J101+AH101</f>
        <v>793682</v>
      </c>
      <c r="BP101" s="421">
        <f t="shared" si="216"/>
        <v>0</v>
      </c>
      <c r="BQ101" s="421">
        <f t="shared" si="216"/>
        <v>793682</v>
      </c>
      <c r="BR101" s="421">
        <f>M101+AQ101</f>
        <v>0</v>
      </c>
      <c r="BS101" s="421">
        <f t="shared" si="217"/>
        <v>0</v>
      </c>
      <c r="BT101" s="421">
        <f t="shared" si="217"/>
        <v>0</v>
      </c>
      <c r="BU101" s="421">
        <f t="shared" si="218"/>
        <v>268265</v>
      </c>
      <c r="BV101" s="421">
        <f t="shared" si="218"/>
        <v>7937</v>
      </c>
      <c r="BW101" s="421">
        <f>R101+AY101</f>
        <v>4515</v>
      </c>
      <c r="BX101" s="422">
        <f>S101+BM101</f>
        <v>2.38</v>
      </c>
      <c r="BY101" s="422">
        <f t="shared" si="219"/>
        <v>0</v>
      </c>
      <c r="BZ101" s="611">
        <f t="shared" si="219"/>
        <v>2.38</v>
      </c>
      <c r="CA101" s="423"/>
      <c r="CB101" s="418"/>
      <c r="CC101" s="418"/>
      <c r="CD101" s="418"/>
      <c r="CE101" s="418"/>
      <c r="CF101" s="527"/>
    </row>
    <row r="102" spans="1:84" ht="13.5" customHeight="1" x14ac:dyDescent="0.2">
      <c r="A102" s="72">
        <v>24</v>
      </c>
      <c r="B102" s="69">
        <v>2412</v>
      </c>
      <c r="C102" s="70">
        <v>600079252</v>
      </c>
      <c r="D102" s="69">
        <v>72742429</v>
      </c>
      <c r="E102" s="71" t="s">
        <v>582</v>
      </c>
      <c r="F102" s="72"/>
      <c r="G102" s="71"/>
      <c r="H102" s="73"/>
      <c r="I102" s="538">
        <f t="shared" ref="I102:BU102" si="220">SUM(I99:I101)</f>
        <v>13276542</v>
      </c>
      <c r="J102" s="74">
        <f t="shared" si="220"/>
        <v>9815715</v>
      </c>
      <c r="K102" s="74">
        <f t="shared" si="220"/>
        <v>8209930</v>
      </c>
      <c r="L102" s="74">
        <f t="shared" si="220"/>
        <v>1605785</v>
      </c>
      <c r="M102" s="74">
        <f t="shared" si="220"/>
        <v>0</v>
      </c>
      <c r="N102" s="74">
        <f t="shared" si="220"/>
        <v>0</v>
      </c>
      <c r="O102" s="74">
        <f t="shared" si="220"/>
        <v>0</v>
      </c>
      <c r="P102" s="74">
        <f t="shared" si="220"/>
        <v>3317712</v>
      </c>
      <c r="Q102" s="74">
        <f t="shared" si="220"/>
        <v>98157</v>
      </c>
      <c r="R102" s="74">
        <f t="shared" si="220"/>
        <v>44958</v>
      </c>
      <c r="S102" s="75">
        <f t="shared" si="220"/>
        <v>20.030899999999999</v>
      </c>
      <c r="T102" s="75">
        <f t="shared" si="220"/>
        <v>14.870900000000001</v>
      </c>
      <c r="U102" s="753">
        <f t="shared" si="220"/>
        <v>5.16</v>
      </c>
      <c r="V102" s="538">
        <f t="shared" si="220"/>
        <v>-21125</v>
      </c>
      <c r="W102" s="74">
        <f t="shared" si="220"/>
        <v>-5325</v>
      </c>
      <c r="X102" s="74">
        <f t="shared" si="220"/>
        <v>1063036</v>
      </c>
      <c r="Y102" s="74">
        <f t="shared" si="220"/>
        <v>0</v>
      </c>
      <c r="Z102" s="74">
        <f t="shared" si="220"/>
        <v>0</v>
      </c>
      <c r="AA102" s="74">
        <f t="shared" si="220"/>
        <v>0</v>
      </c>
      <c r="AB102" s="74">
        <f t="shared" si="220"/>
        <v>0</v>
      </c>
      <c r="AC102" s="74">
        <f t="shared" si="220"/>
        <v>0</v>
      </c>
      <c r="AD102" s="74">
        <f t="shared" si="220"/>
        <v>0</v>
      </c>
      <c r="AE102" s="74">
        <f t="shared" si="220"/>
        <v>0</v>
      </c>
      <c r="AF102" s="74">
        <f t="shared" si="220"/>
        <v>1041911</v>
      </c>
      <c r="AG102" s="74">
        <f t="shared" si="220"/>
        <v>-5325</v>
      </c>
      <c r="AH102" s="74">
        <f t="shared" si="220"/>
        <v>1036586</v>
      </c>
      <c r="AI102" s="74">
        <f t="shared" si="220"/>
        <v>21125</v>
      </c>
      <c r="AJ102" s="74">
        <f t="shared" si="220"/>
        <v>5325</v>
      </c>
      <c r="AK102" s="74">
        <f t="shared" si="220"/>
        <v>0</v>
      </c>
      <c r="AL102" s="74">
        <f t="shared" si="220"/>
        <v>0</v>
      </c>
      <c r="AM102" s="74">
        <f t="shared" si="220"/>
        <v>0</v>
      </c>
      <c r="AN102" s="74">
        <f t="shared" si="220"/>
        <v>0</v>
      </c>
      <c r="AO102" s="74">
        <f t="shared" si="220"/>
        <v>21125</v>
      </c>
      <c r="AP102" s="74">
        <f t="shared" si="220"/>
        <v>5325</v>
      </c>
      <c r="AQ102" s="74">
        <f t="shared" si="220"/>
        <v>26450</v>
      </c>
      <c r="AR102" s="74">
        <f t="shared" si="220"/>
        <v>1063036</v>
      </c>
      <c r="AS102" s="74">
        <f t="shared" si="220"/>
        <v>0</v>
      </c>
      <c r="AT102" s="74">
        <f t="shared" si="220"/>
        <v>1063036</v>
      </c>
      <c r="AU102" s="74">
        <f t="shared" si="220"/>
        <v>359306</v>
      </c>
      <c r="AV102" s="74">
        <f t="shared" si="220"/>
        <v>10365</v>
      </c>
      <c r="AW102" s="74">
        <f t="shared" si="220"/>
        <v>0</v>
      </c>
      <c r="AX102" s="74">
        <f t="shared" si="220"/>
        <v>0</v>
      </c>
      <c r="AY102" s="74">
        <f t="shared" si="220"/>
        <v>0</v>
      </c>
      <c r="AZ102" s="74">
        <f t="shared" si="220"/>
        <v>1432707</v>
      </c>
      <c r="BA102" s="75">
        <f t="shared" si="220"/>
        <v>-0.04</v>
      </c>
      <c r="BB102" s="75">
        <f t="shared" si="220"/>
        <v>0</v>
      </c>
      <c r="BC102" s="75">
        <f t="shared" si="220"/>
        <v>3.1</v>
      </c>
      <c r="BD102" s="75">
        <f t="shared" si="220"/>
        <v>0</v>
      </c>
      <c r="BE102" s="75">
        <f t="shared" si="220"/>
        <v>0</v>
      </c>
      <c r="BF102" s="75">
        <f t="shared" si="220"/>
        <v>0</v>
      </c>
      <c r="BG102" s="75">
        <f t="shared" si="220"/>
        <v>0</v>
      </c>
      <c r="BH102" s="75">
        <f t="shared" si="220"/>
        <v>0</v>
      </c>
      <c r="BI102" s="75">
        <f t="shared" si="220"/>
        <v>0</v>
      </c>
      <c r="BJ102" s="75">
        <f t="shared" si="220"/>
        <v>0</v>
      </c>
      <c r="BK102" s="75">
        <f t="shared" si="220"/>
        <v>3.06</v>
      </c>
      <c r="BL102" s="75">
        <f t="shared" si="220"/>
        <v>0</v>
      </c>
      <c r="BM102" s="76">
        <f t="shared" si="220"/>
        <v>3.06</v>
      </c>
      <c r="BN102" s="549">
        <f t="shared" si="220"/>
        <v>14709249</v>
      </c>
      <c r="BO102" s="74">
        <f t="shared" si="220"/>
        <v>10852301</v>
      </c>
      <c r="BP102" s="74">
        <f t="shared" si="220"/>
        <v>9251841</v>
      </c>
      <c r="BQ102" s="74">
        <f t="shared" si="220"/>
        <v>1600460</v>
      </c>
      <c r="BR102" s="74">
        <f t="shared" si="220"/>
        <v>26450</v>
      </c>
      <c r="BS102" s="74">
        <f t="shared" si="220"/>
        <v>21125</v>
      </c>
      <c r="BT102" s="74">
        <f t="shared" si="220"/>
        <v>5325</v>
      </c>
      <c r="BU102" s="74">
        <f t="shared" si="220"/>
        <v>3677018</v>
      </c>
      <c r="BV102" s="74">
        <f t="shared" ref="BV102:CF102" si="221">SUM(BV99:BV101)</f>
        <v>108522</v>
      </c>
      <c r="BW102" s="74">
        <f t="shared" si="221"/>
        <v>44958</v>
      </c>
      <c r="BX102" s="75">
        <f t="shared" si="221"/>
        <v>23.090900000000001</v>
      </c>
      <c r="BY102" s="75">
        <f t="shared" si="221"/>
        <v>17.930900000000001</v>
      </c>
      <c r="BZ102" s="753">
        <f t="shared" si="221"/>
        <v>5.16</v>
      </c>
      <c r="CA102" s="796">
        <f t="shared" si="221"/>
        <v>0</v>
      </c>
      <c r="CB102" s="789">
        <f t="shared" si="221"/>
        <v>0</v>
      </c>
      <c r="CC102" s="789">
        <f t="shared" si="221"/>
        <v>0</v>
      </c>
      <c r="CD102" s="789">
        <f t="shared" si="221"/>
        <v>0</v>
      </c>
      <c r="CE102" s="789">
        <f t="shared" si="221"/>
        <v>0</v>
      </c>
      <c r="CF102" s="793">
        <f t="shared" si="221"/>
        <v>0</v>
      </c>
    </row>
    <row r="103" spans="1:84" ht="14.1" customHeight="1" x14ac:dyDescent="0.2">
      <c r="A103" s="66">
        <v>25</v>
      </c>
      <c r="B103" s="63">
        <v>2418</v>
      </c>
      <c r="C103" s="64">
        <v>600079261</v>
      </c>
      <c r="D103" s="63">
        <v>72741783</v>
      </c>
      <c r="E103" s="65" t="s">
        <v>583</v>
      </c>
      <c r="F103" s="66">
        <v>3111</v>
      </c>
      <c r="G103" s="65" t="s">
        <v>291</v>
      </c>
      <c r="H103" s="67" t="s">
        <v>271</v>
      </c>
      <c r="I103" s="423">
        <f t="shared" si="159"/>
        <v>3562519</v>
      </c>
      <c r="J103" s="418">
        <f t="shared" si="160"/>
        <v>2634499</v>
      </c>
      <c r="K103" s="418">
        <v>2399379</v>
      </c>
      <c r="L103" s="418">
        <v>235120</v>
      </c>
      <c r="M103" s="418">
        <f>N103+O103</f>
        <v>0</v>
      </c>
      <c r="N103" s="418">
        <v>0</v>
      </c>
      <c r="O103" s="418">
        <v>0</v>
      </c>
      <c r="P103" s="668">
        <f t="shared" si="162"/>
        <v>890461</v>
      </c>
      <c r="Q103" s="668">
        <f t="shared" si="163"/>
        <v>26345</v>
      </c>
      <c r="R103" s="418">
        <v>11214</v>
      </c>
      <c r="S103" s="419">
        <f t="shared" si="164"/>
        <v>4.8001000000000005</v>
      </c>
      <c r="T103" s="419">
        <v>4</v>
      </c>
      <c r="U103" s="426">
        <v>0.80010000000000003</v>
      </c>
      <c r="V103" s="428">
        <f t="shared" si="165"/>
        <v>0</v>
      </c>
      <c r="W103" s="421">
        <f t="shared" si="166"/>
        <v>0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 t="shared" si="167"/>
        <v>0</v>
      </c>
      <c r="AG103" s="421">
        <f t="shared" si="168"/>
        <v>0</v>
      </c>
      <c r="AH103" s="421">
        <f t="shared" si="169"/>
        <v>0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170"/>
        <v>0</v>
      </c>
      <c r="AP103" s="421">
        <f t="shared" si="171"/>
        <v>0</v>
      </c>
      <c r="AQ103" s="421">
        <f t="shared" si="172"/>
        <v>0</v>
      </c>
      <c r="AR103" s="421">
        <f>AF103+AO103</f>
        <v>0</v>
      </c>
      <c r="AS103" s="421">
        <f>AG103+AP103</f>
        <v>0</v>
      </c>
      <c r="AT103" s="421">
        <f t="shared" si="173"/>
        <v>0</v>
      </c>
      <c r="AU103" s="68">
        <f t="shared" ref="AU103:AU104" si="222">ROUND((AH103+AI103+AJ103+AK103+AL103)*33.8%,0)</f>
        <v>0</v>
      </c>
      <c r="AV103" s="68">
        <f>ROUND(AH103*1%,0)</f>
        <v>0</v>
      </c>
      <c r="AW103" s="421">
        <v>0</v>
      </c>
      <c r="AX103" s="421">
        <v>0</v>
      </c>
      <c r="AY103" s="421">
        <f t="shared" si="174"/>
        <v>0</v>
      </c>
      <c r="AZ103" s="421">
        <f t="shared" si="175"/>
        <v>0</v>
      </c>
      <c r="BA103" s="422">
        <v>0</v>
      </c>
      <c r="BB103" s="422">
        <v>0</v>
      </c>
      <c r="BC103" s="422">
        <v>0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>BA103+BC103+BD103+BF103+BH103+BI103</f>
        <v>0</v>
      </c>
      <c r="BL103" s="422">
        <f>BB103+BE103+BG103+BJ103</f>
        <v>0</v>
      </c>
      <c r="BM103" s="424">
        <f t="shared" si="176"/>
        <v>0</v>
      </c>
      <c r="BN103" s="427">
        <f>I103+AZ103</f>
        <v>3562519</v>
      </c>
      <c r="BO103" s="421">
        <f>J103+AH103</f>
        <v>2634499</v>
      </c>
      <c r="BP103" s="421">
        <f>K103+AF103</f>
        <v>2399379</v>
      </c>
      <c r="BQ103" s="421">
        <f>L103+AG103</f>
        <v>235120</v>
      </c>
      <c r="BR103" s="421">
        <f>M103+AQ103</f>
        <v>0</v>
      </c>
      <c r="BS103" s="421">
        <f>N103+AO103</f>
        <v>0</v>
      </c>
      <c r="BT103" s="421">
        <f>O103+AP103</f>
        <v>0</v>
      </c>
      <c r="BU103" s="421">
        <f>P103+AU103</f>
        <v>890461</v>
      </c>
      <c r="BV103" s="421">
        <f>Q103+AV103</f>
        <v>26345</v>
      </c>
      <c r="BW103" s="421">
        <f>R103+AY103</f>
        <v>11214</v>
      </c>
      <c r="BX103" s="422">
        <f>S103+BM103</f>
        <v>4.8001000000000005</v>
      </c>
      <c r="BY103" s="422">
        <f>T103+BK103</f>
        <v>4</v>
      </c>
      <c r="BZ103" s="611">
        <f>U103+BL103</f>
        <v>0.80010000000000003</v>
      </c>
      <c r="CA103" s="423"/>
      <c r="CB103" s="418"/>
      <c r="CC103" s="418"/>
      <c r="CD103" s="418"/>
      <c r="CE103" s="418"/>
      <c r="CF103" s="527"/>
    </row>
    <row r="104" spans="1:84" ht="14.1" customHeight="1" x14ac:dyDescent="0.2">
      <c r="A104" s="66">
        <v>25</v>
      </c>
      <c r="B104" s="63">
        <v>2418</v>
      </c>
      <c r="C104" s="64">
        <v>600079261</v>
      </c>
      <c r="D104" s="63">
        <v>72741783</v>
      </c>
      <c r="E104" s="65" t="s">
        <v>583</v>
      </c>
      <c r="F104" s="66">
        <v>3141</v>
      </c>
      <c r="G104" s="65" t="s">
        <v>295</v>
      </c>
      <c r="H104" s="67" t="s">
        <v>272</v>
      </c>
      <c r="I104" s="423">
        <f t="shared" si="159"/>
        <v>403002</v>
      </c>
      <c r="J104" s="418">
        <f t="shared" si="160"/>
        <v>297898</v>
      </c>
      <c r="K104" s="418">
        <v>0</v>
      </c>
      <c r="L104" s="924">
        <v>297898</v>
      </c>
      <c r="M104" s="418">
        <f>N104+O104</f>
        <v>0</v>
      </c>
      <c r="N104" s="205">
        <v>0</v>
      </c>
      <c r="O104" s="205">
        <v>0</v>
      </c>
      <c r="P104" s="668">
        <f t="shared" si="162"/>
        <v>100690</v>
      </c>
      <c r="Q104" s="668">
        <f t="shared" si="163"/>
        <v>2979</v>
      </c>
      <c r="R104" s="674">
        <v>1435</v>
      </c>
      <c r="S104" s="419">
        <f>T104+U104</f>
        <v>0.89329999999999998</v>
      </c>
      <c r="T104" s="676">
        <v>0</v>
      </c>
      <c r="U104" s="909">
        <v>0.89329999999999998</v>
      </c>
      <c r="V104" s="428">
        <f t="shared" si="165"/>
        <v>0</v>
      </c>
      <c r="W104" s="421">
        <f t="shared" si="166"/>
        <v>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 t="shared" si="167"/>
        <v>0</v>
      </c>
      <c r="AG104" s="421">
        <f t="shared" si="168"/>
        <v>0</v>
      </c>
      <c r="AH104" s="421">
        <f t="shared" si="169"/>
        <v>0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170"/>
        <v>0</v>
      </c>
      <c r="AP104" s="421">
        <f t="shared" si="171"/>
        <v>0</v>
      </c>
      <c r="AQ104" s="421">
        <f t="shared" si="172"/>
        <v>0</v>
      </c>
      <c r="AR104" s="421">
        <f>AF104+AO104</f>
        <v>0</v>
      </c>
      <c r="AS104" s="421">
        <f>AG104+AP104</f>
        <v>0</v>
      </c>
      <c r="AT104" s="421">
        <f t="shared" si="173"/>
        <v>0</v>
      </c>
      <c r="AU104" s="68">
        <f t="shared" si="222"/>
        <v>0</v>
      </c>
      <c r="AV104" s="68">
        <f>ROUND(AH104*1%,0)</f>
        <v>0</v>
      </c>
      <c r="AW104" s="421">
        <v>0</v>
      </c>
      <c r="AX104" s="421">
        <v>0</v>
      </c>
      <c r="AY104" s="421">
        <f t="shared" si="174"/>
        <v>0</v>
      </c>
      <c r="AZ104" s="421">
        <f t="shared" si="175"/>
        <v>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>BA104+BC104+BD104+BF104+BH104+BI104</f>
        <v>0</v>
      </c>
      <c r="BL104" s="422">
        <f>BB104+BE104+BG104+BJ104</f>
        <v>0</v>
      </c>
      <c r="BM104" s="424">
        <f t="shared" si="176"/>
        <v>0</v>
      </c>
      <c r="BN104" s="427">
        <f>I104+AZ104</f>
        <v>403002</v>
      </c>
      <c r="BO104" s="421">
        <f>J104+AH104</f>
        <v>297898</v>
      </c>
      <c r="BP104" s="421">
        <f>K104+AF104</f>
        <v>0</v>
      </c>
      <c r="BQ104" s="421">
        <f>L104+AG104</f>
        <v>297898</v>
      </c>
      <c r="BR104" s="421">
        <f>M104+AQ104</f>
        <v>0</v>
      </c>
      <c r="BS104" s="421">
        <f>N104+AO104</f>
        <v>0</v>
      </c>
      <c r="BT104" s="421">
        <f>O104+AP104</f>
        <v>0</v>
      </c>
      <c r="BU104" s="421">
        <f>P104+AU104</f>
        <v>100690</v>
      </c>
      <c r="BV104" s="421">
        <f>Q104+AV104</f>
        <v>2979</v>
      </c>
      <c r="BW104" s="421">
        <f>R104+AY104</f>
        <v>1435</v>
      </c>
      <c r="BX104" s="422">
        <f>S104+BM104</f>
        <v>0.89329999999999998</v>
      </c>
      <c r="BY104" s="422">
        <f>T104+BK104</f>
        <v>0</v>
      </c>
      <c r="BZ104" s="611">
        <f>U104+BL104</f>
        <v>0.89329999999999998</v>
      </c>
      <c r="CA104" s="423"/>
      <c r="CB104" s="418"/>
      <c r="CC104" s="418"/>
      <c r="CD104" s="418"/>
      <c r="CE104" s="418"/>
      <c r="CF104" s="527"/>
    </row>
    <row r="105" spans="1:84" ht="13.5" customHeight="1" x14ac:dyDescent="0.2">
      <c r="A105" s="72">
        <v>25</v>
      </c>
      <c r="B105" s="69">
        <v>2418</v>
      </c>
      <c r="C105" s="70">
        <v>600079261</v>
      </c>
      <c r="D105" s="69">
        <v>72741783</v>
      </c>
      <c r="E105" s="71" t="s">
        <v>584</v>
      </c>
      <c r="F105" s="72"/>
      <c r="G105" s="71"/>
      <c r="H105" s="73"/>
      <c r="I105" s="538">
        <f t="shared" ref="I105:BU105" si="223">SUM(I103:I104)</f>
        <v>3965521</v>
      </c>
      <c r="J105" s="74">
        <f t="shared" si="223"/>
        <v>2932397</v>
      </c>
      <c r="K105" s="74">
        <f t="shared" si="223"/>
        <v>2399379</v>
      </c>
      <c r="L105" s="74">
        <f t="shared" si="223"/>
        <v>533018</v>
      </c>
      <c r="M105" s="74">
        <f t="shared" si="223"/>
        <v>0</v>
      </c>
      <c r="N105" s="74">
        <f t="shared" si="223"/>
        <v>0</v>
      </c>
      <c r="O105" s="74">
        <f t="shared" si="223"/>
        <v>0</v>
      </c>
      <c r="P105" s="74">
        <f t="shared" si="223"/>
        <v>991151</v>
      </c>
      <c r="Q105" s="74">
        <f t="shared" si="223"/>
        <v>29324</v>
      </c>
      <c r="R105" s="74">
        <f t="shared" si="223"/>
        <v>12649</v>
      </c>
      <c r="S105" s="75">
        <f t="shared" si="223"/>
        <v>5.6934000000000005</v>
      </c>
      <c r="T105" s="75">
        <f t="shared" si="223"/>
        <v>4</v>
      </c>
      <c r="U105" s="753">
        <f t="shared" si="223"/>
        <v>1.6934</v>
      </c>
      <c r="V105" s="538">
        <f t="shared" si="223"/>
        <v>0</v>
      </c>
      <c r="W105" s="74">
        <f t="shared" si="223"/>
        <v>0</v>
      </c>
      <c r="X105" s="74">
        <f t="shared" si="223"/>
        <v>0</v>
      </c>
      <c r="Y105" s="74">
        <f t="shared" si="223"/>
        <v>0</v>
      </c>
      <c r="Z105" s="74">
        <f t="shared" si="223"/>
        <v>0</v>
      </c>
      <c r="AA105" s="74">
        <f t="shared" si="223"/>
        <v>0</v>
      </c>
      <c r="AB105" s="74">
        <f t="shared" si="223"/>
        <v>0</v>
      </c>
      <c r="AC105" s="74">
        <f t="shared" si="223"/>
        <v>0</v>
      </c>
      <c r="AD105" s="74">
        <f t="shared" si="223"/>
        <v>0</v>
      </c>
      <c r="AE105" s="74">
        <f t="shared" si="223"/>
        <v>0</v>
      </c>
      <c r="AF105" s="74">
        <f t="shared" si="223"/>
        <v>0</v>
      </c>
      <c r="AG105" s="74">
        <f t="shared" si="223"/>
        <v>0</v>
      </c>
      <c r="AH105" s="74">
        <f t="shared" si="223"/>
        <v>0</v>
      </c>
      <c r="AI105" s="74">
        <f t="shared" si="223"/>
        <v>0</v>
      </c>
      <c r="AJ105" s="74">
        <f t="shared" si="223"/>
        <v>0</v>
      </c>
      <c r="AK105" s="74">
        <f t="shared" si="223"/>
        <v>0</v>
      </c>
      <c r="AL105" s="74">
        <f t="shared" si="223"/>
        <v>0</v>
      </c>
      <c r="AM105" s="74">
        <f t="shared" si="223"/>
        <v>0</v>
      </c>
      <c r="AN105" s="74">
        <f t="shared" si="223"/>
        <v>0</v>
      </c>
      <c r="AO105" s="74">
        <f t="shared" si="223"/>
        <v>0</v>
      </c>
      <c r="AP105" s="74">
        <f t="shared" si="223"/>
        <v>0</v>
      </c>
      <c r="AQ105" s="74">
        <f t="shared" si="223"/>
        <v>0</v>
      </c>
      <c r="AR105" s="74">
        <f t="shared" si="223"/>
        <v>0</v>
      </c>
      <c r="AS105" s="74">
        <f t="shared" si="223"/>
        <v>0</v>
      </c>
      <c r="AT105" s="74">
        <f t="shared" si="223"/>
        <v>0</v>
      </c>
      <c r="AU105" s="74">
        <f t="shared" si="223"/>
        <v>0</v>
      </c>
      <c r="AV105" s="74">
        <f t="shared" si="223"/>
        <v>0</v>
      </c>
      <c r="AW105" s="74">
        <f t="shared" si="223"/>
        <v>0</v>
      </c>
      <c r="AX105" s="74">
        <f t="shared" si="223"/>
        <v>0</v>
      </c>
      <c r="AY105" s="74">
        <f t="shared" si="223"/>
        <v>0</v>
      </c>
      <c r="AZ105" s="74">
        <f t="shared" si="223"/>
        <v>0</v>
      </c>
      <c r="BA105" s="75">
        <f t="shared" si="223"/>
        <v>0</v>
      </c>
      <c r="BB105" s="75">
        <f t="shared" si="223"/>
        <v>0</v>
      </c>
      <c r="BC105" s="75">
        <f t="shared" si="223"/>
        <v>0</v>
      </c>
      <c r="BD105" s="75">
        <f t="shared" si="223"/>
        <v>0</v>
      </c>
      <c r="BE105" s="75">
        <f t="shared" si="223"/>
        <v>0</v>
      </c>
      <c r="BF105" s="75">
        <f t="shared" si="223"/>
        <v>0</v>
      </c>
      <c r="BG105" s="75">
        <f t="shared" si="223"/>
        <v>0</v>
      </c>
      <c r="BH105" s="75">
        <f t="shared" si="223"/>
        <v>0</v>
      </c>
      <c r="BI105" s="75">
        <f t="shared" si="223"/>
        <v>0</v>
      </c>
      <c r="BJ105" s="75">
        <f t="shared" si="223"/>
        <v>0</v>
      </c>
      <c r="BK105" s="75">
        <f t="shared" si="223"/>
        <v>0</v>
      </c>
      <c r="BL105" s="75">
        <f t="shared" si="223"/>
        <v>0</v>
      </c>
      <c r="BM105" s="76">
        <f t="shared" si="223"/>
        <v>0</v>
      </c>
      <c r="BN105" s="549">
        <f t="shared" si="223"/>
        <v>3965521</v>
      </c>
      <c r="BO105" s="74">
        <f t="shared" si="223"/>
        <v>2932397</v>
      </c>
      <c r="BP105" s="74">
        <f t="shared" si="223"/>
        <v>2399379</v>
      </c>
      <c r="BQ105" s="74">
        <f t="shared" si="223"/>
        <v>533018</v>
      </c>
      <c r="BR105" s="74">
        <f t="shared" si="223"/>
        <v>0</v>
      </c>
      <c r="BS105" s="74">
        <f t="shared" si="223"/>
        <v>0</v>
      </c>
      <c r="BT105" s="74">
        <f t="shared" si="223"/>
        <v>0</v>
      </c>
      <c r="BU105" s="74">
        <f t="shared" si="223"/>
        <v>991151</v>
      </c>
      <c r="BV105" s="74">
        <f t="shared" ref="BV105:CF105" si="224">SUM(BV103:BV104)</f>
        <v>29324</v>
      </c>
      <c r="BW105" s="74">
        <f t="shared" si="224"/>
        <v>12649</v>
      </c>
      <c r="BX105" s="75">
        <f t="shared" si="224"/>
        <v>5.6934000000000005</v>
      </c>
      <c r="BY105" s="75">
        <f t="shared" si="224"/>
        <v>4</v>
      </c>
      <c r="BZ105" s="753">
        <f t="shared" si="224"/>
        <v>1.6934</v>
      </c>
      <c r="CA105" s="796">
        <f t="shared" si="224"/>
        <v>0</v>
      </c>
      <c r="CB105" s="789">
        <f t="shared" si="224"/>
        <v>0</v>
      </c>
      <c r="CC105" s="789">
        <f t="shared" si="224"/>
        <v>0</v>
      </c>
      <c r="CD105" s="789">
        <f t="shared" si="224"/>
        <v>0</v>
      </c>
      <c r="CE105" s="789">
        <f t="shared" si="224"/>
        <v>0</v>
      </c>
      <c r="CF105" s="793">
        <f t="shared" si="224"/>
        <v>0</v>
      </c>
    </row>
    <row r="106" spans="1:84" ht="14.1" customHeight="1" x14ac:dyDescent="0.2">
      <c r="A106" s="66">
        <v>26</v>
      </c>
      <c r="B106" s="63">
        <v>2414</v>
      </c>
      <c r="C106" s="64">
        <v>600079295</v>
      </c>
      <c r="D106" s="63">
        <v>72742020</v>
      </c>
      <c r="E106" s="65" t="s">
        <v>585</v>
      </c>
      <c r="F106" s="66">
        <v>3111</v>
      </c>
      <c r="G106" s="65" t="s">
        <v>291</v>
      </c>
      <c r="H106" s="67" t="s">
        <v>271</v>
      </c>
      <c r="I106" s="423">
        <f t="shared" si="159"/>
        <v>5178673</v>
      </c>
      <c r="J106" s="418">
        <f t="shared" si="160"/>
        <v>3829861</v>
      </c>
      <c r="K106" s="418">
        <v>3497192</v>
      </c>
      <c r="L106" s="418">
        <v>332669</v>
      </c>
      <c r="M106" s="418">
        <f>N106+O106</f>
        <v>0</v>
      </c>
      <c r="N106" s="418">
        <v>0</v>
      </c>
      <c r="O106" s="418">
        <v>0</v>
      </c>
      <c r="P106" s="668">
        <f t="shared" si="162"/>
        <v>1294493</v>
      </c>
      <c r="Q106" s="668">
        <f t="shared" si="163"/>
        <v>38299</v>
      </c>
      <c r="R106" s="418">
        <v>16020</v>
      </c>
      <c r="S106" s="419">
        <f t="shared" si="164"/>
        <v>7.3619000000000003</v>
      </c>
      <c r="T106" s="419">
        <v>6.2419000000000002</v>
      </c>
      <c r="U106" s="426">
        <v>1.1200000000000001</v>
      </c>
      <c r="V106" s="428">
        <f t="shared" si="165"/>
        <v>0</v>
      </c>
      <c r="W106" s="421">
        <f t="shared" si="166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si="167"/>
        <v>0</v>
      </c>
      <c r="AG106" s="421">
        <f t="shared" si="168"/>
        <v>0</v>
      </c>
      <c r="AH106" s="421">
        <f t="shared" si="169"/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170"/>
        <v>0</v>
      </c>
      <c r="AP106" s="421">
        <f t="shared" si="171"/>
        <v>0</v>
      </c>
      <c r="AQ106" s="421">
        <f t="shared" si="172"/>
        <v>0</v>
      </c>
      <c r="AR106" s="421">
        <f t="shared" ref="AR106:AS108" si="225">AF106+AO106</f>
        <v>0</v>
      </c>
      <c r="AS106" s="421">
        <f t="shared" si="225"/>
        <v>0</v>
      </c>
      <c r="AT106" s="421">
        <f t="shared" si="173"/>
        <v>0</v>
      </c>
      <c r="AU106" s="68">
        <f t="shared" ref="AU106:AU108" si="226">ROUND((AH106+AI106+AJ106+AK106+AL106)*33.8%,0)</f>
        <v>0</v>
      </c>
      <c r="AV106" s="68">
        <f>ROUND(AH106*1%,0)</f>
        <v>0</v>
      </c>
      <c r="AW106" s="421">
        <v>0</v>
      </c>
      <c r="AX106" s="421">
        <v>0</v>
      </c>
      <c r="AY106" s="421">
        <f t="shared" si="174"/>
        <v>0</v>
      </c>
      <c r="AZ106" s="421">
        <f t="shared" si="175"/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>BA106+BC106+BD106+BF106+BH106+BI106</f>
        <v>0</v>
      </c>
      <c r="BL106" s="422">
        <f>BB106+BE106+BG106+BJ106</f>
        <v>0</v>
      </c>
      <c r="BM106" s="424">
        <f t="shared" si="176"/>
        <v>0</v>
      </c>
      <c r="BN106" s="427">
        <f>I106+AZ106</f>
        <v>5178673</v>
      </c>
      <c r="BO106" s="421">
        <f>J106+AH106</f>
        <v>3829861</v>
      </c>
      <c r="BP106" s="421">
        <f t="shared" ref="BP106:BQ108" si="227">K106+AF106</f>
        <v>3497192</v>
      </c>
      <c r="BQ106" s="421">
        <f t="shared" si="227"/>
        <v>332669</v>
      </c>
      <c r="BR106" s="421">
        <f>M106+AQ106</f>
        <v>0</v>
      </c>
      <c r="BS106" s="421">
        <f t="shared" ref="BS106:BT108" si="228">N106+AO106</f>
        <v>0</v>
      </c>
      <c r="BT106" s="421">
        <f t="shared" si="228"/>
        <v>0</v>
      </c>
      <c r="BU106" s="421">
        <f t="shared" ref="BU106:BV108" si="229">P106+AU106</f>
        <v>1294493</v>
      </c>
      <c r="BV106" s="421">
        <f t="shared" si="229"/>
        <v>38299</v>
      </c>
      <c r="BW106" s="421">
        <f>R106+AY106</f>
        <v>16020</v>
      </c>
      <c r="BX106" s="422">
        <f>S106+BM106</f>
        <v>7.3619000000000003</v>
      </c>
      <c r="BY106" s="422">
        <f t="shared" ref="BY106:BZ108" si="230">T106+BK106</f>
        <v>6.2419000000000002</v>
      </c>
      <c r="BZ106" s="611">
        <f t="shared" si="230"/>
        <v>1.1200000000000001</v>
      </c>
      <c r="CA106" s="423"/>
      <c r="CB106" s="418"/>
      <c r="CC106" s="418"/>
      <c r="CD106" s="418"/>
      <c r="CE106" s="418"/>
      <c r="CF106" s="527"/>
    </row>
    <row r="107" spans="1:84" ht="14.1" customHeight="1" x14ac:dyDescent="0.2">
      <c r="A107" s="66">
        <v>26</v>
      </c>
      <c r="B107" s="63">
        <v>2414</v>
      </c>
      <c r="C107" s="64">
        <v>600079295</v>
      </c>
      <c r="D107" s="63">
        <v>72742020</v>
      </c>
      <c r="E107" s="65" t="s">
        <v>585</v>
      </c>
      <c r="F107" s="66">
        <v>3111</v>
      </c>
      <c r="G107" s="77" t="s">
        <v>292</v>
      </c>
      <c r="H107" s="67" t="s">
        <v>272</v>
      </c>
      <c r="I107" s="423">
        <f t="shared" si="159"/>
        <v>0</v>
      </c>
      <c r="J107" s="418">
        <f t="shared" si="160"/>
        <v>0</v>
      </c>
      <c r="K107" s="418">
        <v>0</v>
      </c>
      <c r="L107" s="418">
        <v>0</v>
      </c>
      <c r="M107" s="418">
        <f t="shared" si="161"/>
        <v>0</v>
      </c>
      <c r="N107" s="418">
        <v>0</v>
      </c>
      <c r="O107" s="418">
        <v>0</v>
      </c>
      <c r="P107" s="668">
        <f t="shared" si="162"/>
        <v>0</v>
      </c>
      <c r="Q107" s="668">
        <f t="shared" si="163"/>
        <v>0</v>
      </c>
      <c r="R107" s="418">
        <v>0</v>
      </c>
      <c r="S107" s="419">
        <f t="shared" si="164"/>
        <v>0</v>
      </c>
      <c r="T107" s="420">
        <v>0</v>
      </c>
      <c r="U107" s="426">
        <v>0</v>
      </c>
      <c r="V107" s="428">
        <f t="shared" si="165"/>
        <v>0</v>
      </c>
      <c r="W107" s="421">
        <f t="shared" si="166"/>
        <v>0</v>
      </c>
      <c r="X107" s="16">
        <v>92700</v>
      </c>
      <c r="Y107" s="16">
        <v>0</v>
      </c>
      <c r="Z107" s="16">
        <v>0</v>
      </c>
      <c r="AA107" s="16">
        <v>0</v>
      </c>
      <c r="AB107" s="421">
        <v>0</v>
      </c>
      <c r="AC107" s="16">
        <v>0</v>
      </c>
      <c r="AD107" s="16">
        <v>0</v>
      </c>
      <c r="AE107" s="16">
        <v>0</v>
      </c>
      <c r="AF107" s="421">
        <f t="shared" si="167"/>
        <v>92700</v>
      </c>
      <c r="AG107" s="421">
        <f t="shared" si="168"/>
        <v>0</v>
      </c>
      <c r="AH107" s="421">
        <f t="shared" si="169"/>
        <v>92700</v>
      </c>
      <c r="AI107" s="16">
        <v>0</v>
      </c>
      <c r="AJ107" s="16">
        <v>0</v>
      </c>
      <c r="AK107" s="421">
        <v>0</v>
      </c>
      <c r="AL107" s="16">
        <v>0</v>
      </c>
      <c r="AM107" s="16">
        <v>0</v>
      </c>
      <c r="AN107" s="16">
        <v>0</v>
      </c>
      <c r="AO107" s="421">
        <f t="shared" si="170"/>
        <v>0</v>
      </c>
      <c r="AP107" s="16">
        <v>0</v>
      </c>
      <c r="AQ107" s="421">
        <f t="shared" si="172"/>
        <v>0</v>
      </c>
      <c r="AR107" s="421">
        <f t="shared" si="225"/>
        <v>92700</v>
      </c>
      <c r="AS107" s="421">
        <f t="shared" si="225"/>
        <v>0</v>
      </c>
      <c r="AT107" s="421">
        <f t="shared" si="173"/>
        <v>92700</v>
      </c>
      <c r="AU107" s="68">
        <f t="shared" si="226"/>
        <v>31333</v>
      </c>
      <c r="AV107" s="68">
        <f>ROUND(AH107*1%,0)</f>
        <v>927</v>
      </c>
      <c r="AW107" s="16">
        <v>0</v>
      </c>
      <c r="AX107" s="16">
        <v>0</v>
      </c>
      <c r="AY107" s="421">
        <f t="shared" si="174"/>
        <v>0</v>
      </c>
      <c r="AZ107" s="421">
        <f t="shared" si="175"/>
        <v>124960</v>
      </c>
      <c r="BA107" s="13">
        <v>0</v>
      </c>
      <c r="BB107" s="13">
        <v>0</v>
      </c>
      <c r="BC107" s="13">
        <v>0.25</v>
      </c>
      <c r="BD107" s="422">
        <v>0</v>
      </c>
      <c r="BE107" s="422">
        <v>0</v>
      </c>
      <c r="BF107" s="422">
        <v>0</v>
      </c>
      <c r="BG107" s="422">
        <v>0</v>
      </c>
      <c r="BH107" s="422">
        <v>0</v>
      </c>
      <c r="BI107" s="422">
        <v>0</v>
      </c>
      <c r="BJ107" s="422">
        <v>0</v>
      </c>
      <c r="BK107" s="422">
        <f>BA107+BC107+BD107+BF107+BH107+BI107</f>
        <v>0.25</v>
      </c>
      <c r="BL107" s="422">
        <f>BB107+BE107+BG107+BJ107</f>
        <v>0</v>
      </c>
      <c r="BM107" s="424">
        <f t="shared" si="176"/>
        <v>0.25</v>
      </c>
      <c r="BN107" s="427">
        <f>I107+AZ107</f>
        <v>124960</v>
      </c>
      <c r="BO107" s="421">
        <f>J107+AH107</f>
        <v>92700</v>
      </c>
      <c r="BP107" s="421">
        <f t="shared" si="227"/>
        <v>92700</v>
      </c>
      <c r="BQ107" s="421">
        <f t="shared" si="227"/>
        <v>0</v>
      </c>
      <c r="BR107" s="421">
        <f>M107+AQ107</f>
        <v>0</v>
      </c>
      <c r="BS107" s="421">
        <f t="shared" si="228"/>
        <v>0</v>
      </c>
      <c r="BT107" s="421">
        <f t="shared" si="228"/>
        <v>0</v>
      </c>
      <c r="BU107" s="421">
        <f t="shared" si="229"/>
        <v>31333</v>
      </c>
      <c r="BV107" s="421">
        <f t="shared" si="229"/>
        <v>927</v>
      </c>
      <c r="BW107" s="421">
        <f>R107+AY107</f>
        <v>0</v>
      </c>
      <c r="BX107" s="422">
        <f>S107+BM107</f>
        <v>0.25</v>
      </c>
      <c r="BY107" s="422">
        <f t="shared" si="230"/>
        <v>0.25</v>
      </c>
      <c r="BZ107" s="611">
        <f t="shared" si="230"/>
        <v>0</v>
      </c>
      <c r="CA107" s="423"/>
      <c r="CB107" s="418"/>
      <c r="CC107" s="418"/>
      <c r="CD107" s="418"/>
      <c r="CE107" s="418"/>
      <c r="CF107" s="527"/>
    </row>
    <row r="108" spans="1:84" ht="14.1" customHeight="1" x14ac:dyDescent="0.2">
      <c r="A108" s="66">
        <v>26</v>
      </c>
      <c r="B108" s="63">
        <v>2414</v>
      </c>
      <c r="C108" s="64">
        <v>600079295</v>
      </c>
      <c r="D108" s="63">
        <v>72742020</v>
      </c>
      <c r="E108" s="65" t="s">
        <v>585</v>
      </c>
      <c r="F108" s="66">
        <v>3141</v>
      </c>
      <c r="G108" s="65" t="s">
        <v>295</v>
      </c>
      <c r="H108" s="67" t="s">
        <v>272</v>
      </c>
      <c r="I108" s="423">
        <f t="shared" si="159"/>
        <v>523556</v>
      </c>
      <c r="J108" s="418">
        <f t="shared" si="160"/>
        <v>386837</v>
      </c>
      <c r="K108" s="418">
        <v>0</v>
      </c>
      <c r="L108" s="924">
        <v>386837</v>
      </c>
      <c r="M108" s="418">
        <f>N108+O108</f>
        <v>0</v>
      </c>
      <c r="N108" s="205">
        <v>0</v>
      </c>
      <c r="O108" s="205">
        <v>0</v>
      </c>
      <c r="P108" s="668">
        <f t="shared" si="162"/>
        <v>130751</v>
      </c>
      <c r="Q108" s="668">
        <f t="shared" si="163"/>
        <v>3868</v>
      </c>
      <c r="R108" s="674">
        <v>2100</v>
      </c>
      <c r="S108" s="419">
        <f>T108+U108</f>
        <v>1.1599999999999999</v>
      </c>
      <c r="T108" s="676">
        <v>0</v>
      </c>
      <c r="U108" s="909">
        <v>1.1599999999999999</v>
      </c>
      <c r="V108" s="428">
        <f t="shared" si="165"/>
        <v>0</v>
      </c>
      <c r="W108" s="421">
        <f t="shared" si="166"/>
        <v>0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 t="shared" si="167"/>
        <v>0</v>
      </c>
      <c r="AG108" s="421">
        <f t="shared" si="168"/>
        <v>0</v>
      </c>
      <c r="AH108" s="421">
        <f t="shared" si="169"/>
        <v>0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si="170"/>
        <v>0</v>
      </c>
      <c r="AP108" s="421">
        <f t="shared" si="171"/>
        <v>0</v>
      </c>
      <c r="AQ108" s="421">
        <f t="shared" si="172"/>
        <v>0</v>
      </c>
      <c r="AR108" s="421">
        <f t="shared" si="225"/>
        <v>0</v>
      </c>
      <c r="AS108" s="421">
        <f t="shared" si="225"/>
        <v>0</v>
      </c>
      <c r="AT108" s="421">
        <f t="shared" si="173"/>
        <v>0</v>
      </c>
      <c r="AU108" s="68">
        <f t="shared" si="226"/>
        <v>0</v>
      </c>
      <c r="AV108" s="68">
        <f>ROUND(AH108*1%,0)</f>
        <v>0</v>
      </c>
      <c r="AW108" s="421">
        <v>0</v>
      </c>
      <c r="AX108" s="421">
        <v>0</v>
      </c>
      <c r="AY108" s="421">
        <f t="shared" si="174"/>
        <v>0</v>
      </c>
      <c r="AZ108" s="421">
        <f t="shared" si="175"/>
        <v>0</v>
      </c>
      <c r="BA108" s="422">
        <v>0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>BA108+BC108+BD108+BF108+BH108+BI108</f>
        <v>0</v>
      </c>
      <c r="BL108" s="422">
        <f>BB108+BE108+BG108+BJ108</f>
        <v>0</v>
      </c>
      <c r="BM108" s="424">
        <f t="shared" si="176"/>
        <v>0</v>
      </c>
      <c r="BN108" s="427">
        <f>I108+AZ108</f>
        <v>523556</v>
      </c>
      <c r="BO108" s="421">
        <f>J108+AH108</f>
        <v>386837</v>
      </c>
      <c r="BP108" s="421">
        <f t="shared" si="227"/>
        <v>0</v>
      </c>
      <c r="BQ108" s="421">
        <f t="shared" si="227"/>
        <v>386837</v>
      </c>
      <c r="BR108" s="421">
        <f>M108+AQ108</f>
        <v>0</v>
      </c>
      <c r="BS108" s="421">
        <f t="shared" si="228"/>
        <v>0</v>
      </c>
      <c r="BT108" s="421">
        <f t="shared" si="228"/>
        <v>0</v>
      </c>
      <c r="BU108" s="421">
        <f t="shared" si="229"/>
        <v>130751</v>
      </c>
      <c r="BV108" s="421">
        <f t="shared" si="229"/>
        <v>3868</v>
      </c>
      <c r="BW108" s="421">
        <f>R108+AY108</f>
        <v>2100</v>
      </c>
      <c r="BX108" s="422">
        <f>S108+BM108</f>
        <v>1.1599999999999999</v>
      </c>
      <c r="BY108" s="422">
        <f t="shared" si="230"/>
        <v>0</v>
      </c>
      <c r="BZ108" s="611">
        <f t="shared" si="230"/>
        <v>1.1599999999999999</v>
      </c>
      <c r="CA108" s="423"/>
      <c r="CB108" s="418"/>
      <c r="CC108" s="418"/>
      <c r="CD108" s="418"/>
      <c r="CE108" s="418"/>
      <c r="CF108" s="527"/>
    </row>
    <row r="109" spans="1:84" ht="14.1" customHeight="1" x14ac:dyDescent="0.2">
      <c r="A109" s="72">
        <v>26</v>
      </c>
      <c r="B109" s="69">
        <v>2414</v>
      </c>
      <c r="C109" s="70">
        <v>600079295</v>
      </c>
      <c r="D109" s="69">
        <v>72742020</v>
      </c>
      <c r="E109" s="71" t="s">
        <v>586</v>
      </c>
      <c r="F109" s="72"/>
      <c r="G109" s="71"/>
      <c r="H109" s="73"/>
      <c r="I109" s="538">
        <f t="shared" ref="I109:BU109" si="231">SUM(I106:I108)</f>
        <v>5702229</v>
      </c>
      <c r="J109" s="74">
        <f t="shared" si="231"/>
        <v>4216698</v>
      </c>
      <c r="K109" s="74">
        <f t="shared" si="231"/>
        <v>3497192</v>
      </c>
      <c r="L109" s="74">
        <f t="shared" si="231"/>
        <v>719506</v>
      </c>
      <c r="M109" s="74">
        <f t="shared" si="231"/>
        <v>0</v>
      </c>
      <c r="N109" s="74">
        <f t="shared" si="231"/>
        <v>0</v>
      </c>
      <c r="O109" s="74">
        <f t="shared" si="231"/>
        <v>0</v>
      </c>
      <c r="P109" s="74">
        <f t="shared" si="231"/>
        <v>1425244</v>
      </c>
      <c r="Q109" s="74">
        <f t="shared" si="231"/>
        <v>42167</v>
      </c>
      <c r="R109" s="74">
        <f t="shared" si="231"/>
        <v>18120</v>
      </c>
      <c r="S109" s="75">
        <f t="shared" si="231"/>
        <v>8.5219000000000005</v>
      </c>
      <c r="T109" s="75">
        <f t="shared" si="231"/>
        <v>6.2419000000000002</v>
      </c>
      <c r="U109" s="753">
        <f t="shared" si="231"/>
        <v>2.2800000000000002</v>
      </c>
      <c r="V109" s="538">
        <f t="shared" si="231"/>
        <v>0</v>
      </c>
      <c r="W109" s="74">
        <f t="shared" si="231"/>
        <v>0</v>
      </c>
      <c r="X109" s="74">
        <f t="shared" si="231"/>
        <v>92700</v>
      </c>
      <c r="Y109" s="74">
        <f t="shared" si="231"/>
        <v>0</v>
      </c>
      <c r="Z109" s="74">
        <f t="shared" si="231"/>
        <v>0</v>
      </c>
      <c r="AA109" s="74">
        <f t="shared" si="231"/>
        <v>0</v>
      </c>
      <c r="AB109" s="74">
        <f t="shared" si="231"/>
        <v>0</v>
      </c>
      <c r="AC109" s="74">
        <f t="shared" si="231"/>
        <v>0</v>
      </c>
      <c r="AD109" s="74">
        <f t="shared" si="231"/>
        <v>0</v>
      </c>
      <c r="AE109" s="74">
        <f t="shared" si="231"/>
        <v>0</v>
      </c>
      <c r="AF109" s="74">
        <f t="shared" si="231"/>
        <v>92700</v>
      </c>
      <c r="AG109" s="74">
        <f t="shared" si="231"/>
        <v>0</v>
      </c>
      <c r="AH109" s="74">
        <f t="shared" si="231"/>
        <v>92700</v>
      </c>
      <c r="AI109" s="74">
        <f t="shared" si="231"/>
        <v>0</v>
      </c>
      <c r="AJ109" s="74">
        <f t="shared" si="231"/>
        <v>0</v>
      </c>
      <c r="AK109" s="74">
        <f t="shared" si="231"/>
        <v>0</v>
      </c>
      <c r="AL109" s="74">
        <f t="shared" si="231"/>
        <v>0</v>
      </c>
      <c r="AM109" s="74">
        <f t="shared" si="231"/>
        <v>0</v>
      </c>
      <c r="AN109" s="74">
        <f t="shared" si="231"/>
        <v>0</v>
      </c>
      <c r="AO109" s="74">
        <f t="shared" si="231"/>
        <v>0</v>
      </c>
      <c r="AP109" s="74">
        <f t="shared" si="231"/>
        <v>0</v>
      </c>
      <c r="AQ109" s="74">
        <f t="shared" si="231"/>
        <v>0</v>
      </c>
      <c r="AR109" s="74">
        <f t="shared" si="231"/>
        <v>92700</v>
      </c>
      <c r="AS109" s="74">
        <f t="shared" si="231"/>
        <v>0</v>
      </c>
      <c r="AT109" s="74">
        <f t="shared" si="231"/>
        <v>92700</v>
      </c>
      <c r="AU109" s="74">
        <f t="shared" si="231"/>
        <v>31333</v>
      </c>
      <c r="AV109" s="74">
        <f t="shared" si="231"/>
        <v>927</v>
      </c>
      <c r="AW109" s="74">
        <f t="shared" si="231"/>
        <v>0</v>
      </c>
      <c r="AX109" s="74">
        <f t="shared" si="231"/>
        <v>0</v>
      </c>
      <c r="AY109" s="74">
        <f t="shared" si="231"/>
        <v>0</v>
      </c>
      <c r="AZ109" s="74">
        <f t="shared" si="231"/>
        <v>124960</v>
      </c>
      <c r="BA109" s="75">
        <f t="shared" si="231"/>
        <v>0</v>
      </c>
      <c r="BB109" s="75">
        <f t="shared" si="231"/>
        <v>0</v>
      </c>
      <c r="BC109" s="75">
        <f t="shared" si="231"/>
        <v>0.25</v>
      </c>
      <c r="BD109" s="75">
        <f t="shared" si="231"/>
        <v>0</v>
      </c>
      <c r="BE109" s="75">
        <f t="shared" si="231"/>
        <v>0</v>
      </c>
      <c r="BF109" s="75">
        <f t="shared" si="231"/>
        <v>0</v>
      </c>
      <c r="BG109" s="75">
        <f t="shared" si="231"/>
        <v>0</v>
      </c>
      <c r="BH109" s="75">
        <f t="shared" si="231"/>
        <v>0</v>
      </c>
      <c r="BI109" s="75">
        <f t="shared" si="231"/>
        <v>0</v>
      </c>
      <c r="BJ109" s="75">
        <f t="shared" si="231"/>
        <v>0</v>
      </c>
      <c r="BK109" s="75">
        <f t="shared" si="231"/>
        <v>0.25</v>
      </c>
      <c r="BL109" s="75">
        <f t="shared" si="231"/>
        <v>0</v>
      </c>
      <c r="BM109" s="76">
        <f t="shared" si="231"/>
        <v>0.25</v>
      </c>
      <c r="BN109" s="549">
        <f t="shared" si="231"/>
        <v>5827189</v>
      </c>
      <c r="BO109" s="74">
        <f t="shared" si="231"/>
        <v>4309398</v>
      </c>
      <c r="BP109" s="74">
        <f t="shared" si="231"/>
        <v>3589892</v>
      </c>
      <c r="BQ109" s="74">
        <f t="shared" si="231"/>
        <v>719506</v>
      </c>
      <c r="BR109" s="74">
        <f t="shared" si="231"/>
        <v>0</v>
      </c>
      <c r="BS109" s="74">
        <f t="shared" si="231"/>
        <v>0</v>
      </c>
      <c r="BT109" s="74">
        <f t="shared" si="231"/>
        <v>0</v>
      </c>
      <c r="BU109" s="74">
        <f t="shared" si="231"/>
        <v>1456577</v>
      </c>
      <c r="BV109" s="74">
        <f t="shared" ref="BV109:CF109" si="232">SUM(BV106:BV108)</f>
        <v>43094</v>
      </c>
      <c r="BW109" s="74">
        <f t="shared" si="232"/>
        <v>18120</v>
      </c>
      <c r="BX109" s="75">
        <f t="shared" si="232"/>
        <v>8.7719000000000005</v>
      </c>
      <c r="BY109" s="75">
        <f t="shared" si="232"/>
        <v>6.4919000000000002</v>
      </c>
      <c r="BZ109" s="753">
        <f t="shared" si="232"/>
        <v>2.2800000000000002</v>
      </c>
      <c r="CA109" s="796">
        <f t="shared" si="232"/>
        <v>0</v>
      </c>
      <c r="CB109" s="789">
        <f t="shared" si="232"/>
        <v>0</v>
      </c>
      <c r="CC109" s="789">
        <f t="shared" si="232"/>
        <v>0</v>
      </c>
      <c r="CD109" s="789">
        <f t="shared" si="232"/>
        <v>0</v>
      </c>
      <c r="CE109" s="789">
        <f t="shared" si="232"/>
        <v>0</v>
      </c>
      <c r="CF109" s="793">
        <f t="shared" si="232"/>
        <v>0</v>
      </c>
    </row>
    <row r="110" spans="1:84" ht="14.1" customHeight="1" x14ac:dyDescent="0.2">
      <c r="A110" s="66">
        <v>27</v>
      </c>
      <c r="B110" s="63">
        <v>2443</v>
      </c>
      <c r="C110" s="64">
        <v>600079309</v>
      </c>
      <c r="D110" s="63">
        <v>72743051</v>
      </c>
      <c r="E110" s="65" t="s">
        <v>587</v>
      </c>
      <c r="F110" s="66">
        <v>3111</v>
      </c>
      <c r="G110" s="65" t="s">
        <v>291</v>
      </c>
      <c r="H110" s="67" t="s">
        <v>271</v>
      </c>
      <c r="I110" s="423">
        <f t="shared" si="159"/>
        <v>4975232</v>
      </c>
      <c r="J110" s="418">
        <f t="shared" si="160"/>
        <v>3678941</v>
      </c>
      <c r="K110" s="418">
        <v>3346272</v>
      </c>
      <c r="L110" s="418">
        <v>332669</v>
      </c>
      <c r="M110" s="418">
        <f>N110+O110</f>
        <v>0</v>
      </c>
      <c r="N110" s="418">
        <v>0</v>
      </c>
      <c r="O110" s="418">
        <v>0</v>
      </c>
      <c r="P110" s="668">
        <f t="shared" si="162"/>
        <v>1243482</v>
      </c>
      <c r="Q110" s="668">
        <f t="shared" si="163"/>
        <v>36789</v>
      </c>
      <c r="R110" s="418">
        <v>16020</v>
      </c>
      <c r="S110" s="419">
        <f t="shared" si="164"/>
        <v>7.12</v>
      </c>
      <c r="T110" s="419">
        <v>6</v>
      </c>
      <c r="U110" s="426">
        <v>1.1200000000000001</v>
      </c>
      <c r="V110" s="428">
        <f t="shared" si="165"/>
        <v>0</v>
      </c>
      <c r="W110" s="421">
        <f t="shared" si="166"/>
        <v>0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 t="shared" si="167"/>
        <v>0</v>
      </c>
      <c r="AG110" s="421">
        <f t="shared" si="168"/>
        <v>0</v>
      </c>
      <c r="AH110" s="421">
        <f t="shared" si="169"/>
        <v>0</v>
      </c>
      <c r="AI110" s="421">
        <v>0</v>
      </c>
      <c r="AJ110" s="421">
        <v>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si="170"/>
        <v>0</v>
      </c>
      <c r="AP110" s="421">
        <f t="shared" si="171"/>
        <v>0</v>
      </c>
      <c r="AQ110" s="421">
        <f t="shared" si="172"/>
        <v>0</v>
      </c>
      <c r="AR110" s="421">
        <f t="shared" ref="AR110:AS112" si="233">AF110+AO110</f>
        <v>0</v>
      </c>
      <c r="AS110" s="421">
        <f t="shared" si="233"/>
        <v>0</v>
      </c>
      <c r="AT110" s="421">
        <f t="shared" si="173"/>
        <v>0</v>
      </c>
      <c r="AU110" s="68">
        <f t="shared" ref="AU110:AU112" si="234">ROUND((AH110+AI110+AJ110+AK110+AL110)*33.8%,0)</f>
        <v>0</v>
      </c>
      <c r="AV110" s="68">
        <f>ROUND(AH110*1%,0)</f>
        <v>0</v>
      </c>
      <c r="AW110" s="421">
        <v>0</v>
      </c>
      <c r="AX110" s="421">
        <v>0</v>
      </c>
      <c r="AY110" s="421">
        <f t="shared" si="174"/>
        <v>0</v>
      </c>
      <c r="AZ110" s="421">
        <f t="shared" si="175"/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>BA110+BC110+BD110+BF110+BH110+BI110</f>
        <v>0</v>
      </c>
      <c r="BL110" s="422">
        <f>BB110+BE110+BG110+BJ110</f>
        <v>0</v>
      </c>
      <c r="BM110" s="424">
        <f t="shared" si="176"/>
        <v>0</v>
      </c>
      <c r="BN110" s="427">
        <f>I110+AZ110</f>
        <v>4975232</v>
      </c>
      <c r="BO110" s="421">
        <f>J110+AH110</f>
        <v>3678941</v>
      </c>
      <c r="BP110" s="421">
        <f t="shared" ref="BP110:BQ112" si="235">K110+AF110</f>
        <v>3346272</v>
      </c>
      <c r="BQ110" s="421">
        <f t="shared" si="235"/>
        <v>332669</v>
      </c>
      <c r="BR110" s="421">
        <f>M110+AQ110</f>
        <v>0</v>
      </c>
      <c r="BS110" s="421">
        <f t="shared" ref="BS110:BT112" si="236">N110+AO110</f>
        <v>0</v>
      </c>
      <c r="BT110" s="421">
        <f t="shared" si="236"/>
        <v>0</v>
      </c>
      <c r="BU110" s="421">
        <f t="shared" ref="BU110:BV112" si="237">P110+AU110</f>
        <v>1243482</v>
      </c>
      <c r="BV110" s="421">
        <f t="shared" si="237"/>
        <v>36789</v>
      </c>
      <c r="BW110" s="421">
        <f>R110+AY110</f>
        <v>16020</v>
      </c>
      <c r="BX110" s="422">
        <f>S110+BM110</f>
        <v>7.12</v>
      </c>
      <c r="BY110" s="422">
        <f t="shared" ref="BY110:BZ112" si="238">T110+BK110</f>
        <v>6</v>
      </c>
      <c r="BZ110" s="611">
        <f t="shared" si="238"/>
        <v>1.1200000000000001</v>
      </c>
      <c r="CA110" s="423"/>
      <c r="CB110" s="418"/>
      <c r="CC110" s="418"/>
      <c r="CD110" s="418"/>
      <c r="CE110" s="418"/>
      <c r="CF110" s="527"/>
    </row>
    <row r="111" spans="1:84" ht="14.1" customHeight="1" x14ac:dyDescent="0.2">
      <c r="A111" s="66">
        <v>27</v>
      </c>
      <c r="B111" s="63">
        <v>2443</v>
      </c>
      <c r="C111" s="64">
        <v>600079309</v>
      </c>
      <c r="D111" s="63">
        <v>72743051</v>
      </c>
      <c r="E111" s="65" t="s">
        <v>587</v>
      </c>
      <c r="F111" s="66">
        <v>3111</v>
      </c>
      <c r="G111" s="77" t="s">
        <v>292</v>
      </c>
      <c r="H111" s="67" t="s">
        <v>272</v>
      </c>
      <c r="I111" s="423">
        <f t="shared" si="159"/>
        <v>0</v>
      </c>
      <c r="J111" s="418">
        <f t="shared" si="160"/>
        <v>0</v>
      </c>
      <c r="K111" s="418">
        <v>0</v>
      </c>
      <c r="L111" s="418">
        <v>0</v>
      </c>
      <c r="M111" s="418">
        <f t="shared" si="161"/>
        <v>0</v>
      </c>
      <c r="N111" s="418">
        <v>0</v>
      </c>
      <c r="O111" s="418">
        <v>0</v>
      </c>
      <c r="P111" s="668">
        <f t="shared" si="162"/>
        <v>0</v>
      </c>
      <c r="Q111" s="668">
        <f t="shared" si="163"/>
        <v>0</v>
      </c>
      <c r="R111" s="418">
        <v>0</v>
      </c>
      <c r="S111" s="419">
        <f t="shared" si="164"/>
        <v>0</v>
      </c>
      <c r="T111" s="420">
        <v>0</v>
      </c>
      <c r="U111" s="426">
        <v>0</v>
      </c>
      <c r="V111" s="428">
        <f t="shared" si="165"/>
        <v>0</v>
      </c>
      <c r="W111" s="421">
        <f t="shared" si="166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 t="shared" si="167"/>
        <v>0</v>
      </c>
      <c r="AG111" s="421">
        <f t="shared" si="168"/>
        <v>0</v>
      </c>
      <c r="AH111" s="421">
        <f t="shared" si="169"/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170"/>
        <v>0</v>
      </c>
      <c r="AP111" s="421">
        <f t="shared" si="171"/>
        <v>0</v>
      </c>
      <c r="AQ111" s="421">
        <f t="shared" si="172"/>
        <v>0</v>
      </c>
      <c r="AR111" s="421">
        <f t="shared" si="233"/>
        <v>0</v>
      </c>
      <c r="AS111" s="421">
        <f t="shared" si="233"/>
        <v>0</v>
      </c>
      <c r="AT111" s="421">
        <f t="shared" si="173"/>
        <v>0</v>
      </c>
      <c r="AU111" s="68">
        <f t="shared" si="234"/>
        <v>0</v>
      </c>
      <c r="AV111" s="68">
        <f>ROUND(AH111*1%,0)</f>
        <v>0</v>
      </c>
      <c r="AW111" s="421">
        <v>0</v>
      </c>
      <c r="AX111" s="421">
        <v>0</v>
      </c>
      <c r="AY111" s="421">
        <f t="shared" si="174"/>
        <v>0</v>
      </c>
      <c r="AZ111" s="421">
        <f t="shared" si="175"/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>BA111+BC111+BD111+BF111+BH111+BI111</f>
        <v>0</v>
      </c>
      <c r="BL111" s="422">
        <f>BB111+BE111+BG111+BJ111</f>
        <v>0</v>
      </c>
      <c r="BM111" s="424">
        <f t="shared" si="176"/>
        <v>0</v>
      </c>
      <c r="BN111" s="427">
        <f>I111+AZ111</f>
        <v>0</v>
      </c>
      <c r="BO111" s="421">
        <f>J111+AH111</f>
        <v>0</v>
      </c>
      <c r="BP111" s="421">
        <f t="shared" si="235"/>
        <v>0</v>
      </c>
      <c r="BQ111" s="421">
        <f t="shared" si="235"/>
        <v>0</v>
      </c>
      <c r="BR111" s="421">
        <f>M111+AQ111</f>
        <v>0</v>
      </c>
      <c r="BS111" s="421">
        <f t="shared" si="236"/>
        <v>0</v>
      </c>
      <c r="BT111" s="421">
        <f t="shared" si="236"/>
        <v>0</v>
      </c>
      <c r="BU111" s="421">
        <f t="shared" si="237"/>
        <v>0</v>
      </c>
      <c r="BV111" s="421">
        <f t="shared" si="237"/>
        <v>0</v>
      </c>
      <c r="BW111" s="421">
        <f>R111+AY111</f>
        <v>0</v>
      </c>
      <c r="BX111" s="422">
        <f>S111+BM111</f>
        <v>0</v>
      </c>
      <c r="BY111" s="422">
        <f t="shared" si="238"/>
        <v>0</v>
      </c>
      <c r="BZ111" s="611">
        <f t="shared" si="238"/>
        <v>0</v>
      </c>
      <c r="CA111" s="423"/>
      <c r="CB111" s="418"/>
      <c r="CC111" s="418"/>
      <c r="CD111" s="418"/>
      <c r="CE111" s="418"/>
      <c r="CF111" s="527"/>
    </row>
    <row r="112" spans="1:84" ht="14.1" customHeight="1" x14ac:dyDescent="0.2">
      <c r="A112" s="66">
        <v>27</v>
      </c>
      <c r="B112" s="63">
        <v>2443</v>
      </c>
      <c r="C112" s="64">
        <v>600079309</v>
      </c>
      <c r="D112" s="63">
        <v>72743051</v>
      </c>
      <c r="E112" s="65" t="s">
        <v>587</v>
      </c>
      <c r="F112" s="66">
        <v>3141</v>
      </c>
      <c r="G112" s="65" t="s">
        <v>295</v>
      </c>
      <c r="H112" s="67" t="s">
        <v>272</v>
      </c>
      <c r="I112" s="423">
        <f t="shared" si="159"/>
        <v>523556</v>
      </c>
      <c r="J112" s="418">
        <f t="shared" si="160"/>
        <v>386837</v>
      </c>
      <c r="K112" s="418">
        <v>0</v>
      </c>
      <c r="L112" s="924">
        <v>386837</v>
      </c>
      <c r="M112" s="418">
        <f>N112+O112</f>
        <v>0</v>
      </c>
      <c r="N112" s="205">
        <v>0</v>
      </c>
      <c r="O112" s="205">
        <v>0</v>
      </c>
      <c r="P112" s="668">
        <f t="shared" si="162"/>
        <v>130751</v>
      </c>
      <c r="Q112" s="668">
        <f t="shared" si="163"/>
        <v>3868</v>
      </c>
      <c r="R112" s="674">
        <v>2100</v>
      </c>
      <c r="S112" s="419">
        <f>T112+U112</f>
        <v>1.1599999999999999</v>
      </c>
      <c r="T112" s="676">
        <v>0</v>
      </c>
      <c r="U112" s="909">
        <v>1.1599999999999999</v>
      </c>
      <c r="V112" s="428">
        <f t="shared" si="165"/>
        <v>0</v>
      </c>
      <c r="W112" s="421">
        <f t="shared" si="166"/>
        <v>0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f t="shared" si="167"/>
        <v>0</v>
      </c>
      <c r="AG112" s="421">
        <f t="shared" si="168"/>
        <v>0</v>
      </c>
      <c r="AH112" s="421">
        <f t="shared" si="169"/>
        <v>0</v>
      </c>
      <c r="AI112" s="421">
        <v>0</v>
      </c>
      <c r="AJ112" s="421">
        <v>0</v>
      </c>
      <c r="AK112" s="421">
        <v>0</v>
      </c>
      <c r="AL112" s="421">
        <v>0</v>
      </c>
      <c r="AM112" s="421">
        <v>0</v>
      </c>
      <c r="AN112" s="421">
        <v>0</v>
      </c>
      <c r="AO112" s="421">
        <f t="shared" si="170"/>
        <v>0</v>
      </c>
      <c r="AP112" s="421">
        <f t="shared" si="171"/>
        <v>0</v>
      </c>
      <c r="AQ112" s="421">
        <f t="shared" si="172"/>
        <v>0</v>
      </c>
      <c r="AR112" s="421">
        <f t="shared" si="233"/>
        <v>0</v>
      </c>
      <c r="AS112" s="421">
        <f t="shared" si="233"/>
        <v>0</v>
      </c>
      <c r="AT112" s="421">
        <f t="shared" si="173"/>
        <v>0</v>
      </c>
      <c r="AU112" s="68">
        <f t="shared" si="234"/>
        <v>0</v>
      </c>
      <c r="AV112" s="68">
        <f>ROUND(AH112*1%,0)</f>
        <v>0</v>
      </c>
      <c r="AW112" s="421">
        <v>0</v>
      </c>
      <c r="AX112" s="421">
        <v>0</v>
      </c>
      <c r="AY112" s="421">
        <f t="shared" si="174"/>
        <v>0</v>
      </c>
      <c r="AZ112" s="421">
        <f t="shared" si="175"/>
        <v>0</v>
      </c>
      <c r="BA112" s="422">
        <v>0</v>
      </c>
      <c r="BB112" s="422">
        <v>0</v>
      </c>
      <c r="BC112" s="422">
        <v>0</v>
      </c>
      <c r="BD112" s="422">
        <v>0</v>
      </c>
      <c r="BE112" s="422">
        <v>0</v>
      </c>
      <c r="BF112" s="422">
        <v>0</v>
      </c>
      <c r="BG112" s="422">
        <v>0</v>
      </c>
      <c r="BH112" s="422">
        <v>0</v>
      </c>
      <c r="BI112" s="422">
        <v>0</v>
      </c>
      <c r="BJ112" s="422">
        <v>0</v>
      </c>
      <c r="BK112" s="422">
        <f>BA112+BC112+BD112+BF112+BH112+BI112</f>
        <v>0</v>
      </c>
      <c r="BL112" s="422">
        <f>BB112+BE112+BG112+BJ112</f>
        <v>0</v>
      </c>
      <c r="BM112" s="424">
        <f t="shared" si="176"/>
        <v>0</v>
      </c>
      <c r="BN112" s="427">
        <f>I112+AZ112</f>
        <v>523556</v>
      </c>
      <c r="BO112" s="421">
        <f>J112+AH112</f>
        <v>386837</v>
      </c>
      <c r="BP112" s="421">
        <f t="shared" si="235"/>
        <v>0</v>
      </c>
      <c r="BQ112" s="421">
        <f t="shared" si="235"/>
        <v>386837</v>
      </c>
      <c r="BR112" s="421">
        <f>M112+AQ112</f>
        <v>0</v>
      </c>
      <c r="BS112" s="421">
        <f t="shared" si="236"/>
        <v>0</v>
      </c>
      <c r="BT112" s="421">
        <f t="shared" si="236"/>
        <v>0</v>
      </c>
      <c r="BU112" s="421">
        <f t="shared" si="237"/>
        <v>130751</v>
      </c>
      <c r="BV112" s="421">
        <f t="shared" si="237"/>
        <v>3868</v>
      </c>
      <c r="BW112" s="421">
        <f>R112+AY112</f>
        <v>2100</v>
      </c>
      <c r="BX112" s="422">
        <f>S112+BM112</f>
        <v>1.1599999999999999</v>
      </c>
      <c r="BY112" s="422">
        <f t="shared" si="238"/>
        <v>0</v>
      </c>
      <c r="BZ112" s="611">
        <f t="shared" si="238"/>
        <v>1.1599999999999999</v>
      </c>
      <c r="CA112" s="423"/>
      <c r="CB112" s="418"/>
      <c r="CC112" s="418"/>
      <c r="CD112" s="418"/>
      <c r="CE112" s="418"/>
      <c r="CF112" s="527"/>
    </row>
    <row r="113" spans="1:84" ht="14.1" customHeight="1" x14ac:dyDescent="0.2">
      <c r="A113" s="72">
        <v>27</v>
      </c>
      <c r="B113" s="69">
        <v>2443</v>
      </c>
      <c r="C113" s="70">
        <v>600079309</v>
      </c>
      <c r="D113" s="69">
        <v>72743051</v>
      </c>
      <c r="E113" s="71" t="s">
        <v>588</v>
      </c>
      <c r="F113" s="72"/>
      <c r="G113" s="71"/>
      <c r="H113" s="73"/>
      <c r="I113" s="538">
        <f t="shared" ref="I113:BU113" si="239">SUM(I110:I112)</f>
        <v>5498788</v>
      </c>
      <c r="J113" s="74">
        <f t="shared" si="239"/>
        <v>4065778</v>
      </c>
      <c r="K113" s="74">
        <f t="shared" si="239"/>
        <v>3346272</v>
      </c>
      <c r="L113" s="74">
        <f t="shared" si="239"/>
        <v>719506</v>
      </c>
      <c r="M113" s="74">
        <f t="shared" si="239"/>
        <v>0</v>
      </c>
      <c r="N113" s="74">
        <f t="shared" si="239"/>
        <v>0</v>
      </c>
      <c r="O113" s="74">
        <f t="shared" si="239"/>
        <v>0</v>
      </c>
      <c r="P113" s="74">
        <f t="shared" si="239"/>
        <v>1374233</v>
      </c>
      <c r="Q113" s="74">
        <f t="shared" si="239"/>
        <v>40657</v>
      </c>
      <c r="R113" s="74">
        <f t="shared" si="239"/>
        <v>18120</v>
      </c>
      <c r="S113" s="75">
        <f t="shared" si="239"/>
        <v>8.2799999999999994</v>
      </c>
      <c r="T113" s="75">
        <f t="shared" si="239"/>
        <v>6</v>
      </c>
      <c r="U113" s="753">
        <f t="shared" si="239"/>
        <v>2.2800000000000002</v>
      </c>
      <c r="V113" s="538">
        <f t="shared" si="239"/>
        <v>0</v>
      </c>
      <c r="W113" s="74">
        <f t="shared" si="239"/>
        <v>0</v>
      </c>
      <c r="X113" s="74">
        <f t="shared" si="239"/>
        <v>0</v>
      </c>
      <c r="Y113" s="74">
        <f t="shared" si="239"/>
        <v>0</v>
      </c>
      <c r="Z113" s="74">
        <f t="shared" si="239"/>
        <v>0</v>
      </c>
      <c r="AA113" s="74">
        <f t="shared" si="239"/>
        <v>0</v>
      </c>
      <c r="AB113" s="74">
        <f t="shared" si="239"/>
        <v>0</v>
      </c>
      <c r="AC113" s="74">
        <f t="shared" si="239"/>
        <v>0</v>
      </c>
      <c r="AD113" s="74">
        <f t="shared" si="239"/>
        <v>0</v>
      </c>
      <c r="AE113" s="74">
        <f t="shared" si="239"/>
        <v>0</v>
      </c>
      <c r="AF113" s="74">
        <f t="shared" si="239"/>
        <v>0</v>
      </c>
      <c r="AG113" s="74">
        <f t="shared" si="239"/>
        <v>0</v>
      </c>
      <c r="AH113" s="74">
        <f t="shared" si="239"/>
        <v>0</v>
      </c>
      <c r="AI113" s="74">
        <f t="shared" si="239"/>
        <v>0</v>
      </c>
      <c r="AJ113" s="74">
        <f t="shared" si="239"/>
        <v>0</v>
      </c>
      <c r="AK113" s="74">
        <f t="shared" si="239"/>
        <v>0</v>
      </c>
      <c r="AL113" s="74">
        <f t="shared" si="239"/>
        <v>0</v>
      </c>
      <c r="AM113" s="74">
        <f t="shared" si="239"/>
        <v>0</v>
      </c>
      <c r="AN113" s="74">
        <f t="shared" si="239"/>
        <v>0</v>
      </c>
      <c r="AO113" s="74">
        <f t="shared" si="239"/>
        <v>0</v>
      </c>
      <c r="AP113" s="74">
        <f t="shared" si="239"/>
        <v>0</v>
      </c>
      <c r="AQ113" s="74">
        <f t="shared" si="239"/>
        <v>0</v>
      </c>
      <c r="AR113" s="74">
        <f t="shared" si="239"/>
        <v>0</v>
      </c>
      <c r="AS113" s="74">
        <f t="shared" si="239"/>
        <v>0</v>
      </c>
      <c r="AT113" s="74">
        <f t="shared" si="239"/>
        <v>0</v>
      </c>
      <c r="AU113" s="74">
        <f t="shared" si="239"/>
        <v>0</v>
      </c>
      <c r="AV113" s="74">
        <f t="shared" si="239"/>
        <v>0</v>
      </c>
      <c r="AW113" s="74">
        <f t="shared" si="239"/>
        <v>0</v>
      </c>
      <c r="AX113" s="74">
        <f t="shared" si="239"/>
        <v>0</v>
      </c>
      <c r="AY113" s="74">
        <f t="shared" si="239"/>
        <v>0</v>
      </c>
      <c r="AZ113" s="74">
        <f t="shared" si="239"/>
        <v>0</v>
      </c>
      <c r="BA113" s="75">
        <f t="shared" si="239"/>
        <v>0</v>
      </c>
      <c r="BB113" s="75">
        <f t="shared" si="239"/>
        <v>0</v>
      </c>
      <c r="BC113" s="75">
        <f t="shared" si="239"/>
        <v>0</v>
      </c>
      <c r="BD113" s="75">
        <f t="shared" si="239"/>
        <v>0</v>
      </c>
      <c r="BE113" s="75">
        <f t="shared" si="239"/>
        <v>0</v>
      </c>
      <c r="BF113" s="75">
        <f t="shared" si="239"/>
        <v>0</v>
      </c>
      <c r="BG113" s="75">
        <f t="shared" si="239"/>
        <v>0</v>
      </c>
      <c r="BH113" s="75">
        <f t="shared" si="239"/>
        <v>0</v>
      </c>
      <c r="BI113" s="75">
        <f t="shared" si="239"/>
        <v>0</v>
      </c>
      <c r="BJ113" s="75">
        <f t="shared" si="239"/>
        <v>0</v>
      </c>
      <c r="BK113" s="75">
        <f t="shared" si="239"/>
        <v>0</v>
      </c>
      <c r="BL113" s="75">
        <f t="shared" si="239"/>
        <v>0</v>
      </c>
      <c r="BM113" s="76">
        <f t="shared" si="239"/>
        <v>0</v>
      </c>
      <c r="BN113" s="549">
        <f t="shared" si="239"/>
        <v>5498788</v>
      </c>
      <c r="BO113" s="74">
        <f t="shared" si="239"/>
        <v>4065778</v>
      </c>
      <c r="BP113" s="74">
        <f t="shared" si="239"/>
        <v>3346272</v>
      </c>
      <c r="BQ113" s="74">
        <f t="shared" si="239"/>
        <v>719506</v>
      </c>
      <c r="BR113" s="74">
        <f t="shared" si="239"/>
        <v>0</v>
      </c>
      <c r="BS113" s="74">
        <f t="shared" si="239"/>
        <v>0</v>
      </c>
      <c r="BT113" s="74">
        <f t="shared" si="239"/>
        <v>0</v>
      </c>
      <c r="BU113" s="74">
        <f t="shared" si="239"/>
        <v>1374233</v>
      </c>
      <c r="BV113" s="74">
        <f t="shared" ref="BV113:CF113" si="240">SUM(BV110:BV112)</f>
        <v>40657</v>
      </c>
      <c r="BW113" s="74">
        <f t="shared" si="240"/>
        <v>18120</v>
      </c>
      <c r="BX113" s="75">
        <f t="shared" si="240"/>
        <v>8.2799999999999994</v>
      </c>
      <c r="BY113" s="75">
        <f t="shared" si="240"/>
        <v>6</v>
      </c>
      <c r="BZ113" s="753">
        <f t="shared" si="240"/>
        <v>2.2800000000000002</v>
      </c>
      <c r="CA113" s="796">
        <f t="shared" si="240"/>
        <v>0</v>
      </c>
      <c r="CB113" s="789">
        <f t="shared" si="240"/>
        <v>0</v>
      </c>
      <c r="CC113" s="789">
        <f t="shared" si="240"/>
        <v>0</v>
      </c>
      <c r="CD113" s="789">
        <f t="shared" si="240"/>
        <v>0</v>
      </c>
      <c r="CE113" s="789">
        <f t="shared" si="240"/>
        <v>0</v>
      </c>
      <c r="CF113" s="793">
        <f t="shared" si="240"/>
        <v>0</v>
      </c>
    </row>
    <row r="114" spans="1:84" ht="14.1" customHeight="1" x14ac:dyDescent="0.2">
      <c r="A114" s="66">
        <v>28</v>
      </c>
      <c r="B114" s="63">
        <v>2425</v>
      </c>
      <c r="C114" s="64">
        <v>600079333</v>
      </c>
      <c r="D114" s="63">
        <v>72741864</v>
      </c>
      <c r="E114" s="65" t="s">
        <v>589</v>
      </c>
      <c r="F114" s="66">
        <v>3111</v>
      </c>
      <c r="G114" s="65" t="s">
        <v>291</v>
      </c>
      <c r="H114" s="67" t="s">
        <v>271</v>
      </c>
      <c r="I114" s="423">
        <f t="shared" si="159"/>
        <v>3469135</v>
      </c>
      <c r="J114" s="418">
        <f t="shared" si="160"/>
        <v>2564827</v>
      </c>
      <c r="K114" s="418">
        <v>2329707</v>
      </c>
      <c r="L114" s="418">
        <v>235120</v>
      </c>
      <c r="M114" s="418">
        <f>N114+O114</f>
        <v>0</v>
      </c>
      <c r="N114" s="418">
        <v>0</v>
      </c>
      <c r="O114" s="418">
        <v>0</v>
      </c>
      <c r="P114" s="668">
        <f t="shared" si="162"/>
        <v>866912</v>
      </c>
      <c r="Q114" s="668">
        <f t="shared" si="163"/>
        <v>25648</v>
      </c>
      <c r="R114" s="418">
        <v>11748</v>
      </c>
      <c r="S114" s="419">
        <f t="shared" si="164"/>
        <v>4.8001000000000005</v>
      </c>
      <c r="T114" s="419">
        <v>4</v>
      </c>
      <c r="U114" s="426">
        <v>0.80010000000000003</v>
      </c>
      <c r="V114" s="428">
        <f t="shared" si="165"/>
        <v>0</v>
      </c>
      <c r="W114" s="421">
        <f t="shared" si="166"/>
        <v>0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1">
        <v>0</v>
      </c>
      <c r="AE114" s="421">
        <v>0</v>
      </c>
      <c r="AF114" s="421">
        <f t="shared" si="167"/>
        <v>0</v>
      </c>
      <c r="AG114" s="421">
        <f t="shared" si="168"/>
        <v>0</v>
      </c>
      <c r="AH114" s="421">
        <f t="shared" si="169"/>
        <v>0</v>
      </c>
      <c r="AI114" s="421">
        <v>0</v>
      </c>
      <c r="AJ114" s="421">
        <v>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si="170"/>
        <v>0</v>
      </c>
      <c r="AP114" s="421">
        <f t="shared" si="171"/>
        <v>0</v>
      </c>
      <c r="AQ114" s="421">
        <f t="shared" si="172"/>
        <v>0</v>
      </c>
      <c r="AR114" s="421">
        <f>AF114+AO114</f>
        <v>0</v>
      </c>
      <c r="AS114" s="421">
        <f>AG114+AP114</f>
        <v>0</v>
      </c>
      <c r="AT114" s="421">
        <f t="shared" si="173"/>
        <v>0</v>
      </c>
      <c r="AU114" s="68">
        <f t="shared" ref="AU114:AU115" si="241">ROUND((AH114+AI114+AJ114+AK114+AL114)*33.8%,0)</f>
        <v>0</v>
      </c>
      <c r="AV114" s="68">
        <f>ROUND(AH114*1%,0)</f>
        <v>0</v>
      </c>
      <c r="AW114" s="421">
        <v>0</v>
      </c>
      <c r="AX114" s="421">
        <v>0</v>
      </c>
      <c r="AY114" s="421">
        <f t="shared" si="174"/>
        <v>0</v>
      </c>
      <c r="AZ114" s="421">
        <f t="shared" si="175"/>
        <v>0</v>
      </c>
      <c r="BA114" s="422">
        <v>0</v>
      </c>
      <c r="BB114" s="422">
        <v>0</v>
      </c>
      <c r="BC114" s="422">
        <v>0</v>
      </c>
      <c r="BD114" s="422">
        <v>0</v>
      </c>
      <c r="BE114" s="422">
        <v>0</v>
      </c>
      <c r="BF114" s="422">
        <v>0</v>
      </c>
      <c r="BG114" s="422">
        <v>0</v>
      </c>
      <c r="BH114" s="422">
        <v>0</v>
      </c>
      <c r="BI114" s="422">
        <v>0</v>
      </c>
      <c r="BJ114" s="422">
        <v>0</v>
      </c>
      <c r="BK114" s="422">
        <f>BA114+BC114+BD114+BF114+BH114+BI114</f>
        <v>0</v>
      </c>
      <c r="BL114" s="422">
        <f>BB114+BE114+BG114+BJ114</f>
        <v>0</v>
      </c>
      <c r="BM114" s="424">
        <f t="shared" si="176"/>
        <v>0</v>
      </c>
      <c r="BN114" s="427">
        <f>I114+AZ114</f>
        <v>3469135</v>
      </c>
      <c r="BO114" s="421">
        <f>J114+AH114</f>
        <v>2564827</v>
      </c>
      <c r="BP114" s="421">
        <f>K114+AF114</f>
        <v>2329707</v>
      </c>
      <c r="BQ114" s="421">
        <f>L114+AG114</f>
        <v>235120</v>
      </c>
      <c r="BR114" s="421">
        <f>M114+AQ114</f>
        <v>0</v>
      </c>
      <c r="BS114" s="421">
        <f>N114+AO114</f>
        <v>0</v>
      </c>
      <c r="BT114" s="421">
        <f>O114+AP114</f>
        <v>0</v>
      </c>
      <c r="BU114" s="421">
        <f>P114+AU114</f>
        <v>866912</v>
      </c>
      <c r="BV114" s="421">
        <f>Q114+AV114</f>
        <v>25648</v>
      </c>
      <c r="BW114" s="421">
        <f>R114+AY114</f>
        <v>11748</v>
      </c>
      <c r="BX114" s="422">
        <f>S114+BM114</f>
        <v>4.8001000000000005</v>
      </c>
      <c r="BY114" s="422">
        <f>T114+BK114</f>
        <v>4</v>
      </c>
      <c r="BZ114" s="611">
        <f>U114+BL114</f>
        <v>0.80010000000000003</v>
      </c>
      <c r="CA114" s="423"/>
      <c r="CB114" s="418"/>
      <c r="CC114" s="418"/>
      <c r="CD114" s="418"/>
      <c r="CE114" s="418"/>
      <c r="CF114" s="527"/>
    </row>
    <row r="115" spans="1:84" ht="14.1" customHeight="1" x14ac:dyDescent="0.2">
      <c r="A115" s="66">
        <v>28</v>
      </c>
      <c r="B115" s="63">
        <v>2425</v>
      </c>
      <c r="C115" s="64">
        <v>600079333</v>
      </c>
      <c r="D115" s="63">
        <v>72741864</v>
      </c>
      <c r="E115" s="65" t="s">
        <v>589</v>
      </c>
      <c r="F115" s="66">
        <v>3141</v>
      </c>
      <c r="G115" s="65" t="s">
        <v>295</v>
      </c>
      <c r="H115" s="67" t="s">
        <v>272</v>
      </c>
      <c r="I115" s="423">
        <f t="shared" si="159"/>
        <v>424099</v>
      </c>
      <c r="J115" s="418">
        <f t="shared" si="160"/>
        <v>313471</v>
      </c>
      <c r="K115" s="418">
        <v>0</v>
      </c>
      <c r="L115" s="924">
        <v>313471</v>
      </c>
      <c r="M115" s="418">
        <f>N115+O115</f>
        <v>0</v>
      </c>
      <c r="N115" s="205">
        <v>0</v>
      </c>
      <c r="O115" s="205">
        <v>0</v>
      </c>
      <c r="P115" s="668">
        <f t="shared" si="162"/>
        <v>105953</v>
      </c>
      <c r="Q115" s="668">
        <f t="shared" si="163"/>
        <v>3135</v>
      </c>
      <c r="R115" s="674">
        <v>1540</v>
      </c>
      <c r="S115" s="419">
        <f>T115+U115</f>
        <v>0.94</v>
      </c>
      <c r="T115" s="676">
        <v>0</v>
      </c>
      <c r="U115" s="909">
        <v>0.94</v>
      </c>
      <c r="V115" s="428">
        <f t="shared" si="165"/>
        <v>0</v>
      </c>
      <c r="W115" s="421">
        <f t="shared" si="166"/>
        <v>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 t="shared" si="167"/>
        <v>0</v>
      </c>
      <c r="AG115" s="421">
        <f t="shared" si="168"/>
        <v>0</v>
      </c>
      <c r="AH115" s="421">
        <f t="shared" si="169"/>
        <v>0</v>
      </c>
      <c r="AI115" s="421">
        <v>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si="170"/>
        <v>0</v>
      </c>
      <c r="AP115" s="421">
        <f t="shared" si="171"/>
        <v>0</v>
      </c>
      <c r="AQ115" s="421">
        <f t="shared" si="172"/>
        <v>0</v>
      </c>
      <c r="AR115" s="421">
        <f>AF115+AO115</f>
        <v>0</v>
      </c>
      <c r="AS115" s="421">
        <f>AG115+AP115</f>
        <v>0</v>
      </c>
      <c r="AT115" s="421">
        <f t="shared" si="173"/>
        <v>0</v>
      </c>
      <c r="AU115" s="68">
        <f t="shared" si="241"/>
        <v>0</v>
      </c>
      <c r="AV115" s="68">
        <f>ROUND(AH115*1%,0)</f>
        <v>0</v>
      </c>
      <c r="AW115" s="421">
        <v>0</v>
      </c>
      <c r="AX115" s="421">
        <v>0</v>
      </c>
      <c r="AY115" s="421">
        <f t="shared" si="174"/>
        <v>0</v>
      </c>
      <c r="AZ115" s="421">
        <f t="shared" si="175"/>
        <v>0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>BA115+BC115+BD115+BF115+BH115+BI115</f>
        <v>0</v>
      </c>
      <c r="BL115" s="422">
        <f>BB115+BE115+BG115+BJ115</f>
        <v>0</v>
      </c>
      <c r="BM115" s="424">
        <f t="shared" si="176"/>
        <v>0</v>
      </c>
      <c r="BN115" s="427">
        <f>I115+AZ115</f>
        <v>424099</v>
      </c>
      <c r="BO115" s="421">
        <f>J115+AH115</f>
        <v>313471</v>
      </c>
      <c r="BP115" s="421">
        <f>K115+AF115</f>
        <v>0</v>
      </c>
      <c r="BQ115" s="421">
        <f>L115+AG115</f>
        <v>313471</v>
      </c>
      <c r="BR115" s="421">
        <f>M115+AQ115</f>
        <v>0</v>
      </c>
      <c r="BS115" s="421">
        <f>N115+AO115</f>
        <v>0</v>
      </c>
      <c r="BT115" s="421">
        <f>O115+AP115</f>
        <v>0</v>
      </c>
      <c r="BU115" s="421">
        <f>P115+AU115</f>
        <v>105953</v>
      </c>
      <c r="BV115" s="421">
        <f>Q115+AV115</f>
        <v>3135</v>
      </c>
      <c r="BW115" s="421">
        <f>R115+AY115</f>
        <v>1540</v>
      </c>
      <c r="BX115" s="422">
        <f>S115+BM115</f>
        <v>0.94</v>
      </c>
      <c r="BY115" s="422">
        <f>T115+BK115</f>
        <v>0</v>
      </c>
      <c r="BZ115" s="611">
        <f>U115+BL115</f>
        <v>0.94</v>
      </c>
      <c r="CA115" s="423"/>
      <c r="CB115" s="418"/>
      <c r="CC115" s="418"/>
      <c r="CD115" s="418"/>
      <c r="CE115" s="418"/>
      <c r="CF115" s="527"/>
    </row>
    <row r="116" spans="1:84" ht="14.1" customHeight="1" x14ac:dyDescent="0.2">
      <c r="A116" s="72">
        <v>28</v>
      </c>
      <c r="B116" s="69">
        <v>2425</v>
      </c>
      <c r="C116" s="70">
        <v>600079333</v>
      </c>
      <c r="D116" s="69">
        <v>72741864</v>
      </c>
      <c r="E116" s="71" t="s">
        <v>590</v>
      </c>
      <c r="F116" s="72"/>
      <c r="G116" s="71"/>
      <c r="H116" s="73"/>
      <c r="I116" s="538">
        <f t="shared" ref="I116:BU116" si="242">SUM(I114:I115)</f>
        <v>3893234</v>
      </c>
      <c r="J116" s="74">
        <f t="shared" si="242"/>
        <v>2878298</v>
      </c>
      <c r="K116" s="74">
        <f t="shared" si="242"/>
        <v>2329707</v>
      </c>
      <c r="L116" s="74">
        <f t="shared" si="242"/>
        <v>548591</v>
      </c>
      <c r="M116" s="74">
        <f t="shared" si="242"/>
        <v>0</v>
      </c>
      <c r="N116" s="74">
        <f t="shared" si="242"/>
        <v>0</v>
      </c>
      <c r="O116" s="74">
        <f t="shared" si="242"/>
        <v>0</v>
      </c>
      <c r="P116" s="74">
        <f t="shared" si="242"/>
        <v>972865</v>
      </c>
      <c r="Q116" s="74">
        <f t="shared" si="242"/>
        <v>28783</v>
      </c>
      <c r="R116" s="74">
        <f t="shared" si="242"/>
        <v>13288</v>
      </c>
      <c r="S116" s="75">
        <f t="shared" si="242"/>
        <v>5.7401</v>
      </c>
      <c r="T116" s="75">
        <f t="shared" si="242"/>
        <v>4</v>
      </c>
      <c r="U116" s="753">
        <f t="shared" si="242"/>
        <v>1.7401</v>
      </c>
      <c r="V116" s="538">
        <f t="shared" si="242"/>
        <v>0</v>
      </c>
      <c r="W116" s="74">
        <f t="shared" si="242"/>
        <v>0</v>
      </c>
      <c r="X116" s="74">
        <f t="shared" si="242"/>
        <v>0</v>
      </c>
      <c r="Y116" s="74">
        <f t="shared" si="242"/>
        <v>0</v>
      </c>
      <c r="Z116" s="74">
        <f t="shared" si="242"/>
        <v>0</v>
      </c>
      <c r="AA116" s="74">
        <f t="shared" si="242"/>
        <v>0</v>
      </c>
      <c r="AB116" s="74">
        <f t="shared" si="242"/>
        <v>0</v>
      </c>
      <c r="AC116" s="74">
        <f t="shared" si="242"/>
        <v>0</v>
      </c>
      <c r="AD116" s="74">
        <f t="shared" si="242"/>
        <v>0</v>
      </c>
      <c r="AE116" s="74">
        <f t="shared" si="242"/>
        <v>0</v>
      </c>
      <c r="AF116" s="74">
        <f t="shared" si="242"/>
        <v>0</v>
      </c>
      <c r="AG116" s="74">
        <f t="shared" si="242"/>
        <v>0</v>
      </c>
      <c r="AH116" s="74">
        <f t="shared" si="242"/>
        <v>0</v>
      </c>
      <c r="AI116" s="74">
        <f t="shared" si="242"/>
        <v>0</v>
      </c>
      <c r="AJ116" s="74">
        <f t="shared" si="242"/>
        <v>0</v>
      </c>
      <c r="AK116" s="74">
        <f t="shared" si="242"/>
        <v>0</v>
      </c>
      <c r="AL116" s="74">
        <f t="shared" si="242"/>
        <v>0</v>
      </c>
      <c r="AM116" s="74">
        <f t="shared" si="242"/>
        <v>0</v>
      </c>
      <c r="AN116" s="74">
        <f t="shared" si="242"/>
        <v>0</v>
      </c>
      <c r="AO116" s="74">
        <f t="shared" si="242"/>
        <v>0</v>
      </c>
      <c r="AP116" s="74">
        <f t="shared" si="242"/>
        <v>0</v>
      </c>
      <c r="AQ116" s="74">
        <f t="shared" si="242"/>
        <v>0</v>
      </c>
      <c r="AR116" s="74">
        <f t="shared" si="242"/>
        <v>0</v>
      </c>
      <c r="AS116" s="74">
        <f t="shared" si="242"/>
        <v>0</v>
      </c>
      <c r="AT116" s="74">
        <f t="shared" si="242"/>
        <v>0</v>
      </c>
      <c r="AU116" s="74">
        <f t="shared" si="242"/>
        <v>0</v>
      </c>
      <c r="AV116" s="74">
        <f t="shared" si="242"/>
        <v>0</v>
      </c>
      <c r="AW116" s="74">
        <f t="shared" si="242"/>
        <v>0</v>
      </c>
      <c r="AX116" s="74">
        <f t="shared" si="242"/>
        <v>0</v>
      </c>
      <c r="AY116" s="74">
        <f t="shared" si="242"/>
        <v>0</v>
      </c>
      <c r="AZ116" s="74">
        <f t="shared" si="242"/>
        <v>0</v>
      </c>
      <c r="BA116" s="75">
        <f t="shared" si="242"/>
        <v>0</v>
      </c>
      <c r="BB116" s="75">
        <f t="shared" si="242"/>
        <v>0</v>
      </c>
      <c r="BC116" s="75">
        <f t="shared" si="242"/>
        <v>0</v>
      </c>
      <c r="BD116" s="75">
        <f t="shared" si="242"/>
        <v>0</v>
      </c>
      <c r="BE116" s="75">
        <f t="shared" si="242"/>
        <v>0</v>
      </c>
      <c r="BF116" s="75">
        <f t="shared" si="242"/>
        <v>0</v>
      </c>
      <c r="BG116" s="75">
        <f t="shared" si="242"/>
        <v>0</v>
      </c>
      <c r="BH116" s="75">
        <f t="shared" si="242"/>
        <v>0</v>
      </c>
      <c r="BI116" s="75">
        <f t="shared" si="242"/>
        <v>0</v>
      </c>
      <c r="BJ116" s="75">
        <f t="shared" si="242"/>
        <v>0</v>
      </c>
      <c r="BK116" s="75">
        <f t="shared" si="242"/>
        <v>0</v>
      </c>
      <c r="BL116" s="75">
        <f t="shared" si="242"/>
        <v>0</v>
      </c>
      <c r="BM116" s="76">
        <f t="shared" si="242"/>
        <v>0</v>
      </c>
      <c r="BN116" s="549">
        <f t="shared" si="242"/>
        <v>3893234</v>
      </c>
      <c r="BO116" s="74">
        <f t="shared" si="242"/>
        <v>2878298</v>
      </c>
      <c r="BP116" s="74">
        <f t="shared" si="242"/>
        <v>2329707</v>
      </c>
      <c r="BQ116" s="74">
        <f t="shared" si="242"/>
        <v>548591</v>
      </c>
      <c r="BR116" s="74">
        <f t="shared" si="242"/>
        <v>0</v>
      </c>
      <c r="BS116" s="74">
        <f t="shared" si="242"/>
        <v>0</v>
      </c>
      <c r="BT116" s="74">
        <f t="shared" si="242"/>
        <v>0</v>
      </c>
      <c r="BU116" s="74">
        <f t="shared" si="242"/>
        <v>972865</v>
      </c>
      <c r="BV116" s="74">
        <f t="shared" ref="BV116:CF116" si="243">SUM(BV114:BV115)</f>
        <v>28783</v>
      </c>
      <c r="BW116" s="74">
        <f t="shared" si="243"/>
        <v>13288</v>
      </c>
      <c r="BX116" s="75">
        <f t="shared" si="243"/>
        <v>5.7401</v>
      </c>
      <c r="BY116" s="75">
        <f t="shared" si="243"/>
        <v>4</v>
      </c>
      <c r="BZ116" s="753">
        <f t="shared" si="243"/>
        <v>1.7401</v>
      </c>
      <c r="CA116" s="796">
        <f t="shared" si="243"/>
        <v>0</v>
      </c>
      <c r="CB116" s="789">
        <f t="shared" si="243"/>
        <v>0</v>
      </c>
      <c r="CC116" s="789">
        <f t="shared" si="243"/>
        <v>0</v>
      </c>
      <c r="CD116" s="789">
        <f t="shared" si="243"/>
        <v>0</v>
      </c>
      <c r="CE116" s="789">
        <f t="shared" si="243"/>
        <v>0</v>
      </c>
      <c r="CF116" s="793">
        <f t="shared" si="243"/>
        <v>0</v>
      </c>
    </row>
    <row r="117" spans="1:84" ht="14.1" customHeight="1" x14ac:dyDescent="0.2">
      <c r="A117" s="66">
        <v>29</v>
      </c>
      <c r="B117" s="63">
        <v>2433</v>
      </c>
      <c r="C117" s="64">
        <v>600079643</v>
      </c>
      <c r="D117" s="63">
        <v>66113334</v>
      </c>
      <c r="E117" s="65" t="s">
        <v>591</v>
      </c>
      <c r="F117" s="66">
        <v>3111</v>
      </c>
      <c r="G117" s="65" t="s">
        <v>291</v>
      </c>
      <c r="H117" s="67" t="s">
        <v>271</v>
      </c>
      <c r="I117" s="423">
        <f t="shared" si="159"/>
        <v>7028334</v>
      </c>
      <c r="J117" s="418">
        <f t="shared" si="160"/>
        <v>5194987</v>
      </c>
      <c r="K117" s="418">
        <v>4751441</v>
      </c>
      <c r="L117" s="418">
        <v>443546</v>
      </c>
      <c r="M117" s="418">
        <f>N117+O117</f>
        <v>0</v>
      </c>
      <c r="N117" s="418">
        <v>0</v>
      </c>
      <c r="O117" s="418">
        <v>0</v>
      </c>
      <c r="P117" s="668">
        <f t="shared" si="162"/>
        <v>1755906</v>
      </c>
      <c r="Q117" s="668">
        <f t="shared" si="163"/>
        <v>51950</v>
      </c>
      <c r="R117" s="418">
        <v>25491</v>
      </c>
      <c r="S117" s="419">
        <f t="shared" si="164"/>
        <v>9.9125999999999994</v>
      </c>
      <c r="T117" s="419">
        <v>8.4192999999999998</v>
      </c>
      <c r="U117" s="426">
        <v>1.4933000000000001</v>
      </c>
      <c r="V117" s="428">
        <f t="shared" si="165"/>
        <v>0</v>
      </c>
      <c r="W117" s="421">
        <f t="shared" si="166"/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 t="shared" si="167"/>
        <v>0</v>
      </c>
      <c r="AG117" s="421">
        <f t="shared" si="168"/>
        <v>0</v>
      </c>
      <c r="AH117" s="421">
        <f t="shared" si="169"/>
        <v>0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170"/>
        <v>0</v>
      </c>
      <c r="AP117" s="421">
        <f t="shared" si="171"/>
        <v>0</v>
      </c>
      <c r="AQ117" s="421">
        <f t="shared" si="172"/>
        <v>0</v>
      </c>
      <c r="AR117" s="421">
        <f t="shared" ref="AR117:AS119" si="244">AF117+AO117</f>
        <v>0</v>
      </c>
      <c r="AS117" s="421">
        <f t="shared" si="244"/>
        <v>0</v>
      </c>
      <c r="AT117" s="421">
        <f t="shared" si="173"/>
        <v>0</v>
      </c>
      <c r="AU117" s="68">
        <f t="shared" ref="AU117:AU119" si="245">ROUND((AH117+AI117+AJ117+AK117+AL117)*33.8%,0)</f>
        <v>0</v>
      </c>
      <c r="AV117" s="68">
        <f>ROUND(AH117*1%,0)</f>
        <v>0</v>
      </c>
      <c r="AW117" s="421">
        <v>0</v>
      </c>
      <c r="AX117" s="421">
        <v>0</v>
      </c>
      <c r="AY117" s="421">
        <f t="shared" si="174"/>
        <v>0</v>
      </c>
      <c r="AZ117" s="421">
        <f t="shared" si="175"/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>BA117+BC117+BD117+BF117+BH117+BI117</f>
        <v>0</v>
      </c>
      <c r="BL117" s="422">
        <f>BB117+BE117+BG117+BJ117</f>
        <v>0</v>
      </c>
      <c r="BM117" s="424">
        <f t="shared" si="176"/>
        <v>0</v>
      </c>
      <c r="BN117" s="427">
        <f>I117+AZ117</f>
        <v>7028334</v>
      </c>
      <c r="BO117" s="421">
        <f>J117+AH117</f>
        <v>5194987</v>
      </c>
      <c r="BP117" s="421">
        <f t="shared" ref="BP117:BQ119" si="246">K117+AF117</f>
        <v>4751441</v>
      </c>
      <c r="BQ117" s="421">
        <f t="shared" si="246"/>
        <v>443546</v>
      </c>
      <c r="BR117" s="421">
        <f>M117+AQ117</f>
        <v>0</v>
      </c>
      <c r="BS117" s="421">
        <f t="shared" ref="BS117:BT119" si="247">N117+AO117</f>
        <v>0</v>
      </c>
      <c r="BT117" s="421">
        <f t="shared" si="247"/>
        <v>0</v>
      </c>
      <c r="BU117" s="421">
        <f t="shared" ref="BU117:BV119" si="248">P117+AU117</f>
        <v>1755906</v>
      </c>
      <c r="BV117" s="421">
        <f t="shared" si="248"/>
        <v>51950</v>
      </c>
      <c r="BW117" s="421">
        <f>R117+AY117</f>
        <v>25491</v>
      </c>
      <c r="BX117" s="422">
        <f>S117+BM117</f>
        <v>9.9125999999999994</v>
      </c>
      <c r="BY117" s="422">
        <f t="shared" ref="BY117:BZ119" si="249">T117+BK117</f>
        <v>8.4192999999999998</v>
      </c>
      <c r="BZ117" s="611">
        <f t="shared" si="249"/>
        <v>1.4933000000000001</v>
      </c>
      <c r="CA117" s="423"/>
      <c r="CB117" s="418"/>
      <c r="CC117" s="418"/>
      <c r="CD117" s="418"/>
      <c r="CE117" s="418"/>
      <c r="CF117" s="527"/>
    </row>
    <row r="118" spans="1:84" ht="14.1" customHeight="1" x14ac:dyDescent="0.2">
      <c r="A118" s="66">
        <v>29</v>
      </c>
      <c r="B118" s="63">
        <v>2433</v>
      </c>
      <c r="C118" s="64">
        <v>600079643</v>
      </c>
      <c r="D118" s="63">
        <v>66113334</v>
      </c>
      <c r="E118" s="65" t="s">
        <v>591</v>
      </c>
      <c r="F118" s="66">
        <v>3111</v>
      </c>
      <c r="G118" s="65" t="s">
        <v>292</v>
      </c>
      <c r="H118" s="67" t="s">
        <v>272</v>
      </c>
      <c r="I118" s="423">
        <f t="shared" si="159"/>
        <v>0</v>
      </c>
      <c r="J118" s="418">
        <f t="shared" si="160"/>
        <v>0</v>
      </c>
      <c r="K118" s="418">
        <v>0</v>
      </c>
      <c r="L118" s="418">
        <v>0</v>
      </c>
      <c r="M118" s="418">
        <f t="shared" si="161"/>
        <v>0</v>
      </c>
      <c r="N118" s="418">
        <v>0</v>
      </c>
      <c r="O118" s="418">
        <v>0</v>
      </c>
      <c r="P118" s="668">
        <f t="shared" si="162"/>
        <v>0</v>
      </c>
      <c r="Q118" s="668">
        <f t="shared" si="163"/>
        <v>0</v>
      </c>
      <c r="R118" s="418">
        <v>0</v>
      </c>
      <c r="S118" s="419">
        <f t="shared" si="164"/>
        <v>0</v>
      </c>
      <c r="T118" s="420">
        <v>0</v>
      </c>
      <c r="U118" s="426">
        <v>0</v>
      </c>
      <c r="V118" s="428">
        <f t="shared" si="165"/>
        <v>0</v>
      </c>
      <c r="W118" s="421">
        <f t="shared" si="166"/>
        <v>0</v>
      </c>
      <c r="X118" s="16">
        <v>1112403</v>
      </c>
      <c r="Y118" s="16">
        <v>0</v>
      </c>
      <c r="Z118" s="16">
        <v>0</v>
      </c>
      <c r="AA118" s="16">
        <v>0</v>
      </c>
      <c r="AB118" s="421">
        <v>0</v>
      </c>
      <c r="AC118" s="16">
        <v>0</v>
      </c>
      <c r="AD118" s="16">
        <v>0</v>
      </c>
      <c r="AE118" s="16">
        <v>0</v>
      </c>
      <c r="AF118" s="421">
        <f t="shared" si="167"/>
        <v>1112403</v>
      </c>
      <c r="AG118" s="421">
        <f t="shared" si="168"/>
        <v>0</v>
      </c>
      <c r="AH118" s="421">
        <f t="shared" si="169"/>
        <v>1112403</v>
      </c>
      <c r="AI118" s="16">
        <v>0</v>
      </c>
      <c r="AJ118" s="16">
        <v>0</v>
      </c>
      <c r="AK118" s="421">
        <v>0</v>
      </c>
      <c r="AL118" s="16">
        <v>0</v>
      </c>
      <c r="AM118" s="16">
        <v>0</v>
      </c>
      <c r="AN118" s="16">
        <v>0</v>
      </c>
      <c r="AO118" s="421">
        <f t="shared" si="170"/>
        <v>0</v>
      </c>
      <c r="AP118" s="16">
        <v>0</v>
      </c>
      <c r="AQ118" s="421">
        <f t="shared" si="172"/>
        <v>0</v>
      </c>
      <c r="AR118" s="421">
        <f t="shared" si="244"/>
        <v>1112403</v>
      </c>
      <c r="AS118" s="421">
        <f t="shared" si="244"/>
        <v>0</v>
      </c>
      <c r="AT118" s="421">
        <f t="shared" si="173"/>
        <v>1112403</v>
      </c>
      <c r="AU118" s="68">
        <f t="shared" si="245"/>
        <v>375992</v>
      </c>
      <c r="AV118" s="68">
        <f>ROUND(AH118*1%,0)</f>
        <v>11124</v>
      </c>
      <c r="AW118" s="16">
        <v>0</v>
      </c>
      <c r="AX118" s="16">
        <v>0</v>
      </c>
      <c r="AY118" s="421">
        <f t="shared" si="174"/>
        <v>0</v>
      </c>
      <c r="AZ118" s="421">
        <f t="shared" si="175"/>
        <v>1499519</v>
      </c>
      <c r="BA118" s="13">
        <v>0</v>
      </c>
      <c r="BB118" s="13">
        <v>0</v>
      </c>
      <c r="BC118" s="13">
        <v>3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>BA118+BC118+BD118+BF118+BH118+BI118</f>
        <v>3</v>
      </c>
      <c r="BL118" s="422">
        <f>BB118+BE118+BG118+BJ118</f>
        <v>0</v>
      </c>
      <c r="BM118" s="424">
        <f t="shared" si="176"/>
        <v>3</v>
      </c>
      <c r="BN118" s="427">
        <f>I118+AZ118</f>
        <v>1499519</v>
      </c>
      <c r="BO118" s="421">
        <f>J118+AH118</f>
        <v>1112403</v>
      </c>
      <c r="BP118" s="421">
        <f t="shared" si="246"/>
        <v>1112403</v>
      </c>
      <c r="BQ118" s="421">
        <f t="shared" si="246"/>
        <v>0</v>
      </c>
      <c r="BR118" s="421">
        <f>M118+AQ118</f>
        <v>0</v>
      </c>
      <c r="BS118" s="421">
        <f t="shared" si="247"/>
        <v>0</v>
      </c>
      <c r="BT118" s="421">
        <f t="shared" si="247"/>
        <v>0</v>
      </c>
      <c r="BU118" s="421">
        <f t="shared" si="248"/>
        <v>375992</v>
      </c>
      <c r="BV118" s="421">
        <f t="shared" si="248"/>
        <v>11124</v>
      </c>
      <c r="BW118" s="421">
        <f>R118+AY118</f>
        <v>0</v>
      </c>
      <c r="BX118" s="422">
        <f>S118+BM118</f>
        <v>3</v>
      </c>
      <c r="BY118" s="422">
        <f t="shared" si="249"/>
        <v>3</v>
      </c>
      <c r="BZ118" s="611">
        <f t="shared" si="249"/>
        <v>0</v>
      </c>
      <c r="CA118" s="423"/>
      <c r="CB118" s="418"/>
      <c r="CC118" s="418"/>
      <c r="CD118" s="418"/>
      <c r="CE118" s="418"/>
      <c r="CF118" s="527"/>
    </row>
    <row r="119" spans="1:84" ht="14.1" customHeight="1" x14ac:dyDescent="0.2">
      <c r="A119" s="66">
        <v>29</v>
      </c>
      <c r="B119" s="63">
        <v>2433</v>
      </c>
      <c r="C119" s="64">
        <v>600079643</v>
      </c>
      <c r="D119" s="63">
        <v>66113334</v>
      </c>
      <c r="E119" s="65" t="s">
        <v>591</v>
      </c>
      <c r="F119" s="66">
        <v>3141</v>
      </c>
      <c r="G119" s="65" t="s">
        <v>295</v>
      </c>
      <c r="H119" s="67" t="s">
        <v>272</v>
      </c>
      <c r="I119" s="423">
        <f t="shared" si="159"/>
        <v>598948</v>
      </c>
      <c r="J119" s="418">
        <f t="shared" si="160"/>
        <v>442428</v>
      </c>
      <c r="K119" s="418">
        <v>0</v>
      </c>
      <c r="L119" s="924">
        <v>442428</v>
      </c>
      <c r="M119" s="418">
        <f>N119+O119</f>
        <v>0</v>
      </c>
      <c r="N119" s="205">
        <v>0</v>
      </c>
      <c r="O119" s="205">
        <v>0</v>
      </c>
      <c r="P119" s="668">
        <f t="shared" si="162"/>
        <v>149541</v>
      </c>
      <c r="Q119" s="668">
        <f t="shared" si="163"/>
        <v>4424</v>
      </c>
      <c r="R119" s="674">
        <v>2555</v>
      </c>
      <c r="S119" s="419">
        <f>T119+U119</f>
        <v>1.3267</v>
      </c>
      <c r="T119" s="676">
        <v>0</v>
      </c>
      <c r="U119" s="909">
        <v>1.3267</v>
      </c>
      <c r="V119" s="428">
        <f t="shared" si="165"/>
        <v>0</v>
      </c>
      <c r="W119" s="421">
        <f t="shared" si="166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 t="shared" si="167"/>
        <v>0</v>
      </c>
      <c r="AG119" s="421">
        <f t="shared" si="168"/>
        <v>0</v>
      </c>
      <c r="AH119" s="421">
        <f t="shared" si="169"/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si="170"/>
        <v>0</v>
      </c>
      <c r="AP119" s="421">
        <f t="shared" si="171"/>
        <v>0</v>
      </c>
      <c r="AQ119" s="421">
        <f t="shared" si="172"/>
        <v>0</v>
      </c>
      <c r="AR119" s="421">
        <f t="shared" si="244"/>
        <v>0</v>
      </c>
      <c r="AS119" s="421">
        <f t="shared" si="244"/>
        <v>0</v>
      </c>
      <c r="AT119" s="421">
        <f t="shared" si="173"/>
        <v>0</v>
      </c>
      <c r="AU119" s="68">
        <f t="shared" si="245"/>
        <v>0</v>
      </c>
      <c r="AV119" s="68">
        <f>ROUND(AH119*1%,0)</f>
        <v>0</v>
      </c>
      <c r="AW119" s="421">
        <v>0</v>
      </c>
      <c r="AX119" s="421">
        <v>0</v>
      </c>
      <c r="AY119" s="421">
        <f t="shared" si="174"/>
        <v>0</v>
      </c>
      <c r="AZ119" s="421">
        <f t="shared" si="175"/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>BA119+BC119+BD119+BF119+BH119+BI119</f>
        <v>0</v>
      </c>
      <c r="BL119" s="422">
        <f>BB119+BE119+BG119+BJ119</f>
        <v>0</v>
      </c>
      <c r="BM119" s="424">
        <f t="shared" si="176"/>
        <v>0</v>
      </c>
      <c r="BN119" s="427">
        <f>I119+AZ119</f>
        <v>598948</v>
      </c>
      <c r="BO119" s="421">
        <f>J119+AH119</f>
        <v>442428</v>
      </c>
      <c r="BP119" s="421">
        <f t="shared" si="246"/>
        <v>0</v>
      </c>
      <c r="BQ119" s="421">
        <f t="shared" si="246"/>
        <v>442428</v>
      </c>
      <c r="BR119" s="421">
        <f>M119+AQ119</f>
        <v>0</v>
      </c>
      <c r="BS119" s="421">
        <f t="shared" si="247"/>
        <v>0</v>
      </c>
      <c r="BT119" s="421">
        <f t="shared" si="247"/>
        <v>0</v>
      </c>
      <c r="BU119" s="421">
        <f t="shared" si="248"/>
        <v>149541</v>
      </c>
      <c r="BV119" s="421">
        <f t="shared" si="248"/>
        <v>4424</v>
      </c>
      <c r="BW119" s="421">
        <f>R119+AY119</f>
        <v>2555</v>
      </c>
      <c r="BX119" s="422">
        <f>S119+BM119</f>
        <v>1.3267</v>
      </c>
      <c r="BY119" s="422">
        <f t="shared" si="249"/>
        <v>0</v>
      </c>
      <c r="BZ119" s="611">
        <f t="shared" si="249"/>
        <v>1.3267</v>
      </c>
      <c r="CA119" s="423"/>
      <c r="CB119" s="418"/>
      <c r="CC119" s="418"/>
      <c r="CD119" s="418"/>
      <c r="CE119" s="418"/>
      <c r="CF119" s="527"/>
    </row>
    <row r="120" spans="1:84" ht="14.1" customHeight="1" x14ac:dyDescent="0.2">
      <c r="A120" s="72">
        <v>29</v>
      </c>
      <c r="B120" s="69">
        <v>2433</v>
      </c>
      <c r="C120" s="70">
        <v>600079643</v>
      </c>
      <c r="D120" s="69">
        <v>66113334</v>
      </c>
      <c r="E120" s="71" t="s">
        <v>592</v>
      </c>
      <c r="F120" s="72"/>
      <c r="G120" s="71"/>
      <c r="H120" s="73"/>
      <c r="I120" s="538">
        <f t="shared" ref="I120:BU120" si="250">SUM(I117:I119)</f>
        <v>7627282</v>
      </c>
      <c r="J120" s="74">
        <f t="shared" si="250"/>
        <v>5637415</v>
      </c>
      <c r="K120" s="74">
        <f t="shared" si="250"/>
        <v>4751441</v>
      </c>
      <c r="L120" s="74">
        <f t="shared" si="250"/>
        <v>885974</v>
      </c>
      <c r="M120" s="74">
        <f t="shared" si="250"/>
        <v>0</v>
      </c>
      <c r="N120" s="74">
        <f t="shared" si="250"/>
        <v>0</v>
      </c>
      <c r="O120" s="74">
        <f t="shared" si="250"/>
        <v>0</v>
      </c>
      <c r="P120" s="74">
        <f t="shared" si="250"/>
        <v>1905447</v>
      </c>
      <c r="Q120" s="74">
        <f t="shared" si="250"/>
        <v>56374</v>
      </c>
      <c r="R120" s="74">
        <f t="shared" si="250"/>
        <v>28046</v>
      </c>
      <c r="S120" s="75">
        <f t="shared" si="250"/>
        <v>11.2393</v>
      </c>
      <c r="T120" s="75">
        <f t="shared" si="250"/>
        <v>8.4192999999999998</v>
      </c>
      <c r="U120" s="753">
        <f t="shared" si="250"/>
        <v>2.8200000000000003</v>
      </c>
      <c r="V120" s="538">
        <f t="shared" si="250"/>
        <v>0</v>
      </c>
      <c r="W120" s="74">
        <f t="shared" si="250"/>
        <v>0</v>
      </c>
      <c r="X120" s="74">
        <f t="shared" si="250"/>
        <v>1112403</v>
      </c>
      <c r="Y120" s="74">
        <f t="shared" si="250"/>
        <v>0</v>
      </c>
      <c r="Z120" s="74">
        <f t="shared" si="250"/>
        <v>0</v>
      </c>
      <c r="AA120" s="74">
        <f t="shared" si="250"/>
        <v>0</v>
      </c>
      <c r="AB120" s="74">
        <f t="shared" si="250"/>
        <v>0</v>
      </c>
      <c r="AC120" s="74">
        <f t="shared" si="250"/>
        <v>0</v>
      </c>
      <c r="AD120" s="74">
        <f t="shared" si="250"/>
        <v>0</v>
      </c>
      <c r="AE120" s="74">
        <f t="shared" si="250"/>
        <v>0</v>
      </c>
      <c r="AF120" s="74">
        <f t="shared" si="250"/>
        <v>1112403</v>
      </c>
      <c r="AG120" s="74">
        <f t="shared" si="250"/>
        <v>0</v>
      </c>
      <c r="AH120" s="74">
        <f t="shared" si="250"/>
        <v>1112403</v>
      </c>
      <c r="AI120" s="74">
        <f t="shared" si="250"/>
        <v>0</v>
      </c>
      <c r="AJ120" s="74">
        <f t="shared" si="250"/>
        <v>0</v>
      </c>
      <c r="AK120" s="74">
        <f t="shared" si="250"/>
        <v>0</v>
      </c>
      <c r="AL120" s="74">
        <f t="shared" si="250"/>
        <v>0</v>
      </c>
      <c r="AM120" s="74">
        <f t="shared" si="250"/>
        <v>0</v>
      </c>
      <c r="AN120" s="74">
        <f t="shared" si="250"/>
        <v>0</v>
      </c>
      <c r="AO120" s="74">
        <f t="shared" si="250"/>
        <v>0</v>
      </c>
      <c r="AP120" s="74">
        <f t="shared" si="250"/>
        <v>0</v>
      </c>
      <c r="AQ120" s="74">
        <f t="shared" si="250"/>
        <v>0</v>
      </c>
      <c r="AR120" s="74">
        <f t="shared" si="250"/>
        <v>1112403</v>
      </c>
      <c r="AS120" s="74">
        <f t="shared" si="250"/>
        <v>0</v>
      </c>
      <c r="AT120" s="74">
        <f t="shared" si="250"/>
        <v>1112403</v>
      </c>
      <c r="AU120" s="74">
        <f t="shared" si="250"/>
        <v>375992</v>
      </c>
      <c r="AV120" s="74">
        <f t="shared" si="250"/>
        <v>11124</v>
      </c>
      <c r="AW120" s="74">
        <f t="shared" si="250"/>
        <v>0</v>
      </c>
      <c r="AX120" s="74">
        <f t="shared" si="250"/>
        <v>0</v>
      </c>
      <c r="AY120" s="74">
        <f t="shared" si="250"/>
        <v>0</v>
      </c>
      <c r="AZ120" s="74">
        <f t="shared" si="250"/>
        <v>1499519</v>
      </c>
      <c r="BA120" s="75">
        <f t="shared" si="250"/>
        <v>0</v>
      </c>
      <c r="BB120" s="75">
        <f t="shared" si="250"/>
        <v>0</v>
      </c>
      <c r="BC120" s="75">
        <f t="shared" si="250"/>
        <v>3</v>
      </c>
      <c r="BD120" s="75">
        <f t="shared" si="250"/>
        <v>0</v>
      </c>
      <c r="BE120" s="75">
        <f t="shared" si="250"/>
        <v>0</v>
      </c>
      <c r="BF120" s="75">
        <f t="shared" si="250"/>
        <v>0</v>
      </c>
      <c r="BG120" s="75">
        <f t="shared" si="250"/>
        <v>0</v>
      </c>
      <c r="BH120" s="75">
        <f t="shared" si="250"/>
        <v>0</v>
      </c>
      <c r="BI120" s="75">
        <f t="shared" si="250"/>
        <v>0</v>
      </c>
      <c r="BJ120" s="75">
        <f t="shared" si="250"/>
        <v>0</v>
      </c>
      <c r="BK120" s="75">
        <f t="shared" si="250"/>
        <v>3</v>
      </c>
      <c r="BL120" s="75">
        <f t="shared" si="250"/>
        <v>0</v>
      </c>
      <c r="BM120" s="76">
        <f t="shared" si="250"/>
        <v>3</v>
      </c>
      <c r="BN120" s="549">
        <f t="shared" si="250"/>
        <v>9126801</v>
      </c>
      <c r="BO120" s="74">
        <f t="shared" si="250"/>
        <v>6749818</v>
      </c>
      <c r="BP120" s="74">
        <f t="shared" si="250"/>
        <v>5863844</v>
      </c>
      <c r="BQ120" s="74">
        <f t="shared" si="250"/>
        <v>885974</v>
      </c>
      <c r="BR120" s="74">
        <f t="shared" si="250"/>
        <v>0</v>
      </c>
      <c r="BS120" s="74">
        <f t="shared" si="250"/>
        <v>0</v>
      </c>
      <c r="BT120" s="74">
        <f t="shared" si="250"/>
        <v>0</v>
      </c>
      <c r="BU120" s="74">
        <f t="shared" si="250"/>
        <v>2281439</v>
      </c>
      <c r="BV120" s="74">
        <f t="shared" ref="BV120:CF120" si="251">SUM(BV117:BV119)</f>
        <v>67498</v>
      </c>
      <c r="BW120" s="74">
        <f t="shared" si="251"/>
        <v>28046</v>
      </c>
      <c r="BX120" s="75">
        <f t="shared" si="251"/>
        <v>14.2393</v>
      </c>
      <c r="BY120" s="75">
        <f t="shared" si="251"/>
        <v>11.4193</v>
      </c>
      <c r="BZ120" s="753">
        <f t="shared" si="251"/>
        <v>2.8200000000000003</v>
      </c>
      <c r="CA120" s="796">
        <f t="shared" si="251"/>
        <v>0</v>
      </c>
      <c r="CB120" s="789">
        <f t="shared" si="251"/>
        <v>0</v>
      </c>
      <c r="CC120" s="789">
        <f t="shared" si="251"/>
        <v>0</v>
      </c>
      <c r="CD120" s="789">
        <f t="shared" si="251"/>
        <v>0</v>
      </c>
      <c r="CE120" s="789">
        <f t="shared" si="251"/>
        <v>0</v>
      </c>
      <c r="CF120" s="793">
        <f t="shared" si="251"/>
        <v>0</v>
      </c>
    </row>
    <row r="121" spans="1:84" ht="14.1" customHeight="1" x14ac:dyDescent="0.2">
      <c r="A121" s="66">
        <v>30</v>
      </c>
      <c r="B121" s="63">
        <v>2435</v>
      </c>
      <c r="C121" s="64">
        <v>600079341</v>
      </c>
      <c r="D121" s="63">
        <v>72743069</v>
      </c>
      <c r="E121" s="65" t="s">
        <v>593</v>
      </c>
      <c r="F121" s="66">
        <v>3111</v>
      </c>
      <c r="G121" s="65" t="s">
        <v>291</v>
      </c>
      <c r="H121" s="67" t="s">
        <v>271</v>
      </c>
      <c r="I121" s="423">
        <f t="shared" si="159"/>
        <v>7186943</v>
      </c>
      <c r="J121" s="418">
        <f t="shared" si="160"/>
        <v>5315153</v>
      </c>
      <c r="K121" s="418">
        <v>4839959</v>
      </c>
      <c r="L121" s="418">
        <v>475194</v>
      </c>
      <c r="M121" s="418">
        <f>N121+O121</f>
        <v>0</v>
      </c>
      <c r="N121" s="418">
        <v>0</v>
      </c>
      <c r="O121" s="418">
        <v>0</v>
      </c>
      <c r="P121" s="668">
        <f t="shared" si="162"/>
        <v>1796522</v>
      </c>
      <c r="Q121" s="668">
        <f t="shared" si="163"/>
        <v>53152</v>
      </c>
      <c r="R121" s="418">
        <v>22116</v>
      </c>
      <c r="S121" s="419">
        <f t="shared" si="164"/>
        <v>9.8780999999999999</v>
      </c>
      <c r="T121" s="419">
        <v>8.2579999999999991</v>
      </c>
      <c r="U121" s="426">
        <v>1.6200999999999999</v>
      </c>
      <c r="V121" s="428">
        <f t="shared" si="165"/>
        <v>0</v>
      </c>
      <c r="W121" s="421">
        <f t="shared" si="166"/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 t="shared" si="167"/>
        <v>0</v>
      </c>
      <c r="AG121" s="421">
        <f t="shared" si="168"/>
        <v>0</v>
      </c>
      <c r="AH121" s="421">
        <f t="shared" si="169"/>
        <v>0</v>
      </c>
      <c r="AI121" s="421">
        <v>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si="170"/>
        <v>0</v>
      </c>
      <c r="AP121" s="421">
        <f t="shared" si="171"/>
        <v>0</v>
      </c>
      <c r="AQ121" s="421">
        <f t="shared" si="172"/>
        <v>0</v>
      </c>
      <c r="AR121" s="421">
        <f t="shared" ref="AR121:AS124" si="252">AF121+AO121</f>
        <v>0</v>
      </c>
      <c r="AS121" s="421">
        <f t="shared" si="252"/>
        <v>0</v>
      </c>
      <c r="AT121" s="421">
        <f t="shared" si="173"/>
        <v>0</v>
      </c>
      <c r="AU121" s="68">
        <f t="shared" ref="AU121:AU124" si="253">ROUND((AH121+AI121+AJ121+AK121+AL121)*33.8%,0)</f>
        <v>0</v>
      </c>
      <c r="AV121" s="68">
        <f>ROUND(AH121*1%,0)</f>
        <v>0</v>
      </c>
      <c r="AW121" s="421">
        <v>0</v>
      </c>
      <c r="AX121" s="421">
        <v>0</v>
      </c>
      <c r="AY121" s="421">
        <f t="shared" si="174"/>
        <v>0</v>
      </c>
      <c r="AZ121" s="421">
        <f t="shared" si="175"/>
        <v>0</v>
      </c>
      <c r="BA121" s="422">
        <v>0</v>
      </c>
      <c r="BB121" s="422">
        <v>0</v>
      </c>
      <c r="BC121" s="422">
        <v>0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0</v>
      </c>
      <c r="BL121" s="422">
        <f>BB121+BE121+BG121+BJ121</f>
        <v>0</v>
      </c>
      <c r="BM121" s="424">
        <f t="shared" si="176"/>
        <v>0</v>
      </c>
      <c r="BN121" s="427">
        <f>I121+AZ121</f>
        <v>7186943</v>
      </c>
      <c r="BO121" s="421">
        <f>J121+AH121</f>
        <v>5315153</v>
      </c>
      <c r="BP121" s="421">
        <f t="shared" ref="BP121:BQ124" si="254">K121+AF121</f>
        <v>4839959</v>
      </c>
      <c r="BQ121" s="421">
        <f t="shared" si="254"/>
        <v>475194</v>
      </c>
      <c r="BR121" s="421">
        <f>M121+AQ121</f>
        <v>0</v>
      </c>
      <c r="BS121" s="421">
        <f t="shared" ref="BS121:BT124" si="255">N121+AO121</f>
        <v>0</v>
      </c>
      <c r="BT121" s="421">
        <f t="shared" si="255"/>
        <v>0</v>
      </c>
      <c r="BU121" s="421">
        <f t="shared" ref="BU121:BV124" si="256">P121+AU121</f>
        <v>1796522</v>
      </c>
      <c r="BV121" s="421">
        <f t="shared" si="256"/>
        <v>53152</v>
      </c>
      <c r="BW121" s="421">
        <f>R121+AY121</f>
        <v>22116</v>
      </c>
      <c r="BX121" s="422">
        <f>S121+BM121</f>
        <v>9.8780999999999999</v>
      </c>
      <c r="BY121" s="422">
        <f t="shared" ref="BY121:BZ124" si="257">T121+BK121</f>
        <v>8.2579999999999991</v>
      </c>
      <c r="BZ121" s="611">
        <f t="shared" si="257"/>
        <v>1.6200999999999999</v>
      </c>
      <c r="CA121" s="423"/>
      <c r="CB121" s="418"/>
      <c r="CC121" s="418"/>
      <c r="CD121" s="418"/>
      <c r="CE121" s="418"/>
      <c r="CF121" s="527"/>
    </row>
    <row r="122" spans="1:84" ht="14.1" customHeight="1" x14ac:dyDescent="0.2">
      <c r="A122" s="66">
        <v>30</v>
      </c>
      <c r="B122" s="63">
        <v>2435</v>
      </c>
      <c r="C122" s="64">
        <v>600079341</v>
      </c>
      <c r="D122" s="63">
        <v>72743069</v>
      </c>
      <c r="E122" s="65" t="s">
        <v>593</v>
      </c>
      <c r="F122" s="66">
        <v>3111</v>
      </c>
      <c r="G122" s="43" t="s">
        <v>293</v>
      </c>
      <c r="H122" s="67" t="s">
        <v>271</v>
      </c>
      <c r="I122" s="423">
        <f t="shared" si="159"/>
        <v>534617</v>
      </c>
      <c r="J122" s="418">
        <f t="shared" si="160"/>
        <v>396600</v>
      </c>
      <c r="K122" s="418">
        <v>396600</v>
      </c>
      <c r="L122" s="418">
        <v>0</v>
      </c>
      <c r="M122" s="418">
        <f t="shared" si="161"/>
        <v>0</v>
      </c>
      <c r="N122" s="418">
        <v>0</v>
      </c>
      <c r="O122" s="418">
        <v>0</v>
      </c>
      <c r="P122" s="668">
        <f t="shared" si="162"/>
        <v>134051</v>
      </c>
      <c r="Q122" s="668">
        <f t="shared" si="163"/>
        <v>3966</v>
      </c>
      <c r="R122" s="418">
        <v>0</v>
      </c>
      <c r="S122" s="419">
        <f t="shared" si="164"/>
        <v>1</v>
      </c>
      <c r="T122" s="419">
        <v>1</v>
      </c>
      <c r="U122" s="426">
        <v>0</v>
      </c>
      <c r="V122" s="428">
        <f t="shared" si="165"/>
        <v>0</v>
      </c>
      <c r="W122" s="421">
        <f t="shared" si="166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 t="shared" si="167"/>
        <v>0</v>
      </c>
      <c r="AG122" s="421">
        <f t="shared" si="168"/>
        <v>0</v>
      </c>
      <c r="AH122" s="421">
        <f t="shared" si="169"/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170"/>
        <v>0</v>
      </c>
      <c r="AP122" s="421">
        <f t="shared" si="171"/>
        <v>0</v>
      </c>
      <c r="AQ122" s="421">
        <f t="shared" si="172"/>
        <v>0</v>
      </c>
      <c r="AR122" s="421">
        <f t="shared" si="252"/>
        <v>0</v>
      </c>
      <c r="AS122" s="421">
        <f t="shared" si="252"/>
        <v>0</v>
      </c>
      <c r="AT122" s="421">
        <f t="shared" si="173"/>
        <v>0</v>
      </c>
      <c r="AU122" s="68">
        <f t="shared" si="253"/>
        <v>0</v>
      </c>
      <c r="AV122" s="68">
        <f>ROUND(AH122*1%,0)</f>
        <v>0</v>
      </c>
      <c r="AW122" s="421">
        <v>0</v>
      </c>
      <c r="AX122" s="421">
        <v>0</v>
      </c>
      <c r="AY122" s="421">
        <f t="shared" si="174"/>
        <v>0</v>
      </c>
      <c r="AZ122" s="421">
        <f t="shared" si="175"/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424">
        <f t="shared" si="176"/>
        <v>0</v>
      </c>
      <c r="BN122" s="427">
        <f>I122+AZ122</f>
        <v>534617</v>
      </c>
      <c r="BO122" s="421">
        <f>J122+AH122</f>
        <v>396600</v>
      </c>
      <c r="BP122" s="421">
        <f t="shared" si="254"/>
        <v>396600</v>
      </c>
      <c r="BQ122" s="421">
        <f t="shared" si="254"/>
        <v>0</v>
      </c>
      <c r="BR122" s="421">
        <f>M122+AQ122</f>
        <v>0</v>
      </c>
      <c r="BS122" s="421">
        <f t="shared" si="255"/>
        <v>0</v>
      </c>
      <c r="BT122" s="421">
        <f t="shared" si="255"/>
        <v>0</v>
      </c>
      <c r="BU122" s="421">
        <f t="shared" si="256"/>
        <v>134051</v>
      </c>
      <c r="BV122" s="421">
        <f t="shared" si="256"/>
        <v>3966</v>
      </c>
      <c r="BW122" s="421">
        <f>R122+AY122</f>
        <v>0</v>
      </c>
      <c r="BX122" s="422">
        <f>S122+BM122</f>
        <v>1</v>
      </c>
      <c r="BY122" s="422">
        <f t="shared" si="257"/>
        <v>1</v>
      </c>
      <c r="BZ122" s="611">
        <f t="shared" si="257"/>
        <v>0</v>
      </c>
      <c r="CA122" s="423"/>
      <c r="CB122" s="418"/>
      <c r="CC122" s="418"/>
      <c r="CD122" s="418"/>
      <c r="CE122" s="418"/>
      <c r="CF122" s="527"/>
    </row>
    <row r="123" spans="1:84" ht="14.1" customHeight="1" x14ac:dyDescent="0.2">
      <c r="A123" s="66">
        <v>30</v>
      </c>
      <c r="B123" s="63">
        <v>2435</v>
      </c>
      <c r="C123" s="64">
        <v>600079341</v>
      </c>
      <c r="D123" s="63">
        <v>72743069</v>
      </c>
      <c r="E123" s="65" t="s">
        <v>593</v>
      </c>
      <c r="F123" s="66">
        <v>3111</v>
      </c>
      <c r="G123" s="43" t="s">
        <v>292</v>
      </c>
      <c r="H123" s="67" t="s">
        <v>272</v>
      </c>
      <c r="I123" s="423">
        <f t="shared" si="159"/>
        <v>0</v>
      </c>
      <c r="J123" s="418">
        <f t="shared" si="160"/>
        <v>0</v>
      </c>
      <c r="K123" s="418">
        <v>0</v>
      </c>
      <c r="L123" s="418">
        <v>0</v>
      </c>
      <c r="M123" s="418">
        <f t="shared" si="161"/>
        <v>0</v>
      </c>
      <c r="N123" s="418">
        <v>0</v>
      </c>
      <c r="O123" s="418">
        <v>0</v>
      </c>
      <c r="P123" s="668">
        <f t="shared" si="162"/>
        <v>0</v>
      </c>
      <c r="Q123" s="668">
        <f t="shared" si="163"/>
        <v>0</v>
      </c>
      <c r="R123" s="418">
        <v>0</v>
      </c>
      <c r="S123" s="419">
        <f t="shared" si="164"/>
        <v>0</v>
      </c>
      <c r="T123" s="420">
        <v>0</v>
      </c>
      <c r="U123" s="426">
        <v>0</v>
      </c>
      <c r="V123" s="428">
        <f t="shared" si="165"/>
        <v>0</v>
      </c>
      <c r="W123" s="421">
        <f t="shared" si="166"/>
        <v>0</v>
      </c>
      <c r="X123" s="16">
        <v>370801</v>
      </c>
      <c r="Y123" s="16">
        <v>0</v>
      </c>
      <c r="Z123" s="16">
        <v>0</v>
      </c>
      <c r="AA123" s="16">
        <v>0</v>
      </c>
      <c r="AB123" s="421">
        <v>0</v>
      </c>
      <c r="AC123" s="16">
        <v>0</v>
      </c>
      <c r="AD123" s="16">
        <v>0</v>
      </c>
      <c r="AE123" s="16">
        <v>0</v>
      </c>
      <c r="AF123" s="421">
        <f t="shared" si="167"/>
        <v>370801</v>
      </c>
      <c r="AG123" s="421">
        <f t="shared" si="168"/>
        <v>0</v>
      </c>
      <c r="AH123" s="421">
        <f t="shared" si="169"/>
        <v>370801</v>
      </c>
      <c r="AI123" s="16">
        <v>0</v>
      </c>
      <c r="AJ123" s="16">
        <v>0</v>
      </c>
      <c r="AK123" s="421">
        <v>0</v>
      </c>
      <c r="AL123" s="16">
        <v>0</v>
      </c>
      <c r="AM123" s="16">
        <v>0</v>
      </c>
      <c r="AN123" s="16">
        <v>0</v>
      </c>
      <c r="AO123" s="421">
        <f t="shared" si="170"/>
        <v>0</v>
      </c>
      <c r="AP123" s="16">
        <v>0</v>
      </c>
      <c r="AQ123" s="421">
        <f t="shared" si="172"/>
        <v>0</v>
      </c>
      <c r="AR123" s="421">
        <f t="shared" si="252"/>
        <v>370801</v>
      </c>
      <c r="AS123" s="421">
        <f t="shared" si="252"/>
        <v>0</v>
      </c>
      <c r="AT123" s="421">
        <f t="shared" si="173"/>
        <v>370801</v>
      </c>
      <c r="AU123" s="68">
        <f t="shared" si="253"/>
        <v>125331</v>
      </c>
      <c r="AV123" s="68">
        <f>ROUND(AH123*1%,0)</f>
        <v>3708</v>
      </c>
      <c r="AW123" s="16">
        <v>0</v>
      </c>
      <c r="AX123" s="16">
        <v>0</v>
      </c>
      <c r="AY123" s="421">
        <f t="shared" si="174"/>
        <v>0</v>
      </c>
      <c r="AZ123" s="421">
        <f t="shared" si="175"/>
        <v>499840</v>
      </c>
      <c r="BA123" s="13">
        <v>0</v>
      </c>
      <c r="BB123" s="13">
        <v>0</v>
      </c>
      <c r="BC123" s="13">
        <v>1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>BA123+BC123+BD123+BF123+BH123+BI123</f>
        <v>1</v>
      </c>
      <c r="BL123" s="422">
        <f>BB123+BE123+BG123+BJ123</f>
        <v>0</v>
      </c>
      <c r="BM123" s="424">
        <f t="shared" si="176"/>
        <v>1</v>
      </c>
      <c r="BN123" s="427">
        <f>I123+AZ123</f>
        <v>499840</v>
      </c>
      <c r="BO123" s="421">
        <f>J123+AH123</f>
        <v>370801</v>
      </c>
      <c r="BP123" s="421">
        <f t="shared" si="254"/>
        <v>370801</v>
      </c>
      <c r="BQ123" s="421">
        <f t="shared" si="254"/>
        <v>0</v>
      </c>
      <c r="BR123" s="421">
        <f>M123+AQ123</f>
        <v>0</v>
      </c>
      <c r="BS123" s="421">
        <f t="shared" si="255"/>
        <v>0</v>
      </c>
      <c r="BT123" s="421">
        <f t="shared" si="255"/>
        <v>0</v>
      </c>
      <c r="BU123" s="421">
        <f t="shared" si="256"/>
        <v>125331</v>
      </c>
      <c r="BV123" s="421">
        <f t="shared" si="256"/>
        <v>3708</v>
      </c>
      <c r="BW123" s="421">
        <f>R123+AY123</f>
        <v>0</v>
      </c>
      <c r="BX123" s="422">
        <f>S123+BM123</f>
        <v>1</v>
      </c>
      <c r="BY123" s="422">
        <f t="shared" si="257"/>
        <v>1</v>
      </c>
      <c r="BZ123" s="611">
        <f t="shared" si="257"/>
        <v>0</v>
      </c>
      <c r="CA123" s="423"/>
      <c r="CB123" s="418"/>
      <c r="CC123" s="418"/>
      <c r="CD123" s="418"/>
      <c r="CE123" s="418"/>
      <c r="CF123" s="527"/>
    </row>
    <row r="124" spans="1:84" ht="14.1" customHeight="1" x14ac:dyDescent="0.2">
      <c r="A124" s="66">
        <v>30</v>
      </c>
      <c r="B124" s="63">
        <v>2435</v>
      </c>
      <c r="C124" s="64">
        <v>600079341</v>
      </c>
      <c r="D124" s="63">
        <v>72743069</v>
      </c>
      <c r="E124" s="65" t="s">
        <v>593</v>
      </c>
      <c r="F124" s="66">
        <v>3141</v>
      </c>
      <c r="G124" s="65" t="s">
        <v>295</v>
      </c>
      <c r="H124" s="67" t="s">
        <v>272</v>
      </c>
      <c r="I124" s="423">
        <f t="shared" si="159"/>
        <v>598948</v>
      </c>
      <c r="J124" s="418">
        <f t="shared" si="160"/>
        <v>442428</v>
      </c>
      <c r="K124" s="418">
        <v>0</v>
      </c>
      <c r="L124" s="924">
        <v>442428</v>
      </c>
      <c r="M124" s="418">
        <f>N124+O124</f>
        <v>0</v>
      </c>
      <c r="N124" s="205">
        <v>0</v>
      </c>
      <c r="O124" s="205">
        <v>0</v>
      </c>
      <c r="P124" s="668">
        <f t="shared" si="162"/>
        <v>149541</v>
      </c>
      <c r="Q124" s="668">
        <f t="shared" si="163"/>
        <v>4424</v>
      </c>
      <c r="R124" s="674">
        <v>2555</v>
      </c>
      <c r="S124" s="419">
        <f>T124+U124</f>
        <v>1.3267</v>
      </c>
      <c r="T124" s="676">
        <v>0</v>
      </c>
      <c r="U124" s="909">
        <v>1.3267</v>
      </c>
      <c r="V124" s="428">
        <f t="shared" si="165"/>
        <v>0</v>
      </c>
      <c r="W124" s="421">
        <f t="shared" si="166"/>
        <v>0</v>
      </c>
      <c r="X124" s="421">
        <v>0</v>
      </c>
      <c r="Y124" s="421">
        <v>0</v>
      </c>
      <c r="Z124" s="421">
        <v>0</v>
      </c>
      <c r="AA124" s="421">
        <v>0</v>
      </c>
      <c r="AB124" s="421">
        <v>0</v>
      </c>
      <c r="AC124" s="421">
        <v>0</v>
      </c>
      <c r="AD124" s="421">
        <v>0</v>
      </c>
      <c r="AE124" s="421">
        <v>0</v>
      </c>
      <c r="AF124" s="421">
        <f t="shared" si="167"/>
        <v>0</v>
      </c>
      <c r="AG124" s="421">
        <f t="shared" si="168"/>
        <v>0</v>
      </c>
      <c r="AH124" s="421">
        <f t="shared" si="169"/>
        <v>0</v>
      </c>
      <c r="AI124" s="421">
        <v>0</v>
      </c>
      <c r="AJ124" s="421">
        <v>0</v>
      </c>
      <c r="AK124" s="421">
        <v>0</v>
      </c>
      <c r="AL124" s="421">
        <v>0</v>
      </c>
      <c r="AM124" s="421">
        <v>0</v>
      </c>
      <c r="AN124" s="421">
        <v>0</v>
      </c>
      <c r="AO124" s="421">
        <f t="shared" si="170"/>
        <v>0</v>
      </c>
      <c r="AP124" s="421">
        <f t="shared" si="171"/>
        <v>0</v>
      </c>
      <c r="AQ124" s="421">
        <f t="shared" si="172"/>
        <v>0</v>
      </c>
      <c r="AR124" s="421">
        <f t="shared" si="252"/>
        <v>0</v>
      </c>
      <c r="AS124" s="421">
        <f t="shared" si="252"/>
        <v>0</v>
      </c>
      <c r="AT124" s="421">
        <f t="shared" si="173"/>
        <v>0</v>
      </c>
      <c r="AU124" s="68">
        <f t="shared" si="253"/>
        <v>0</v>
      </c>
      <c r="AV124" s="68">
        <f>ROUND(AH124*1%,0)</f>
        <v>0</v>
      </c>
      <c r="AW124" s="421">
        <v>0</v>
      </c>
      <c r="AX124" s="421">
        <v>0</v>
      </c>
      <c r="AY124" s="421">
        <f t="shared" si="174"/>
        <v>0</v>
      </c>
      <c r="AZ124" s="421">
        <f t="shared" si="175"/>
        <v>0</v>
      </c>
      <c r="BA124" s="422">
        <v>0</v>
      </c>
      <c r="BB124" s="422">
        <v>0</v>
      </c>
      <c r="BC124" s="422">
        <v>0</v>
      </c>
      <c r="BD124" s="422">
        <v>0</v>
      </c>
      <c r="BE124" s="422">
        <v>0</v>
      </c>
      <c r="BF124" s="422">
        <v>0</v>
      </c>
      <c r="BG124" s="422">
        <v>0</v>
      </c>
      <c r="BH124" s="422">
        <v>0</v>
      </c>
      <c r="BI124" s="422">
        <v>0</v>
      </c>
      <c r="BJ124" s="422">
        <v>0</v>
      </c>
      <c r="BK124" s="422">
        <f>BA124+BC124+BD124+BF124+BH124+BI124</f>
        <v>0</v>
      </c>
      <c r="BL124" s="422">
        <f>BB124+BE124+BG124+BJ124</f>
        <v>0</v>
      </c>
      <c r="BM124" s="424">
        <f t="shared" si="176"/>
        <v>0</v>
      </c>
      <c r="BN124" s="427">
        <f>I124+AZ124</f>
        <v>598948</v>
      </c>
      <c r="BO124" s="421">
        <f>J124+AH124</f>
        <v>442428</v>
      </c>
      <c r="BP124" s="421">
        <f t="shared" si="254"/>
        <v>0</v>
      </c>
      <c r="BQ124" s="421">
        <f t="shared" si="254"/>
        <v>442428</v>
      </c>
      <c r="BR124" s="421">
        <f>M124+AQ124</f>
        <v>0</v>
      </c>
      <c r="BS124" s="421">
        <f t="shared" si="255"/>
        <v>0</v>
      </c>
      <c r="BT124" s="421">
        <f t="shared" si="255"/>
        <v>0</v>
      </c>
      <c r="BU124" s="421">
        <f t="shared" si="256"/>
        <v>149541</v>
      </c>
      <c r="BV124" s="421">
        <f t="shared" si="256"/>
        <v>4424</v>
      </c>
      <c r="BW124" s="421">
        <f>R124+AY124</f>
        <v>2555</v>
      </c>
      <c r="BX124" s="422">
        <f>S124+BM124</f>
        <v>1.3267</v>
      </c>
      <c r="BY124" s="422">
        <f t="shared" si="257"/>
        <v>0</v>
      </c>
      <c r="BZ124" s="611">
        <f t="shared" si="257"/>
        <v>1.3267</v>
      </c>
      <c r="CA124" s="423"/>
      <c r="CB124" s="418"/>
      <c r="CC124" s="418"/>
      <c r="CD124" s="418"/>
      <c r="CE124" s="418"/>
      <c r="CF124" s="527"/>
    </row>
    <row r="125" spans="1:84" ht="14.1" customHeight="1" x14ac:dyDescent="0.2">
      <c r="A125" s="72">
        <v>30</v>
      </c>
      <c r="B125" s="69">
        <v>2435</v>
      </c>
      <c r="C125" s="70">
        <v>600079341</v>
      </c>
      <c r="D125" s="69">
        <v>72743069</v>
      </c>
      <c r="E125" s="71" t="s">
        <v>594</v>
      </c>
      <c r="F125" s="72"/>
      <c r="G125" s="71"/>
      <c r="H125" s="73"/>
      <c r="I125" s="538">
        <f t="shared" ref="I125:BU125" si="258">SUM(I121:I124)</f>
        <v>8320508</v>
      </c>
      <c r="J125" s="74">
        <f t="shared" si="258"/>
        <v>6154181</v>
      </c>
      <c r="K125" s="74">
        <f t="shared" si="258"/>
        <v>5236559</v>
      </c>
      <c r="L125" s="74">
        <f t="shared" si="258"/>
        <v>917622</v>
      </c>
      <c r="M125" s="74">
        <f t="shared" si="258"/>
        <v>0</v>
      </c>
      <c r="N125" s="74">
        <f t="shared" si="258"/>
        <v>0</v>
      </c>
      <c r="O125" s="74">
        <f t="shared" si="258"/>
        <v>0</v>
      </c>
      <c r="P125" s="74">
        <f t="shared" si="258"/>
        <v>2080114</v>
      </c>
      <c r="Q125" s="74">
        <f t="shared" si="258"/>
        <v>61542</v>
      </c>
      <c r="R125" s="74">
        <f t="shared" si="258"/>
        <v>24671</v>
      </c>
      <c r="S125" s="75">
        <f t="shared" si="258"/>
        <v>12.204800000000001</v>
      </c>
      <c r="T125" s="75">
        <f t="shared" si="258"/>
        <v>9.2579999999999991</v>
      </c>
      <c r="U125" s="753">
        <f t="shared" si="258"/>
        <v>2.9467999999999996</v>
      </c>
      <c r="V125" s="538">
        <f t="shared" si="258"/>
        <v>0</v>
      </c>
      <c r="W125" s="74">
        <f t="shared" si="258"/>
        <v>0</v>
      </c>
      <c r="X125" s="74">
        <f t="shared" si="258"/>
        <v>370801</v>
      </c>
      <c r="Y125" s="74">
        <f t="shared" si="258"/>
        <v>0</v>
      </c>
      <c r="Z125" s="74">
        <f t="shared" si="258"/>
        <v>0</v>
      </c>
      <c r="AA125" s="74">
        <f t="shared" si="258"/>
        <v>0</v>
      </c>
      <c r="AB125" s="74">
        <f t="shared" si="258"/>
        <v>0</v>
      </c>
      <c r="AC125" s="74">
        <f t="shared" si="258"/>
        <v>0</v>
      </c>
      <c r="AD125" s="74">
        <f t="shared" si="258"/>
        <v>0</v>
      </c>
      <c r="AE125" s="74">
        <f t="shared" si="258"/>
        <v>0</v>
      </c>
      <c r="AF125" s="74">
        <f t="shared" si="258"/>
        <v>370801</v>
      </c>
      <c r="AG125" s="74">
        <f t="shared" si="258"/>
        <v>0</v>
      </c>
      <c r="AH125" s="74">
        <f t="shared" si="258"/>
        <v>370801</v>
      </c>
      <c r="AI125" s="74">
        <f t="shared" si="258"/>
        <v>0</v>
      </c>
      <c r="AJ125" s="74">
        <f t="shared" si="258"/>
        <v>0</v>
      </c>
      <c r="AK125" s="74">
        <f t="shared" si="258"/>
        <v>0</v>
      </c>
      <c r="AL125" s="74">
        <f t="shared" si="258"/>
        <v>0</v>
      </c>
      <c r="AM125" s="74">
        <f t="shared" si="258"/>
        <v>0</v>
      </c>
      <c r="AN125" s="74">
        <f t="shared" si="258"/>
        <v>0</v>
      </c>
      <c r="AO125" s="74">
        <f t="shared" si="258"/>
        <v>0</v>
      </c>
      <c r="AP125" s="74">
        <f t="shared" si="258"/>
        <v>0</v>
      </c>
      <c r="AQ125" s="74">
        <f t="shared" si="258"/>
        <v>0</v>
      </c>
      <c r="AR125" s="74">
        <f t="shared" si="258"/>
        <v>370801</v>
      </c>
      <c r="AS125" s="74">
        <f t="shared" si="258"/>
        <v>0</v>
      </c>
      <c r="AT125" s="74">
        <f t="shared" si="258"/>
        <v>370801</v>
      </c>
      <c r="AU125" s="74">
        <f t="shared" si="258"/>
        <v>125331</v>
      </c>
      <c r="AV125" s="74">
        <f t="shared" si="258"/>
        <v>3708</v>
      </c>
      <c r="AW125" s="74">
        <f t="shared" si="258"/>
        <v>0</v>
      </c>
      <c r="AX125" s="74">
        <f t="shared" si="258"/>
        <v>0</v>
      </c>
      <c r="AY125" s="74">
        <f t="shared" si="258"/>
        <v>0</v>
      </c>
      <c r="AZ125" s="74">
        <f t="shared" si="258"/>
        <v>499840</v>
      </c>
      <c r="BA125" s="75">
        <f t="shared" si="258"/>
        <v>0</v>
      </c>
      <c r="BB125" s="75">
        <f t="shared" si="258"/>
        <v>0</v>
      </c>
      <c r="BC125" s="75">
        <f t="shared" si="258"/>
        <v>1</v>
      </c>
      <c r="BD125" s="75">
        <f t="shared" si="258"/>
        <v>0</v>
      </c>
      <c r="BE125" s="75">
        <f t="shared" si="258"/>
        <v>0</v>
      </c>
      <c r="BF125" s="75">
        <f t="shared" si="258"/>
        <v>0</v>
      </c>
      <c r="BG125" s="75">
        <f t="shared" si="258"/>
        <v>0</v>
      </c>
      <c r="BH125" s="75">
        <f t="shared" si="258"/>
        <v>0</v>
      </c>
      <c r="BI125" s="75">
        <f t="shared" si="258"/>
        <v>0</v>
      </c>
      <c r="BJ125" s="75">
        <f t="shared" si="258"/>
        <v>0</v>
      </c>
      <c r="BK125" s="75">
        <f t="shared" si="258"/>
        <v>1</v>
      </c>
      <c r="BL125" s="75">
        <f t="shared" si="258"/>
        <v>0</v>
      </c>
      <c r="BM125" s="76">
        <f t="shared" si="258"/>
        <v>1</v>
      </c>
      <c r="BN125" s="549">
        <f t="shared" si="258"/>
        <v>8820348</v>
      </c>
      <c r="BO125" s="74">
        <f t="shared" si="258"/>
        <v>6524982</v>
      </c>
      <c r="BP125" s="74">
        <f t="shared" si="258"/>
        <v>5607360</v>
      </c>
      <c r="BQ125" s="74">
        <f t="shared" si="258"/>
        <v>917622</v>
      </c>
      <c r="BR125" s="74">
        <f t="shared" si="258"/>
        <v>0</v>
      </c>
      <c r="BS125" s="74">
        <f t="shared" si="258"/>
        <v>0</v>
      </c>
      <c r="BT125" s="74">
        <f t="shared" si="258"/>
        <v>0</v>
      </c>
      <c r="BU125" s="74">
        <f t="shared" si="258"/>
        <v>2205445</v>
      </c>
      <c r="BV125" s="74">
        <f t="shared" ref="BV125:CF125" si="259">SUM(BV121:BV124)</f>
        <v>65250</v>
      </c>
      <c r="BW125" s="74">
        <f t="shared" si="259"/>
        <v>24671</v>
      </c>
      <c r="BX125" s="75">
        <f t="shared" si="259"/>
        <v>13.204800000000001</v>
      </c>
      <c r="BY125" s="75">
        <f t="shared" si="259"/>
        <v>10.257999999999999</v>
      </c>
      <c r="BZ125" s="753">
        <f t="shared" si="259"/>
        <v>2.9467999999999996</v>
      </c>
      <c r="CA125" s="796">
        <f t="shared" si="259"/>
        <v>0</v>
      </c>
      <c r="CB125" s="789">
        <f t="shared" si="259"/>
        <v>0</v>
      </c>
      <c r="CC125" s="789">
        <f t="shared" si="259"/>
        <v>0</v>
      </c>
      <c r="CD125" s="789">
        <f t="shared" si="259"/>
        <v>0</v>
      </c>
      <c r="CE125" s="789">
        <f t="shared" si="259"/>
        <v>0</v>
      </c>
      <c r="CF125" s="793">
        <f t="shared" si="259"/>
        <v>0</v>
      </c>
    </row>
    <row r="126" spans="1:84" ht="14.1" customHeight="1" x14ac:dyDescent="0.2">
      <c r="A126" s="66">
        <v>31</v>
      </c>
      <c r="B126" s="63">
        <v>2474</v>
      </c>
      <c r="C126" s="64">
        <v>600080307</v>
      </c>
      <c r="D126" s="63">
        <v>65635612</v>
      </c>
      <c r="E126" s="65" t="s">
        <v>595</v>
      </c>
      <c r="F126" s="66">
        <v>3111</v>
      </c>
      <c r="G126" s="65" t="s">
        <v>291</v>
      </c>
      <c r="H126" s="67" t="s">
        <v>271</v>
      </c>
      <c r="I126" s="423">
        <f t="shared" si="159"/>
        <v>3544587</v>
      </c>
      <c r="J126" s="418">
        <f t="shared" si="160"/>
        <v>2620008</v>
      </c>
      <c r="K126" s="418">
        <v>2486872</v>
      </c>
      <c r="L126" s="418">
        <v>133136</v>
      </c>
      <c r="M126" s="418">
        <f t="shared" ref="M126:M127" si="260">N126+O126</f>
        <v>0</v>
      </c>
      <c r="N126" s="418">
        <v>0</v>
      </c>
      <c r="O126" s="418">
        <v>0</v>
      </c>
      <c r="P126" s="668">
        <f t="shared" si="162"/>
        <v>885563</v>
      </c>
      <c r="Q126" s="668">
        <f t="shared" si="163"/>
        <v>26200</v>
      </c>
      <c r="R126" s="418">
        <v>12816</v>
      </c>
      <c r="S126" s="419">
        <f t="shared" si="164"/>
        <v>4.5334000000000003</v>
      </c>
      <c r="T126" s="419">
        <v>4</v>
      </c>
      <c r="U126" s="426">
        <v>0.53339999999999999</v>
      </c>
      <c r="V126" s="428">
        <f t="shared" si="165"/>
        <v>-3200</v>
      </c>
      <c r="W126" s="421">
        <f t="shared" si="166"/>
        <v>-4480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 t="shared" si="167"/>
        <v>-3200</v>
      </c>
      <c r="AG126" s="421">
        <f t="shared" si="168"/>
        <v>-4480</v>
      </c>
      <c r="AH126" s="421">
        <f t="shared" si="169"/>
        <v>-7680</v>
      </c>
      <c r="AI126" s="421">
        <v>3200</v>
      </c>
      <c r="AJ126" s="421">
        <v>4480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si="170"/>
        <v>3200</v>
      </c>
      <c r="AP126" s="421">
        <f t="shared" si="171"/>
        <v>4480</v>
      </c>
      <c r="AQ126" s="421">
        <f t="shared" si="172"/>
        <v>7680</v>
      </c>
      <c r="AR126" s="421">
        <f t="shared" ref="AR126:AS131" si="261">AF126+AO126</f>
        <v>0</v>
      </c>
      <c r="AS126" s="421">
        <f t="shared" si="261"/>
        <v>0</v>
      </c>
      <c r="AT126" s="421">
        <f t="shared" si="173"/>
        <v>0</v>
      </c>
      <c r="AU126" s="68">
        <f t="shared" ref="AU126:AU131" si="262">ROUND((AH126+AI126+AJ126+AK126+AL126)*33.8%,0)</f>
        <v>0</v>
      </c>
      <c r="AV126" s="68">
        <f t="shared" ref="AV126:AV131" si="263">ROUND(AH126*1%,0)</f>
        <v>-77</v>
      </c>
      <c r="AW126" s="421">
        <v>0</v>
      </c>
      <c r="AX126" s="421">
        <v>0</v>
      </c>
      <c r="AY126" s="421">
        <f t="shared" si="174"/>
        <v>0</v>
      </c>
      <c r="AZ126" s="421">
        <f t="shared" si="175"/>
        <v>-77</v>
      </c>
      <c r="BA126" s="422">
        <v>0</v>
      </c>
      <c r="BB126" s="422">
        <v>-0.01</v>
      </c>
      <c r="BC126" s="422">
        <v>0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 t="shared" ref="BK126:BK131" si="264">BA126+BC126+BD126+BF126+BH126+BI126</f>
        <v>0</v>
      </c>
      <c r="BL126" s="422">
        <f t="shared" ref="BL126:BL131" si="265">BB126+BE126+BG126+BJ126</f>
        <v>-0.01</v>
      </c>
      <c r="BM126" s="424">
        <f t="shared" si="176"/>
        <v>-0.01</v>
      </c>
      <c r="BN126" s="427">
        <f t="shared" ref="BN126:BN131" si="266">I126+AZ126</f>
        <v>3544510</v>
      </c>
      <c r="BO126" s="421">
        <f t="shared" ref="BO126:BO131" si="267">J126+AH126</f>
        <v>2612328</v>
      </c>
      <c r="BP126" s="421">
        <f t="shared" ref="BP126:BQ131" si="268">K126+AF126</f>
        <v>2483672</v>
      </c>
      <c r="BQ126" s="421">
        <f t="shared" si="268"/>
        <v>128656</v>
      </c>
      <c r="BR126" s="421">
        <f t="shared" ref="BR126:BR131" si="269">M126+AQ126</f>
        <v>7680</v>
      </c>
      <c r="BS126" s="421">
        <f t="shared" ref="BS126:BT131" si="270">N126+AO126</f>
        <v>3200</v>
      </c>
      <c r="BT126" s="421">
        <f t="shared" si="270"/>
        <v>4480</v>
      </c>
      <c r="BU126" s="421">
        <f t="shared" ref="BU126:BV131" si="271">P126+AU126</f>
        <v>885563</v>
      </c>
      <c r="BV126" s="421">
        <f t="shared" si="271"/>
        <v>26123</v>
      </c>
      <c r="BW126" s="421">
        <f t="shared" ref="BW126:BW131" si="272">R126+AY126</f>
        <v>12816</v>
      </c>
      <c r="BX126" s="422">
        <f t="shared" ref="BX126:BX131" si="273">S126+BM126</f>
        <v>4.5234000000000005</v>
      </c>
      <c r="BY126" s="422">
        <f t="shared" ref="BY126:BZ131" si="274">T126+BK126</f>
        <v>4</v>
      </c>
      <c r="BZ126" s="611">
        <f t="shared" si="274"/>
        <v>0.52339999999999998</v>
      </c>
      <c r="CA126" s="423"/>
      <c r="CB126" s="418"/>
      <c r="CC126" s="418"/>
      <c r="CD126" s="418"/>
      <c r="CE126" s="418"/>
      <c r="CF126" s="527"/>
    </row>
    <row r="127" spans="1:84" ht="14.1" customHeight="1" x14ac:dyDescent="0.2">
      <c r="A127" s="66">
        <v>31</v>
      </c>
      <c r="B127" s="63">
        <v>2474</v>
      </c>
      <c r="C127" s="64">
        <v>600080307</v>
      </c>
      <c r="D127" s="63">
        <v>65635612</v>
      </c>
      <c r="E127" s="65" t="s">
        <v>595</v>
      </c>
      <c r="F127" s="66">
        <v>3113</v>
      </c>
      <c r="G127" s="65" t="s">
        <v>294</v>
      </c>
      <c r="H127" s="67" t="s">
        <v>271</v>
      </c>
      <c r="I127" s="423">
        <f t="shared" si="159"/>
        <v>28461695</v>
      </c>
      <c r="J127" s="418">
        <f t="shared" si="160"/>
        <v>20819299</v>
      </c>
      <c r="K127" s="418">
        <v>19366706</v>
      </c>
      <c r="L127" s="418">
        <v>1452593</v>
      </c>
      <c r="M127" s="418">
        <f t="shared" si="260"/>
        <v>0</v>
      </c>
      <c r="N127" s="418">
        <v>0</v>
      </c>
      <c r="O127" s="418">
        <v>0</v>
      </c>
      <c r="P127" s="668">
        <f t="shared" si="162"/>
        <v>7036923</v>
      </c>
      <c r="Q127" s="668">
        <f t="shared" si="163"/>
        <v>208193</v>
      </c>
      <c r="R127" s="418">
        <v>397280</v>
      </c>
      <c r="S127" s="419">
        <f>T127+U127</f>
        <v>31.907700000000002</v>
      </c>
      <c r="T127" s="419">
        <v>27.635000000000002</v>
      </c>
      <c r="U127" s="426">
        <v>4.2727000000000004</v>
      </c>
      <c r="V127" s="428">
        <f t="shared" si="165"/>
        <v>-28800</v>
      </c>
      <c r="W127" s="421">
        <f t="shared" si="166"/>
        <v>-16000</v>
      </c>
      <c r="X127" s="421">
        <v>0</v>
      </c>
      <c r="Y127" s="421">
        <v>0</v>
      </c>
      <c r="Z127" s="421">
        <v>0</v>
      </c>
      <c r="AA127" s="421">
        <v>131076</v>
      </c>
      <c r="AB127" s="421">
        <v>564000</v>
      </c>
      <c r="AC127" s="421">
        <v>0</v>
      </c>
      <c r="AD127" s="421">
        <v>0</v>
      </c>
      <c r="AE127" s="421">
        <v>0</v>
      </c>
      <c r="AF127" s="421">
        <f t="shared" si="167"/>
        <v>666276</v>
      </c>
      <c r="AG127" s="421">
        <f t="shared" si="168"/>
        <v>-16000</v>
      </c>
      <c r="AH127" s="421">
        <f t="shared" si="169"/>
        <v>650276</v>
      </c>
      <c r="AI127" s="421">
        <v>28800</v>
      </c>
      <c r="AJ127" s="421">
        <v>16000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170"/>
        <v>28800</v>
      </c>
      <c r="AP127" s="421">
        <f t="shared" si="171"/>
        <v>16000</v>
      </c>
      <c r="AQ127" s="421">
        <f t="shared" si="172"/>
        <v>44800</v>
      </c>
      <c r="AR127" s="421">
        <f t="shared" si="261"/>
        <v>695076</v>
      </c>
      <c r="AS127" s="421">
        <f t="shared" si="261"/>
        <v>0</v>
      </c>
      <c r="AT127" s="421">
        <f t="shared" si="173"/>
        <v>695076</v>
      </c>
      <c r="AU127" s="68">
        <f t="shared" si="262"/>
        <v>234936</v>
      </c>
      <c r="AV127" s="68">
        <f t="shared" si="263"/>
        <v>6503</v>
      </c>
      <c r="AW127" s="421">
        <v>0</v>
      </c>
      <c r="AX127" s="421">
        <v>0</v>
      </c>
      <c r="AY127" s="421">
        <f t="shared" si="174"/>
        <v>0</v>
      </c>
      <c r="AZ127" s="421">
        <f t="shared" si="175"/>
        <v>936515</v>
      </c>
      <c r="BA127" s="422">
        <v>-0.01</v>
      </c>
      <c r="BB127" s="422">
        <v>-0.03</v>
      </c>
      <c r="BC127" s="422">
        <v>0</v>
      </c>
      <c r="BD127" s="422">
        <v>1</v>
      </c>
      <c r="BE127" s="422">
        <v>0</v>
      </c>
      <c r="BF127" s="422">
        <v>0</v>
      </c>
      <c r="BG127" s="422">
        <v>0</v>
      </c>
      <c r="BH127" s="422">
        <v>0.19</v>
      </c>
      <c r="BI127" s="422">
        <v>0</v>
      </c>
      <c r="BJ127" s="422">
        <v>0</v>
      </c>
      <c r="BK127" s="422">
        <f t="shared" si="264"/>
        <v>1.18</v>
      </c>
      <c r="BL127" s="422">
        <f t="shared" si="265"/>
        <v>-0.03</v>
      </c>
      <c r="BM127" s="424">
        <f t="shared" si="176"/>
        <v>1.1499999999999999</v>
      </c>
      <c r="BN127" s="427">
        <f t="shared" si="266"/>
        <v>29398210</v>
      </c>
      <c r="BO127" s="421">
        <f t="shared" si="267"/>
        <v>21469575</v>
      </c>
      <c r="BP127" s="421">
        <f t="shared" si="268"/>
        <v>20032982</v>
      </c>
      <c r="BQ127" s="421">
        <f t="shared" si="268"/>
        <v>1436593</v>
      </c>
      <c r="BR127" s="421">
        <f t="shared" si="269"/>
        <v>44800</v>
      </c>
      <c r="BS127" s="421">
        <f t="shared" si="270"/>
        <v>28800</v>
      </c>
      <c r="BT127" s="421">
        <f t="shared" si="270"/>
        <v>16000</v>
      </c>
      <c r="BU127" s="421">
        <f t="shared" si="271"/>
        <v>7271859</v>
      </c>
      <c r="BV127" s="421">
        <f t="shared" si="271"/>
        <v>214696</v>
      </c>
      <c r="BW127" s="421">
        <f t="shared" si="272"/>
        <v>397280</v>
      </c>
      <c r="BX127" s="422">
        <f t="shared" si="273"/>
        <v>33.057700000000004</v>
      </c>
      <c r="BY127" s="422">
        <f t="shared" si="274"/>
        <v>28.815000000000001</v>
      </c>
      <c r="BZ127" s="611">
        <f t="shared" si="274"/>
        <v>4.2427000000000001</v>
      </c>
      <c r="CA127" s="423">
        <v>760272</v>
      </c>
      <c r="CB127" s="418">
        <v>564000</v>
      </c>
      <c r="CC127" s="418">
        <v>0</v>
      </c>
      <c r="CD127" s="418">
        <v>190632</v>
      </c>
      <c r="CE127" s="418">
        <v>5640</v>
      </c>
      <c r="CF127" s="527">
        <v>1</v>
      </c>
    </row>
    <row r="128" spans="1:84" ht="14.1" customHeight="1" x14ac:dyDescent="0.2">
      <c r="A128" s="66">
        <v>31</v>
      </c>
      <c r="B128" s="63">
        <v>2474</v>
      </c>
      <c r="C128" s="64">
        <v>600080307</v>
      </c>
      <c r="D128" s="63">
        <v>65635612</v>
      </c>
      <c r="E128" s="65" t="s">
        <v>595</v>
      </c>
      <c r="F128" s="66">
        <v>3113</v>
      </c>
      <c r="G128" s="77" t="s">
        <v>292</v>
      </c>
      <c r="H128" s="67" t="s">
        <v>272</v>
      </c>
      <c r="I128" s="423">
        <f t="shared" si="159"/>
        <v>0</v>
      </c>
      <c r="J128" s="418">
        <f t="shared" si="160"/>
        <v>0</v>
      </c>
      <c r="K128" s="418">
        <v>0</v>
      </c>
      <c r="L128" s="418">
        <v>0</v>
      </c>
      <c r="M128" s="418">
        <f t="shared" si="161"/>
        <v>0</v>
      </c>
      <c r="N128" s="418">
        <v>0</v>
      </c>
      <c r="O128" s="418">
        <v>0</v>
      </c>
      <c r="P128" s="668">
        <f t="shared" si="162"/>
        <v>0</v>
      </c>
      <c r="Q128" s="668">
        <f t="shared" si="163"/>
        <v>0</v>
      </c>
      <c r="R128" s="418">
        <v>0</v>
      </c>
      <c r="S128" s="419">
        <f t="shared" si="164"/>
        <v>0</v>
      </c>
      <c r="T128" s="420">
        <v>0</v>
      </c>
      <c r="U128" s="426">
        <v>0</v>
      </c>
      <c r="V128" s="428">
        <f t="shared" si="165"/>
        <v>0</v>
      </c>
      <c r="W128" s="421">
        <f t="shared" si="166"/>
        <v>0</v>
      </c>
      <c r="X128" s="16">
        <v>2401650</v>
      </c>
      <c r="Y128" s="16">
        <v>0</v>
      </c>
      <c r="Z128" s="16">
        <v>0</v>
      </c>
      <c r="AA128" s="16">
        <v>0</v>
      </c>
      <c r="AB128" s="421">
        <v>0</v>
      </c>
      <c r="AC128" s="16">
        <v>0</v>
      </c>
      <c r="AD128" s="16">
        <v>0</v>
      </c>
      <c r="AE128" s="16">
        <v>0</v>
      </c>
      <c r="AF128" s="421">
        <f t="shared" si="167"/>
        <v>2401650</v>
      </c>
      <c r="AG128" s="421">
        <f t="shared" si="168"/>
        <v>0</v>
      </c>
      <c r="AH128" s="421">
        <f t="shared" si="169"/>
        <v>2401650</v>
      </c>
      <c r="AI128" s="16">
        <v>0</v>
      </c>
      <c r="AJ128" s="16">
        <v>0</v>
      </c>
      <c r="AK128" s="421">
        <v>0</v>
      </c>
      <c r="AL128" s="16">
        <v>0</v>
      </c>
      <c r="AM128" s="16">
        <v>0</v>
      </c>
      <c r="AN128" s="16">
        <v>0</v>
      </c>
      <c r="AO128" s="421">
        <f t="shared" si="170"/>
        <v>0</v>
      </c>
      <c r="AP128" s="16">
        <v>0</v>
      </c>
      <c r="AQ128" s="421">
        <f t="shared" si="172"/>
        <v>0</v>
      </c>
      <c r="AR128" s="421">
        <f t="shared" si="261"/>
        <v>2401650</v>
      </c>
      <c r="AS128" s="421">
        <f t="shared" si="261"/>
        <v>0</v>
      </c>
      <c r="AT128" s="421">
        <f t="shared" si="173"/>
        <v>2401650</v>
      </c>
      <c r="AU128" s="68">
        <f t="shared" si="262"/>
        <v>811758</v>
      </c>
      <c r="AV128" s="68">
        <f t="shared" si="263"/>
        <v>24017</v>
      </c>
      <c r="AW128" s="16">
        <v>1500</v>
      </c>
      <c r="AX128" s="16">
        <v>0</v>
      </c>
      <c r="AY128" s="421">
        <f t="shared" si="174"/>
        <v>1500</v>
      </c>
      <c r="AZ128" s="421">
        <f t="shared" si="175"/>
        <v>3238925</v>
      </c>
      <c r="BA128" s="13">
        <v>0</v>
      </c>
      <c r="BB128" s="13">
        <v>0</v>
      </c>
      <c r="BC128" s="13">
        <v>6.47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 t="shared" si="264"/>
        <v>6.47</v>
      </c>
      <c r="BL128" s="422">
        <f t="shared" si="265"/>
        <v>0</v>
      </c>
      <c r="BM128" s="424">
        <f t="shared" si="176"/>
        <v>6.47</v>
      </c>
      <c r="BN128" s="427">
        <f t="shared" si="266"/>
        <v>3238925</v>
      </c>
      <c r="BO128" s="421">
        <f t="shared" si="267"/>
        <v>2401650</v>
      </c>
      <c r="BP128" s="421">
        <f t="shared" si="268"/>
        <v>2401650</v>
      </c>
      <c r="BQ128" s="421">
        <f t="shared" si="268"/>
        <v>0</v>
      </c>
      <c r="BR128" s="421">
        <f t="shared" si="269"/>
        <v>0</v>
      </c>
      <c r="BS128" s="421">
        <f t="shared" si="270"/>
        <v>0</v>
      </c>
      <c r="BT128" s="421">
        <f t="shared" si="270"/>
        <v>0</v>
      </c>
      <c r="BU128" s="421">
        <f t="shared" si="271"/>
        <v>811758</v>
      </c>
      <c r="BV128" s="421">
        <f t="shared" si="271"/>
        <v>24017</v>
      </c>
      <c r="BW128" s="421">
        <f t="shared" si="272"/>
        <v>1500</v>
      </c>
      <c r="BX128" s="422">
        <f t="shared" si="273"/>
        <v>6.47</v>
      </c>
      <c r="BY128" s="422">
        <f t="shared" si="274"/>
        <v>6.47</v>
      </c>
      <c r="BZ128" s="611">
        <f t="shared" si="274"/>
        <v>0</v>
      </c>
      <c r="CA128" s="423"/>
      <c r="CB128" s="418"/>
      <c r="CC128" s="418"/>
      <c r="CD128" s="418"/>
      <c r="CE128" s="418"/>
      <c r="CF128" s="527"/>
    </row>
    <row r="129" spans="1:84" ht="14.1" customHeight="1" x14ac:dyDescent="0.2">
      <c r="A129" s="66">
        <v>31</v>
      </c>
      <c r="B129" s="63">
        <v>2474</v>
      </c>
      <c r="C129" s="64">
        <v>600080307</v>
      </c>
      <c r="D129" s="63">
        <v>65635612</v>
      </c>
      <c r="E129" s="65" t="s">
        <v>595</v>
      </c>
      <c r="F129" s="66">
        <v>3141</v>
      </c>
      <c r="G129" s="65" t="s">
        <v>295</v>
      </c>
      <c r="H129" s="67" t="s">
        <v>272</v>
      </c>
      <c r="I129" s="423">
        <f t="shared" si="159"/>
        <v>177882</v>
      </c>
      <c r="J129" s="418">
        <f t="shared" si="160"/>
        <v>131158</v>
      </c>
      <c r="K129" s="418">
        <v>0</v>
      </c>
      <c r="L129" s="924">
        <v>131158</v>
      </c>
      <c r="M129" s="418">
        <f>N129+O129</f>
        <v>0</v>
      </c>
      <c r="N129" s="205">
        <v>0</v>
      </c>
      <c r="O129" s="205">
        <v>0</v>
      </c>
      <c r="P129" s="668">
        <f t="shared" si="162"/>
        <v>44331</v>
      </c>
      <c r="Q129" s="668">
        <f t="shared" si="163"/>
        <v>1312</v>
      </c>
      <c r="R129" s="674">
        <v>1081</v>
      </c>
      <c r="S129" s="419">
        <f>T129+U129</f>
        <v>0.39329999999999998</v>
      </c>
      <c r="T129" s="676">
        <v>0</v>
      </c>
      <c r="U129" s="909">
        <v>0.39329999999999998</v>
      </c>
      <c r="V129" s="428">
        <f t="shared" si="165"/>
        <v>0</v>
      </c>
      <c r="W129" s="421">
        <f t="shared" si="166"/>
        <v>-1920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f t="shared" si="167"/>
        <v>0</v>
      </c>
      <c r="AG129" s="421">
        <f t="shared" si="168"/>
        <v>-1920</v>
      </c>
      <c r="AH129" s="421">
        <f t="shared" si="169"/>
        <v>-1920</v>
      </c>
      <c r="AI129" s="421">
        <v>0</v>
      </c>
      <c r="AJ129" s="421">
        <v>1920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170"/>
        <v>0</v>
      </c>
      <c r="AP129" s="421">
        <f t="shared" si="171"/>
        <v>1920</v>
      </c>
      <c r="AQ129" s="421">
        <f t="shared" si="172"/>
        <v>1920</v>
      </c>
      <c r="AR129" s="421">
        <f t="shared" si="261"/>
        <v>0</v>
      </c>
      <c r="AS129" s="421">
        <f t="shared" si="261"/>
        <v>0</v>
      </c>
      <c r="AT129" s="421">
        <f t="shared" si="173"/>
        <v>0</v>
      </c>
      <c r="AU129" s="68">
        <f t="shared" si="262"/>
        <v>0</v>
      </c>
      <c r="AV129" s="68">
        <f t="shared" si="263"/>
        <v>-19</v>
      </c>
      <c r="AW129" s="421">
        <v>0</v>
      </c>
      <c r="AX129" s="421">
        <v>0</v>
      </c>
      <c r="AY129" s="421">
        <f t="shared" si="174"/>
        <v>0</v>
      </c>
      <c r="AZ129" s="421">
        <f t="shared" si="175"/>
        <v>-19</v>
      </c>
      <c r="BA129" s="422">
        <v>0</v>
      </c>
      <c r="BB129" s="422">
        <v>0</v>
      </c>
      <c r="BC129" s="422">
        <v>0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</v>
      </c>
      <c r="BK129" s="422">
        <f t="shared" si="264"/>
        <v>0</v>
      </c>
      <c r="BL129" s="422">
        <f t="shared" si="265"/>
        <v>0</v>
      </c>
      <c r="BM129" s="424">
        <f t="shared" si="176"/>
        <v>0</v>
      </c>
      <c r="BN129" s="427">
        <f t="shared" si="266"/>
        <v>177863</v>
      </c>
      <c r="BO129" s="421">
        <f t="shared" si="267"/>
        <v>129238</v>
      </c>
      <c r="BP129" s="421">
        <f t="shared" si="268"/>
        <v>0</v>
      </c>
      <c r="BQ129" s="421">
        <f t="shared" si="268"/>
        <v>129238</v>
      </c>
      <c r="BR129" s="421">
        <f t="shared" si="269"/>
        <v>1920</v>
      </c>
      <c r="BS129" s="421">
        <f t="shared" si="270"/>
        <v>0</v>
      </c>
      <c r="BT129" s="421">
        <f t="shared" si="270"/>
        <v>1920</v>
      </c>
      <c r="BU129" s="421">
        <f t="shared" si="271"/>
        <v>44331</v>
      </c>
      <c r="BV129" s="421">
        <f t="shared" si="271"/>
        <v>1293</v>
      </c>
      <c r="BW129" s="421">
        <f t="shared" si="272"/>
        <v>1081</v>
      </c>
      <c r="BX129" s="422">
        <f t="shared" si="273"/>
        <v>0.39329999999999998</v>
      </c>
      <c r="BY129" s="422">
        <f t="shared" si="274"/>
        <v>0</v>
      </c>
      <c r="BZ129" s="611">
        <f t="shared" si="274"/>
        <v>0.39329999999999998</v>
      </c>
      <c r="CA129" s="423"/>
      <c r="CB129" s="418"/>
      <c r="CC129" s="418"/>
      <c r="CD129" s="418"/>
      <c r="CE129" s="418"/>
      <c r="CF129" s="527"/>
    </row>
    <row r="130" spans="1:84" ht="14.1" customHeight="1" x14ac:dyDescent="0.2">
      <c r="A130" s="66">
        <v>31</v>
      </c>
      <c r="B130" s="63">
        <v>2474</v>
      </c>
      <c r="C130" s="64">
        <v>600080307</v>
      </c>
      <c r="D130" s="63">
        <v>65635612</v>
      </c>
      <c r="E130" s="65" t="s">
        <v>595</v>
      </c>
      <c r="F130" s="66">
        <v>3143</v>
      </c>
      <c r="G130" s="77" t="s">
        <v>596</v>
      </c>
      <c r="H130" s="67" t="s">
        <v>271</v>
      </c>
      <c r="I130" s="423">
        <f t="shared" si="159"/>
        <v>2055940</v>
      </c>
      <c r="J130" s="418">
        <f t="shared" si="160"/>
        <v>1525178</v>
      </c>
      <c r="K130" s="418">
        <v>1525178</v>
      </c>
      <c r="L130" s="418">
        <v>0</v>
      </c>
      <c r="M130" s="418">
        <f t="shared" si="161"/>
        <v>0</v>
      </c>
      <c r="N130" s="418">
        <v>0</v>
      </c>
      <c r="O130" s="418">
        <v>0</v>
      </c>
      <c r="P130" s="668">
        <f t="shared" si="162"/>
        <v>515510</v>
      </c>
      <c r="Q130" s="668">
        <f t="shared" si="163"/>
        <v>15252</v>
      </c>
      <c r="R130" s="418">
        <v>0</v>
      </c>
      <c r="S130" s="419">
        <f t="shared" si="164"/>
        <v>3.036</v>
      </c>
      <c r="T130" s="419">
        <v>3.036</v>
      </c>
      <c r="U130" s="426">
        <v>0</v>
      </c>
      <c r="V130" s="428">
        <f t="shared" si="165"/>
        <v>-6400</v>
      </c>
      <c r="W130" s="421">
        <f t="shared" si="166"/>
        <v>0</v>
      </c>
      <c r="X130" s="421">
        <v>0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0</v>
      </c>
      <c r="AE130" s="421">
        <v>0</v>
      </c>
      <c r="AF130" s="421">
        <f t="shared" si="167"/>
        <v>-6400</v>
      </c>
      <c r="AG130" s="421">
        <f t="shared" si="168"/>
        <v>0</v>
      </c>
      <c r="AH130" s="421">
        <f t="shared" si="169"/>
        <v>-6400</v>
      </c>
      <c r="AI130" s="421">
        <v>6400</v>
      </c>
      <c r="AJ130" s="421">
        <v>0</v>
      </c>
      <c r="AK130" s="421">
        <v>0</v>
      </c>
      <c r="AL130" s="421">
        <v>0</v>
      </c>
      <c r="AM130" s="421">
        <v>0</v>
      </c>
      <c r="AN130" s="421">
        <v>0</v>
      </c>
      <c r="AO130" s="421">
        <f t="shared" si="170"/>
        <v>6400</v>
      </c>
      <c r="AP130" s="421">
        <f t="shared" si="171"/>
        <v>0</v>
      </c>
      <c r="AQ130" s="421">
        <f t="shared" si="172"/>
        <v>6400</v>
      </c>
      <c r="AR130" s="421">
        <f t="shared" si="261"/>
        <v>0</v>
      </c>
      <c r="AS130" s="421">
        <f t="shared" si="261"/>
        <v>0</v>
      </c>
      <c r="AT130" s="421">
        <f t="shared" si="173"/>
        <v>0</v>
      </c>
      <c r="AU130" s="68">
        <f t="shared" si="262"/>
        <v>0</v>
      </c>
      <c r="AV130" s="68">
        <f t="shared" si="263"/>
        <v>-64</v>
      </c>
      <c r="AW130" s="421">
        <v>0</v>
      </c>
      <c r="AX130" s="421">
        <v>0</v>
      </c>
      <c r="AY130" s="421">
        <f t="shared" si="174"/>
        <v>0</v>
      </c>
      <c r="AZ130" s="421">
        <f t="shared" si="175"/>
        <v>-64</v>
      </c>
      <c r="BA130" s="422">
        <v>0</v>
      </c>
      <c r="BB130" s="422">
        <v>0</v>
      </c>
      <c r="BC130" s="422">
        <v>0</v>
      </c>
      <c r="BD130" s="422">
        <v>0</v>
      </c>
      <c r="BE130" s="422">
        <v>0</v>
      </c>
      <c r="BF130" s="422">
        <v>0</v>
      </c>
      <c r="BG130" s="422">
        <v>0</v>
      </c>
      <c r="BH130" s="422">
        <v>0</v>
      </c>
      <c r="BI130" s="422">
        <v>0</v>
      </c>
      <c r="BJ130" s="422">
        <v>0</v>
      </c>
      <c r="BK130" s="422">
        <f t="shared" si="264"/>
        <v>0</v>
      </c>
      <c r="BL130" s="422">
        <f t="shared" si="265"/>
        <v>0</v>
      </c>
      <c r="BM130" s="424">
        <f t="shared" si="176"/>
        <v>0</v>
      </c>
      <c r="BN130" s="427">
        <f t="shared" si="266"/>
        <v>2055876</v>
      </c>
      <c r="BO130" s="421">
        <f t="shared" si="267"/>
        <v>1518778</v>
      </c>
      <c r="BP130" s="421">
        <f t="shared" si="268"/>
        <v>1518778</v>
      </c>
      <c r="BQ130" s="421">
        <f t="shared" si="268"/>
        <v>0</v>
      </c>
      <c r="BR130" s="421">
        <f t="shared" si="269"/>
        <v>6400</v>
      </c>
      <c r="BS130" s="421">
        <f t="shared" si="270"/>
        <v>6400</v>
      </c>
      <c r="BT130" s="421">
        <f t="shared" si="270"/>
        <v>0</v>
      </c>
      <c r="BU130" s="421">
        <f t="shared" si="271"/>
        <v>515510</v>
      </c>
      <c r="BV130" s="421">
        <f t="shared" si="271"/>
        <v>15188</v>
      </c>
      <c r="BW130" s="421">
        <f t="shared" si="272"/>
        <v>0</v>
      </c>
      <c r="BX130" s="422">
        <f t="shared" si="273"/>
        <v>3.036</v>
      </c>
      <c r="BY130" s="422">
        <f t="shared" si="274"/>
        <v>3.036</v>
      </c>
      <c r="BZ130" s="611">
        <f t="shared" si="274"/>
        <v>0</v>
      </c>
      <c r="CA130" s="423"/>
      <c r="CB130" s="418"/>
      <c r="CC130" s="418"/>
      <c r="CD130" s="418"/>
      <c r="CE130" s="418"/>
      <c r="CF130" s="527"/>
    </row>
    <row r="131" spans="1:84" ht="14.1" customHeight="1" x14ac:dyDescent="0.2">
      <c r="A131" s="66">
        <v>31</v>
      </c>
      <c r="B131" s="63">
        <v>2474</v>
      </c>
      <c r="C131" s="64">
        <v>600080307</v>
      </c>
      <c r="D131" s="63">
        <v>65635612</v>
      </c>
      <c r="E131" s="65" t="s">
        <v>595</v>
      </c>
      <c r="F131" s="66">
        <v>3143</v>
      </c>
      <c r="G131" s="77" t="s">
        <v>597</v>
      </c>
      <c r="H131" s="67" t="s">
        <v>272</v>
      </c>
      <c r="I131" s="423">
        <f t="shared" si="159"/>
        <v>51231</v>
      </c>
      <c r="J131" s="418">
        <f t="shared" si="160"/>
        <v>36670</v>
      </c>
      <c r="K131" s="418">
        <v>0</v>
      </c>
      <c r="L131" s="674">
        <v>36670</v>
      </c>
      <c r="M131" s="418">
        <f t="shared" ref="M131" si="275">N131+O131</f>
        <v>0</v>
      </c>
      <c r="N131" s="418">
        <v>0</v>
      </c>
      <c r="O131" s="418">
        <v>0</v>
      </c>
      <c r="P131" s="668">
        <f t="shared" si="162"/>
        <v>12394</v>
      </c>
      <c r="Q131" s="668">
        <f t="shared" si="163"/>
        <v>367</v>
      </c>
      <c r="R131" s="675">
        <v>1800</v>
      </c>
      <c r="S131" s="419">
        <f t="shared" si="164"/>
        <v>0.1389</v>
      </c>
      <c r="T131" s="679">
        <v>0</v>
      </c>
      <c r="U131" s="909">
        <v>0.1389</v>
      </c>
      <c r="V131" s="428">
        <f t="shared" si="165"/>
        <v>0</v>
      </c>
      <c r="W131" s="421">
        <f t="shared" si="166"/>
        <v>0</v>
      </c>
      <c r="X131" s="421">
        <v>0</v>
      </c>
      <c r="Y131" s="421">
        <v>0</v>
      </c>
      <c r="Z131" s="421">
        <v>0</v>
      </c>
      <c r="AA131" s="421">
        <v>0</v>
      </c>
      <c r="AB131" s="421">
        <v>0</v>
      </c>
      <c r="AC131" s="421">
        <v>0</v>
      </c>
      <c r="AD131" s="421">
        <v>0</v>
      </c>
      <c r="AE131" s="421">
        <v>0</v>
      </c>
      <c r="AF131" s="421">
        <f t="shared" si="167"/>
        <v>0</v>
      </c>
      <c r="AG131" s="421">
        <f t="shared" si="168"/>
        <v>0</v>
      </c>
      <c r="AH131" s="421">
        <f t="shared" si="169"/>
        <v>0</v>
      </c>
      <c r="AI131" s="421">
        <v>0</v>
      </c>
      <c r="AJ131" s="421">
        <v>0</v>
      </c>
      <c r="AK131" s="421">
        <v>0</v>
      </c>
      <c r="AL131" s="421">
        <v>0</v>
      </c>
      <c r="AM131" s="421">
        <v>0</v>
      </c>
      <c r="AN131" s="421">
        <v>0</v>
      </c>
      <c r="AO131" s="421">
        <f t="shared" si="170"/>
        <v>0</v>
      </c>
      <c r="AP131" s="421">
        <f t="shared" si="171"/>
        <v>0</v>
      </c>
      <c r="AQ131" s="421">
        <f t="shared" si="172"/>
        <v>0</v>
      </c>
      <c r="AR131" s="421">
        <f t="shared" si="261"/>
        <v>0</v>
      </c>
      <c r="AS131" s="421">
        <f t="shared" si="261"/>
        <v>0</v>
      </c>
      <c r="AT131" s="421">
        <f t="shared" si="173"/>
        <v>0</v>
      </c>
      <c r="AU131" s="68">
        <f t="shared" si="262"/>
        <v>0</v>
      </c>
      <c r="AV131" s="68">
        <f t="shared" si="263"/>
        <v>0</v>
      </c>
      <c r="AW131" s="421">
        <v>0</v>
      </c>
      <c r="AX131" s="421">
        <v>0</v>
      </c>
      <c r="AY131" s="421">
        <f t="shared" si="174"/>
        <v>0</v>
      </c>
      <c r="AZ131" s="421">
        <f t="shared" si="175"/>
        <v>0</v>
      </c>
      <c r="BA131" s="422">
        <v>0</v>
      </c>
      <c r="BB131" s="422">
        <v>0</v>
      </c>
      <c r="BC131" s="422">
        <v>0</v>
      </c>
      <c r="BD131" s="422">
        <v>0</v>
      </c>
      <c r="BE131" s="422">
        <v>0</v>
      </c>
      <c r="BF131" s="422">
        <v>0</v>
      </c>
      <c r="BG131" s="422">
        <v>0</v>
      </c>
      <c r="BH131" s="422">
        <v>0</v>
      </c>
      <c r="BI131" s="422">
        <v>0</v>
      </c>
      <c r="BJ131" s="422">
        <v>0</v>
      </c>
      <c r="BK131" s="422">
        <f t="shared" si="264"/>
        <v>0</v>
      </c>
      <c r="BL131" s="422">
        <f t="shared" si="265"/>
        <v>0</v>
      </c>
      <c r="BM131" s="424">
        <f t="shared" si="176"/>
        <v>0</v>
      </c>
      <c r="BN131" s="427">
        <f t="shared" si="266"/>
        <v>51231</v>
      </c>
      <c r="BO131" s="421">
        <f t="shared" si="267"/>
        <v>36670</v>
      </c>
      <c r="BP131" s="421">
        <f t="shared" si="268"/>
        <v>0</v>
      </c>
      <c r="BQ131" s="421">
        <f t="shared" si="268"/>
        <v>36670</v>
      </c>
      <c r="BR131" s="421">
        <f t="shared" si="269"/>
        <v>0</v>
      </c>
      <c r="BS131" s="421">
        <f t="shared" si="270"/>
        <v>0</v>
      </c>
      <c r="BT131" s="421">
        <f t="shared" si="270"/>
        <v>0</v>
      </c>
      <c r="BU131" s="421">
        <f t="shared" si="271"/>
        <v>12394</v>
      </c>
      <c r="BV131" s="421">
        <f t="shared" si="271"/>
        <v>367</v>
      </c>
      <c r="BW131" s="421">
        <f t="shared" si="272"/>
        <v>1800</v>
      </c>
      <c r="BX131" s="422">
        <f t="shared" si="273"/>
        <v>0.1389</v>
      </c>
      <c r="BY131" s="422">
        <f t="shared" si="274"/>
        <v>0</v>
      </c>
      <c r="BZ131" s="611">
        <f t="shared" si="274"/>
        <v>0.1389</v>
      </c>
      <c r="CA131" s="423"/>
      <c r="CB131" s="418"/>
      <c r="CC131" s="418"/>
      <c r="CD131" s="418"/>
      <c r="CE131" s="418"/>
      <c r="CF131" s="527"/>
    </row>
    <row r="132" spans="1:84" ht="14.1" customHeight="1" x14ac:dyDescent="0.2">
      <c r="A132" s="72">
        <v>31</v>
      </c>
      <c r="B132" s="69">
        <v>2474</v>
      </c>
      <c r="C132" s="70">
        <v>600080307</v>
      </c>
      <c r="D132" s="69">
        <v>65635612</v>
      </c>
      <c r="E132" s="71" t="s">
        <v>598</v>
      </c>
      <c r="F132" s="72"/>
      <c r="G132" s="71"/>
      <c r="H132" s="73"/>
      <c r="I132" s="538">
        <f t="shared" ref="I132:BU132" si="276">SUM(I126:I131)</f>
        <v>34291335</v>
      </c>
      <c r="J132" s="74">
        <f t="shared" si="276"/>
        <v>25132313</v>
      </c>
      <c r="K132" s="74">
        <f t="shared" si="276"/>
        <v>23378756</v>
      </c>
      <c r="L132" s="74">
        <f t="shared" si="276"/>
        <v>1753557</v>
      </c>
      <c r="M132" s="74">
        <f t="shared" si="276"/>
        <v>0</v>
      </c>
      <c r="N132" s="74">
        <f t="shared" si="276"/>
        <v>0</v>
      </c>
      <c r="O132" s="74">
        <f t="shared" si="276"/>
        <v>0</v>
      </c>
      <c r="P132" s="74">
        <f t="shared" si="276"/>
        <v>8494721</v>
      </c>
      <c r="Q132" s="74">
        <f t="shared" si="276"/>
        <v>251324</v>
      </c>
      <c r="R132" s="74">
        <f t="shared" si="276"/>
        <v>412977</v>
      </c>
      <c r="S132" s="75">
        <f t="shared" si="276"/>
        <v>40.009300000000003</v>
      </c>
      <c r="T132" s="75">
        <f t="shared" si="276"/>
        <v>34.670999999999999</v>
      </c>
      <c r="U132" s="753">
        <f t="shared" si="276"/>
        <v>5.3383000000000003</v>
      </c>
      <c r="V132" s="538">
        <f t="shared" si="276"/>
        <v>-38400</v>
      </c>
      <c r="W132" s="74">
        <f t="shared" si="276"/>
        <v>-22400</v>
      </c>
      <c r="X132" s="74">
        <f t="shared" si="276"/>
        <v>2401650</v>
      </c>
      <c r="Y132" s="74">
        <f t="shared" si="276"/>
        <v>0</v>
      </c>
      <c r="Z132" s="74">
        <f t="shared" si="276"/>
        <v>0</v>
      </c>
      <c r="AA132" s="74">
        <f t="shared" si="276"/>
        <v>131076</v>
      </c>
      <c r="AB132" s="74">
        <f t="shared" si="276"/>
        <v>564000</v>
      </c>
      <c r="AC132" s="74">
        <f t="shared" si="276"/>
        <v>0</v>
      </c>
      <c r="AD132" s="74">
        <f t="shared" si="276"/>
        <v>0</v>
      </c>
      <c r="AE132" s="74">
        <f t="shared" si="276"/>
        <v>0</v>
      </c>
      <c r="AF132" s="74">
        <f t="shared" si="276"/>
        <v>3058326</v>
      </c>
      <c r="AG132" s="74">
        <f t="shared" si="276"/>
        <v>-22400</v>
      </c>
      <c r="AH132" s="74">
        <f t="shared" si="276"/>
        <v>3035926</v>
      </c>
      <c r="AI132" s="74">
        <f t="shared" si="276"/>
        <v>38400</v>
      </c>
      <c r="AJ132" s="74">
        <f t="shared" si="276"/>
        <v>22400</v>
      </c>
      <c r="AK132" s="74">
        <f t="shared" si="276"/>
        <v>0</v>
      </c>
      <c r="AL132" s="74">
        <f t="shared" si="276"/>
        <v>0</v>
      </c>
      <c r="AM132" s="74">
        <f t="shared" si="276"/>
        <v>0</v>
      </c>
      <c r="AN132" s="74">
        <f t="shared" si="276"/>
        <v>0</v>
      </c>
      <c r="AO132" s="74">
        <f t="shared" si="276"/>
        <v>38400</v>
      </c>
      <c r="AP132" s="74">
        <f t="shared" si="276"/>
        <v>22400</v>
      </c>
      <c r="AQ132" s="74">
        <f t="shared" si="276"/>
        <v>60800</v>
      </c>
      <c r="AR132" s="74">
        <f t="shared" si="276"/>
        <v>3096726</v>
      </c>
      <c r="AS132" s="74">
        <f t="shared" si="276"/>
        <v>0</v>
      </c>
      <c r="AT132" s="74">
        <f t="shared" si="276"/>
        <v>3096726</v>
      </c>
      <c r="AU132" s="74">
        <f t="shared" si="276"/>
        <v>1046694</v>
      </c>
      <c r="AV132" s="74">
        <f t="shared" si="276"/>
        <v>30360</v>
      </c>
      <c r="AW132" s="74">
        <f t="shared" si="276"/>
        <v>1500</v>
      </c>
      <c r="AX132" s="74">
        <f t="shared" si="276"/>
        <v>0</v>
      </c>
      <c r="AY132" s="74">
        <f t="shared" si="276"/>
        <v>1500</v>
      </c>
      <c r="AZ132" s="74">
        <f t="shared" si="276"/>
        <v>4175280</v>
      </c>
      <c r="BA132" s="75">
        <f t="shared" si="276"/>
        <v>-0.01</v>
      </c>
      <c r="BB132" s="75">
        <f t="shared" si="276"/>
        <v>-0.04</v>
      </c>
      <c r="BC132" s="75">
        <f t="shared" si="276"/>
        <v>6.47</v>
      </c>
      <c r="BD132" s="75">
        <f t="shared" si="276"/>
        <v>1</v>
      </c>
      <c r="BE132" s="75">
        <f t="shared" si="276"/>
        <v>0</v>
      </c>
      <c r="BF132" s="75">
        <f t="shared" si="276"/>
        <v>0</v>
      </c>
      <c r="BG132" s="75">
        <f t="shared" si="276"/>
        <v>0</v>
      </c>
      <c r="BH132" s="75">
        <f t="shared" si="276"/>
        <v>0.19</v>
      </c>
      <c r="BI132" s="75">
        <f t="shared" si="276"/>
        <v>0</v>
      </c>
      <c r="BJ132" s="75">
        <f t="shared" si="276"/>
        <v>0</v>
      </c>
      <c r="BK132" s="75">
        <f t="shared" si="276"/>
        <v>7.6499999999999995</v>
      </c>
      <c r="BL132" s="75">
        <f t="shared" si="276"/>
        <v>-0.04</v>
      </c>
      <c r="BM132" s="76">
        <f t="shared" si="276"/>
        <v>7.6099999999999994</v>
      </c>
      <c r="BN132" s="549">
        <f t="shared" si="276"/>
        <v>38466615</v>
      </c>
      <c r="BO132" s="74">
        <f t="shared" si="276"/>
        <v>28168239</v>
      </c>
      <c r="BP132" s="74">
        <f t="shared" si="276"/>
        <v>26437082</v>
      </c>
      <c r="BQ132" s="74">
        <f t="shared" si="276"/>
        <v>1731157</v>
      </c>
      <c r="BR132" s="74">
        <f t="shared" si="276"/>
        <v>60800</v>
      </c>
      <c r="BS132" s="74">
        <f t="shared" si="276"/>
        <v>38400</v>
      </c>
      <c r="BT132" s="74">
        <f t="shared" si="276"/>
        <v>22400</v>
      </c>
      <c r="BU132" s="74">
        <f t="shared" si="276"/>
        <v>9541415</v>
      </c>
      <c r="BV132" s="74">
        <f t="shared" ref="BV132:CF132" si="277">SUM(BV126:BV131)</f>
        <v>281684</v>
      </c>
      <c r="BW132" s="74">
        <f t="shared" si="277"/>
        <v>414477</v>
      </c>
      <c r="BX132" s="75">
        <f t="shared" si="277"/>
        <v>47.619300000000003</v>
      </c>
      <c r="BY132" s="75">
        <f t="shared" si="277"/>
        <v>42.320999999999998</v>
      </c>
      <c r="BZ132" s="753">
        <f t="shared" si="277"/>
        <v>5.2982999999999993</v>
      </c>
      <c r="CA132" s="796">
        <f t="shared" si="277"/>
        <v>760272</v>
      </c>
      <c r="CB132" s="789">
        <f t="shared" si="277"/>
        <v>564000</v>
      </c>
      <c r="CC132" s="789">
        <f t="shared" si="277"/>
        <v>0</v>
      </c>
      <c r="CD132" s="789">
        <f t="shared" si="277"/>
        <v>190632</v>
      </c>
      <c r="CE132" s="789">
        <f t="shared" si="277"/>
        <v>5640</v>
      </c>
      <c r="CF132" s="793">
        <f t="shared" si="277"/>
        <v>1</v>
      </c>
    </row>
    <row r="133" spans="1:84" ht="14.1" customHeight="1" x14ac:dyDescent="0.2">
      <c r="A133" s="66">
        <v>32</v>
      </c>
      <c r="B133" s="63">
        <v>2312</v>
      </c>
      <c r="C133" s="64">
        <v>600079899</v>
      </c>
      <c r="D133" s="63">
        <v>65642350</v>
      </c>
      <c r="E133" s="65" t="s">
        <v>599</v>
      </c>
      <c r="F133" s="66">
        <v>3113</v>
      </c>
      <c r="G133" s="65" t="s">
        <v>294</v>
      </c>
      <c r="H133" s="67" t="s">
        <v>271</v>
      </c>
      <c r="I133" s="423">
        <f t="shared" si="159"/>
        <v>32312263</v>
      </c>
      <c r="J133" s="418">
        <f t="shared" si="160"/>
        <v>23638148</v>
      </c>
      <c r="K133" s="418">
        <v>22017704</v>
      </c>
      <c r="L133" s="418">
        <v>1620444</v>
      </c>
      <c r="M133" s="418">
        <f>N133+O133</f>
        <v>0</v>
      </c>
      <c r="N133" s="418">
        <v>0</v>
      </c>
      <c r="O133" s="418">
        <v>0</v>
      </c>
      <c r="P133" s="668">
        <f t="shared" si="162"/>
        <v>7989694</v>
      </c>
      <c r="Q133" s="668">
        <f>ROUND(J133*1%,0)+1</f>
        <v>236382</v>
      </c>
      <c r="R133" s="418">
        <v>448039</v>
      </c>
      <c r="S133" s="419">
        <f>T133+U133</f>
        <v>36.081699999999998</v>
      </c>
      <c r="T133" s="419">
        <v>31.181699999999999</v>
      </c>
      <c r="U133" s="426">
        <v>4.9000000000000004</v>
      </c>
      <c r="V133" s="428">
        <f t="shared" si="165"/>
        <v>-25600</v>
      </c>
      <c r="W133" s="421">
        <f t="shared" si="166"/>
        <v>-51200</v>
      </c>
      <c r="X133" s="421">
        <v>0</v>
      </c>
      <c r="Y133" s="421">
        <v>0</v>
      </c>
      <c r="Z133" s="421">
        <v>0</v>
      </c>
      <c r="AA133" s="421">
        <v>0</v>
      </c>
      <c r="AB133" s="421">
        <v>564000</v>
      </c>
      <c r="AC133" s="421">
        <v>0</v>
      </c>
      <c r="AD133" s="421">
        <v>0</v>
      </c>
      <c r="AE133" s="421">
        <v>0</v>
      </c>
      <c r="AF133" s="421">
        <f t="shared" si="167"/>
        <v>538400</v>
      </c>
      <c r="AG133" s="421">
        <f t="shared" si="168"/>
        <v>-51200</v>
      </c>
      <c r="AH133" s="421">
        <f t="shared" si="169"/>
        <v>487200</v>
      </c>
      <c r="AI133" s="421">
        <v>25600</v>
      </c>
      <c r="AJ133" s="421">
        <v>51200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170"/>
        <v>25600</v>
      </c>
      <c r="AP133" s="421">
        <f t="shared" si="171"/>
        <v>51200</v>
      </c>
      <c r="AQ133" s="421">
        <f t="shared" si="172"/>
        <v>76800</v>
      </c>
      <c r="AR133" s="421">
        <f t="shared" ref="AR133:AS138" si="278">AF133+AO133</f>
        <v>564000</v>
      </c>
      <c r="AS133" s="421">
        <f t="shared" si="278"/>
        <v>0</v>
      </c>
      <c r="AT133" s="421">
        <f t="shared" si="173"/>
        <v>564000</v>
      </c>
      <c r="AU133" s="68">
        <f t="shared" ref="AU133:AU138" si="279">ROUND((AH133+AI133+AJ133+AK133+AL133)*33.8%,0)</f>
        <v>190632</v>
      </c>
      <c r="AV133" s="68">
        <f t="shared" ref="AV133:AV138" si="280">ROUND(AH133*1%,0)</f>
        <v>4872</v>
      </c>
      <c r="AW133" s="421">
        <v>0</v>
      </c>
      <c r="AX133" s="421">
        <v>0</v>
      </c>
      <c r="AY133" s="421">
        <f t="shared" si="174"/>
        <v>0</v>
      </c>
      <c r="AZ133" s="421">
        <f t="shared" si="175"/>
        <v>759504</v>
      </c>
      <c r="BA133" s="422">
        <v>-0.02</v>
      </c>
      <c r="BB133" s="422">
        <v>-0.15</v>
      </c>
      <c r="BC133" s="422">
        <v>0</v>
      </c>
      <c r="BD133" s="422">
        <v>1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 t="shared" ref="BK133:BK138" si="281">BA133+BC133+BD133+BF133+BH133+BI133</f>
        <v>0.98</v>
      </c>
      <c r="BL133" s="422">
        <f t="shared" ref="BL133:BL138" si="282">BB133+BE133+BG133+BJ133</f>
        <v>-0.15</v>
      </c>
      <c r="BM133" s="424">
        <f t="shared" si="176"/>
        <v>0.83</v>
      </c>
      <c r="BN133" s="427">
        <f t="shared" ref="BN133:BN138" si="283">I133+AZ133</f>
        <v>33071767</v>
      </c>
      <c r="BO133" s="421">
        <f t="shared" ref="BO133:BO138" si="284">J133+AH133</f>
        <v>24125348</v>
      </c>
      <c r="BP133" s="421">
        <f t="shared" ref="BP133:BQ138" si="285">K133+AF133</f>
        <v>22556104</v>
      </c>
      <c r="BQ133" s="421">
        <f t="shared" si="285"/>
        <v>1569244</v>
      </c>
      <c r="BR133" s="421">
        <f t="shared" ref="BR133:BR138" si="286">M133+AQ133</f>
        <v>76800</v>
      </c>
      <c r="BS133" s="421">
        <f t="shared" ref="BS133:BT138" si="287">N133+AO133</f>
        <v>25600</v>
      </c>
      <c r="BT133" s="421">
        <f t="shared" si="287"/>
        <v>51200</v>
      </c>
      <c r="BU133" s="421">
        <f t="shared" ref="BU133:BV138" si="288">P133+AU133</f>
        <v>8180326</v>
      </c>
      <c r="BV133" s="421">
        <f t="shared" si="288"/>
        <v>241254</v>
      </c>
      <c r="BW133" s="421">
        <f t="shared" ref="BW133:BW138" si="289">R133+AY133</f>
        <v>448039</v>
      </c>
      <c r="BX133" s="422">
        <f t="shared" ref="BX133:BX138" si="290">S133+BM133</f>
        <v>36.911699999999996</v>
      </c>
      <c r="BY133" s="422">
        <f t="shared" ref="BY133:BZ138" si="291">T133+BK133</f>
        <v>32.161699999999996</v>
      </c>
      <c r="BZ133" s="611">
        <f t="shared" si="291"/>
        <v>4.75</v>
      </c>
      <c r="CA133" s="423">
        <v>760272</v>
      </c>
      <c r="CB133" s="418">
        <v>564000</v>
      </c>
      <c r="CC133" s="418">
        <v>0</v>
      </c>
      <c r="CD133" s="418">
        <v>190632</v>
      </c>
      <c r="CE133" s="418">
        <v>5640</v>
      </c>
      <c r="CF133" s="527">
        <v>1</v>
      </c>
    </row>
    <row r="134" spans="1:84" ht="14.1" customHeight="1" x14ac:dyDescent="0.2">
      <c r="A134" s="66">
        <v>32</v>
      </c>
      <c r="B134" s="63">
        <v>2312</v>
      </c>
      <c r="C134" s="64">
        <v>600079899</v>
      </c>
      <c r="D134" s="63">
        <v>65642350</v>
      </c>
      <c r="E134" s="65" t="s">
        <v>599</v>
      </c>
      <c r="F134" s="66">
        <v>3113</v>
      </c>
      <c r="G134" s="77" t="s">
        <v>292</v>
      </c>
      <c r="H134" s="67" t="s">
        <v>272</v>
      </c>
      <c r="I134" s="423">
        <f t="shared" si="159"/>
        <v>0</v>
      </c>
      <c r="J134" s="418">
        <f t="shared" si="160"/>
        <v>0</v>
      </c>
      <c r="K134" s="418">
        <v>0</v>
      </c>
      <c r="L134" s="418">
        <v>0</v>
      </c>
      <c r="M134" s="418">
        <f t="shared" si="161"/>
        <v>0</v>
      </c>
      <c r="N134" s="418">
        <v>0</v>
      </c>
      <c r="O134" s="418">
        <v>0</v>
      </c>
      <c r="P134" s="668">
        <f t="shared" si="162"/>
        <v>0</v>
      </c>
      <c r="Q134" s="668">
        <f t="shared" si="163"/>
        <v>0</v>
      </c>
      <c r="R134" s="418">
        <v>0</v>
      </c>
      <c r="S134" s="419">
        <f t="shared" si="164"/>
        <v>0</v>
      </c>
      <c r="T134" s="420">
        <v>0</v>
      </c>
      <c r="U134" s="426">
        <v>0</v>
      </c>
      <c r="V134" s="428">
        <f t="shared" si="165"/>
        <v>0</v>
      </c>
      <c r="W134" s="421">
        <f t="shared" si="166"/>
        <v>0</v>
      </c>
      <c r="X134" s="16">
        <v>2017195</v>
      </c>
      <c r="Y134" s="16">
        <v>0</v>
      </c>
      <c r="Z134" s="16">
        <v>0</v>
      </c>
      <c r="AA134" s="16">
        <v>0</v>
      </c>
      <c r="AB134" s="421">
        <v>0</v>
      </c>
      <c r="AC134" s="16">
        <v>0</v>
      </c>
      <c r="AD134" s="16">
        <v>0</v>
      </c>
      <c r="AE134" s="16">
        <v>0</v>
      </c>
      <c r="AF134" s="421">
        <f t="shared" si="167"/>
        <v>2017195</v>
      </c>
      <c r="AG134" s="421">
        <f t="shared" si="168"/>
        <v>0</v>
      </c>
      <c r="AH134" s="421">
        <f t="shared" si="169"/>
        <v>2017195</v>
      </c>
      <c r="AI134" s="16">
        <v>0</v>
      </c>
      <c r="AJ134" s="16">
        <v>0</v>
      </c>
      <c r="AK134" s="421">
        <v>0</v>
      </c>
      <c r="AL134" s="16">
        <v>0</v>
      </c>
      <c r="AM134" s="16">
        <v>0</v>
      </c>
      <c r="AN134" s="16">
        <v>0</v>
      </c>
      <c r="AO134" s="421">
        <f t="shared" si="170"/>
        <v>0</v>
      </c>
      <c r="AP134" s="16">
        <v>0</v>
      </c>
      <c r="AQ134" s="421">
        <f t="shared" si="172"/>
        <v>0</v>
      </c>
      <c r="AR134" s="421">
        <f t="shared" si="278"/>
        <v>2017195</v>
      </c>
      <c r="AS134" s="421">
        <f t="shared" si="278"/>
        <v>0</v>
      </c>
      <c r="AT134" s="421">
        <f t="shared" si="173"/>
        <v>2017195</v>
      </c>
      <c r="AU134" s="68">
        <f t="shared" si="279"/>
        <v>681812</v>
      </c>
      <c r="AV134" s="68">
        <f t="shared" si="280"/>
        <v>20172</v>
      </c>
      <c r="AW134" s="16">
        <v>1000</v>
      </c>
      <c r="AX134" s="16">
        <v>0</v>
      </c>
      <c r="AY134" s="421">
        <f t="shared" si="174"/>
        <v>1000</v>
      </c>
      <c r="AZ134" s="421">
        <f t="shared" si="175"/>
        <v>2720179</v>
      </c>
      <c r="BA134" s="13">
        <v>0</v>
      </c>
      <c r="BB134" s="13">
        <v>0</v>
      </c>
      <c r="BC134" s="13">
        <v>5.24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 t="shared" si="281"/>
        <v>5.24</v>
      </c>
      <c r="BL134" s="422">
        <f t="shared" si="282"/>
        <v>0</v>
      </c>
      <c r="BM134" s="424">
        <f t="shared" si="176"/>
        <v>5.24</v>
      </c>
      <c r="BN134" s="427">
        <f t="shared" si="283"/>
        <v>2720179</v>
      </c>
      <c r="BO134" s="421">
        <f t="shared" si="284"/>
        <v>2017195</v>
      </c>
      <c r="BP134" s="421">
        <f t="shared" si="285"/>
        <v>2017195</v>
      </c>
      <c r="BQ134" s="421">
        <f t="shared" si="285"/>
        <v>0</v>
      </c>
      <c r="BR134" s="421">
        <f t="shared" si="286"/>
        <v>0</v>
      </c>
      <c r="BS134" s="421">
        <f t="shared" si="287"/>
        <v>0</v>
      </c>
      <c r="BT134" s="421">
        <f t="shared" si="287"/>
        <v>0</v>
      </c>
      <c r="BU134" s="421">
        <f t="shared" si="288"/>
        <v>681812</v>
      </c>
      <c r="BV134" s="421">
        <f t="shared" si="288"/>
        <v>20172</v>
      </c>
      <c r="BW134" s="421">
        <f t="shared" si="289"/>
        <v>1000</v>
      </c>
      <c r="BX134" s="422">
        <f t="shared" si="290"/>
        <v>5.24</v>
      </c>
      <c r="BY134" s="422">
        <f t="shared" si="291"/>
        <v>5.24</v>
      </c>
      <c r="BZ134" s="611">
        <f t="shared" si="291"/>
        <v>0</v>
      </c>
      <c r="CA134" s="423"/>
      <c r="CB134" s="418"/>
      <c r="CC134" s="418"/>
      <c r="CD134" s="418"/>
      <c r="CE134" s="418"/>
      <c r="CF134" s="527"/>
    </row>
    <row r="135" spans="1:84" ht="14.1" customHeight="1" x14ac:dyDescent="0.2">
      <c r="A135" s="66">
        <v>32</v>
      </c>
      <c r="B135" s="63">
        <v>2312</v>
      </c>
      <c r="C135" s="64">
        <v>600079899</v>
      </c>
      <c r="D135" s="63">
        <v>65642350</v>
      </c>
      <c r="E135" s="65" t="s">
        <v>599</v>
      </c>
      <c r="F135" s="66">
        <v>3141</v>
      </c>
      <c r="G135" s="65" t="s">
        <v>295</v>
      </c>
      <c r="H135" s="67" t="s">
        <v>272</v>
      </c>
      <c r="I135" s="423">
        <f t="shared" si="159"/>
        <v>1812509</v>
      </c>
      <c r="J135" s="418">
        <f t="shared" si="160"/>
        <v>1333920</v>
      </c>
      <c r="K135" s="418">
        <v>0</v>
      </c>
      <c r="L135" s="924">
        <v>1333920</v>
      </c>
      <c r="M135" s="418">
        <f>N135+O135</f>
        <v>0</v>
      </c>
      <c r="N135" s="205">
        <v>0</v>
      </c>
      <c r="O135" s="205">
        <v>0</v>
      </c>
      <c r="P135" s="668">
        <f t="shared" si="162"/>
        <v>450865</v>
      </c>
      <c r="Q135" s="668">
        <f t="shared" si="163"/>
        <v>13339</v>
      </c>
      <c r="R135" s="674">
        <v>14385</v>
      </c>
      <c r="S135" s="419">
        <f>T135+U135</f>
        <v>4</v>
      </c>
      <c r="T135" s="676">
        <v>0</v>
      </c>
      <c r="U135" s="909">
        <v>4</v>
      </c>
      <c r="V135" s="428">
        <f t="shared" si="165"/>
        <v>0</v>
      </c>
      <c r="W135" s="421">
        <f t="shared" si="166"/>
        <v>-12800</v>
      </c>
      <c r="X135" s="421">
        <v>0</v>
      </c>
      <c r="Y135" s="421">
        <v>0</v>
      </c>
      <c r="Z135" s="421">
        <v>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f t="shared" si="167"/>
        <v>0</v>
      </c>
      <c r="AG135" s="421">
        <f t="shared" si="168"/>
        <v>-12800</v>
      </c>
      <c r="AH135" s="421">
        <f t="shared" si="169"/>
        <v>-12800</v>
      </c>
      <c r="AI135" s="421">
        <v>0</v>
      </c>
      <c r="AJ135" s="421">
        <v>12800</v>
      </c>
      <c r="AK135" s="421">
        <v>0</v>
      </c>
      <c r="AL135" s="421">
        <v>0</v>
      </c>
      <c r="AM135" s="421">
        <v>0</v>
      </c>
      <c r="AN135" s="421">
        <v>0</v>
      </c>
      <c r="AO135" s="421">
        <f t="shared" si="170"/>
        <v>0</v>
      </c>
      <c r="AP135" s="421">
        <f t="shared" si="171"/>
        <v>12800</v>
      </c>
      <c r="AQ135" s="421">
        <f t="shared" si="172"/>
        <v>12800</v>
      </c>
      <c r="AR135" s="421">
        <f t="shared" si="278"/>
        <v>0</v>
      </c>
      <c r="AS135" s="421">
        <f t="shared" si="278"/>
        <v>0</v>
      </c>
      <c r="AT135" s="421">
        <f t="shared" si="173"/>
        <v>0</v>
      </c>
      <c r="AU135" s="68">
        <f t="shared" si="279"/>
        <v>0</v>
      </c>
      <c r="AV135" s="68">
        <f t="shared" si="280"/>
        <v>-128</v>
      </c>
      <c r="AW135" s="421">
        <v>0</v>
      </c>
      <c r="AX135" s="421">
        <v>0</v>
      </c>
      <c r="AY135" s="421">
        <f t="shared" si="174"/>
        <v>0</v>
      </c>
      <c r="AZ135" s="421">
        <f t="shared" si="175"/>
        <v>-128</v>
      </c>
      <c r="BA135" s="422">
        <v>0</v>
      </c>
      <c r="BB135" s="422">
        <v>0</v>
      </c>
      <c r="BC135" s="422">
        <v>0</v>
      </c>
      <c r="BD135" s="422">
        <v>0</v>
      </c>
      <c r="BE135" s="422">
        <v>0</v>
      </c>
      <c r="BF135" s="422">
        <v>0</v>
      </c>
      <c r="BG135" s="422">
        <v>0</v>
      </c>
      <c r="BH135" s="422">
        <v>0</v>
      </c>
      <c r="BI135" s="422">
        <v>0</v>
      </c>
      <c r="BJ135" s="422">
        <v>0</v>
      </c>
      <c r="BK135" s="422">
        <f t="shared" si="281"/>
        <v>0</v>
      </c>
      <c r="BL135" s="422">
        <f t="shared" si="282"/>
        <v>0</v>
      </c>
      <c r="BM135" s="424">
        <f t="shared" si="176"/>
        <v>0</v>
      </c>
      <c r="BN135" s="427">
        <f t="shared" si="283"/>
        <v>1812381</v>
      </c>
      <c r="BO135" s="421">
        <f t="shared" si="284"/>
        <v>1321120</v>
      </c>
      <c r="BP135" s="421">
        <f t="shared" si="285"/>
        <v>0</v>
      </c>
      <c r="BQ135" s="421">
        <f t="shared" si="285"/>
        <v>1321120</v>
      </c>
      <c r="BR135" s="421">
        <f t="shared" si="286"/>
        <v>12800</v>
      </c>
      <c r="BS135" s="421">
        <f t="shared" si="287"/>
        <v>0</v>
      </c>
      <c r="BT135" s="421">
        <f t="shared" si="287"/>
        <v>12800</v>
      </c>
      <c r="BU135" s="421">
        <f t="shared" si="288"/>
        <v>450865</v>
      </c>
      <c r="BV135" s="421">
        <f t="shared" si="288"/>
        <v>13211</v>
      </c>
      <c r="BW135" s="421">
        <f t="shared" si="289"/>
        <v>14385</v>
      </c>
      <c r="BX135" s="422">
        <f t="shared" si="290"/>
        <v>4</v>
      </c>
      <c r="BY135" s="422">
        <f t="shared" si="291"/>
        <v>0</v>
      </c>
      <c r="BZ135" s="611">
        <f t="shared" si="291"/>
        <v>4</v>
      </c>
      <c r="CA135" s="423"/>
      <c r="CB135" s="418"/>
      <c r="CC135" s="418"/>
      <c r="CD135" s="418"/>
      <c r="CE135" s="418"/>
      <c r="CF135" s="527"/>
    </row>
    <row r="136" spans="1:84" ht="14.1" customHeight="1" x14ac:dyDescent="0.2">
      <c r="A136" s="66">
        <v>32</v>
      </c>
      <c r="B136" s="63">
        <v>2312</v>
      </c>
      <c r="C136" s="64">
        <v>600079899</v>
      </c>
      <c r="D136" s="63">
        <v>65642350</v>
      </c>
      <c r="E136" s="65" t="s">
        <v>599</v>
      </c>
      <c r="F136" s="66">
        <v>3143</v>
      </c>
      <c r="G136" s="77" t="s">
        <v>596</v>
      </c>
      <c r="H136" s="67" t="s">
        <v>271</v>
      </c>
      <c r="I136" s="423">
        <f t="shared" si="159"/>
        <v>3839603</v>
      </c>
      <c r="J136" s="418">
        <f t="shared" si="160"/>
        <v>2848370</v>
      </c>
      <c r="K136" s="418">
        <v>2848370</v>
      </c>
      <c r="L136" s="418">
        <v>0</v>
      </c>
      <c r="M136" s="418">
        <f t="shared" si="161"/>
        <v>0</v>
      </c>
      <c r="N136" s="418">
        <v>0</v>
      </c>
      <c r="O136" s="418">
        <v>0</v>
      </c>
      <c r="P136" s="668">
        <f t="shared" si="162"/>
        <v>962749</v>
      </c>
      <c r="Q136" s="668">
        <f t="shared" si="163"/>
        <v>28484</v>
      </c>
      <c r="R136" s="418">
        <v>0</v>
      </c>
      <c r="S136" s="419">
        <f t="shared" si="164"/>
        <v>5.5</v>
      </c>
      <c r="T136" s="419">
        <v>5.5</v>
      </c>
      <c r="U136" s="426">
        <v>0</v>
      </c>
      <c r="V136" s="428">
        <f t="shared" si="165"/>
        <v>0</v>
      </c>
      <c r="W136" s="421">
        <f t="shared" si="166"/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 t="shared" si="167"/>
        <v>0</v>
      </c>
      <c r="AG136" s="421">
        <f t="shared" si="168"/>
        <v>0</v>
      </c>
      <c r="AH136" s="421">
        <f t="shared" si="169"/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si="170"/>
        <v>0</v>
      </c>
      <c r="AP136" s="421">
        <f t="shared" si="171"/>
        <v>0</v>
      </c>
      <c r="AQ136" s="421">
        <f t="shared" si="172"/>
        <v>0</v>
      </c>
      <c r="AR136" s="421">
        <f t="shared" si="278"/>
        <v>0</v>
      </c>
      <c r="AS136" s="421">
        <f t="shared" si="278"/>
        <v>0</v>
      </c>
      <c r="AT136" s="421">
        <f t="shared" si="173"/>
        <v>0</v>
      </c>
      <c r="AU136" s="68">
        <f t="shared" si="279"/>
        <v>0</v>
      </c>
      <c r="AV136" s="68">
        <f t="shared" si="280"/>
        <v>0</v>
      </c>
      <c r="AW136" s="421">
        <v>0</v>
      </c>
      <c r="AX136" s="421">
        <v>0</v>
      </c>
      <c r="AY136" s="421">
        <f t="shared" si="174"/>
        <v>0</v>
      </c>
      <c r="AZ136" s="421">
        <f t="shared" si="175"/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 t="shared" si="281"/>
        <v>0</v>
      </c>
      <c r="BL136" s="422">
        <f t="shared" si="282"/>
        <v>0</v>
      </c>
      <c r="BM136" s="424">
        <f t="shared" si="176"/>
        <v>0</v>
      </c>
      <c r="BN136" s="427">
        <f t="shared" si="283"/>
        <v>3839603</v>
      </c>
      <c r="BO136" s="421">
        <f t="shared" si="284"/>
        <v>2848370</v>
      </c>
      <c r="BP136" s="421">
        <f t="shared" si="285"/>
        <v>2848370</v>
      </c>
      <c r="BQ136" s="421">
        <f t="shared" si="285"/>
        <v>0</v>
      </c>
      <c r="BR136" s="421">
        <f t="shared" si="286"/>
        <v>0</v>
      </c>
      <c r="BS136" s="421">
        <f t="shared" si="287"/>
        <v>0</v>
      </c>
      <c r="BT136" s="421">
        <f t="shared" si="287"/>
        <v>0</v>
      </c>
      <c r="BU136" s="421">
        <f t="shared" si="288"/>
        <v>962749</v>
      </c>
      <c r="BV136" s="421">
        <f t="shared" si="288"/>
        <v>28484</v>
      </c>
      <c r="BW136" s="421">
        <f t="shared" si="289"/>
        <v>0</v>
      </c>
      <c r="BX136" s="422">
        <f t="shared" si="290"/>
        <v>5.5</v>
      </c>
      <c r="BY136" s="422">
        <f t="shared" si="291"/>
        <v>5.5</v>
      </c>
      <c r="BZ136" s="611">
        <f t="shared" si="291"/>
        <v>0</v>
      </c>
      <c r="CA136" s="423"/>
      <c r="CB136" s="418"/>
      <c r="CC136" s="418"/>
      <c r="CD136" s="418"/>
      <c r="CE136" s="418"/>
      <c r="CF136" s="527"/>
    </row>
    <row r="137" spans="1:84" ht="14.1" customHeight="1" x14ac:dyDescent="0.2">
      <c r="A137" s="66">
        <v>32</v>
      </c>
      <c r="B137" s="63">
        <v>2312</v>
      </c>
      <c r="C137" s="64">
        <v>600079899</v>
      </c>
      <c r="D137" s="63">
        <v>65642350</v>
      </c>
      <c r="E137" s="65" t="s">
        <v>599</v>
      </c>
      <c r="F137" s="66">
        <v>3143</v>
      </c>
      <c r="G137" s="77" t="s">
        <v>597</v>
      </c>
      <c r="H137" s="67" t="s">
        <v>272</v>
      </c>
      <c r="I137" s="423">
        <f t="shared" si="159"/>
        <v>88115</v>
      </c>
      <c r="J137" s="418">
        <f t="shared" si="160"/>
        <v>63070</v>
      </c>
      <c r="K137" s="418">
        <v>0</v>
      </c>
      <c r="L137" s="674">
        <v>63070</v>
      </c>
      <c r="M137" s="418">
        <f t="shared" si="161"/>
        <v>0</v>
      </c>
      <c r="N137" s="418">
        <v>0</v>
      </c>
      <c r="O137" s="418">
        <v>0</v>
      </c>
      <c r="P137" s="668">
        <f t="shared" ref="P137" si="292">ROUND(J137*33.8%,0)</f>
        <v>21318</v>
      </c>
      <c r="Q137" s="668">
        <f t="shared" ref="Q137" si="293">ROUND(J137*1%,0)</f>
        <v>631</v>
      </c>
      <c r="R137" s="675">
        <v>3096</v>
      </c>
      <c r="S137" s="419">
        <f t="shared" si="164"/>
        <v>0.2389</v>
      </c>
      <c r="T137" s="679">
        <v>0</v>
      </c>
      <c r="U137" s="909">
        <v>0.2389</v>
      </c>
      <c r="V137" s="428">
        <f t="shared" si="165"/>
        <v>0</v>
      </c>
      <c r="W137" s="421">
        <f t="shared" si="166"/>
        <v>0</v>
      </c>
      <c r="X137" s="421">
        <v>0</v>
      </c>
      <c r="Y137" s="421">
        <v>0</v>
      </c>
      <c r="Z137" s="421">
        <v>0</v>
      </c>
      <c r="AA137" s="421">
        <v>0</v>
      </c>
      <c r="AB137" s="421">
        <v>0</v>
      </c>
      <c r="AC137" s="421">
        <v>0</v>
      </c>
      <c r="AD137" s="421">
        <v>0</v>
      </c>
      <c r="AE137" s="421">
        <v>0</v>
      </c>
      <c r="AF137" s="421">
        <f t="shared" si="167"/>
        <v>0</v>
      </c>
      <c r="AG137" s="421">
        <f t="shared" si="168"/>
        <v>0</v>
      </c>
      <c r="AH137" s="421">
        <f t="shared" si="169"/>
        <v>0</v>
      </c>
      <c r="AI137" s="421">
        <v>0</v>
      </c>
      <c r="AJ137" s="421">
        <v>0</v>
      </c>
      <c r="AK137" s="421">
        <v>0</v>
      </c>
      <c r="AL137" s="421">
        <v>0</v>
      </c>
      <c r="AM137" s="421">
        <v>0</v>
      </c>
      <c r="AN137" s="421">
        <v>0</v>
      </c>
      <c r="AO137" s="421">
        <f t="shared" si="170"/>
        <v>0</v>
      </c>
      <c r="AP137" s="421">
        <f t="shared" si="171"/>
        <v>0</v>
      </c>
      <c r="AQ137" s="421">
        <f t="shared" si="172"/>
        <v>0</v>
      </c>
      <c r="AR137" s="421">
        <f t="shared" si="278"/>
        <v>0</v>
      </c>
      <c r="AS137" s="421">
        <f t="shared" si="278"/>
        <v>0</v>
      </c>
      <c r="AT137" s="421">
        <f t="shared" si="173"/>
        <v>0</v>
      </c>
      <c r="AU137" s="68">
        <f t="shared" si="279"/>
        <v>0</v>
      </c>
      <c r="AV137" s="68">
        <f t="shared" si="280"/>
        <v>0</v>
      </c>
      <c r="AW137" s="421">
        <v>0</v>
      </c>
      <c r="AX137" s="421">
        <v>0</v>
      </c>
      <c r="AY137" s="421">
        <f t="shared" si="174"/>
        <v>0</v>
      </c>
      <c r="AZ137" s="421">
        <f t="shared" si="175"/>
        <v>0</v>
      </c>
      <c r="BA137" s="422">
        <v>0</v>
      </c>
      <c r="BB137" s="422">
        <v>0</v>
      </c>
      <c r="BC137" s="422">
        <v>0</v>
      </c>
      <c r="BD137" s="422">
        <v>0</v>
      </c>
      <c r="BE137" s="422">
        <v>0</v>
      </c>
      <c r="BF137" s="422">
        <v>0</v>
      </c>
      <c r="BG137" s="422">
        <v>0</v>
      </c>
      <c r="BH137" s="422">
        <v>0</v>
      </c>
      <c r="BI137" s="422">
        <v>0</v>
      </c>
      <c r="BJ137" s="422">
        <v>0</v>
      </c>
      <c r="BK137" s="422">
        <f t="shared" si="281"/>
        <v>0</v>
      </c>
      <c r="BL137" s="422">
        <f t="shared" si="282"/>
        <v>0</v>
      </c>
      <c r="BM137" s="424">
        <f t="shared" si="176"/>
        <v>0</v>
      </c>
      <c r="BN137" s="427">
        <f t="shared" si="283"/>
        <v>88115</v>
      </c>
      <c r="BO137" s="421">
        <f t="shared" si="284"/>
        <v>63070</v>
      </c>
      <c r="BP137" s="421">
        <f t="shared" si="285"/>
        <v>0</v>
      </c>
      <c r="BQ137" s="421">
        <f t="shared" si="285"/>
        <v>63070</v>
      </c>
      <c r="BR137" s="421">
        <f t="shared" si="286"/>
        <v>0</v>
      </c>
      <c r="BS137" s="421">
        <f t="shared" si="287"/>
        <v>0</v>
      </c>
      <c r="BT137" s="421">
        <f t="shared" si="287"/>
        <v>0</v>
      </c>
      <c r="BU137" s="421">
        <f t="shared" si="288"/>
        <v>21318</v>
      </c>
      <c r="BV137" s="421">
        <f t="shared" si="288"/>
        <v>631</v>
      </c>
      <c r="BW137" s="421">
        <f t="shared" si="289"/>
        <v>3096</v>
      </c>
      <c r="BX137" s="422">
        <f t="shared" si="290"/>
        <v>0.2389</v>
      </c>
      <c r="BY137" s="422">
        <f t="shared" si="291"/>
        <v>0</v>
      </c>
      <c r="BZ137" s="611">
        <f t="shared" si="291"/>
        <v>0.2389</v>
      </c>
      <c r="CA137" s="423"/>
      <c r="CB137" s="418"/>
      <c r="CC137" s="418"/>
      <c r="CD137" s="418"/>
      <c r="CE137" s="418"/>
      <c r="CF137" s="527"/>
    </row>
    <row r="138" spans="1:84" ht="14.1" customHeight="1" x14ac:dyDescent="0.2">
      <c r="A138" s="66">
        <v>32</v>
      </c>
      <c r="B138" s="63">
        <v>2312</v>
      </c>
      <c r="C138" s="64">
        <v>600079899</v>
      </c>
      <c r="D138" s="63">
        <v>65642350</v>
      </c>
      <c r="E138" s="65" t="s">
        <v>599</v>
      </c>
      <c r="F138" s="66">
        <v>3231</v>
      </c>
      <c r="G138" s="65" t="s">
        <v>296</v>
      </c>
      <c r="H138" s="67" t="s">
        <v>271</v>
      </c>
      <c r="I138" s="423">
        <f t="shared" si="159"/>
        <v>15575907</v>
      </c>
      <c r="J138" s="418">
        <f t="shared" si="160"/>
        <v>11540643</v>
      </c>
      <c r="K138" s="418">
        <v>11137275</v>
      </c>
      <c r="L138" s="418">
        <v>403368</v>
      </c>
      <c r="M138" s="418">
        <f t="shared" si="161"/>
        <v>0</v>
      </c>
      <c r="N138" s="418">
        <v>0</v>
      </c>
      <c r="O138" s="418">
        <v>0</v>
      </c>
      <c r="P138" s="668">
        <f t="shared" si="162"/>
        <v>3900737</v>
      </c>
      <c r="Q138" s="668">
        <f t="shared" si="163"/>
        <v>115406</v>
      </c>
      <c r="R138" s="418">
        <v>19121</v>
      </c>
      <c r="S138" s="419">
        <f t="shared" si="164"/>
        <v>18.689999999999998</v>
      </c>
      <c r="T138" s="419">
        <v>17.559999999999999</v>
      </c>
      <c r="U138" s="426">
        <v>1.1299999999999999</v>
      </c>
      <c r="V138" s="428">
        <f t="shared" si="165"/>
        <v>-70400</v>
      </c>
      <c r="W138" s="421">
        <f t="shared" si="166"/>
        <v>0</v>
      </c>
      <c r="X138" s="421">
        <v>0</v>
      </c>
      <c r="Y138" s="421">
        <v>0</v>
      </c>
      <c r="Z138" s="421">
        <v>0</v>
      </c>
      <c r="AA138" s="421">
        <v>0</v>
      </c>
      <c r="AB138" s="421">
        <v>0</v>
      </c>
      <c r="AC138" s="421">
        <v>0</v>
      </c>
      <c r="AD138" s="421">
        <v>0</v>
      </c>
      <c r="AE138" s="421">
        <v>0</v>
      </c>
      <c r="AF138" s="421">
        <f t="shared" si="167"/>
        <v>-70400</v>
      </c>
      <c r="AG138" s="421">
        <f t="shared" si="168"/>
        <v>0</v>
      </c>
      <c r="AH138" s="421">
        <f t="shared" si="169"/>
        <v>-70400</v>
      </c>
      <c r="AI138" s="421">
        <v>70400</v>
      </c>
      <c r="AJ138" s="421">
        <v>0</v>
      </c>
      <c r="AK138" s="421">
        <v>0</v>
      </c>
      <c r="AL138" s="421">
        <v>0</v>
      </c>
      <c r="AM138" s="421">
        <v>0</v>
      </c>
      <c r="AN138" s="421">
        <v>0</v>
      </c>
      <c r="AO138" s="421">
        <f t="shared" si="170"/>
        <v>70400</v>
      </c>
      <c r="AP138" s="421">
        <f t="shared" si="171"/>
        <v>0</v>
      </c>
      <c r="AQ138" s="421">
        <f t="shared" si="172"/>
        <v>70400</v>
      </c>
      <c r="AR138" s="421">
        <f t="shared" si="278"/>
        <v>0</v>
      </c>
      <c r="AS138" s="421">
        <f t="shared" si="278"/>
        <v>0</v>
      </c>
      <c r="AT138" s="421">
        <f t="shared" si="173"/>
        <v>0</v>
      </c>
      <c r="AU138" s="68">
        <f t="shared" si="279"/>
        <v>0</v>
      </c>
      <c r="AV138" s="68">
        <f t="shared" si="280"/>
        <v>-704</v>
      </c>
      <c r="AW138" s="421">
        <v>0</v>
      </c>
      <c r="AX138" s="421">
        <v>0</v>
      </c>
      <c r="AY138" s="421">
        <f t="shared" si="174"/>
        <v>0</v>
      </c>
      <c r="AZ138" s="421">
        <f t="shared" si="175"/>
        <v>-704</v>
      </c>
      <c r="BA138" s="422">
        <v>-0.05</v>
      </c>
      <c r="BB138" s="422">
        <v>0</v>
      </c>
      <c r="BC138" s="422">
        <v>0</v>
      </c>
      <c r="BD138" s="422">
        <v>0</v>
      </c>
      <c r="BE138" s="422">
        <v>0</v>
      </c>
      <c r="BF138" s="422">
        <v>0</v>
      </c>
      <c r="BG138" s="422">
        <v>0</v>
      </c>
      <c r="BH138" s="422">
        <v>0</v>
      </c>
      <c r="BI138" s="422">
        <v>0</v>
      </c>
      <c r="BJ138" s="422">
        <v>0</v>
      </c>
      <c r="BK138" s="422">
        <f t="shared" si="281"/>
        <v>-0.05</v>
      </c>
      <c r="BL138" s="422">
        <f t="shared" si="282"/>
        <v>0</v>
      </c>
      <c r="BM138" s="424">
        <f t="shared" si="176"/>
        <v>-0.05</v>
      </c>
      <c r="BN138" s="427">
        <f t="shared" si="283"/>
        <v>15575203</v>
      </c>
      <c r="BO138" s="421">
        <f t="shared" si="284"/>
        <v>11470243</v>
      </c>
      <c r="BP138" s="421">
        <f t="shared" si="285"/>
        <v>11066875</v>
      </c>
      <c r="BQ138" s="421">
        <f t="shared" si="285"/>
        <v>403368</v>
      </c>
      <c r="BR138" s="421">
        <f t="shared" si="286"/>
        <v>70400</v>
      </c>
      <c r="BS138" s="421">
        <f t="shared" si="287"/>
        <v>70400</v>
      </c>
      <c r="BT138" s="421">
        <f t="shared" si="287"/>
        <v>0</v>
      </c>
      <c r="BU138" s="421">
        <f t="shared" si="288"/>
        <v>3900737</v>
      </c>
      <c r="BV138" s="421">
        <f t="shared" si="288"/>
        <v>114702</v>
      </c>
      <c r="BW138" s="421">
        <f t="shared" si="289"/>
        <v>19121</v>
      </c>
      <c r="BX138" s="422">
        <f t="shared" si="290"/>
        <v>18.639999999999997</v>
      </c>
      <c r="BY138" s="422">
        <f t="shared" si="291"/>
        <v>17.509999999999998</v>
      </c>
      <c r="BZ138" s="611">
        <f t="shared" si="291"/>
        <v>1.1299999999999999</v>
      </c>
      <c r="CA138" s="423"/>
      <c r="CB138" s="418"/>
      <c r="CC138" s="418"/>
      <c r="CD138" s="418"/>
      <c r="CE138" s="418"/>
      <c r="CF138" s="527"/>
    </row>
    <row r="139" spans="1:84" ht="14.1" customHeight="1" x14ac:dyDescent="0.2">
      <c r="A139" s="72">
        <v>32</v>
      </c>
      <c r="B139" s="69">
        <v>2312</v>
      </c>
      <c r="C139" s="70">
        <v>600079899</v>
      </c>
      <c r="D139" s="69">
        <v>65642350</v>
      </c>
      <c r="E139" s="71" t="s">
        <v>600</v>
      </c>
      <c r="F139" s="72"/>
      <c r="G139" s="71"/>
      <c r="H139" s="73"/>
      <c r="I139" s="539">
        <f t="shared" ref="I139:BU139" si="294">SUM(I133:I138)</f>
        <v>53628397</v>
      </c>
      <c r="J139" s="78">
        <f t="shared" si="294"/>
        <v>39424151</v>
      </c>
      <c r="K139" s="78">
        <f t="shared" si="294"/>
        <v>36003349</v>
      </c>
      <c r="L139" s="78">
        <f t="shared" si="294"/>
        <v>3420802</v>
      </c>
      <c r="M139" s="78">
        <f t="shared" si="294"/>
        <v>0</v>
      </c>
      <c r="N139" s="78">
        <f t="shared" si="294"/>
        <v>0</v>
      </c>
      <c r="O139" s="78">
        <f t="shared" si="294"/>
        <v>0</v>
      </c>
      <c r="P139" s="78">
        <f t="shared" si="294"/>
        <v>13325363</v>
      </c>
      <c r="Q139" s="78">
        <f t="shared" si="294"/>
        <v>394242</v>
      </c>
      <c r="R139" s="78">
        <f t="shared" si="294"/>
        <v>484641</v>
      </c>
      <c r="S139" s="79">
        <f t="shared" si="294"/>
        <v>64.510599999999997</v>
      </c>
      <c r="T139" s="79">
        <f t="shared" si="294"/>
        <v>54.241699999999994</v>
      </c>
      <c r="U139" s="754">
        <f t="shared" si="294"/>
        <v>10.268899999999999</v>
      </c>
      <c r="V139" s="539">
        <f t="shared" si="294"/>
        <v>-96000</v>
      </c>
      <c r="W139" s="78">
        <f t="shared" si="294"/>
        <v>-64000</v>
      </c>
      <c r="X139" s="78">
        <f t="shared" si="294"/>
        <v>2017195</v>
      </c>
      <c r="Y139" s="78">
        <f t="shared" si="294"/>
        <v>0</v>
      </c>
      <c r="Z139" s="78">
        <f t="shared" si="294"/>
        <v>0</v>
      </c>
      <c r="AA139" s="78">
        <f t="shared" si="294"/>
        <v>0</v>
      </c>
      <c r="AB139" s="78">
        <f t="shared" si="294"/>
        <v>564000</v>
      </c>
      <c r="AC139" s="78">
        <f t="shared" si="294"/>
        <v>0</v>
      </c>
      <c r="AD139" s="78">
        <f t="shared" si="294"/>
        <v>0</v>
      </c>
      <c r="AE139" s="78">
        <f t="shared" si="294"/>
        <v>0</v>
      </c>
      <c r="AF139" s="78">
        <f t="shared" si="294"/>
        <v>2485195</v>
      </c>
      <c r="AG139" s="78">
        <f t="shared" si="294"/>
        <v>-64000</v>
      </c>
      <c r="AH139" s="78">
        <f t="shared" si="294"/>
        <v>2421195</v>
      </c>
      <c r="AI139" s="78">
        <f t="shared" si="294"/>
        <v>96000</v>
      </c>
      <c r="AJ139" s="78">
        <f t="shared" si="294"/>
        <v>64000</v>
      </c>
      <c r="AK139" s="78">
        <f t="shared" si="294"/>
        <v>0</v>
      </c>
      <c r="AL139" s="78">
        <f t="shared" si="294"/>
        <v>0</v>
      </c>
      <c r="AM139" s="78">
        <f t="shared" si="294"/>
        <v>0</v>
      </c>
      <c r="AN139" s="78">
        <f t="shared" si="294"/>
        <v>0</v>
      </c>
      <c r="AO139" s="78">
        <f t="shared" si="294"/>
        <v>96000</v>
      </c>
      <c r="AP139" s="78">
        <f t="shared" si="294"/>
        <v>64000</v>
      </c>
      <c r="AQ139" s="78">
        <f t="shared" si="294"/>
        <v>160000</v>
      </c>
      <c r="AR139" s="78">
        <f t="shared" si="294"/>
        <v>2581195</v>
      </c>
      <c r="AS139" s="78">
        <f t="shared" si="294"/>
        <v>0</v>
      </c>
      <c r="AT139" s="78">
        <f t="shared" si="294"/>
        <v>2581195</v>
      </c>
      <c r="AU139" s="78">
        <f t="shared" si="294"/>
        <v>872444</v>
      </c>
      <c r="AV139" s="78">
        <f t="shared" si="294"/>
        <v>24212</v>
      </c>
      <c r="AW139" s="78">
        <f t="shared" si="294"/>
        <v>1000</v>
      </c>
      <c r="AX139" s="78">
        <f t="shared" si="294"/>
        <v>0</v>
      </c>
      <c r="AY139" s="78">
        <f t="shared" si="294"/>
        <v>1000</v>
      </c>
      <c r="AZ139" s="78">
        <f t="shared" si="294"/>
        <v>3478851</v>
      </c>
      <c r="BA139" s="79">
        <f t="shared" si="294"/>
        <v>-7.0000000000000007E-2</v>
      </c>
      <c r="BB139" s="79">
        <f t="shared" si="294"/>
        <v>-0.15</v>
      </c>
      <c r="BC139" s="79">
        <f t="shared" si="294"/>
        <v>5.24</v>
      </c>
      <c r="BD139" s="79">
        <f t="shared" si="294"/>
        <v>1</v>
      </c>
      <c r="BE139" s="79">
        <f t="shared" si="294"/>
        <v>0</v>
      </c>
      <c r="BF139" s="79">
        <f t="shared" si="294"/>
        <v>0</v>
      </c>
      <c r="BG139" s="79">
        <f t="shared" si="294"/>
        <v>0</v>
      </c>
      <c r="BH139" s="79">
        <f t="shared" si="294"/>
        <v>0</v>
      </c>
      <c r="BI139" s="79">
        <f t="shared" si="294"/>
        <v>0</v>
      </c>
      <c r="BJ139" s="79">
        <f t="shared" si="294"/>
        <v>0</v>
      </c>
      <c r="BK139" s="79">
        <f t="shared" si="294"/>
        <v>6.1700000000000008</v>
      </c>
      <c r="BL139" s="79">
        <f t="shared" si="294"/>
        <v>-0.15</v>
      </c>
      <c r="BM139" s="80">
        <f t="shared" si="294"/>
        <v>6.0200000000000005</v>
      </c>
      <c r="BN139" s="550">
        <f t="shared" si="294"/>
        <v>57107248</v>
      </c>
      <c r="BO139" s="78">
        <f t="shared" si="294"/>
        <v>41845346</v>
      </c>
      <c r="BP139" s="78">
        <f t="shared" si="294"/>
        <v>38488544</v>
      </c>
      <c r="BQ139" s="78">
        <f t="shared" si="294"/>
        <v>3356802</v>
      </c>
      <c r="BR139" s="78">
        <f t="shared" si="294"/>
        <v>160000</v>
      </c>
      <c r="BS139" s="78">
        <f t="shared" si="294"/>
        <v>96000</v>
      </c>
      <c r="BT139" s="78">
        <f t="shared" si="294"/>
        <v>64000</v>
      </c>
      <c r="BU139" s="78">
        <f t="shared" si="294"/>
        <v>14197807</v>
      </c>
      <c r="BV139" s="78">
        <f t="shared" ref="BV139:CF139" si="295">SUM(BV133:BV138)</f>
        <v>418454</v>
      </c>
      <c r="BW139" s="78">
        <f t="shared" si="295"/>
        <v>485641</v>
      </c>
      <c r="BX139" s="79">
        <f t="shared" si="295"/>
        <v>70.530599999999993</v>
      </c>
      <c r="BY139" s="79">
        <f t="shared" si="295"/>
        <v>60.411699999999996</v>
      </c>
      <c r="BZ139" s="754">
        <f t="shared" si="295"/>
        <v>10.1189</v>
      </c>
      <c r="CA139" s="797">
        <f t="shared" si="295"/>
        <v>760272</v>
      </c>
      <c r="CB139" s="790">
        <f t="shared" si="295"/>
        <v>564000</v>
      </c>
      <c r="CC139" s="790">
        <f t="shared" si="295"/>
        <v>0</v>
      </c>
      <c r="CD139" s="790">
        <f t="shared" si="295"/>
        <v>190632</v>
      </c>
      <c r="CE139" s="790">
        <f t="shared" si="295"/>
        <v>5640</v>
      </c>
      <c r="CF139" s="794">
        <f t="shared" si="295"/>
        <v>1</v>
      </c>
    </row>
    <row r="140" spans="1:84" ht="14.1" customHeight="1" x14ac:dyDescent="0.2">
      <c r="A140" s="66">
        <v>33</v>
      </c>
      <c r="B140" s="63">
        <v>2479</v>
      </c>
      <c r="C140" s="64">
        <v>600080340</v>
      </c>
      <c r="D140" s="63">
        <v>65100280</v>
      </c>
      <c r="E140" s="65" t="s">
        <v>601</v>
      </c>
      <c r="F140" s="66">
        <v>3113</v>
      </c>
      <c r="G140" s="65" t="s">
        <v>294</v>
      </c>
      <c r="H140" s="67" t="s">
        <v>271</v>
      </c>
      <c r="I140" s="423">
        <f t="shared" si="159"/>
        <v>39160916</v>
      </c>
      <c r="J140" s="418">
        <f t="shared" si="160"/>
        <v>28621236</v>
      </c>
      <c r="K140" s="418">
        <v>26723220</v>
      </c>
      <c r="L140" s="418">
        <v>1898016</v>
      </c>
      <c r="M140" s="418">
        <f>N140+O140</f>
        <v>0</v>
      </c>
      <c r="N140" s="418">
        <v>0</v>
      </c>
      <c r="O140" s="418">
        <v>0</v>
      </c>
      <c r="P140" s="668">
        <f t="shared" si="162"/>
        <v>9673978</v>
      </c>
      <c r="Q140" s="668">
        <f>ROUND(J140*1%,0)+1</f>
        <v>286213</v>
      </c>
      <c r="R140" s="418">
        <v>579489</v>
      </c>
      <c r="S140" s="419">
        <f>T140+U140</f>
        <v>44.353099999999998</v>
      </c>
      <c r="T140" s="419">
        <v>38.634</v>
      </c>
      <c r="U140" s="426">
        <v>5.7191000000000001</v>
      </c>
      <c r="V140" s="428">
        <f t="shared" si="165"/>
        <v>-32000</v>
      </c>
      <c r="W140" s="421">
        <f t="shared" si="166"/>
        <v>0</v>
      </c>
      <c r="X140" s="421">
        <v>0</v>
      </c>
      <c r="Y140" s="421">
        <v>0</v>
      </c>
      <c r="Z140" s="421">
        <v>0</v>
      </c>
      <c r="AA140" s="421">
        <v>0</v>
      </c>
      <c r="AB140" s="421">
        <v>564000</v>
      </c>
      <c r="AC140" s="421">
        <v>0</v>
      </c>
      <c r="AD140" s="421">
        <v>0</v>
      </c>
      <c r="AE140" s="421">
        <v>0</v>
      </c>
      <c r="AF140" s="421">
        <f t="shared" si="167"/>
        <v>532000</v>
      </c>
      <c r="AG140" s="421">
        <f t="shared" si="168"/>
        <v>0</v>
      </c>
      <c r="AH140" s="421">
        <f t="shared" si="169"/>
        <v>532000</v>
      </c>
      <c r="AI140" s="421">
        <v>32000</v>
      </c>
      <c r="AJ140" s="421">
        <v>0</v>
      </c>
      <c r="AK140" s="421">
        <v>0</v>
      </c>
      <c r="AL140" s="421">
        <v>0</v>
      </c>
      <c r="AM140" s="421">
        <v>0</v>
      </c>
      <c r="AN140" s="421">
        <v>0</v>
      </c>
      <c r="AO140" s="421">
        <f t="shared" si="170"/>
        <v>32000</v>
      </c>
      <c r="AP140" s="421">
        <f t="shared" si="171"/>
        <v>0</v>
      </c>
      <c r="AQ140" s="421">
        <f t="shared" si="172"/>
        <v>32000</v>
      </c>
      <c r="AR140" s="421">
        <f t="shared" ref="AR140:AS144" si="296">AF140+AO140</f>
        <v>564000</v>
      </c>
      <c r="AS140" s="421">
        <f t="shared" si="296"/>
        <v>0</v>
      </c>
      <c r="AT140" s="421">
        <f t="shared" si="173"/>
        <v>564000</v>
      </c>
      <c r="AU140" s="68">
        <f t="shared" ref="AU140:AU144" si="297">ROUND((AH140+AI140+AJ140+AK140+AL140)*33.8%,0)</f>
        <v>190632</v>
      </c>
      <c r="AV140" s="68">
        <f>ROUND(AH140*1%,0)</f>
        <v>5320</v>
      </c>
      <c r="AW140" s="421">
        <v>0</v>
      </c>
      <c r="AX140" s="421">
        <v>0</v>
      </c>
      <c r="AY140" s="421">
        <f t="shared" si="174"/>
        <v>0</v>
      </c>
      <c r="AZ140" s="421">
        <f t="shared" si="175"/>
        <v>759952</v>
      </c>
      <c r="BA140" s="422">
        <v>0</v>
      </c>
      <c r="BB140" s="422">
        <v>0</v>
      </c>
      <c r="BC140" s="422">
        <v>0</v>
      </c>
      <c r="BD140" s="422">
        <v>1</v>
      </c>
      <c r="BE140" s="422">
        <v>0</v>
      </c>
      <c r="BF140" s="422">
        <v>0</v>
      </c>
      <c r="BG140" s="422">
        <v>0</v>
      </c>
      <c r="BH140" s="422">
        <v>0</v>
      </c>
      <c r="BI140" s="422">
        <v>0</v>
      </c>
      <c r="BJ140" s="422">
        <v>0</v>
      </c>
      <c r="BK140" s="422">
        <f>BA140+BC140+BD140+BF140+BH140+BI140</f>
        <v>1</v>
      </c>
      <c r="BL140" s="422">
        <f>BB140+BE140+BG140+BJ140</f>
        <v>0</v>
      </c>
      <c r="BM140" s="424">
        <f t="shared" si="176"/>
        <v>1</v>
      </c>
      <c r="BN140" s="427">
        <f>I140+AZ140</f>
        <v>39920868</v>
      </c>
      <c r="BO140" s="421">
        <f>J140+AH140</f>
        <v>29153236</v>
      </c>
      <c r="BP140" s="421">
        <f t="shared" ref="BP140:BQ144" si="298">K140+AF140</f>
        <v>27255220</v>
      </c>
      <c r="BQ140" s="421">
        <f t="shared" si="298"/>
        <v>1898016</v>
      </c>
      <c r="BR140" s="421">
        <f>M140+AQ140</f>
        <v>32000</v>
      </c>
      <c r="BS140" s="421">
        <f t="shared" ref="BS140:BT144" si="299">N140+AO140</f>
        <v>32000</v>
      </c>
      <c r="BT140" s="421">
        <f t="shared" si="299"/>
        <v>0</v>
      </c>
      <c r="BU140" s="421">
        <f t="shared" ref="BU140:BV144" si="300">P140+AU140</f>
        <v>9864610</v>
      </c>
      <c r="BV140" s="421">
        <f t="shared" si="300"/>
        <v>291533</v>
      </c>
      <c r="BW140" s="421">
        <f>R140+AY140</f>
        <v>579489</v>
      </c>
      <c r="BX140" s="422">
        <f>S140+BM140</f>
        <v>45.353099999999998</v>
      </c>
      <c r="BY140" s="422">
        <f t="shared" ref="BY140:BZ144" si="301">T140+BK140</f>
        <v>39.634</v>
      </c>
      <c r="BZ140" s="611">
        <f t="shared" si="301"/>
        <v>5.7191000000000001</v>
      </c>
      <c r="CA140" s="423">
        <v>760272</v>
      </c>
      <c r="CB140" s="418">
        <v>564000</v>
      </c>
      <c r="CC140" s="418">
        <v>0</v>
      </c>
      <c r="CD140" s="418">
        <v>190632</v>
      </c>
      <c r="CE140" s="418">
        <v>5640</v>
      </c>
      <c r="CF140" s="527">
        <v>1</v>
      </c>
    </row>
    <row r="141" spans="1:84" ht="14.1" customHeight="1" x14ac:dyDescent="0.2">
      <c r="A141" s="66">
        <v>33</v>
      </c>
      <c r="B141" s="63">
        <v>2479</v>
      </c>
      <c r="C141" s="64">
        <v>600080340</v>
      </c>
      <c r="D141" s="63">
        <v>65100280</v>
      </c>
      <c r="E141" s="65" t="s">
        <v>601</v>
      </c>
      <c r="F141" s="66">
        <v>3113</v>
      </c>
      <c r="G141" s="77" t="s">
        <v>292</v>
      </c>
      <c r="H141" s="67" t="s">
        <v>272</v>
      </c>
      <c r="I141" s="423">
        <f t="shared" ref="I141:I204" si="302">J141+M141+P141+Q141+R141</f>
        <v>0</v>
      </c>
      <c r="J141" s="418">
        <f t="shared" ref="J141:J204" si="303">K141+L141</f>
        <v>0</v>
      </c>
      <c r="K141" s="418">
        <v>0</v>
      </c>
      <c r="L141" s="418">
        <v>0</v>
      </c>
      <c r="M141" s="418">
        <f t="shared" ref="M141:M204" si="304">N141+O141</f>
        <v>0</v>
      </c>
      <c r="N141" s="418">
        <v>0</v>
      </c>
      <c r="O141" s="418">
        <v>0</v>
      </c>
      <c r="P141" s="668">
        <f t="shared" ref="P141:P204" si="305">ROUND(J141*33.8%,0)</f>
        <v>0</v>
      </c>
      <c r="Q141" s="668">
        <f t="shared" ref="Q141:Q204" si="306">ROUND(J141*1%,0)</f>
        <v>0</v>
      </c>
      <c r="R141" s="418">
        <v>0</v>
      </c>
      <c r="S141" s="419">
        <f t="shared" ref="S141:S204" si="307">T141+U141</f>
        <v>0</v>
      </c>
      <c r="T141" s="420">
        <v>0</v>
      </c>
      <c r="U141" s="426">
        <v>0</v>
      </c>
      <c r="V141" s="428">
        <f t="shared" ref="V141:V204" si="308">AI141*-1</f>
        <v>0</v>
      </c>
      <c r="W141" s="421">
        <f t="shared" ref="W141:W204" si="309">AJ141*-1</f>
        <v>0</v>
      </c>
      <c r="X141" s="16">
        <v>3920910</v>
      </c>
      <c r="Y141" s="16">
        <v>0</v>
      </c>
      <c r="Z141" s="16">
        <v>0</v>
      </c>
      <c r="AA141" s="16">
        <v>0</v>
      </c>
      <c r="AB141" s="421">
        <v>0</v>
      </c>
      <c r="AC141" s="16">
        <v>0</v>
      </c>
      <c r="AD141" s="16">
        <v>0</v>
      </c>
      <c r="AE141" s="16">
        <v>0</v>
      </c>
      <c r="AF141" s="421">
        <f t="shared" ref="AF141:AF204" si="310">V141+X141+Y141+AA141+AB141+AD141</f>
        <v>3920910</v>
      </c>
      <c r="AG141" s="421">
        <f t="shared" ref="AG141:AG204" si="311">W141+Z141+AC141+AE141</f>
        <v>0</v>
      </c>
      <c r="AH141" s="421">
        <f t="shared" ref="AH141:AH204" si="312">SUM(AF141:AG141)</f>
        <v>3920910</v>
      </c>
      <c r="AI141" s="16">
        <v>0</v>
      </c>
      <c r="AJ141" s="16">
        <v>0</v>
      </c>
      <c r="AK141" s="421">
        <v>0</v>
      </c>
      <c r="AL141" s="16">
        <v>0</v>
      </c>
      <c r="AM141" s="16">
        <v>0</v>
      </c>
      <c r="AN141" s="16">
        <v>0</v>
      </c>
      <c r="AO141" s="421">
        <f t="shared" ref="AO141:AO204" si="313">AI141+AL141+AK141+AM141</f>
        <v>0</v>
      </c>
      <c r="AP141" s="16">
        <v>0</v>
      </c>
      <c r="AQ141" s="421">
        <f t="shared" ref="AQ141:AQ204" si="314">SUM(AO141:AP141)</f>
        <v>0</v>
      </c>
      <c r="AR141" s="421">
        <f t="shared" si="296"/>
        <v>3920910</v>
      </c>
      <c r="AS141" s="421">
        <f t="shared" si="296"/>
        <v>0</v>
      </c>
      <c r="AT141" s="421">
        <f t="shared" ref="AT141:AT204" si="315">SUM(AR141:AS141)</f>
        <v>3920910</v>
      </c>
      <c r="AU141" s="68">
        <f t="shared" si="297"/>
        <v>1325268</v>
      </c>
      <c r="AV141" s="68">
        <f>ROUND(AH141*1%,0)</f>
        <v>39209</v>
      </c>
      <c r="AW141" s="16">
        <v>0</v>
      </c>
      <c r="AX141" s="16">
        <v>0</v>
      </c>
      <c r="AY141" s="421">
        <f t="shared" ref="AY141:AY204" si="316">AW141+AX141</f>
        <v>0</v>
      </c>
      <c r="AZ141" s="421">
        <f t="shared" ref="AZ141:AZ204" si="317">AT141+AU141+AV141+AY141</f>
        <v>5285387</v>
      </c>
      <c r="BA141" s="13">
        <v>0</v>
      </c>
      <c r="BB141" s="13">
        <v>0</v>
      </c>
      <c r="BC141" s="13">
        <v>10.260000000000002</v>
      </c>
      <c r="BD141" s="422">
        <v>0</v>
      </c>
      <c r="BE141" s="422">
        <v>0</v>
      </c>
      <c r="BF141" s="422">
        <v>0</v>
      </c>
      <c r="BG141" s="422">
        <v>0</v>
      </c>
      <c r="BH141" s="422">
        <v>0</v>
      </c>
      <c r="BI141" s="422">
        <v>0</v>
      </c>
      <c r="BJ141" s="422">
        <v>0</v>
      </c>
      <c r="BK141" s="422">
        <f>BA141+BC141+BD141+BF141+BH141+BI141</f>
        <v>10.260000000000002</v>
      </c>
      <c r="BL141" s="422">
        <f>BB141+BE141+BG141+BJ141</f>
        <v>0</v>
      </c>
      <c r="BM141" s="424">
        <f t="shared" ref="BM141:BM204" si="318">SUM(BK141:BL141)</f>
        <v>10.260000000000002</v>
      </c>
      <c r="BN141" s="427">
        <f>I141+AZ141</f>
        <v>5285387</v>
      </c>
      <c r="BO141" s="421">
        <f>J141+AH141</f>
        <v>3920910</v>
      </c>
      <c r="BP141" s="421">
        <f t="shared" si="298"/>
        <v>3920910</v>
      </c>
      <c r="BQ141" s="421">
        <f t="shared" si="298"/>
        <v>0</v>
      </c>
      <c r="BR141" s="421">
        <f>M141+AQ141</f>
        <v>0</v>
      </c>
      <c r="BS141" s="421">
        <f t="shared" si="299"/>
        <v>0</v>
      </c>
      <c r="BT141" s="421">
        <f t="shared" si="299"/>
        <v>0</v>
      </c>
      <c r="BU141" s="421">
        <f t="shared" si="300"/>
        <v>1325268</v>
      </c>
      <c r="BV141" s="421">
        <f t="shared" si="300"/>
        <v>39209</v>
      </c>
      <c r="BW141" s="421">
        <f>R141+AY141</f>
        <v>0</v>
      </c>
      <c r="BX141" s="422">
        <f>S141+BM141</f>
        <v>10.260000000000002</v>
      </c>
      <c r="BY141" s="422">
        <f t="shared" si="301"/>
        <v>10.260000000000002</v>
      </c>
      <c r="BZ141" s="611">
        <f t="shared" si="301"/>
        <v>0</v>
      </c>
      <c r="CA141" s="423"/>
      <c r="CB141" s="418"/>
      <c r="CC141" s="418"/>
      <c r="CD141" s="418"/>
      <c r="CE141" s="418"/>
      <c r="CF141" s="527"/>
    </row>
    <row r="142" spans="1:84" ht="14.1" customHeight="1" x14ac:dyDescent="0.2">
      <c r="A142" s="66">
        <v>33</v>
      </c>
      <c r="B142" s="63">
        <v>2479</v>
      </c>
      <c r="C142" s="64">
        <v>600080340</v>
      </c>
      <c r="D142" s="63">
        <v>65100280</v>
      </c>
      <c r="E142" s="65" t="s">
        <v>601</v>
      </c>
      <c r="F142" s="66">
        <v>3141</v>
      </c>
      <c r="G142" s="65" t="s">
        <v>295</v>
      </c>
      <c r="H142" s="67" t="s">
        <v>272</v>
      </c>
      <c r="I142" s="423">
        <f t="shared" si="302"/>
        <v>2366573</v>
      </c>
      <c r="J142" s="418">
        <f t="shared" si="303"/>
        <v>1740766</v>
      </c>
      <c r="K142" s="418">
        <v>0</v>
      </c>
      <c r="L142" s="924">
        <v>1740766</v>
      </c>
      <c r="M142" s="418">
        <f>N142+O142</f>
        <v>0</v>
      </c>
      <c r="N142" s="205">
        <v>0</v>
      </c>
      <c r="O142" s="205">
        <v>0</v>
      </c>
      <c r="P142" s="668">
        <f t="shared" si="305"/>
        <v>588379</v>
      </c>
      <c r="Q142" s="668">
        <f t="shared" si="306"/>
        <v>17408</v>
      </c>
      <c r="R142" s="674">
        <v>20020</v>
      </c>
      <c r="S142" s="419">
        <f>T142+U142</f>
        <v>5.22</v>
      </c>
      <c r="T142" s="676">
        <v>0</v>
      </c>
      <c r="U142" s="909">
        <v>5.22</v>
      </c>
      <c r="V142" s="428">
        <f t="shared" si="308"/>
        <v>0</v>
      </c>
      <c r="W142" s="421">
        <f t="shared" si="309"/>
        <v>0</v>
      </c>
      <c r="X142" s="421">
        <v>0</v>
      </c>
      <c r="Y142" s="421">
        <v>0</v>
      </c>
      <c r="Z142" s="421">
        <v>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f t="shared" si="310"/>
        <v>0</v>
      </c>
      <c r="AG142" s="421">
        <f t="shared" si="311"/>
        <v>0</v>
      </c>
      <c r="AH142" s="421">
        <f t="shared" si="312"/>
        <v>0</v>
      </c>
      <c r="AI142" s="421">
        <v>0</v>
      </c>
      <c r="AJ142" s="421">
        <v>0</v>
      </c>
      <c r="AK142" s="421">
        <v>0</v>
      </c>
      <c r="AL142" s="421">
        <v>0</v>
      </c>
      <c r="AM142" s="421">
        <v>0</v>
      </c>
      <c r="AN142" s="421">
        <v>0</v>
      </c>
      <c r="AO142" s="421">
        <f t="shared" si="313"/>
        <v>0</v>
      </c>
      <c r="AP142" s="421">
        <f t="shared" ref="AP142:AP204" si="319">AJ142+AN142</f>
        <v>0</v>
      </c>
      <c r="AQ142" s="421">
        <f t="shared" si="314"/>
        <v>0</v>
      </c>
      <c r="AR142" s="421">
        <f t="shared" si="296"/>
        <v>0</v>
      </c>
      <c r="AS142" s="421">
        <f t="shared" si="296"/>
        <v>0</v>
      </c>
      <c r="AT142" s="421">
        <f t="shared" si="315"/>
        <v>0</v>
      </c>
      <c r="AU142" s="68">
        <f t="shared" si="297"/>
        <v>0</v>
      </c>
      <c r="AV142" s="68">
        <f>ROUND(AH142*1%,0)</f>
        <v>0</v>
      </c>
      <c r="AW142" s="421">
        <v>0</v>
      </c>
      <c r="AX142" s="421">
        <v>0</v>
      </c>
      <c r="AY142" s="421">
        <f t="shared" si="316"/>
        <v>0</v>
      </c>
      <c r="AZ142" s="421">
        <f t="shared" si="317"/>
        <v>0</v>
      </c>
      <c r="BA142" s="422">
        <v>0</v>
      </c>
      <c r="BB142" s="422">
        <v>0</v>
      </c>
      <c r="BC142" s="422">
        <v>0</v>
      </c>
      <c r="BD142" s="422">
        <v>0</v>
      </c>
      <c r="BE142" s="422">
        <v>0</v>
      </c>
      <c r="BF142" s="422">
        <v>0</v>
      </c>
      <c r="BG142" s="422">
        <v>0</v>
      </c>
      <c r="BH142" s="422">
        <v>0</v>
      </c>
      <c r="BI142" s="422">
        <v>0</v>
      </c>
      <c r="BJ142" s="422">
        <v>0</v>
      </c>
      <c r="BK142" s="422">
        <f>BA142+BC142+BD142+BF142+BH142+BI142</f>
        <v>0</v>
      </c>
      <c r="BL142" s="422">
        <f>BB142+BE142+BG142+BJ142</f>
        <v>0</v>
      </c>
      <c r="BM142" s="424">
        <f t="shared" si="318"/>
        <v>0</v>
      </c>
      <c r="BN142" s="427">
        <f>I142+AZ142</f>
        <v>2366573</v>
      </c>
      <c r="BO142" s="421">
        <f>J142+AH142</f>
        <v>1740766</v>
      </c>
      <c r="BP142" s="421">
        <f t="shared" si="298"/>
        <v>0</v>
      </c>
      <c r="BQ142" s="421">
        <f t="shared" si="298"/>
        <v>1740766</v>
      </c>
      <c r="BR142" s="421">
        <f>M142+AQ142</f>
        <v>0</v>
      </c>
      <c r="BS142" s="421">
        <f t="shared" si="299"/>
        <v>0</v>
      </c>
      <c r="BT142" s="421">
        <f t="shared" si="299"/>
        <v>0</v>
      </c>
      <c r="BU142" s="421">
        <f t="shared" si="300"/>
        <v>588379</v>
      </c>
      <c r="BV142" s="421">
        <f t="shared" si="300"/>
        <v>17408</v>
      </c>
      <c r="BW142" s="421">
        <f>R142+AY142</f>
        <v>20020</v>
      </c>
      <c r="BX142" s="422">
        <f>S142+BM142</f>
        <v>5.22</v>
      </c>
      <c r="BY142" s="422">
        <f t="shared" si="301"/>
        <v>0</v>
      </c>
      <c r="BZ142" s="611">
        <f t="shared" si="301"/>
        <v>5.22</v>
      </c>
      <c r="CA142" s="423"/>
      <c r="CB142" s="418"/>
      <c r="CC142" s="418"/>
      <c r="CD142" s="418"/>
      <c r="CE142" s="418"/>
      <c r="CF142" s="527"/>
    </row>
    <row r="143" spans="1:84" ht="14.1" customHeight="1" x14ac:dyDescent="0.2">
      <c r="A143" s="66">
        <v>33</v>
      </c>
      <c r="B143" s="63">
        <v>2479</v>
      </c>
      <c r="C143" s="64">
        <v>600080340</v>
      </c>
      <c r="D143" s="63">
        <v>65100280</v>
      </c>
      <c r="E143" s="65" t="s">
        <v>601</v>
      </c>
      <c r="F143" s="66">
        <v>3143</v>
      </c>
      <c r="G143" s="77" t="s">
        <v>596</v>
      </c>
      <c r="H143" s="67" t="s">
        <v>271</v>
      </c>
      <c r="I143" s="423">
        <f t="shared" si="302"/>
        <v>4270756</v>
      </c>
      <c r="J143" s="418">
        <f t="shared" si="303"/>
        <v>3168217</v>
      </c>
      <c r="K143" s="418">
        <v>3168217</v>
      </c>
      <c r="L143" s="418">
        <v>0</v>
      </c>
      <c r="M143" s="418">
        <f t="shared" si="304"/>
        <v>0</v>
      </c>
      <c r="N143" s="418">
        <v>0</v>
      </c>
      <c r="O143" s="418">
        <v>0</v>
      </c>
      <c r="P143" s="668">
        <f t="shared" si="305"/>
        <v>1070857</v>
      </c>
      <c r="Q143" s="668">
        <f t="shared" si="306"/>
        <v>31682</v>
      </c>
      <c r="R143" s="418">
        <v>0</v>
      </c>
      <c r="S143" s="419">
        <f t="shared" si="307"/>
        <v>6.07</v>
      </c>
      <c r="T143" s="419">
        <v>6.07</v>
      </c>
      <c r="U143" s="426">
        <v>0</v>
      </c>
      <c r="V143" s="428">
        <f t="shared" si="308"/>
        <v>-2240</v>
      </c>
      <c r="W143" s="421">
        <f t="shared" si="309"/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f t="shared" si="310"/>
        <v>-2240</v>
      </c>
      <c r="AG143" s="421">
        <f t="shared" si="311"/>
        <v>0</v>
      </c>
      <c r="AH143" s="421">
        <f t="shared" si="312"/>
        <v>-2240</v>
      </c>
      <c r="AI143" s="421">
        <v>2240</v>
      </c>
      <c r="AJ143" s="421">
        <v>0</v>
      </c>
      <c r="AK143" s="421">
        <v>0</v>
      </c>
      <c r="AL143" s="421">
        <v>0</v>
      </c>
      <c r="AM143" s="421">
        <v>0</v>
      </c>
      <c r="AN143" s="421">
        <v>0</v>
      </c>
      <c r="AO143" s="421">
        <f t="shared" si="313"/>
        <v>2240</v>
      </c>
      <c r="AP143" s="421">
        <f t="shared" si="319"/>
        <v>0</v>
      </c>
      <c r="AQ143" s="421">
        <f t="shared" si="314"/>
        <v>2240</v>
      </c>
      <c r="AR143" s="421">
        <f t="shared" si="296"/>
        <v>0</v>
      </c>
      <c r="AS143" s="421">
        <f t="shared" si="296"/>
        <v>0</v>
      </c>
      <c r="AT143" s="421">
        <f t="shared" si="315"/>
        <v>0</v>
      </c>
      <c r="AU143" s="68">
        <f t="shared" si="297"/>
        <v>0</v>
      </c>
      <c r="AV143" s="68">
        <f>ROUND(AH143*1%,0)</f>
        <v>-22</v>
      </c>
      <c r="AW143" s="421">
        <v>0</v>
      </c>
      <c r="AX143" s="421">
        <v>0</v>
      </c>
      <c r="AY143" s="421">
        <f t="shared" si="316"/>
        <v>0</v>
      </c>
      <c r="AZ143" s="421">
        <f t="shared" si="317"/>
        <v>-22</v>
      </c>
      <c r="BA143" s="422">
        <v>0</v>
      </c>
      <c r="BB143" s="422">
        <v>0</v>
      </c>
      <c r="BC143" s="422">
        <v>0</v>
      </c>
      <c r="BD143" s="422">
        <v>0</v>
      </c>
      <c r="BE143" s="422">
        <v>0</v>
      </c>
      <c r="BF143" s="422">
        <v>0</v>
      </c>
      <c r="BG143" s="422">
        <v>0</v>
      </c>
      <c r="BH143" s="422">
        <v>0</v>
      </c>
      <c r="BI143" s="422">
        <v>0</v>
      </c>
      <c r="BJ143" s="422">
        <v>0</v>
      </c>
      <c r="BK143" s="422">
        <f>BA143+BC143+BD143+BF143+BH143+BI143</f>
        <v>0</v>
      </c>
      <c r="BL143" s="422">
        <f>BB143+BE143+BG143+BJ143</f>
        <v>0</v>
      </c>
      <c r="BM143" s="424">
        <f t="shared" si="318"/>
        <v>0</v>
      </c>
      <c r="BN143" s="427">
        <f>I143+AZ143</f>
        <v>4270734</v>
      </c>
      <c r="BO143" s="421">
        <f>J143+AH143</f>
        <v>3165977</v>
      </c>
      <c r="BP143" s="421">
        <f t="shared" si="298"/>
        <v>3165977</v>
      </c>
      <c r="BQ143" s="421">
        <f t="shared" si="298"/>
        <v>0</v>
      </c>
      <c r="BR143" s="421">
        <f>M143+AQ143</f>
        <v>2240</v>
      </c>
      <c r="BS143" s="421">
        <f t="shared" si="299"/>
        <v>2240</v>
      </c>
      <c r="BT143" s="421">
        <f t="shared" si="299"/>
        <v>0</v>
      </c>
      <c r="BU143" s="421">
        <f t="shared" si="300"/>
        <v>1070857</v>
      </c>
      <c r="BV143" s="421">
        <f t="shared" si="300"/>
        <v>31660</v>
      </c>
      <c r="BW143" s="421">
        <f>R143+AY143</f>
        <v>0</v>
      </c>
      <c r="BX143" s="422">
        <f>S143+BM143</f>
        <v>6.07</v>
      </c>
      <c r="BY143" s="422">
        <f t="shared" si="301"/>
        <v>6.07</v>
      </c>
      <c r="BZ143" s="611">
        <f t="shared" si="301"/>
        <v>0</v>
      </c>
      <c r="CA143" s="423"/>
      <c r="CB143" s="418"/>
      <c r="CC143" s="418"/>
      <c r="CD143" s="418"/>
      <c r="CE143" s="418"/>
      <c r="CF143" s="527"/>
    </row>
    <row r="144" spans="1:84" ht="14.1" customHeight="1" x14ac:dyDescent="0.2">
      <c r="A144" s="66">
        <v>33</v>
      </c>
      <c r="B144" s="63">
        <v>2479</v>
      </c>
      <c r="C144" s="64">
        <v>600080340</v>
      </c>
      <c r="D144" s="63">
        <v>65100280</v>
      </c>
      <c r="E144" s="65" t="s">
        <v>601</v>
      </c>
      <c r="F144" s="66">
        <v>3143</v>
      </c>
      <c r="G144" s="77" t="s">
        <v>597</v>
      </c>
      <c r="H144" s="67" t="s">
        <v>272</v>
      </c>
      <c r="I144" s="423">
        <f t="shared" si="302"/>
        <v>102461</v>
      </c>
      <c r="J144" s="418">
        <f t="shared" si="303"/>
        <v>73339</v>
      </c>
      <c r="K144" s="418">
        <v>0</v>
      </c>
      <c r="L144" s="674">
        <v>73339</v>
      </c>
      <c r="M144" s="418">
        <f t="shared" si="304"/>
        <v>0</v>
      </c>
      <c r="N144" s="418">
        <v>0</v>
      </c>
      <c r="O144" s="418">
        <v>0</v>
      </c>
      <c r="P144" s="668">
        <f t="shared" si="305"/>
        <v>24789</v>
      </c>
      <c r="Q144" s="668">
        <f t="shared" si="306"/>
        <v>733</v>
      </c>
      <c r="R144" s="675">
        <v>3600</v>
      </c>
      <c r="S144" s="419">
        <f t="shared" si="307"/>
        <v>0.27779999999999999</v>
      </c>
      <c r="T144" s="679">
        <v>0</v>
      </c>
      <c r="U144" s="909">
        <v>0.27779999999999999</v>
      </c>
      <c r="V144" s="428">
        <f t="shared" si="308"/>
        <v>0</v>
      </c>
      <c r="W144" s="421">
        <f t="shared" si="309"/>
        <v>0</v>
      </c>
      <c r="X144" s="421">
        <v>0</v>
      </c>
      <c r="Y144" s="421">
        <v>0</v>
      </c>
      <c r="Z144" s="421">
        <v>0</v>
      </c>
      <c r="AA144" s="421">
        <v>0</v>
      </c>
      <c r="AB144" s="421">
        <v>0</v>
      </c>
      <c r="AC144" s="421">
        <v>0</v>
      </c>
      <c r="AD144" s="421">
        <v>0</v>
      </c>
      <c r="AE144" s="421">
        <v>0</v>
      </c>
      <c r="AF144" s="421">
        <f t="shared" si="310"/>
        <v>0</v>
      </c>
      <c r="AG144" s="421">
        <f t="shared" si="311"/>
        <v>0</v>
      </c>
      <c r="AH144" s="421">
        <f t="shared" si="312"/>
        <v>0</v>
      </c>
      <c r="AI144" s="421">
        <v>0</v>
      </c>
      <c r="AJ144" s="421">
        <v>0</v>
      </c>
      <c r="AK144" s="421">
        <v>0</v>
      </c>
      <c r="AL144" s="421">
        <v>0</v>
      </c>
      <c r="AM144" s="421">
        <v>0</v>
      </c>
      <c r="AN144" s="421">
        <v>0</v>
      </c>
      <c r="AO144" s="421">
        <f t="shared" si="313"/>
        <v>0</v>
      </c>
      <c r="AP144" s="421">
        <f t="shared" si="319"/>
        <v>0</v>
      </c>
      <c r="AQ144" s="421">
        <f t="shared" si="314"/>
        <v>0</v>
      </c>
      <c r="AR144" s="421">
        <f t="shared" si="296"/>
        <v>0</v>
      </c>
      <c r="AS144" s="421">
        <f t="shared" si="296"/>
        <v>0</v>
      </c>
      <c r="AT144" s="421">
        <f t="shared" si="315"/>
        <v>0</v>
      </c>
      <c r="AU144" s="68">
        <f t="shared" si="297"/>
        <v>0</v>
      </c>
      <c r="AV144" s="68">
        <f>ROUND(AH144*1%,0)</f>
        <v>0</v>
      </c>
      <c r="AW144" s="421">
        <v>0</v>
      </c>
      <c r="AX144" s="421">
        <v>0</v>
      </c>
      <c r="AY144" s="421">
        <f t="shared" si="316"/>
        <v>0</v>
      </c>
      <c r="AZ144" s="421">
        <f t="shared" si="317"/>
        <v>0</v>
      </c>
      <c r="BA144" s="422">
        <v>0</v>
      </c>
      <c r="BB144" s="422">
        <v>0</v>
      </c>
      <c r="BC144" s="422">
        <v>0</v>
      </c>
      <c r="BD144" s="422">
        <v>0</v>
      </c>
      <c r="BE144" s="422">
        <v>0</v>
      </c>
      <c r="BF144" s="422">
        <v>0</v>
      </c>
      <c r="BG144" s="422">
        <v>0</v>
      </c>
      <c r="BH144" s="422">
        <v>0</v>
      </c>
      <c r="BI144" s="422">
        <v>0</v>
      </c>
      <c r="BJ144" s="422">
        <v>0</v>
      </c>
      <c r="BK144" s="422">
        <f>BA144+BC144+BD144+BF144+BH144+BI144</f>
        <v>0</v>
      </c>
      <c r="BL144" s="422">
        <f>BB144+BE144+BG144+BJ144</f>
        <v>0</v>
      </c>
      <c r="BM144" s="424">
        <f t="shared" si="318"/>
        <v>0</v>
      </c>
      <c r="BN144" s="427">
        <f>I144+AZ144</f>
        <v>102461</v>
      </c>
      <c r="BO144" s="421">
        <f>J144+AH144</f>
        <v>73339</v>
      </c>
      <c r="BP144" s="421">
        <f t="shared" si="298"/>
        <v>0</v>
      </c>
      <c r="BQ144" s="421">
        <f t="shared" si="298"/>
        <v>73339</v>
      </c>
      <c r="BR144" s="421">
        <f>M144+AQ144</f>
        <v>0</v>
      </c>
      <c r="BS144" s="421">
        <f t="shared" si="299"/>
        <v>0</v>
      </c>
      <c r="BT144" s="421">
        <f t="shared" si="299"/>
        <v>0</v>
      </c>
      <c r="BU144" s="421">
        <f t="shared" si="300"/>
        <v>24789</v>
      </c>
      <c r="BV144" s="421">
        <f t="shared" si="300"/>
        <v>733</v>
      </c>
      <c r="BW144" s="421">
        <f>R144+AY144</f>
        <v>3600</v>
      </c>
      <c r="BX144" s="422">
        <f>S144+BM144</f>
        <v>0.27779999999999999</v>
      </c>
      <c r="BY144" s="422">
        <f t="shared" si="301"/>
        <v>0</v>
      </c>
      <c r="BZ144" s="611">
        <f t="shared" si="301"/>
        <v>0.27779999999999999</v>
      </c>
      <c r="CA144" s="423"/>
      <c r="CB144" s="418"/>
      <c r="CC144" s="418"/>
      <c r="CD144" s="418"/>
      <c r="CE144" s="418"/>
      <c r="CF144" s="527"/>
    </row>
    <row r="145" spans="1:84" ht="14.1" customHeight="1" x14ac:dyDescent="0.2">
      <c r="A145" s="72">
        <v>33</v>
      </c>
      <c r="B145" s="69">
        <v>2479</v>
      </c>
      <c r="C145" s="70">
        <v>600080340</v>
      </c>
      <c r="D145" s="69">
        <v>65100280</v>
      </c>
      <c r="E145" s="71" t="s">
        <v>602</v>
      </c>
      <c r="F145" s="72"/>
      <c r="G145" s="71"/>
      <c r="H145" s="73"/>
      <c r="I145" s="538">
        <f t="shared" ref="I145:BU145" si="320">SUM(I140:I144)</f>
        <v>45900706</v>
      </c>
      <c r="J145" s="74">
        <f t="shared" si="320"/>
        <v>33603558</v>
      </c>
      <c r="K145" s="74">
        <f t="shared" si="320"/>
        <v>29891437</v>
      </c>
      <c r="L145" s="74">
        <f t="shared" si="320"/>
        <v>3712121</v>
      </c>
      <c r="M145" s="74">
        <f t="shared" si="320"/>
        <v>0</v>
      </c>
      <c r="N145" s="74">
        <f t="shared" si="320"/>
        <v>0</v>
      </c>
      <c r="O145" s="74">
        <f t="shared" si="320"/>
        <v>0</v>
      </c>
      <c r="P145" s="74">
        <f t="shared" si="320"/>
        <v>11358003</v>
      </c>
      <c r="Q145" s="74">
        <f t="shared" si="320"/>
        <v>336036</v>
      </c>
      <c r="R145" s="74">
        <f t="shared" si="320"/>
        <v>603109</v>
      </c>
      <c r="S145" s="75">
        <f t="shared" si="320"/>
        <v>55.920899999999996</v>
      </c>
      <c r="T145" s="75">
        <f t="shared" si="320"/>
        <v>44.704000000000001</v>
      </c>
      <c r="U145" s="753">
        <f t="shared" si="320"/>
        <v>11.216899999999999</v>
      </c>
      <c r="V145" s="538">
        <f t="shared" si="320"/>
        <v>-34240</v>
      </c>
      <c r="W145" s="74">
        <f t="shared" si="320"/>
        <v>0</v>
      </c>
      <c r="X145" s="74">
        <f t="shared" si="320"/>
        <v>3920910</v>
      </c>
      <c r="Y145" s="74">
        <f t="shared" si="320"/>
        <v>0</v>
      </c>
      <c r="Z145" s="74">
        <f t="shared" si="320"/>
        <v>0</v>
      </c>
      <c r="AA145" s="74">
        <f t="shared" si="320"/>
        <v>0</v>
      </c>
      <c r="AB145" s="74">
        <f t="shared" si="320"/>
        <v>564000</v>
      </c>
      <c r="AC145" s="74">
        <f t="shared" si="320"/>
        <v>0</v>
      </c>
      <c r="AD145" s="74">
        <f t="shared" si="320"/>
        <v>0</v>
      </c>
      <c r="AE145" s="74">
        <f t="shared" si="320"/>
        <v>0</v>
      </c>
      <c r="AF145" s="74">
        <f t="shared" si="320"/>
        <v>4450670</v>
      </c>
      <c r="AG145" s="74">
        <f t="shared" si="320"/>
        <v>0</v>
      </c>
      <c r="AH145" s="74">
        <f t="shared" si="320"/>
        <v>4450670</v>
      </c>
      <c r="AI145" s="74">
        <f t="shared" si="320"/>
        <v>34240</v>
      </c>
      <c r="AJ145" s="74">
        <f t="shared" si="320"/>
        <v>0</v>
      </c>
      <c r="AK145" s="74">
        <f t="shared" si="320"/>
        <v>0</v>
      </c>
      <c r="AL145" s="74">
        <f t="shared" si="320"/>
        <v>0</v>
      </c>
      <c r="AM145" s="74">
        <f t="shared" si="320"/>
        <v>0</v>
      </c>
      <c r="AN145" s="74">
        <f t="shared" si="320"/>
        <v>0</v>
      </c>
      <c r="AO145" s="74">
        <f t="shared" si="320"/>
        <v>34240</v>
      </c>
      <c r="AP145" s="74">
        <f t="shared" si="320"/>
        <v>0</v>
      </c>
      <c r="AQ145" s="74">
        <f t="shared" si="320"/>
        <v>34240</v>
      </c>
      <c r="AR145" s="74">
        <f t="shared" si="320"/>
        <v>4484910</v>
      </c>
      <c r="AS145" s="74">
        <f t="shared" si="320"/>
        <v>0</v>
      </c>
      <c r="AT145" s="74">
        <f t="shared" si="320"/>
        <v>4484910</v>
      </c>
      <c r="AU145" s="74">
        <f t="shared" si="320"/>
        <v>1515900</v>
      </c>
      <c r="AV145" s="74">
        <f t="shared" si="320"/>
        <v>44507</v>
      </c>
      <c r="AW145" s="74">
        <f t="shared" si="320"/>
        <v>0</v>
      </c>
      <c r="AX145" s="74">
        <f t="shared" si="320"/>
        <v>0</v>
      </c>
      <c r="AY145" s="74">
        <f t="shared" si="320"/>
        <v>0</v>
      </c>
      <c r="AZ145" s="74">
        <f t="shared" si="320"/>
        <v>6045317</v>
      </c>
      <c r="BA145" s="75">
        <f t="shared" si="320"/>
        <v>0</v>
      </c>
      <c r="BB145" s="75">
        <f t="shared" si="320"/>
        <v>0</v>
      </c>
      <c r="BC145" s="75">
        <f t="shared" si="320"/>
        <v>10.260000000000002</v>
      </c>
      <c r="BD145" s="75">
        <f t="shared" si="320"/>
        <v>1</v>
      </c>
      <c r="BE145" s="75">
        <f t="shared" si="320"/>
        <v>0</v>
      </c>
      <c r="BF145" s="75">
        <f t="shared" si="320"/>
        <v>0</v>
      </c>
      <c r="BG145" s="75">
        <f t="shared" si="320"/>
        <v>0</v>
      </c>
      <c r="BH145" s="75">
        <f t="shared" si="320"/>
        <v>0</v>
      </c>
      <c r="BI145" s="75">
        <f t="shared" si="320"/>
        <v>0</v>
      </c>
      <c r="BJ145" s="75">
        <f t="shared" si="320"/>
        <v>0</v>
      </c>
      <c r="BK145" s="75">
        <f t="shared" si="320"/>
        <v>11.260000000000002</v>
      </c>
      <c r="BL145" s="75">
        <f t="shared" si="320"/>
        <v>0</v>
      </c>
      <c r="BM145" s="76">
        <f t="shared" si="320"/>
        <v>11.260000000000002</v>
      </c>
      <c r="BN145" s="549">
        <f t="shared" si="320"/>
        <v>51946023</v>
      </c>
      <c r="BO145" s="74">
        <f t="shared" si="320"/>
        <v>38054228</v>
      </c>
      <c r="BP145" s="74">
        <f t="shared" si="320"/>
        <v>34342107</v>
      </c>
      <c r="BQ145" s="74">
        <f t="shared" si="320"/>
        <v>3712121</v>
      </c>
      <c r="BR145" s="74">
        <f t="shared" si="320"/>
        <v>34240</v>
      </c>
      <c r="BS145" s="74">
        <f t="shared" si="320"/>
        <v>34240</v>
      </c>
      <c r="BT145" s="74">
        <f t="shared" si="320"/>
        <v>0</v>
      </c>
      <c r="BU145" s="74">
        <f t="shared" si="320"/>
        <v>12873903</v>
      </c>
      <c r="BV145" s="74">
        <f t="shared" ref="BV145:CF145" si="321">SUM(BV140:BV144)</f>
        <v>380543</v>
      </c>
      <c r="BW145" s="74">
        <f t="shared" si="321"/>
        <v>603109</v>
      </c>
      <c r="BX145" s="75">
        <f t="shared" si="321"/>
        <v>67.180899999999994</v>
      </c>
      <c r="BY145" s="75">
        <f t="shared" si="321"/>
        <v>55.964000000000006</v>
      </c>
      <c r="BZ145" s="753">
        <f t="shared" si="321"/>
        <v>11.216899999999999</v>
      </c>
      <c r="CA145" s="796">
        <f t="shared" si="321"/>
        <v>760272</v>
      </c>
      <c r="CB145" s="789">
        <f t="shared" si="321"/>
        <v>564000</v>
      </c>
      <c r="CC145" s="789">
        <f t="shared" si="321"/>
        <v>0</v>
      </c>
      <c r="CD145" s="789">
        <f t="shared" si="321"/>
        <v>190632</v>
      </c>
      <c r="CE145" s="789">
        <f t="shared" si="321"/>
        <v>5640</v>
      </c>
      <c r="CF145" s="793">
        <f t="shared" si="321"/>
        <v>1</v>
      </c>
    </row>
    <row r="146" spans="1:84" ht="14.1" customHeight="1" x14ac:dyDescent="0.2">
      <c r="A146" s="66">
        <v>34</v>
      </c>
      <c r="B146" s="63">
        <v>2475</v>
      </c>
      <c r="C146" s="64">
        <v>600080331</v>
      </c>
      <c r="D146" s="63">
        <v>65642368</v>
      </c>
      <c r="E146" s="65" t="s">
        <v>603</v>
      </c>
      <c r="F146" s="66">
        <v>3113</v>
      </c>
      <c r="G146" s="65" t="s">
        <v>294</v>
      </c>
      <c r="H146" s="67" t="s">
        <v>271</v>
      </c>
      <c r="I146" s="423">
        <f t="shared" si="302"/>
        <v>43284585</v>
      </c>
      <c r="J146" s="418">
        <f t="shared" si="303"/>
        <v>31654856</v>
      </c>
      <c r="K146" s="418">
        <v>29678892</v>
      </c>
      <c r="L146" s="418">
        <v>1975964</v>
      </c>
      <c r="M146" s="418">
        <f>N146+O146</f>
        <v>0</v>
      </c>
      <c r="N146" s="418">
        <v>0</v>
      </c>
      <c r="O146" s="418">
        <v>0</v>
      </c>
      <c r="P146" s="668">
        <f t="shared" si="305"/>
        <v>10699341</v>
      </c>
      <c r="Q146" s="668">
        <f>ROUND(J146*1%,0)-1</f>
        <v>316548</v>
      </c>
      <c r="R146" s="418">
        <v>613840</v>
      </c>
      <c r="S146" s="419">
        <f>T146+U146</f>
        <v>47.377699999999997</v>
      </c>
      <c r="T146" s="419">
        <v>41.311</v>
      </c>
      <c r="U146" s="426">
        <v>6.0667</v>
      </c>
      <c r="V146" s="428">
        <f t="shared" si="308"/>
        <v>-96000</v>
      </c>
      <c r="W146" s="421">
        <f t="shared" si="309"/>
        <v>-6400</v>
      </c>
      <c r="X146" s="421">
        <v>0</v>
      </c>
      <c r="Y146" s="421">
        <v>0</v>
      </c>
      <c r="Z146" s="421">
        <v>0</v>
      </c>
      <c r="AA146" s="421">
        <v>90032</v>
      </c>
      <c r="AB146" s="421">
        <v>620400</v>
      </c>
      <c r="AC146" s="421">
        <v>0</v>
      </c>
      <c r="AD146" s="421">
        <v>0</v>
      </c>
      <c r="AE146" s="421">
        <v>0</v>
      </c>
      <c r="AF146" s="421">
        <f t="shared" si="310"/>
        <v>614432</v>
      </c>
      <c r="AG146" s="421">
        <f t="shared" si="311"/>
        <v>-6400</v>
      </c>
      <c r="AH146" s="421">
        <f t="shared" si="312"/>
        <v>608032</v>
      </c>
      <c r="AI146" s="421">
        <v>96000</v>
      </c>
      <c r="AJ146" s="421">
        <v>6400</v>
      </c>
      <c r="AK146" s="421">
        <v>0</v>
      </c>
      <c r="AL146" s="421">
        <v>0</v>
      </c>
      <c r="AM146" s="421">
        <v>0</v>
      </c>
      <c r="AN146" s="421">
        <v>0</v>
      </c>
      <c r="AO146" s="421">
        <f t="shared" si="313"/>
        <v>96000</v>
      </c>
      <c r="AP146" s="421">
        <f t="shared" si="319"/>
        <v>6400</v>
      </c>
      <c r="AQ146" s="421">
        <f t="shared" si="314"/>
        <v>102400</v>
      </c>
      <c r="AR146" s="421">
        <f t="shared" ref="AR146:AS150" si="322">AF146+AO146</f>
        <v>710432</v>
      </c>
      <c r="AS146" s="421">
        <f t="shared" si="322"/>
        <v>0</v>
      </c>
      <c r="AT146" s="421">
        <f t="shared" si="315"/>
        <v>710432</v>
      </c>
      <c r="AU146" s="68">
        <f t="shared" ref="AU146:AU150" si="323">ROUND((AH146+AI146+AJ146+AK146+AL146)*33.8%,0)</f>
        <v>240126</v>
      </c>
      <c r="AV146" s="68">
        <f>ROUND(AH146*1%,0)</f>
        <v>6080</v>
      </c>
      <c r="AW146" s="421">
        <v>0</v>
      </c>
      <c r="AX146" s="421">
        <v>0</v>
      </c>
      <c r="AY146" s="421">
        <f t="shared" si="316"/>
        <v>0</v>
      </c>
      <c r="AZ146" s="421">
        <f t="shared" si="317"/>
        <v>956638</v>
      </c>
      <c r="BA146" s="422">
        <v>-0.14000000000000001</v>
      </c>
      <c r="BB146" s="422">
        <v>0</v>
      </c>
      <c r="BC146" s="422">
        <v>0</v>
      </c>
      <c r="BD146" s="422">
        <v>1.1000000000000001</v>
      </c>
      <c r="BE146" s="422">
        <v>0</v>
      </c>
      <c r="BF146" s="422">
        <v>0</v>
      </c>
      <c r="BG146" s="422">
        <v>0</v>
      </c>
      <c r="BH146" s="422">
        <v>0.13</v>
      </c>
      <c r="BI146" s="422">
        <v>0</v>
      </c>
      <c r="BJ146" s="422">
        <v>0</v>
      </c>
      <c r="BK146" s="422">
        <f>BA146+BC146+BD146+BF146+BH146+BI146</f>
        <v>1.0900000000000001</v>
      </c>
      <c r="BL146" s="422">
        <f>BB146+BE146+BG146+BJ146</f>
        <v>0</v>
      </c>
      <c r="BM146" s="424">
        <f t="shared" si="318"/>
        <v>1.0900000000000001</v>
      </c>
      <c r="BN146" s="427">
        <f>I146+AZ146</f>
        <v>44241223</v>
      </c>
      <c r="BO146" s="421">
        <f>J146+AH146</f>
        <v>32262888</v>
      </c>
      <c r="BP146" s="421">
        <f t="shared" ref="BP146:BQ150" si="324">K146+AF146</f>
        <v>30293324</v>
      </c>
      <c r="BQ146" s="421">
        <f t="shared" si="324"/>
        <v>1969564</v>
      </c>
      <c r="BR146" s="421">
        <f>M146+AQ146</f>
        <v>102400</v>
      </c>
      <c r="BS146" s="421">
        <f t="shared" ref="BS146:BT150" si="325">N146+AO146</f>
        <v>96000</v>
      </c>
      <c r="BT146" s="421">
        <f t="shared" si="325"/>
        <v>6400</v>
      </c>
      <c r="BU146" s="421">
        <f t="shared" ref="BU146:BV150" si="326">P146+AU146</f>
        <v>10939467</v>
      </c>
      <c r="BV146" s="421">
        <f t="shared" si="326"/>
        <v>322628</v>
      </c>
      <c r="BW146" s="421">
        <f>R146+AY146</f>
        <v>613840</v>
      </c>
      <c r="BX146" s="422">
        <f>S146+BM146</f>
        <v>48.467700000000001</v>
      </c>
      <c r="BY146" s="422">
        <f t="shared" ref="BY146:BZ150" si="327">T146+BK146</f>
        <v>42.401000000000003</v>
      </c>
      <c r="BZ146" s="611">
        <f t="shared" si="327"/>
        <v>6.0667</v>
      </c>
      <c r="CA146" s="423">
        <v>836299</v>
      </c>
      <c r="CB146" s="418">
        <v>620400</v>
      </c>
      <c r="CC146" s="418">
        <v>0</v>
      </c>
      <c r="CD146" s="418">
        <v>209695</v>
      </c>
      <c r="CE146" s="418">
        <v>6204</v>
      </c>
      <c r="CF146" s="527">
        <v>1.1000000000000001</v>
      </c>
    </row>
    <row r="147" spans="1:84" ht="14.1" customHeight="1" x14ac:dyDescent="0.2">
      <c r="A147" s="66">
        <v>34</v>
      </c>
      <c r="B147" s="63">
        <v>2475</v>
      </c>
      <c r="C147" s="64">
        <v>600080331</v>
      </c>
      <c r="D147" s="63">
        <v>65642368</v>
      </c>
      <c r="E147" s="65" t="s">
        <v>603</v>
      </c>
      <c r="F147" s="66">
        <v>3113</v>
      </c>
      <c r="G147" s="77" t="s">
        <v>292</v>
      </c>
      <c r="H147" s="67" t="s">
        <v>272</v>
      </c>
      <c r="I147" s="423">
        <f t="shared" si="302"/>
        <v>0</v>
      </c>
      <c r="J147" s="418">
        <f t="shared" si="303"/>
        <v>0</v>
      </c>
      <c r="K147" s="418">
        <v>0</v>
      </c>
      <c r="L147" s="418">
        <v>0</v>
      </c>
      <c r="M147" s="418">
        <f t="shared" si="304"/>
        <v>0</v>
      </c>
      <c r="N147" s="418">
        <v>0</v>
      </c>
      <c r="O147" s="418">
        <v>0</v>
      </c>
      <c r="P147" s="668">
        <f t="shared" si="305"/>
        <v>0</v>
      </c>
      <c r="Q147" s="668">
        <f t="shared" si="306"/>
        <v>0</v>
      </c>
      <c r="R147" s="418">
        <v>0</v>
      </c>
      <c r="S147" s="419">
        <f t="shared" si="307"/>
        <v>0</v>
      </c>
      <c r="T147" s="420">
        <v>0</v>
      </c>
      <c r="U147" s="426">
        <v>0</v>
      </c>
      <c r="V147" s="428">
        <f t="shared" si="308"/>
        <v>0</v>
      </c>
      <c r="W147" s="421">
        <f t="shared" si="309"/>
        <v>0</v>
      </c>
      <c r="X147" s="16">
        <v>3666992</v>
      </c>
      <c r="Y147" s="16">
        <v>0</v>
      </c>
      <c r="Z147" s="16">
        <v>0</v>
      </c>
      <c r="AA147" s="16">
        <v>0</v>
      </c>
      <c r="AB147" s="421">
        <v>0</v>
      </c>
      <c r="AC147" s="16">
        <v>0</v>
      </c>
      <c r="AD147" s="16">
        <v>0</v>
      </c>
      <c r="AE147" s="16">
        <v>0</v>
      </c>
      <c r="AF147" s="421">
        <f t="shared" si="310"/>
        <v>3666992</v>
      </c>
      <c r="AG147" s="421">
        <f t="shared" si="311"/>
        <v>0</v>
      </c>
      <c r="AH147" s="421">
        <f t="shared" si="312"/>
        <v>3666992</v>
      </c>
      <c r="AI147" s="16">
        <v>0</v>
      </c>
      <c r="AJ147" s="16">
        <v>0</v>
      </c>
      <c r="AK147" s="421">
        <v>0</v>
      </c>
      <c r="AL147" s="16">
        <v>0</v>
      </c>
      <c r="AM147" s="16">
        <v>0</v>
      </c>
      <c r="AN147" s="16">
        <v>0</v>
      </c>
      <c r="AO147" s="421">
        <f t="shared" si="313"/>
        <v>0</v>
      </c>
      <c r="AP147" s="16">
        <v>0</v>
      </c>
      <c r="AQ147" s="421">
        <f t="shared" si="314"/>
        <v>0</v>
      </c>
      <c r="AR147" s="421">
        <f t="shared" si="322"/>
        <v>3666992</v>
      </c>
      <c r="AS147" s="421">
        <f t="shared" si="322"/>
        <v>0</v>
      </c>
      <c r="AT147" s="421">
        <f t="shared" si="315"/>
        <v>3666992</v>
      </c>
      <c r="AU147" s="68">
        <f t="shared" si="323"/>
        <v>1239443</v>
      </c>
      <c r="AV147" s="68">
        <f>ROUND(AH147*1%,0)</f>
        <v>36670</v>
      </c>
      <c r="AW147" s="16">
        <v>0</v>
      </c>
      <c r="AX147" s="16">
        <v>0</v>
      </c>
      <c r="AY147" s="421">
        <f t="shared" si="316"/>
        <v>0</v>
      </c>
      <c r="AZ147" s="421">
        <f t="shared" si="317"/>
        <v>4943105</v>
      </c>
      <c r="BA147" s="13">
        <v>0</v>
      </c>
      <c r="BB147" s="13">
        <v>0</v>
      </c>
      <c r="BC147" s="13">
        <v>9.8500000000000014</v>
      </c>
      <c r="BD147" s="422">
        <v>0</v>
      </c>
      <c r="BE147" s="422">
        <v>0</v>
      </c>
      <c r="BF147" s="422">
        <v>0</v>
      </c>
      <c r="BG147" s="422">
        <v>0</v>
      </c>
      <c r="BH147" s="422">
        <v>0</v>
      </c>
      <c r="BI147" s="422">
        <v>0</v>
      </c>
      <c r="BJ147" s="422">
        <v>0</v>
      </c>
      <c r="BK147" s="422">
        <f>BA147+BC147+BD147+BF147+BH147+BI147</f>
        <v>9.8500000000000014</v>
      </c>
      <c r="BL147" s="422">
        <f>BB147+BE147+BG147+BJ147</f>
        <v>0</v>
      </c>
      <c r="BM147" s="424">
        <f t="shared" si="318"/>
        <v>9.8500000000000014</v>
      </c>
      <c r="BN147" s="427">
        <f>I147+AZ147</f>
        <v>4943105</v>
      </c>
      <c r="BO147" s="421">
        <f>J147+AH147</f>
        <v>3666992</v>
      </c>
      <c r="BP147" s="421">
        <f t="shared" si="324"/>
        <v>3666992</v>
      </c>
      <c r="BQ147" s="421">
        <f t="shared" si="324"/>
        <v>0</v>
      </c>
      <c r="BR147" s="421">
        <f>M147+AQ147</f>
        <v>0</v>
      </c>
      <c r="BS147" s="421">
        <f t="shared" si="325"/>
        <v>0</v>
      </c>
      <c r="BT147" s="421">
        <f t="shared" si="325"/>
        <v>0</v>
      </c>
      <c r="BU147" s="421">
        <f t="shared" si="326"/>
        <v>1239443</v>
      </c>
      <c r="BV147" s="421">
        <f t="shared" si="326"/>
        <v>36670</v>
      </c>
      <c r="BW147" s="421">
        <f>R147+AY147</f>
        <v>0</v>
      </c>
      <c r="BX147" s="422">
        <f>S147+BM147</f>
        <v>9.8500000000000014</v>
      </c>
      <c r="BY147" s="422">
        <f t="shared" si="327"/>
        <v>9.8500000000000014</v>
      </c>
      <c r="BZ147" s="611">
        <f t="shared" si="327"/>
        <v>0</v>
      </c>
      <c r="CA147" s="423"/>
      <c r="CB147" s="418"/>
      <c r="CC147" s="418"/>
      <c r="CD147" s="418"/>
      <c r="CE147" s="418"/>
      <c r="CF147" s="527"/>
    </row>
    <row r="148" spans="1:84" ht="14.1" customHeight="1" x14ac:dyDescent="0.2">
      <c r="A148" s="66">
        <v>34</v>
      </c>
      <c r="B148" s="63">
        <v>2475</v>
      </c>
      <c r="C148" s="64">
        <v>600080331</v>
      </c>
      <c r="D148" s="63">
        <v>65642368</v>
      </c>
      <c r="E148" s="65" t="s">
        <v>604</v>
      </c>
      <c r="F148" s="66">
        <v>3141</v>
      </c>
      <c r="G148" s="65" t="s">
        <v>295</v>
      </c>
      <c r="H148" s="67" t="s">
        <v>272</v>
      </c>
      <c r="I148" s="423">
        <f t="shared" si="302"/>
        <v>1042686</v>
      </c>
      <c r="J148" s="418">
        <f t="shared" si="303"/>
        <v>762569</v>
      </c>
      <c r="K148" s="418">
        <v>0</v>
      </c>
      <c r="L148" s="924">
        <v>762569</v>
      </c>
      <c r="M148" s="418">
        <f>N148+O148</f>
        <v>0</v>
      </c>
      <c r="N148" s="205">
        <v>0</v>
      </c>
      <c r="O148" s="205">
        <v>0</v>
      </c>
      <c r="P148" s="668">
        <f t="shared" si="305"/>
        <v>257748</v>
      </c>
      <c r="Q148" s="668">
        <f t="shared" si="306"/>
        <v>7626</v>
      </c>
      <c r="R148" s="674">
        <v>14743</v>
      </c>
      <c r="S148" s="419">
        <f>T148+U148</f>
        <v>2.2867000000000002</v>
      </c>
      <c r="T148" s="676">
        <v>0</v>
      </c>
      <c r="U148" s="909">
        <v>2.2867000000000002</v>
      </c>
      <c r="V148" s="428">
        <f t="shared" si="308"/>
        <v>0</v>
      </c>
      <c r="W148" s="421">
        <f t="shared" si="309"/>
        <v>-3200</v>
      </c>
      <c r="X148" s="421">
        <v>0</v>
      </c>
      <c r="Y148" s="421">
        <v>0</v>
      </c>
      <c r="Z148" s="421">
        <v>0</v>
      </c>
      <c r="AA148" s="421">
        <v>0</v>
      </c>
      <c r="AB148" s="421">
        <v>0</v>
      </c>
      <c r="AC148" s="421">
        <v>0</v>
      </c>
      <c r="AD148" s="421">
        <v>0</v>
      </c>
      <c r="AE148" s="421">
        <v>0</v>
      </c>
      <c r="AF148" s="421">
        <f t="shared" si="310"/>
        <v>0</v>
      </c>
      <c r="AG148" s="421">
        <f t="shared" si="311"/>
        <v>-3200</v>
      </c>
      <c r="AH148" s="421">
        <f t="shared" si="312"/>
        <v>-3200</v>
      </c>
      <c r="AI148" s="421">
        <v>0</v>
      </c>
      <c r="AJ148" s="421">
        <v>3200</v>
      </c>
      <c r="AK148" s="421">
        <v>0</v>
      </c>
      <c r="AL148" s="421">
        <v>0</v>
      </c>
      <c r="AM148" s="421">
        <v>0</v>
      </c>
      <c r="AN148" s="421">
        <v>0</v>
      </c>
      <c r="AO148" s="421">
        <f t="shared" si="313"/>
        <v>0</v>
      </c>
      <c r="AP148" s="421">
        <f t="shared" si="319"/>
        <v>3200</v>
      </c>
      <c r="AQ148" s="421">
        <f t="shared" si="314"/>
        <v>3200</v>
      </c>
      <c r="AR148" s="421">
        <f t="shared" si="322"/>
        <v>0</v>
      </c>
      <c r="AS148" s="421">
        <f t="shared" si="322"/>
        <v>0</v>
      </c>
      <c r="AT148" s="421">
        <f t="shared" si="315"/>
        <v>0</v>
      </c>
      <c r="AU148" s="68">
        <f t="shared" si="323"/>
        <v>0</v>
      </c>
      <c r="AV148" s="68">
        <f>ROUND(AH148*1%,0)</f>
        <v>-32</v>
      </c>
      <c r="AW148" s="421">
        <v>0</v>
      </c>
      <c r="AX148" s="421">
        <v>0</v>
      </c>
      <c r="AY148" s="421">
        <f t="shared" si="316"/>
        <v>0</v>
      </c>
      <c r="AZ148" s="421">
        <f t="shared" si="317"/>
        <v>-32</v>
      </c>
      <c r="BA148" s="422">
        <v>0</v>
      </c>
      <c r="BB148" s="422">
        <v>0</v>
      </c>
      <c r="BC148" s="422">
        <v>0</v>
      </c>
      <c r="BD148" s="422">
        <v>0</v>
      </c>
      <c r="BE148" s="422">
        <v>0</v>
      </c>
      <c r="BF148" s="422">
        <v>0</v>
      </c>
      <c r="BG148" s="422">
        <v>0</v>
      </c>
      <c r="BH148" s="422">
        <v>0</v>
      </c>
      <c r="BI148" s="422">
        <v>0</v>
      </c>
      <c r="BJ148" s="422">
        <v>0</v>
      </c>
      <c r="BK148" s="422">
        <f>BA148+BC148+BD148+BF148+BH148+BI148</f>
        <v>0</v>
      </c>
      <c r="BL148" s="422">
        <f>BB148+BE148+BG148+BJ148</f>
        <v>0</v>
      </c>
      <c r="BM148" s="424">
        <f t="shared" si="318"/>
        <v>0</v>
      </c>
      <c r="BN148" s="427">
        <f>I148+AZ148</f>
        <v>1042654</v>
      </c>
      <c r="BO148" s="421">
        <f>J148+AH148</f>
        <v>759369</v>
      </c>
      <c r="BP148" s="421">
        <f t="shared" si="324"/>
        <v>0</v>
      </c>
      <c r="BQ148" s="421">
        <f t="shared" si="324"/>
        <v>759369</v>
      </c>
      <c r="BR148" s="421">
        <f>M148+AQ148</f>
        <v>3200</v>
      </c>
      <c r="BS148" s="421">
        <f t="shared" si="325"/>
        <v>0</v>
      </c>
      <c r="BT148" s="421">
        <f t="shared" si="325"/>
        <v>3200</v>
      </c>
      <c r="BU148" s="421">
        <f t="shared" si="326"/>
        <v>257748</v>
      </c>
      <c r="BV148" s="421">
        <f t="shared" si="326"/>
        <v>7594</v>
      </c>
      <c r="BW148" s="421">
        <f>R148+AY148</f>
        <v>14743</v>
      </c>
      <c r="BX148" s="422">
        <f>S148+BM148</f>
        <v>2.2867000000000002</v>
      </c>
      <c r="BY148" s="422">
        <f t="shared" si="327"/>
        <v>0</v>
      </c>
      <c r="BZ148" s="611">
        <f t="shared" si="327"/>
        <v>2.2867000000000002</v>
      </c>
      <c r="CA148" s="423"/>
      <c r="CB148" s="418"/>
      <c r="CC148" s="418"/>
      <c r="CD148" s="418"/>
      <c r="CE148" s="418"/>
      <c r="CF148" s="527"/>
    </row>
    <row r="149" spans="1:84" ht="14.1" customHeight="1" x14ac:dyDescent="0.2">
      <c r="A149" s="66">
        <v>34</v>
      </c>
      <c r="B149" s="63">
        <v>2475</v>
      </c>
      <c r="C149" s="64">
        <v>600080331</v>
      </c>
      <c r="D149" s="63">
        <v>65642368</v>
      </c>
      <c r="E149" s="65" t="s">
        <v>603</v>
      </c>
      <c r="F149" s="66">
        <v>3143</v>
      </c>
      <c r="G149" s="77" t="s">
        <v>596</v>
      </c>
      <c r="H149" s="67" t="s">
        <v>271</v>
      </c>
      <c r="I149" s="423">
        <f t="shared" si="302"/>
        <v>4389047</v>
      </c>
      <c r="J149" s="418">
        <f t="shared" si="303"/>
        <v>3255969</v>
      </c>
      <c r="K149" s="418">
        <v>3255969</v>
      </c>
      <c r="L149" s="418">
        <v>0</v>
      </c>
      <c r="M149" s="418">
        <f t="shared" si="304"/>
        <v>0</v>
      </c>
      <c r="N149" s="418">
        <v>0</v>
      </c>
      <c r="O149" s="418">
        <v>0</v>
      </c>
      <c r="P149" s="668">
        <f t="shared" si="305"/>
        <v>1100518</v>
      </c>
      <c r="Q149" s="668">
        <f t="shared" si="306"/>
        <v>32560</v>
      </c>
      <c r="R149" s="418">
        <v>0</v>
      </c>
      <c r="S149" s="419">
        <f t="shared" si="307"/>
        <v>6.25</v>
      </c>
      <c r="T149" s="419">
        <v>6.25</v>
      </c>
      <c r="U149" s="426">
        <v>0</v>
      </c>
      <c r="V149" s="428">
        <f t="shared" si="308"/>
        <v>0</v>
      </c>
      <c r="W149" s="421">
        <f t="shared" si="309"/>
        <v>0</v>
      </c>
      <c r="X149" s="421">
        <v>0</v>
      </c>
      <c r="Y149" s="421">
        <v>0</v>
      </c>
      <c r="Z149" s="421">
        <v>0</v>
      </c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f t="shared" si="310"/>
        <v>0</v>
      </c>
      <c r="AG149" s="421">
        <f t="shared" si="311"/>
        <v>0</v>
      </c>
      <c r="AH149" s="421">
        <f t="shared" si="312"/>
        <v>0</v>
      </c>
      <c r="AI149" s="421">
        <v>0</v>
      </c>
      <c r="AJ149" s="421">
        <v>0</v>
      </c>
      <c r="AK149" s="421">
        <v>0</v>
      </c>
      <c r="AL149" s="421">
        <v>0</v>
      </c>
      <c r="AM149" s="421">
        <v>0</v>
      </c>
      <c r="AN149" s="421">
        <v>0</v>
      </c>
      <c r="AO149" s="421">
        <f t="shared" si="313"/>
        <v>0</v>
      </c>
      <c r="AP149" s="421">
        <f t="shared" si="319"/>
        <v>0</v>
      </c>
      <c r="AQ149" s="421">
        <f t="shared" si="314"/>
        <v>0</v>
      </c>
      <c r="AR149" s="421">
        <f t="shared" si="322"/>
        <v>0</v>
      </c>
      <c r="AS149" s="421">
        <f t="shared" si="322"/>
        <v>0</v>
      </c>
      <c r="AT149" s="421">
        <f t="shared" si="315"/>
        <v>0</v>
      </c>
      <c r="AU149" s="68">
        <f t="shared" si="323"/>
        <v>0</v>
      </c>
      <c r="AV149" s="68">
        <f>ROUND(AH149*1%,0)</f>
        <v>0</v>
      </c>
      <c r="AW149" s="421">
        <v>0</v>
      </c>
      <c r="AX149" s="421">
        <v>0</v>
      </c>
      <c r="AY149" s="421">
        <f t="shared" si="316"/>
        <v>0</v>
      </c>
      <c r="AZ149" s="421">
        <f t="shared" si="317"/>
        <v>0</v>
      </c>
      <c r="BA149" s="422">
        <v>0</v>
      </c>
      <c r="BB149" s="422">
        <v>0</v>
      </c>
      <c r="BC149" s="422">
        <v>0</v>
      </c>
      <c r="BD149" s="422">
        <v>0</v>
      </c>
      <c r="BE149" s="422">
        <v>0</v>
      </c>
      <c r="BF149" s="422">
        <v>0</v>
      </c>
      <c r="BG149" s="422">
        <v>0</v>
      </c>
      <c r="BH149" s="422">
        <v>0</v>
      </c>
      <c r="BI149" s="422">
        <v>0</v>
      </c>
      <c r="BJ149" s="422">
        <v>0</v>
      </c>
      <c r="BK149" s="422">
        <f>BA149+BC149+BD149+BF149+BH149+BI149</f>
        <v>0</v>
      </c>
      <c r="BL149" s="422">
        <f>BB149+BE149+BG149+BJ149</f>
        <v>0</v>
      </c>
      <c r="BM149" s="424">
        <f t="shared" si="318"/>
        <v>0</v>
      </c>
      <c r="BN149" s="427">
        <f>I149+AZ149</f>
        <v>4389047</v>
      </c>
      <c r="BO149" s="421">
        <f>J149+AH149</f>
        <v>3255969</v>
      </c>
      <c r="BP149" s="421">
        <f t="shared" si="324"/>
        <v>3255969</v>
      </c>
      <c r="BQ149" s="421">
        <f t="shared" si="324"/>
        <v>0</v>
      </c>
      <c r="BR149" s="421">
        <f>M149+AQ149</f>
        <v>0</v>
      </c>
      <c r="BS149" s="421">
        <f t="shared" si="325"/>
        <v>0</v>
      </c>
      <c r="BT149" s="421">
        <f t="shared" si="325"/>
        <v>0</v>
      </c>
      <c r="BU149" s="421">
        <f t="shared" si="326"/>
        <v>1100518</v>
      </c>
      <c r="BV149" s="421">
        <f t="shared" si="326"/>
        <v>32560</v>
      </c>
      <c r="BW149" s="421">
        <f>R149+AY149</f>
        <v>0</v>
      </c>
      <c r="BX149" s="422">
        <f>S149+BM149</f>
        <v>6.25</v>
      </c>
      <c r="BY149" s="422">
        <f t="shared" si="327"/>
        <v>6.25</v>
      </c>
      <c r="BZ149" s="611">
        <f t="shared" si="327"/>
        <v>0</v>
      </c>
      <c r="CA149" s="423"/>
      <c r="CB149" s="418"/>
      <c r="CC149" s="418"/>
      <c r="CD149" s="418"/>
      <c r="CE149" s="418"/>
      <c r="CF149" s="527"/>
    </row>
    <row r="150" spans="1:84" ht="14.1" customHeight="1" x14ac:dyDescent="0.2">
      <c r="A150" s="66">
        <v>34</v>
      </c>
      <c r="B150" s="63">
        <v>2475</v>
      </c>
      <c r="C150" s="64">
        <v>600080331</v>
      </c>
      <c r="D150" s="63">
        <v>65642368</v>
      </c>
      <c r="E150" s="65" t="s">
        <v>603</v>
      </c>
      <c r="F150" s="66">
        <v>3143</v>
      </c>
      <c r="G150" s="77" t="s">
        <v>597</v>
      </c>
      <c r="H150" s="67" t="s">
        <v>272</v>
      </c>
      <c r="I150" s="423">
        <f t="shared" si="302"/>
        <v>99364</v>
      </c>
      <c r="J150" s="418">
        <f t="shared" si="303"/>
        <v>71122</v>
      </c>
      <c r="K150" s="418">
        <v>0</v>
      </c>
      <c r="L150" s="674">
        <v>71122</v>
      </c>
      <c r="M150" s="418">
        <f t="shared" si="304"/>
        <v>0</v>
      </c>
      <c r="N150" s="418">
        <v>0</v>
      </c>
      <c r="O150" s="418">
        <v>0</v>
      </c>
      <c r="P150" s="668">
        <f t="shared" si="305"/>
        <v>24039</v>
      </c>
      <c r="Q150" s="668">
        <f t="shared" si="306"/>
        <v>711</v>
      </c>
      <c r="R150" s="675">
        <v>3492</v>
      </c>
      <c r="S150" s="419">
        <f t="shared" si="307"/>
        <v>0.26939999999999997</v>
      </c>
      <c r="T150" s="679">
        <v>0</v>
      </c>
      <c r="U150" s="909">
        <v>0.26939999999999997</v>
      </c>
      <c r="V150" s="428">
        <f t="shared" si="308"/>
        <v>0</v>
      </c>
      <c r="W150" s="421">
        <f t="shared" si="309"/>
        <v>0</v>
      </c>
      <c r="X150" s="421">
        <v>0</v>
      </c>
      <c r="Y150" s="421">
        <v>0</v>
      </c>
      <c r="Z150" s="421">
        <v>0</v>
      </c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f t="shared" si="310"/>
        <v>0</v>
      </c>
      <c r="AG150" s="421">
        <f t="shared" si="311"/>
        <v>0</v>
      </c>
      <c r="AH150" s="421">
        <f t="shared" si="312"/>
        <v>0</v>
      </c>
      <c r="AI150" s="421">
        <v>0</v>
      </c>
      <c r="AJ150" s="421">
        <v>0</v>
      </c>
      <c r="AK150" s="421">
        <v>0</v>
      </c>
      <c r="AL150" s="421">
        <v>0</v>
      </c>
      <c r="AM150" s="421">
        <v>0</v>
      </c>
      <c r="AN150" s="421">
        <v>0</v>
      </c>
      <c r="AO150" s="421">
        <f t="shared" si="313"/>
        <v>0</v>
      </c>
      <c r="AP150" s="421">
        <f t="shared" si="319"/>
        <v>0</v>
      </c>
      <c r="AQ150" s="421">
        <f t="shared" si="314"/>
        <v>0</v>
      </c>
      <c r="AR150" s="421">
        <f t="shared" si="322"/>
        <v>0</v>
      </c>
      <c r="AS150" s="421">
        <f t="shared" si="322"/>
        <v>0</v>
      </c>
      <c r="AT150" s="421">
        <f t="shared" si="315"/>
        <v>0</v>
      </c>
      <c r="AU150" s="68">
        <f t="shared" si="323"/>
        <v>0</v>
      </c>
      <c r="AV150" s="68">
        <f>ROUND(AH150*1%,0)</f>
        <v>0</v>
      </c>
      <c r="AW150" s="421">
        <v>0</v>
      </c>
      <c r="AX150" s="421">
        <v>0</v>
      </c>
      <c r="AY150" s="421">
        <f t="shared" si="316"/>
        <v>0</v>
      </c>
      <c r="AZ150" s="421">
        <f t="shared" si="317"/>
        <v>0</v>
      </c>
      <c r="BA150" s="422">
        <v>0</v>
      </c>
      <c r="BB150" s="422">
        <v>0</v>
      </c>
      <c r="BC150" s="422">
        <v>0</v>
      </c>
      <c r="BD150" s="422">
        <v>0</v>
      </c>
      <c r="BE150" s="422">
        <v>0</v>
      </c>
      <c r="BF150" s="422">
        <v>0</v>
      </c>
      <c r="BG150" s="422">
        <v>0</v>
      </c>
      <c r="BH150" s="422">
        <v>0</v>
      </c>
      <c r="BI150" s="422">
        <v>0</v>
      </c>
      <c r="BJ150" s="422">
        <v>0</v>
      </c>
      <c r="BK150" s="422">
        <f>BA150+BC150+BD150+BF150+BH150+BI150</f>
        <v>0</v>
      </c>
      <c r="BL150" s="422">
        <f>BB150+BE150+BG150+BJ150</f>
        <v>0</v>
      </c>
      <c r="BM150" s="424">
        <f t="shared" si="318"/>
        <v>0</v>
      </c>
      <c r="BN150" s="427">
        <f>I150+AZ150</f>
        <v>99364</v>
      </c>
      <c r="BO150" s="421">
        <f>J150+AH150</f>
        <v>71122</v>
      </c>
      <c r="BP150" s="421">
        <f t="shared" si="324"/>
        <v>0</v>
      </c>
      <c r="BQ150" s="421">
        <f t="shared" si="324"/>
        <v>71122</v>
      </c>
      <c r="BR150" s="421">
        <f>M150+AQ150</f>
        <v>0</v>
      </c>
      <c r="BS150" s="421">
        <f t="shared" si="325"/>
        <v>0</v>
      </c>
      <c r="BT150" s="421">
        <f t="shared" si="325"/>
        <v>0</v>
      </c>
      <c r="BU150" s="421">
        <f t="shared" si="326"/>
        <v>24039</v>
      </c>
      <c r="BV150" s="421">
        <f t="shared" si="326"/>
        <v>711</v>
      </c>
      <c r="BW150" s="421">
        <f>R150+AY150</f>
        <v>3492</v>
      </c>
      <c r="BX150" s="422">
        <f>S150+BM150</f>
        <v>0.26939999999999997</v>
      </c>
      <c r="BY150" s="422">
        <f t="shared" si="327"/>
        <v>0</v>
      </c>
      <c r="BZ150" s="611">
        <f t="shared" si="327"/>
        <v>0.26939999999999997</v>
      </c>
      <c r="CA150" s="423"/>
      <c r="CB150" s="418"/>
      <c r="CC150" s="418"/>
      <c r="CD150" s="418"/>
      <c r="CE150" s="418"/>
      <c r="CF150" s="527"/>
    </row>
    <row r="151" spans="1:84" ht="14.1" customHeight="1" x14ac:dyDescent="0.2">
      <c r="A151" s="72">
        <v>34</v>
      </c>
      <c r="B151" s="69">
        <v>2475</v>
      </c>
      <c r="C151" s="70">
        <v>600080331</v>
      </c>
      <c r="D151" s="69">
        <v>65642368</v>
      </c>
      <c r="E151" s="71" t="s">
        <v>605</v>
      </c>
      <c r="F151" s="72"/>
      <c r="G151" s="71"/>
      <c r="H151" s="73"/>
      <c r="I151" s="538">
        <f t="shared" ref="I151:BU151" si="328">SUM(I146:I150)</f>
        <v>48815682</v>
      </c>
      <c r="J151" s="74">
        <f t="shared" si="328"/>
        <v>35744516</v>
      </c>
      <c r="K151" s="74">
        <f t="shared" si="328"/>
        <v>32934861</v>
      </c>
      <c r="L151" s="74">
        <f t="shared" si="328"/>
        <v>2809655</v>
      </c>
      <c r="M151" s="74">
        <f t="shared" si="328"/>
        <v>0</v>
      </c>
      <c r="N151" s="74">
        <f t="shared" si="328"/>
        <v>0</v>
      </c>
      <c r="O151" s="74">
        <f t="shared" si="328"/>
        <v>0</v>
      </c>
      <c r="P151" s="74">
        <f t="shared" si="328"/>
        <v>12081646</v>
      </c>
      <c r="Q151" s="74">
        <f t="shared" si="328"/>
        <v>357445</v>
      </c>
      <c r="R151" s="74">
        <f t="shared" si="328"/>
        <v>632075</v>
      </c>
      <c r="S151" s="75">
        <f t="shared" si="328"/>
        <v>56.183799999999998</v>
      </c>
      <c r="T151" s="75">
        <f t="shared" si="328"/>
        <v>47.561</v>
      </c>
      <c r="U151" s="753">
        <f t="shared" si="328"/>
        <v>8.6227999999999998</v>
      </c>
      <c r="V151" s="538">
        <f t="shared" si="328"/>
        <v>-96000</v>
      </c>
      <c r="W151" s="74">
        <f t="shared" si="328"/>
        <v>-9600</v>
      </c>
      <c r="X151" s="74">
        <f t="shared" si="328"/>
        <v>3666992</v>
      </c>
      <c r="Y151" s="74">
        <f t="shared" si="328"/>
        <v>0</v>
      </c>
      <c r="Z151" s="74">
        <f t="shared" si="328"/>
        <v>0</v>
      </c>
      <c r="AA151" s="74">
        <f t="shared" si="328"/>
        <v>90032</v>
      </c>
      <c r="AB151" s="74">
        <f t="shared" si="328"/>
        <v>620400</v>
      </c>
      <c r="AC151" s="74">
        <f t="shared" si="328"/>
        <v>0</v>
      </c>
      <c r="AD151" s="74">
        <f t="shared" si="328"/>
        <v>0</v>
      </c>
      <c r="AE151" s="74">
        <f t="shared" si="328"/>
        <v>0</v>
      </c>
      <c r="AF151" s="74">
        <f t="shared" si="328"/>
        <v>4281424</v>
      </c>
      <c r="AG151" s="74">
        <f t="shared" si="328"/>
        <v>-9600</v>
      </c>
      <c r="AH151" s="74">
        <f t="shared" si="328"/>
        <v>4271824</v>
      </c>
      <c r="AI151" s="74">
        <f t="shared" si="328"/>
        <v>96000</v>
      </c>
      <c r="AJ151" s="74">
        <f t="shared" si="328"/>
        <v>9600</v>
      </c>
      <c r="AK151" s="74">
        <f t="shared" si="328"/>
        <v>0</v>
      </c>
      <c r="AL151" s="74">
        <f t="shared" si="328"/>
        <v>0</v>
      </c>
      <c r="AM151" s="74">
        <f t="shared" si="328"/>
        <v>0</v>
      </c>
      <c r="AN151" s="74">
        <f t="shared" si="328"/>
        <v>0</v>
      </c>
      <c r="AO151" s="74">
        <f t="shared" si="328"/>
        <v>96000</v>
      </c>
      <c r="AP151" s="74">
        <f t="shared" si="328"/>
        <v>9600</v>
      </c>
      <c r="AQ151" s="74">
        <f t="shared" si="328"/>
        <v>105600</v>
      </c>
      <c r="AR151" s="74">
        <f t="shared" si="328"/>
        <v>4377424</v>
      </c>
      <c r="AS151" s="74">
        <f t="shared" si="328"/>
        <v>0</v>
      </c>
      <c r="AT151" s="74">
        <f t="shared" si="328"/>
        <v>4377424</v>
      </c>
      <c r="AU151" s="74">
        <f t="shared" si="328"/>
        <v>1479569</v>
      </c>
      <c r="AV151" s="74">
        <f t="shared" si="328"/>
        <v>42718</v>
      </c>
      <c r="AW151" s="74">
        <f t="shared" si="328"/>
        <v>0</v>
      </c>
      <c r="AX151" s="74">
        <f t="shared" si="328"/>
        <v>0</v>
      </c>
      <c r="AY151" s="74">
        <f t="shared" si="328"/>
        <v>0</v>
      </c>
      <c r="AZ151" s="74">
        <f t="shared" si="328"/>
        <v>5899711</v>
      </c>
      <c r="BA151" s="75">
        <f t="shared" si="328"/>
        <v>-0.14000000000000001</v>
      </c>
      <c r="BB151" s="75">
        <f t="shared" si="328"/>
        <v>0</v>
      </c>
      <c r="BC151" s="75">
        <f t="shared" si="328"/>
        <v>9.8500000000000014</v>
      </c>
      <c r="BD151" s="75">
        <f t="shared" si="328"/>
        <v>1.1000000000000001</v>
      </c>
      <c r="BE151" s="75">
        <f t="shared" si="328"/>
        <v>0</v>
      </c>
      <c r="BF151" s="75">
        <f t="shared" si="328"/>
        <v>0</v>
      </c>
      <c r="BG151" s="75">
        <f t="shared" si="328"/>
        <v>0</v>
      </c>
      <c r="BH151" s="75">
        <f t="shared" si="328"/>
        <v>0.13</v>
      </c>
      <c r="BI151" s="75">
        <f t="shared" si="328"/>
        <v>0</v>
      </c>
      <c r="BJ151" s="75">
        <f t="shared" si="328"/>
        <v>0</v>
      </c>
      <c r="BK151" s="75">
        <f t="shared" si="328"/>
        <v>10.940000000000001</v>
      </c>
      <c r="BL151" s="75">
        <f t="shared" si="328"/>
        <v>0</v>
      </c>
      <c r="BM151" s="76">
        <f t="shared" si="328"/>
        <v>10.940000000000001</v>
      </c>
      <c r="BN151" s="549">
        <f t="shared" si="328"/>
        <v>54715393</v>
      </c>
      <c r="BO151" s="74">
        <f t="shared" si="328"/>
        <v>40016340</v>
      </c>
      <c r="BP151" s="74">
        <f t="shared" si="328"/>
        <v>37216285</v>
      </c>
      <c r="BQ151" s="74">
        <f t="shared" si="328"/>
        <v>2800055</v>
      </c>
      <c r="BR151" s="74">
        <f t="shared" si="328"/>
        <v>105600</v>
      </c>
      <c r="BS151" s="74">
        <f t="shared" si="328"/>
        <v>96000</v>
      </c>
      <c r="BT151" s="74">
        <f t="shared" si="328"/>
        <v>9600</v>
      </c>
      <c r="BU151" s="74">
        <f t="shared" si="328"/>
        <v>13561215</v>
      </c>
      <c r="BV151" s="74">
        <f t="shared" ref="BV151:CF151" si="329">SUM(BV146:BV150)</f>
        <v>400163</v>
      </c>
      <c r="BW151" s="74">
        <f t="shared" si="329"/>
        <v>632075</v>
      </c>
      <c r="BX151" s="75">
        <f t="shared" si="329"/>
        <v>67.123800000000003</v>
      </c>
      <c r="BY151" s="75">
        <f t="shared" si="329"/>
        <v>58.501000000000005</v>
      </c>
      <c r="BZ151" s="753">
        <f t="shared" si="329"/>
        <v>8.6227999999999998</v>
      </c>
      <c r="CA151" s="796">
        <f t="shared" si="329"/>
        <v>836299</v>
      </c>
      <c r="CB151" s="789">
        <f t="shared" si="329"/>
        <v>620400</v>
      </c>
      <c r="CC151" s="789">
        <f t="shared" si="329"/>
        <v>0</v>
      </c>
      <c r="CD151" s="789">
        <f t="shared" si="329"/>
        <v>209695</v>
      </c>
      <c r="CE151" s="789">
        <f t="shared" si="329"/>
        <v>6204</v>
      </c>
      <c r="CF151" s="793">
        <f t="shared" si="329"/>
        <v>1.1000000000000001</v>
      </c>
    </row>
    <row r="152" spans="1:84" ht="14.1" customHeight="1" x14ac:dyDescent="0.2">
      <c r="A152" s="66">
        <v>35</v>
      </c>
      <c r="B152" s="63">
        <v>2476</v>
      </c>
      <c r="C152" s="64">
        <v>600080170</v>
      </c>
      <c r="D152" s="63">
        <v>64040364</v>
      </c>
      <c r="E152" s="65" t="s">
        <v>606</v>
      </c>
      <c r="F152" s="66">
        <v>3113</v>
      </c>
      <c r="G152" s="65" t="s">
        <v>294</v>
      </c>
      <c r="H152" s="67" t="s">
        <v>271</v>
      </c>
      <c r="I152" s="423">
        <f t="shared" si="302"/>
        <v>43030001</v>
      </c>
      <c r="J152" s="418">
        <f t="shared" ref="J152" si="330">K152+L152</f>
        <v>31453621</v>
      </c>
      <c r="K152" s="418">
        <v>29365552</v>
      </c>
      <c r="L152" s="418">
        <v>2088069</v>
      </c>
      <c r="M152" s="418">
        <f>N152+O152</f>
        <v>0</v>
      </c>
      <c r="N152" s="418">
        <v>0</v>
      </c>
      <c r="O152" s="418">
        <v>0</v>
      </c>
      <c r="P152" s="668">
        <f t="shared" si="305"/>
        <v>10631324</v>
      </c>
      <c r="Q152" s="668">
        <f t="shared" si="306"/>
        <v>314536</v>
      </c>
      <c r="R152" s="418">
        <v>630520</v>
      </c>
      <c r="S152" s="419">
        <f>T152+U152</f>
        <v>48.576000000000001</v>
      </c>
      <c r="T152" s="419">
        <v>42.136000000000003</v>
      </c>
      <c r="U152" s="426">
        <v>6.4399999999999995</v>
      </c>
      <c r="V152" s="428">
        <f t="shared" si="308"/>
        <v>-6400</v>
      </c>
      <c r="W152" s="421">
        <f t="shared" si="309"/>
        <v>-6400</v>
      </c>
      <c r="X152" s="421">
        <v>0</v>
      </c>
      <c r="Y152" s="421">
        <v>0</v>
      </c>
      <c r="Z152" s="421">
        <v>0</v>
      </c>
      <c r="AA152" s="421">
        <v>66200</v>
      </c>
      <c r="AB152" s="421">
        <v>564000</v>
      </c>
      <c r="AC152" s="421">
        <v>0</v>
      </c>
      <c r="AD152" s="421">
        <v>0</v>
      </c>
      <c r="AE152" s="421">
        <v>0</v>
      </c>
      <c r="AF152" s="421">
        <f t="shared" si="310"/>
        <v>623800</v>
      </c>
      <c r="AG152" s="421">
        <f t="shared" si="311"/>
        <v>-6400</v>
      </c>
      <c r="AH152" s="421">
        <f t="shared" si="312"/>
        <v>617400</v>
      </c>
      <c r="AI152" s="421">
        <v>6400</v>
      </c>
      <c r="AJ152" s="421">
        <v>6400</v>
      </c>
      <c r="AK152" s="421">
        <v>0</v>
      </c>
      <c r="AL152" s="421">
        <v>0</v>
      </c>
      <c r="AM152" s="421">
        <v>0</v>
      </c>
      <c r="AN152" s="421">
        <v>0</v>
      </c>
      <c r="AO152" s="421">
        <f t="shared" si="313"/>
        <v>6400</v>
      </c>
      <c r="AP152" s="421">
        <f t="shared" si="319"/>
        <v>6400</v>
      </c>
      <c r="AQ152" s="421">
        <f t="shared" si="314"/>
        <v>12800</v>
      </c>
      <c r="AR152" s="421">
        <f t="shared" ref="AR152:AS156" si="331">AF152+AO152</f>
        <v>630200</v>
      </c>
      <c r="AS152" s="421">
        <f t="shared" si="331"/>
        <v>0</v>
      </c>
      <c r="AT152" s="421">
        <f t="shared" si="315"/>
        <v>630200</v>
      </c>
      <c r="AU152" s="68">
        <f t="shared" ref="AU152:AU156" si="332">ROUND((AH152+AI152+AJ152+AK152+AL152)*33.8%,0)</f>
        <v>213008</v>
      </c>
      <c r="AV152" s="68">
        <f>ROUND(AH152*1%,0)</f>
        <v>6174</v>
      </c>
      <c r="AW152" s="421">
        <v>0</v>
      </c>
      <c r="AX152" s="421">
        <v>0</v>
      </c>
      <c r="AY152" s="421">
        <f t="shared" si="316"/>
        <v>0</v>
      </c>
      <c r="AZ152" s="421">
        <f t="shared" si="317"/>
        <v>849382</v>
      </c>
      <c r="BA152" s="422">
        <v>0</v>
      </c>
      <c r="BB152" s="422">
        <v>0</v>
      </c>
      <c r="BC152" s="422">
        <v>0</v>
      </c>
      <c r="BD152" s="422">
        <v>1</v>
      </c>
      <c r="BE152" s="422">
        <v>0</v>
      </c>
      <c r="BF152" s="422">
        <v>0</v>
      </c>
      <c r="BG152" s="422">
        <v>0</v>
      </c>
      <c r="BH152" s="422">
        <v>0.1</v>
      </c>
      <c r="BI152" s="422">
        <v>0</v>
      </c>
      <c r="BJ152" s="422">
        <v>0</v>
      </c>
      <c r="BK152" s="422">
        <f>BA152+BC152+BD152+BF152+BH152+BI152</f>
        <v>1.1000000000000001</v>
      </c>
      <c r="BL152" s="422">
        <f>BB152+BE152+BG152+BJ152</f>
        <v>0</v>
      </c>
      <c r="BM152" s="424">
        <f t="shared" si="318"/>
        <v>1.1000000000000001</v>
      </c>
      <c r="BN152" s="427">
        <f>I152+AZ152</f>
        <v>43879383</v>
      </c>
      <c r="BO152" s="421">
        <f>J152+AH152</f>
        <v>32071021</v>
      </c>
      <c r="BP152" s="421">
        <f t="shared" ref="BP152:BQ156" si="333">K152+AF152</f>
        <v>29989352</v>
      </c>
      <c r="BQ152" s="421">
        <f t="shared" si="333"/>
        <v>2081669</v>
      </c>
      <c r="BR152" s="421">
        <f>M152+AQ152</f>
        <v>12800</v>
      </c>
      <c r="BS152" s="421">
        <f t="shared" ref="BS152:BT156" si="334">N152+AO152</f>
        <v>6400</v>
      </c>
      <c r="BT152" s="421">
        <f t="shared" si="334"/>
        <v>6400</v>
      </c>
      <c r="BU152" s="421">
        <f t="shared" ref="BU152:BV156" si="335">P152+AU152</f>
        <v>10844332</v>
      </c>
      <c r="BV152" s="421">
        <f t="shared" si="335"/>
        <v>320710</v>
      </c>
      <c r="BW152" s="421">
        <f>R152+AY152</f>
        <v>630520</v>
      </c>
      <c r="BX152" s="422">
        <f>S152+BM152</f>
        <v>49.676000000000002</v>
      </c>
      <c r="BY152" s="422">
        <f t="shared" ref="BY152:BZ156" si="336">T152+BK152</f>
        <v>43.236000000000004</v>
      </c>
      <c r="BZ152" s="611">
        <f t="shared" si="336"/>
        <v>6.4399999999999995</v>
      </c>
      <c r="CA152" s="423">
        <v>760272</v>
      </c>
      <c r="CB152" s="418">
        <v>564000</v>
      </c>
      <c r="CC152" s="418">
        <v>0</v>
      </c>
      <c r="CD152" s="418">
        <v>190632</v>
      </c>
      <c r="CE152" s="418">
        <v>5640</v>
      </c>
      <c r="CF152" s="527">
        <v>1</v>
      </c>
    </row>
    <row r="153" spans="1:84" ht="14.1" customHeight="1" x14ac:dyDescent="0.2">
      <c r="A153" s="66">
        <v>35</v>
      </c>
      <c r="B153" s="63">
        <v>2476</v>
      </c>
      <c r="C153" s="64">
        <v>600080170</v>
      </c>
      <c r="D153" s="63">
        <v>64040364</v>
      </c>
      <c r="E153" s="65" t="s">
        <v>606</v>
      </c>
      <c r="F153" s="66">
        <v>3113</v>
      </c>
      <c r="G153" s="77" t="s">
        <v>292</v>
      </c>
      <c r="H153" s="67" t="s">
        <v>272</v>
      </c>
      <c r="I153" s="423">
        <f t="shared" si="302"/>
        <v>0</v>
      </c>
      <c r="J153" s="418">
        <f t="shared" si="303"/>
        <v>0</v>
      </c>
      <c r="K153" s="418">
        <v>0</v>
      </c>
      <c r="L153" s="418">
        <v>0</v>
      </c>
      <c r="M153" s="418">
        <f t="shared" si="304"/>
        <v>0</v>
      </c>
      <c r="N153" s="418">
        <v>0</v>
      </c>
      <c r="O153" s="418">
        <v>0</v>
      </c>
      <c r="P153" s="668">
        <f t="shared" si="305"/>
        <v>0</v>
      </c>
      <c r="Q153" s="668">
        <f t="shared" si="306"/>
        <v>0</v>
      </c>
      <c r="R153" s="418">
        <v>0</v>
      </c>
      <c r="S153" s="419">
        <f t="shared" si="307"/>
        <v>0</v>
      </c>
      <c r="T153" s="420">
        <v>0</v>
      </c>
      <c r="U153" s="426">
        <v>0</v>
      </c>
      <c r="V153" s="428">
        <f t="shared" si="308"/>
        <v>0</v>
      </c>
      <c r="W153" s="421">
        <f t="shared" si="309"/>
        <v>0</v>
      </c>
      <c r="X153" s="16">
        <v>3728630</v>
      </c>
      <c r="Y153" s="16">
        <v>0</v>
      </c>
      <c r="Z153" s="16">
        <v>0</v>
      </c>
      <c r="AA153" s="16">
        <v>0</v>
      </c>
      <c r="AB153" s="421">
        <v>0</v>
      </c>
      <c r="AC153" s="16">
        <v>0</v>
      </c>
      <c r="AD153" s="16">
        <v>0</v>
      </c>
      <c r="AE153" s="16">
        <v>0</v>
      </c>
      <c r="AF153" s="421">
        <f t="shared" si="310"/>
        <v>3728630</v>
      </c>
      <c r="AG153" s="421">
        <f t="shared" si="311"/>
        <v>0</v>
      </c>
      <c r="AH153" s="421">
        <f t="shared" si="312"/>
        <v>3728630</v>
      </c>
      <c r="AI153" s="16">
        <v>0</v>
      </c>
      <c r="AJ153" s="16">
        <v>0</v>
      </c>
      <c r="AK153" s="421">
        <v>0</v>
      </c>
      <c r="AL153" s="16">
        <v>0</v>
      </c>
      <c r="AM153" s="16">
        <v>0</v>
      </c>
      <c r="AN153" s="16">
        <v>0</v>
      </c>
      <c r="AO153" s="421">
        <f t="shared" si="313"/>
        <v>0</v>
      </c>
      <c r="AP153" s="16">
        <v>0</v>
      </c>
      <c r="AQ153" s="421">
        <f t="shared" si="314"/>
        <v>0</v>
      </c>
      <c r="AR153" s="421">
        <f t="shared" si="331"/>
        <v>3728630</v>
      </c>
      <c r="AS153" s="421">
        <f t="shared" si="331"/>
        <v>0</v>
      </c>
      <c r="AT153" s="421">
        <f t="shared" si="315"/>
        <v>3728630</v>
      </c>
      <c r="AU153" s="68">
        <f t="shared" si="332"/>
        <v>1260277</v>
      </c>
      <c r="AV153" s="68">
        <f>ROUND(AH153*1%,0)</f>
        <v>37286</v>
      </c>
      <c r="AW153" s="16">
        <v>1000</v>
      </c>
      <c r="AX153" s="16">
        <v>0</v>
      </c>
      <c r="AY153" s="421">
        <f t="shared" si="316"/>
        <v>1000</v>
      </c>
      <c r="AZ153" s="421">
        <f t="shared" si="317"/>
        <v>5027193</v>
      </c>
      <c r="BA153" s="13">
        <v>0</v>
      </c>
      <c r="BB153" s="13">
        <v>0</v>
      </c>
      <c r="BC153" s="13">
        <v>10.06</v>
      </c>
      <c r="BD153" s="422">
        <v>0</v>
      </c>
      <c r="BE153" s="422">
        <v>0</v>
      </c>
      <c r="BF153" s="422">
        <v>0</v>
      </c>
      <c r="BG153" s="422">
        <v>0</v>
      </c>
      <c r="BH153" s="422">
        <v>0</v>
      </c>
      <c r="BI153" s="422">
        <v>0</v>
      </c>
      <c r="BJ153" s="422">
        <v>0</v>
      </c>
      <c r="BK153" s="422">
        <f>BA153+BC153+BD153+BF153+BH153+BI153</f>
        <v>10.06</v>
      </c>
      <c r="BL153" s="422">
        <f>BB153+BE153+BG153+BJ153</f>
        <v>0</v>
      </c>
      <c r="BM153" s="424">
        <f t="shared" si="318"/>
        <v>10.06</v>
      </c>
      <c r="BN153" s="427">
        <f>I153+AZ153</f>
        <v>5027193</v>
      </c>
      <c r="BO153" s="421">
        <f>J153+AH153</f>
        <v>3728630</v>
      </c>
      <c r="BP153" s="421">
        <f t="shared" si="333"/>
        <v>3728630</v>
      </c>
      <c r="BQ153" s="421">
        <f t="shared" si="333"/>
        <v>0</v>
      </c>
      <c r="BR153" s="421">
        <f>M153+AQ153</f>
        <v>0</v>
      </c>
      <c r="BS153" s="421">
        <f t="shared" si="334"/>
        <v>0</v>
      </c>
      <c r="BT153" s="421">
        <f t="shared" si="334"/>
        <v>0</v>
      </c>
      <c r="BU153" s="421">
        <f t="shared" si="335"/>
        <v>1260277</v>
      </c>
      <c r="BV153" s="421">
        <f t="shared" si="335"/>
        <v>37286</v>
      </c>
      <c r="BW153" s="421">
        <f>R153+AY153</f>
        <v>1000</v>
      </c>
      <c r="BX153" s="422">
        <f>S153+BM153</f>
        <v>10.06</v>
      </c>
      <c r="BY153" s="422">
        <f t="shared" si="336"/>
        <v>10.06</v>
      </c>
      <c r="BZ153" s="611">
        <f t="shared" si="336"/>
        <v>0</v>
      </c>
      <c r="CA153" s="423"/>
      <c r="CB153" s="418"/>
      <c r="CC153" s="418"/>
      <c r="CD153" s="418"/>
      <c r="CE153" s="418"/>
      <c r="CF153" s="527"/>
    </row>
    <row r="154" spans="1:84" ht="14.1" customHeight="1" x14ac:dyDescent="0.2">
      <c r="A154" s="66">
        <v>35</v>
      </c>
      <c r="B154" s="63">
        <v>2476</v>
      </c>
      <c r="C154" s="64">
        <v>600080170</v>
      </c>
      <c r="D154" s="63">
        <v>64040364</v>
      </c>
      <c r="E154" s="65" t="s">
        <v>606</v>
      </c>
      <c r="F154" s="66">
        <v>3141</v>
      </c>
      <c r="G154" s="65" t="s">
        <v>295</v>
      </c>
      <c r="H154" s="67" t="s">
        <v>272</v>
      </c>
      <c r="I154" s="423">
        <f t="shared" si="302"/>
        <v>2351463</v>
      </c>
      <c r="J154" s="418">
        <f t="shared" si="303"/>
        <v>1729661</v>
      </c>
      <c r="K154" s="418">
        <v>0</v>
      </c>
      <c r="L154" s="924">
        <v>1729661</v>
      </c>
      <c r="M154" s="418">
        <f>N154+O154</f>
        <v>0</v>
      </c>
      <c r="N154" s="205">
        <v>0</v>
      </c>
      <c r="O154" s="205">
        <v>0</v>
      </c>
      <c r="P154" s="668">
        <f t="shared" si="305"/>
        <v>584625</v>
      </c>
      <c r="Q154" s="668">
        <f t="shared" si="306"/>
        <v>17297</v>
      </c>
      <c r="R154" s="674">
        <v>19880</v>
      </c>
      <c r="S154" s="419">
        <f>T154+U154</f>
        <v>5.1867000000000001</v>
      </c>
      <c r="T154" s="676">
        <v>0</v>
      </c>
      <c r="U154" s="909">
        <v>5.1867000000000001</v>
      </c>
      <c r="V154" s="428">
        <f t="shared" si="308"/>
        <v>0</v>
      </c>
      <c r="W154" s="421">
        <f t="shared" si="309"/>
        <v>-6400</v>
      </c>
      <c r="X154" s="421">
        <v>0</v>
      </c>
      <c r="Y154" s="421">
        <v>0</v>
      </c>
      <c r="Z154" s="421">
        <v>0</v>
      </c>
      <c r="AA154" s="421">
        <v>0</v>
      </c>
      <c r="AB154" s="421">
        <v>0</v>
      </c>
      <c r="AC154" s="421">
        <v>0</v>
      </c>
      <c r="AD154" s="421">
        <v>0</v>
      </c>
      <c r="AE154" s="421">
        <v>0</v>
      </c>
      <c r="AF154" s="421">
        <f t="shared" si="310"/>
        <v>0</v>
      </c>
      <c r="AG154" s="421">
        <f t="shared" si="311"/>
        <v>-6400</v>
      </c>
      <c r="AH154" s="421">
        <f t="shared" si="312"/>
        <v>-6400</v>
      </c>
      <c r="AI154" s="421">
        <v>0</v>
      </c>
      <c r="AJ154" s="421">
        <v>6400</v>
      </c>
      <c r="AK154" s="421">
        <v>0</v>
      </c>
      <c r="AL154" s="421">
        <v>0</v>
      </c>
      <c r="AM154" s="421">
        <v>0</v>
      </c>
      <c r="AN154" s="421">
        <v>0</v>
      </c>
      <c r="AO154" s="421">
        <f t="shared" si="313"/>
        <v>0</v>
      </c>
      <c r="AP154" s="421">
        <f t="shared" si="319"/>
        <v>6400</v>
      </c>
      <c r="AQ154" s="421">
        <f t="shared" si="314"/>
        <v>6400</v>
      </c>
      <c r="AR154" s="421">
        <f t="shared" si="331"/>
        <v>0</v>
      </c>
      <c r="AS154" s="421">
        <f t="shared" si="331"/>
        <v>0</v>
      </c>
      <c r="AT154" s="421">
        <f t="shared" si="315"/>
        <v>0</v>
      </c>
      <c r="AU154" s="68">
        <f t="shared" si="332"/>
        <v>0</v>
      </c>
      <c r="AV154" s="68">
        <f>ROUND(AH154*1%,0)</f>
        <v>-64</v>
      </c>
      <c r="AW154" s="421">
        <v>0</v>
      </c>
      <c r="AX154" s="421">
        <v>0</v>
      </c>
      <c r="AY154" s="421">
        <f t="shared" si="316"/>
        <v>0</v>
      </c>
      <c r="AZ154" s="421">
        <f t="shared" si="317"/>
        <v>-64</v>
      </c>
      <c r="BA154" s="422">
        <v>0</v>
      </c>
      <c r="BB154" s="422">
        <v>0</v>
      </c>
      <c r="BC154" s="422">
        <v>0</v>
      </c>
      <c r="BD154" s="422">
        <v>0</v>
      </c>
      <c r="BE154" s="422">
        <v>0</v>
      </c>
      <c r="BF154" s="422">
        <v>0</v>
      </c>
      <c r="BG154" s="422">
        <v>0</v>
      </c>
      <c r="BH154" s="422">
        <v>0</v>
      </c>
      <c r="BI154" s="422">
        <v>0</v>
      </c>
      <c r="BJ154" s="422">
        <v>0</v>
      </c>
      <c r="BK154" s="422">
        <f>BA154+BC154+BD154+BF154+BH154+BI154</f>
        <v>0</v>
      </c>
      <c r="BL154" s="422">
        <f>BB154+BE154+BG154+BJ154</f>
        <v>0</v>
      </c>
      <c r="BM154" s="424">
        <f t="shared" si="318"/>
        <v>0</v>
      </c>
      <c r="BN154" s="427">
        <f>I154+AZ154</f>
        <v>2351399</v>
      </c>
      <c r="BO154" s="421">
        <f>J154+AH154</f>
        <v>1723261</v>
      </c>
      <c r="BP154" s="421">
        <f t="shared" si="333"/>
        <v>0</v>
      </c>
      <c r="BQ154" s="421">
        <f t="shared" si="333"/>
        <v>1723261</v>
      </c>
      <c r="BR154" s="421">
        <f>M154+AQ154</f>
        <v>6400</v>
      </c>
      <c r="BS154" s="421">
        <f t="shared" si="334"/>
        <v>0</v>
      </c>
      <c r="BT154" s="421">
        <f t="shared" si="334"/>
        <v>6400</v>
      </c>
      <c r="BU154" s="421">
        <f t="shared" si="335"/>
        <v>584625</v>
      </c>
      <c r="BV154" s="421">
        <f t="shared" si="335"/>
        <v>17233</v>
      </c>
      <c r="BW154" s="421">
        <f>R154+AY154</f>
        <v>19880</v>
      </c>
      <c r="BX154" s="422">
        <f>S154+BM154</f>
        <v>5.1867000000000001</v>
      </c>
      <c r="BY154" s="422">
        <f t="shared" si="336"/>
        <v>0</v>
      </c>
      <c r="BZ154" s="611">
        <f t="shared" si="336"/>
        <v>5.1867000000000001</v>
      </c>
      <c r="CA154" s="423"/>
      <c r="CB154" s="418"/>
      <c r="CC154" s="418"/>
      <c r="CD154" s="418"/>
      <c r="CE154" s="418"/>
      <c r="CF154" s="527"/>
    </row>
    <row r="155" spans="1:84" ht="14.1" customHeight="1" x14ac:dyDescent="0.2">
      <c r="A155" s="66">
        <v>35</v>
      </c>
      <c r="B155" s="63">
        <v>2476</v>
      </c>
      <c r="C155" s="64">
        <v>600080170</v>
      </c>
      <c r="D155" s="63">
        <v>64040364</v>
      </c>
      <c r="E155" s="65" t="s">
        <v>606</v>
      </c>
      <c r="F155" s="66">
        <v>3143</v>
      </c>
      <c r="G155" s="77" t="s">
        <v>596</v>
      </c>
      <c r="H155" s="67" t="s">
        <v>271</v>
      </c>
      <c r="I155" s="423">
        <f t="shared" si="302"/>
        <v>4269742</v>
      </c>
      <c r="J155" s="418">
        <f t="shared" si="303"/>
        <v>3167464</v>
      </c>
      <c r="K155" s="418">
        <v>3167464</v>
      </c>
      <c r="L155" s="418">
        <v>0</v>
      </c>
      <c r="M155" s="418">
        <f t="shared" si="304"/>
        <v>0</v>
      </c>
      <c r="N155" s="418">
        <v>0</v>
      </c>
      <c r="O155" s="418">
        <v>0</v>
      </c>
      <c r="P155" s="668">
        <f t="shared" si="305"/>
        <v>1070603</v>
      </c>
      <c r="Q155" s="668">
        <f t="shared" si="306"/>
        <v>31675</v>
      </c>
      <c r="R155" s="418">
        <v>0</v>
      </c>
      <c r="S155" s="419">
        <f t="shared" si="307"/>
        <v>6.0713999999999997</v>
      </c>
      <c r="T155" s="419">
        <v>6.0713999999999997</v>
      </c>
      <c r="U155" s="426">
        <v>0</v>
      </c>
      <c r="V155" s="428">
        <f t="shared" si="308"/>
        <v>0</v>
      </c>
      <c r="W155" s="421">
        <f t="shared" si="309"/>
        <v>0</v>
      </c>
      <c r="X155" s="421">
        <v>0</v>
      </c>
      <c r="Y155" s="421">
        <v>0</v>
      </c>
      <c r="Z155" s="421">
        <v>0</v>
      </c>
      <c r="AA155" s="421">
        <v>0</v>
      </c>
      <c r="AB155" s="421">
        <v>0</v>
      </c>
      <c r="AC155" s="421">
        <v>0</v>
      </c>
      <c r="AD155" s="421">
        <v>0</v>
      </c>
      <c r="AE155" s="421">
        <v>0</v>
      </c>
      <c r="AF155" s="421">
        <f t="shared" si="310"/>
        <v>0</v>
      </c>
      <c r="AG155" s="421">
        <f t="shared" si="311"/>
        <v>0</v>
      </c>
      <c r="AH155" s="421">
        <f t="shared" si="312"/>
        <v>0</v>
      </c>
      <c r="AI155" s="421">
        <v>0</v>
      </c>
      <c r="AJ155" s="421">
        <v>0</v>
      </c>
      <c r="AK155" s="421">
        <v>0</v>
      </c>
      <c r="AL155" s="421">
        <v>0</v>
      </c>
      <c r="AM155" s="421">
        <v>0</v>
      </c>
      <c r="AN155" s="421">
        <v>0</v>
      </c>
      <c r="AO155" s="421">
        <f t="shared" si="313"/>
        <v>0</v>
      </c>
      <c r="AP155" s="421">
        <f t="shared" si="319"/>
        <v>0</v>
      </c>
      <c r="AQ155" s="421">
        <f t="shared" si="314"/>
        <v>0</v>
      </c>
      <c r="AR155" s="421">
        <f t="shared" si="331"/>
        <v>0</v>
      </c>
      <c r="AS155" s="421">
        <f t="shared" si="331"/>
        <v>0</v>
      </c>
      <c r="AT155" s="421">
        <f t="shared" si="315"/>
        <v>0</v>
      </c>
      <c r="AU155" s="68">
        <f t="shared" si="332"/>
        <v>0</v>
      </c>
      <c r="AV155" s="68">
        <f>ROUND(AH155*1%,0)</f>
        <v>0</v>
      </c>
      <c r="AW155" s="421">
        <v>0</v>
      </c>
      <c r="AX155" s="421">
        <v>0</v>
      </c>
      <c r="AY155" s="421">
        <f t="shared" si="316"/>
        <v>0</v>
      </c>
      <c r="AZ155" s="421">
        <f t="shared" si="317"/>
        <v>0</v>
      </c>
      <c r="BA155" s="422">
        <v>0</v>
      </c>
      <c r="BB155" s="422">
        <v>0</v>
      </c>
      <c r="BC155" s="422">
        <v>0</v>
      </c>
      <c r="BD155" s="422">
        <v>0</v>
      </c>
      <c r="BE155" s="422">
        <v>0</v>
      </c>
      <c r="BF155" s="422">
        <v>0</v>
      </c>
      <c r="BG155" s="422">
        <v>0</v>
      </c>
      <c r="BH155" s="422">
        <v>0</v>
      </c>
      <c r="BI155" s="422">
        <v>0</v>
      </c>
      <c r="BJ155" s="422">
        <v>0</v>
      </c>
      <c r="BK155" s="422">
        <f>BA155+BC155+BD155+BF155+BH155+BI155</f>
        <v>0</v>
      </c>
      <c r="BL155" s="422">
        <f>BB155+BE155+BG155+BJ155</f>
        <v>0</v>
      </c>
      <c r="BM155" s="424">
        <f t="shared" si="318"/>
        <v>0</v>
      </c>
      <c r="BN155" s="427">
        <f>I155+AZ155</f>
        <v>4269742</v>
      </c>
      <c r="BO155" s="421">
        <f>J155+AH155</f>
        <v>3167464</v>
      </c>
      <c r="BP155" s="421">
        <f t="shared" si="333"/>
        <v>3167464</v>
      </c>
      <c r="BQ155" s="421">
        <f t="shared" si="333"/>
        <v>0</v>
      </c>
      <c r="BR155" s="421">
        <f>M155+AQ155</f>
        <v>0</v>
      </c>
      <c r="BS155" s="421">
        <f t="shared" si="334"/>
        <v>0</v>
      </c>
      <c r="BT155" s="421">
        <f t="shared" si="334"/>
        <v>0</v>
      </c>
      <c r="BU155" s="421">
        <f t="shared" si="335"/>
        <v>1070603</v>
      </c>
      <c r="BV155" s="421">
        <f t="shared" si="335"/>
        <v>31675</v>
      </c>
      <c r="BW155" s="421">
        <f>R155+AY155</f>
        <v>0</v>
      </c>
      <c r="BX155" s="422">
        <f>S155+BM155</f>
        <v>6.0713999999999997</v>
      </c>
      <c r="BY155" s="422">
        <f t="shared" si="336"/>
        <v>6.0713999999999997</v>
      </c>
      <c r="BZ155" s="611">
        <f t="shared" si="336"/>
        <v>0</v>
      </c>
      <c r="CA155" s="423"/>
      <c r="CB155" s="418"/>
      <c r="CC155" s="418"/>
      <c r="CD155" s="418"/>
      <c r="CE155" s="418"/>
      <c r="CF155" s="527"/>
    </row>
    <row r="156" spans="1:84" ht="14.1" customHeight="1" x14ac:dyDescent="0.2">
      <c r="A156" s="66">
        <v>35</v>
      </c>
      <c r="B156" s="63">
        <v>2476</v>
      </c>
      <c r="C156" s="64">
        <v>600080170</v>
      </c>
      <c r="D156" s="63">
        <v>64040364</v>
      </c>
      <c r="E156" s="65" t="s">
        <v>606</v>
      </c>
      <c r="F156" s="66">
        <v>3143</v>
      </c>
      <c r="G156" s="77" t="s">
        <v>597</v>
      </c>
      <c r="H156" s="67" t="s">
        <v>272</v>
      </c>
      <c r="I156" s="423">
        <f t="shared" si="302"/>
        <v>104490</v>
      </c>
      <c r="J156" s="418">
        <f t="shared" si="303"/>
        <v>74791</v>
      </c>
      <c r="K156" s="418">
        <v>0</v>
      </c>
      <c r="L156" s="674">
        <v>74791</v>
      </c>
      <c r="M156" s="418">
        <f t="shared" si="304"/>
        <v>0</v>
      </c>
      <c r="N156" s="418">
        <v>0</v>
      </c>
      <c r="O156" s="418">
        <v>0</v>
      </c>
      <c r="P156" s="668">
        <f t="shared" si="305"/>
        <v>25279</v>
      </c>
      <c r="Q156" s="668">
        <f t="shared" si="306"/>
        <v>748</v>
      </c>
      <c r="R156" s="675">
        <v>3672</v>
      </c>
      <c r="S156" s="419">
        <f t="shared" si="307"/>
        <v>0.2833</v>
      </c>
      <c r="T156" s="679">
        <v>0</v>
      </c>
      <c r="U156" s="909">
        <v>0.2833</v>
      </c>
      <c r="V156" s="428">
        <f t="shared" si="308"/>
        <v>0</v>
      </c>
      <c r="W156" s="421">
        <f t="shared" si="309"/>
        <v>0</v>
      </c>
      <c r="X156" s="421">
        <v>0</v>
      </c>
      <c r="Y156" s="421">
        <v>0</v>
      </c>
      <c r="Z156" s="421">
        <v>0</v>
      </c>
      <c r="AA156" s="421">
        <v>0</v>
      </c>
      <c r="AB156" s="421">
        <v>0</v>
      </c>
      <c r="AC156" s="421">
        <v>0</v>
      </c>
      <c r="AD156" s="421">
        <v>0</v>
      </c>
      <c r="AE156" s="421">
        <v>0</v>
      </c>
      <c r="AF156" s="421">
        <f t="shared" si="310"/>
        <v>0</v>
      </c>
      <c r="AG156" s="421">
        <f t="shared" si="311"/>
        <v>0</v>
      </c>
      <c r="AH156" s="421">
        <f t="shared" si="312"/>
        <v>0</v>
      </c>
      <c r="AI156" s="421">
        <v>0</v>
      </c>
      <c r="AJ156" s="421">
        <v>0</v>
      </c>
      <c r="AK156" s="421">
        <v>0</v>
      </c>
      <c r="AL156" s="421">
        <v>0</v>
      </c>
      <c r="AM156" s="421">
        <v>0</v>
      </c>
      <c r="AN156" s="421">
        <v>0</v>
      </c>
      <c r="AO156" s="421">
        <f t="shared" si="313"/>
        <v>0</v>
      </c>
      <c r="AP156" s="421">
        <f t="shared" si="319"/>
        <v>0</v>
      </c>
      <c r="AQ156" s="421">
        <f t="shared" si="314"/>
        <v>0</v>
      </c>
      <c r="AR156" s="421">
        <f t="shared" si="331"/>
        <v>0</v>
      </c>
      <c r="AS156" s="421">
        <f t="shared" si="331"/>
        <v>0</v>
      </c>
      <c r="AT156" s="421">
        <f t="shared" si="315"/>
        <v>0</v>
      </c>
      <c r="AU156" s="68">
        <f t="shared" si="332"/>
        <v>0</v>
      </c>
      <c r="AV156" s="68">
        <f>ROUND(AH156*1%,0)</f>
        <v>0</v>
      </c>
      <c r="AW156" s="421">
        <v>0</v>
      </c>
      <c r="AX156" s="421">
        <v>0</v>
      </c>
      <c r="AY156" s="421">
        <f t="shared" si="316"/>
        <v>0</v>
      </c>
      <c r="AZ156" s="421">
        <f t="shared" si="317"/>
        <v>0</v>
      </c>
      <c r="BA156" s="422">
        <v>0</v>
      </c>
      <c r="BB156" s="422">
        <v>0</v>
      </c>
      <c r="BC156" s="422">
        <v>0</v>
      </c>
      <c r="BD156" s="422">
        <v>0</v>
      </c>
      <c r="BE156" s="422">
        <v>0</v>
      </c>
      <c r="BF156" s="422">
        <v>0</v>
      </c>
      <c r="BG156" s="422">
        <v>0</v>
      </c>
      <c r="BH156" s="422">
        <v>0</v>
      </c>
      <c r="BI156" s="422">
        <v>0</v>
      </c>
      <c r="BJ156" s="422">
        <v>0</v>
      </c>
      <c r="BK156" s="422">
        <f>BA156+BC156+BD156+BF156+BH156+BI156</f>
        <v>0</v>
      </c>
      <c r="BL156" s="422">
        <f>BB156+BE156+BG156+BJ156</f>
        <v>0</v>
      </c>
      <c r="BM156" s="424">
        <f t="shared" si="318"/>
        <v>0</v>
      </c>
      <c r="BN156" s="427">
        <f>I156+AZ156</f>
        <v>104490</v>
      </c>
      <c r="BO156" s="421">
        <f>J156+AH156</f>
        <v>74791</v>
      </c>
      <c r="BP156" s="421">
        <f t="shared" si="333"/>
        <v>0</v>
      </c>
      <c r="BQ156" s="421">
        <f t="shared" si="333"/>
        <v>74791</v>
      </c>
      <c r="BR156" s="421">
        <f>M156+AQ156</f>
        <v>0</v>
      </c>
      <c r="BS156" s="421">
        <f t="shared" si="334"/>
        <v>0</v>
      </c>
      <c r="BT156" s="421">
        <f t="shared" si="334"/>
        <v>0</v>
      </c>
      <c r="BU156" s="421">
        <f t="shared" si="335"/>
        <v>25279</v>
      </c>
      <c r="BV156" s="421">
        <f t="shared" si="335"/>
        <v>748</v>
      </c>
      <c r="BW156" s="421">
        <f>R156+AY156</f>
        <v>3672</v>
      </c>
      <c r="BX156" s="422">
        <f>S156+BM156</f>
        <v>0.2833</v>
      </c>
      <c r="BY156" s="422">
        <f t="shared" si="336"/>
        <v>0</v>
      </c>
      <c r="BZ156" s="611">
        <f t="shared" si="336"/>
        <v>0.2833</v>
      </c>
      <c r="CA156" s="423"/>
      <c r="CB156" s="418"/>
      <c r="CC156" s="418"/>
      <c r="CD156" s="418"/>
      <c r="CE156" s="418"/>
      <c r="CF156" s="527"/>
    </row>
    <row r="157" spans="1:84" ht="14.1" customHeight="1" x14ac:dyDescent="0.2">
      <c r="A157" s="72">
        <v>35</v>
      </c>
      <c r="B157" s="69">
        <v>2476</v>
      </c>
      <c r="C157" s="70">
        <v>600080170</v>
      </c>
      <c r="D157" s="69">
        <v>64040364</v>
      </c>
      <c r="E157" s="71" t="s">
        <v>607</v>
      </c>
      <c r="F157" s="72"/>
      <c r="G157" s="71"/>
      <c r="H157" s="73"/>
      <c r="I157" s="538">
        <f t="shared" ref="I157:BU157" si="337">SUM(I152:I156)</f>
        <v>49755696</v>
      </c>
      <c r="J157" s="74">
        <f t="shared" si="337"/>
        <v>36425537</v>
      </c>
      <c r="K157" s="74">
        <f>SUM(K152:K156)</f>
        <v>32533016</v>
      </c>
      <c r="L157" s="74">
        <f>SUM(L152:L156)</f>
        <v>3892521</v>
      </c>
      <c r="M157" s="74">
        <f>SUM(M152:M156)</f>
        <v>0</v>
      </c>
      <c r="N157" s="74">
        <f>SUM(N152:N156)</f>
        <v>0</v>
      </c>
      <c r="O157" s="74">
        <f>SUM(O152:O156)</f>
        <v>0</v>
      </c>
      <c r="P157" s="74">
        <f t="shared" ref="P157:Q157" si="338">SUM(P152:P156)</f>
        <v>12311831</v>
      </c>
      <c r="Q157" s="74">
        <f t="shared" si="338"/>
        <v>364256</v>
      </c>
      <c r="R157" s="74">
        <f>SUM(R152:R156)</f>
        <v>654072</v>
      </c>
      <c r="S157" s="75">
        <f>SUM(S152:S156)</f>
        <v>60.117399999999996</v>
      </c>
      <c r="T157" s="75">
        <f>SUM(T152:T156)</f>
        <v>48.2074</v>
      </c>
      <c r="U157" s="753">
        <f>SUM(U152:U156)</f>
        <v>11.91</v>
      </c>
      <c r="V157" s="538">
        <f t="shared" si="337"/>
        <v>-6400</v>
      </c>
      <c r="W157" s="74">
        <f t="shared" si="337"/>
        <v>-12800</v>
      </c>
      <c r="X157" s="74">
        <f t="shared" si="337"/>
        <v>3728630</v>
      </c>
      <c r="Y157" s="74">
        <f t="shared" si="337"/>
        <v>0</v>
      </c>
      <c r="Z157" s="74">
        <f t="shared" si="337"/>
        <v>0</v>
      </c>
      <c r="AA157" s="74">
        <f t="shared" si="337"/>
        <v>66200</v>
      </c>
      <c r="AB157" s="74">
        <f t="shared" si="337"/>
        <v>564000</v>
      </c>
      <c r="AC157" s="74">
        <f t="shared" si="337"/>
        <v>0</v>
      </c>
      <c r="AD157" s="74">
        <f t="shared" si="337"/>
        <v>0</v>
      </c>
      <c r="AE157" s="74">
        <f t="shared" si="337"/>
        <v>0</v>
      </c>
      <c r="AF157" s="74">
        <f t="shared" si="337"/>
        <v>4352430</v>
      </c>
      <c r="AG157" s="74">
        <f t="shared" si="337"/>
        <v>-12800</v>
      </c>
      <c r="AH157" s="74">
        <f t="shared" si="337"/>
        <v>4339630</v>
      </c>
      <c r="AI157" s="74">
        <f t="shared" si="337"/>
        <v>6400</v>
      </c>
      <c r="AJ157" s="74">
        <f t="shared" si="337"/>
        <v>12800</v>
      </c>
      <c r="AK157" s="74">
        <f t="shared" si="337"/>
        <v>0</v>
      </c>
      <c r="AL157" s="74">
        <f t="shared" si="337"/>
        <v>0</v>
      </c>
      <c r="AM157" s="74">
        <f t="shared" si="337"/>
        <v>0</v>
      </c>
      <c r="AN157" s="74">
        <f t="shared" si="337"/>
        <v>0</v>
      </c>
      <c r="AO157" s="74">
        <f t="shared" si="337"/>
        <v>6400</v>
      </c>
      <c r="AP157" s="74">
        <f t="shared" si="337"/>
        <v>12800</v>
      </c>
      <c r="AQ157" s="74">
        <f t="shared" si="337"/>
        <v>19200</v>
      </c>
      <c r="AR157" s="74">
        <f t="shared" si="337"/>
        <v>4358830</v>
      </c>
      <c r="AS157" s="74">
        <f t="shared" si="337"/>
        <v>0</v>
      </c>
      <c r="AT157" s="74">
        <f t="shared" si="337"/>
        <v>4358830</v>
      </c>
      <c r="AU157" s="74">
        <f t="shared" si="337"/>
        <v>1473285</v>
      </c>
      <c r="AV157" s="74">
        <f t="shared" si="337"/>
        <v>43396</v>
      </c>
      <c r="AW157" s="74">
        <f t="shared" si="337"/>
        <v>1000</v>
      </c>
      <c r="AX157" s="74">
        <f t="shared" si="337"/>
        <v>0</v>
      </c>
      <c r="AY157" s="74">
        <f t="shared" si="337"/>
        <v>1000</v>
      </c>
      <c r="AZ157" s="74">
        <f t="shared" si="337"/>
        <v>5876511</v>
      </c>
      <c r="BA157" s="75">
        <f t="shared" si="337"/>
        <v>0</v>
      </c>
      <c r="BB157" s="75">
        <f t="shared" si="337"/>
        <v>0</v>
      </c>
      <c r="BC157" s="75">
        <f t="shared" si="337"/>
        <v>10.06</v>
      </c>
      <c r="BD157" s="75">
        <f t="shared" si="337"/>
        <v>1</v>
      </c>
      <c r="BE157" s="75">
        <f t="shared" si="337"/>
        <v>0</v>
      </c>
      <c r="BF157" s="75">
        <f t="shared" si="337"/>
        <v>0</v>
      </c>
      <c r="BG157" s="75">
        <f t="shared" si="337"/>
        <v>0</v>
      </c>
      <c r="BH157" s="75">
        <f t="shared" si="337"/>
        <v>0.1</v>
      </c>
      <c r="BI157" s="75">
        <f t="shared" si="337"/>
        <v>0</v>
      </c>
      <c r="BJ157" s="75">
        <f t="shared" si="337"/>
        <v>0</v>
      </c>
      <c r="BK157" s="75">
        <f t="shared" si="337"/>
        <v>11.16</v>
      </c>
      <c r="BL157" s="75">
        <f t="shared" si="337"/>
        <v>0</v>
      </c>
      <c r="BM157" s="76">
        <f t="shared" si="337"/>
        <v>11.16</v>
      </c>
      <c r="BN157" s="549">
        <f t="shared" si="337"/>
        <v>55632207</v>
      </c>
      <c r="BO157" s="74">
        <f t="shared" si="337"/>
        <v>40765167</v>
      </c>
      <c r="BP157" s="74">
        <f t="shared" si="337"/>
        <v>36885446</v>
      </c>
      <c r="BQ157" s="74">
        <f t="shared" si="337"/>
        <v>3879721</v>
      </c>
      <c r="BR157" s="74">
        <f t="shared" si="337"/>
        <v>19200</v>
      </c>
      <c r="BS157" s="74">
        <f t="shared" si="337"/>
        <v>6400</v>
      </c>
      <c r="BT157" s="74">
        <f t="shared" si="337"/>
        <v>12800</v>
      </c>
      <c r="BU157" s="74">
        <f t="shared" si="337"/>
        <v>13785116</v>
      </c>
      <c r="BV157" s="74">
        <f t="shared" ref="BV157:CF157" si="339">SUM(BV152:BV156)</f>
        <v>407652</v>
      </c>
      <c r="BW157" s="74">
        <f t="shared" si="339"/>
        <v>655072</v>
      </c>
      <c r="BX157" s="75">
        <f t="shared" si="339"/>
        <v>71.2774</v>
      </c>
      <c r="BY157" s="75">
        <f t="shared" si="339"/>
        <v>59.367400000000004</v>
      </c>
      <c r="BZ157" s="753">
        <f t="shared" si="339"/>
        <v>11.91</v>
      </c>
      <c r="CA157" s="796">
        <f t="shared" si="339"/>
        <v>760272</v>
      </c>
      <c r="CB157" s="789">
        <f t="shared" si="339"/>
        <v>564000</v>
      </c>
      <c r="CC157" s="789">
        <f t="shared" si="339"/>
        <v>0</v>
      </c>
      <c r="CD157" s="789">
        <f t="shared" si="339"/>
        <v>190632</v>
      </c>
      <c r="CE157" s="789">
        <f t="shared" si="339"/>
        <v>5640</v>
      </c>
      <c r="CF157" s="793">
        <f t="shared" si="339"/>
        <v>1</v>
      </c>
    </row>
    <row r="158" spans="1:84" ht="14.1" customHeight="1" x14ac:dyDescent="0.2">
      <c r="A158" s="66">
        <v>36</v>
      </c>
      <c r="B158" s="63">
        <v>2477</v>
      </c>
      <c r="C158" s="64">
        <v>600079872</v>
      </c>
      <c r="D158" s="63">
        <v>68975147</v>
      </c>
      <c r="E158" s="65" t="s">
        <v>608</v>
      </c>
      <c r="F158" s="66">
        <v>3113</v>
      </c>
      <c r="G158" s="65" t="s">
        <v>294</v>
      </c>
      <c r="H158" s="67" t="s">
        <v>271</v>
      </c>
      <c r="I158" s="423">
        <f t="shared" si="302"/>
        <v>46194325</v>
      </c>
      <c r="J158" s="418">
        <f t="shared" ref="J158" si="340">K158+L158</f>
        <v>33763247</v>
      </c>
      <c r="K158" s="418">
        <v>31718169</v>
      </c>
      <c r="L158" s="418">
        <v>2045078</v>
      </c>
      <c r="M158" s="418">
        <f>N158+O158</f>
        <v>0</v>
      </c>
      <c r="N158" s="418">
        <v>0</v>
      </c>
      <c r="O158" s="418">
        <v>0</v>
      </c>
      <c r="P158" s="668">
        <f>ROUND(J158*33.8%,0)+1</f>
        <v>11411978</v>
      </c>
      <c r="Q158" s="668">
        <f t="shared" si="306"/>
        <v>337632</v>
      </c>
      <c r="R158" s="418">
        <v>681468</v>
      </c>
      <c r="S158" s="419">
        <f>T158+U158</f>
        <v>51.5169</v>
      </c>
      <c r="T158" s="419">
        <v>45.317900000000002</v>
      </c>
      <c r="U158" s="426">
        <v>6.1989999999999998</v>
      </c>
      <c r="V158" s="428">
        <f t="shared" si="308"/>
        <v>-19200</v>
      </c>
      <c r="W158" s="421">
        <f t="shared" si="309"/>
        <v>-51200</v>
      </c>
      <c r="X158" s="421">
        <v>0</v>
      </c>
      <c r="Y158" s="421">
        <v>0</v>
      </c>
      <c r="Z158" s="421">
        <v>0</v>
      </c>
      <c r="AA158" s="421">
        <v>66200</v>
      </c>
      <c r="AB158" s="421">
        <v>112800</v>
      </c>
      <c r="AC158" s="421">
        <v>0</v>
      </c>
      <c r="AD158" s="421">
        <v>0</v>
      </c>
      <c r="AE158" s="421">
        <v>0</v>
      </c>
      <c r="AF158" s="421">
        <f t="shared" si="310"/>
        <v>159800</v>
      </c>
      <c r="AG158" s="421">
        <f t="shared" si="311"/>
        <v>-51200</v>
      </c>
      <c r="AH158" s="421">
        <f t="shared" si="312"/>
        <v>108600</v>
      </c>
      <c r="AI158" s="421">
        <v>19200</v>
      </c>
      <c r="AJ158" s="421">
        <v>51200</v>
      </c>
      <c r="AK158" s="421">
        <v>0</v>
      </c>
      <c r="AL158" s="421">
        <v>0</v>
      </c>
      <c r="AM158" s="421">
        <v>0</v>
      </c>
      <c r="AN158" s="421">
        <v>0</v>
      </c>
      <c r="AO158" s="421">
        <f t="shared" si="313"/>
        <v>19200</v>
      </c>
      <c r="AP158" s="421">
        <f t="shared" si="319"/>
        <v>51200</v>
      </c>
      <c r="AQ158" s="421">
        <f t="shared" si="314"/>
        <v>70400</v>
      </c>
      <c r="AR158" s="421">
        <f t="shared" ref="AR158:AS161" si="341">AF158+AO158</f>
        <v>179000</v>
      </c>
      <c r="AS158" s="421">
        <f t="shared" si="341"/>
        <v>0</v>
      </c>
      <c r="AT158" s="421">
        <f t="shared" si="315"/>
        <v>179000</v>
      </c>
      <c r="AU158" s="68">
        <f t="shared" ref="AU158:AU161" si="342">ROUND((AH158+AI158+AJ158+AK158+AL158)*33.8%,0)</f>
        <v>60502</v>
      </c>
      <c r="AV158" s="68">
        <f>ROUND(AH158*1%,0)</f>
        <v>1086</v>
      </c>
      <c r="AW158" s="421">
        <v>0</v>
      </c>
      <c r="AX158" s="421">
        <v>0</v>
      </c>
      <c r="AY158" s="421">
        <f t="shared" si="316"/>
        <v>0</v>
      </c>
      <c r="AZ158" s="421">
        <f t="shared" si="317"/>
        <v>240588</v>
      </c>
      <c r="BA158" s="422">
        <v>-0.02</v>
      </c>
      <c r="BB158" s="422">
        <v>-0.15</v>
      </c>
      <c r="BC158" s="422">
        <v>0</v>
      </c>
      <c r="BD158" s="422">
        <v>0.2</v>
      </c>
      <c r="BE158" s="422">
        <v>0</v>
      </c>
      <c r="BF158" s="422">
        <v>0</v>
      </c>
      <c r="BG158" s="422">
        <v>0</v>
      </c>
      <c r="BH158" s="422">
        <v>0.1</v>
      </c>
      <c r="BI158" s="422">
        <v>0</v>
      </c>
      <c r="BJ158" s="422">
        <v>0</v>
      </c>
      <c r="BK158" s="422">
        <f>BA158+BC158+BD158+BF158+BH158+BI158</f>
        <v>0.28000000000000003</v>
      </c>
      <c r="BL158" s="422">
        <f>BB158+BE158+BG158+BJ158</f>
        <v>-0.15</v>
      </c>
      <c r="BM158" s="424">
        <f t="shared" si="318"/>
        <v>0.13000000000000003</v>
      </c>
      <c r="BN158" s="427">
        <f>I158+AZ158</f>
        <v>46434913</v>
      </c>
      <c r="BO158" s="421">
        <f>J158+AH158</f>
        <v>33871847</v>
      </c>
      <c r="BP158" s="421">
        <f t="shared" ref="BP158:BQ161" si="343">K158+AF158</f>
        <v>31877969</v>
      </c>
      <c r="BQ158" s="421">
        <f t="shared" si="343"/>
        <v>1993878</v>
      </c>
      <c r="BR158" s="421">
        <f>M158+AQ158</f>
        <v>70400</v>
      </c>
      <c r="BS158" s="421">
        <f t="shared" ref="BS158:BT161" si="344">N158+AO158</f>
        <v>19200</v>
      </c>
      <c r="BT158" s="421">
        <f t="shared" si="344"/>
        <v>51200</v>
      </c>
      <c r="BU158" s="421">
        <f t="shared" ref="BU158:BV161" si="345">P158+AU158</f>
        <v>11472480</v>
      </c>
      <c r="BV158" s="421">
        <f t="shared" si="345"/>
        <v>338718</v>
      </c>
      <c r="BW158" s="421">
        <f>R158+AY158</f>
        <v>681468</v>
      </c>
      <c r="BX158" s="422">
        <f>S158+BM158</f>
        <v>51.646900000000002</v>
      </c>
      <c r="BY158" s="422">
        <f t="shared" ref="BY158:BZ161" si="346">T158+BK158</f>
        <v>45.597900000000003</v>
      </c>
      <c r="BZ158" s="611">
        <f t="shared" si="346"/>
        <v>6.0489999999999995</v>
      </c>
      <c r="CA158" s="423">
        <v>152054</v>
      </c>
      <c r="CB158" s="418">
        <v>112800</v>
      </c>
      <c r="CC158" s="418">
        <v>0</v>
      </c>
      <c r="CD158" s="418">
        <v>38126</v>
      </c>
      <c r="CE158" s="418">
        <v>1128</v>
      </c>
      <c r="CF158" s="527">
        <v>0.2</v>
      </c>
    </row>
    <row r="159" spans="1:84" ht="14.1" customHeight="1" x14ac:dyDescent="0.2">
      <c r="A159" s="66">
        <v>36</v>
      </c>
      <c r="B159" s="63">
        <v>2477</v>
      </c>
      <c r="C159" s="64">
        <v>600079872</v>
      </c>
      <c r="D159" s="63">
        <v>68975147</v>
      </c>
      <c r="E159" s="65" t="s">
        <v>608</v>
      </c>
      <c r="F159" s="66">
        <v>3113</v>
      </c>
      <c r="G159" s="77" t="s">
        <v>292</v>
      </c>
      <c r="H159" s="67" t="s">
        <v>272</v>
      </c>
      <c r="I159" s="423">
        <f t="shared" si="302"/>
        <v>0</v>
      </c>
      <c r="J159" s="418">
        <f t="shared" si="303"/>
        <v>0</v>
      </c>
      <c r="K159" s="418">
        <v>0</v>
      </c>
      <c r="L159" s="418">
        <v>0</v>
      </c>
      <c r="M159" s="418">
        <f t="shared" si="304"/>
        <v>0</v>
      </c>
      <c r="N159" s="418">
        <v>0</v>
      </c>
      <c r="O159" s="418">
        <v>0</v>
      </c>
      <c r="P159" s="668">
        <f t="shared" si="305"/>
        <v>0</v>
      </c>
      <c r="Q159" s="668">
        <f t="shared" si="306"/>
        <v>0</v>
      </c>
      <c r="R159" s="418">
        <v>0</v>
      </c>
      <c r="S159" s="419">
        <f t="shared" si="307"/>
        <v>0</v>
      </c>
      <c r="T159" s="420">
        <v>0</v>
      </c>
      <c r="U159" s="426">
        <v>0</v>
      </c>
      <c r="V159" s="428">
        <f t="shared" si="308"/>
        <v>0</v>
      </c>
      <c r="W159" s="421">
        <f t="shared" si="309"/>
        <v>0</v>
      </c>
      <c r="X159" s="16">
        <v>2998560</v>
      </c>
      <c r="Y159" s="16">
        <v>0</v>
      </c>
      <c r="Z159" s="16">
        <v>0</v>
      </c>
      <c r="AA159" s="16">
        <v>0</v>
      </c>
      <c r="AB159" s="421">
        <v>0</v>
      </c>
      <c r="AC159" s="16">
        <v>0</v>
      </c>
      <c r="AD159" s="16">
        <v>0</v>
      </c>
      <c r="AE159" s="16">
        <v>0</v>
      </c>
      <c r="AF159" s="421">
        <f t="shared" si="310"/>
        <v>2998560</v>
      </c>
      <c r="AG159" s="421">
        <f t="shared" si="311"/>
        <v>0</v>
      </c>
      <c r="AH159" s="421">
        <f t="shared" si="312"/>
        <v>2998560</v>
      </c>
      <c r="AI159" s="16">
        <v>0</v>
      </c>
      <c r="AJ159" s="16">
        <v>0</v>
      </c>
      <c r="AK159" s="421">
        <v>0</v>
      </c>
      <c r="AL159" s="16">
        <v>0</v>
      </c>
      <c r="AM159" s="16">
        <v>0</v>
      </c>
      <c r="AN159" s="16">
        <v>0</v>
      </c>
      <c r="AO159" s="421">
        <f t="shared" si="313"/>
        <v>0</v>
      </c>
      <c r="AP159" s="16">
        <v>0</v>
      </c>
      <c r="AQ159" s="421">
        <f t="shared" si="314"/>
        <v>0</v>
      </c>
      <c r="AR159" s="421">
        <f t="shared" si="341"/>
        <v>2998560</v>
      </c>
      <c r="AS159" s="421">
        <f t="shared" si="341"/>
        <v>0</v>
      </c>
      <c r="AT159" s="421">
        <f t="shared" si="315"/>
        <v>2998560</v>
      </c>
      <c r="AU159" s="68">
        <f t="shared" si="342"/>
        <v>1013513</v>
      </c>
      <c r="AV159" s="68">
        <f>ROUND(AH159*1%,0)</f>
        <v>29986</v>
      </c>
      <c r="AW159" s="16">
        <v>0</v>
      </c>
      <c r="AX159" s="16">
        <v>0</v>
      </c>
      <c r="AY159" s="421">
        <f t="shared" si="316"/>
        <v>0</v>
      </c>
      <c r="AZ159" s="421">
        <f t="shared" si="317"/>
        <v>4042059</v>
      </c>
      <c r="BA159" s="13">
        <v>0</v>
      </c>
      <c r="BB159" s="13">
        <v>0</v>
      </c>
      <c r="BC159" s="13">
        <v>7.53</v>
      </c>
      <c r="BD159" s="422">
        <v>0</v>
      </c>
      <c r="BE159" s="422">
        <v>0</v>
      </c>
      <c r="BF159" s="422">
        <v>0</v>
      </c>
      <c r="BG159" s="422">
        <v>0</v>
      </c>
      <c r="BH159" s="422">
        <v>0</v>
      </c>
      <c r="BI159" s="422">
        <v>0</v>
      </c>
      <c r="BJ159" s="422">
        <v>0</v>
      </c>
      <c r="BK159" s="422">
        <f>BA159+BC159+BD159+BF159+BH159+BI159</f>
        <v>7.53</v>
      </c>
      <c r="BL159" s="422">
        <f>BB159+BE159+BG159+BJ159</f>
        <v>0</v>
      </c>
      <c r="BM159" s="424">
        <f t="shared" si="318"/>
        <v>7.53</v>
      </c>
      <c r="BN159" s="427">
        <f>I159+AZ159</f>
        <v>4042059</v>
      </c>
      <c r="BO159" s="421">
        <f>J159+AH159</f>
        <v>2998560</v>
      </c>
      <c r="BP159" s="421">
        <f t="shared" si="343"/>
        <v>2998560</v>
      </c>
      <c r="BQ159" s="421">
        <f t="shared" si="343"/>
        <v>0</v>
      </c>
      <c r="BR159" s="421">
        <f>M159+AQ159</f>
        <v>0</v>
      </c>
      <c r="BS159" s="421">
        <f t="shared" si="344"/>
        <v>0</v>
      </c>
      <c r="BT159" s="421">
        <f t="shared" si="344"/>
        <v>0</v>
      </c>
      <c r="BU159" s="421">
        <f t="shared" si="345"/>
        <v>1013513</v>
      </c>
      <c r="BV159" s="421">
        <f t="shared" si="345"/>
        <v>29986</v>
      </c>
      <c r="BW159" s="421">
        <f>R159+AY159</f>
        <v>0</v>
      </c>
      <c r="BX159" s="422">
        <f>S159+BM159</f>
        <v>7.53</v>
      </c>
      <c r="BY159" s="422">
        <f t="shared" si="346"/>
        <v>7.53</v>
      </c>
      <c r="BZ159" s="611">
        <f t="shared" si="346"/>
        <v>0</v>
      </c>
      <c r="CA159" s="423"/>
      <c r="CB159" s="418"/>
      <c r="CC159" s="418"/>
      <c r="CD159" s="418"/>
      <c r="CE159" s="418"/>
      <c r="CF159" s="527"/>
    </row>
    <row r="160" spans="1:84" ht="14.1" customHeight="1" x14ac:dyDescent="0.2">
      <c r="A160" s="66">
        <v>36</v>
      </c>
      <c r="B160" s="63">
        <v>2477</v>
      </c>
      <c r="C160" s="64">
        <v>600079872</v>
      </c>
      <c r="D160" s="63">
        <v>68975147</v>
      </c>
      <c r="E160" s="65" t="s">
        <v>608</v>
      </c>
      <c r="F160" s="66">
        <v>3143</v>
      </c>
      <c r="G160" s="77" t="s">
        <v>596</v>
      </c>
      <c r="H160" s="67" t="s">
        <v>271</v>
      </c>
      <c r="I160" s="423">
        <f t="shared" si="302"/>
        <v>4475221</v>
      </c>
      <c r="J160" s="418">
        <f t="shared" si="303"/>
        <v>3319897</v>
      </c>
      <c r="K160" s="418">
        <v>3319897</v>
      </c>
      <c r="L160" s="418">
        <v>0</v>
      </c>
      <c r="M160" s="418">
        <f t="shared" si="304"/>
        <v>0</v>
      </c>
      <c r="N160" s="418">
        <v>0</v>
      </c>
      <c r="O160" s="418">
        <v>0</v>
      </c>
      <c r="P160" s="668">
        <f t="shared" si="305"/>
        <v>1122125</v>
      </c>
      <c r="Q160" s="668">
        <f t="shared" si="306"/>
        <v>33199</v>
      </c>
      <c r="R160" s="418">
        <v>0</v>
      </c>
      <c r="S160" s="419">
        <f t="shared" si="307"/>
        <v>6.1570999999999998</v>
      </c>
      <c r="T160" s="419">
        <v>6.1570999999999998</v>
      </c>
      <c r="U160" s="426">
        <v>0</v>
      </c>
      <c r="V160" s="428">
        <f t="shared" si="308"/>
        <v>0</v>
      </c>
      <c r="W160" s="421">
        <f t="shared" si="309"/>
        <v>0</v>
      </c>
      <c r="X160" s="421">
        <v>0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f t="shared" si="310"/>
        <v>0</v>
      </c>
      <c r="AG160" s="421">
        <f t="shared" si="311"/>
        <v>0</v>
      </c>
      <c r="AH160" s="421">
        <f t="shared" si="312"/>
        <v>0</v>
      </c>
      <c r="AI160" s="421">
        <v>0</v>
      </c>
      <c r="AJ160" s="421">
        <v>0</v>
      </c>
      <c r="AK160" s="421">
        <v>0</v>
      </c>
      <c r="AL160" s="421">
        <v>0</v>
      </c>
      <c r="AM160" s="421">
        <v>0</v>
      </c>
      <c r="AN160" s="421">
        <v>0</v>
      </c>
      <c r="AO160" s="421">
        <f t="shared" si="313"/>
        <v>0</v>
      </c>
      <c r="AP160" s="421">
        <f t="shared" si="319"/>
        <v>0</v>
      </c>
      <c r="AQ160" s="421">
        <f t="shared" si="314"/>
        <v>0</v>
      </c>
      <c r="AR160" s="421">
        <f t="shared" si="341"/>
        <v>0</v>
      </c>
      <c r="AS160" s="421">
        <f t="shared" si="341"/>
        <v>0</v>
      </c>
      <c r="AT160" s="421">
        <f t="shared" si="315"/>
        <v>0</v>
      </c>
      <c r="AU160" s="68">
        <f t="shared" si="342"/>
        <v>0</v>
      </c>
      <c r="AV160" s="68">
        <f>ROUND(AH160*1%,0)</f>
        <v>0</v>
      </c>
      <c r="AW160" s="421">
        <v>0</v>
      </c>
      <c r="AX160" s="421">
        <v>0</v>
      </c>
      <c r="AY160" s="421">
        <f t="shared" si="316"/>
        <v>0</v>
      </c>
      <c r="AZ160" s="421">
        <f t="shared" si="317"/>
        <v>0</v>
      </c>
      <c r="BA160" s="422">
        <v>0</v>
      </c>
      <c r="BB160" s="422">
        <v>0</v>
      </c>
      <c r="BC160" s="422">
        <v>0</v>
      </c>
      <c r="BD160" s="422">
        <v>0</v>
      </c>
      <c r="BE160" s="422">
        <v>0</v>
      </c>
      <c r="BF160" s="422">
        <v>0</v>
      </c>
      <c r="BG160" s="422">
        <v>0</v>
      </c>
      <c r="BH160" s="422">
        <v>0</v>
      </c>
      <c r="BI160" s="422">
        <v>0</v>
      </c>
      <c r="BJ160" s="422">
        <v>0</v>
      </c>
      <c r="BK160" s="422">
        <f>BA160+BC160+BD160+BF160+BH160+BI160</f>
        <v>0</v>
      </c>
      <c r="BL160" s="422">
        <f>BB160+BE160+BG160+BJ160</f>
        <v>0</v>
      </c>
      <c r="BM160" s="424">
        <f t="shared" si="318"/>
        <v>0</v>
      </c>
      <c r="BN160" s="427">
        <f>I160+AZ160</f>
        <v>4475221</v>
      </c>
      <c r="BO160" s="421">
        <f>J160+AH160</f>
        <v>3319897</v>
      </c>
      <c r="BP160" s="421">
        <f t="shared" si="343"/>
        <v>3319897</v>
      </c>
      <c r="BQ160" s="421">
        <f t="shared" si="343"/>
        <v>0</v>
      </c>
      <c r="BR160" s="421">
        <f>M160+AQ160</f>
        <v>0</v>
      </c>
      <c r="BS160" s="421">
        <f t="shared" si="344"/>
        <v>0</v>
      </c>
      <c r="BT160" s="421">
        <f t="shared" si="344"/>
        <v>0</v>
      </c>
      <c r="BU160" s="421">
        <f t="shared" si="345"/>
        <v>1122125</v>
      </c>
      <c r="BV160" s="421">
        <f t="shared" si="345"/>
        <v>33199</v>
      </c>
      <c r="BW160" s="421">
        <f>R160+AY160</f>
        <v>0</v>
      </c>
      <c r="BX160" s="422">
        <f>S160+BM160</f>
        <v>6.1570999999999998</v>
      </c>
      <c r="BY160" s="422">
        <f t="shared" si="346"/>
        <v>6.1570999999999998</v>
      </c>
      <c r="BZ160" s="611">
        <f t="shared" si="346"/>
        <v>0</v>
      </c>
      <c r="CA160" s="423"/>
      <c r="CB160" s="418"/>
      <c r="CC160" s="418"/>
      <c r="CD160" s="418"/>
      <c r="CE160" s="418"/>
      <c r="CF160" s="527"/>
    </row>
    <row r="161" spans="1:84" ht="14.1" customHeight="1" x14ac:dyDescent="0.2">
      <c r="A161" s="66">
        <v>36</v>
      </c>
      <c r="B161" s="63">
        <v>2477</v>
      </c>
      <c r="C161" s="64">
        <v>600079872</v>
      </c>
      <c r="D161" s="63">
        <v>68975147</v>
      </c>
      <c r="E161" s="65" t="s">
        <v>608</v>
      </c>
      <c r="F161" s="66">
        <v>3143</v>
      </c>
      <c r="G161" s="77" t="s">
        <v>597</v>
      </c>
      <c r="H161" s="67" t="s">
        <v>272</v>
      </c>
      <c r="I161" s="423">
        <f t="shared" si="302"/>
        <v>105007</v>
      </c>
      <c r="J161" s="418">
        <f t="shared" si="303"/>
        <v>75161</v>
      </c>
      <c r="K161" s="418">
        <v>0</v>
      </c>
      <c r="L161" s="674">
        <v>75161</v>
      </c>
      <c r="M161" s="418">
        <f t="shared" si="304"/>
        <v>0</v>
      </c>
      <c r="N161" s="418">
        <v>0</v>
      </c>
      <c r="O161" s="418">
        <v>0</v>
      </c>
      <c r="P161" s="668">
        <f t="shared" si="305"/>
        <v>25404</v>
      </c>
      <c r="Q161" s="668">
        <f t="shared" si="306"/>
        <v>752</v>
      </c>
      <c r="R161" s="675">
        <v>3690</v>
      </c>
      <c r="S161" s="419">
        <f t="shared" si="307"/>
        <v>0.28470000000000001</v>
      </c>
      <c r="T161" s="679">
        <v>0</v>
      </c>
      <c r="U161" s="909">
        <v>0.28470000000000001</v>
      </c>
      <c r="V161" s="428">
        <f t="shared" si="308"/>
        <v>0</v>
      </c>
      <c r="W161" s="421">
        <f t="shared" si="309"/>
        <v>0</v>
      </c>
      <c r="X161" s="421">
        <v>0</v>
      </c>
      <c r="Y161" s="421">
        <v>0</v>
      </c>
      <c r="Z161" s="421">
        <v>0</v>
      </c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f t="shared" si="310"/>
        <v>0</v>
      </c>
      <c r="AG161" s="421">
        <f t="shared" si="311"/>
        <v>0</v>
      </c>
      <c r="AH161" s="421">
        <f t="shared" si="312"/>
        <v>0</v>
      </c>
      <c r="AI161" s="421">
        <v>0</v>
      </c>
      <c r="AJ161" s="421">
        <v>0</v>
      </c>
      <c r="AK161" s="421">
        <v>0</v>
      </c>
      <c r="AL161" s="421">
        <v>0</v>
      </c>
      <c r="AM161" s="421">
        <v>0</v>
      </c>
      <c r="AN161" s="421">
        <v>0</v>
      </c>
      <c r="AO161" s="421">
        <f t="shared" si="313"/>
        <v>0</v>
      </c>
      <c r="AP161" s="421">
        <f t="shared" si="319"/>
        <v>0</v>
      </c>
      <c r="AQ161" s="421">
        <f t="shared" si="314"/>
        <v>0</v>
      </c>
      <c r="AR161" s="421">
        <f t="shared" si="341"/>
        <v>0</v>
      </c>
      <c r="AS161" s="421">
        <f t="shared" si="341"/>
        <v>0</v>
      </c>
      <c r="AT161" s="421">
        <f t="shared" si="315"/>
        <v>0</v>
      </c>
      <c r="AU161" s="68">
        <f t="shared" si="342"/>
        <v>0</v>
      </c>
      <c r="AV161" s="68">
        <f>ROUND(AH161*1%,0)</f>
        <v>0</v>
      </c>
      <c r="AW161" s="421">
        <v>0</v>
      </c>
      <c r="AX161" s="421">
        <v>0</v>
      </c>
      <c r="AY161" s="421">
        <f t="shared" si="316"/>
        <v>0</v>
      </c>
      <c r="AZ161" s="421">
        <f t="shared" si="317"/>
        <v>0</v>
      </c>
      <c r="BA161" s="422">
        <v>0</v>
      </c>
      <c r="BB161" s="422">
        <v>0</v>
      </c>
      <c r="BC161" s="422">
        <v>0</v>
      </c>
      <c r="BD161" s="422">
        <v>0</v>
      </c>
      <c r="BE161" s="422">
        <v>0</v>
      </c>
      <c r="BF161" s="422">
        <v>0</v>
      </c>
      <c r="BG161" s="422">
        <v>0</v>
      </c>
      <c r="BH161" s="422">
        <v>0</v>
      </c>
      <c r="BI161" s="422">
        <v>0</v>
      </c>
      <c r="BJ161" s="422">
        <v>0</v>
      </c>
      <c r="BK161" s="422">
        <f>BA161+BC161+BD161+BF161+BH161+BI161</f>
        <v>0</v>
      </c>
      <c r="BL161" s="422">
        <f>BB161+BE161+BG161+BJ161</f>
        <v>0</v>
      </c>
      <c r="BM161" s="424">
        <f t="shared" si="318"/>
        <v>0</v>
      </c>
      <c r="BN161" s="427">
        <f>I161+AZ161</f>
        <v>105007</v>
      </c>
      <c r="BO161" s="421">
        <f>J161+AH161</f>
        <v>75161</v>
      </c>
      <c r="BP161" s="421">
        <f t="shared" si="343"/>
        <v>0</v>
      </c>
      <c r="BQ161" s="421">
        <f t="shared" si="343"/>
        <v>75161</v>
      </c>
      <c r="BR161" s="421">
        <f>M161+AQ161</f>
        <v>0</v>
      </c>
      <c r="BS161" s="421">
        <f t="shared" si="344"/>
        <v>0</v>
      </c>
      <c r="BT161" s="421">
        <f t="shared" si="344"/>
        <v>0</v>
      </c>
      <c r="BU161" s="421">
        <f t="shared" si="345"/>
        <v>25404</v>
      </c>
      <c r="BV161" s="421">
        <f t="shared" si="345"/>
        <v>752</v>
      </c>
      <c r="BW161" s="421">
        <f>R161+AY161</f>
        <v>3690</v>
      </c>
      <c r="BX161" s="422">
        <f>S161+BM161</f>
        <v>0.28470000000000001</v>
      </c>
      <c r="BY161" s="422">
        <f t="shared" si="346"/>
        <v>0</v>
      </c>
      <c r="BZ161" s="611">
        <f t="shared" si="346"/>
        <v>0.28470000000000001</v>
      </c>
      <c r="CA161" s="423"/>
      <c r="CB161" s="418"/>
      <c r="CC161" s="418"/>
      <c r="CD161" s="418"/>
      <c r="CE161" s="418"/>
      <c r="CF161" s="527"/>
    </row>
    <row r="162" spans="1:84" ht="14.1" customHeight="1" x14ac:dyDescent="0.2">
      <c r="A162" s="72">
        <v>36</v>
      </c>
      <c r="B162" s="69">
        <v>2477</v>
      </c>
      <c r="C162" s="70">
        <v>600079872</v>
      </c>
      <c r="D162" s="69">
        <v>68975147</v>
      </c>
      <c r="E162" s="71" t="s">
        <v>609</v>
      </c>
      <c r="F162" s="72"/>
      <c r="G162" s="71"/>
      <c r="H162" s="73"/>
      <c r="I162" s="538">
        <f t="shared" ref="I162:BU162" si="347">SUM(I158:I161)</f>
        <v>50774553</v>
      </c>
      <c r="J162" s="74">
        <f t="shared" si="347"/>
        <v>37158305</v>
      </c>
      <c r="K162" s="74">
        <f>SUM(K158:K161)</f>
        <v>35038066</v>
      </c>
      <c r="L162" s="74">
        <f>SUM(L158:L161)</f>
        <v>2120239</v>
      </c>
      <c r="M162" s="74">
        <f>SUM(M158:M161)</f>
        <v>0</v>
      </c>
      <c r="N162" s="74">
        <f>SUM(N158:N161)</f>
        <v>0</v>
      </c>
      <c r="O162" s="74">
        <f>SUM(O158:O161)</f>
        <v>0</v>
      </c>
      <c r="P162" s="74">
        <f t="shared" ref="P162:Q162" si="348">SUM(P158:P161)</f>
        <v>12559507</v>
      </c>
      <c r="Q162" s="74">
        <f t="shared" si="348"/>
        <v>371583</v>
      </c>
      <c r="R162" s="74">
        <f>SUM(R158:R161)</f>
        <v>685158</v>
      </c>
      <c r="S162" s="75">
        <f>SUM(S158:S161)</f>
        <v>57.9587</v>
      </c>
      <c r="T162" s="75">
        <f>SUM(T158:T161)</f>
        <v>51.475000000000001</v>
      </c>
      <c r="U162" s="753">
        <f>SUM(U158:U161)</f>
        <v>6.4836999999999998</v>
      </c>
      <c r="V162" s="538">
        <f t="shared" si="347"/>
        <v>-19200</v>
      </c>
      <c r="W162" s="74">
        <f t="shared" si="347"/>
        <v>-51200</v>
      </c>
      <c r="X162" s="74">
        <f t="shared" si="347"/>
        <v>2998560</v>
      </c>
      <c r="Y162" s="74">
        <f t="shared" si="347"/>
        <v>0</v>
      </c>
      <c r="Z162" s="74">
        <f t="shared" si="347"/>
        <v>0</v>
      </c>
      <c r="AA162" s="74">
        <f t="shared" si="347"/>
        <v>66200</v>
      </c>
      <c r="AB162" s="74">
        <f t="shared" si="347"/>
        <v>112800</v>
      </c>
      <c r="AC162" s="74">
        <f t="shared" si="347"/>
        <v>0</v>
      </c>
      <c r="AD162" s="74">
        <f t="shared" si="347"/>
        <v>0</v>
      </c>
      <c r="AE162" s="74">
        <f t="shared" si="347"/>
        <v>0</v>
      </c>
      <c r="AF162" s="74">
        <f t="shared" si="347"/>
        <v>3158360</v>
      </c>
      <c r="AG162" s="74">
        <f t="shared" si="347"/>
        <v>-51200</v>
      </c>
      <c r="AH162" s="74">
        <f t="shared" si="347"/>
        <v>3107160</v>
      </c>
      <c r="AI162" s="74">
        <f t="shared" si="347"/>
        <v>19200</v>
      </c>
      <c r="AJ162" s="74">
        <f t="shared" si="347"/>
        <v>51200</v>
      </c>
      <c r="AK162" s="74">
        <f t="shared" si="347"/>
        <v>0</v>
      </c>
      <c r="AL162" s="74">
        <f t="shared" si="347"/>
        <v>0</v>
      </c>
      <c r="AM162" s="74">
        <f t="shared" si="347"/>
        <v>0</v>
      </c>
      <c r="AN162" s="74">
        <f t="shared" si="347"/>
        <v>0</v>
      </c>
      <c r="AO162" s="74">
        <f t="shared" si="347"/>
        <v>19200</v>
      </c>
      <c r="AP162" s="74">
        <f t="shared" si="347"/>
        <v>51200</v>
      </c>
      <c r="AQ162" s="74">
        <f t="shared" si="347"/>
        <v>70400</v>
      </c>
      <c r="AR162" s="74">
        <f t="shared" si="347"/>
        <v>3177560</v>
      </c>
      <c r="AS162" s="74">
        <f t="shared" si="347"/>
        <v>0</v>
      </c>
      <c r="AT162" s="74">
        <f t="shared" si="347"/>
        <v>3177560</v>
      </c>
      <c r="AU162" s="74">
        <f t="shared" si="347"/>
        <v>1074015</v>
      </c>
      <c r="AV162" s="74">
        <f t="shared" si="347"/>
        <v>31072</v>
      </c>
      <c r="AW162" s="74">
        <f t="shared" si="347"/>
        <v>0</v>
      </c>
      <c r="AX162" s="74">
        <f t="shared" si="347"/>
        <v>0</v>
      </c>
      <c r="AY162" s="74">
        <f t="shared" si="347"/>
        <v>0</v>
      </c>
      <c r="AZ162" s="74">
        <f t="shared" si="347"/>
        <v>4282647</v>
      </c>
      <c r="BA162" s="75">
        <f t="shared" si="347"/>
        <v>-0.02</v>
      </c>
      <c r="BB162" s="75">
        <f t="shared" si="347"/>
        <v>-0.15</v>
      </c>
      <c r="BC162" s="75">
        <f t="shared" si="347"/>
        <v>7.53</v>
      </c>
      <c r="BD162" s="75">
        <f t="shared" si="347"/>
        <v>0.2</v>
      </c>
      <c r="BE162" s="75">
        <f t="shared" si="347"/>
        <v>0</v>
      </c>
      <c r="BF162" s="75">
        <f t="shared" si="347"/>
        <v>0</v>
      </c>
      <c r="BG162" s="75">
        <f t="shared" si="347"/>
        <v>0</v>
      </c>
      <c r="BH162" s="75">
        <f t="shared" si="347"/>
        <v>0.1</v>
      </c>
      <c r="BI162" s="75">
        <f t="shared" si="347"/>
        <v>0</v>
      </c>
      <c r="BJ162" s="75">
        <f t="shared" si="347"/>
        <v>0</v>
      </c>
      <c r="BK162" s="75">
        <f t="shared" si="347"/>
        <v>7.8100000000000005</v>
      </c>
      <c r="BL162" s="75">
        <f t="shared" si="347"/>
        <v>-0.15</v>
      </c>
      <c r="BM162" s="76">
        <f t="shared" si="347"/>
        <v>7.66</v>
      </c>
      <c r="BN162" s="549">
        <f t="shared" si="347"/>
        <v>55057200</v>
      </c>
      <c r="BO162" s="74">
        <f t="shared" si="347"/>
        <v>40265465</v>
      </c>
      <c r="BP162" s="74">
        <f t="shared" si="347"/>
        <v>38196426</v>
      </c>
      <c r="BQ162" s="74">
        <f t="shared" si="347"/>
        <v>2069039</v>
      </c>
      <c r="BR162" s="74">
        <f t="shared" si="347"/>
        <v>70400</v>
      </c>
      <c r="BS162" s="74">
        <f t="shared" si="347"/>
        <v>19200</v>
      </c>
      <c r="BT162" s="74">
        <f t="shared" si="347"/>
        <v>51200</v>
      </c>
      <c r="BU162" s="74">
        <f t="shared" si="347"/>
        <v>13633522</v>
      </c>
      <c r="BV162" s="74">
        <f t="shared" ref="BV162:CF162" si="349">SUM(BV158:BV161)</f>
        <v>402655</v>
      </c>
      <c r="BW162" s="74">
        <f t="shared" si="349"/>
        <v>685158</v>
      </c>
      <c r="BX162" s="75">
        <f t="shared" si="349"/>
        <v>65.618700000000004</v>
      </c>
      <c r="BY162" s="75">
        <f t="shared" si="349"/>
        <v>59.285000000000004</v>
      </c>
      <c r="BZ162" s="753">
        <f t="shared" si="349"/>
        <v>6.3336999999999994</v>
      </c>
      <c r="CA162" s="796">
        <f t="shared" si="349"/>
        <v>152054</v>
      </c>
      <c r="CB162" s="789">
        <f t="shared" si="349"/>
        <v>112800</v>
      </c>
      <c r="CC162" s="789">
        <f t="shared" si="349"/>
        <v>0</v>
      </c>
      <c r="CD162" s="789">
        <f t="shared" si="349"/>
        <v>38126</v>
      </c>
      <c r="CE162" s="789">
        <f t="shared" si="349"/>
        <v>1128</v>
      </c>
      <c r="CF162" s="793">
        <f t="shared" si="349"/>
        <v>0.2</v>
      </c>
    </row>
    <row r="163" spans="1:84" ht="14.1" customHeight="1" x14ac:dyDescent="0.2">
      <c r="A163" s="66">
        <v>37</v>
      </c>
      <c r="B163" s="63">
        <v>2470</v>
      </c>
      <c r="C163" s="64">
        <v>600080013</v>
      </c>
      <c r="D163" s="63">
        <v>72741554</v>
      </c>
      <c r="E163" s="65" t="s">
        <v>610</v>
      </c>
      <c r="F163" s="66">
        <v>3113</v>
      </c>
      <c r="G163" s="65" t="s">
        <v>294</v>
      </c>
      <c r="H163" s="67" t="s">
        <v>271</v>
      </c>
      <c r="I163" s="423">
        <f t="shared" si="302"/>
        <v>40145885</v>
      </c>
      <c r="J163" s="418">
        <f t="shared" ref="J163" si="350">K163+L163</f>
        <v>29381734</v>
      </c>
      <c r="K163" s="418">
        <v>27761290</v>
      </c>
      <c r="L163" s="418">
        <v>1620444</v>
      </c>
      <c r="M163" s="418">
        <f>N163+O163</f>
        <v>0</v>
      </c>
      <c r="N163" s="418">
        <v>0</v>
      </c>
      <c r="O163" s="418">
        <v>0</v>
      </c>
      <c r="P163" s="668">
        <f t="shared" si="305"/>
        <v>9931026</v>
      </c>
      <c r="Q163" s="668">
        <f>ROUND(J163*1%,0)+1</f>
        <v>293818</v>
      </c>
      <c r="R163" s="418">
        <v>539307</v>
      </c>
      <c r="S163" s="419">
        <f>T163+U163</f>
        <v>40.354700000000001</v>
      </c>
      <c r="T163" s="419">
        <v>35.454700000000003</v>
      </c>
      <c r="U163" s="426">
        <v>4.9000000000000004</v>
      </c>
      <c r="V163" s="428">
        <f t="shared" si="308"/>
        <v>-89600</v>
      </c>
      <c r="W163" s="421">
        <f t="shared" si="309"/>
        <v>-64000</v>
      </c>
      <c r="X163" s="421">
        <v>0</v>
      </c>
      <c r="Y163" s="421">
        <v>0</v>
      </c>
      <c r="Z163" s="421">
        <v>0</v>
      </c>
      <c r="AA163" s="421">
        <v>153584</v>
      </c>
      <c r="AB163" s="421">
        <v>564000</v>
      </c>
      <c r="AC163" s="421">
        <v>0</v>
      </c>
      <c r="AD163" s="421">
        <v>0</v>
      </c>
      <c r="AE163" s="421">
        <v>0</v>
      </c>
      <c r="AF163" s="421">
        <f t="shared" si="310"/>
        <v>627984</v>
      </c>
      <c r="AG163" s="421">
        <f t="shared" si="311"/>
        <v>-64000</v>
      </c>
      <c r="AH163" s="421">
        <f t="shared" si="312"/>
        <v>563984</v>
      </c>
      <c r="AI163" s="421">
        <v>89600</v>
      </c>
      <c r="AJ163" s="421">
        <v>64000</v>
      </c>
      <c r="AK163" s="421">
        <v>0</v>
      </c>
      <c r="AL163" s="421">
        <v>0</v>
      </c>
      <c r="AM163" s="421">
        <v>0</v>
      </c>
      <c r="AN163" s="421">
        <v>0</v>
      </c>
      <c r="AO163" s="421">
        <f t="shared" si="313"/>
        <v>89600</v>
      </c>
      <c r="AP163" s="421">
        <f t="shared" si="319"/>
        <v>64000</v>
      </c>
      <c r="AQ163" s="421">
        <f t="shared" si="314"/>
        <v>153600</v>
      </c>
      <c r="AR163" s="421">
        <f t="shared" ref="AR163:AS167" si="351">AF163+AO163</f>
        <v>717584</v>
      </c>
      <c r="AS163" s="421">
        <f t="shared" si="351"/>
        <v>0</v>
      </c>
      <c r="AT163" s="421">
        <f t="shared" si="315"/>
        <v>717584</v>
      </c>
      <c r="AU163" s="68">
        <f t="shared" ref="AU163:AU167" si="352">ROUND((AH163+AI163+AJ163+AK163+AL163)*33.8%,0)</f>
        <v>242543</v>
      </c>
      <c r="AV163" s="68">
        <f>ROUND(AH163*1%,0)</f>
        <v>5640</v>
      </c>
      <c r="AW163" s="421">
        <v>0</v>
      </c>
      <c r="AX163" s="421">
        <v>0</v>
      </c>
      <c r="AY163" s="421">
        <f t="shared" si="316"/>
        <v>0</v>
      </c>
      <c r="AZ163" s="421">
        <f t="shared" si="317"/>
        <v>965767</v>
      </c>
      <c r="BA163" s="422">
        <v>-0.11</v>
      </c>
      <c r="BB163" s="422">
        <v>-0.19</v>
      </c>
      <c r="BC163" s="422">
        <v>0</v>
      </c>
      <c r="BD163" s="422">
        <v>1</v>
      </c>
      <c r="BE163" s="422">
        <v>0</v>
      </c>
      <c r="BF163" s="422">
        <v>0</v>
      </c>
      <c r="BG163" s="422">
        <v>0</v>
      </c>
      <c r="BH163" s="422">
        <v>0.22</v>
      </c>
      <c r="BI163" s="422">
        <v>0</v>
      </c>
      <c r="BJ163" s="422">
        <v>0</v>
      </c>
      <c r="BK163" s="422">
        <f>BA163+BC163+BD163+BF163+BH163+BI163</f>
        <v>1.1100000000000001</v>
      </c>
      <c r="BL163" s="422">
        <f>BB163+BE163+BG163+BJ163</f>
        <v>-0.19</v>
      </c>
      <c r="BM163" s="424">
        <f t="shared" si="318"/>
        <v>0.92000000000000015</v>
      </c>
      <c r="BN163" s="427">
        <f>I163+AZ163</f>
        <v>41111652</v>
      </c>
      <c r="BO163" s="421">
        <f>J163+AH163</f>
        <v>29945718</v>
      </c>
      <c r="BP163" s="421">
        <f t="shared" ref="BP163:BQ167" si="353">K163+AF163</f>
        <v>28389274</v>
      </c>
      <c r="BQ163" s="421">
        <f t="shared" si="353"/>
        <v>1556444</v>
      </c>
      <c r="BR163" s="421">
        <f>M163+AQ163</f>
        <v>153600</v>
      </c>
      <c r="BS163" s="421">
        <f t="shared" ref="BS163:BT167" si="354">N163+AO163</f>
        <v>89600</v>
      </c>
      <c r="BT163" s="421">
        <f t="shared" si="354"/>
        <v>64000</v>
      </c>
      <c r="BU163" s="421">
        <f t="shared" ref="BU163:BV167" si="355">P163+AU163</f>
        <v>10173569</v>
      </c>
      <c r="BV163" s="421">
        <f t="shared" si="355"/>
        <v>299458</v>
      </c>
      <c r="BW163" s="421">
        <f>R163+AY163</f>
        <v>539307</v>
      </c>
      <c r="BX163" s="422">
        <f>S163+BM163</f>
        <v>41.274700000000003</v>
      </c>
      <c r="BY163" s="422">
        <f t="shared" ref="BY163:BZ167" si="356">T163+BK163</f>
        <v>36.564700000000002</v>
      </c>
      <c r="BZ163" s="611">
        <f t="shared" si="356"/>
        <v>4.71</v>
      </c>
      <c r="CA163" s="423">
        <v>760272</v>
      </c>
      <c r="CB163" s="418">
        <v>564000</v>
      </c>
      <c r="CC163" s="418">
        <v>0</v>
      </c>
      <c r="CD163" s="418">
        <v>190632</v>
      </c>
      <c r="CE163" s="418">
        <v>5640</v>
      </c>
      <c r="CF163" s="527">
        <v>1</v>
      </c>
    </row>
    <row r="164" spans="1:84" ht="14.1" customHeight="1" x14ac:dyDescent="0.2">
      <c r="A164" s="66">
        <v>37</v>
      </c>
      <c r="B164" s="63">
        <v>2470</v>
      </c>
      <c r="C164" s="64">
        <v>600080013</v>
      </c>
      <c r="D164" s="63">
        <v>72741554</v>
      </c>
      <c r="E164" s="65" t="s">
        <v>610</v>
      </c>
      <c r="F164" s="66">
        <v>3113</v>
      </c>
      <c r="G164" s="77" t="s">
        <v>292</v>
      </c>
      <c r="H164" s="67" t="s">
        <v>272</v>
      </c>
      <c r="I164" s="423">
        <f t="shared" si="302"/>
        <v>0</v>
      </c>
      <c r="J164" s="418">
        <f t="shared" si="303"/>
        <v>0</v>
      </c>
      <c r="K164" s="418">
        <v>0</v>
      </c>
      <c r="L164" s="418">
        <v>0</v>
      </c>
      <c r="M164" s="418">
        <f t="shared" si="304"/>
        <v>0</v>
      </c>
      <c r="N164" s="418">
        <v>0</v>
      </c>
      <c r="O164" s="418">
        <v>0</v>
      </c>
      <c r="P164" s="668">
        <f t="shared" si="305"/>
        <v>0</v>
      </c>
      <c r="Q164" s="668">
        <f t="shared" si="306"/>
        <v>0</v>
      </c>
      <c r="R164" s="418">
        <v>0</v>
      </c>
      <c r="S164" s="419">
        <f t="shared" si="307"/>
        <v>0</v>
      </c>
      <c r="T164" s="420">
        <v>0</v>
      </c>
      <c r="U164" s="426">
        <v>0</v>
      </c>
      <c r="V164" s="428">
        <f t="shared" si="308"/>
        <v>0</v>
      </c>
      <c r="W164" s="421">
        <f t="shared" si="309"/>
        <v>0</v>
      </c>
      <c r="X164" s="16">
        <v>607706</v>
      </c>
      <c r="Y164" s="16">
        <v>0</v>
      </c>
      <c r="Z164" s="16">
        <v>0</v>
      </c>
      <c r="AA164" s="16">
        <v>0</v>
      </c>
      <c r="AB164" s="421">
        <v>0</v>
      </c>
      <c r="AC164" s="16">
        <v>0</v>
      </c>
      <c r="AD164" s="16">
        <v>0</v>
      </c>
      <c r="AE164" s="16">
        <v>0</v>
      </c>
      <c r="AF164" s="421">
        <f t="shared" si="310"/>
        <v>607706</v>
      </c>
      <c r="AG164" s="421">
        <f t="shared" si="311"/>
        <v>0</v>
      </c>
      <c r="AH164" s="421">
        <f t="shared" si="312"/>
        <v>607706</v>
      </c>
      <c r="AI164" s="16">
        <v>0</v>
      </c>
      <c r="AJ164" s="16">
        <v>0</v>
      </c>
      <c r="AK164" s="421">
        <v>0</v>
      </c>
      <c r="AL164" s="16">
        <v>0</v>
      </c>
      <c r="AM164" s="16">
        <v>0</v>
      </c>
      <c r="AN164" s="16">
        <v>0</v>
      </c>
      <c r="AO164" s="421">
        <f t="shared" si="313"/>
        <v>0</v>
      </c>
      <c r="AP164" s="16">
        <v>0</v>
      </c>
      <c r="AQ164" s="421">
        <f t="shared" si="314"/>
        <v>0</v>
      </c>
      <c r="AR164" s="421">
        <f t="shared" si="351"/>
        <v>607706</v>
      </c>
      <c r="AS164" s="421">
        <f t="shared" si="351"/>
        <v>0</v>
      </c>
      <c r="AT164" s="421">
        <f t="shared" si="315"/>
        <v>607706</v>
      </c>
      <c r="AU164" s="68">
        <f t="shared" si="352"/>
        <v>205405</v>
      </c>
      <c r="AV164" s="68">
        <f>ROUND(AH164*1%,0)</f>
        <v>6077</v>
      </c>
      <c r="AW164" s="16">
        <v>0</v>
      </c>
      <c r="AX164" s="16">
        <v>0</v>
      </c>
      <c r="AY164" s="421">
        <f t="shared" si="316"/>
        <v>0</v>
      </c>
      <c r="AZ164" s="421">
        <f t="shared" si="317"/>
        <v>819188</v>
      </c>
      <c r="BA164" s="13">
        <v>0</v>
      </c>
      <c r="BB164" s="13">
        <v>0</v>
      </c>
      <c r="BC164" s="13">
        <v>1.6400000000000001</v>
      </c>
      <c r="BD164" s="422">
        <v>0</v>
      </c>
      <c r="BE164" s="422">
        <v>0</v>
      </c>
      <c r="BF164" s="422">
        <v>0</v>
      </c>
      <c r="BG164" s="422">
        <v>0</v>
      </c>
      <c r="BH164" s="422">
        <v>0</v>
      </c>
      <c r="BI164" s="422">
        <v>0</v>
      </c>
      <c r="BJ164" s="422">
        <v>0</v>
      </c>
      <c r="BK164" s="422">
        <f>BA164+BC164+BD164+BF164+BH164+BI164</f>
        <v>1.6400000000000001</v>
      </c>
      <c r="BL164" s="422">
        <f>BB164+BE164+BG164+BJ164</f>
        <v>0</v>
      </c>
      <c r="BM164" s="424">
        <f t="shared" si="318"/>
        <v>1.6400000000000001</v>
      </c>
      <c r="BN164" s="427">
        <f>I164+AZ164</f>
        <v>819188</v>
      </c>
      <c r="BO164" s="421">
        <f>J164+AH164</f>
        <v>607706</v>
      </c>
      <c r="BP164" s="421">
        <f t="shared" si="353"/>
        <v>607706</v>
      </c>
      <c r="BQ164" s="421">
        <f t="shared" si="353"/>
        <v>0</v>
      </c>
      <c r="BR164" s="421">
        <f>M164+AQ164</f>
        <v>0</v>
      </c>
      <c r="BS164" s="421">
        <f t="shared" si="354"/>
        <v>0</v>
      </c>
      <c r="BT164" s="421">
        <f t="shared" si="354"/>
        <v>0</v>
      </c>
      <c r="BU164" s="421">
        <f t="shared" si="355"/>
        <v>205405</v>
      </c>
      <c r="BV164" s="421">
        <f t="shared" si="355"/>
        <v>6077</v>
      </c>
      <c r="BW164" s="421">
        <f>R164+AY164</f>
        <v>0</v>
      </c>
      <c r="BX164" s="422">
        <f>S164+BM164</f>
        <v>1.6400000000000001</v>
      </c>
      <c r="BY164" s="422">
        <f t="shared" si="356"/>
        <v>1.6400000000000001</v>
      </c>
      <c r="BZ164" s="611">
        <f t="shared" si="356"/>
        <v>0</v>
      </c>
      <c r="CA164" s="423"/>
      <c r="CB164" s="418"/>
      <c r="CC164" s="418"/>
      <c r="CD164" s="418"/>
      <c r="CE164" s="418"/>
      <c r="CF164" s="527"/>
    </row>
    <row r="165" spans="1:84" ht="14.1" customHeight="1" x14ac:dyDescent="0.2">
      <c r="A165" s="66">
        <v>37</v>
      </c>
      <c r="B165" s="63">
        <v>2470</v>
      </c>
      <c r="C165" s="64">
        <v>600080013</v>
      </c>
      <c r="D165" s="63">
        <v>72741554</v>
      </c>
      <c r="E165" s="65" t="s">
        <v>610</v>
      </c>
      <c r="F165" s="66">
        <v>3141</v>
      </c>
      <c r="G165" s="77" t="s">
        <v>295</v>
      </c>
      <c r="H165" s="67" t="s">
        <v>272</v>
      </c>
      <c r="I165" s="423">
        <f t="shared" si="302"/>
        <v>2306020</v>
      </c>
      <c r="J165" s="418">
        <f t="shared" si="303"/>
        <v>1696313</v>
      </c>
      <c r="K165" s="418">
        <v>0</v>
      </c>
      <c r="L165" s="924">
        <v>1696313</v>
      </c>
      <c r="M165" s="418">
        <f>N165+O165</f>
        <v>0</v>
      </c>
      <c r="N165" s="205">
        <v>0</v>
      </c>
      <c r="O165" s="205">
        <v>0</v>
      </c>
      <c r="P165" s="668">
        <f t="shared" si="305"/>
        <v>573354</v>
      </c>
      <c r="Q165" s="668">
        <f t="shared" si="306"/>
        <v>16963</v>
      </c>
      <c r="R165" s="674">
        <v>19390</v>
      </c>
      <c r="S165" s="419">
        <f>T165+U165</f>
        <v>5.0867000000000004</v>
      </c>
      <c r="T165" s="676">
        <v>0</v>
      </c>
      <c r="U165" s="909">
        <v>5.0867000000000004</v>
      </c>
      <c r="V165" s="428">
        <f t="shared" si="308"/>
        <v>0</v>
      </c>
      <c r="W165" s="421">
        <f t="shared" si="309"/>
        <v>-83200</v>
      </c>
      <c r="X165" s="421">
        <v>0</v>
      </c>
      <c r="Y165" s="421">
        <v>0</v>
      </c>
      <c r="Z165" s="421">
        <v>0</v>
      </c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f t="shared" si="310"/>
        <v>0</v>
      </c>
      <c r="AG165" s="421">
        <f t="shared" si="311"/>
        <v>-83200</v>
      </c>
      <c r="AH165" s="421">
        <f t="shared" si="312"/>
        <v>-83200</v>
      </c>
      <c r="AI165" s="421">
        <v>0</v>
      </c>
      <c r="AJ165" s="421">
        <v>83200</v>
      </c>
      <c r="AK165" s="421">
        <v>0</v>
      </c>
      <c r="AL165" s="421">
        <v>0</v>
      </c>
      <c r="AM165" s="421">
        <v>0</v>
      </c>
      <c r="AN165" s="421">
        <v>0</v>
      </c>
      <c r="AO165" s="421">
        <f t="shared" si="313"/>
        <v>0</v>
      </c>
      <c r="AP165" s="421">
        <f t="shared" si="319"/>
        <v>83200</v>
      </c>
      <c r="AQ165" s="421">
        <f t="shared" si="314"/>
        <v>83200</v>
      </c>
      <c r="AR165" s="421">
        <f t="shared" si="351"/>
        <v>0</v>
      </c>
      <c r="AS165" s="421">
        <f t="shared" si="351"/>
        <v>0</v>
      </c>
      <c r="AT165" s="421">
        <f t="shared" si="315"/>
        <v>0</v>
      </c>
      <c r="AU165" s="68">
        <f t="shared" si="352"/>
        <v>0</v>
      </c>
      <c r="AV165" s="68">
        <f>ROUND(AH165*1%,0)</f>
        <v>-832</v>
      </c>
      <c r="AW165" s="421">
        <v>0</v>
      </c>
      <c r="AX165" s="421">
        <v>0</v>
      </c>
      <c r="AY165" s="421">
        <f t="shared" si="316"/>
        <v>0</v>
      </c>
      <c r="AZ165" s="421">
        <f t="shared" si="317"/>
        <v>-832</v>
      </c>
      <c r="BA165" s="422">
        <v>0</v>
      </c>
      <c r="BB165" s="422">
        <v>-0.19</v>
      </c>
      <c r="BC165" s="422">
        <v>0</v>
      </c>
      <c r="BD165" s="422">
        <v>0</v>
      </c>
      <c r="BE165" s="422">
        <v>0</v>
      </c>
      <c r="BF165" s="422">
        <v>0</v>
      </c>
      <c r="BG165" s="422">
        <v>0</v>
      </c>
      <c r="BH165" s="422">
        <v>0</v>
      </c>
      <c r="BI165" s="422">
        <v>0</v>
      </c>
      <c r="BJ165" s="422">
        <v>0</v>
      </c>
      <c r="BK165" s="422">
        <f>BA165+BC165+BD165+BF165+BH165+BI165</f>
        <v>0</v>
      </c>
      <c r="BL165" s="422">
        <f>BB165+BE165+BG165+BJ165</f>
        <v>-0.19</v>
      </c>
      <c r="BM165" s="424">
        <f t="shared" si="318"/>
        <v>-0.19</v>
      </c>
      <c r="BN165" s="427">
        <f>I165+AZ165</f>
        <v>2305188</v>
      </c>
      <c r="BO165" s="421">
        <f>J165+AH165</f>
        <v>1613113</v>
      </c>
      <c r="BP165" s="421">
        <f t="shared" si="353"/>
        <v>0</v>
      </c>
      <c r="BQ165" s="421">
        <f t="shared" si="353"/>
        <v>1613113</v>
      </c>
      <c r="BR165" s="421">
        <f>M165+AQ165</f>
        <v>83200</v>
      </c>
      <c r="BS165" s="421">
        <f t="shared" si="354"/>
        <v>0</v>
      </c>
      <c r="BT165" s="421">
        <f t="shared" si="354"/>
        <v>83200</v>
      </c>
      <c r="BU165" s="421">
        <f t="shared" si="355"/>
        <v>573354</v>
      </c>
      <c r="BV165" s="421">
        <f t="shared" si="355"/>
        <v>16131</v>
      </c>
      <c r="BW165" s="421">
        <f>R165+AY165</f>
        <v>19390</v>
      </c>
      <c r="BX165" s="422">
        <f>S165+BM165</f>
        <v>4.8967000000000001</v>
      </c>
      <c r="BY165" s="422">
        <f t="shared" si="356"/>
        <v>0</v>
      </c>
      <c r="BZ165" s="611">
        <f t="shared" si="356"/>
        <v>4.8967000000000001</v>
      </c>
      <c r="CA165" s="423"/>
      <c r="CB165" s="418"/>
      <c r="CC165" s="418"/>
      <c r="CD165" s="418"/>
      <c r="CE165" s="418"/>
      <c r="CF165" s="527"/>
    </row>
    <row r="166" spans="1:84" ht="14.1" customHeight="1" x14ac:dyDescent="0.2">
      <c r="A166" s="66">
        <v>37</v>
      </c>
      <c r="B166" s="63">
        <v>2470</v>
      </c>
      <c r="C166" s="64">
        <v>600080013</v>
      </c>
      <c r="D166" s="63">
        <v>72741554</v>
      </c>
      <c r="E166" s="65" t="s">
        <v>610</v>
      </c>
      <c r="F166" s="66">
        <v>3143</v>
      </c>
      <c r="G166" s="77" t="s">
        <v>596</v>
      </c>
      <c r="H166" s="67" t="s">
        <v>271</v>
      </c>
      <c r="I166" s="423">
        <f t="shared" si="302"/>
        <v>6587166</v>
      </c>
      <c r="J166" s="418">
        <f t="shared" si="303"/>
        <v>4886622</v>
      </c>
      <c r="K166" s="418">
        <v>4886622</v>
      </c>
      <c r="L166" s="418">
        <v>0</v>
      </c>
      <c r="M166" s="418">
        <f t="shared" si="304"/>
        <v>0</v>
      </c>
      <c r="N166" s="418">
        <v>0</v>
      </c>
      <c r="O166" s="418">
        <v>0</v>
      </c>
      <c r="P166" s="668">
        <f t="shared" si="305"/>
        <v>1651678</v>
      </c>
      <c r="Q166" s="668">
        <f t="shared" si="306"/>
        <v>48866</v>
      </c>
      <c r="R166" s="418">
        <v>0</v>
      </c>
      <c r="S166" s="419">
        <f t="shared" si="307"/>
        <v>9.9146000000000001</v>
      </c>
      <c r="T166" s="419">
        <v>9.9146000000000001</v>
      </c>
      <c r="U166" s="426">
        <v>0</v>
      </c>
      <c r="V166" s="428">
        <f t="shared" si="308"/>
        <v>-19200</v>
      </c>
      <c r="W166" s="421">
        <f t="shared" si="309"/>
        <v>0</v>
      </c>
      <c r="X166" s="421">
        <v>0</v>
      </c>
      <c r="Y166" s="421">
        <v>0</v>
      </c>
      <c r="Z166" s="421">
        <v>0</v>
      </c>
      <c r="AA166" s="421">
        <v>0</v>
      </c>
      <c r="AB166" s="421">
        <v>0</v>
      </c>
      <c r="AC166" s="421">
        <v>0</v>
      </c>
      <c r="AD166" s="421">
        <v>0</v>
      </c>
      <c r="AE166" s="421">
        <v>0</v>
      </c>
      <c r="AF166" s="421">
        <f t="shared" si="310"/>
        <v>-19200</v>
      </c>
      <c r="AG166" s="421">
        <f t="shared" si="311"/>
        <v>0</v>
      </c>
      <c r="AH166" s="421">
        <f t="shared" si="312"/>
        <v>-19200</v>
      </c>
      <c r="AI166" s="421">
        <v>19200</v>
      </c>
      <c r="AJ166" s="421">
        <v>0</v>
      </c>
      <c r="AK166" s="421">
        <v>0</v>
      </c>
      <c r="AL166" s="421">
        <v>0</v>
      </c>
      <c r="AM166" s="421">
        <v>0</v>
      </c>
      <c r="AN166" s="421">
        <v>0</v>
      </c>
      <c r="AO166" s="421">
        <f t="shared" si="313"/>
        <v>19200</v>
      </c>
      <c r="AP166" s="421">
        <f t="shared" si="319"/>
        <v>0</v>
      </c>
      <c r="AQ166" s="421">
        <f t="shared" si="314"/>
        <v>19200</v>
      </c>
      <c r="AR166" s="421">
        <f t="shared" si="351"/>
        <v>0</v>
      </c>
      <c r="AS166" s="421">
        <f t="shared" si="351"/>
        <v>0</v>
      </c>
      <c r="AT166" s="421">
        <f t="shared" si="315"/>
        <v>0</v>
      </c>
      <c r="AU166" s="68">
        <f t="shared" si="352"/>
        <v>0</v>
      </c>
      <c r="AV166" s="68">
        <f>ROUND(AH166*1%,0)</f>
        <v>-192</v>
      </c>
      <c r="AW166" s="421">
        <v>0</v>
      </c>
      <c r="AX166" s="421">
        <v>0</v>
      </c>
      <c r="AY166" s="421">
        <f t="shared" si="316"/>
        <v>0</v>
      </c>
      <c r="AZ166" s="421">
        <f t="shared" si="317"/>
        <v>-192</v>
      </c>
      <c r="BA166" s="422">
        <v>-0.01</v>
      </c>
      <c r="BB166" s="422">
        <v>0</v>
      </c>
      <c r="BC166" s="422">
        <v>0</v>
      </c>
      <c r="BD166" s="422">
        <v>0</v>
      </c>
      <c r="BE166" s="422">
        <v>0</v>
      </c>
      <c r="BF166" s="422">
        <v>0</v>
      </c>
      <c r="BG166" s="422">
        <v>0</v>
      </c>
      <c r="BH166" s="422">
        <v>0</v>
      </c>
      <c r="BI166" s="422">
        <v>0</v>
      </c>
      <c r="BJ166" s="422">
        <v>0</v>
      </c>
      <c r="BK166" s="422">
        <f>BA166+BC166+BD166+BF166+BH166+BI166</f>
        <v>-0.01</v>
      </c>
      <c r="BL166" s="422">
        <f>BB166+BE166+BG166+BJ166</f>
        <v>0</v>
      </c>
      <c r="BM166" s="424">
        <f t="shared" si="318"/>
        <v>-0.01</v>
      </c>
      <c r="BN166" s="427">
        <f>I166+AZ166</f>
        <v>6586974</v>
      </c>
      <c r="BO166" s="421">
        <f>J166+AH166</f>
        <v>4867422</v>
      </c>
      <c r="BP166" s="421">
        <f t="shared" si="353"/>
        <v>4867422</v>
      </c>
      <c r="BQ166" s="421">
        <f t="shared" si="353"/>
        <v>0</v>
      </c>
      <c r="BR166" s="421">
        <f>M166+AQ166</f>
        <v>19200</v>
      </c>
      <c r="BS166" s="421">
        <f t="shared" si="354"/>
        <v>19200</v>
      </c>
      <c r="BT166" s="421">
        <f t="shared" si="354"/>
        <v>0</v>
      </c>
      <c r="BU166" s="421">
        <f t="shared" si="355"/>
        <v>1651678</v>
      </c>
      <c r="BV166" s="421">
        <f t="shared" si="355"/>
        <v>48674</v>
      </c>
      <c r="BW166" s="421">
        <f>R166+AY166</f>
        <v>0</v>
      </c>
      <c r="BX166" s="422">
        <f>S166+BM166</f>
        <v>9.9046000000000003</v>
      </c>
      <c r="BY166" s="422">
        <f t="shared" si="356"/>
        <v>9.9046000000000003</v>
      </c>
      <c r="BZ166" s="611">
        <f t="shared" si="356"/>
        <v>0</v>
      </c>
      <c r="CA166" s="423"/>
      <c r="CB166" s="418"/>
      <c r="CC166" s="418"/>
      <c r="CD166" s="418"/>
      <c r="CE166" s="418"/>
      <c r="CF166" s="527"/>
    </row>
    <row r="167" spans="1:84" ht="14.1" customHeight="1" x14ac:dyDescent="0.2">
      <c r="A167" s="66">
        <v>37</v>
      </c>
      <c r="B167" s="63">
        <v>2470</v>
      </c>
      <c r="C167" s="64">
        <v>600080013</v>
      </c>
      <c r="D167" s="63">
        <v>72741554</v>
      </c>
      <c r="E167" s="65" t="s">
        <v>610</v>
      </c>
      <c r="F167" s="66">
        <v>3143</v>
      </c>
      <c r="G167" s="77" t="s">
        <v>597</v>
      </c>
      <c r="H167" s="67" t="s">
        <v>272</v>
      </c>
      <c r="I167" s="423">
        <f t="shared" si="302"/>
        <v>140377</v>
      </c>
      <c r="J167" s="418">
        <f t="shared" si="303"/>
        <v>100478</v>
      </c>
      <c r="K167" s="418">
        <v>0</v>
      </c>
      <c r="L167" s="674">
        <v>100478</v>
      </c>
      <c r="M167" s="418">
        <f t="shared" si="304"/>
        <v>0</v>
      </c>
      <c r="N167" s="418">
        <v>0</v>
      </c>
      <c r="O167" s="418">
        <v>0</v>
      </c>
      <c r="P167" s="668">
        <f t="shared" si="305"/>
        <v>33962</v>
      </c>
      <c r="Q167" s="668">
        <f t="shared" si="306"/>
        <v>1005</v>
      </c>
      <c r="R167" s="675">
        <v>4932</v>
      </c>
      <c r="S167" s="419">
        <f t="shared" si="307"/>
        <v>0.38059999999999999</v>
      </c>
      <c r="T167" s="679">
        <v>0</v>
      </c>
      <c r="U167" s="909">
        <v>0.38059999999999999</v>
      </c>
      <c r="V167" s="428">
        <f t="shared" si="308"/>
        <v>0</v>
      </c>
      <c r="W167" s="421">
        <f t="shared" si="309"/>
        <v>0</v>
      </c>
      <c r="X167" s="421">
        <v>0</v>
      </c>
      <c r="Y167" s="421">
        <v>0</v>
      </c>
      <c r="Z167" s="421">
        <v>0</v>
      </c>
      <c r="AA167" s="421">
        <v>0</v>
      </c>
      <c r="AB167" s="421">
        <v>0</v>
      </c>
      <c r="AC167" s="421">
        <v>0</v>
      </c>
      <c r="AD167" s="421">
        <v>0</v>
      </c>
      <c r="AE167" s="421">
        <v>0</v>
      </c>
      <c r="AF167" s="421">
        <f t="shared" si="310"/>
        <v>0</v>
      </c>
      <c r="AG167" s="421">
        <f t="shared" si="311"/>
        <v>0</v>
      </c>
      <c r="AH167" s="421">
        <f t="shared" si="312"/>
        <v>0</v>
      </c>
      <c r="AI167" s="421">
        <v>0</v>
      </c>
      <c r="AJ167" s="421">
        <v>0</v>
      </c>
      <c r="AK167" s="421">
        <v>0</v>
      </c>
      <c r="AL167" s="421">
        <v>0</v>
      </c>
      <c r="AM167" s="421">
        <v>0</v>
      </c>
      <c r="AN167" s="421">
        <v>0</v>
      </c>
      <c r="AO167" s="421">
        <f t="shared" si="313"/>
        <v>0</v>
      </c>
      <c r="AP167" s="421">
        <f t="shared" si="319"/>
        <v>0</v>
      </c>
      <c r="AQ167" s="421">
        <f t="shared" si="314"/>
        <v>0</v>
      </c>
      <c r="AR167" s="421">
        <f t="shared" si="351"/>
        <v>0</v>
      </c>
      <c r="AS167" s="421">
        <f t="shared" si="351"/>
        <v>0</v>
      </c>
      <c r="AT167" s="421">
        <f t="shared" si="315"/>
        <v>0</v>
      </c>
      <c r="AU167" s="68">
        <f t="shared" si="352"/>
        <v>0</v>
      </c>
      <c r="AV167" s="68">
        <f>ROUND(AH167*1%,0)</f>
        <v>0</v>
      </c>
      <c r="AW167" s="421">
        <v>0</v>
      </c>
      <c r="AX167" s="421">
        <v>0</v>
      </c>
      <c r="AY167" s="421">
        <f t="shared" si="316"/>
        <v>0</v>
      </c>
      <c r="AZ167" s="421">
        <f t="shared" si="317"/>
        <v>0</v>
      </c>
      <c r="BA167" s="422">
        <v>0</v>
      </c>
      <c r="BB167" s="422">
        <v>0</v>
      </c>
      <c r="BC167" s="422">
        <v>0</v>
      </c>
      <c r="BD167" s="422">
        <v>0</v>
      </c>
      <c r="BE167" s="422">
        <v>0</v>
      </c>
      <c r="BF167" s="422">
        <v>0</v>
      </c>
      <c r="BG167" s="422">
        <v>0</v>
      </c>
      <c r="BH167" s="422">
        <v>0</v>
      </c>
      <c r="BI167" s="422">
        <v>0</v>
      </c>
      <c r="BJ167" s="422">
        <v>0</v>
      </c>
      <c r="BK167" s="422">
        <f>BA167+BC167+BD167+BF167+BH167+BI167</f>
        <v>0</v>
      </c>
      <c r="BL167" s="422">
        <f>BB167+BE167+BG167+BJ167</f>
        <v>0</v>
      </c>
      <c r="BM167" s="424">
        <f t="shared" si="318"/>
        <v>0</v>
      </c>
      <c r="BN167" s="427">
        <f>I167+AZ167</f>
        <v>140377</v>
      </c>
      <c r="BO167" s="421">
        <f>J167+AH167</f>
        <v>100478</v>
      </c>
      <c r="BP167" s="421">
        <f t="shared" si="353"/>
        <v>0</v>
      </c>
      <c r="BQ167" s="421">
        <f t="shared" si="353"/>
        <v>100478</v>
      </c>
      <c r="BR167" s="421">
        <f>M167+AQ167</f>
        <v>0</v>
      </c>
      <c r="BS167" s="421">
        <f t="shared" si="354"/>
        <v>0</v>
      </c>
      <c r="BT167" s="421">
        <f t="shared" si="354"/>
        <v>0</v>
      </c>
      <c r="BU167" s="421">
        <f t="shared" si="355"/>
        <v>33962</v>
      </c>
      <c r="BV167" s="421">
        <f t="shared" si="355"/>
        <v>1005</v>
      </c>
      <c r="BW167" s="421">
        <f>R167+AY167</f>
        <v>4932</v>
      </c>
      <c r="BX167" s="422">
        <f>S167+BM167</f>
        <v>0.38059999999999999</v>
      </c>
      <c r="BY167" s="422">
        <f t="shared" si="356"/>
        <v>0</v>
      </c>
      <c r="BZ167" s="611">
        <f t="shared" si="356"/>
        <v>0.38059999999999999</v>
      </c>
      <c r="CA167" s="423"/>
      <c r="CB167" s="418"/>
      <c r="CC167" s="418"/>
      <c r="CD167" s="418"/>
      <c r="CE167" s="418"/>
      <c r="CF167" s="527"/>
    </row>
    <row r="168" spans="1:84" ht="14.1" customHeight="1" x14ac:dyDescent="0.2">
      <c r="A168" s="72">
        <v>37</v>
      </c>
      <c r="B168" s="69">
        <v>2470</v>
      </c>
      <c r="C168" s="70">
        <v>600080013</v>
      </c>
      <c r="D168" s="69">
        <v>72741554</v>
      </c>
      <c r="E168" s="71" t="s">
        <v>611</v>
      </c>
      <c r="F168" s="72"/>
      <c r="G168" s="71"/>
      <c r="H168" s="73"/>
      <c r="I168" s="538">
        <f t="shared" ref="I168:BU168" si="357">SUM(I163:I167)</f>
        <v>49179448</v>
      </c>
      <c r="J168" s="74">
        <f t="shared" si="357"/>
        <v>36065147</v>
      </c>
      <c r="K168" s="74">
        <f>SUM(K163:K167)</f>
        <v>32647912</v>
      </c>
      <c r="L168" s="74">
        <f>SUM(L163:L167)</f>
        <v>3417235</v>
      </c>
      <c r="M168" s="74">
        <f>SUM(M163:M167)</f>
        <v>0</v>
      </c>
      <c r="N168" s="74">
        <f>SUM(N163:N167)</f>
        <v>0</v>
      </c>
      <c r="O168" s="74">
        <f>SUM(O163:O167)</f>
        <v>0</v>
      </c>
      <c r="P168" s="74">
        <f t="shared" ref="P168:Q168" si="358">SUM(P163:P167)</f>
        <v>12190020</v>
      </c>
      <c r="Q168" s="74">
        <f t="shared" si="358"/>
        <v>360652</v>
      </c>
      <c r="R168" s="74">
        <f>SUM(R163:R167)</f>
        <v>563629</v>
      </c>
      <c r="S168" s="75">
        <f>SUM(S163:S167)</f>
        <v>55.736600000000003</v>
      </c>
      <c r="T168" s="75">
        <f>SUM(T163:T167)</f>
        <v>45.369300000000003</v>
      </c>
      <c r="U168" s="753">
        <f>SUM(U163:U167)</f>
        <v>10.3673</v>
      </c>
      <c r="V168" s="538">
        <f t="shared" si="357"/>
        <v>-108800</v>
      </c>
      <c r="W168" s="74">
        <f t="shared" si="357"/>
        <v>-147200</v>
      </c>
      <c r="X168" s="74">
        <f t="shared" si="357"/>
        <v>607706</v>
      </c>
      <c r="Y168" s="74">
        <f t="shared" si="357"/>
        <v>0</v>
      </c>
      <c r="Z168" s="74">
        <f t="shared" si="357"/>
        <v>0</v>
      </c>
      <c r="AA168" s="74">
        <f t="shared" si="357"/>
        <v>153584</v>
      </c>
      <c r="AB168" s="74">
        <f t="shared" si="357"/>
        <v>564000</v>
      </c>
      <c r="AC168" s="74">
        <f t="shared" si="357"/>
        <v>0</v>
      </c>
      <c r="AD168" s="74">
        <f t="shared" si="357"/>
        <v>0</v>
      </c>
      <c r="AE168" s="74">
        <f t="shared" si="357"/>
        <v>0</v>
      </c>
      <c r="AF168" s="74">
        <f t="shared" si="357"/>
        <v>1216490</v>
      </c>
      <c r="AG168" s="74">
        <f t="shared" si="357"/>
        <v>-147200</v>
      </c>
      <c r="AH168" s="74">
        <f t="shared" si="357"/>
        <v>1069290</v>
      </c>
      <c r="AI168" s="74">
        <f t="shared" si="357"/>
        <v>108800</v>
      </c>
      <c r="AJ168" s="74">
        <f t="shared" si="357"/>
        <v>147200</v>
      </c>
      <c r="AK168" s="74">
        <f t="shared" si="357"/>
        <v>0</v>
      </c>
      <c r="AL168" s="74">
        <f t="shared" si="357"/>
        <v>0</v>
      </c>
      <c r="AM168" s="74">
        <f t="shared" si="357"/>
        <v>0</v>
      </c>
      <c r="AN168" s="74">
        <f t="shared" si="357"/>
        <v>0</v>
      </c>
      <c r="AO168" s="74">
        <f t="shared" si="357"/>
        <v>108800</v>
      </c>
      <c r="AP168" s="74">
        <f t="shared" si="357"/>
        <v>147200</v>
      </c>
      <c r="AQ168" s="74">
        <f t="shared" si="357"/>
        <v>256000</v>
      </c>
      <c r="AR168" s="74">
        <f t="shared" si="357"/>
        <v>1325290</v>
      </c>
      <c r="AS168" s="74">
        <f t="shared" si="357"/>
        <v>0</v>
      </c>
      <c r="AT168" s="74">
        <f t="shared" si="357"/>
        <v>1325290</v>
      </c>
      <c r="AU168" s="74">
        <f t="shared" si="357"/>
        <v>447948</v>
      </c>
      <c r="AV168" s="74">
        <f t="shared" si="357"/>
        <v>10693</v>
      </c>
      <c r="AW168" s="74">
        <f t="shared" si="357"/>
        <v>0</v>
      </c>
      <c r="AX168" s="74">
        <f t="shared" si="357"/>
        <v>0</v>
      </c>
      <c r="AY168" s="74">
        <f t="shared" si="357"/>
        <v>0</v>
      </c>
      <c r="AZ168" s="74">
        <f t="shared" si="357"/>
        <v>1783931</v>
      </c>
      <c r="BA168" s="75">
        <f t="shared" si="357"/>
        <v>-0.12</v>
      </c>
      <c r="BB168" s="75">
        <f t="shared" si="357"/>
        <v>-0.38</v>
      </c>
      <c r="BC168" s="75">
        <f t="shared" si="357"/>
        <v>1.6400000000000001</v>
      </c>
      <c r="BD168" s="75">
        <f t="shared" si="357"/>
        <v>1</v>
      </c>
      <c r="BE168" s="75">
        <f t="shared" si="357"/>
        <v>0</v>
      </c>
      <c r="BF168" s="75">
        <f t="shared" si="357"/>
        <v>0</v>
      </c>
      <c r="BG168" s="75">
        <f t="shared" si="357"/>
        <v>0</v>
      </c>
      <c r="BH168" s="75">
        <f t="shared" si="357"/>
        <v>0.22</v>
      </c>
      <c r="BI168" s="75">
        <f t="shared" si="357"/>
        <v>0</v>
      </c>
      <c r="BJ168" s="75">
        <f t="shared" si="357"/>
        <v>0</v>
      </c>
      <c r="BK168" s="75">
        <f t="shared" si="357"/>
        <v>2.74</v>
      </c>
      <c r="BL168" s="75">
        <f t="shared" si="357"/>
        <v>-0.38</v>
      </c>
      <c r="BM168" s="76">
        <f t="shared" si="357"/>
        <v>2.3600000000000008</v>
      </c>
      <c r="BN168" s="549">
        <f t="shared" si="357"/>
        <v>50963379</v>
      </c>
      <c r="BO168" s="74">
        <f t="shared" si="357"/>
        <v>37134437</v>
      </c>
      <c r="BP168" s="74">
        <f t="shared" si="357"/>
        <v>33864402</v>
      </c>
      <c r="BQ168" s="74">
        <f t="shared" si="357"/>
        <v>3270035</v>
      </c>
      <c r="BR168" s="74">
        <f t="shared" si="357"/>
        <v>256000</v>
      </c>
      <c r="BS168" s="74">
        <f t="shared" si="357"/>
        <v>108800</v>
      </c>
      <c r="BT168" s="74">
        <f t="shared" si="357"/>
        <v>147200</v>
      </c>
      <c r="BU168" s="74">
        <f t="shared" si="357"/>
        <v>12637968</v>
      </c>
      <c r="BV168" s="74">
        <f t="shared" ref="BV168:CF168" si="359">SUM(BV163:BV167)</f>
        <v>371345</v>
      </c>
      <c r="BW168" s="74">
        <f t="shared" si="359"/>
        <v>563629</v>
      </c>
      <c r="BX168" s="75">
        <f t="shared" si="359"/>
        <v>58.096600000000009</v>
      </c>
      <c r="BY168" s="75">
        <f t="shared" si="359"/>
        <v>48.109300000000005</v>
      </c>
      <c r="BZ168" s="753">
        <f t="shared" si="359"/>
        <v>9.9872999999999994</v>
      </c>
      <c r="CA168" s="796">
        <f t="shared" si="359"/>
        <v>760272</v>
      </c>
      <c r="CB168" s="789">
        <f t="shared" si="359"/>
        <v>564000</v>
      </c>
      <c r="CC168" s="789">
        <f t="shared" si="359"/>
        <v>0</v>
      </c>
      <c r="CD168" s="789">
        <f t="shared" si="359"/>
        <v>190632</v>
      </c>
      <c r="CE168" s="789">
        <f t="shared" si="359"/>
        <v>5640</v>
      </c>
      <c r="CF168" s="793">
        <f t="shared" si="359"/>
        <v>1</v>
      </c>
    </row>
    <row r="169" spans="1:84" ht="14.1" customHeight="1" x14ac:dyDescent="0.2">
      <c r="A169" s="66">
        <v>38</v>
      </c>
      <c r="B169" s="63">
        <v>2307</v>
      </c>
      <c r="C169" s="64">
        <v>600079911</v>
      </c>
      <c r="D169" s="63">
        <v>72743212</v>
      </c>
      <c r="E169" s="65" t="s">
        <v>612</v>
      </c>
      <c r="F169" s="66">
        <v>3113</v>
      </c>
      <c r="G169" s="65" t="s">
        <v>294</v>
      </c>
      <c r="H169" s="67" t="s">
        <v>271</v>
      </c>
      <c r="I169" s="423">
        <f t="shared" si="302"/>
        <v>42522114</v>
      </c>
      <c r="J169" s="418">
        <f t="shared" ref="J169" si="360">K169+L169</f>
        <v>31066119</v>
      </c>
      <c r="K169" s="418">
        <v>28978050</v>
      </c>
      <c r="L169" s="418">
        <v>2088069</v>
      </c>
      <c r="M169" s="418">
        <f>N169+O169</f>
        <v>0</v>
      </c>
      <c r="N169" s="418">
        <v>0</v>
      </c>
      <c r="O169" s="418">
        <v>0</v>
      </c>
      <c r="P169" s="668">
        <f t="shared" si="305"/>
        <v>10500348</v>
      </c>
      <c r="Q169" s="668">
        <f t="shared" si="306"/>
        <v>310661</v>
      </c>
      <c r="R169" s="418">
        <v>644986</v>
      </c>
      <c r="S169" s="419">
        <f>T169+U169</f>
        <v>46.894300000000001</v>
      </c>
      <c r="T169" s="419">
        <v>40.454300000000003</v>
      </c>
      <c r="U169" s="426">
        <v>6.4399999999999995</v>
      </c>
      <c r="V169" s="428">
        <f t="shared" si="308"/>
        <v>-109440</v>
      </c>
      <c r="W169" s="421">
        <f t="shared" si="309"/>
        <v>-20480</v>
      </c>
      <c r="X169" s="421">
        <v>0</v>
      </c>
      <c r="Y169" s="421">
        <v>0</v>
      </c>
      <c r="Z169" s="421">
        <v>0</v>
      </c>
      <c r="AA169" s="421">
        <v>28466</v>
      </c>
      <c r="AB169" s="421">
        <v>225600</v>
      </c>
      <c r="AC169" s="421">
        <v>0</v>
      </c>
      <c r="AD169" s="421">
        <v>0</v>
      </c>
      <c r="AE169" s="421">
        <v>0</v>
      </c>
      <c r="AF169" s="421">
        <f t="shared" si="310"/>
        <v>144626</v>
      </c>
      <c r="AG169" s="421">
        <f t="shared" si="311"/>
        <v>-20480</v>
      </c>
      <c r="AH169" s="421">
        <f t="shared" si="312"/>
        <v>124146</v>
      </c>
      <c r="AI169" s="421">
        <v>109440</v>
      </c>
      <c r="AJ169" s="421">
        <v>20480</v>
      </c>
      <c r="AK169" s="421">
        <v>0</v>
      </c>
      <c r="AL169" s="421">
        <v>0</v>
      </c>
      <c r="AM169" s="421">
        <v>0</v>
      </c>
      <c r="AN169" s="421">
        <v>0</v>
      </c>
      <c r="AO169" s="421">
        <f t="shared" si="313"/>
        <v>109440</v>
      </c>
      <c r="AP169" s="421">
        <f t="shared" si="319"/>
        <v>20480</v>
      </c>
      <c r="AQ169" s="421">
        <f t="shared" si="314"/>
        <v>129920</v>
      </c>
      <c r="AR169" s="421">
        <f t="shared" ref="AR169:AS173" si="361">AF169+AO169</f>
        <v>254066</v>
      </c>
      <c r="AS169" s="421">
        <f t="shared" si="361"/>
        <v>0</v>
      </c>
      <c r="AT169" s="421">
        <f t="shared" si="315"/>
        <v>254066</v>
      </c>
      <c r="AU169" s="68">
        <f t="shared" ref="AU169:AU173" si="362">ROUND((AH169+AI169+AJ169+AK169+AL169)*33.8%,0)</f>
        <v>85874</v>
      </c>
      <c r="AV169" s="68">
        <f>ROUND(AH169*1%,0)</f>
        <v>1241</v>
      </c>
      <c r="AW169" s="421">
        <v>0</v>
      </c>
      <c r="AX169" s="421">
        <v>0</v>
      </c>
      <c r="AY169" s="421">
        <f t="shared" si="316"/>
        <v>0</v>
      </c>
      <c r="AZ169" s="421">
        <f t="shared" si="317"/>
        <v>341181</v>
      </c>
      <c r="BA169" s="422">
        <v>-0.08</v>
      </c>
      <c r="BB169" s="422">
        <v>-0.06</v>
      </c>
      <c r="BC169" s="422">
        <v>0</v>
      </c>
      <c r="BD169" s="422">
        <v>0.4</v>
      </c>
      <c r="BE169" s="422">
        <v>0</v>
      </c>
      <c r="BF169" s="422">
        <v>0</v>
      </c>
      <c r="BG169" s="422">
        <v>0</v>
      </c>
      <c r="BH169" s="422">
        <v>0.04</v>
      </c>
      <c r="BI169" s="422">
        <v>0</v>
      </c>
      <c r="BJ169" s="422">
        <v>0</v>
      </c>
      <c r="BK169" s="422">
        <f>BA169+BC169+BD169+BF169+BH169+BI169</f>
        <v>0.36</v>
      </c>
      <c r="BL169" s="422">
        <f>BB169+BE169+BG169+BJ169</f>
        <v>-0.06</v>
      </c>
      <c r="BM169" s="424">
        <f t="shared" si="318"/>
        <v>0.3</v>
      </c>
      <c r="BN169" s="427">
        <f>I169+AZ169</f>
        <v>42863295</v>
      </c>
      <c r="BO169" s="421">
        <f>J169+AH169</f>
        <v>31190265</v>
      </c>
      <c r="BP169" s="421">
        <f t="shared" ref="BP169:BQ173" si="363">K169+AF169</f>
        <v>29122676</v>
      </c>
      <c r="BQ169" s="421">
        <f t="shared" si="363"/>
        <v>2067589</v>
      </c>
      <c r="BR169" s="421">
        <f>M169+AQ169</f>
        <v>129920</v>
      </c>
      <c r="BS169" s="421">
        <f t="shared" ref="BS169:BT173" si="364">N169+AO169</f>
        <v>109440</v>
      </c>
      <c r="BT169" s="421">
        <f t="shared" si="364"/>
        <v>20480</v>
      </c>
      <c r="BU169" s="421">
        <f t="shared" ref="BU169:BV173" si="365">P169+AU169</f>
        <v>10586222</v>
      </c>
      <c r="BV169" s="421">
        <f t="shared" si="365"/>
        <v>311902</v>
      </c>
      <c r="BW169" s="421">
        <f>R169+AY169</f>
        <v>644986</v>
      </c>
      <c r="BX169" s="422">
        <f>S169+BM169</f>
        <v>47.194299999999998</v>
      </c>
      <c r="BY169" s="422">
        <f t="shared" ref="BY169:BZ173" si="366">T169+BK169</f>
        <v>40.814300000000003</v>
      </c>
      <c r="BZ169" s="611">
        <f t="shared" si="366"/>
        <v>6.38</v>
      </c>
      <c r="CA169" s="423">
        <v>304109</v>
      </c>
      <c r="CB169" s="418">
        <v>225600</v>
      </c>
      <c r="CC169" s="418">
        <v>0</v>
      </c>
      <c r="CD169" s="418">
        <v>76253</v>
      </c>
      <c r="CE169" s="418">
        <v>2256</v>
      </c>
      <c r="CF169" s="527">
        <v>0.4</v>
      </c>
    </row>
    <row r="170" spans="1:84" ht="14.1" customHeight="1" x14ac:dyDescent="0.2">
      <c r="A170" s="66">
        <v>38</v>
      </c>
      <c r="B170" s="63">
        <v>2307</v>
      </c>
      <c r="C170" s="64">
        <v>600079911</v>
      </c>
      <c r="D170" s="63">
        <v>72743212</v>
      </c>
      <c r="E170" s="65" t="s">
        <v>612</v>
      </c>
      <c r="F170" s="66">
        <v>3113</v>
      </c>
      <c r="G170" s="77" t="s">
        <v>292</v>
      </c>
      <c r="H170" s="67" t="s">
        <v>272</v>
      </c>
      <c r="I170" s="423">
        <f t="shared" si="302"/>
        <v>0</v>
      </c>
      <c r="J170" s="418">
        <f t="shared" si="303"/>
        <v>0</v>
      </c>
      <c r="K170" s="418">
        <v>0</v>
      </c>
      <c r="L170" s="418">
        <v>0</v>
      </c>
      <c r="M170" s="418">
        <f t="shared" si="304"/>
        <v>0</v>
      </c>
      <c r="N170" s="418">
        <v>0</v>
      </c>
      <c r="O170" s="418">
        <v>0</v>
      </c>
      <c r="P170" s="668">
        <f t="shared" si="305"/>
        <v>0</v>
      </c>
      <c r="Q170" s="668">
        <f t="shared" si="306"/>
        <v>0</v>
      </c>
      <c r="R170" s="418">
        <v>0</v>
      </c>
      <c r="S170" s="419">
        <f t="shared" si="307"/>
        <v>0</v>
      </c>
      <c r="T170" s="420">
        <v>0</v>
      </c>
      <c r="U170" s="426">
        <v>0</v>
      </c>
      <c r="V170" s="428">
        <f t="shared" si="308"/>
        <v>0</v>
      </c>
      <c r="W170" s="421">
        <f t="shared" si="309"/>
        <v>0</v>
      </c>
      <c r="X170" s="16">
        <v>2224809</v>
      </c>
      <c r="Y170" s="16">
        <v>0</v>
      </c>
      <c r="Z170" s="16">
        <v>0</v>
      </c>
      <c r="AA170" s="16">
        <v>0</v>
      </c>
      <c r="AB170" s="421">
        <v>0</v>
      </c>
      <c r="AC170" s="16">
        <v>0</v>
      </c>
      <c r="AD170" s="16">
        <v>0</v>
      </c>
      <c r="AE170" s="16">
        <v>0</v>
      </c>
      <c r="AF170" s="421">
        <f t="shared" si="310"/>
        <v>2224809</v>
      </c>
      <c r="AG170" s="421">
        <f t="shared" si="311"/>
        <v>0</v>
      </c>
      <c r="AH170" s="421">
        <f t="shared" si="312"/>
        <v>2224809</v>
      </c>
      <c r="AI170" s="16">
        <v>0</v>
      </c>
      <c r="AJ170" s="16">
        <v>0</v>
      </c>
      <c r="AK170" s="421">
        <v>0</v>
      </c>
      <c r="AL170" s="16">
        <v>0</v>
      </c>
      <c r="AM170" s="16">
        <v>0</v>
      </c>
      <c r="AN170" s="16">
        <v>0</v>
      </c>
      <c r="AO170" s="421">
        <f t="shared" si="313"/>
        <v>0</v>
      </c>
      <c r="AP170" s="16">
        <v>0</v>
      </c>
      <c r="AQ170" s="421">
        <f t="shared" si="314"/>
        <v>0</v>
      </c>
      <c r="AR170" s="421">
        <f t="shared" si="361"/>
        <v>2224809</v>
      </c>
      <c r="AS170" s="421">
        <f t="shared" si="361"/>
        <v>0</v>
      </c>
      <c r="AT170" s="421">
        <f t="shared" si="315"/>
        <v>2224809</v>
      </c>
      <c r="AU170" s="68">
        <f t="shared" si="362"/>
        <v>751985</v>
      </c>
      <c r="AV170" s="68">
        <f>ROUND(AH170*1%,0)</f>
        <v>22248</v>
      </c>
      <c r="AW170" s="16">
        <v>0</v>
      </c>
      <c r="AX170" s="16">
        <v>0</v>
      </c>
      <c r="AY170" s="421">
        <f t="shared" si="316"/>
        <v>0</v>
      </c>
      <c r="AZ170" s="421">
        <f t="shared" si="317"/>
        <v>2999042</v>
      </c>
      <c r="BA170" s="13">
        <v>0</v>
      </c>
      <c r="BB170" s="13">
        <v>0</v>
      </c>
      <c r="BC170" s="13">
        <v>6</v>
      </c>
      <c r="BD170" s="422">
        <v>0</v>
      </c>
      <c r="BE170" s="422">
        <v>0</v>
      </c>
      <c r="BF170" s="422">
        <v>0</v>
      </c>
      <c r="BG170" s="422">
        <v>0</v>
      </c>
      <c r="BH170" s="422">
        <v>0</v>
      </c>
      <c r="BI170" s="422">
        <v>0</v>
      </c>
      <c r="BJ170" s="422">
        <v>0</v>
      </c>
      <c r="BK170" s="422">
        <f>BA170+BC170+BD170+BF170+BH170+BI170</f>
        <v>6</v>
      </c>
      <c r="BL170" s="422">
        <f>BB170+BE170+BG170+BJ170</f>
        <v>0</v>
      </c>
      <c r="BM170" s="424">
        <f t="shared" si="318"/>
        <v>6</v>
      </c>
      <c r="BN170" s="427">
        <f>I170+AZ170</f>
        <v>2999042</v>
      </c>
      <c r="BO170" s="421">
        <f>J170+AH170</f>
        <v>2224809</v>
      </c>
      <c r="BP170" s="421">
        <f t="shared" si="363"/>
        <v>2224809</v>
      </c>
      <c r="BQ170" s="421">
        <f t="shared" si="363"/>
        <v>0</v>
      </c>
      <c r="BR170" s="421">
        <f>M170+AQ170</f>
        <v>0</v>
      </c>
      <c r="BS170" s="421">
        <f t="shared" si="364"/>
        <v>0</v>
      </c>
      <c r="BT170" s="421">
        <f t="shared" si="364"/>
        <v>0</v>
      </c>
      <c r="BU170" s="421">
        <f t="shared" si="365"/>
        <v>751985</v>
      </c>
      <c r="BV170" s="421">
        <f t="shared" si="365"/>
        <v>22248</v>
      </c>
      <c r="BW170" s="421">
        <f>R170+AY170</f>
        <v>0</v>
      </c>
      <c r="BX170" s="422">
        <f>S170+BM170</f>
        <v>6</v>
      </c>
      <c r="BY170" s="422">
        <f t="shared" si="366"/>
        <v>6</v>
      </c>
      <c r="BZ170" s="611">
        <f t="shared" si="366"/>
        <v>0</v>
      </c>
      <c r="CA170" s="423"/>
      <c r="CB170" s="418"/>
      <c r="CC170" s="418"/>
      <c r="CD170" s="418"/>
      <c r="CE170" s="418"/>
      <c r="CF170" s="527"/>
    </row>
    <row r="171" spans="1:84" ht="14.1" customHeight="1" x14ac:dyDescent="0.2">
      <c r="A171" s="66">
        <v>38</v>
      </c>
      <c r="B171" s="63">
        <v>2307</v>
      </c>
      <c r="C171" s="64">
        <v>600079911</v>
      </c>
      <c r="D171" s="63">
        <v>72743212</v>
      </c>
      <c r="E171" s="65" t="s">
        <v>612</v>
      </c>
      <c r="F171" s="66">
        <v>3143</v>
      </c>
      <c r="G171" s="77" t="s">
        <v>596</v>
      </c>
      <c r="H171" s="67" t="s">
        <v>271</v>
      </c>
      <c r="I171" s="423">
        <f t="shared" si="302"/>
        <v>3848249</v>
      </c>
      <c r="J171" s="418">
        <f t="shared" si="303"/>
        <v>2854784</v>
      </c>
      <c r="K171" s="418">
        <v>2854784</v>
      </c>
      <c r="L171" s="418">
        <v>0</v>
      </c>
      <c r="M171" s="418">
        <f t="shared" si="304"/>
        <v>0</v>
      </c>
      <c r="N171" s="418">
        <v>0</v>
      </c>
      <c r="O171" s="418">
        <v>0</v>
      </c>
      <c r="P171" s="668">
        <f t="shared" si="305"/>
        <v>964917</v>
      </c>
      <c r="Q171" s="668">
        <f t="shared" si="306"/>
        <v>28548</v>
      </c>
      <c r="R171" s="418">
        <v>0</v>
      </c>
      <c r="S171" s="419">
        <f t="shared" si="307"/>
        <v>5.4107000000000003</v>
      </c>
      <c r="T171" s="419">
        <v>5.4107000000000003</v>
      </c>
      <c r="U171" s="426">
        <v>0</v>
      </c>
      <c r="V171" s="428">
        <f t="shared" si="308"/>
        <v>0</v>
      </c>
      <c r="W171" s="421">
        <f t="shared" si="309"/>
        <v>0</v>
      </c>
      <c r="X171" s="421">
        <v>0</v>
      </c>
      <c r="Y171" s="421">
        <v>0</v>
      </c>
      <c r="Z171" s="421">
        <v>0</v>
      </c>
      <c r="AA171" s="421">
        <v>0</v>
      </c>
      <c r="AB171" s="421">
        <v>0</v>
      </c>
      <c r="AC171" s="421">
        <v>0</v>
      </c>
      <c r="AD171" s="421">
        <v>0</v>
      </c>
      <c r="AE171" s="421">
        <v>0</v>
      </c>
      <c r="AF171" s="421">
        <f t="shared" si="310"/>
        <v>0</v>
      </c>
      <c r="AG171" s="421">
        <f t="shared" si="311"/>
        <v>0</v>
      </c>
      <c r="AH171" s="421">
        <f t="shared" si="312"/>
        <v>0</v>
      </c>
      <c r="AI171" s="421">
        <v>0</v>
      </c>
      <c r="AJ171" s="421">
        <v>0</v>
      </c>
      <c r="AK171" s="421">
        <v>0</v>
      </c>
      <c r="AL171" s="421">
        <v>0</v>
      </c>
      <c r="AM171" s="421">
        <v>0</v>
      </c>
      <c r="AN171" s="421">
        <v>0</v>
      </c>
      <c r="AO171" s="421">
        <f t="shared" si="313"/>
        <v>0</v>
      </c>
      <c r="AP171" s="421">
        <f t="shared" si="319"/>
        <v>0</v>
      </c>
      <c r="AQ171" s="421">
        <f t="shared" si="314"/>
        <v>0</v>
      </c>
      <c r="AR171" s="421">
        <f t="shared" si="361"/>
        <v>0</v>
      </c>
      <c r="AS171" s="421">
        <f t="shared" si="361"/>
        <v>0</v>
      </c>
      <c r="AT171" s="421">
        <f t="shared" si="315"/>
        <v>0</v>
      </c>
      <c r="AU171" s="68">
        <f t="shared" si="362"/>
        <v>0</v>
      </c>
      <c r="AV171" s="68">
        <f>ROUND(AH171*1%,0)</f>
        <v>0</v>
      </c>
      <c r="AW171" s="421">
        <v>0</v>
      </c>
      <c r="AX171" s="421">
        <v>0</v>
      </c>
      <c r="AY171" s="421">
        <f t="shared" si="316"/>
        <v>0</v>
      </c>
      <c r="AZ171" s="421">
        <f t="shared" si="317"/>
        <v>0</v>
      </c>
      <c r="BA171" s="422">
        <v>0</v>
      </c>
      <c r="BB171" s="422">
        <v>0</v>
      </c>
      <c r="BC171" s="422">
        <v>0</v>
      </c>
      <c r="BD171" s="422">
        <v>0</v>
      </c>
      <c r="BE171" s="422">
        <v>0</v>
      </c>
      <c r="BF171" s="422">
        <v>0</v>
      </c>
      <c r="BG171" s="422">
        <v>0</v>
      </c>
      <c r="BH171" s="422">
        <v>0</v>
      </c>
      <c r="BI171" s="422">
        <v>0</v>
      </c>
      <c r="BJ171" s="422">
        <v>0</v>
      </c>
      <c r="BK171" s="422">
        <f>BA171+BC171+BD171+BF171+BH171+BI171</f>
        <v>0</v>
      </c>
      <c r="BL171" s="422">
        <f>BB171+BE171+BG171+BJ171</f>
        <v>0</v>
      </c>
      <c r="BM171" s="424">
        <f t="shared" si="318"/>
        <v>0</v>
      </c>
      <c r="BN171" s="427">
        <f>I171+AZ171</f>
        <v>3848249</v>
      </c>
      <c r="BO171" s="421">
        <f>J171+AH171</f>
        <v>2854784</v>
      </c>
      <c r="BP171" s="421">
        <f t="shared" si="363"/>
        <v>2854784</v>
      </c>
      <c r="BQ171" s="421">
        <f t="shared" si="363"/>
        <v>0</v>
      </c>
      <c r="BR171" s="421">
        <f>M171+AQ171</f>
        <v>0</v>
      </c>
      <c r="BS171" s="421">
        <f t="shared" si="364"/>
        <v>0</v>
      </c>
      <c r="BT171" s="421">
        <f t="shared" si="364"/>
        <v>0</v>
      </c>
      <c r="BU171" s="421">
        <f t="shared" si="365"/>
        <v>964917</v>
      </c>
      <c r="BV171" s="421">
        <f t="shared" si="365"/>
        <v>28548</v>
      </c>
      <c r="BW171" s="421">
        <f>R171+AY171</f>
        <v>0</v>
      </c>
      <c r="BX171" s="422">
        <f>S171+BM171</f>
        <v>5.4107000000000003</v>
      </c>
      <c r="BY171" s="422">
        <f t="shared" si="366"/>
        <v>5.4107000000000003</v>
      </c>
      <c r="BZ171" s="611">
        <f t="shared" si="366"/>
        <v>0</v>
      </c>
      <c r="CA171" s="423"/>
      <c r="CB171" s="418"/>
      <c r="CC171" s="418"/>
      <c r="CD171" s="418"/>
      <c r="CE171" s="418"/>
      <c r="CF171" s="527"/>
    </row>
    <row r="172" spans="1:84" ht="14.1" customHeight="1" x14ac:dyDescent="0.2">
      <c r="A172" s="66">
        <v>38</v>
      </c>
      <c r="B172" s="63">
        <v>2307</v>
      </c>
      <c r="C172" s="64">
        <v>600079911</v>
      </c>
      <c r="D172" s="63">
        <v>72743212</v>
      </c>
      <c r="E172" s="65" t="s">
        <v>612</v>
      </c>
      <c r="F172" s="66">
        <v>3143</v>
      </c>
      <c r="G172" s="77" t="s">
        <v>597</v>
      </c>
      <c r="H172" s="67" t="s">
        <v>272</v>
      </c>
      <c r="I172" s="423">
        <f t="shared" si="302"/>
        <v>92208</v>
      </c>
      <c r="J172" s="418">
        <f t="shared" si="303"/>
        <v>66000</v>
      </c>
      <c r="K172" s="418">
        <v>0</v>
      </c>
      <c r="L172" s="674">
        <v>66000</v>
      </c>
      <c r="M172" s="418">
        <f t="shared" si="304"/>
        <v>0</v>
      </c>
      <c r="N172" s="418">
        <v>0</v>
      </c>
      <c r="O172" s="418">
        <v>0</v>
      </c>
      <c r="P172" s="668">
        <f t="shared" si="305"/>
        <v>22308</v>
      </c>
      <c r="Q172" s="668">
        <f t="shared" si="306"/>
        <v>660</v>
      </c>
      <c r="R172" s="675">
        <v>3240</v>
      </c>
      <c r="S172" s="419">
        <f t="shared" si="307"/>
        <v>0.25</v>
      </c>
      <c r="T172" s="679">
        <v>0</v>
      </c>
      <c r="U172" s="909">
        <v>0.25</v>
      </c>
      <c r="V172" s="428">
        <f t="shared" si="308"/>
        <v>0</v>
      </c>
      <c r="W172" s="421">
        <f t="shared" si="309"/>
        <v>0</v>
      </c>
      <c r="X172" s="421">
        <v>0</v>
      </c>
      <c r="Y172" s="421">
        <v>0</v>
      </c>
      <c r="Z172" s="421">
        <v>0</v>
      </c>
      <c r="AA172" s="421">
        <v>0</v>
      </c>
      <c r="AB172" s="421">
        <v>0</v>
      </c>
      <c r="AC172" s="421">
        <v>0</v>
      </c>
      <c r="AD172" s="421">
        <v>0</v>
      </c>
      <c r="AE172" s="421">
        <v>0</v>
      </c>
      <c r="AF172" s="421">
        <f t="shared" si="310"/>
        <v>0</v>
      </c>
      <c r="AG172" s="421">
        <f t="shared" si="311"/>
        <v>0</v>
      </c>
      <c r="AH172" s="421">
        <f t="shared" si="312"/>
        <v>0</v>
      </c>
      <c r="AI172" s="421">
        <v>0</v>
      </c>
      <c r="AJ172" s="421">
        <v>0</v>
      </c>
      <c r="AK172" s="421">
        <v>0</v>
      </c>
      <c r="AL172" s="421">
        <v>0</v>
      </c>
      <c r="AM172" s="421">
        <v>0</v>
      </c>
      <c r="AN172" s="421">
        <v>0</v>
      </c>
      <c r="AO172" s="421">
        <f t="shared" si="313"/>
        <v>0</v>
      </c>
      <c r="AP172" s="421">
        <f t="shared" si="319"/>
        <v>0</v>
      </c>
      <c r="AQ172" s="421">
        <f t="shared" si="314"/>
        <v>0</v>
      </c>
      <c r="AR172" s="421">
        <f t="shared" si="361"/>
        <v>0</v>
      </c>
      <c r="AS172" s="421">
        <f t="shared" si="361"/>
        <v>0</v>
      </c>
      <c r="AT172" s="421">
        <f t="shared" si="315"/>
        <v>0</v>
      </c>
      <c r="AU172" s="68">
        <f t="shared" si="362"/>
        <v>0</v>
      </c>
      <c r="AV172" s="68">
        <f>ROUND(AH172*1%,0)</f>
        <v>0</v>
      </c>
      <c r="AW172" s="421">
        <v>0</v>
      </c>
      <c r="AX172" s="421">
        <v>0</v>
      </c>
      <c r="AY172" s="421">
        <f t="shared" si="316"/>
        <v>0</v>
      </c>
      <c r="AZ172" s="421">
        <f t="shared" si="317"/>
        <v>0</v>
      </c>
      <c r="BA172" s="422">
        <v>0</v>
      </c>
      <c r="BB172" s="422">
        <v>0</v>
      </c>
      <c r="BC172" s="422">
        <v>0</v>
      </c>
      <c r="BD172" s="422">
        <v>0</v>
      </c>
      <c r="BE172" s="422">
        <v>0</v>
      </c>
      <c r="BF172" s="422">
        <v>0</v>
      </c>
      <c r="BG172" s="422">
        <v>0</v>
      </c>
      <c r="BH172" s="422">
        <v>0</v>
      </c>
      <c r="BI172" s="422">
        <v>0</v>
      </c>
      <c r="BJ172" s="422">
        <v>0</v>
      </c>
      <c r="BK172" s="422">
        <f>BA172+BC172+BD172+BF172+BH172+BI172</f>
        <v>0</v>
      </c>
      <c r="BL172" s="422">
        <f>BB172+BE172+BG172+BJ172</f>
        <v>0</v>
      </c>
      <c r="BM172" s="424">
        <f t="shared" si="318"/>
        <v>0</v>
      </c>
      <c r="BN172" s="427">
        <f>I172+AZ172</f>
        <v>92208</v>
      </c>
      <c r="BO172" s="421">
        <f>J172+AH172</f>
        <v>66000</v>
      </c>
      <c r="BP172" s="421">
        <f t="shared" si="363"/>
        <v>0</v>
      </c>
      <c r="BQ172" s="421">
        <f t="shared" si="363"/>
        <v>66000</v>
      </c>
      <c r="BR172" s="421">
        <f>M172+AQ172</f>
        <v>0</v>
      </c>
      <c r="BS172" s="421">
        <f t="shared" si="364"/>
        <v>0</v>
      </c>
      <c r="BT172" s="421">
        <f t="shared" si="364"/>
        <v>0</v>
      </c>
      <c r="BU172" s="421">
        <f t="shared" si="365"/>
        <v>22308</v>
      </c>
      <c r="BV172" s="421">
        <f t="shared" si="365"/>
        <v>660</v>
      </c>
      <c r="BW172" s="421">
        <f>R172+AY172</f>
        <v>3240</v>
      </c>
      <c r="BX172" s="422">
        <f>S172+BM172</f>
        <v>0.25</v>
      </c>
      <c r="BY172" s="422">
        <f t="shared" si="366"/>
        <v>0</v>
      </c>
      <c r="BZ172" s="611">
        <f t="shared" si="366"/>
        <v>0.25</v>
      </c>
      <c r="CA172" s="423"/>
      <c r="CB172" s="418"/>
      <c r="CC172" s="418"/>
      <c r="CD172" s="418"/>
      <c r="CE172" s="418"/>
      <c r="CF172" s="527"/>
    </row>
    <row r="173" spans="1:84" ht="14.1" customHeight="1" x14ac:dyDescent="0.2">
      <c r="A173" s="66">
        <v>38</v>
      </c>
      <c r="B173" s="63">
        <v>2307</v>
      </c>
      <c r="C173" s="64">
        <v>600079911</v>
      </c>
      <c r="D173" s="63">
        <v>72743212</v>
      </c>
      <c r="E173" s="65" t="s">
        <v>612</v>
      </c>
      <c r="F173" s="66">
        <v>3143</v>
      </c>
      <c r="G173" s="77" t="s">
        <v>297</v>
      </c>
      <c r="H173" s="67" t="s">
        <v>272</v>
      </c>
      <c r="I173" s="423">
        <f t="shared" si="302"/>
        <v>411702</v>
      </c>
      <c r="J173" s="418">
        <f t="shared" si="303"/>
        <v>305123</v>
      </c>
      <c r="K173" s="418">
        <v>293032</v>
      </c>
      <c r="L173" s="418">
        <v>12091</v>
      </c>
      <c r="M173" s="418">
        <f t="shared" si="304"/>
        <v>0</v>
      </c>
      <c r="N173" s="418">
        <v>0</v>
      </c>
      <c r="O173" s="418">
        <v>0</v>
      </c>
      <c r="P173" s="668">
        <f t="shared" si="305"/>
        <v>103132</v>
      </c>
      <c r="Q173" s="668">
        <f t="shared" si="306"/>
        <v>3051</v>
      </c>
      <c r="R173" s="418">
        <v>396</v>
      </c>
      <c r="S173" s="419">
        <f t="shared" si="307"/>
        <v>0.63</v>
      </c>
      <c r="T173" s="420">
        <v>0.57999999999999996</v>
      </c>
      <c r="U173" s="426">
        <v>0.05</v>
      </c>
      <c r="V173" s="428">
        <f t="shared" si="308"/>
        <v>0</v>
      </c>
      <c r="W173" s="421">
        <f t="shared" si="309"/>
        <v>0</v>
      </c>
      <c r="X173" s="421">
        <v>0</v>
      </c>
      <c r="Y173" s="421">
        <v>0</v>
      </c>
      <c r="Z173" s="421">
        <v>0</v>
      </c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f t="shared" si="310"/>
        <v>0</v>
      </c>
      <c r="AG173" s="421">
        <f t="shared" si="311"/>
        <v>0</v>
      </c>
      <c r="AH173" s="421">
        <f t="shared" si="312"/>
        <v>0</v>
      </c>
      <c r="AI173" s="421">
        <v>0</v>
      </c>
      <c r="AJ173" s="421">
        <v>0</v>
      </c>
      <c r="AK173" s="421">
        <v>0</v>
      </c>
      <c r="AL173" s="421">
        <v>0</v>
      </c>
      <c r="AM173" s="421">
        <v>0</v>
      </c>
      <c r="AN173" s="421">
        <v>0</v>
      </c>
      <c r="AO173" s="421">
        <f t="shared" si="313"/>
        <v>0</v>
      </c>
      <c r="AP173" s="421">
        <f t="shared" si="319"/>
        <v>0</v>
      </c>
      <c r="AQ173" s="421">
        <f t="shared" si="314"/>
        <v>0</v>
      </c>
      <c r="AR173" s="421">
        <f t="shared" si="361"/>
        <v>0</v>
      </c>
      <c r="AS173" s="421">
        <f t="shared" si="361"/>
        <v>0</v>
      </c>
      <c r="AT173" s="421">
        <f t="shared" si="315"/>
        <v>0</v>
      </c>
      <c r="AU173" s="68">
        <f t="shared" si="362"/>
        <v>0</v>
      </c>
      <c r="AV173" s="68">
        <f>ROUND(AH173*1%,0)</f>
        <v>0</v>
      </c>
      <c r="AW173" s="421">
        <v>0</v>
      </c>
      <c r="AX173" s="421">
        <v>0</v>
      </c>
      <c r="AY173" s="421">
        <f t="shared" si="316"/>
        <v>0</v>
      </c>
      <c r="AZ173" s="421">
        <f t="shared" si="317"/>
        <v>0</v>
      </c>
      <c r="BA173" s="422">
        <v>0</v>
      </c>
      <c r="BB173" s="422">
        <v>0</v>
      </c>
      <c r="BC173" s="422">
        <v>0</v>
      </c>
      <c r="BD173" s="422">
        <v>0</v>
      </c>
      <c r="BE173" s="422">
        <v>0</v>
      </c>
      <c r="BF173" s="422">
        <v>0</v>
      </c>
      <c r="BG173" s="422">
        <v>0</v>
      </c>
      <c r="BH173" s="422">
        <v>0</v>
      </c>
      <c r="BI173" s="422">
        <v>0</v>
      </c>
      <c r="BJ173" s="422">
        <v>0</v>
      </c>
      <c r="BK173" s="422">
        <f>BA173+BC173+BD173+BF173+BH173+BI173</f>
        <v>0</v>
      </c>
      <c r="BL173" s="422">
        <f>BB173+BE173+BG173+BJ173</f>
        <v>0</v>
      </c>
      <c r="BM173" s="424">
        <f t="shared" si="318"/>
        <v>0</v>
      </c>
      <c r="BN173" s="427">
        <f>I173+AZ173</f>
        <v>411702</v>
      </c>
      <c r="BO173" s="421">
        <f>J173+AH173</f>
        <v>305123</v>
      </c>
      <c r="BP173" s="421">
        <f t="shared" si="363"/>
        <v>293032</v>
      </c>
      <c r="BQ173" s="421">
        <f t="shared" si="363"/>
        <v>12091</v>
      </c>
      <c r="BR173" s="421">
        <f>M173+AQ173</f>
        <v>0</v>
      </c>
      <c r="BS173" s="421">
        <f t="shared" si="364"/>
        <v>0</v>
      </c>
      <c r="BT173" s="421">
        <f t="shared" si="364"/>
        <v>0</v>
      </c>
      <c r="BU173" s="421">
        <f t="shared" si="365"/>
        <v>103132</v>
      </c>
      <c r="BV173" s="421">
        <f t="shared" si="365"/>
        <v>3051</v>
      </c>
      <c r="BW173" s="421">
        <f>R173+AY173</f>
        <v>396</v>
      </c>
      <c r="BX173" s="422">
        <f>S173+BM173</f>
        <v>0.63</v>
      </c>
      <c r="BY173" s="422">
        <f t="shared" si="366"/>
        <v>0.57999999999999996</v>
      </c>
      <c r="BZ173" s="611">
        <f t="shared" si="366"/>
        <v>0.05</v>
      </c>
      <c r="CA173" s="423"/>
      <c r="CB173" s="418"/>
      <c r="CC173" s="418"/>
      <c r="CD173" s="418"/>
      <c r="CE173" s="418"/>
      <c r="CF173" s="527"/>
    </row>
    <row r="174" spans="1:84" ht="14.1" customHeight="1" x14ac:dyDescent="0.2">
      <c r="A174" s="72">
        <v>38</v>
      </c>
      <c r="B174" s="69">
        <v>2307</v>
      </c>
      <c r="C174" s="70">
        <v>600079911</v>
      </c>
      <c r="D174" s="69">
        <v>72743212</v>
      </c>
      <c r="E174" s="71" t="s">
        <v>613</v>
      </c>
      <c r="F174" s="72"/>
      <c r="G174" s="71"/>
      <c r="H174" s="73"/>
      <c r="I174" s="538">
        <f t="shared" ref="I174:BU174" si="367">SUM(I169:I173)</f>
        <v>46874273</v>
      </c>
      <c r="J174" s="74">
        <f t="shared" si="367"/>
        <v>34292026</v>
      </c>
      <c r="K174" s="74">
        <f>SUM(K169:K173)</f>
        <v>32125866</v>
      </c>
      <c r="L174" s="74">
        <f>SUM(L169:L173)</f>
        <v>2166160</v>
      </c>
      <c r="M174" s="74">
        <f>SUM(M169:M173)</f>
        <v>0</v>
      </c>
      <c r="N174" s="74">
        <f>SUM(N169:N173)</f>
        <v>0</v>
      </c>
      <c r="O174" s="74">
        <f>SUM(O169:O173)</f>
        <v>0</v>
      </c>
      <c r="P174" s="74">
        <f t="shared" ref="P174:Q174" si="368">SUM(P169:P173)</f>
        <v>11590705</v>
      </c>
      <c r="Q174" s="74">
        <f t="shared" si="368"/>
        <v>342920</v>
      </c>
      <c r="R174" s="74">
        <f>SUM(R169:R173)</f>
        <v>648622</v>
      </c>
      <c r="S174" s="75">
        <f>SUM(S169:S173)</f>
        <v>53.185000000000002</v>
      </c>
      <c r="T174" s="75">
        <f>SUM(T169:T173)</f>
        <v>46.445</v>
      </c>
      <c r="U174" s="753">
        <f>SUM(U169:U173)</f>
        <v>6.7399999999999993</v>
      </c>
      <c r="V174" s="538">
        <f t="shared" si="367"/>
        <v>-109440</v>
      </c>
      <c r="W174" s="74">
        <f t="shared" si="367"/>
        <v>-20480</v>
      </c>
      <c r="X174" s="74">
        <f t="shared" si="367"/>
        <v>2224809</v>
      </c>
      <c r="Y174" s="74">
        <f t="shared" si="367"/>
        <v>0</v>
      </c>
      <c r="Z174" s="74">
        <f t="shared" si="367"/>
        <v>0</v>
      </c>
      <c r="AA174" s="74">
        <f t="shared" si="367"/>
        <v>28466</v>
      </c>
      <c r="AB174" s="74">
        <f t="shared" si="367"/>
        <v>225600</v>
      </c>
      <c r="AC174" s="74">
        <f t="shared" si="367"/>
        <v>0</v>
      </c>
      <c r="AD174" s="74">
        <f t="shared" si="367"/>
        <v>0</v>
      </c>
      <c r="AE174" s="74">
        <f t="shared" si="367"/>
        <v>0</v>
      </c>
      <c r="AF174" s="74">
        <f t="shared" si="367"/>
        <v>2369435</v>
      </c>
      <c r="AG174" s="74">
        <f t="shared" si="367"/>
        <v>-20480</v>
      </c>
      <c r="AH174" s="74">
        <f t="shared" si="367"/>
        <v>2348955</v>
      </c>
      <c r="AI174" s="74">
        <f t="shared" si="367"/>
        <v>109440</v>
      </c>
      <c r="AJ174" s="74">
        <f t="shared" si="367"/>
        <v>20480</v>
      </c>
      <c r="AK174" s="74">
        <f t="shared" si="367"/>
        <v>0</v>
      </c>
      <c r="AL174" s="74">
        <f t="shared" si="367"/>
        <v>0</v>
      </c>
      <c r="AM174" s="74">
        <f t="shared" si="367"/>
        <v>0</v>
      </c>
      <c r="AN174" s="74">
        <f t="shared" si="367"/>
        <v>0</v>
      </c>
      <c r="AO174" s="74">
        <f t="shared" si="367"/>
        <v>109440</v>
      </c>
      <c r="AP174" s="74">
        <f t="shared" si="367"/>
        <v>20480</v>
      </c>
      <c r="AQ174" s="74">
        <f t="shared" si="367"/>
        <v>129920</v>
      </c>
      <c r="AR174" s="74">
        <f t="shared" si="367"/>
        <v>2478875</v>
      </c>
      <c r="AS174" s="74">
        <f t="shared" si="367"/>
        <v>0</v>
      </c>
      <c r="AT174" s="74">
        <f t="shared" si="367"/>
        <v>2478875</v>
      </c>
      <c r="AU174" s="74">
        <f t="shared" si="367"/>
        <v>837859</v>
      </c>
      <c r="AV174" s="74">
        <f t="shared" si="367"/>
        <v>23489</v>
      </c>
      <c r="AW174" s="74">
        <f t="shared" si="367"/>
        <v>0</v>
      </c>
      <c r="AX174" s="74">
        <f t="shared" si="367"/>
        <v>0</v>
      </c>
      <c r="AY174" s="74">
        <f t="shared" si="367"/>
        <v>0</v>
      </c>
      <c r="AZ174" s="74">
        <f t="shared" si="367"/>
        <v>3340223</v>
      </c>
      <c r="BA174" s="75">
        <f t="shared" si="367"/>
        <v>-0.08</v>
      </c>
      <c r="BB174" s="75">
        <f t="shared" si="367"/>
        <v>-0.06</v>
      </c>
      <c r="BC174" s="75">
        <f t="shared" si="367"/>
        <v>6</v>
      </c>
      <c r="BD174" s="75">
        <f t="shared" si="367"/>
        <v>0.4</v>
      </c>
      <c r="BE174" s="75">
        <f t="shared" si="367"/>
        <v>0</v>
      </c>
      <c r="BF174" s="75">
        <f t="shared" si="367"/>
        <v>0</v>
      </c>
      <c r="BG174" s="75">
        <f t="shared" si="367"/>
        <v>0</v>
      </c>
      <c r="BH174" s="75">
        <f t="shared" si="367"/>
        <v>0.04</v>
      </c>
      <c r="BI174" s="75">
        <f t="shared" si="367"/>
        <v>0</v>
      </c>
      <c r="BJ174" s="75">
        <f t="shared" si="367"/>
        <v>0</v>
      </c>
      <c r="BK174" s="75">
        <f t="shared" si="367"/>
        <v>6.36</v>
      </c>
      <c r="BL174" s="75">
        <f t="shared" si="367"/>
        <v>-0.06</v>
      </c>
      <c r="BM174" s="76">
        <f t="shared" si="367"/>
        <v>6.3</v>
      </c>
      <c r="BN174" s="549">
        <f t="shared" si="367"/>
        <v>50214496</v>
      </c>
      <c r="BO174" s="74">
        <f t="shared" si="367"/>
        <v>36640981</v>
      </c>
      <c r="BP174" s="74">
        <f t="shared" si="367"/>
        <v>34495301</v>
      </c>
      <c r="BQ174" s="74">
        <f t="shared" si="367"/>
        <v>2145680</v>
      </c>
      <c r="BR174" s="74">
        <f t="shared" si="367"/>
        <v>129920</v>
      </c>
      <c r="BS174" s="74">
        <f t="shared" si="367"/>
        <v>109440</v>
      </c>
      <c r="BT174" s="74">
        <f t="shared" si="367"/>
        <v>20480</v>
      </c>
      <c r="BU174" s="74">
        <f t="shared" si="367"/>
        <v>12428564</v>
      </c>
      <c r="BV174" s="74">
        <f t="shared" ref="BV174:CF174" si="369">SUM(BV169:BV173)</f>
        <v>366409</v>
      </c>
      <c r="BW174" s="74">
        <f t="shared" si="369"/>
        <v>648622</v>
      </c>
      <c r="BX174" s="75">
        <f t="shared" si="369"/>
        <v>59.484999999999999</v>
      </c>
      <c r="BY174" s="75">
        <f t="shared" si="369"/>
        <v>52.805</v>
      </c>
      <c r="BZ174" s="753">
        <f t="shared" si="369"/>
        <v>6.68</v>
      </c>
      <c r="CA174" s="796">
        <f t="shared" si="369"/>
        <v>304109</v>
      </c>
      <c r="CB174" s="789">
        <f t="shared" si="369"/>
        <v>225600</v>
      </c>
      <c r="CC174" s="789">
        <f t="shared" si="369"/>
        <v>0</v>
      </c>
      <c r="CD174" s="789">
        <f t="shared" si="369"/>
        <v>76253</v>
      </c>
      <c r="CE174" s="789">
        <f t="shared" si="369"/>
        <v>2256</v>
      </c>
      <c r="CF174" s="793">
        <f t="shared" si="369"/>
        <v>0.4</v>
      </c>
    </row>
    <row r="175" spans="1:84" ht="14.1" customHeight="1" x14ac:dyDescent="0.2">
      <c r="A175" s="66">
        <v>39</v>
      </c>
      <c r="B175" s="63">
        <v>2478</v>
      </c>
      <c r="C175" s="64">
        <v>600079929</v>
      </c>
      <c r="D175" s="63">
        <v>72743379</v>
      </c>
      <c r="E175" s="65" t="s">
        <v>614</v>
      </c>
      <c r="F175" s="66">
        <v>3113</v>
      </c>
      <c r="G175" s="65" t="s">
        <v>294</v>
      </c>
      <c r="H175" s="67" t="s">
        <v>271</v>
      </c>
      <c r="I175" s="423">
        <f t="shared" si="302"/>
        <v>38499671</v>
      </c>
      <c r="J175" s="418">
        <f t="shared" ref="J175" si="370">K175+L175</f>
        <v>28159490</v>
      </c>
      <c r="K175" s="418">
        <v>26285373</v>
      </c>
      <c r="L175" s="418">
        <v>1874117</v>
      </c>
      <c r="M175" s="418">
        <f>N175+O175</f>
        <v>0</v>
      </c>
      <c r="N175" s="418">
        <v>0</v>
      </c>
      <c r="O175" s="418">
        <v>0</v>
      </c>
      <c r="P175" s="668">
        <f t="shared" si="305"/>
        <v>9517908</v>
      </c>
      <c r="Q175" s="668">
        <f t="shared" si="306"/>
        <v>281595</v>
      </c>
      <c r="R175" s="418">
        <v>540678</v>
      </c>
      <c r="S175" s="419">
        <f>T175+U175</f>
        <v>43.4739</v>
      </c>
      <c r="T175" s="419">
        <v>37.808</v>
      </c>
      <c r="U175" s="426">
        <v>5.6659000000000006</v>
      </c>
      <c r="V175" s="428">
        <f t="shared" si="308"/>
        <v>-105600</v>
      </c>
      <c r="W175" s="421">
        <f t="shared" si="309"/>
        <v>-1280</v>
      </c>
      <c r="X175" s="421">
        <v>0</v>
      </c>
      <c r="Y175" s="421">
        <v>0</v>
      </c>
      <c r="Z175" s="421">
        <v>0</v>
      </c>
      <c r="AA175" s="421">
        <v>131076</v>
      </c>
      <c r="AB175" s="421">
        <v>564000</v>
      </c>
      <c r="AC175" s="421">
        <v>0</v>
      </c>
      <c r="AD175" s="421">
        <v>0</v>
      </c>
      <c r="AE175" s="421">
        <v>0</v>
      </c>
      <c r="AF175" s="421">
        <f t="shared" si="310"/>
        <v>589476</v>
      </c>
      <c r="AG175" s="421">
        <f t="shared" si="311"/>
        <v>-1280</v>
      </c>
      <c r="AH175" s="421">
        <f t="shared" si="312"/>
        <v>588196</v>
      </c>
      <c r="AI175" s="421">
        <v>105600</v>
      </c>
      <c r="AJ175" s="421">
        <v>1280</v>
      </c>
      <c r="AK175" s="421">
        <v>0</v>
      </c>
      <c r="AL175" s="421">
        <v>158779</v>
      </c>
      <c r="AM175" s="421">
        <v>0</v>
      </c>
      <c r="AN175" s="421">
        <v>0</v>
      </c>
      <c r="AO175" s="421">
        <f t="shared" si="313"/>
        <v>264379</v>
      </c>
      <c r="AP175" s="421">
        <f t="shared" si="319"/>
        <v>1280</v>
      </c>
      <c r="AQ175" s="421">
        <f t="shared" si="314"/>
        <v>265659</v>
      </c>
      <c r="AR175" s="421">
        <f t="shared" ref="AR175:AS179" si="371">AF175+AO175</f>
        <v>853855</v>
      </c>
      <c r="AS175" s="421">
        <f t="shared" si="371"/>
        <v>0</v>
      </c>
      <c r="AT175" s="421">
        <f t="shared" si="315"/>
        <v>853855</v>
      </c>
      <c r="AU175" s="68">
        <f t="shared" ref="AU175:AU179" si="372">ROUND((AH175+AI175+AJ175+AK175+AL175)*33.8%,0)</f>
        <v>288603</v>
      </c>
      <c r="AV175" s="68">
        <f>ROUND(AH175*1%,0)</f>
        <v>5882</v>
      </c>
      <c r="AW175" s="421">
        <v>0</v>
      </c>
      <c r="AX175" s="421">
        <v>0</v>
      </c>
      <c r="AY175" s="421">
        <f t="shared" si="316"/>
        <v>0</v>
      </c>
      <c r="AZ175" s="421">
        <f t="shared" si="317"/>
        <v>1148340</v>
      </c>
      <c r="BA175" s="422">
        <v>-0.15</v>
      </c>
      <c r="BB175" s="422">
        <v>0</v>
      </c>
      <c r="BC175" s="422">
        <v>0</v>
      </c>
      <c r="BD175" s="422">
        <v>1</v>
      </c>
      <c r="BE175" s="422">
        <v>0</v>
      </c>
      <c r="BF175" s="422">
        <v>0</v>
      </c>
      <c r="BG175" s="422">
        <v>0</v>
      </c>
      <c r="BH175" s="422">
        <v>0.19</v>
      </c>
      <c r="BI175" s="422">
        <v>0</v>
      </c>
      <c r="BJ175" s="422">
        <v>0</v>
      </c>
      <c r="BK175" s="422">
        <f>BA175+BC175+BD175+BF175+BH175+BI175</f>
        <v>1.04</v>
      </c>
      <c r="BL175" s="422">
        <f>BB175+BE175+BG175+BJ175</f>
        <v>0</v>
      </c>
      <c r="BM175" s="424">
        <f t="shared" si="318"/>
        <v>1.04</v>
      </c>
      <c r="BN175" s="427">
        <f>I175+AZ175</f>
        <v>39648011</v>
      </c>
      <c r="BO175" s="421">
        <f>J175+AH175</f>
        <v>28747686</v>
      </c>
      <c r="BP175" s="421">
        <f t="shared" ref="BP175:BQ179" si="373">K175+AF175</f>
        <v>26874849</v>
      </c>
      <c r="BQ175" s="421">
        <f t="shared" si="373"/>
        <v>1872837</v>
      </c>
      <c r="BR175" s="421">
        <f>M175+AQ175</f>
        <v>265659</v>
      </c>
      <c r="BS175" s="421">
        <f t="shared" ref="BS175:BT179" si="374">N175+AO175</f>
        <v>264379</v>
      </c>
      <c r="BT175" s="421">
        <f t="shared" si="374"/>
        <v>1280</v>
      </c>
      <c r="BU175" s="421">
        <f t="shared" ref="BU175:BV179" si="375">P175+AU175</f>
        <v>9806511</v>
      </c>
      <c r="BV175" s="421">
        <f t="shared" si="375"/>
        <v>287477</v>
      </c>
      <c r="BW175" s="421">
        <f>R175+AY175</f>
        <v>540678</v>
      </c>
      <c r="BX175" s="422">
        <f>S175+BM175</f>
        <v>44.5139</v>
      </c>
      <c r="BY175" s="422">
        <f t="shared" ref="BY175:BZ179" si="376">T175+BK175</f>
        <v>38.847999999999999</v>
      </c>
      <c r="BZ175" s="611">
        <f t="shared" si="376"/>
        <v>5.6659000000000006</v>
      </c>
      <c r="CA175" s="423">
        <v>760272</v>
      </c>
      <c r="CB175" s="418">
        <v>564000</v>
      </c>
      <c r="CC175" s="418">
        <v>0</v>
      </c>
      <c r="CD175" s="418">
        <v>190632</v>
      </c>
      <c r="CE175" s="418">
        <v>5640</v>
      </c>
      <c r="CF175" s="527">
        <v>1</v>
      </c>
    </row>
    <row r="176" spans="1:84" ht="14.1" customHeight="1" x14ac:dyDescent="0.2">
      <c r="A176" s="66">
        <v>39</v>
      </c>
      <c r="B176" s="63">
        <v>2478</v>
      </c>
      <c r="C176" s="64">
        <v>600079929</v>
      </c>
      <c r="D176" s="63">
        <v>72743379</v>
      </c>
      <c r="E176" s="65" t="s">
        <v>614</v>
      </c>
      <c r="F176" s="66">
        <v>3113</v>
      </c>
      <c r="G176" s="77" t="s">
        <v>292</v>
      </c>
      <c r="H176" s="67" t="s">
        <v>272</v>
      </c>
      <c r="I176" s="423">
        <f t="shared" si="302"/>
        <v>0</v>
      </c>
      <c r="J176" s="418">
        <f t="shared" si="303"/>
        <v>0</v>
      </c>
      <c r="K176" s="418">
        <v>0</v>
      </c>
      <c r="L176" s="418">
        <v>0</v>
      </c>
      <c r="M176" s="418">
        <f t="shared" si="304"/>
        <v>0</v>
      </c>
      <c r="N176" s="418">
        <v>0</v>
      </c>
      <c r="O176" s="418">
        <v>0</v>
      </c>
      <c r="P176" s="668">
        <f t="shared" si="305"/>
        <v>0</v>
      </c>
      <c r="Q176" s="668">
        <f t="shared" si="306"/>
        <v>0</v>
      </c>
      <c r="R176" s="418">
        <v>0</v>
      </c>
      <c r="S176" s="419">
        <f t="shared" si="307"/>
        <v>0</v>
      </c>
      <c r="T176" s="420">
        <v>0</v>
      </c>
      <c r="U176" s="426">
        <v>0</v>
      </c>
      <c r="V176" s="428">
        <f t="shared" si="308"/>
        <v>0</v>
      </c>
      <c r="W176" s="421">
        <f t="shared" si="309"/>
        <v>0</v>
      </c>
      <c r="X176" s="16">
        <v>5024989</v>
      </c>
      <c r="Y176" s="16">
        <v>0</v>
      </c>
      <c r="Z176" s="16">
        <v>0</v>
      </c>
      <c r="AA176" s="16">
        <v>0</v>
      </c>
      <c r="AB176" s="421">
        <v>0</v>
      </c>
      <c r="AC176" s="16">
        <v>0</v>
      </c>
      <c r="AD176" s="16">
        <v>0</v>
      </c>
      <c r="AE176" s="16">
        <v>0</v>
      </c>
      <c r="AF176" s="421">
        <f t="shared" si="310"/>
        <v>5024989</v>
      </c>
      <c r="AG176" s="421">
        <f t="shared" si="311"/>
        <v>0</v>
      </c>
      <c r="AH176" s="421">
        <f t="shared" si="312"/>
        <v>5024989</v>
      </c>
      <c r="AI176" s="16">
        <v>0</v>
      </c>
      <c r="AJ176" s="16">
        <v>0</v>
      </c>
      <c r="AK176" s="421">
        <v>0</v>
      </c>
      <c r="AL176" s="16">
        <v>0</v>
      </c>
      <c r="AM176" s="16">
        <v>0</v>
      </c>
      <c r="AN176" s="16">
        <v>0</v>
      </c>
      <c r="AO176" s="421">
        <f t="shared" si="313"/>
        <v>0</v>
      </c>
      <c r="AP176" s="16">
        <v>0</v>
      </c>
      <c r="AQ176" s="421">
        <f t="shared" si="314"/>
        <v>0</v>
      </c>
      <c r="AR176" s="421">
        <f t="shared" si="371"/>
        <v>5024989</v>
      </c>
      <c r="AS176" s="421">
        <f t="shared" si="371"/>
        <v>0</v>
      </c>
      <c r="AT176" s="421">
        <f t="shared" si="315"/>
        <v>5024989</v>
      </c>
      <c r="AU176" s="68">
        <f t="shared" si="372"/>
        <v>1698446</v>
      </c>
      <c r="AV176" s="68">
        <f>ROUND(AH176*1%,0)</f>
        <v>50250</v>
      </c>
      <c r="AW176" s="16">
        <v>4000</v>
      </c>
      <c r="AX176" s="16">
        <v>0</v>
      </c>
      <c r="AY176" s="421">
        <f t="shared" si="316"/>
        <v>4000</v>
      </c>
      <c r="AZ176" s="421">
        <f t="shared" si="317"/>
        <v>6777685</v>
      </c>
      <c r="BA176" s="13">
        <v>0</v>
      </c>
      <c r="BB176" s="13">
        <v>0</v>
      </c>
      <c r="BC176" s="13">
        <v>13.27</v>
      </c>
      <c r="BD176" s="422">
        <v>0</v>
      </c>
      <c r="BE176" s="422">
        <v>0</v>
      </c>
      <c r="BF176" s="422">
        <v>0</v>
      </c>
      <c r="BG176" s="422">
        <v>0</v>
      </c>
      <c r="BH176" s="422">
        <v>0</v>
      </c>
      <c r="BI176" s="422">
        <v>0</v>
      </c>
      <c r="BJ176" s="422">
        <v>0</v>
      </c>
      <c r="BK176" s="422">
        <f>BA176+BC176+BD176+BF176+BH176+BI176</f>
        <v>13.27</v>
      </c>
      <c r="BL176" s="422">
        <f>BB176+BE176+BG176+BJ176</f>
        <v>0</v>
      </c>
      <c r="BM176" s="424">
        <f t="shared" si="318"/>
        <v>13.27</v>
      </c>
      <c r="BN176" s="427">
        <f>I176+AZ176</f>
        <v>6777685</v>
      </c>
      <c r="BO176" s="421">
        <f>J176+AH176</f>
        <v>5024989</v>
      </c>
      <c r="BP176" s="421">
        <f t="shared" si="373"/>
        <v>5024989</v>
      </c>
      <c r="BQ176" s="421">
        <f t="shared" si="373"/>
        <v>0</v>
      </c>
      <c r="BR176" s="421">
        <f>M176+AQ176</f>
        <v>0</v>
      </c>
      <c r="BS176" s="421">
        <f t="shared" si="374"/>
        <v>0</v>
      </c>
      <c r="BT176" s="421">
        <f t="shared" si="374"/>
        <v>0</v>
      </c>
      <c r="BU176" s="421">
        <f t="shared" si="375"/>
        <v>1698446</v>
      </c>
      <c r="BV176" s="421">
        <f t="shared" si="375"/>
        <v>50250</v>
      </c>
      <c r="BW176" s="421">
        <f>R176+AY176</f>
        <v>4000</v>
      </c>
      <c r="BX176" s="422">
        <f>S176+BM176</f>
        <v>13.27</v>
      </c>
      <c r="BY176" s="422">
        <f t="shared" si="376"/>
        <v>13.27</v>
      </c>
      <c r="BZ176" s="611">
        <f t="shared" si="376"/>
        <v>0</v>
      </c>
      <c r="CA176" s="423"/>
      <c r="CB176" s="418"/>
      <c r="CC176" s="418"/>
      <c r="CD176" s="418"/>
      <c r="CE176" s="418"/>
      <c r="CF176" s="527"/>
    </row>
    <row r="177" spans="1:84" ht="14.1" customHeight="1" x14ac:dyDescent="0.2">
      <c r="A177" s="66">
        <v>39</v>
      </c>
      <c r="B177" s="63">
        <v>2478</v>
      </c>
      <c r="C177" s="64">
        <v>600079929</v>
      </c>
      <c r="D177" s="63">
        <v>72743379</v>
      </c>
      <c r="E177" s="65" t="s">
        <v>614</v>
      </c>
      <c r="F177" s="66">
        <v>3141</v>
      </c>
      <c r="G177" s="65" t="s">
        <v>295</v>
      </c>
      <c r="H177" s="67" t="s">
        <v>272</v>
      </c>
      <c r="I177" s="423">
        <f t="shared" si="302"/>
        <v>2314613</v>
      </c>
      <c r="J177" s="418">
        <f t="shared" si="303"/>
        <v>1700748</v>
      </c>
      <c r="K177" s="418">
        <v>0</v>
      </c>
      <c r="L177" s="924">
        <v>1700748</v>
      </c>
      <c r="M177" s="418">
        <f>N177+O177</f>
        <v>0</v>
      </c>
      <c r="N177" s="205">
        <v>0</v>
      </c>
      <c r="O177" s="205">
        <v>0</v>
      </c>
      <c r="P177" s="668">
        <f t="shared" si="305"/>
        <v>574853</v>
      </c>
      <c r="Q177" s="668">
        <f t="shared" si="306"/>
        <v>17007</v>
      </c>
      <c r="R177" s="674">
        <v>22005</v>
      </c>
      <c r="S177" s="419">
        <f>T177+U177</f>
        <v>5.0999999999999996</v>
      </c>
      <c r="T177" s="676">
        <v>0</v>
      </c>
      <c r="U177" s="909">
        <v>5.0999999999999996</v>
      </c>
      <c r="V177" s="428">
        <f t="shared" si="308"/>
        <v>0</v>
      </c>
      <c r="W177" s="421">
        <f t="shared" si="309"/>
        <v>0</v>
      </c>
      <c r="X177" s="421">
        <v>0</v>
      </c>
      <c r="Y177" s="421">
        <v>0</v>
      </c>
      <c r="Z177" s="421">
        <v>0</v>
      </c>
      <c r="AA177" s="421">
        <v>0</v>
      </c>
      <c r="AB177" s="421">
        <v>0</v>
      </c>
      <c r="AC177" s="421">
        <v>0</v>
      </c>
      <c r="AD177" s="421">
        <v>0</v>
      </c>
      <c r="AE177" s="421">
        <v>0</v>
      </c>
      <c r="AF177" s="421">
        <f t="shared" si="310"/>
        <v>0</v>
      </c>
      <c r="AG177" s="421">
        <f t="shared" si="311"/>
        <v>0</v>
      </c>
      <c r="AH177" s="421">
        <f t="shared" si="312"/>
        <v>0</v>
      </c>
      <c r="AI177" s="421">
        <v>0</v>
      </c>
      <c r="AJ177" s="421">
        <v>0</v>
      </c>
      <c r="AK177" s="421">
        <v>0</v>
      </c>
      <c r="AL177" s="421">
        <v>0</v>
      </c>
      <c r="AM177" s="421">
        <v>0</v>
      </c>
      <c r="AN177" s="421">
        <v>0</v>
      </c>
      <c r="AO177" s="421">
        <f t="shared" si="313"/>
        <v>0</v>
      </c>
      <c r="AP177" s="421">
        <f t="shared" si="319"/>
        <v>0</v>
      </c>
      <c r="AQ177" s="421">
        <f t="shared" si="314"/>
        <v>0</v>
      </c>
      <c r="AR177" s="421">
        <f t="shared" si="371"/>
        <v>0</v>
      </c>
      <c r="AS177" s="421">
        <f t="shared" si="371"/>
        <v>0</v>
      </c>
      <c r="AT177" s="421">
        <f t="shared" si="315"/>
        <v>0</v>
      </c>
      <c r="AU177" s="68">
        <f t="shared" si="372"/>
        <v>0</v>
      </c>
      <c r="AV177" s="68">
        <f>ROUND(AH177*1%,0)</f>
        <v>0</v>
      </c>
      <c r="AW177" s="421">
        <v>0</v>
      </c>
      <c r="AX177" s="421">
        <v>0</v>
      </c>
      <c r="AY177" s="421">
        <f t="shared" si="316"/>
        <v>0</v>
      </c>
      <c r="AZ177" s="421">
        <f t="shared" si="317"/>
        <v>0</v>
      </c>
      <c r="BA177" s="422">
        <v>0</v>
      </c>
      <c r="BB177" s="422">
        <v>0</v>
      </c>
      <c r="BC177" s="422">
        <v>0</v>
      </c>
      <c r="BD177" s="422">
        <v>0</v>
      </c>
      <c r="BE177" s="422">
        <v>0</v>
      </c>
      <c r="BF177" s="422">
        <v>0</v>
      </c>
      <c r="BG177" s="422">
        <v>0</v>
      </c>
      <c r="BH177" s="422">
        <v>0</v>
      </c>
      <c r="BI177" s="422">
        <v>0</v>
      </c>
      <c r="BJ177" s="422">
        <v>0</v>
      </c>
      <c r="BK177" s="422">
        <f>BA177+BC177+BD177+BF177+BH177+BI177</f>
        <v>0</v>
      </c>
      <c r="BL177" s="422">
        <f>BB177+BE177+BG177+BJ177</f>
        <v>0</v>
      </c>
      <c r="BM177" s="424">
        <f t="shared" si="318"/>
        <v>0</v>
      </c>
      <c r="BN177" s="427">
        <f>I177+AZ177</f>
        <v>2314613</v>
      </c>
      <c r="BO177" s="421">
        <f>J177+AH177</f>
        <v>1700748</v>
      </c>
      <c r="BP177" s="421">
        <f t="shared" si="373"/>
        <v>0</v>
      </c>
      <c r="BQ177" s="421">
        <f t="shared" si="373"/>
        <v>1700748</v>
      </c>
      <c r="BR177" s="421">
        <f>M177+AQ177</f>
        <v>0</v>
      </c>
      <c r="BS177" s="421">
        <f t="shared" si="374"/>
        <v>0</v>
      </c>
      <c r="BT177" s="421">
        <f t="shared" si="374"/>
        <v>0</v>
      </c>
      <c r="BU177" s="421">
        <f t="shared" si="375"/>
        <v>574853</v>
      </c>
      <c r="BV177" s="421">
        <f t="shared" si="375"/>
        <v>17007</v>
      </c>
      <c r="BW177" s="421">
        <f>R177+AY177</f>
        <v>22005</v>
      </c>
      <c r="BX177" s="422">
        <f>S177+BM177</f>
        <v>5.0999999999999996</v>
      </c>
      <c r="BY177" s="422">
        <f t="shared" si="376"/>
        <v>0</v>
      </c>
      <c r="BZ177" s="611">
        <f t="shared" si="376"/>
        <v>5.0999999999999996</v>
      </c>
      <c r="CA177" s="423"/>
      <c r="CB177" s="418"/>
      <c r="CC177" s="418"/>
      <c r="CD177" s="418"/>
      <c r="CE177" s="418"/>
      <c r="CF177" s="527"/>
    </row>
    <row r="178" spans="1:84" ht="14.1" customHeight="1" x14ac:dyDescent="0.2">
      <c r="A178" s="66">
        <v>39</v>
      </c>
      <c r="B178" s="63">
        <v>2478</v>
      </c>
      <c r="C178" s="64">
        <v>600079929</v>
      </c>
      <c r="D178" s="63">
        <v>72743379</v>
      </c>
      <c r="E178" s="65" t="s">
        <v>614</v>
      </c>
      <c r="F178" s="66">
        <v>3143</v>
      </c>
      <c r="G178" s="77" t="s">
        <v>596</v>
      </c>
      <c r="H178" s="67" t="s">
        <v>271</v>
      </c>
      <c r="I178" s="423">
        <f t="shared" si="302"/>
        <v>5993329</v>
      </c>
      <c r="J178" s="418">
        <f t="shared" si="303"/>
        <v>4446090</v>
      </c>
      <c r="K178" s="418">
        <v>4446090</v>
      </c>
      <c r="L178" s="418">
        <v>0</v>
      </c>
      <c r="M178" s="418">
        <f t="shared" si="304"/>
        <v>0</v>
      </c>
      <c r="N178" s="418">
        <v>0</v>
      </c>
      <c r="O178" s="418">
        <v>0</v>
      </c>
      <c r="P178" s="668">
        <f t="shared" si="305"/>
        <v>1502778</v>
      </c>
      <c r="Q178" s="668">
        <f t="shared" si="306"/>
        <v>44461</v>
      </c>
      <c r="R178" s="418">
        <v>0</v>
      </c>
      <c r="S178" s="419">
        <f t="shared" si="307"/>
        <v>9.2677999999999994</v>
      </c>
      <c r="T178" s="419">
        <v>9.2677999999999994</v>
      </c>
      <c r="U178" s="426">
        <v>0</v>
      </c>
      <c r="V178" s="428">
        <f t="shared" si="308"/>
        <v>-3200</v>
      </c>
      <c r="W178" s="421">
        <f t="shared" si="309"/>
        <v>-1280</v>
      </c>
      <c r="X178" s="421">
        <v>0</v>
      </c>
      <c r="Y178" s="421">
        <v>0</v>
      </c>
      <c r="Z178" s="421">
        <v>0</v>
      </c>
      <c r="AA178" s="421">
        <v>0</v>
      </c>
      <c r="AB178" s="421">
        <v>0</v>
      </c>
      <c r="AC178" s="421">
        <v>0</v>
      </c>
      <c r="AD178" s="421">
        <v>0</v>
      </c>
      <c r="AE178" s="421">
        <v>0</v>
      </c>
      <c r="AF178" s="421">
        <f t="shared" si="310"/>
        <v>-3200</v>
      </c>
      <c r="AG178" s="421">
        <f t="shared" si="311"/>
        <v>-1280</v>
      </c>
      <c r="AH178" s="421">
        <f t="shared" si="312"/>
        <v>-4480</v>
      </c>
      <c r="AI178" s="421">
        <v>3200</v>
      </c>
      <c r="AJ178" s="421">
        <v>1280</v>
      </c>
      <c r="AK178" s="421">
        <v>0</v>
      </c>
      <c r="AL178" s="421">
        <v>0</v>
      </c>
      <c r="AM178" s="421">
        <v>0</v>
      </c>
      <c r="AN178" s="421">
        <v>0</v>
      </c>
      <c r="AO178" s="421">
        <f t="shared" si="313"/>
        <v>3200</v>
      </c>
      <c r="AP178" s="421">
        <f t="shared" si="319"/>
        <v>1280</v>
      </c>
      <c r="AQ178" s="421">
        <f t="shared" si="314"/>
        <v>4480</v>
      </c>
      <c r="AR178" s="421">
        <f t="shared" si="371"/>
        <v>0</v>
      </c>
      <c r="AS178" s="421">
        <f t="shared" si="371"/>
        <v>0</v>
      </c>
      <c r="AT178" s="421">
        <f t="shared" si="315"/>
        <v>0</v>
      </c>
      <c r="AU178" s="68">
        <f t="shared" si="372"/>
        <v>0</v>
      </c>
      <c r="AV178" s="68">
        <f>ROUND(AH178*1%,0)</f>
        <v>-45</v>
      </c>
      <c r="AW178" s="421">
        <v>0</v>
      </c>
      <c r="AX178" s="421">
        <v>0</v>
      </c>
      <c r="AY178" s="421">
        <f t="shared" si="316"/>
        <v>0</v>
      </c>
      <c r="AZ178" s="421">
        <f t="shared" si="317"/>
        <v>-45</v>
      </c>
      <c r="BA178" s="422">
        <v>0</v>
      </c>
      <c r="BB178" s="422">
        <v>0</v>
      </c>
      <c r="BC178" s="422">
        <v>0</v>
      </c>
      <c r="BD178" s="422">
        <v>0</v>
      </c>
      <c r="BE178" s="422">
        <v>0</v>
      </c>
      <c r="BF178" s="422">
        <v>0</v>
      </c>
      <c r="BG178" s="422">
        <v>0</v>
      </c>
      <c r="BH178" s="422">
        <v>0</v>
      </c>
      <c r="BI178" s="422">
        <v>0</v>
      </c>
      <c r="BJ178" s="422">
        <v>0</v>
      </c>
      <c r="BK178" s="422">
        <f>BA178+BC178+BD178+BF178+BH178+BI178</f>
        <v>0</v>
      </c>
      <c r="BL178" s="422">
        <f>BB178+BE178+BG178+BJ178</f>
        <v>0</v>
      </c>
      <c r="BM178" s="424">
        <f t="shared" si="318"/>
        <v>0</v>
      </c>
      <c r="BN178" s="427">
        <f>I178+AZ178</f>
        <v>5993284</v>
      </c>
      <c r="BO178" s="421">
        <f>J178+AH178</f>
        <v>4441610</v>
      </c>
      <c r="BP178" s="421">
        <f t="shared" si="373"/>
        <v>4442890</v>
      </c>
      <c r="BQ178" s="421">
        <f t="shared" si="373"/>
        <v>-1280</v>
      </c>
      <c r="BR178" s="421">
        <f>M178+AQ178</f>
        <v>4480</v>
      </c>
      <c r="BS178" s="421">
        <f t="shared" si="374"/>
        <v>3200</v>
      </c>
      <c r="BT178" s="421">
        <f t="shared" si="374"/>
        <v>1280</v>
      </c>
      <c r="BU178" s="421">
        <f t="shared" si="375"/>
        <v>1502778</v>
      </c>
      <c r="BV178" s="421">
        <f t="shared" si="375"/>
        <v>44416</v>
      </c>
      <c r="BW178" s="421">
        <f>R178+AY178</f>
        <v>0</v>
      </c>
      <c r="BX178" s="422">
        <f>S178+BM178</f>
        <v>9.2677999999999994</v>
      </c>
      <c r="BY178" s="422">
        <f t="shared" si="376"/>
        <v>9.2677999999999994</v>
      </c>
      <c r="BZ178" s="611">
        <f t="shared" si="376"/>
        <v>0</v>
      </c>
      <c r="CA178" s="423"/>
      <c r="CB178" s="418"/>
      <c r="CC178" s="418"/>
      <c r="CD178" s="418"/>
      <c r="CE178" s="418"/>
      <c r="CF178" s="527"/>
    </row>
    <row r="179" spans="1:84" ht="14.1" customHeight="1" x14ac:dyDescent="0.2">
      <c r="A179" s="66">
        <v>39</v>
      </c>
      <c r="B179" s="63">
        <v>2478</v>
      </c>
      <c r="C179" s="64">
        <v>600079929</v>
      </c>
      <c r="D179" s="63">
        <v>72743379</v>
      </c>
      <c r="E179" s="65" t="s">
        <v>614</v>
      </c>
      <c r="F179" s="66">
        <v>3143</v>
      </c>
      <c r="G179" s="77" t="s">
        <v>597</v>
      </c>
      <c r="H179" s="67" t="s">
        <v>272</v>
      </c>
      <c r="I179" s="423">
        <f t="shared" si="302"/>
        <v>126030</v>
      </c>
      <c r="J179" s="418">
        <f t="shared" si="303"/>
        <v>90209</v>
      </c>
      <c r="K179" s="418">
        <v>0</v>
      </c>
      <c r="L179" s="674">
        <v>90209</v>
      </c>
      <c r="M179" s="418">
        <f t="shared" si="304"/>
        <v>0</v>
      </c>
      <c r="N179" s="418">
        <v>0</v>
      </c>
      <c r="O179" s="418">
        <v>0</v>
      </c>
      <c r="P179" s="668">
        <f t="shared" si="305"/>
        <v>30491</v>
      </c>
      <c r="Q179" s="668">
        <f t="shared" si="306"/>
        <v>902</v>
      </c>
      <c r="R179" s="674">
        <v>4428</v>
      </c>
      <c r="S179" s="419">
        <f t="shared" si="307"/>
        <v>0.3417</v>
      </c>
      <c r="T179" s="676">
        <v>0</v>
      </c>
      <c r="U179" s="909">
        <v>0.3417</v>
      </c>
      <c r="V179" s="428">
        <f t="shared" si="308"/>
        <v>0</v>
      </c>
      <c r="W179" s="421">
        <f t="shared" si="309"/>
        <v>0</v>
      </c>
      <c r="X179" s="421">
        <v>0</v>
      </c>
      <c r="Y179" s="421">
        <v>0</v>
      </c>
      <c r="Z179" s="421">
        <v>0</v>
      </c>
      <c r="AA179" s="421">
        <v>0</v>
      </c>
      <c r="AB179" s="421">
        <v>0</v>
      </c>
      <c r="AC179" s="421">
        <v>0</v>
      </c>
      <c r="AD179" s="421">
        <v>0</v>
      </c>
      <c r="AE179" s="421">
        <v>0</v>
      </c>
      <c r="AF179" s="421">
        <f t="shared" si="310"/>
        <v>0</v>
      </c>
      <c r="AG179" s="421">
        <f t="shared" si="311"/>
        <v>0</v>
      </c>
      <c r="AH179" s="421">
        <f t="shared" si="312"/>
        <v>0</v>
      </c>
      <c r="AI179" s="421">
        <v>0</v>
      </c>
      <c r="AJ179" s="421">
        <v>0</v>
      </c>
      <c r="AK179" s="421">
        <v>0</v>
      </c>
      <c r="AL179" s="421">
        <v>0</v>
      </c>
      <c r="AM179" s="421">
        <v>0</v>
      </c>
      <c r="AN179" s="421">
        <v>0</v>
      </c>
      <c r="AO179" s="421">
        <f t="shared" si="313"/>
        <v>0</v>
      </c>
      <c r="AP179" s="421">
        <f t="shared" si="319"/>
        <v>0</v>
      </c>
      <c r="AQ179" s="421">
        <f t="shared" si="314"/>
        <v>0</v>
      </c>
      <c r="AR179" s="421">
        <f t="shared" si="371"/>
        <v>0</v>
      </c>
      <c r="AS179" s="421">
        <f t="shared" si="371"/>
        <v>0</v>
      </c>
      <c r="AT179" s="421">
        <f t="shared" si="315"/>
        <v>0</v>
      </c>
      <c r="AU179" s="68">
        <f t="shared" si="372"/>
        <v>0</v>
      </c>
      <c r="AV179" s="68">
        <f>ROUND(AH179*1%,0)</f>
        <v>0</v>
      </c>
      <c r="AW179" s="421">
        <v>0</v>
      </c>
      <c r="AX179" s="421">
        <v>0</v>
      </c>
      <c r="AY179" s="421">
        <f t="shared" si="316"/>
        <v>0</v>
      </c>
      <c r="AZ179" s="421">
        <f t="shared" si="317"/>
        <v>0</v>
      </c>
      <c r="BA179" s="422">
        <v>0</v>
      </c>
      <c r="BB179" s="422">
        <v>0</v>
      </c>
      <c r="BC179" s="422">
        <v>0</v>
      </c>
      <c r="BD179" s="422">
        <v>0</v>
      </c>
      <c r="BE179" s="422">
        <v>0</v>
      </c>
      <c r="BF179" s="422">
        <v>0</v>
      </c>
      <c r="BG179" s="422">
        <v>0</v>
      </c>
      <c r="BH179" s="422">
        <v>0</v>
      </c>
      <c r="BI179" s="422">
        <v>0</v>
      </c>
      <c r="BJ179" s="422">
        <v>0</v>
      </c>
      <c r="BK179" s="422">
        <f>BA179+BC179+BD179+BF179+BH179+BI179</f>
        <v>0</v>
      </c>
      <c r="BL179" s="422">
        <f>BB179+BE179+BG179+BJ179</f>
        <v>0</v>
      </c>
      <c r="BM179" s="424">
        <f t="shared" si="318"/>
        <v>0</v>
      </c>
      <c r="BN179" s="427">
        <f>I179+AZ179</f>
        <v>126030</v>
      </c>
      <c r="BO179" s="421">
        <f>J179+AH179</f>
        <v>90209</v>
      </c>
      <c r="BP179" s="421">
        <f t="shared" si="373"/>
        <v>0</v>
      </c>
      <c r="BQ179" s="421">
        <f t="shared" si="373"/>
        <v>90209</v>
      </c>
      <c r="BR179" s="421">
        <f>M179+AQ179</f>
        <v>0</v>
      </c>
      <c r="BS179" s="421">
        <f t="shared" si="374"/>
        <v>0</v>
      </c>
      <c r="BT179" s="421">
        <f t="shared" si="374"/>
        <v>0</v>
      </c>
      <c r="BU179" s="421">
        <f t="shared" si="375"/>
        <v>30491</v>
      </c>
      <c r="BV179" s="421">
        <f t="shared" si="375"/>
        <v>902</v>
      </c>
      <c r="BW179" s="421">
        <f>R179+AY179</f>
        <v>4428</v>
      </c>
      <c r="BX179" s="422">
        <f>S179+BM179</f>
        <v>0.3417</v>
      </c>
      <c r="BY179" s="422">
        <f t="shared" si="376"/>
        <v>0</v>
      </c>
      <c r="BZ179" s="611">
        <f t="shared" si="376"/>
        <v>0.3417</v>
      </c>
      <c r="CA179" s="423"/>
      <c r="CB179" s="418"/>
      <c r="CC179" s="418"/>
      <c r="CD179" s="418"/>
      <c r="CE179" s="418"/>
      <c r="CF179" s="527"/>
    </row>
    <row r="180" spans="1:84" ht="14.1" customHeight="1" x14ac:dyDescent="0.2">
      <c r="A180" s="72">
        <v>39</v>
      </c>
      <c r="B180" s="69">
        <v>2478</v>
      </c>
      <c r="C180" s="70">
        <v>600079929</v>
      </c>
      <c r="D180" s="69">
        <v>72743379</v>
      </c>
      <c r="E180" s="71" t="s">
        <v>615</v>
      </c>
      <c r="F180" s="72"/>
      <c r="G180" s="71"/>
      <c r="H180" s="73"/>
      <c r="I180" s="538">
        <f t="shared" ref="I180:BU180" si="377">SUM(I175:I179)</f>
        <v>46933643</v>
      </c>
      <c r="J180" s="74">
        <f t="shared" si="377"/>
        <v>34396537</v>
      </c>
      <c r="K180" s="74">
        <f>SUM(K175:K179)</f>
        <v>30731463</v>
      </c>
      <c r="L180" s="74">
        <f>SUM(L175:L179)</f>
        <v>3665074</v>
      </c>
      <c r="M180" s="74">
        <f>SUM(M175:M179)</f>
        <v>0</v>
      </c>
      <c r="N180" s="74">
        <f>SUM(N175:N179)</f>
        <v>0</v>
      </c>
      <c r="O180" s="74">
        <f>SUM(O175:O179)</f>
        <v>0</v>
      </c>
      <c r="P180" s="74">
        <f t="shared" ref="P180:Q180" si="378">SUM(P175:P179)</f>
        <v>11626030</v>
      </c>
      <c r="Q180" s="74">
        <f t="shared" si="378"/>
        <v>343965</v>
      </c>
      <c r="R180" s="74">
        <f>SUM(R175:R179)</f>
        <v>567111</v>
      </c>
      <c r="S180" s="75">
        <f>SUM(S175:S179)</f>
        <v>58.183400000000006</v>
      </c>
      <c r="T180" s="75">
        <f>SUM(T175:T179)</f>
        <v>47.075800000000001</v>
      </c>
      <c r="U180" s="753">
        <f>SUM(U175:U179)</f>
        <v>11.1076</v>
      </c>
      <c r="V180" s="538">
        <f t="shared" si="377"/>
        <v>-108800</v>
      </c>
      <c r="W180" s="74">
        <f t="shared" si="377"/>
        <v>-2560</v>
      </c>
      <c r="X180" s="74">
        <f t="shared" si="377"/>
        <v>5024989</v>
      </c>
      <c r="Y180" s="74">
        <f t="shared" si="377"/>
        <v>0</v>
      </c>
      <c r="Z180" s="74">
        <f t="shared" si="377"/>
        <v>0</v>
      </c>
      <c r="AA180" s="74">
        <f t="shared" si="377"/>
        <v>131076</v>
      </c>
      <c r="AB180" s="74">
        <f t="shared" si="377"/>
        <v>564000</v>
      </c>
      <c r="AC180" s="74">
        <f t="shared" si="377"/>
        <v>0</v>
      </c>
      <c r="AD180" s="74">
        <f t="shared" si="377"/>
        <v>0</v>
      </c>
      <c r="AE180" s="74">
        <f t="shared" si="377"/>
        <v>0</v>
      </c>
      <c r="AF180" s="74">
        <f t="shared" si="377"/>
        <v>5611265</v>
      </c>
      <c r="AG180" s="74">
        <f t="shared" si="377"/>
        <v>-2560</v>
      </c>
      <c r="AH180" s="74">
        <f t="shared" si="377"/>
        <v>5608705</v>
      </c>
      <c r="AI180" s="74">
        <f t="shared" si="377"/>
        <v>108800</v>
      </c>
      <c r="AJ180" s="74">
        <f t="shared" si="377"/>
        <v>2560</v>
      </c>
      <c r="AK180" s="74">
        <f t="shared" si="377"/>
        <v>0</v>
      </c>
      <c r="AL180" s="74">
        <f t="shared" si="377"/>
        <v>158779</v>
      </c>
      <c r="AM180" s="74">
        <f t="shared" si="377"/>
        <v>0</v>
      </c>
      <c r="AN180" s="74">
        <f t="shared" si="377"/>
        <v>0</v>
      </c>
      <c r="AO180" s="74">
        <f t="shared" si="377"/>
        <v>267579</v>
      </c>
      <c r="AP180" s="74">
        <f t="shared" si="377"/>
        <v>2560</v>
      </c>
      <c r="AQ180" s="74">
        <f t="shared" si="377"/>
        <v>270139</v>
      </c>
      <c r="AR180" s="74">
        <f t="shared" si="377"/>
        <v>5878844</v>
      </c>
      <c r="AS180" s="74">
        <f t="shared" si="377"/>
        <v>0</v>
      </c>
      <c r="AT180" s="74">
        <f t="shared" si="377"/>
        <v>5878844</v>
      </c>
      <c r="AU180" s="74">
        <f t="shared" si="377"/>
        <v>1987049</v>
      </c>
      <c r="AV180" s="74">
        <f t="shared" si="377"/>
        <v>56087</v>
      </c>
      <c r="AW180" s="74">
        <f t="shared" si="377"/>
        <v>4000</v>
      </c>
      <c r="AX180" s="74">
        <f t="shared" si="377"/>
        <v>0</v>
      </c>
      <c r="AY180" s="74">
        <f t="shared" si="377"/>
        <v>4000</v>
      </c>
      <c r="AZ180" s="74">
        <f t="shared" si="377"/>
        <v>7925980</v>
      </c>
      <c r="BA180" s="75">
        <f t="shared" si="377"/>
        <v>-0.15</v>
      </c>
      <c r="BB180" s="75">
        <f t="shared" si="377"/>
        <v>0</v>
      </c>
      <c r="BC180" s="75">
        <f t="shared" si="377"/>
        <v>13.27</v>
      </c>
      <c r="BD180" s="75">
        <f t="shared" si="377"/>
        <v>1</v>
      </c>
      <c r="BE180" s="75">
        <f t="shared" si="377"/>
        <v>0</v>
      </c>
      <c r="BF180" s="75">
        <f t="shared" si="377"/>
        <v>0</v>
      </c>
      <c r="BG180" s="75">
        <f t="shared" si="377"/>
        <v>0</v>
      </c>
      <c r="BH180" s="75">
        <f t="shared" si="377"/>
        <v>0.19</v>
      </c>
      <c r="BI180" s="75">
        <f t="shared" si="377"/>
        <v>0</v>
      </c>
      <c r="BJ180" s="75">
        <f t="shared" si="377"/>
        <v>0</v>
      </c>
      <c r="BK180" s="75">
        <f t="shared" si="377"/>
        <v>14.309999999999999</v>
      </c>
      <c r="BL180" s="75">
        <f t="shared" si="377"/>
        <v>0</v>
      </c>
      <c r="BM180" s="76">
        <f t="shared" si="377"/>
        <v>14.309999999999999</v>
      </c>
      <c r="BN180" s="549">
        <f t="shared" si="377"/>
        <v>54859623</v>
      </c>
      <c r="BO180" s="74">
        <f t="shared" si="377"/>
        <v>40005242</v>
      </c>
      <c r="BP180" s="74">
        <f t="shared" si="377"/>
        <v>36342728</v>
      </c>
      <c r="BQ180" s="74">
        <f t="shared" si="377"/>
        <v>3662514</v>
      </c>
      <c r="BR180" s="74">
        <f t="shared" si="377"/>
        <v>270139</v>
      </c>
      <c r="BS180" s="74">
        <f t="shared" si="377"/>
        <v>267579</v>
      </c>
      <c r="BT180" s="74">
        <f t="shared" si="377"/>
        <v>2560</v>
      </c>
      <c r="BU180" s="74">
        <f t="shared" si="377"/>
        <v>13613079</v>
      </c>
      <c r="BV180" s="74">
        <f t="shared" ref="BV180:CF180" si="379">SUM(BV175:BV179)</f>
        <v>400052</v>
      </c>
      <c r="BW180" s="74">
        <f t="shared" si="379"/>
        <v>571111</v>
      </c>
      <c r="BX180" s="75">
        <f t="shared" si="379"/>
        <v>72.493400000000008</v>
      </c>
      <c r="BY180" s="75">
        <f t="shared" si="379"/>
        <v>61.385799999999996</v>
      </c>
      <c r="BZ180" s="753">
        <f t="shared" si="379"/>
        <v>11.1076</v>
      </c>
      <c r="CA180" s="796">
        <f t="shared" si="379"/>
        <v>760272</v>
      </c>
      <c r="CB180" s="789">
        <f t="shared" si="379"/>
        <v>564000</v>
      </c>
      <c r="CC180" s="789">
        <f t="shared" si="379"/>
        <v>0</v>
      </c>
      <c r="CD180" s="789">
        <f t="shared" si="379"/>
        <v>190632</v>
      </c>
      <c r="CE180" s="789">
        <f t="shared" si="379"/>
        <v>5640</v>
      </c>
      <c r="CF180" s="793">
        <f t="shared" si="379"/>
        <v>1</v>
      </c>
    </row>
    <row r="181" spans="1:84" ht="14.1" customHeight="1" x14ac:dyDescent="0.2">
      <c r="A181" s="66">
        <v>40</v>
      </c>
      <c r="B181" s="63">
        <v>2465</v>
      </c>
      <c r="C181" s="64">
        <v>650018273</v>
      </c>
      <c r="D181" s="63">
        <v>72741791</v>
      </c>
      <c r="E181" s="65" t="s">
        <v>616</v>
      </c>
      <c r="F181" s="66">
        <v>3111</v>
      </c>
      <c r="G181" s="65" t="s">
        <v>291</v>
      </c>
      <c r="H181" s="67" t="s">
        <v>271</v>
      </c>
      <c r="I181" s="423">
        <f t="shared" si="302"/>
        <v>6554271</v>
      </c>
      <c r="J181" s="418">
        <f t="shared" si="303"/>
        <v>4844194</v>
      </c>
      <c r="K181" s="418">
        <v>4577922</v>
      </c>
      <c r="L181" s="418">
        <v>266272</v>
      </c>
      <c r="M181" s="418">
        <f t="shared" ref="M181:M182" si="380">N181+O181</f>
        <v>0</v>
      </c>
      <c r="N181" s="418">
        <v>0</v>
      </c>
      <c r="O181" s="418">
        <v>0</v>
      </c>
      <c r="P181" s="668">
        <f t="shared" si="305"/>
        <v>1637338</v>
      </c>
      <c r="Q181" s="668">
        <f t="shared" si="306"/>
        <v>48442</v>
      </c>
      <c r="R181" s="418">
        <v>24297</v>
      </c>
      <c r="S181" s="419">
        <f t="shared" si="307"/>
        <v>9.0023</v>
      </c>
      <c r="T181" s="419">
        <v>7.9355000000000002</v>
      </c>
      <c r="U181" s="426">
        <v>1.0668</v>
      </c>
      <c r="V181" s="428">
        <f t="shared" si="308"/>
        <v>0</v>
      </c>
      <c r="W181" s="421">
        <f t="shared" si="309"/>
        <v>-32000</v>
      </c>
      <c r="X181" s="421">
        <v>0</v>
      </c>
      <c r="Y181" s="421">
        <v>0</v>
      </c>
      <c r="Z181" s="421">
        <v>0</v>
      </c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f t="shared" si="310"/>
        <v>0</v>
      </c>
      <c r="AG181" s="421">
        <f t="shared" si="311"/>
        <v>-32000</v>
      </c>
      <c r="AH181" s="421">
        <f t="shared" si="312"/>
        <v>-32000</v>
      </c>
      <c r="AI181" s="421">
        <v>0</v>
      </c>
      <c r="AJ181" s="421">
        <v>32000</v>
      </c>
      <c r="AK181" s="421">
        <v>0</v>
      </c>
      <c r="AL181" s="421">
        <v>0</v>
      </c>
      <c r="AM181" s="421">
        <v>0</v>
      </c>
      <c r="AN181" s="421">
        <v>0</v>
      </c>
      <c r="AO181" s="421">
        <f t="shared" si="313"/>
        <v>0</v>
      </c>
      <c r="AP181" s="421">
        <f t="shared" si="319"/>
        <v>32000</v>
      </c>
      <c r="AQ181" s="421">
        <f t="shared" si="314"/>
        <v>32000</v>
      </c>
      <c r="AR181" s="421">
        <f t="shared" ref="AR181:AS186" si="381">AF181+AO181</f>
        <v>0</v>
      </c>
      <c r="AS181" s="421">
        <f t="shared" si="381"/>
        <v>0</v>
      </c>
      <c r="AT181" s="421">
        <f t="shared" si="315"/>
        <v>0</v>
      </c>
      <c r="AU181" s="68">
        <f t="shared" ref="AU181:AU186" si="382">ROUND((AH181+AI181+AJ181+AK181+AL181)*33.8%,0)</f>
        <v>0</v>
      </c>
      <c r="AV181" s="68">
        <f t="shared" ref="AV181:AV186" si="383">ROUND(AH181*1%,0)</f>
        <v>-320</v>
      </c>
      <c r="AW181" s="421">
        <v>0</v>
      </c>
      <c r="AX181" s="421">
        <v>0</v>
      </c>
      <c r="AY181" s="421">
        <f t="shared" si="316"/>
        <v>0</v>
      </c>
      <c r="AZ181" s="421">
        <f t="shared" si="317"/>
        <v>-320</v>
      </c>
      <c r="BA181" s="422">
        <v>0</v>
      </c>
      <c r="BB181" s="422">
        <v>0</v>
      </c>
      <c r="BC181" s="422">
        <v>0</v>
      </c>
      <c r="BD181" s="422">
        <v>0</v>
      </c>
      <c r="BE181" s="422">
        <v>0</v>
      </c>
      <c r="BF181" s="422">
        <v>0</v>
      </c>
      <c r="BG181" s="422">
        <v>0</v>
      </c>
      <c r="BH181" s="422">
        <v>0</v>
      </c>
      <c r="BI181" s="422">
        <v>0</v>
      </c>
      <c r="BJ181" s="422">
        <v>0</v>
      </c>
      <c r="BK181" s="422">
        <f t="shared" ref="BK181:BK186" si="384">BA181+BC181+BD181+BF181+BH181+BI181</f>
        <v>0</v>
      </c>
      <c r="BL181" s="422">
        <f t="shared" ref="BL181:BL186" si="385">BB181+BE181+BG181+BJ181</f>
        <v>0</v>
      </c>
      <c r="BM181" s="424">
        <f t="shared" si="318"/>
        <v>0</v>
      </c>
      <c r="BN181" s="427">
        <f t="shared" ref="BN181:BN186" si="386">I181+AZ181</f>
        <v>6553951</v>
      </c>
      <c r="BO181" s="421">
        <f t="shared" ref="BO181:BO186" si="387">J181+AH181</f>
        <v>4812194</v>
      </c>
      <c r="BP181" s="421">
        <f t="shared" ref="BP181:BQ186" si="388">K181+AF181</f>
        <v>4577922</v>
      </c>
      <c r="BQ181" s="421">
        <f t="shared" si="388"/>
        <v>234272</v>
      </c>
      <c r="BR181" s="421">
        <f t="shared" ref="BR181:BR186" si="389">M181+AQ181</f>
        <v>32000</v>
      </c>
      <c r="BS181" s="421">
        <f t="shared" ref="BS181:BT186" si="390">N181+AO181</f>
        <v>0</v>
      </c>
      <c r="BT181" s="421">
        <f t="shared" si="390"/>
        <v>32000</v>
      </c>
      <c r="BU181" s="421">
        <f t="shared" ref="BU181:BV186" si="391">P181+AU181</f>
        <v>1637338</v>
      </c>
      <c r="BV181" s="421">
        <f t="shared" si="391"/>
        <v>48122</v>
      </c>
      <c r="BW181" s="421">
        <f t="shared" ref="BW181:BW186" si="392">R181+AY181</f>
        <v>24297</v>
      </c>
      <c r="BX181" s="422">
        <f t="shared" ref="BX181:BX186" si="393">S181+BM181</f>
        <v>9.0023</v>
      </c>
      <c r="BY181" s="422">
        <f t="shared" ref="BY181:BZ186" si="394">T181+BK181</f>
        <v>7.9355000000000002</v>
      </c>
      <c r="BZ181" s="611">
        <f t="shared" si="394"/>
        <v>1.0668</v>
      </c>
      <c r="CA181" s="423"/>
      <c r="CB181" s="418"/>
      <c r="CC181" s="418"/>
      <c r="CD181" s="418"/>
      <c r="CE181" s="418"/>
      <c r="CF181" s="527"/>
    </row>
    <row r="182" spans="1:84" ht="14.1" customHeight="1" x14ac:dyDescent="0.2">
      <c r="A182" s="66">
        <v>40</v>
      </c>
      <c r="B182" s="63">
        <v>2465</v>
      </c>
      <c r="C182" s="64">
        <v>650018273</v>
      </c>
      <c r="D182" s="63">
        <v>72741791</v>
      </c>
      <c r="E182" s="65" t="s">
        <v>616</v>
      </c>
      <c r="F182" s="66">
        <v>3113</v>
      </c>
      <c r="G182" s="65" t="s">
        <v>294</v>
      </c>
      <c r="H182" s="67" t="s">
        <v>271</v>
      </c>
      <c r="I182" s="423">
        <f t="shared" si="302"/>
        <v>20692707</v>
      </c>
      <c r="J182" s="418">
        <f t="shared" ref="J182" si="395">K182+L182</f>
        <v>15144302</v>
      </c>
      <c r="K182" s="418">
        <v>13730501</v>
      </c>
      <c r="L182" s="418">
        <v>1413801</v>
      </c>
      <c r="M182" s="418">
        <f t="shared" si="380"/>
        <v>0</v>
      </c>
      <c r="N182" s="418">
        <v>0</v>
      </c>
      <c r="O182" s="418">
        <v>0</v>
      </c>
      <c r="P182" s="668">
        <f t="shared" si="305"/>
        <v>5118774</v>
      </c>
      <c r="Q182" s="668">
        <f t="shared" si="306"/>
        <v>151443</v>
      </c>
      <c r="R182" s="418">
        <v>278188</v>
      </c>
      <c r="S182" s="419">
        <f>T182+U182</f>
        <v>24.602999999999998</v>
      </c>
      <c r="T182" s="419">
        <v>20.363299999999999</v>
      </c>
      <c r="U182" s="426">
        <v>4.2397</v>
      </c>
      <c r="V182" s="428">
        <f t="shared" si="308"/>
        <v>-44800</v>
      </c>
      <c r="W182" s="421">
        <f t="shared" si="309"/>
        <v>-32000</v>
      </c>
      <c r="X182" s="421">
        <v>0</v>
      </c>
      <c r="Y182" s="421">
        <v>0</v>
      </c>
      <c r="Z182" s="421">
        <v>0</v>
      </c>
      <c r="AA182" s="421">
        <v>0</v>
      </c>
      <c r="AB182" s="421">
        <v>0</v>
      </c>
      <c r="AC182" s="421">
        <v>0</v>
      </c>
      <c r="AD182" s="421">
        <v>0</v>
      </c>
      <c r="AE182" s="421">
        <v>0</v>
      </c>
      <c r="AF182" s="421">
        <f t="shared" si="310"/>
        <v>-44800</v>
      </c>
      <c r="AG182" s="421">
        <f t="shared" si="311"/>
        <v>-32000</v>
      </c>
      <c r="AH182" s="421">
        <f t="shared" si="312"/>
        <v>-76800</v>
      </c>
      <c r="AI182" s="421">
        <v>44800</v>
      </c>
      <c r="AJ182" s="421">
        <v>32000</v>
      </c>
      <c r="AK182" s="421">
        <v>0</v>
      </c>
      <c r="AL182" s="421">
        <v>0</v>
      </c>
      <c r="AM182" s="421">
        <v>0</v>
      </c>
      <c r="AN182" s="421">
        <v>0</v>
      </c>
      <c r="AO182" s="421">
        <f t="shared" si="313"/>
        <v>44800</v>
      </c>
      <c r="AP182" s="421">
        <f t="shared" si="319"/>
        <v>32000</v>
      </c>
      <c r="AQ182" s="421">
        <f t="shared" si="314"/>
        <v>76800</v>
      </c>
      <c r="AR182" s="421">
        <f t="shared" si="381"/>
        <v>0</v>
      </c>
      <c r="AS182" s="421">
        <f t="shared" si="381"/>
        <v>0</v>
      </c>
      <c r="AT182" s="421">
        <f t="shared" si="315"/>
        <v>0</v>
      </c>
      <c r="AU182" s="68">
        <f t="shared" si="382"/>
        <v>0</v>
      </c>
      <c r="AV182" s="68">
        <f t="shared" si="383"/>
        <v>-768</v>
      </c>
      <c r="AW182" s="421">
        <v>0</v>
      </c>
      <c r="AX182" s="421">
        <v>0</v>
      </c>
      <c r="AY182" s="421">
        <f t="shared" si="316"/>
        <v>0</v>
      </c>
      <c r="AZ182" s="421">
        <f t="shared" si="317"/>
        <v>-768</v>
      </c>
      <c r="BA182" s="422">
        <v>0</v>
      </c>
      <c r="BB182" s="422">
        <v>0</v>
      </c>
      <c r="BC182" s="422">
        <v>0</v>
      </c>
      <c r="BD182" s="422">
        <v>0</v>
      </c>
      <c r="BE182" s="422">
        <v>0</v>
      </c>
      <c r="BF182" s="422">
        <v>0</v>
      </c>
      <c r="BG182" s="422">
        <v>0</v>
      </c>
      <c r="BH182" s="422">
        <v>0</v>
      </c>
      <c r="BI182" s="422">
        <v>0</v>
      </c>
      <c r="BJ182" s="422">
        <v>0</v>
      </c>
      <c r="BK182" s="422">
        <f t="shared" si="384"/>
        <v>0</v>
      </c>
      <c r="BL182" s="422">
        <f t="shared" si="385"/>
        <v>0</v>
      </c>
      <c r="BM182" s="424">
        <f t="shared" si="318"/>
        <v>0</v>
      </c>
      <c r="BN182" s="427">
        <f t="shared" si="386"/>
        <v>20691939</v>
      </c>
      <c r="BO182" s="421">
        <f t="shared" si="387"/>
        <v>15067502</v>
      </c>
      <c r="BP182" s="421">
        <f t="shared" si="388"/>
        <v>13685701</v>
      </c>
      <c r="BQ182" s="421">
        <f t="shared" si="388"/>
        <v>1381801</v>
      </c>
      <c r="BR182" s="421">
        <f t="shared" si="389"/>
        <v>76800</v>
      </c>
      <c r="BS182" s="421">
        <f t="shared" si="390"/>
        <v>44800</v>
      </c>
      <c r="BT182" s="421">
        <f t="shared" si="390"/>
        <v>32000</v>
      </c>
      <c r="BU182" s="421">
        <f t="shared" si="391"/>
        <v>5118774</v>
      </c>
      <c r="BV182" s="421">
        <f t="shared" si="391"/>
        <v>150675</v>
      </c>
      <c r="BW182" s="421">
        <f t="shared" si="392"/>
        <v>278188</v>
      </c>
      <c r="BX182" s="422">
        <f t="shared" si="393"/>
        <v>24.602999999999998</v>
      </c>
      <c r="BY182" s="422">
        <f t="shared" si="394"/>
        <v>20.363299999999999</v>
      </c>
      <c r="BZ182" s="611">
        <f t="shared" si="394"/>
        <v>4.2397</v>
      </c>
      <c r="CA182" s="423"/>
      <c r="CB182" s="418"/>
      <c r="CC182" s="418"/>
      <c r="CD182" s="418"/>
      <c r="CE182" s="418"/>
      <c r="CF182" s="527"/>
    </row>
    <row r="183" spans="1:84" ht="14.1" customHeight="1" x14ac:dyDescent="0.2">
      <c r="A183" s="66">
        <v>40</v>
      </c>
      <c r="B183" s="63">
        <v>2465</v>
      </c>
      <c r="C183" s="64">
        <v>650018273</v>
      </c>
      <c r="D183" s="63">
        <v>72741791</v>
      </c>
      <c r="E183" s="65" t="s">
        <v>616</v>
      </c>
      <c r="F183" s="66">
        <v>3113</v>
      </c>
      <c r="G183" s="77" t="s">
        <v>292</v>
      </c>
      <c r="H183" s="67" t="s">
        <v>272</v>
      </c>
      <c r="I183" s="423">
        <f t="shared" si="302"/>
        <v>0</v>
      </c>
      <c r="J183" s="418">
        <f t="shared" si="303"/>
        <v>0</v>
      </c>
      <c r="K183" s="418">
        <v>0</v>
      </c>
      <c r="L183" s="418">
        <v>0</v>
      </c>
      <c r="M183" s="418">
        <f t="shared" si="304"/>
        <v>0</v>
      </c>
      <c r="N183" s="418">
        <v>0</v>
      </c>
      <c r="O183" s="418">
        <v>0</v>
      </c>
      <c r="P183" s="668">
        <f t="shared" si="305"/>
        <v>0</v>
      </c>
      <c r="Q183" s="668">
        <f t="shared" si="306"/>
        <v>0</v>
      </c>
      <c r="R183" s="418">
        <v>0</v>
      </c>
      <c r="S183" s="419">
        <f t="shared" si="307"/>
        <v>0</v>
      </c>
      <c r="T183" s="420">
        <v>0</v>
      </c>
      <c r="U183" s="426">
        <v>0</v>
      </c>
      <c r="V183" s="428">
        <f t="shared" si="308"/>
        <v>0</v>
      </c>
      <c r="W183" s="421">
        <f t="shared" si="309"/>
        <v>0</v>
      </c>
      <c r="X183" s="16">
        <v>3406626</v>
      </c>
      <c r="Y183" s="16">
        <v>0</v>
      </c>
      <c r="Z183" s="16">
        <v>0</v>
      </c>
      <c r="AA183" s="16">
        <v>0</v>
      </c>
      <c r="AB183" s="421">
        <v>0</v>
      </c>
      <c r="AC183" s="16">
        <v>0</v>
      </c>
      <c r="AD183" s="16">
        <v>0</v>
      </c>
      <c r="AE183" s="16">
        <v>0</v>
      </c>
      <c r="AF183" s="421">
        <f t="shared" si="310"/>
        <v>3406626</v>
      </c>
      <c r="AG183" s="421">
        <f t="shared" si="311"/>
        <v>0</v>
      </c>
      <c r="AH183" s="421">
        <f t="shared" si="312"/>
        <v>3406626</v>
      </c>
      <c r="AI183" s="16">
        <v>0</v>
      </c>
      <c r="AJ183" s="16">
        <v>0</v>
      </c>
      <c r="AK183" s="421">
        <v>0</v>
      </c>
      <c r="AL183" s="16">
        <v>0</v>
      </c>
      <c r="AM183" s="16">
        <v>0</v>
      </c>
      <c r="AN183" s="16">
        <v>0</v>
      </c>
      <c r="AO183" s="421">
        <f t="shared" si="313"/>
        <v>0</v>
      </c>
      <c r="AP183" s="16">
        <v>0</v>
      </c>
      <c r="AQ183" s="421">
        <f t="shared" si="314"/>
        <v>0</v>
      </c>
      <c r="AR183" s="421">
        <f t="shared" si="381"/>
        <v>3406626</v>
      </c>
      <c r="AS183" s="421">
        <f t="shared" si="381"/>
        <v>0</v>
      </c>
      <c r="AT183" s="421">
        <f t="shared" si="315"/>
        <v>3406626</v>
      </c>
      <c r="AU183" s="68">
        <f t="shared" si="382"/>
        <v>1151440</v>
      </c>
      <c r="AV183" s="68">
        <f t="shared" si="383"/>
        <v>34066</v>
      </c>
      <c r="AW183" s="16">
        <v>5000</v>
      </c>
      <c r="AX183" s="16">
        <v>0</v>
      </c>
      <c r="AY183" s="421">
        <f t="shared" si="316"/>
        <v>5000</v>
      </c>
      <c r="AZ183" s="421">
        <f t="shared" si="317"/>
        <v>4597132</v>
      </c>
      <c r="BA183" s="13">
        <v>0</v>
      </c>
      <c r="BB183" s="13">
        <v>0</v>
      </c>
      <c r="BC183" s="13">
        <v>9.01</v>
      </c>
      <c r="BD183" s="422">
        <v>0</v>
      </c>
      <c r="BE183" s="422">
        <v>0</v>
      </c>
      <c r="BF183" s="422">
        <v>0</v>
      </c>
      <c r="BG183" s="422">
        <v>0</v>
      </c>
      <c r="BH183" s="422">
        <v>0</v>
      </c>
      <c r="BI183" s="422">
        <v>0</v>
      </c>
      <c r="BJ183" s="422">
        <v>0</v>
      </c>
      <c r="BK183" s="422">
        <f t="shared" si="384"/>
        <v>9.01</v>
      </c>
      <c r="BL183" s="422">
        <f t="shared" si="385"/>
        <v>0</v>
      </c>
      <c r="BM183" s="424">
        <f t="shared" si="318"/>
        <v>9.01</v>
      </c>
      <c r="BN183" s="427">
        <f t="shared" si="386"/>
        <v>4597132</v>
      </c>
      <c r="BO183" s="421">
        <f t="shared" si="387"/>
        <v>3406626</v>
      </c>
      <c r="BP183" s="421">
        <f t="shared" si="388"/>
        <v>3406626</v>
      </c>
      <c r="BQ183" s="421">
        <f t="shared" si="388"/>
        <v>0</v>
      </c>
      <c r="BR183" s="421">
        <f t="shared" si="389"/>
        <v>0</v>
      </c>
      <c r="BS183" s="421">
        <f t="shared" si="390"/>
        <v>0</v>
      </c>
      <c r="BT183" s="421">
        <f t="shared" si="390"/>
        <v>0</v>
      </c>
      <c r="BU183" s="421">
        <f t="shared" si="391"/>
        <v>1151440</v>
      </c>
      <c r="BV183" s="421">
        <f t="shared" si="391"/>
        <v>34066</v>
      </c>
      <c r="BW183" s="421">
        <f t="shared" si="392"/>
        <v>5000</v>
      </c>
      <c r="BX183" s="422">
        <f t="shared" si="393"/>
        <v>9.01</v>
      </c>
      <c r="BY183" s="422">
        <f t="shared" si="394"/>
        <v>9.01</v>
      </c>
      <c r="BZ183" s="611">
        <f t="shared" si="394"/>
        <v>0</v>
      </c>
      <c r="CA183" s="423"/>
      <c r="CB183" s="418"/>
      <c r="CC183" s="418"/>
      <c r="CD183" s="418"/>
      <c r="CE183" s="418"/>
      <c r="CF183" s="527"/>
    </row>
    <row r="184" spans="1:84" ht="14.1" customHeight="1" x14ac:dyDescent="0.2">
      <c r="A184" s="66">
        <v>40</v>
      </c>
      <c r="B184" s="63">
        <v>2465</v>
      </c>
      <c r="C184" s="64">
        <v>650018273</v>
      </c>
      <c r="D184" s="63">
        <v>72741791</v>
      </c>
      <c r="E184" s="65" t="s">
        <v>616</v>
      </c>
      <c r="F184" s="66">
        <v>3141</v>
      </c>
      <c r="G184" s="65" t="s">
        <v>295</v>
      </c>
      <c r="H184" s="67" t="s">
        <v>272</v>
      </c>
      <c r="I184" s="423">
        <f t="shared" si="302"/>
        <v>1237466</v>
      </c>
      <c r="J184" s="418">
        <f t="shared" si="303"/>
        <v>911501</v>
      </c>
      <c r="K184" s="418">
        <v>0</v>
      </c>
      <c r="L184" s="924">
        <v>911501</v>
      </c>
      <c r="M184" s="418">
        <f>N184+O184</f>
        <v>0</v>
      </c>
      <c r="N184" s="205">
        <v>0</v>
      </c>
      <c r="O184" s="205">
        <v>0</v>
      </c>
      <c r="P184" s="668">
        <f t="shared" si="305"/>
        <v>308087</v>
      </c>
      <c r="Q184" s="668">
        <f t="shared" si="306"/>
        <v>9115</v>
      </c>
      <c r="R184" s="674">
        <v>8763</v>
      </c>
      <c r="S184" s="419">
        <f>T184+U184</f>
        <v>2.7332999999999998</v>
      </c>
      <c r="T184" s="676">
        <v>0</v>
      </c>
      <c r="U184" s="909">
        <v>2.7332999999999998</v>
      </c>
      <c r="V184" s="428">
        <f t="shared" si="308"/>
        <v>0</v>
      </c>
      <c r="W184" s="421">
        <f t="shared" si="309"/>
        <v>-19200</v>
      </c>
      <c r="X184" s="421">
        <v>0</v>
      </c>
      <c r="Y184" s="421">
        <v>0</v>
      </c>
      <c r="Z184" s="421">
        <v>0</v>
      </c>
      <c r="AA184" s="421">
        <v>0</v>
      </c>
      <c r="AB184" s="421">
        <v>0</v>
      </c>
      <c r="AC184" s="421">
        <v>0</v>
      </c>
      <c r="AD184" s="421">
        <v>0</v>
      </c>
      <c r="AE184" s="421">
        <v>0</v>
      </c>
      <c r="AF184" s="421">
        <f t="shared" si="310"/>
        <v>0</v>
      </c>
      <c r="AG184" s="421">
        <f t="shared" si="311"/>
        <v>-19200</v>
      </c>
      <c r="AH184" s="421">
        <f t="shared" si="312"/>
        <v>-19200</v>
      </c>
      <c r="AI184" s="421">
        <v>0</v>
      </c>
      <c r="AJ184" s="421">
        <v>19200</v>
      </c>
      <c r="AK184" s="421">
        <v>0</v>
      </c>
      <c r="AL184" s="421">
        <v>0</v>
      </c>
      <c r="AM184" s="421">
        <v>0</v>
      </c>
      <c r="AN184" s="421">
        <v>0</v>
      </c>
      <c r="AO184" s="421">
        <f t="shared" si="313"/>
        <v>0</v>
      </c>
      <c r="AP184" s="421">
        <f t="shared" si="319"/>
        <v>19200</v>
      </c>
      <c r="AQ184" s="421">
        <f t="shared" si="314"/>
        <v>19200</v>
      </c>
      <c r="AR184" s="421">
        <f t="shared" si="381"/>
        <v>0</v>
      </c>
      <c r="AS184" s="421">
        <f t="shared" si="381"/>
        <v>0</v>
      </c>
      <c r="AT184" s="421">
        <f t="shared" si="315"/>
        <v>0</v>
      </c>
      <c r="AU184" s="68">
        <f t="shared" si="382"/>
        <v>0</v>
      </c>
      <c r="AV184" s="68">
        <f t="shared" si="383"/>
        <v>-192</v>
      </c>
      <c r="AW184" s="421">
        <v>0</v>
      </c>
      <c r="AX184" s="421">
        <v>0</v>
      </c>
      <c r="AY184" s="421">
        <f t="shared" si="316"/>
        <v>0</v>
      </c>
      <c r="AZ184" s="421">
        <f t="shared" si="317"/>
        <v>-192</v>
      </c>
      <c r="BA184" s="422">
        <v>0</v>
      </c>
      <c r="BB184" s="422">
        <v>0</v>
      </c>
      <c r="BC184" s="422">
        <v>0</v>
      </c>
      <c r="BD184" s="422">
        <v>0</v>
      </c>
      <c r="BE184" s="422">
        <v>0</v>
      </c>
      <c r="BF184" s="422">
        <v>0</v>
      </c>
      <c r="BG184" s="422">
        <v>0</v>
      </c>
      <c r="BH184" s="422">
        <v>0</v>
      </c>
      <c r="BI184" s="422">
        <v>0</v>
      </c>
      <c r="BJ184" s="422">
        <v>0</v>
      </c>
      <c r="BK184" s="422">
        <f t="shared" si="384"/>
        <v>0</v>
      </c>
      <c r="BL184" s="422">
        <f t="shared" si="385"/>
        <v>0</v>
      </c>
      <c r="BM184" s="424">
        <f t="shared" si="318"/>
        <v>0</v>
      </c>
      <c r="BN184" s="427">
        <f t="shared" si="386"/>
        <v>1237274</v>
      </c>
      <c r="BO184" s="421">
        <f t="shared" si="387"/>
        <v>892301</v>
      </c>
      <c r="BP184" s="421">
        <f t="shared" si="388"/>
        <v>0</v>
      </c>
      <c r="BQ184" s="421">
        <f t="shared" si="388"/>
        <v>892301</v>
      </c>
      <c r="BR184" s="421">
        <f t="shared" si="389"/>
        <v>19200</v>
      </c>
      <c r="BS184" s="421">
        <f t="shared" si="390"/>
        <v>0</v>
      </c>
      <c r="BT184" s="421">
        <f t="shared" si="390"/>
        <v>19200</v>
      </c>
      <c r="BU184" s="421">
        <f t="shared" si="391"/>
        <v>308087</v>
      </c>
      <c r="BV184" s="421">
        <f t="shared" si="391"/>
        <v>8923</v>
      </c>
      <c r="BW184" s="421">
        <f t="shared" si="392"/>
        <v>8763</v>
      </c>
      <c r="BX184" s="422">
        <f t="shared" si="393"/>
        <v>2.7332999999999998</v>
      </c>
      <c r="BY184" s="422">
        <f t="shared" si="394"/>
        <v>0</v>
      </c>
      <c r="BZ184" s="611">
        <f t="shared" si="394"/>
        <v>2.7332999999999998</v>
      </c>
      <c r="CA184" s="423"/>
      <c r="CB184" s="418"/>
      <c r="CC184" s="418"/>
      <c r="CD184" s="418"/>
      <c r="CE184" s="418"/>
      <c r="CF184" s="527"/>
    </row>
    <row r="185" spans="1:84" ht="14.1" customHeight="1" x14ac:dyDescent="0.2">
      <c r="A185" s="66">
        <v>40</v>
      </c>
      <c r="B185" s="63">
        <v>2465</v>
      </c>
      <c r="C185" s="64">
        <v>650018273</v>
      </c>
      <c r="D185" s="63">
        <v>72741791</v>
      </c>
      <c r="E185" s="65" t="s">
        <v>616</v>
      </c>
      <c r="F185" s="66">
        <v>3143</v>
      </c>
      <c r="G185" s="77" t="s">
        <v>596</v>
      </c>
      <c r="H185" s="67" t="s">
        <v>271</v>
      </c>
      <c r="I185" s="423">
        <f t="shared" si="302"/>
        <v>2134886</v>
      </c>
      <c r="J185" s="418">
        <f t="shared" si="303"/>
        <v>1583744</v>
      </c>
      <c r="K185" s="418">
        <v>1583744</v>
      </c>
      <c r="L185" s="418">
        <v>0</v>
      </c>
      <c r="M185" s="418">
        <f t="shared" si="304"/>
        <v>0</v>
      </c>
      <c r="N185" s="418">
        <v>0</v>
      </c>
      <c r="O185" s="418">
        <v>0</v>
      </c>
      <c r="P185" s="668">
        <f t="shared" si="305"/>
        <v>535305</v>
      </c>
      <c r="Q185" s="668">
        <f t="shared" si="306"/>
        <v>15837</v>
      </c>
      <c r="R185" s="418">
        <v>0</v>
      </c>
      <c r="S185" s="419">
        <f t="shared" si="307"/>
        <v>3.3022999999999998</v>
      </c>
      <c r="T185" s="419">
        <v>3.3022999999999998</v>
      </c>
      <c r="U185" s="426">
        <v>0</v>
      </c>
      <c r="V185" s="428">
        <f t="shared" si="308"/>
        <v>0</v>
      </c>
      <c r="W185" s="421">
        <f t="shared" si="309"/>
        <v>-12800</v>
      </c>
      <c r="X185" s="421">
        <v>0</v>
      </c>
      <c r="Y185" s="421">
        <v>0</v>
      </c>
      <c r="Z185" s="421">
        <v>0</v>
      </c>
      <c r="AA185" s="421">
        <v>0</v>
      </c>
      <c r="AB185" s="421">
        <v>0</v>
      </c>
      <c r="AC185" s="421">
        <v>0</v>
      </c>
      <c r="AD185" s="421">
        <v>0</v>
      </c>
      <c r="AE185" s="421">
        <v>0</v>
      </c>
      <c r="AF185" s="421">
        <f t="shared" si="310"/>
        <v>0</v>
      </c>
      <c r="AG185" s="421">
        <f t="shared" si="311"/>
        <v>-12800</v>
      </c>
      <c r="AH185" s="421">
        <f t="shared" si="312"/>
        <v>-12800</v>
      </c>
      <c r="AI185" s="421">
        <v>0</v>
      </c>
      <c r="AJ185" s="421">
        <v>12800</v>
      </c>
      <c r="AK185" s="421">
        <v>0</v>
      </c>
      <c r="AL185" s="421">
        <v>0</v>
      </c>
      <c r="AM185" s="421">
        <v>0</v>
      </c>
      <c r="AN185" s="421">
        <v>0</v>
      </c>
      <c r="AO185" s="421">
        <f t="shared" si="313"/>
        <v>0</v>
      </c>
      <c r="AP185" s="421">
        <f t="shared" si="319"/>
        <v>12800</v>
      </c>
      <c r="AQ185" s="421">
        <f t="shared" si="314"/>
        <v>12800</v>
      </c>
      <c r="AR185" s="421">
        <f t="shared" si="381"/>
        <v>0</v>
      </c>
      <c r="AS185" s="421">
        <f t="shared" si="381"/>
        <v>0</v>
      </c>
      <c r="AT185" s="421">
        <f t="shared" si="315"/>
        <v>0</v>
      </c>
      <c r="AU185" s="68">
        <f t="shared" si="382"/>
        <v>0</v>
      </c>
      <c r="AV185" s="68">
        <f t="shared" si="383"/>
        <v>-128</v>
      </c>
      <c r="AW185" s="421">
        <v>0</v>
      </c>
      <c r="AX185" s="421">
        <v>0</v>
      </c>
      <c r="AY185" s="421">
        <f t="shared" si="316"/>
        <v>0</v>
      </c>
      <c r="AZ185" s="421">
        <f t="shared" si="317"/>
        <v>-128</v>
      </c>
      <c r="BA185" s="422">
        <v>0</v>
      </c>
      <c r="BB185" s="422">
        <v>0</v>
      </c>
      <c r="BC185" s="422">
        <v>0</v>
      </c>
      <c r="BD185" s="422">
        <v>0</v>
      </c>
      <c r="BE185" s="422">
        <v>0</v>
      </c>
      <c r="BF185" s="422">
        <v>0</v>
      </c>
      <c r="BG185" s="422">
        <v>0</v>
      </c>
      <c r="BH185" s="422">
        <v>0</v>
      </c>
      <c r="BI185" s="422">
        <v>0</v>
      </c>
      <c r="BJ185" s="422">
        <v>0</v>
      </c>
      <c r="BK185" s="422">
        <f t="shared" si="384"/>
        <v>0</v>
      </c>
      <c r="BL185" s="422">
        <f t="shared" si="385"/>
        <v>0</v>
      </c>
      <c r="BM185" s="424">
        <f t="shared" si="318"/>
        <v>0</v>
      </c>
      <c r="BN185" s="427">
        <f t="shared" si="386"/>
        <v>2134758</v>
      </c>
      <c r="BO185" s="421">
        <f t="shared" si="387"/>
        <v>1570944</v>
      </c>
      <c r="BP185" s="421">
        <f t="shared" si="388"/>
        <v>1583744</v>
      </c>
      <c r="BQ185" s="421">
        <f t="shared" si="388"/>
        <v>-12800</v>
      </c>
      <c r="BR185" s="421">
        <f t="shared" si="389"/>
        <v>12800</v>
      </c>
      <c r="BS185" s="421">
        <f t="shared" si="390"/>
        <v>0</v>
      </c>
      <c r="BT185" s="421">
        <f t="shared" si="390"/>
        <v>12800</v>
      </c>
      <c r="BU185" s="421">
        <f t="shared" si="391"/>
        <v>535305</v>
      </c>
      <c r="BV185" s="421">
        <f t="shared" si="391"/>
        <v>15709</v>
      </c>
      <c r="BW185" s="421">
        <f t="shared" si="392"/>
        <v>0</v>
      </c>
      <c r="BX185" s="422">
        <f t="shared" si="393"/>
        <v>3.3022999999999998</v>
      </c>
      <c r="BY185" s="422">
        <f t="shared" si="394"/>
        <v>3.3022999999999998</v>
      </c>
      <c r="BZ185" s="611">
        <f t="shared" si="394"/>
        <v>0</v>
      </c>
      <c r="CA185" s="423"/>
      <c r="CB185" s="418"/>
      <c r="CC185" s="418"/>
      <c r="CD185" s="418"/>
      <c r="CE185" s="418"/>
      <c r="CF185" s="527"/>
    </row>
    <row r="186" spans="1:84" ht="14.1" customHeight="1" x14ac:dyDescent="0.2">
      <c r="A186" s="66">
        <v>40</v>
      </c>
      <c r="B186" s="63">
        <v>2465</v>
      </c>
      <c r="C186" s="64">
        <v>650018273</v>
      </c>
      <c r="D186" s="63">
        <v>72741791</v>
      </c>
      <c r="E186" s="65" t="s">
        <v>616</v>
      </c>
      <c r="F186" s="66">
        <v>3143</v>
      </c>
      <c r="G186" s="77" t="s">
        <v>597</v>
      </c>
      <c r="H186" s="67" t="s">
        <v>272</v>
      </c>
      <c r="I186" s="423">
        <f t="shared" si="302"/>
        <v>46104</v>
      </c>
      <c r="J186" s="418">
        <f t="shared" si="303"/>
        <v>33000</v>
      </c>
      <c r="K186" s="418">
        <v>0</v>
      </c>
      <c r="L186" s="674">
        <v>33000</v>
      </c>
      <c r="M186" s="418">
        <f t="shared" si="304"/>
        <v>0</v>
      </c>
      <c r="N186" s="418">
        <v>0</v>
      </c>
      <c r="O186" s="418">
        <v>0</v>
      </c>
      <c r="P186" s="668">
        <f t="shared" si="305"/>
        <v>11154</v>
      </c>
      <c r="Q186" s="668">
        <f t="shared" si="306"/>
        <v>330</v>
      </c>
      <c r="R186" s="674">
        <v>1620</v>
      </c>
      <c r="S186" s="419">
        <f t="shared" si="307"/>
        <v>0.125</v>
      </c>
      <c r="T186" s="676">
        <v>0</v>
      </c>
      <c r="U186" s="909">
        <v>0.125</v>
      </c>
      <c r="V186" s="428">
        <f t="shared" si="308"/>
        <v>0</v>
      </c>
      <c r="W186" s="421">
        <f t="shared" si="309"/>
        <v>0</v>
      </c>
      <c r="X186" s="421">
        <v>0</v>
      </c>
      <c r="Y186" s="421">
        <v>0</v>
      </c>
      <c r="Z186" s="421">
        <v>0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f t="shared" si="310"/>
        <v>0</v>
      </c>
      <c r="AG186" s="421">
        <f t="shared" si="311"/>
        <v>0</v>
      </c>
      <c r="AH186" s="421">
        <f t="shared" si="312"/>
        <v>0</v>
      </c>
      <c r="AI186" s="421">
        <v>0</v>
      </c>
      <c r="AJ186" s="421">
        <v>0</v>
      </c>
      <c r="AK186" s="421">
        <v>0</v>
      </c>
      <c r="AL186" s="421">
        <v>0</v>
      </c>
      <c r="AM186" s="421">
        <v>0</v>
      </c>
      <c r="AN186" s="421">
        <v>0</v>
      </c>
      <c r="AO186" s="421">
        <f t="shared" si="313"/>
        <v>0</v>
      </c>
      <c r="AP186" s="421">
        <f t="shared" si="319"/>
        <v>0</v>
      </c>
      <c r="AQ186" s="421">
        <f t="shared" si="314"/>
        <v>0</v>
      </c>
      <c r="AR186" s="421">
        <f t="shared" si="381"/>
        <v>0</v>
      </c>
      <c r="AS186" s="421">
        <f t="shared" si="381"/>
        <v>0</v>
      </c>
      <c r="AT186" s="421">
        <f t="shared" si="315"/>
        <v>0</v>
      </c>
      <c r="AU186" s="68">
        <f t="shared" si="382"/>
        <v>0</v>
      </c>
      <c r="AV186" s="68">
        <f t="shared" si="383"/>
        <v>0</v>
      </c>
      <c r="AW186" s="421">
        <v>0</v>
      </c>
      <c r="AX186" s="421">
        <v>0</v>
      </c>
      <c r="AY186" s="421">
        <f t="shared" si="316"/>
        <v>0</v>
      </c>
      <c r="AZ186" s="421">
        <f t="shared" si="317"/>
        <v>0</v>
      </c>
      <c r="BA186" s="422">
        <v>0</v>
      </c>
      <c r="BB186" s="422">
        <v>0</v>
      </c>
      <c r="BC186" s="422">
        <v>0</v>
      </c>
      <c r="BD186" s="422">
        <v>0</v>
      </c>
      <c r="BE186" s="422">
        <v>0</v>
      </c>
      <c r="BF186" s="422">
        <v>0</v>
      </c>
      <c r="BG186" s="422">
        <v>0</v>
      </c>
      <c r="BH186" s="422">
        <v>0</v>
      </c>
      <c r="BI186" s="422">
        <v>0</v>
      </c>
      <c r="BJ186" s="422">
        <v>0</v>
      </c>
      <c r="BK186" s="422">
        <f t="shared" si="384"/>
        <v>0</v>
      </c>
      <c r="BL186" s="422">
        <f t="shared" si="385"/>
        <v>0</v>
      </c>
      <c r="BM186" s="424">
        <f t="shared" si="318"/>
        <v>0</v>
      </c>
      <c r="BN186" s="427">
        <f t="shared" si="386"/>
        <v>46104</v>
      </c>
      <c r="BO186" s="421">
        <f t="shared" si="387"/>
        <v>33000</v>
      </c>
      <c r="BP186" s="421">
        <f t="shared" si="388"/>
        <v>0</v>
      </c>
      <c r="BQ186" s="421">
        <f t="shared" si="388"/>
        <v>33000</v>
      </c>
      <c r="BR186" s="421">
        <f t="shared" si="389"/>
        <v>0</v>
      </c>
      <c r="BS186" s="421">
        <f t="shared" si="390"/>
        <v>0</v>
      </c>
      <c r="BT186" s="421">
        <f t="shared" si="390"/>
        <v>0</v>
      </c>
      <c r="BU186" s="421">
        <f t="shared" si="391"/>
        <v>11154</v>
      </c>
      <c r="BV186" s="421">
        <f t="shared" si="391"/>
        <v>330</v>
      </c>
      <c r="BW186" s="421">
        <f t="shared" si="392"/>
        <v>1620</v>
      </c>
      <c r="BX186" s="422">
        <f t="shared" si="393"/>
        <v>0.125</v>
      </c>
      <c r="BY186" s="422">
        <f t="shared" si="394"/>
        <v>0</v>
      </c>
      <c r="BZ186" s="611">
        <f t="shared" si="394"/>
        <v>0.125</v>
      </c>
      <c r="CA186" s="423"/>
      <c r="CB186" s="418"/>
      <c r="CC186" s="418"/>
      <c r="CD186" s="418"/>
      <c r="CE186" s="418"/>
      <c r="CF186" s="527"/>
    </row>
    <row r="187" spans="1:84" ht="14.1" customHeight="1" x14ac:dyDescent="0.2">
      <c r="A187" s="72">
        <v>40</v>
      </c>
      <c r="B187" s="69">
        <v>2465</v>
      </c>
      <c r="C187" s="70">
        <v>650018273</v>
      </c>
      <c r="D187" s="69">
        <v>72741791</v>
      </c>
      <c r="E187" s="71" t="s">
        <v>617</v>
      </c>
      <c r="F187" s="72"/>
      <c r="G187" s="71"/>
      <c r="H187" s="73"/>
      <c r="I187" s="538">
        <f t="shared" ref="I187:BU187" si="396">SUM(I181:I186)</f>
        <v>30665434</v>
      </c>
      <c r="J187" s="74">
        <f t="shared" si="396"/>
        <v>22516741</v>
      </c>
      <c r="K187" s="74">
        <f t="shared" si="396"/>
        <v>19892167</v>
      </c>
      <c r="L187" s="74">
        <f t="shared" si="396"/>
        <v>2624574</v>
      </c>
      <c r="M187" s="74">
        <f t="shared" si="396"/>
        <v>0</v>
      </c>
      <c r="N187" s="74">
        <f t="shared" si="396"/>
        <v>0</v>
      </c>
      <c r="O187" s="74">
        <f t="shared" si="396"/>
        <v>0</v>
      </c>
      <c r="P187" s="74">
        <f t="shared" si="396"/>
        <v>7610658</v>
      </c>
      <c r="Q187" s="74">
        <f t="shared" si="396"/>
        <v>225167</v>
      </c>
      <c r="R187" s="74">
        <f t="shared" si="396"/>
        <v>312868</v>
      </c>
      <c r="S187" s="75">
        <f t="shared" si="396"/>
        <v>39.765900000000002</v>
      </c>
      <c r="T187" s="75">
        <f t="shared" si="396"/>
        <v>31.601099999999999</v>
      </c>
      <c r="U187" s="753">
        <f t="shared" si="396"/>
        <v>8.1647999999999996</v>
      </c>
      <c r="V187" s="538">
        <f t="shared" si="396"/>
        <v>-44800</v>
      </c>
      <c r="W187" s="74">
        <f t="shared" si="396"/>
        <v>-96000</v>
      </c>
      <c r="X187" s="74">
        <f t="shared" si="396"/>
        <v>3406626</v>
      </c>
      <c r="Y187" s="74">
        <f t="shared" si="396"/>
        <v>0</v>
      </c>
      <c r="Z187" s="74">
        <f t="shared" si="396"/>
        <v>0</v>
      </c>
      <c r="AA187" s="74">
        <f t="shared" si="396"/>
        <v>0</v>
      </c>
      <c r="AB187" s="74">
        <f t="shared" si="396"/>
        <v>0</v>
      </c>
      <c r="AC187" s="74">
        <f t="shared" si="396"/>
        <v>0</v>
      </c>
      <c r="AD187" s="74">
        <f t="shared" si="396"/>
        <v>0</v>
      </c>
      <c r="AE187" s="74">
        <f t="shared" si="396"/>
        <v>0</v>
      </c>
      <c r="AF187" s="74">
        <f t="shared" si="396"/>
        <v>3361826</v>
      </c>
      <c r="AG187" s="74">
        <f t="shared" si="396"/>
        <v>-96000</v>
      </c>
      <c r="AH187" s="74">
        <f t="shared" si="396"/>
        <v>3265826</v>
      </c>
      <c r="AI187" s="74">
        <f t="shared" si="396"/>
        <v>44800</v>
      </c>
      <c r="AJ187" s="74">
        <f t="shared" si="396"/>
        <v>96000</v>
      </c>
      <c r="AK187" s="74">
        <f t="shared" si="396"/>
        <v>0</v>
      </c>
      <c r="AL187" s="74">
        <f t="shared" si="396"/>
        <v>0</v>
      </c>
      <c r="AM187" s="74">
        <f t="shared" si="396"/>
        <v>0</v>
      </c>
      <c r="AN187" s="74">
        <f t="shared" si="396"/>
        <v>0</v>
      </c>
      <c r="AO187" s="74">
        <f t="shared" si="396"/>
        <v>44800</v>
      </c>
      <c r="AP187" s="74">
        <f t="shared" si="396"/>
        <v>96000</v>
      </c>
      <c r="AQ187" s="74">
        <f t="shared" si="396"/>
        <v>140800</v>
      </c>
      <c r="AR187" s="74">
        <f t="shared" si="396"/>
        <v>3406626</v>
      </c>
      <c r="AS187" s="74">
        <f t="shared" si="396"/>
        <v>0</v>
      </c>
      <c r="AT187" s="74">
        <f t="shared" si="396"/>
        <v>3406626</v>
      </c>
      <c r="AU187" s="74">
        <f t="shared" si="396"/>
        <v>1151440</v>
      </c>
      <c r="AV187" s="74">
        <f t="shared" si="396"/>
        <v>32658</v>
      </c>
      <c r="AW187" s="74">
        <f t="shared" si="396"/>
        <v>5000</v>
      </c>
      <c r="AX187" s="74">
        <f t="shared" si="396"/>
        <v>0</v>
      </c>
      <c r="AY187" s="74">
        <f t="shared" si="396"/>
        <v>5000</v>
      </c>
      <c r="AZ187" s="74">
        <f t="shared" si="396"/>
        <v>4595724</v>
      </c>
      <c r="BA187" s="75">
        <f t="shared" si="396"/>
        <v>0</v>
      </c>
      <c r="BB187" s="75">
        <f t="shared" si="396"/>
        <v>0</v>
      </c>
      <c r="BC187" s="75">
        <f t="shared" si="396"/>
        <v>9.01</v>
      </c>
      <c r="BD187" s="75">
        <f t="shared" si="396"/>
        <v>0</v>
      </c>
      <c r="BE187" s="75">
        <f t="shared" si="396"/>
        <v>0</v>
      </c>
      <c r="BF187" s="75">
        <f t="shared" si="396"/>
        <v>0</v>
      </c>
      <c r="BG187" s="75">
        <f t="shared" si="396"/>
        <v>0</v>
      </c>
      <c r="BH187" s="75">
        <f t="shared" si="396"/>
        <v>0</v>
      </c>
      <c r="BI187" s="75">
        <f t="shared" si="396"/>
        <v>0</v>
      </c>
      <c r="BJ187" s="75">
        <f t="shared" si="396"/>
        <v>0</v>
      </c>
      <c r="BK187" s="75">
        <f t="shared" si="396"/>
        <v>9.01</v>
      </c>
      <c r="BL187" s="75">
        <f t="shared" si="396"/>
        <v>0</v>
      </c>
      <c r="BM187" s="76">
        <f t="shared" si="396"/>
        <v>9.01</v>
      </c>
      <c r="BN187" s="549">
        <f t="shared" si="396"/>
        <v>35261158</v>
      </c>
      <c r="BO187" s="74">
        <f t="shared" si="396"/>
        <v>25782567</v>
      </c>
      <c r="BP187" s="74">
        <f t="shared" si="396"/>
        <v>23253993</v>
      </c>
      <c r="BQ187" s="74">
        <f t="shared" si="396"/>
        <v>2528574</v>
      </c>
      <c r="BR187" s="74">
        <f t="shared" si="396"/>
        <v>140800</v>
      </c>
      <c r="BS187" s="74">
        <f t="shared" si="396"/>
        <v>44800</v>
      </c>
      <c r="BT187" s="74">
        <f t="shared" si="396"/>
        <v>96000</v>
      </c>
      <c r="BU187" s="74">
        <f t="shared" si="396"/>
        <v>8762098</v>
      </c>
      <c r="BV187" s="74">
        <f t="shared" ref="BV187:CF187" si="397">SUM(BV181:BV186)</f>
        <v>257825</v>
      </c>
      <c r="BW187" s="74">
        <f t="shared" si="397"/>
        <v>317868</v>
      </c>
      <c r="BX187" s="75">
        <f t="shared" si="397"/>
        <v>48.7759</v>
      </c>
      <c r="BY187" s="75">
        <f t="shared" si="397"/>
        <v>40.6111</v>
      </c>
      <c r="BZ187" s="753">
        <f t="shared" si="397"/>
        <v>8.1647999999999996</v>
      </c>
      <c r="CA187" s="796">
        <f t="shared" si="397"/>
        <v>0</v>
      </c>
      <c r="CB187" s="789">
        <f t="shared" si="397"/>
        <v>0</v>
      </c>
      <c r="CC187" s="789">
        <f t="shared" si="397"/>
        <v>0</v>
      </c>
      <c r="CD187" s="789">
        <f t="shared" si="397"/>
        <v>0</v>
      </c>
      <c r="CE187" s="789">
        <f t="shared" si="397"/>
        <v>0</v>
      </c>
      <c r="CF187" s="793">
        <f t="shared" si="397"/>
        <v>0</v>
      </c>
    </row>
    <row r="188" spans="1:84" ht="14.1" customHeight="1" x14ac:dyDescent="0.2">
      <c r="A188" s="66">
        <v>41</v>
      </c>
      <c r="B188" s="63">
        <v>2480</v>
      </c>
      <c r="C188" s="64">
        <v>600080293</v>
      </c>
      <c r="D188" s="63">
        <v>46744924</v>
      </c>
      <c r="E188" s="65" t="s">
        <v>618</v>
      </c>
      <c r="F188" s="66">
        <v>3113</v>
      </c>
      <c r="G188" s="65" t="s">
        <v>294</v>
      </c>
      <c r="H188" s="67" t="s">
        <v>271</v>
      </c>
      <c r="I188" s="423">
        <f t="shared" si="302"/>
        <v>35527741</v>
      </c>
      <c r="J188" s="418">
        <f t="shared" ref="J188" si="398">K188+L188</f>
        <v>25992962</v>
      </c>
      <c r="K188" s="418">
        <v>24372518</v>
      </c>
      <c r="L188" s="418">
        <v>1620444</v>
      </c>
      <c r="M188" s="418">
        <f>N188+O188</f>
        <v>0</v>
      </c>
      <c r="N188" s="418">
        <v>0</v>
      </c>
      <c r="O188" s="418">
        <v>0</v>
      </c>
      <c r="P188" s="668">
        <f t="shared" si="305"/>
        <v>8785621</v>
      </c>
      <c r="Q188" s="668">
        <f>ROUND(J188*1%,0)-1</f>
        <v>259929</v>
      </c>
      <c r="R188" s="418">
        <v>489229</v>
      </c>
      <c r="S188" s="419">
        <f>T188+U188</f>
        <v>37.445299999999996</v>
      </c>
      <c r="T188" s="419">
        <v>32.545299999999997</v>
      </c>
      <c r="U188" s="426">
        <v>4.9000000000000004</v>
      </c>
      <c r="V188" s="428">
        <f t="shared" si="308"/>
        <v>-6400</v>
      </c>
      <c r="W188" s="421">
        <f t="shared" si="309"/>
        <v>-6400</v>
      </c>
      <c r="X188" s="421">
        <v>0</v>
      </c>
      <c r="Y188" s="421">
        <v>0</v>
      </c>
      <c r="Z188" s="421">
        <v>0</v>
      </c>
      <c r="AA188" s="421">
        <v>0</v>
      </c>
      <c r="AB188" s="421">
        <v>620400</v>
      </c>
      <c r="AC188" s="421">
        <v>0</v>
      </c>
      <c r="AD188" s="421">
        <v>0</v>
      </c>
      <c r="AE188" s="421">
        <v>0</v>
      </c>
      <c r="AF188" s="421">
        <f t="shared" si="310"/>
        <v>614000</v>
      </c>
      <c r="AG188" s="421">
        <f t="shared" si="311"/>
        <v>-6400</v>
      </c>
      <c r="AH188" s="421">
        <f t="shared" si="312"/>
        <v>607600</v>
      </c>
      <c r="AI188" s="421">
        <v>6400</v>
      </c>
      <c r="AJ188" s="421">
        <v>6400</v>
      </c>
      <c r="AK188" s="421">
        <v>0</v>
      </c>
      <c r="AL188" s="421">
        <v>0</v>
      </c>
      <c r="AM188" s="421">
        <v>0</v>
      </c>
      <c r="AN188" s="421">
        <v>0</v>
      </c>
      <c r="AO188" s="421">
        <f t="shared" si="313"/>
        <v>6400</v>
      </c>
      <c r="AP188" s="421">
        <f t="shared" si="319"/>
        <v>6400</v>
      </c>
      <c r="AQ188" s="421">
        <f t="shared" si="314"/>
        <v>12800</v>
      </c>
      <c r="AR188" s="421">
        <f t="shared" ref="AR188:AS193" si="399">AF188+AO188</f>
        <v>620400</v>
      </c>
      <c r="AS188" s="421">
        <f t="shared" si="399"/>
        <v>0</v>
      </c>
      <c r="AT188" s="421">
        <f t="shared" si="315"/>
        <v>620400</v>
      </c>
      <c r="AU188" s="68">
        <f t="shared" ref="AU188:AU193" si="400">ROUND((AH188+AI188+AJ188+AK188+AL188)*33.8%,0)</f>
        <v>209695</v>
      </c>
      <c r="AV188" s="68">
        <f t="shared" ref="AV188:AV193" si="401">ROUND(AH188*1%,0)</f>
        <v>6076</v>
      </c>
      <c r="AW188" s="421">
        <v>0</v>
      </c>
      <c r="AX188" s="421">
        <v>0</v>
      </c>
      <c r="AY188" s="421">
        <f t="shared" si="316"/>
        <v>0</v>
      </c>
      <c r="AZ188" s="421">
        <f t="shared" si="317"/>
        <v>836171</v>
      </c>
      <c r="BA188" s="422">
        <v>0</v>
      </c>
      <c r="BB188" s="422">
        <v>-0.01</v>
      </c>
      <c r="BC188" s="422">
        <v>0</v>
      </c>
      <c r="BD188" s="422">
        <v>1.1000000000000001</v>
      </c>
      <c r="BE188" s="422">
        <v>0</v>
      </c>
      <c r="BF188" s="422">
        <v>0</v>
      </c>
      <c r="BG188" s="422">
        <v>0</v>
      </c>
      <c r="BH188" s="422">
        <v>0</v>
      </c>
      <c r="BI188" s="422">
        <v>0</v>
      </c>
      <c r="BJ188" s="422">
        <v>0</v>
      </c>
      <c r="BK188" s="422">
        <f t="shared" ref="BK188:BK193" si="402">BA188+BC188+BD188+BF188+BH188+BI188</f>
        <v>1.1000000000000001</v>
      </c>
      <c r="BL188" s="422">
        <f t="shared" ref="BL188:BL193" si="403">BB188+BE188+BG188+BJ188</f>
        <v>-0.01</v>
      </c>
      <c r="BM188" s="424">
        <f t="shared" si="318"/>
        <v>1.0900000000000001</v>
      </c>
      <c r="BN188" s="427">
        <f t="shared" ref="BN188:BN193" si="404">I188+AZ188</f>
        <v>36363912</v>
      </c>
      <c r="BO188" s="421">
        <f t="shared" ref="BO188:BO193" si="405">J188+AH188</f>
        <v>26600562</v>
      </c>
      <c r="BP188" s="421">
        <f t="shared" ref="BP188:BQ193" si="406">K188+AF188</f>
        <v>24986518</v>
      </c>
      <c r="BQ188" s="421">
        <f t="shared" si="406"/>
        <v>1614044</v>
      </c>
      <c r="BR188" s="421">
        <f t="shared" ref="BR188:BR193" si="407">M188+AQ188</f>
        <v>12800</v>
      </c>
      <c r="BS188" s="421">
        <f t="shared" ref="BS188:BT193" si="408">N188+AO188</f>
        <v>6400</v>
      </c>
      <c r="BT188" s="421">
        <f t="shared" si="408"/>
        <v>6400</v>
      </c>
      <c r="BU188" s="421">
        <f t="shared" ref="BU188:BV193" si="409">P188+AU188</f>
        <v>8995316</v>
      </c>
      <c r="BV188" s="421">
        <f t="shared" si="409"/>
        <v>266005</v>
      </c>
      <c r="BW188" s="421">
        <f t="shared" ref="BW188:BW193" si="410">R188+AY188</f>
        <v>489229</v>
      </c>
      <c r="BX188" s="422">
        <f t="shared" ref="BX188:BX193" si="411">S188+BM188</f>
        <v>38.535299999999999</v>
      </c>
      <c r="BY188" s="422">
        <f t="shared" ref="BY188:BZ193" si="412">T188+BK188</f>
        <v>33.645299999999999</v>
      </c>
      <c r="BZ188" s="611">
        <f t="shared" si="412"/>
        <v>4.8900000000000006</v>
      </c>
      <c r="CA188" s="423">
        <v>836299</v>
      </c>
      <c r="CB188" s="418">
        <v>620400</v>
      </c>
      <c r="CC188" s="418">
        <v>0</v>
      </c>
      <c r="CD188" s="418">
        <v>209695</v>
      </c>
      <c r="CE188" s="418">
        <v>6204</v>
      </c>
      <c r="CF188" s="527">
        <v>1.1000000000000001</v>
      </c>
    </row>
    <row r="189" spans="1:84" ht="14.1" customHeight="1" x14ac:dyDescent="0.2">
      <c r="A189" s="66">
        <v>41</v>
      </c>
      <c r="B189" s="63">
        <v>2480</v>
      </c>
      <c r="C189" s="64">
        <v>600080293</v>
      </c>
      <c r="D189" s="63">
        <v>46744924</v>
      </c>
      <c r="E189" s="65" t="s">
        <v>618</v>
      </c>
      <c r="F189" s="66">
        <v>3113</v>
      </c>
      <c r="G189" s="77" t="s">
        <v>292</v>
      </c>
      <c r="H189" s="67" t="s">
        <v>272</v>
      </c>
      <c r="I189" s="423">
        <f t="shared" si="302"/>
        <v>0</v>
      </c>
      <c r="J189" s="418">
        <f t="shared" si="303"/>
        <v>0</v>
      </c>
      <c r="K189" s="418">
        <v>0</v>
      </c>
      <c r="L189" s="418">
        <v>0</v>
      </c>
      <c r="M189" s="418">
        <f t="shared" si="304"/>
        <v>0</v>
      </c>
      <c r="N189" s="418">
        <v>0</v>
      </c>
      <c r="O189" s="418">
        <v>0</v>
      </c>
      <c r="P189" s="668">
        <f t="shared" si="305"/>
        <v>0</v>
      </c>
      <c r="Q189" s="668">
        <f t="shared" si="306"/>
        <v>0</v>
      </c>
      <c r="R189" s="418">
        <v>0</v>
      </c>
      <c r="S189" s="419">
        <f t="shared" si="307"/>
        <v>0</v>
      </c>
      <c r="T189" s="420">
        <v>0</v>
      </c>
      <c r="U189" s="426">
        <v>0</v>
      </c>
      <c r="V189" s="428">
        <f t="shared" si="308"/>
        <v>0</v>
      </c>
      <c r="W189" s="421">
        <f t="shared" si="309"/>
        <v>0</v>
      </c>
      <c r="X189" s="16">
        <v>1881300</v>
      </c>
      <c r="Y189" s="16">
        <v>0</v>
      </c>
      <c r="Z189" s="16">
        <v>0</v>
      </c>
      <c r="AA189" s="16">
        <v>0</v>
      </c>
      <c r="AB189" s="421">
        <v>0</v>
      </c>
      <c r="AC189" s="16">
        <v>0</v>
      </c>
      <c r="AD189" s="16">
        <v>0</v>
      </c>
      <c r="AE189" s="16">
        <v>0</v>
      </c>
      <c r="AF189" s="421">
        <f t="shared" si="310"/>
        <v>1881300</v>
      </c>
      <c r="AG189" s="421">
        <f t="shared" si="311"/>
        <v>0</v>
      </c>
      <c r="AH189" s="421">
        <f t="shared" si="312"/>
        <v>1881300</v>
      </c>
      <c r="AI189" s="16">
        <v>0</v>
      </c>
      <c r="AJ189" s="16">
        <v>0</v>
      </c>
      <c r="AK189" s="421">
        <v>0</v>
      </c>
      <c r="AL189" s="16">
        <v>0</v>
      </c>
      <c r="AM189" s="16">
        <v>0</v>
      </c>
      <c r="AN189" s="16">
        <v>0</v>
      </c>
      <c r="AO189" s="421">
        <f t="shared" si="313"/>
        <v>0</v>
      </c>
      <c r="AP189" s="16">
        <v>0</v>
      </c>
      <c r="AQ189" s="421">
        <f t="shared" si="314"/>
        <v>0</v>
      </c>
      <c r="AR189" s="421">
        <f t="shared" si="399"/>
        <v>1881300</v>
      </c>
      <c r="AS189" s="421">
        <f t="shared" si="399"/>
        <v>0</v>
      </c>
      <c r="AT189" s="421">
        <f t="shared" si="315"/>
        <v>1881300</v>
      </c>
      <c r="AU189" s="68">
        <f t="shared" si="400"/>
        <v>635879</v>
      </c>
      <c r="AV189" s="68">
        <f t="shared" si="401"/>
        <v>18813</v>
      </c>
      <c r="AW189" s="16">
        <v>0</v>
      </c>
      <c r="AX189" s="16">
        <v>0</v>
      </c>
      <c r="AY189" s="421">
        <f t="shared" si="316"/>
        <v>0</v>
      </c>
      <c r="AZ189" s="421">
        <f t="shared" si="317"/>
        <v>2535992</v>
      </c>
      <c r="BA189" s="13">
        <v>0</v>
      </c>
      <c r="BB189" s="13">
        <v>0</v>
      </c>
      <c r="BC189" s="13">
        <v>4.84</v>
      </c>
      <c r="BD189" s="422">
        <v>0</v>
      </c>
      <c r="BE189" s="422">
        <v>0</v>
      </c>
      <c r="BF189" s="422">
        <v>0</v>
      </c>
      <c r="BG189" s="422">
        <v>0</v>
      </c>
      <c r="BH189" s="422">
        <v>0</v>
      </c>
      <c r="BI189" s="422">
        <v>0</v>
      </c>
      <c r="BJ189" s="422">
        <v>0</v>
      </c>
      <c r="BK189" s="422">
        <f t="shared" si="402"/>
        <v>4.84</v>
      </c>
      <c r="BL189" s="422">
        <f t="shared" si="403"/>
        <v>0</v>
      </c>
      <c r="BM189" s="424">
        <f t="shared" si="318"/>
        <v>4.84</v>
      </c>
      <c r="BN189" s="427">
        <f t="shared" si="404"/>
        <v>2535992</v>
      </c>
      <c r="BO189" s="421">
        <f t="shared" si="405"/>
        <v>1881300</v>
      </c>
      <c r="BP189" s="421">
        <f t="shared" si="406"/>
        <v>1881300</v>
      </c>
      <c r="BQ189" s="421">
        <f t="shared" si="406"/>
        <v>0</v>
      </c>
      <c r="BR189" s="421">
        <f t="shared" si="407"/>
        <v>0</v>
      </c>
      <c r="BS189" s="421">
        <f t="shared" si="408"/>
        <v>0</v>
      </c>
      <c r="BT189" s="421">
        <f t="shared" si="408"/>
        <v>0</v>
      </c>
      <c r="BU189" s="421">
        <f t="shared" si="409"/>
        <v>635879</v>
      </c>
      <c r="BV189" s="421">
        <f t="shared" si="409"/>
        <v>18813</v>
      </c>
      <c r="BW189" s="421">
        <f t="shared" si="410"/>
        <v>0</v>
      </c>
      <c r="BX189" s="422">
        <f t="shared" si="411"/>
        <v>4.84</v>
      </c>
      <c r="BY189" s="422">
        <f t="shared" si="412"/>
        <v>4.84</v>
      </c>
      <c r="BZ189" s="611">
        <f t="shared" si="412"/>
        <v>0</v>
      </c>
      <c r="CA189" s="423"/>
      <c r="CB189" s="418"/>
      <c r="CC189" s="418"/>
      <c r="CD189" s="418"/>
      <c r="CE189" s="418"/>
      <c r="CF189" s="527"/>
    </row>
    <row r="190" spans="1:84" ht="13.5" customHeight="1" x14ac:dyDescent="0.2">
      <c r="A190" s="66">
        <v>41</v>
      </c>
      <c r="B190" s="63">
        <v>2480</v>
      </c>
      <c r="C190" s="64">
        <v>600080293</v>
      </c>
      <c r="D190" s="63">
        <v>46744924</v>
      </c>
      <c r="E190" s="65" t="s">
        <v>618</v>
      </c>
      <c r="F190" s="66">
        <v>3141</v>
      </c>
      <c r="G190" s="65" t="s">
        <v>295</v>
      </c>
      <c r="H190" s="67" t="s">
        <v>272</v>
      </c>
      <c r="I190" s="423">
        <f t="shared" si="302"/>
        <v>2088004</v>
      </c>
      <c r="J190" s="418">
        <f t="shared" si="303"/>
        <v>1536242</v>
      </c>
      <c r="K190" s="418">
        <v>0</v>
      </c>
      <c r="L190" s="924">
        <v>1536242</v>
      </c>
      <c r="M190" s="418">
        <f>N190+O190</f>
        <v>0</v>
      </c>
      <c r="N190" s="205">
        <v>0</v>
      </c>
      <c r="O190" s="205">
        <v>0</v>
      </c>
      <c r="P190" s="668">
        <f t="shared" si="305"/>
        <v>519250</v>
      </c>
      <c r="Q190" s="668">
        <f t="shared" si="306"/>
        <v>15362</v>
      </c>
      <c r="R190" s="674">
        <v>17150</v>
      </c>
      <c r="S190" s="419">
        <f>T190+U190</f>
        <v>4.6067</v>
      </c>
      <c r="T190" s="676">
        <v>0</v>
      </c>
      <c r="U190" s="909">
        <v>4.6067</v>
      </c>
      <c r="V190" s="428">
        <f t="shared" si="308"/>
        <v>0</v>
      </c>
      <c r="W190" s="421">
        <f t="shared" si="309"/>
        <v>0</v>
      </c>
      <c r="X190" s="421">
        <v>0</v>
      </c>
      <c r="Y190" s="421">
        <v>0</v>
      </c>
      <c r="Z190" s="421">
        <v>0</v>
      </c>
      <c r="AA190" s="421">
        <v>0</v>
      </c>
      <c r="AB190" s="421">
        <v>0</v>
      </c>
      <c r="AC190" s="421">
        <v>0</v>
      </c>
      <c r="AD190" s="421">
        <v>0</v>
      </c>
      <c r="AE190" s="421">
        <v>0</v>
      </c>
      <c r="AF190" s="421">
        <f t="shared" si="310"/>
        <v>0</v>
      </c>
      <c r="AG190" s="421">
        <f t="shared" si="311"/>
        <v>0</v>
      </c>
      <c r="AH190" s="421">
        <f t="shared" si="312"/>
        <v>0</v>
      </c>
      <c r="AI190" s="421">
        <v>0</v>
      </c>
      <c r="AJ190" s="421">
        <v>0</v>
      </c>
      <c r="AK190" s="421">
        <v>0</v>
      </c>
      <c r="AL190" s="421">
        <v>0</v>
      </c>
      <c r="AM190" s="421">
        <v>0</v>
      </c>
      <c r="AN190" s="421">
        <v>0</v>
      </c>
      <c r="AO190" s="421">
        <f t="shared" si="313"/>
        <v>0</v>
      </c>
      <c r="AP190" s="421">
        <f t="shared" si="319"/>
        <v>0</v>
      </c>
      <c r="AQ190" s="421">
        <f t="shared" si="314"/>
        <v>0</v>
      </c>
      <c r="AR190" s="421">
        <f t="shared" si="399"/>
        <v>0</v>
      </c>
      <c r="AS190" s="421">
        <f t="shared" si="399"/>
        <v>0</v>
      </c>
      <c r="AT190" s="421">
        <f t="shared" si="315"/>
        <v>0</v>
      </c>
      <c r="AU190" s="68">
        <f t="shared" si="400"/>
        <v>0</v>
      </c>
      <c r="AV190" s="68">
        <f t="shared" si="401"/>
        <v>0</v>
      </c>
      <c r="AW190" s="421">
        <v>0</v>
      </c>
      <c r="AX190" s="421">
        <v>0</v>
      </c>
      <c r="AY190" s="421">
        <f t="shared" si="316"/>
        <v>0</v>
      </c>
      <c r="AZ190" s="421">
        <f t="shared" si="317"/>
        <v>0</v>
      </c>
      <c r="BA190" s="422">
        <v>0</v>
      </c>
      <c r="BB190" s="422">
        <v>0</v>
      </c>
      <c r="BC190" s="422">
        <v>0</v>
      </c>
      <c r="BD190" s="422">
        <v>0</v>
      </c>
      <c r="BE190" s="422">
        <v>0</v>
      </c>
      <c r="BF190" s="422">
        <v>0</v>
      </c>
      <c r="BG190" s="422">
        <v>0</v>
      </c>
      <c r="BH190" s="422">
        <v>0</v>
      </c>
      <c r="BI190" s="422">
        <v>0</v>
      </c>
      <c r="BJ190" s="422">
        <v>0</v>
      </c>
      <c r="BK190" s="422">
        <f t="shared" si="402"/>
        <v>0</v>
      </c>
      <c r="BL190" s="422">
        <f t="shared" si="403"/>
        <v>0</v>
      </c>
      <c r="BM190" s="424">
        <f t="shared" si="318"/>
        <v>0</v>
      </c>
      <c r="BN190" s="427">
        <f t="shared" si="404"/>
        <v>2088004</v>
      </c>
      <c r="BO190" s="421">
        <f t="shared" si="405"/>
        <v>1536242</v>
      </c>
      <c r="BP190" s="421">
        <f t="shared" si="406"/>
        <v>0</v>
      </c>
      <c r="BQ190" s="421">
        <f t="shared" si="406"/>
        <v>1536242</v>
      </c>
      <c r="BR190" s="421">
        <f t="shared" si="407"/>
        <v>0</v>
      </c>
      <c r="BS190" s="421">
        <f t="shared" si="408"/>
        <v>0</v>
      </c>
      <c r="BT190" s="421">
        <f t="shared" si="408"/>
        <v>0</v>
      </c>
      <c r="BU190" s="421">
        <f t="shared" si="409"/>
        <v>519250</v>
      </c>
      <c r="BV190" s="421">
        <f t="shared" si="409"/>
        <v>15362</v>
      </c>
      <c r="BW190" s="421">
        <f t="shared" si="410"/>
        <v>17150</v>
      </c>
      <c r="BX190" s="422">
        <f t="shared" si="411"/>
        <v>4.6067</v>
      </c>
      <c r="BY190" s="422">
        <f t="shared" si="412"/>
        <v>0</v>
      </c>
      <c r="BZ190" s="611">
        <f t="shared" si="412"/>
        <v>4.6067</v>
      </c>
      <c r="CA190" s="423"/>
      <c r="CB190" s="418"/>
      <c r="CC190" s="418"/>
      <c r="CD190" s="418"/>
      <c r="CE190" s="418"/>
      <c r="CF190" s="527"/>
    </row>
    <row r="191" spans="1:84" ht="14.1" customHeight="1" x14ac:dyDescent="0.2">
      <c r="A191" s="66">
        <v>41</v>
      </c>
      <c r="B191" s="63">
        <v>2480</v>
      </c>
      <c r="C191" s="64">
        <v>600080293</v>
      </c>
      <c r="D191" s="63">
        <v>46744924</v>
      </c>
      <c r="E191" s="65" t="s">
        <v>618</v>
      </c>
      <c r="F191" s="66">
        <v>3143</v>
      </c>
      <c r="G191" s="77" t="s">
        <v>596</v>
      </c>
      <c r="H191" s="67" t="s">
        <v>271</v>
      </c>
      <c r="I191" s="423">
        <f t="shared" si="302"/>
        <v>3436035</v>
      </c>
      <c r="J191" s="418">
        <f t="shared" si="303"/>
        <v>2548987</v>
      </c>
      <c r="K191" s="418">
        <v>2548987</v>
      </c>
      <c r="L191" s="418">
        <v>0</v>
      </c>
      <c r="M191" s="418">
        <f t="shared" si="304"/>
        <v>0</v>
      </c>
      <c r="N191" s="418">
        <v>0</v>
      </c>
      <c r="O191" s="418">
        <v>0</v>
      </c>
      <c r="P191" s="668">
        <f t="shared" si="305"/>
        <v>861558</v>
      </c>
      <c r="Q191" s="668">
        <f t="shared" si="306"/>
        <v>25490</v>
      </c>
      <c r="R191" s="418">
        <v>0</v>
      </c>
      <c r="S191" s="419">
        <f t="shared" si="307"/>
        <v>5.1100000000000003</v>
      </c>
      <c r="T191" s="419">
        <v>5.1100000000000003</v>
      </c>
      <c r="U191" s="426">
        <v>0</v>
      </c>
      <c r="V191" s="428">
        <f t="shared" si="308"/>
        <v>0</v>
      </c>
      <c r="W191" s="421">
        <f t="shared" si="309"/>
        <v>0</v>
      </c>
      <c r="X191" s="421">
        <v>0</v>
      </c>
      <c r="Y191" s="421">
        <v>0</v>
      </c>
      <c r="Z191" s="421">
        <v>0</v>
      </c>
      <c r="AA191" s="421">
        <v>0</v>
      </c>
      <c r="AB191" s="421">
        <v>0</v>
      </c>
      <c r="AC191" s="421">
        <v>0</v>
      </c>
      <c r="AD191" s="421">
        <v>0</v>
      </c>
      <c r="AE191" s="421">
        <v>0</v>
      </c>
      <c r="AF191" s="421">
        <f t="shared" si="310"/>
        <v>0</v>
      </c>
      <c r="AG191" s="421">
        <f t="shared" si="311"/>
        <v>0</v>
      </c>
      <c r="AH191" s="421">
        <f t="shared" si="312"/>
        <v>0</v>
      </c>
      <c r="AI191" s="421">
        <v>0</v>
      </c>
      <c r="AJ191" s="421">
        <v>0</v>
      </c>
      <c r="AK191" s="421">
        <v>0</v>
      </c>
      <c r="AL191" s="421">
        <v>0</v>
      </c>
      <c r="AM191" s="421">
        <v>0</v>
      </c>
      <c r="AN191" s="421">
        <v>0</v>
      </c>
      <c r="AO191" s="421">
        <f t="shared" si="313"/>
        <v>0</v>
      </c>
      <c r="AP191" s="421">
        <f t="shared" si="319"/>
        <v>0</v>
      </c>
      <c r="AQ191" s="421">
        <f t="shared" si="314"/>
        <v>0</v>
      </c>
      <c r="AR191" s="421">
        <f t="shared" si="399"/>
        <v>0</v>
      </c>
      <c r="AS191" s="421">
        <f t="shared" si="399"/>
        <v>0</v>
      </c>
      <c r="AT191" s="421">
        <f t="shared" si="315"/>
        <v>0</v>
      </c>
      <c r="AU191" s="68">
        <f t="shared" si="400"/>
        <v>0</v>
      </c>
      <c r="AV191" s="68">
        <f t="shared" si="401"/>
        <v>0</v>
      </c>
      <c r="AW191" s="421">
        <v>0</v>
      </c>
      <c r="AX191" s="421">
        <v>0</v>
      </c>
      <c r="AY191" s="421">
        <f t="shared" si="316"/>
        <v>0</v>
      </c>
      <c r="AZ191" s="421">
        <f t="shared" si="317"/>
        <v>0</v>
      </c>
      <c r="BA191" s="422">
        <v>0</v>
      </c>
      <c r="BB191" s="422">
        <v>0</v>
      </c>
      <c r="BC191" s="422">
        <v>0</v>
      </c>
      <c r="BD191" s="422">
        <v>0</v>
      </c>
      <c r="BE191" s="422">
        <v>0</v>
      </c>
      <c r="BF191" s="422">
        <v>0</v>
      </c>
      <c r="BG191" s="422">
        <v>0</v>
      </c>
      <c r="BH191" s="422">
        <v>0</v>
      </c>
      <c r="BI191" s="422">
        <v>0</v>
      </c>
      <c r="BJ191" s="422">
        <v>0</v>
      </c>
      <c r="BK191" s="422">
        <f t="shared" si="402"/>
        <v>0</v>
      </c>
      <c r="BL191" s="422">
        <f t="shared" si="403"/>
        <v>0</v>
      </c>
      <c r="BM191" s="424">
        <f t="shared" si="318"/>
        <v>0</v>
      </c>
      <c r="BN191" s="427">
        <f t="shared" si="404"/>
        <v>3436035</v>
      </c>
      <c r="BO191" s="421">
        <f t="shared" si="405"/>
        <v>2548987</v>
      </c>
      <c r="BP191" s="421">
        <f t="shared" si="406"/>
        <v>2548987</v>
      </c>
      <c r="BQ191" s="421">
        <f t="shared" si="406"/>
        <v>0</v>
      </c>
      <c r="BR191" s="421">
        <f t="shared" si="407"/>
        <v>0</v>
      </c>
      <c r="BS191" s="421">
        <f t="shared" si="408"/>
        <v>0</v>
      </c>
      <c r="BT191" s="421">
        <f t="shared" si="408"/>
        <v>0</v>
      </c>
      <c r="BU191" s="421">
        <f t="shared" si="409"/>
        <v>861558</v>
      </c>
      <c r="BV191" s="421">
        <f t="shared" si="409"/>
        <v>25490</v>
      </c>
      <c r="BW191" s="421">
        <f t="shared" si="410"/>
        <v>0</v>
      </c>
      <c r="BX191" s="422">
        <f t="shared" si="411"/>
        <v>5.1100000000000003</v>
      </c>
      <c r="BY191" s="422">
        <f t="shared" si="412"/>
        <v>5.1100000000000003</v>
      </c>
      <c r="BZ191" s="611">
        <f t="shared" si="412"/>
        <v>0</v>
      </c>
      <c r="CA191" s="423"/>
      <c r="CB191" s="418"/>
      <c r="CC191" s="418"/>
      <c r="CD191" s="418"/>
      <c r="CE191" s="418"/>
      <c r="CF191" s="527"/>
    </row>
    <row r="192" spans="1:84" ht="14.1" customHeight="1" x14ac:dyDescent="0.2">
      <c r="A192" s="66">
        <v>41</v>
      </c>
      <c r="B192" s="63">
        <v>2480</v>
      </c>
      <c r="C192" s="64">
        <v>600080293</v>
      </c>
      <c r="D192" s="63">
        <v>46744924</v>
      </c>
      <c r="E192" s="65" t="s">
        <v>618</v>
      </c>
      <c r="F192" s="66">
        <v>3143</v>
      </c>
      <c r="G192" s="77" t="s">
        <v>597</v>
      </c>
      <c r="H192" s="67" t="s">
        <v>272</v>
      </c>
      <c r="I192" s="423">
        <f t="shared" si="302"/>
        <v>82987</v>
      </c>
      <c r="J192" s="418">
        <f t="shared" si="303"/>
        <v>59400</v>
      </c>
      <c r="K192" s="418">
        <v>0</v>
      </c>
      <c r="L192" s="674">
        <v>59400</v>
      </c>
      <c r="M192" s="418">
        <f t="shared" si="304"/>
        <v>0</v>
      </c>
      <c r="N192" s="418">
        <v>0</v>
      </c>
      <c r="O192" s="418">
        <v>0</v>
      </c>
      <c r="P192" s="668">
        <f t="shared" si="305"/>
        <v>20077</v>
      </c>
      <c r="Q192" s="668">
        <f t="shared" si="306"/>
        <v>594</v>
      </c>
      <c r="R192" s="675">
        <v>2916</v>
      </c>
      <c r="S192" s="419">
        <f t="shared" si="307"/>
        <v>0.22500000000000001</v>
      </c>
      <c r="T192" s="679">
        <v>0</v>
      </c>
      <c r="U192" s="909">
        <v>0.22500000000000001</v>
      </c>
      <c r="V192" s="428">
        <f t="shared" si="308"/>
        <v>0</v>
      </c>
      <c r="W192" s="421">
        <f t="shared" si="309"/>
        <v>0</v>
      </c>
      <c r="X192" s="421">
        <v>0</v>
      </c>
      <c r="Y192" s="421">
        <v>0</v>
      </c>
      <c r="Z192" s="421">
        <v>0</v>
      </c>
      <c r="AA192" s="421">
        <v>0</v>
      </c>
      <c r="AB192" s="421">
        <v>0</v>
      </c>
      <c r="AC192" s="421">
        <v>0</v>
      </c>
      <c r="AD192" s="421">
        <v>0</v>
      </c>
      <c r="AE192" s="421">
        <v>0</v>
      </c>
      <c r="AF192" s="421">
        <f t="shared" si="310"/>
        <v>0</v>
      </c>
      <c r="AG192" s="421">
        <f t="shared" si="311"/>
        <v>0</v>
      </c>
      <c r="AH192" s="421">
        <f t="shared" si="312"/>
        <v>0</v>
      </c>
      <c r="AI192" s="421">
        <v>0</v>
      </c>
      <c r="AJ192" s="421">
        <v>0</v>
      </c>
      <c r="AK192" s="421">
        <v>0</v>
      </c>
      <c r="AL192" s="421">
        <v>0</v>
      </c>
      <c r="AM192" s="421">
        <v>0</v>
      </c>
      <c r="AN192" s="421">
        <v>0</v>
      </c>
      <c r="AO192" s="421">
        <f t="shared" si="313"/>
        <v>0</v>
      </c>
      <c r="AP192" s="421">
        <f t="shared" si="319"/>
        <v>0</v>
      </c>
      <c r="AQ192" s="421">
        <f t="shared" si="314"/>
        <v>0</v>
      </c>
      <c r="AR192" s="421">
        <f t="shared" si="399"/>
        <v>0</v>
      </c>
      <c r="AS192" s="421">
        <f t="shared" si="399"/>
        <v>0</v>
      </c>
      <c r="AT192" s="421">
        <f t="shared" si="315"/>
        <v>0</v>
      </c>
      <c r="AU192" s="68">
        <f t="shared" si="400"/>
        <v>0</v>
      </c>
      <c r="AV192" s="68">
        <f t="shared" si="401"/>
        <v>0</v>
      </c>
      <c r="AW192" s="421">
        <v>0</v>
      </c>
      <c r="AX192" s="421">
        <v>0</v>
      </c>
      <c r="AY192" s="421">
        <f t="shared" si="316"/>
        <v>0</v>
      </c>
      <c r="AZ192" s="421">
        <f t="shared" si="317"/>
        <v>0</v>
      </c>
      <c r="BA192" s="422">
        <v>0</v>
      </c>
      <c r="BB192" s="422">
        <v>0</v>
      </c>
      <c r="BC192" s="422">
        <v>0</v>
      </c>
      <c r="BD192" s="422">
        <v>0</v>
      </c>
      <c r="BE192" s="422">
        <v>0</v>
      </c>
      <c r="BF192" s="422">
        <v>0</v>
      </c>
      <c r="BG192" s="422">
        <v>0</v>
      </c>
      <c r="BH192" s="422">
        <v>0</v>
      </c>
      <c r="BI192" s="422">
        <v>0</v>
      </c>
      <c r="BJ192" s="422">
        <v>0</v>
      </c>
      <c r="BK192" s="422">
        <f t="shared" si="402"/>
        <v>0</v>
      </c>
      <c r="BL192" s="422">
        <f t="shared" si="403"/>
        <v>0</v>
      </c>
      <c r="BM192" s="424">
        <f t="shared" si="318"/>
        <v>0</v>
      </c>
      <c r="BN192" s="427">
        <f t="shared" si="404"/>
        <v>82987</v>
      </c>
      <c r="BO192" s="421">
        <f t="shared" si="405"/>
        <v>59400</v>
      </c>
      <c r="BP192" s="421">
        <f t="shared" si="406"/>
        <v>0</v>
      </c>
      <c r="BQ192" s="421">
        <f t="shared" si="406"/>
        <v>59400</v>
      </c>
      <c r="BR192" s="421">
        <f t="shared" si="407"/>
        <v>0</v>
      </c>
      <c r="BS192" s="421">
        <f t="shared" si="408"/>
        <v>0</v>
      </c>
      <c r="BT192" s="421">
        <f t="shared" si="408"/>
        <v>0</v>
      </c>
      <c r="BU192" s="421">
        <f t="shared" si="409"/>
        <v>20077</v>
      </c>
      <c r="BV192" s="421">
        <f t="shared" si="409"/>
        <v>594</v>
      </c>
      <c r="BW192" s="421">
        <f t="shared" si="410"/>
        <v>2916</v>
      </c>
      <c r="BX192" s="422">
        <f t="shared" si="411"/>
        <v>0.22500000000000001</v>
      </c>
      <c r="BY192" s="422">
        <f t="shared" si="412"/>
        <v>0</v>
      </c>
      <c r="BZ192" s="611">
        <f t="shared" si="412"/>
        <v>0.22500000000000001</v>
      </c>
      <c r="CA192" s="423"/>
      <c r="CB192" s="418"/>
      <c r="CC192" s="418"/>
      <c r="CD192" s="418"/>
      <c r="CE192" s="418"/>
      <c r="CF192" s="527"/>
    </row>
    <row r="193" spans="1:84" ht="14.1" customHeight="1" x14ac:dyDescent="0.2">
      <c r="A193" s="66">
        <v>41</v>
      </c>
      <c r="B193" s="63">
        <v>2480</v>
      </c>
      <c r="C193" s="64">
        <v>600080293</v>
      </c>
      <c r="D193" s="63">
        <v>46744924</v>
      </c>
      <c r="E193" s="65" t="s">
        <v>618</v>
      </c>
      <c r="F193" s="66">
        <v>3143</v>
      </c>
      <c r="G193" s="77" t="s">
        <v>297</v>
      </c>
      <c r="H193" s="67" t="s">
        <v>272</v>
      </c>
      <c r="I193" s="423">
        <f t="shared" si="302"/>
        <v>1068194</v>
      </c>
      <c r="J193" s="418">
        <f t="shared" si="303"/>
        <v>789794</v>
      </c>
      <c r="K193" s="418">
        <v>681264</v>
      </c>
      <c r="L193" s="418">
        <v>108530</v>
      </c>
      <c r="M193" s="418">
        <f t="shared" si="304"/>
        <v>0</v>
      </c>
      <c r="N193" s="418">
        <v>0</v>
      </c>
      <c r="O193" s="418">
        <v>0</v>
      </c>
      <c r="P193" s="668">
        <f t="shared" si="305"/>
        <v>266950</v>
      </c>
      <c r="Q193" s="668">
        <f t="shared" si="306"/>
        <v>7898</v>
      </c>
      <c r="R193" s="418">
        <v>3552</v>
      </c>
      <c r="S193" s="419">
        <f t="shared" si="307"/>
        <v>1.76</v>
      </c>
      <c r="T193" s="420">
        <v>1.35</v>
      </c>
      <c r="U193" s="426">
        <v>0.41</v>
      </c>
      <c r="V193" s="428">
        <f t="shared" si="308"/>
        <v>0</v>
      </c>
      <c r="W193" s="421">
        <f t="shared" si="309"/>
        <v>0</v>
      </c>
      <c r="X193" s="421">
        <v>0</v>
      </c>
      <c r="Y193" s="421">
        <v>0</v>
      </c>
      <c r="Z193" s="421">
        <v>0</v>
      </c>
      <c r="AA193" s="421">
        <v>0</v>
      </c>
      <c r="AB193" s="421">
        <v>0</v>
      </c>
      <c r="AC193" s="421">
        <v>0</v>
      </c>
      <c r="AD193" s="421">
        <v>0</v>
      </c>
      <c r="AE193" s="421">
        <v>0</v>
      </c>
      <c r="AF193" s="421">
        <f t="shared" si="310"/>
        <v>0</v>
      </c>
      <c r="AG193" s="421">
        <f t="shared" si="311"/>
        <v>0</v>
      </c>
      <c r="AH193" s="421">
        <f t="shared" si="312"/>
        <v>0</v>
      </c>
      <c r="AI193" s="421">
        <v>0</v>
      </c>
      <c r="AJ193" s="421">
        <v>0</v>
      </c>
      <c r="AK193" s="421">
        <v>0</v>
      </c>
      <c r="AL193" s="421">
        <v>0</v>
      </c>
      <c r="AM193" s="421">
        <v>0</v>
      </c>
      <c r="AN193" s="421">
        <v>0</v>
      </c>
      <c r="AO193" s="421">
        <f t="shared" si="313"/>
        <v>0</v>
      </c>
      <c r="AP193" s="421">
        <f t="shared" si="319"/>
        <v>0</v>
      </c>
      <c r="AQ193" s="421">
        <f t="shared" si="314"/>
        <v>0</v>
      </c>
      <c r="AR193" s="421">
        <f t="shared" si="399"/>
        <v>0</v>
      </c>
      <c r="AS193" s="421">
        <f t="shared" si="399"/>
        <v>0</v>
      </c>
      <c r="AT193" s="421">
        <f t="shared" si="315"/>
        <v>0</v>
      </c>
      <c r="AU193" s="68">
        <f t="shared" si="400"/>
        <v>0</v>
      </c>
      <c r="AV193" s="68">
        <f t="shared" si="401"/>
        <v>0</v>
      </c>
      <c r="AW193" s="421">
        <v>0</v>
      </c>
      <c r="AX193" s="421">
        <v>0</v>
      </c>
      <c r="AY193" s="421">
        <f t="shared" si="316"/>
        <v>0</v>
      </c>
      <c r="AZ193" s="421">
        <f t="shared" si="317"/>
        <v>0</v>
      </c>
      <c r="BA193" s="422">
        <v>0</v>
      </c>
      <c r="BB193" s="422">
        <v>0</v>
      </c>
      <c r="BC193" s="422">
        <v>0</v>
      </c>
      <c r="BD193" s="422">
        <v>0</v>
      </c>
      <c r="BE193" s="422">
        <v>0</v>
      </c>
      <c r="BF193" s="422">
        <v>0</v>
      </c>
      <c r="BG193" s="422">
        <v>0</v>
      </c>
      <c r="BH193" s="422">
        <v>0</v>
      </c>
      <c r="BI193" s="422">
        <v>0</v>
      </c>
      <c r="BJ193" s="422">
        <v>0</v>
      </c>
      <c r="BK193" s="422">
        <f t="shared" si="402"/>
        <v>0</v>
      </c>
      <c r="BL193" s="422">
        <f t="shared" si="403"/>
        <v>0</v>
      </c>
      <c r="BM193" s="424">
        <f t="shared" si="318"/>
        <v>0</v>
      </c>
      <c r="BN193" s="427">
        <f t="shared" si="404"/>
        <v>1068194</v>
      </c>
      <c r="BO193" s="421">
        <f t="shared" si="405"/>
        <v>789794</v>
      </c>
      <c r="BP193" s="421">
        <f t="shared" si="406"/>
        <v>681264</v>
      </c>
      <c r="BQ193" s="421">
        <f t="shared" si="406"/>
        <v>108530</v>
      </c>
      <c r="BR193" s="421">
        <f t="shared" si="407"/>
        <v>0</v>
      </c>
      <c r="BS193" s="421">
        <f t="shared" si="408"/>
        <v>0</v>
      </c>
      <c r="BT193" s="421">
        <f t="shared" si="408"/>
        <v>0</v>
      </c>
      <c r="BU193" s="421">
        <f t="shared" si="409"/>
        <v>266950</v>
      </c>
      <c r="BV193" s="421">
        <f t="shared" si="409"/>
        <v>7898</v>
      </c>
      <c r="BW193" s="421">
        <f t="shared" si="410"/>
        <v>3552</v>
      </c>
      <c r="BX193" s="422">
        <f t="shared" si="411"/>
        <v>1.76</v>
      </c>
      <c r="BY193" s="422">
        <f t="shared" si="412"/>
        <v>1.35</v>
      </c>
      <c r="BZ193" s="611">
        <f t="shared" si="412"/>
        <v>0.41</v>
      </c>
      <c r="CA193" s="423"/>
      <c r="CB193" s="418"/>
      <c r="CC193" s="418"/>
      <c r="CD193" s="418"/>
      <c r="CE193" s="418"/>
      <c r="CF193" s="527"/>
    </row>
    <row r="194" spans="1:84" ht="14.1" customHeight="1" x14ac:dyDescent="0.2">
      <c r="A194" s="72">
        <v>41</v>
      </c>
      <c r="B194" s="69">
        <v>2480</v>
      </c>
      <c r="C194" s="70">
        <v>600080293</v>
      </c>
      <c r="D194" s="69">
        <v>46744924</v>
      </c>
      <c r="E194" s="71" t="s">
        <v>619</v>
      </c>
      <c r="F194" s="72"/>
      <c r="G194" s="71"/>
      <c r="H194" s="73"/>
      <c r="I194" s="538">
        <f t="shared" ref="I194:BU194" si="413">SUM(I188:I193)</f>
        <v>42202961</v>
      </c>
      <c r="J194" s="74">
        <f t="shared" si="413"/>
        <v>30927385</v>
      </c>
      <c r="K194" s="74">
        <f>SUM(K188:K193)</f>
        <v>27602769</v>
      </c>
      <c r="L194" s="74">
        <f>SUM(L188:L193)</f>
        <v>3324616</v>
      </c>
      <c r="M194" s="74">
        <f>SUM(M188:M193)</f>
        <v>0</v>
      </c>
      <c r="N194" s="74">
        <f>SUM(N188:N193)</f>
        <v>0</v>
      </c>
      <c r="O194" s="74">
        <f>SUM(O188:O193)</f>
        <v>0</v>
      </c>
      <c r="P194" s="74">
        <f t="shared" ref="P194:Q194" si="414">SUM(P188:P193)</f>
        <v>10453456</v>
      </c>
      <c r="Q194" s="74">
        <f t="shared" si="414"/>
        <v>309273</v>
      </c>
      <c r="R194" s="74">
        <f>SUM(R188:R193)</f>
        <v>512847</v>
      </c>
      <c r="S194" s="75">
        <f>SUM(S188:S193)</f>
        <v>49.146999999999991</v>
      </c>
      <c r="T194" s="75">
        <f>SUM(T188:T193)</f>
        <v>39.005299999999998</v>
      </c>
      <c r="U194" s="753">
        <f>SUM(U188:U193)</f>
        <v>10.1417</v>
      </c>
      <c r="V194" s="538">
        <f t="shared" si="413"/>
        <v>-6400</v>
      </c>
      <c r="W194" s="74">
        <f t="shared" si="413"/>
        <v>-6400</v>
      </c>
      <c r="X194" s="74">
        <f t="shared" si="413"/>
        <v>1881300</v>
      </c>
      <c r="Y194" s="74">
        <f t="shared" si="413"/>
        <v>0</v>
      </c>
      <c r="Z194" s="74">
        <f t="shared" si="413"/>
        <v>0</v>
      </c>
      <c r="AA194" s="74">
        <f t="shared" si="413"/>
        <v>0</v>
      </c>
      <c r="AB194" s="74">
        <f t="shared" si="413"/>
        <v>620400</v>
      </c>
      <c r="AC194" s="74">
        <f t="shared" si="413"/>
        <v>0</v>
      </c>
      <c r="AD194" s="74">
        <f t="shared" si="413"/>
        <v>0</v>
      </c>
      <c r="AE194" s="74">
        <f t="shared" si="413"/>
        <v>0</v>
      </c>
      <c r="AF194" s="74">
        <f t="shared" si="413"/>
        <v>2495300</v>
      </c>
      <c r="AG194" s="74">
        <f t="shared" si="413"/>
        <v>-6400</v>
      </c>
      <c r="AH194" s="74">
        <f t="shared" si="413"/>
        <v>2488900</v>
      </c>
      <c r="AI194" s="74">
        <f t="shared" si="413"/>
        <v>6400</v>
      </c>
      <c r="AJ194" s="74">
        <f t="shared" si="413"/>
        <v>6400</v>
      </c>
      <c r="AK194" s="74">
        <f t="shared" si="413"/>
        <v>0</v>
      </c>
      <c r="AL194" s="74">
        <f t="shared" si="413"/>
        <v>0</v>
      </c>
      <c r="AM194" s="74">
        <f t="shared" si="413"/>
        <v>0</v>
      </c>
      <c r="AN194" s="74">
        <f t="shared" si="413"/>
        <v>0</v>
      </c>
      <c r="AO194" s="74">
        <f t="shared" si="413"/>
        <v>6400</v>
      </c>
      <c r="AP194" s="74">
        <f t="shared" si="413"/>
        <v>6400</v>
      </c>
      <c r="AQ194" s="74">
        <f t="shared" si="413"/>
        <v>12800</v>
      </c>
      <c r="AR194" s="74">
        <f t="shared" si="413"/>
        <v>2501700</v>
      </c>
      <c r="AS194" s="74">
        <f t="shared" si="413"/>
        <v>0</v>
      </c>
      <c r="AT194" s="74">
        <f t="shared" si="413"/>
        <v>2501700</v>
      </c>
      <c r="AU194" s="74">
        <f t="shared" si="413"/>
        <v>845574</v>
      </c>
      <c r="AV194" s="74">
        <f t="shared" si="413"/>
        <v>24889</v>
      </c>
      <c r="AW194" s="74">
        <f t="shared" si="413"/>
        <v>0</v>
      </c>
      <c r="AX194" s="74">
        <f t="shared" si="413"/>
        <v>0</v>
      </c>
      <c r="AY194" s="74">
        <f t="shared" si="413"/>
        <v>0</v>
      </c>
      <c r="AZ194" s="74">
        <f t="shared" si="413"/>
        <v>3372163</v>
      </c>
      <c r="BA194" s="75">
        <f t="shared" si="413"/>
        <v>0</v>
      </c>
      <c r="BB194" s="75">
        <f t="shared" si="413"/>
        <v>-0.01</v>
      </c>
      <c r="BC194" s="75">
        <f t="shared" si="413"/>
        <v>4.84</v>
      </c>
      <c r="BD194" s="75">
        <f t="shared" si="413"/>
        <v>1.1000000000000001</v>
      </c>
      <c r="BE194" s="75">
        <f t="shared" si="413"/>
        <v>0</v>
      </c>
      <c r="BF194" s="75">
        <f t="shared" si="413"/>
        <v>0</v>
      </c>
      <c r="BG194" s="75">
        <f t="shared" si="413"/>
        <v>0</v>
      </c>
      <c r="BH194" s="75">
        <f t="shared" si="413"/>
        <v>0</v>
      </c>
      <c r="BI194" s="75">
        <f t="shared" si="413"/>
        <v>0</v>
      </c>
      <c r="BJ194" s="75">
        <f t="shared" si="413"/>
        <v>0</v>
      </c>
      <c r="BK194" s="75">
        <f t="shared" si="413"/>
        <v>5.9399999999999995</v>
      </c>
      <c r="BL194" s="75">
        <f t="shared" si="413"/>
        <v>-0.01</v>
      </c>
      <c r="BM194" s="76">
        <f t="shared" si="413"/>
        <v>5.93</v>
      </c>
      <c r="BN194" s="549">
        <f t="shared" si="413"/>
        <v>45575124</v>
      </c>
      <c r="BO194" s="74">
        <f t="shared" si="413"/>
        <v>33416285</v>
      </c>
      <c r="BP194" s="74">
        <f t="shared" si="413"/>
        <v>30098069</v>
      </c>
      <c r="BQ194" s="74">
        <f t="shared" si="413"/>
        <v>3318216</v>
      </c>
      <c r="BR194" s="74">
        <f t="shared" si="413"/>
        <v>12800</v>
      </c>
      <c r="BS194" s="74">
        <f t="shared" si="413"/>
        <v>6400</v>
      </c>
      <c r="BT194" s="74">
        <f t="shared" si="413"/>
        <v>6400</v>
      </c>
      <c r="BU194" s="74">
        <f t="shared" si="413"/>
        <v>11299030</v>
      </c>
      <c r="BV194" s="74">
        <f t="shared" ref="BV194:CF194" si="415">SUM(BV188:BV193)</f>
        <v>334162</v>
      </c>
      <c r="BW194" s="74">
        <f t="shared" si="415"/>
        <v>512847</v>
      </c>
      <c r="BX194" s="75">
        <f t="shared" si="415"/>
        <v>55.076999999999998</v>
      </c>
      <c r="BY194" s="75">
        <f t="shared" si="415"/>
        <v>44.945299999999996</v>
      </c>
      <c r="BZ194" s="753">
        <f t="shared" si="415"/>
        <v>10.1317</v>
      </c>
      <c r="CA194" s="796">
        <f t="shared" si="415"/>
        <v>836299</v>
      </c>
      <c r="CB194" s="789">
        <f t="shared" si="415"/>
        <v>620400</v>
      </c>
      <c r="CC194" s="789">
        <f t="shared" si="415"/>
        <v>0</v>
      </c>
      <c r="CD194" s="789">
        <f t="shared" si="415"/>
        <v>209695</v>
      </c>
      <c r="CE194" s="789">
        <f t="shared" si="415"/>
        <v>6204</v>
      </c>
      <c r="CF194" s="793">
        <f t="shared" si="415"/>
        <v>1.1000000000000001</v>
      </c>
    </row>
    <row r="195" spans="1:84" ht="14.1" customHeight="1" x14ac:dyDescent="0.2">
      <c r="A195" s="66">
        <v>42</v>
      </c>
      <c r="B195" s="63">
        <v>2482</v>
      </c>
      <c r="C195" s="64">
        <v>600079945</v>
      </c>
      <c r="D195" s="63">
        <v>72741716</v>
      </c>
      <c r="E195" s="65" t="s">
        <v>620</v>
      </c>
      <c r="F195" s="66">
        <v>3113</v>
      </c>
      <c r="G195" s="65" t="s">
        <v>294</v>
      </c>
      <c r="H195" s="67" t="s">
        <v>271</v>
      </c>
      <c r="I195" s="423">
        <f t="shared" si="302"/>
        <v>16683783</v>
      </c>
      <c r="J195" s="418">
        <f t="shared" ref="J195" si="416">K195+L195</f>
        <v>12211068</v>
      </c>
      <c r="K195" s="418">
        <v>11282539</v>
      </c>
      <c r="L195" s="418">
        <v>928529</v>
      </c>
      <c r="M195" s="418">
        <f>N195+O195</f>
        <v>0</v>
      </c>
      <c r="N195" s="418">
        <v>0</v>
      </c>
      <c r="O195" s="418">
        <v>0</v>
      </c>
      <c r="P195" s="668">
        <f t="shared" si="305"/>
        <v>4127341</v>
      </c>
      <c r="Q195" s="668">
        <f t="shared" si="306"/>
        <v>122111</v>
      </c>
      <c r="R195" s="418">
        <v>223263</v>
      </c>
      <c r="S195" s="419">
        <f>T195+U195</f>
        <v>18.213000000000001</v>
      </c>
      <c r="T195" s="419">
        <v>15.499700000000001</v>
      </c>
      <c r="U195" s="426">
        <v>2.7133000000000003</v>
      </c>
      <c r="V195" s="428">
        <f t="shared" si="308"/>
        <v>-12800</v>
      </c>
      <c r="W195" s="421">
        <f t="shared" si="309"/>
        <v>-25600</v>
      </c>
      <c r="X195" s="421">
        <v>0</v>
      </c>
      <c r="Y195" s="421">
        <v>0</v>
      </c>
      <c r="Z195" s="421">
        <v>0</v>
      </c>
      <c r="AA195" s="421">
        <v>0</v>
      </c>
      <c r="AB195" s="421">
        <v>282000</v>
      </c>
      <c r="AC195" s="421">
        <v>0</v>
      </c>
      <c r="AD195" s="421">
        <v>0</v>
      </c>
      <c r="AE195" s="421">
        <v>0</v>
      </c>
      <c r="AF195" s="421">
        <f t="shared" si="310"/>
        <v>269200</v>
      </c>
      <c r="AG195" s="421">
        <f t="shared" si="311"/>
        <v>-25600</v>
      </c>
      <c r="AH195" s="421">
        <f t="shared" si="312"/>
        <v>243600</v>
      </c>
      <c r="AI195" s="421">
        <v>12800</v>
      </c>
      <c r="AJ195" s="421">
        <v>25600</v>
      </c>
      <c r="AK195" s="421">
        <v>0</v>
      </c>
      <c r="AL195" s="421">
        <v>0</v>
      </c>
      <c r="AM195" s="421">
        <v>0</v>
      </c>
      <c r="AN195" s="421">
        <v>0</v>
      </c>
      <c r="AO195" s="421">
        <f t="shared" si="313"/>
        <v>12800</v>
      </c>
      <c r="AP195" s="421">
        <f t="shared" si="319"/>
        <v>25600</v>
      </c>
      <c r="AQ195" s="421">
        <f t="shared" si="314"/>
        <v>38400</v>
      </c>
      <c r="AR195" s="421">
        <f t="shared" ref="AR195:AS199" si="417">AF195+AO195</f>
        <v>282000</v>
      </c>
      <c r="AS195" s="421">
        <f t="shared" si="417"/>
        <v>0</v>
      </c>
      <c r="AT195" s="421">
        <f t="shared" si="315"/>
        <v>282000</v>
      </c>
      <c r="AU195" s="68">
        <f t="shared" ref="AU195:AU199" si="418">ROUND((AH195+AI195+AJ195+AK195+AL195)*33.8%,0)</f>
        <v>95316</v>
      </c>
      <c r="AV195" s="68">
        <f>ROUND(AH195*1%,0)</f>
        <v>2436</v>
      </c>
      <c r="AW195" s="421">
        <v>0</v>
      </c>
      <c r="AX195" s="421">
        <v>0</v>
      </c>
      <c r="AY195" s="421">
        <f t="shared" si="316"/>
        <v>0</v>
      </c>
      <c r="AZ195" s="421">
        <f t="shared" si="317"/>
        <v>379752</v>
      </c>
      <c r="BA195" s="422">
        <v>-0.02</v>
      </c>
      <c r="BB195" s="422">
        <v>-0.08</v>
      </c>
      <c r="BC195" s="422">
        <v>0</v>
      </c>
      <c r="BD195" s="422">
        <v>0.5</v>
      </c>
      <c r="BE195" s="422">
        <v>0</v>
      </c>
      <c r="BF195" s="422">
        <v>0</v>
      </c>
      <c r="BG195" s="422">
        <v>0</v>
      </c>
      <c r="BH195" s="422">
        <v>0</v>
      </c>
      <c r="BI195" s="422">
        <v>0</v>
      </c>
      <c r="BJ195" s="422">
        <v>0</v>
      </c>
      <c r="BK195" s="422">
        <f>BA195+BC195+BD195+BF195+BH195+BI195</f>
        <v>0.48</v>
      </c>
      <c r="BL195" s="422">
        <f>BB195+BE195+BG195+BJ195</f>
        <v>-0.08</v>
      </c>
      <c r="BM195" s="424">
        <f t="shared" si="318"/>
        <v>0.39999999999999997</v>
      </c>
      <c r="BN195" s="427">
        <f>I195+AZ195</f>
        <v>17063535</v>
      </c>
      <c r="BO195" s="421">
        <f>J195+AH195</f>
        <v>12454668</v>
      </c>
      <c r="BP195" s="421">
        <f t="shared" ref="BP195:BQ199" si="419">K195+AF195</f>
        <v>11551739</v>
      </c>
      <c r="BQ195" s="421">
        <f t="shared" si="419"/>
        <v>902929</v>
      </c>
      <c r="BR195" s="421">
        <f>M195+AQ195</f>
        <v>38400</v>
      </c>
      <c r="BS195" s="421">
        <f t="shared" ref="BS195:BT199" si="420">N195+AO195</f>
        <v>12800</v>
      </c>
      <c r="BT195" s="421">
        <f t="shared" si="420"/>
        <v>25600</v>
      </c>
      <c r="BU195" s="421">
        <f t="shared" ref="BU195:BV199" si="421">P195+AU195</f>
        <v>4222657</v>
      </c>
      <c r="BV195" s="421">
        <f t="shared" si="421"/>
        <v>124547</v>
      </c>
      <c r="BW195" s="421">
        <f>R195+AY195</f>
        <v>223263</v>
      </c>
      <c r="BX195" s="422">
        <f>S195+BM195</f>
        <v>18.613</v>
      </c>
      <c r="BY195" s="422">
        <f t="shared" ref="BY195:BZ199" si="422">T195+BK195</f>
        <v>15.979700000000001</v>
      </c>
      <c r="BZ195" s="611">
        <f t="shared" si="422"/>
        <v>2.6333000000000002</v>
      </c>
      <c r="CA195" s="423">
        <v>380136</v>
      </c>
      <c r="CB195" s="418">
        <v>282000</v>
      </c>
      <c r="CC195" s="418">
        <v>0</v>
      </c>
      <c r="CD195" s="418">
        <v>95316</v>
      </c>
      <c r="CE195" s="418">
        <v>2820</v>
      </c>
      <c r="CF195" s="527">
        <v>0.5</v>
      </c>
    </row>
    <row r="196" spans="1:84" ht="14.1" customHeight="1" x14ac:dyDescent="0.2">
      <c r="A196" s="66">
        <v>42</v>
      </c>
      <c r="B196" s="63">
        <v>2482</v>
      </c>
      <c r="C196" s="64">
        <v>600079945</v>
      </c>
      <c r="D196" s="63">
        <v>72741716</v>
      </c>
      <c r="E196" s="65" t="s">
        <v>620</v>
      </c>
      <c r="F196" s="66">
        <v>3113</v>
      </c>
      <c r="G196" s="77" t="s">
        <v>292</v>
      </c>
      <c r="H196" s="67" t="s">
        <v>272</v>
      </c>
      <c r="I196" s="423">
        <f t="shared" si="302"/>
        <v>0</v>
      </c>
      <c r="J196" s="418">
        <f t="shared" si="303"/>
        <v>0</v>
      </c>
      <c r="K196" s="418">
        <v>0</v>
      </c>
      <c r="L196" s="418">
        <v>0</v>
      </c>
      <c r="M196" s="418">
        <f t="shared" si="304"/>
        <v>0</v>
      </c>
      <c r="N196" s="418">
        <v>0</v>
      </c>
      <c r="O196" s="418">
        <v>0</v>
      </c>
      <c r="P196" s="668">
        <f t="shared" si="305"/>
        <v>0</v>
      </c>
      <c r="Q196" s="668">
        <f t="shared" si="306"/>
        <v>0</v>
      </c>
      <c r="R196" s="418">
        <v>0</v>
      </c>
      <c r="S196" s="419">
        <f t="shared" si="307"/>
        <v>0</v>
      </c>
      <c r="T196" s="420">
        <v>0</v>
      </c>
      <c r="U196" s="426">
        <v>0</v>
      </c>
      <c r="V196" s="428">
        <f t="shared" si="308"/>
        <v>0</v>
      </c>
      <c r="W196" s="421">
        <f t="shared" si="309"/>
        <v>0</v>
      </c>
      <c r="X196" s="16">
        <v>1926477</v>
      </c>
      <c r="Y196" s="16">
        <v>0</v>
      </c>
      <c r="Z196" s="16">
        <v>0</v>
      </c>
      <c r="AA196" s="16">
        <v>0</v>
      </c>
      <c r="AB196" s="421">
        <v>0</v>
      </c>
      <c r="AC196" s="16">
        <v>0</v>
      </c>
      <c r="AD196" s="16">
        <v>0</v>
      </c>
      <c r="AE196" s="16">
        <v>0</v>
      </c>
      <c r="AF196" s="421">
        <f t="shared" si="310"/>
        <v>1926477</v>
      </c>
      <c r="AG196" s="421">
        <f t="shared" si="311"/>
        <v>0</v>
      </c>
      <c r="AH196" s="421">
        <f t="shared" si="312"/>
        <v>1926477</v>
      </c>
      <c r="AI196" s="16">
        <v>0</v>
      </c>
      <c r="AJ196" s="16">
        <v>0</v>
      </c>
      <c r="AK196" s="421">
        <v>0</v>
      </c>
      <c r="AL196" s="16">
        <v>0</v>
      </c>
      <c r="AM196" s="16">
        <v>0</v>
      </c>
      <c r="AN196" s="16">
        <v>0</v>
      </c>
      <c r="AO196" s="421">
        <f t="shared" si="313"/>
        <v>0</v>
      </c>
      <c r="AP196" s="16">
        <v>0</v>
      </c>
      <c r="AQ196" s="421">
        <f t="shared" si="314"/>
        <v>0</v>
      </c>
      <c r="AR196" s="421">
        <f t="shared" si="417"/>
        <v>1926477</v>
      </c>
      <c r="AS196" s="421">
        <f t="shared" si="417"/>
        <v>0</v>
      </c>
      <c r="AT196" s="421">
        <f t="shared" si="315"/>
        <v>1926477</v>
      </c>
      <c r="AU196" s="68">
        <f t="shared" si="418"/>
        <v>651149</v>
      </c>
      <c r="AV196" s="68">
        <f>ROUND(AH196*1%,0)</f>
        <v>19265</v>
      </c>
      <c r="AW196" s="16">
        <v>12000</v>
      </c>
      <c r="AX196" s="16">
        <v>0</v>
      </c>
      <c r="AY196" s="421">
        <f t="shared" si="316"/>
        <v>12000</v>
      </c>
      <c r="AZ196" s="421">
        <f t="shared" si="317"/>
        <v>2608891</v>
      </c>
      <c r="BA196" s="13">
        <v>0</v>
      </c>
      <c r="BB196" s="13">
        <v>0</v>
      </c>
      <c r="BC196" s="13">
        <v>5.03</v>
      </c>
      <c r="BD196" s="422">
        <v>0</v>
      </c>
      <c r="BE196" s="422">
        <v>0</v>
      </c>
      <c r="BF196" s="422">
        <v>0</v>
      </c>
      <c r="BG196" s="422">
        <v>0</v>
      </c>
      <c r="BH196" s="422">
        <v>0</v>
      </c>
      <c r="BI196" s="422">
        <v>0</v>
      </c>
      <c r="BJ196" s="422">
        <v>0</v>
      </c>
      <c r="BK196" s="422">
        <f>BA196+BC196+BD196+BF196+BH196+BI196</f>
        <v>5.03</v>
      </c>
      <c r="BL196" s="422">
        <f>BB196+BE196+BG196+BJ196</f>
        <v>0</v>
      </c>
      <c r="BM196" s="424">
        <f t="shared" si="318"/>
        <v>5.03</v>
      </c>
      <c r="BN196" s="427">
        <f>I196+AZ196</f>
        <v>2608891</v>
      </c>
      <c r="BO196" s="421">
        <f>J196+AH196</f>
        <v>1926477</v>
      </c>
      <c r="BP196" s="421">
        <f t="shared" si="419"/>
        <v>1926477</v>
      </c>
      <c r="BQ196" s="421">
        <f t="shared" si="419"/>
        <v>0</v>
      </c>
      <c r="BR196" s="421">
        <f>M196+AQ196</f>
        <v>0</v>
      </c>
      <c r="BS196" s="421">
        <f t="shared" si="420"/>
        <v>0</v>
      </c>
      <c r="BT196" s="421">
        <f t="shared" si="420"/>
        <v>0</v>
      </c>
      <c r="BU196" s="421">
        <f t="shared" si="421"/>
        <v>651149</v>
      </c>
      <c r="BV196" s="421">
        <f t="shared" si="421"/>
        <v>19265</v>
      </c>
      <c r="BW196" s="421">
        <f>R196+AY196</f>
        <v>12000</v>
      </c>
      <c r="BX196" s="422">
        <f>S196+BM196</f>
        <v>5.03</v>
      </c>
      <c r="BY196" s="422">
        <f t="shared" si="422"/>
        <v>5.03</v>
      </c>
      <c r="BZ196" s="611">
        <f t="shared" si="422"/>
        <v>0</v>
      </c>
      <c r="CA196" s="423"/>
      <c r="CB196" s="418"/>
      <c r="CC196" s="418"/>
      <c r="CD196" s="418"/>
      <c r="CE196" s="418"/>
      <c r="CF196" s="527"/>
    </row>
    <row r="197" spans="1:84" ht="13.5" customHeight="1" x14ac:dyDescent="0.2">
      <c r="A197" s="66">
        <v>42</v>
      </c>
      <c r="B197" s="63">
        <v>2482</v>
      </c>
      <c r="C197" s="64">
        <v>600079945</v>
      </c>
      <c r="D197" s="63">
        <v>72741716</v>
      </c>
      <c r="E197" s="65" t="s">
        <v>620</v>
      </c>
      <c r="F197" s="66">
        <v>3141</v>
      </c>
      <c r="G197" s="65" t="s">
        <v>295</v>
      </c>
      <c r="H197" s="67" t="s">
        <v>272</v>
      </c>
      <c r="I197" s="423">
        <f t="shared" si="302"/>
        <v>1092483</v>
      </c>
      <c r="J197" s="418">
        <f t="shared" si="303"/>
        <v>804787</v>
      </c>
      <c r="K197" s="418">
        <v>0</v>
      </c>
      <c r="L197" s="924">
        <v>804787</v>
      </c>
      <c r="M197" s="418">
        <f>N197+O197</f>
        <v>0</v>
      </c>
      <c r="N197" s="205">
        <v>0</v>
      </c>
      <c r="O197" s="205">
        <v>0</v>
      </c>
      <c r="P197" s="668">
        <f t="shared" si="305"/>
        <v>272018</v>
      </c>
      <c r="Q197" s="668">
        <f t="shared" si="306"/>
        <v>8048</v>
      </c>
      <c r="R197" s="674">
        <v>7630</v>
      </c>
      <c r="S197" s="419">
        <f>T197+U197</f>
        <v>2.4133</v>
      </c>
      <c r="T197" s="676">
        <v>0</v>
      </c>
      <c r="U197" s="909">
        <v>2.4133</v>
      </c>
      <c r="V197" s="428">
        <f t="shared" si="308"/>
        <v>0</v>
      </c>
      <c r="W197" s="421">
        <f t="shared" si="309"/>
        <v>0</v>
      </c>
      <c r="X197" s="421">
        <v>0</v>
      </c>
      <c r="Y197" s="421">
        <v>0</v>
      </c>
      <c r="Z197" s="421">
        <v>0</v>
      </c>
      <c r="AA197" s="421">
        <v>0</v>
      </c>
      <c r="AB197" s="421">
        <v>0</v>
      </c>
      <c r="AC197" s="421">
        <v>0</v>
      </c>
      <c r="AD197" s="421">
        <v>0</v>
      </c>
      <c r="AE197" s="421">
        <v>0</v>
      </c>
      <c r="AF197" s="421">
        <f t="shared" si="310"/>
        <v>0</v>
      </c>
      <c r="AG197" s="421">
        <f t="shared" si="311"/>
        <v>0</v>
      </c>
      <c r="AH197" s="421">
        <f t="shared" si="312"/>
        <v>0</v>
      </c>
      <c r="AI197" s="421">
        <v>0</v>
      </c>
      <c r="AJ197" s="421">
        <v>0</v>
      </c>
      <c r="AK197" s="421">
        <v>0</v>
      </c>
      <c r="AL197" s="421">
        <v>0</v>
      </c>
      <c r="AM197" s="421">
        <v>0</v>
      </c>
      <c r="AN197" s="421">
        <v>0</v>
      </c>
      <c r="AO197" s="421">
        <f t="shared" si="313"/>
        <v>0</v>
      </c>
      <c r="AP197" s="421">
        <f t="shared" si="319"/>
        <v>0</v>
      </c>
      <c r="AQ197" s="421">
        <f t="shared" si="314"/>
        <v>0</v>
      </c>
      <c r="AR197" s="421">
        <f t="shared" si="417"/>
        <v>0</v>
      </c>
      <c r="AS197" s="421">
        <f t="shared" si="417"/>
        <v>0</v>
      </c>
      <c r="AT197" s="421">
        <f t="shared" si="315"/>
        <v>0</v>
      </c>
      <c r="AU197" s="68">
        <f t="shared" si="418"/>
        <v>0</v>
      </c>
      <c r="AV197" s="68">
        <f>ROUND(AH197*1%,0)</f>
        <v>0</v>
      </c>
      <c r="AW197" s="421">
        <v>0</v>
      </c>
      <c r="AX197" s="421">
        <v>0</v>
      </c>
      <c r="AY197" s="421">
        <f t="shared" si="316"/>
        <v>0</v>
      </c>
      <c r="AZ197" s="421">
        <f t="shared" si="317"/>
        <v>0</v>
      </c>
      <c r="BA197" s="422">
        <v>0</v>
      </c>
      <c r="BB197" s="422">
        <v>0</v>
      </c>
      <c r="BC197" s="422">
        <v>0</v>
      </c>
      <c r="BD197" s="422">
        <v>0</v>
      </c>
      <c r="BE197" s="422">
        <v>0</v>
      </c>
      <c r="BF197" s="422">
        <v>0</v>
      </c>
      <c r="BG197" s="422">
        <v>0</v>
      </c>
      <c r="BH197" s="422">
        <v>0</v>
      </c>
      <c r="BI197" s="422">
        <v>0</v>
      </c>
      <c r="BJ197" s="422">
        <v>0</v>
      </c>
      <c r="BK197" s="422">
        <f>BA197+BC197+BD197+BF197+BH197+BI197</f>
        <v>0</v>
      </c>
      <c r="BL197" s="422">
        <f>BB197+BE197+BG197+BJ197</f>
        <v>0</v>
      </c>
      <c r="BM197" s="424">
        <f t="shared" si="318"/>
        <v>0</v>
      </c>
      <c r="BN197" s="427">
        <f>I197+AZ197</f>
        <v>1092483</v>
      </c>
      <c r="BO197" s="421">
        <f>J197+AH197</f>
        <v>804787</v>
      </c>
      <c r="BP197" s="421">
        <f t="shared" si="419"/>
        <v>0</v>
      </c>
      <c r="BQ197" s="421">
        <f t="shared" si="419"/>
        <v>804787</v>
      </c>
      <c r="BR197" s="421">
        <f>M197+AQ197</f>
        <v>0</v>
      </c>
      <c r="BS197" s="421">
        <f t="shared" si="420"/>
        <v>0</v>
      </c>
      <c r="BT197" s="421">
        <f t="shared" si="420"/>
        <v>0</v>
      </c>
      <c r="BU197" s="421">
        <f t="shared" si="421"/>
        <v>272018</v>
      </c>
      <c r="BV197" s="421">
        <f t="shared" si="421"/>
        <v>8048</v>
      </c>
      <c r="BW197" s="421">
        <f>R197+AY197</f>
        <v>7630</v>
      </c>
      <c r="BX197" s="422">
        <f>S197+BM197</f>
        <v>2.4133</v>
      </c>
      <c r="BY197" s="422">
        <f t="shared" si="422"/>
        <v>0</v>
      </c>
      <c r="BZ197" s="611">
        <f t="shared" si="422"/>
        <v>2.4133</v>
      </c>
      <c r="CA197" s="423"/>
      <c r="CB197" s="418"/>
      <c r="CC197" s="418"/>
      <c r="CD197" s="418"/>
      <c r="CE197" s="418"/>
      <c r="CF197" s="527"/>
    </row>
    <row r="198" spans="1:84" ht="14.1" customHeight="1" x14ac:dyDescent="0.2">
      <c r="A198" s="66">
        <v>42</v>
      </c>
      <c r="B198" s="63">
        <v>2482</v>
      </c>
      <c r="C198" s="64">
        <v>600079945</v>
      </c>
      <c r="D198" s="63">
        <v>72741716</v>
      </c>
      <c r="E198" s="65" t="s">
        <v>620</v>
      </c>
      <c r="F198" s="66">
        <v>3143</v>
      </c>
      <c r="G198" s="77" t="s">
        <v>596</v>
      </c>
      <c r="H198" s="67" t="s">
        <v>271</v>
      </c>
      <c r="I198" s="423">
        <f t="shared" si="302"/>
        <v>1663307</v>
      </c>
      <c r="J198" s="418">
        <f t="shared" si="303"/>
        <v>1233907</v>
      </c>
      <c r="K198" s="418">
        <v>1233907</v>
      </c>
      <c r="L198" s="418">
        <v>0</v>
      </c>
      <c r="M198" s="418">
        <f t="shared" si="304"/>
        <v>0</v>
      </c>
      <c r="N198" s="418">
        <v>0</v>
      </c>
      <c r="O198" s="418">
        <v>0</v>
      </c>
      <c r="P198" s="668">
        <f t="shared" si="305"/>
        <v>417061</v>
      </c>
      <c r="Q198" s="668">
        <f t="shared" si="306"/>
        <v>12339</v>
      </c>
      <c r="R198" s="418">
        <v>0</v>
      </c>
      <c r="S198" s="419">
        <f t="shared" si="307"/>
        <v>2.4464000000000001</v>
      </c>
      <c r="T198" s="419">
        <v>2.4464000000000001</v>
      </c>
      <c r="U198" s="426">
        <v>0</v>
      </c>
      <c r="V198" s="428">
        <f t="shared" si="308"/>
        <v>0</v>
      </c>
      <c r="W198" s="421">
        <f t="shared" si="309"/>
        <v>0</v>
      </c>
      <c r="X198" s="421">
        <v>0</v>
      </c>
      <c r="Y198" s="421">
        <v>0</v>
      </c>
      <c r="Z198" s="421">
        <v>0</v>
      </c>
      <c r="AA198" s="421">
        <v>0</v>
      </c>
      <c r="AB198" s="421">
        <v>0</v>
      </c>
      <c r="AC198" s="421">
        <v>0</v>
      </c>
      <c r="AD198" s="421">
        <v>0</v>
      </c>
      <c r="AE198" s="421">
        <v>0</v>
      </c>
      <c r="AF198" s="421">
        <f t="shared" si="310"/>
        <v>0</v>
      </c>
      <c r="AG198" s="421">
        <f t="shared" si="311"/>
        <v>0</v>
      </c>
      <c r="AH198" s="421">
        <f t="shared" si="312"/>
        <v>0</v>
      </c>
      <c r="AI198" s="421">
        <v>0</v>
      </c>
      <c r="AJ198" s="421">
        <v>0</v>
      </c>
      <c r="AK198" s="421">
        <v>0</v>
      </c>
      <c r="AL198" s="421">
        <v>0</v>
      </c>
      <c r="AM198" s="421">
        <v>0</v>
      </c>
      <c r="AN198" s="421">
        <v>0</v>
      </c>
      <c r="AO198" s="421">
        <f t="shared" si="313"/>
        <v>0</v>
      </c>
      <c r="AP198" s="421">
        <f t="shared" si="319"/>
        <v>0</v>
      </c>
      <c r="AQ198" s="421">
        <f t="shared" si="314"/>
        <v>0</v>
      </c>
      <c r="AR198" s="421">
        <f t="shared" si="417"/>
        <v>0</v>
      </c>
      <c r="AS198" s="421">
        <f t="shared" si="417"/>
        <v>0</v>
      </c>
      <c r="AT198" s="421">
        <f t="shared" si="315"/>
        <v>0</v>
      </c>
      <c r="AU198" s="68">
        <f t="shared" si="418"/>
        <v>0</v>
      </c>
      <c r="AV198" s="68">
        <f>ROUND(AH198*1%,0)</f>
        <v>0</v>
      </c>
      <c r="AW198" s="421">
        <v>0</v>
      </c>
      <c r="AX198" s="421">
        <v>0</v>
      </c>
      <c r="AY198" s="421">
        <f t="shared" si="316"/>
        <v>0</v>
      </c>
      <c r="AZ198" s="421">
        <f t="shared" si="317"/>
        <v>0</v>
      </c>
      <c r="BA198" s="422">
        <v>0</v>
      </c>
      <c r="BB198" s="422">
        <v>0</v>
      </c>
      <c r="BC198" s="422">
        <v>0</v>
      </c>
      <c r="BD198" s="422">
        <v>0</v>
      </c>
      <c r="BE198" s="422">
        <v>0</v>
      </c>
      <c r="BF198" s="422">
        <v>0</v>
      </c>
      <c r="BG198" s="422">
        <v>0</v>
      </c>
      <c r="BH198" s="422">
        <v>0</v>
      </c>
      <c r="BI198" s="422">
        <v>0</v>
      </c>
      <c r="BJ198" s="422">
        <v>0</v>
      </c>
      <c r="BK198" s="422">
        <f>BA198+BC198+BD198+BF198+BH198+BI198</f>
        <v>0</v>
      </c>
      <c r="BL198" s="422">
        <f>BB198+BE198+BG198+BJ198</f>
        <v>0</v>
      </c>
      <c r="BM198" s="424">
        <f t="shared" si="318"/>
        <v>0</v>
      </c>
      <c r="BN198" s="427">
        <f>I198+AZ198</f>
        <v>1663307</v>
      </c>
      <c r="BO198" s="421">
        <f>J198+AH198</f>
        <v>1233907</v>
      </c>
      <c r="BP198" s="421">
        <f t="shared" si="419"/>
        <v>1233907</v>
      </c>
      <c r="BQ198" s="421">
        <f t="shared" si="419"/>
        <v>0</v>
      </c>
      <c r="BR198" s="421">
        <f>M198+AQ198</f>
        <v>0</v>
      </c>
      <c r="BS198" s="421">
        <f t="shared" si="420"/>
        <v>0</v>
      </c>
      <c r="BT198" s="421">
        <f t="shared" si="420"/>
        <v>0</v>
      </c>
      <c r="BU198" s="421">
        <f t="shared" si="421"/>
        <v>417061</v>
      </c>
      <c r="BV198" s="421">
        <f t="shared" si="421"/>
        <v>12339</v>
      </c>
      <c r="BW198" s="421">
        <f>R198+AY198</f>
        <v>0</v>
      </c>
      <c r="BX198" s="422">
        <f>S198+BM198</f>
        <v>2.4464000000000001</v>
      </c>
      <c r="BY198" s="422">
        <f t="shared" si="422"/>
        <v>2.4464000000000001</v>
      </c>
      <c r="BZ198" s="611">
        <f t="shared" si="422"/>
        <v>0</v>
      </c>
      <c r="CA198" s="423"/>
      <c r="CB198" s="418"/>
      <c r="CC198" s="418"/>
      <c r="CD198" s="418"/>
      <c r="CE198" s="418"/>
      <c r="CF198" s="527"/>
    </row>
    <row r="199" spans="1:84" ht="14.1" customHeight="1" x14ac:dyDescent="0.2">
      <c r="A199" s="66">
        <v>42</v>
      </c>
      <c r="B199" s="63">
        <v>2482</v>
      </c>
      <c r="C199" s="64">
        <v>600079945</v>
      </c>
      <c r="D199" s="63">
        <v>72741716</v>
      </c>
      <c r="E199" s="65" t="s">
        <v>620</v>
      </c>
      <c r="F199" s="66">
        <v>3143</v>
      </c>
      <c r="G199" s="77" t="s">
        <v>597</v>
      </c>
      <c r="H199" s="67" t="s">
        <v>272</v>
      </c>
      <c r="I199" s="423">
        <f t="shared" si="302"/>
        <v>30724</v>
      </c>
      <c r="J199" s="418">
        <f t="shared" si="303"/>
        <v>21991</v>
      </c>
      <c r="K199" s="418">
        <v>0</v>
      </c>
      <c r="L199" s="674">
        <v>21991</v>
      </c>
      <c r="M199" s="418">
        <f t="shared" si="304"/>
        <v>0</v>
      </c>
      <c r="N199" s="418">
        <v>0</v>
      </c>
      <c r="O199" s="418">
        <v>0</v>
      </c>
      <c r="P199" s="668">
        <f t="shared" si="305"/>
        <v>7433</v>
      </c>
      <c r="Q199" s="668">
        <f t="shared" si="306"/>
        <v>220</v>
      </c>
      <c r="R199" s="675">
        <v>1080</v>
      </c>
      <c r="S199" s="419">
        <f t="shared" si="307"/>
        <v>8.3299999999999999E-2</v>
      </c>
      <c r="T199" s="679">
        <v>0</v>
      </c>
      <c r="U199" s="909">
        <v>8.3299999999999999E-2</v>
      </c>
      <c r="V199" s="428">
        <f t="shared" si="308"/>
        <v>0</v>
      </c>
      <c r="W199" s="421">
        <f t="shared" si="309"/>
        <v>0</v>
      </c>
      <c r="X199" s="421">
        <v>0</v>
      </c>
      <c r="Y199" s="421">
        <v>0</v>
      </c>
      <c r="Z199" s="421">
        <v>0</v>
      </c>
      <c r="AA199" s="421">
        <v>0</v>
      </c>
      <c r="AB199" s="421">
        <v>0</v>
      </c>
      <c r="AC199" s="421">
        <v>0</v>
      </c>
      <c r="AD199" s="421">
        <v>0</v>
      </c>
      <c r="AE199" s="421">
        <v>0</v>
      </c>
      <c r="AF199" s="421">
        <f t="shared" si="310"/>
        <v>0</v>
      </c>
      <c r="AG199" s="421">
        <f t="shared" si="311"/>
        <v>0</v>
      </c>
      <c r="AH199" s="421">
        <f t="shared" si="312"/>
        <v>0</v>
      </c>
      <c r="AI199" s="421">
        <v>0</v>
      </c>
      <c r="AJ199" s="421">
        <v>0</v>
      </c>
      <c r="AK199" s="421">
        <v>0</v>
      </c>
      <c r="AL199" s="421">
        <v>0</v>
      </c>
      <c r="AM199" s="421">
        <v>0</v>
      </c>
      <c r="AN199" s="421">
        <v>0</v>
      </c>
      <c r="AO199" s="421">
        <f t="shared" si="313"/>
        <v>0</v>
      </c>
      <c r="AP199" s="421">
        <f t="shared" si="319"/>
        <v>0</v>
      </c>
      <c r="AQ199" s="421">
        <f t="shared" si="314"/>
        <v>0</v>
      </c>
      <c r="AR199" s="421">
        <f t="shared" si="417"/>
        <v>0</v>
      </c>
      <c r="AS199" s="421">
        <f t="shared" si="417"/>
        <v>0</v>
      </c>
      <c r="AT199" s="421">
        <f t="shared" si="315"/>
        <v>0</v>
      </c>
      <c r="AU199" s="68">
        <f t="shared" si="418"/>
        <v>0</v>
      </c>
      <c r="AV199" s="68">
        <f>ROUND(AH199*1%,0)</f>
        <v>0</v>
      </c>
      <c r="AW199" s="421">
        <v>0</v>
      </c>
      <c r="AX199" s="421">
        <v>0</v>
      </c>
      <c r="AY199" s="421">
        <f t="shared" si="316"/>
        <v>0</v>
      </c>
      <c r="AZ199" s="421">
        <f t="shared" si="317"/>
        <v>0</v>
      </c>
      <c r="BA199" s="422">
        <v>0</v>
      </c>
      <c r="BB199" s="422">
        <v>0</v>
      </c>
      <c r="BC199" s="422">
        <v>0</v>
      </c>
      <c r="BD199" s="422">
        <v>0</v>
      </c>
      <c r="BE199" s="422">
        <v>0</v>
      </c>
      <c r="BF199" s="422">
        <v>0</v>
      </c>
      <c r="BG199" s="422">
        <v>0</v>
      </c>
      <c r="BH199" s="422">
        <v>0</v>
      </c>
      <c r="BI199" s="422">
        <v>0</v>
      </c>
      <c r="BJ199" s="422">
        <v>0</v>
      </c>
      <c r="BK199" s="422">
        <f>BA199+BC199+BD199+BF199+BH199+BI199</f>
        <v>0</v>
      </c>
      <c r="BL199" s="422">
        <f>BB199+BE199+BG199+BJ199</f>
        <v>0</v>
      </c>
      <c r="BM199" s="424">
        <f t="shared" si="318"/>
        <v>0</v>
      </c>
      <c r="BN199" s="427">
        <f>I199+AZ199</f>
        <v>30724</v>
      </c>
      <c r="BO199" s="421">
        <f>J199+AH199</f>
        <v>21991</v>
      </c>
      <c r="BP199" s="421">
        <f t="shared" si="419"/>
        <v>0</v>
      </c>
      <c r="BQ199" s="421">
        <f t="shared" si="419"/>
        <v>21991</v>
      </c>
      <c r="BR199" s="421">
        <f>M199+AQ199</f>
        <v>0</v>
      </c>
      <c r="BS199" s="421">
        <f t="shared" si="420"/>
        <v>0</v>
      </c>
      <c r="BT199" s="421">
        <f t="shared" si="420"/>
        <v>0</v>
      </c>
      <c r="BU199" s="421">
        <f t="shared" si="421"/>
        <v>7433</v>
      </c>
      <c r="BV199" s="421">
        <f t="shared" si="421"/>
        <v>220</v>
      </c>
      <c r="BW199" s="421">
        <f>R199+AY199</f>
        <v>1080</v>
      </c>
      <c r="BX199" s="422">
        <f>S199+BM199</f>
        <v>8.3299999999999999E-2</v>
      </c>
      <c r="BY199" s="422">
        <f t="shared" si="422"/>
        <v>0</v>
      </c>
      <c r="BZ199" s="611">
        <f t="shared" si="422"/>
        <v>8.3299999999999999E-2</v>
      </c>
      <c r="CA199" s="423"/>
      <c r="CB199" s="418"/>
      <c r="CC199" s="418"/>
      <c r="CD199" s="418"/>
      <c r="CE199" s="418"/>
      <c r="CF199" s="527"/>
    </row>
    <row r="200" spans="1:84" ht="14.1" customHeight="1" x14ac:dyDescent="0.2">
      <c r="A200" s="72">
        <v>42</v>
      </c>
      <c r="B200" s="69">
        <v>2482</v>
      </c>
      <c r="C200" s="70">
        <v>600079945</v>
      </c>
      <c r="D200" s="69">
        <v>72741716</v>
      </c>
      <c r="E200" s="71" t="s">
        <v>621</v>
      </c>
      <c r="F200" s="72"/>
      <c r="G200" s="71"/>
      <c r="H200" s="73"/>
      <c r="I200" s="538">
        <f t="shared" ref="I200:BU200" si="423">SUM(I195:I199)</f>
        <v>19470297</v>
      </c>
      <c r="J200" s="74">
        <f t="shared" si="423"/>
        <v>14271753</v>
      </c>
      <c r="K200" s="74">
        <f>SUM(K195:K199)</f>
        <v>12516446</v>
      </c>
      <c r="L200" s="74">
        <f>SUM(L195:L199)</f>
        <v>1755307</v>
      </c>
      <c r="M200" s="74">
        <f>SUM(M195:M199)</f>
        <v>0</v>
      </c>
      <c r="N200" s="74">
        <f>SUM(N195:N199)</f>
        <v>0</v>
      </c>
      <c r="O200" s="74">
        <f>SUM(O195:O199)</f>
        <v>0</v>
      </c>
      <c r="P200" s="74">
        <f t="shared" ref="P200:Q200" si="424">SUM(P195:P199)</f>
        <v>4823853</v>
      </c>
      <c r="Q200" s="74">
        <f t="shared" si="424"/>
        <v>142718</v>
      </c>
      <c r="R200" s="74">
        <f>SUM(R195:R199)</f>
        <v>231973</v>
      </c>
      <c r="S200" s="75">
        <f>SUM(S195:S199)</f>
        <v>23.156000000000002</v>
      </c>
      <c r="T200" s="75">
        <f>SUM(T195:T199)</f>
        <v>17.946100000000001</v>
      </c>
      <c r="U200" s="753">
        <f>SUM(U195:U199)</f>
        <v>5.2099000000000002</v>
      </c>
      <c r="V200" s="538">
        <f t="shared" si="423"/>
        <v>-12800</v>
      </c>
      <c r="W200" s="74">
        <f t="shared" si="423"/>
        <v>-25600</v>
      </c>
      <c r="X200" s="74">
        <f t="shared" si="423"/>
        <v>1926477</v>
      </c>
      <c r="Y200" s="74">
        <f t="shared" si="423"/>
        <v>0</v>
      </c>
      <c r="Z200" s="74">
        <f t="shared" si="423"/>
        <v>0</v>
      </c>
      <c r="AA200" s="74">
        <f t="shared" si="423"/>
        <v>0</v>
      </c>
      <c r="AB200" s="74">
        <f t="shared" si="423"/>
        <v>282000</v>
      </c>
      <c r="AC200" s="74">
        <f t="shared" si="423"/>
        <v>0</v>
      </c>
      <c r="AD200" s="74">
        <f t="shared" si="423"/>
        <v>0</v>
      </c>
      <c r="AE200" s="74">
        <f t="shared" si="423"/>
        <v>0</v>
      </c>
      <c r="AF200" s="74">
        <f t="shared" si="423"/>
        <v>2195677</v>
      </c>
      <c r="AG200" s="74">
        <f t="shared" si="423"/>
        <v>-25600</v>
      </c>
      <c r="AH200" s="74">
        <f t="shared" si="423"/>
        <v>2170077</v>
      </c>
      <c r="AI200" s="74">
        <f t="shared" si="423"/>
        <v>12800</v>
      </c>
      <c r="AJ200" s="74">
        <f t="shared" si="423"/>
        <v>25600</v>
      </c>
      <c r="AK200" s="74">
        <f t="shared" si="423"/>
        <v>0</v>
      </c>
      <c r="AL200" s="74">
        <f t="shared" si="423"/>
        <v>0</v>
      </c>
      <c r="AM200" s="74">
        <f t="shared" si="423"/>
        <v>0</v>
      </c>
      <c r="AN200" s="74">
        <f t="shared" si="423"/>
        <v>0</v>
      </c>
      <c r="AO200" s="74">
        <f t="shared" si="423"/>
        <v>12800</v>
      </c>
      <c r="AP200" s="74">
        <f t="shared" si="423"/>
        <v>25600</v>
      </c>
      <c r="AQ200" s="74">
        <f t="shared" si="423"/>
        <v>38400</v>
      </c>
      <c r="AR200" s="74">
        <f t="shared" si="423"/>
        <v>2208477</v>
      </c>
      <c r="AS200" s="74">
        <f t="shared" si="423"/>
        <v>0</v>
      </c>
      <c r="AT200" s="74">
        <f t="shared" si="423"/>
        <v>2208477</v>
      </c>
      <c r="AU200" s="74">
        <f t="shared" si="423"/>
        <v>746465</v>
      </c>
      <c r="AV200" s="74">
        <f t="shared" si="423"/>
        <v>21701</v>
      </c>
      <c r="AW200" s="74">
        <f t="shared" si="423"/>
        <v>12000</v>
      </c>
      <c r="AX200" s="74">
        <f t="shared" si="423"/>
        <v>0</v>
      </c>
      <c r="AY200" s="74">
        <f t="shared" si="423"/>
        <v>12000</v>
      </c>
      <c r="AZ200" s="74">
        <f t="shared" si="423"/>
        <v>2988643</v>
      </c>
      <c r="BA200" s="75">
        <f t="shared" si="423"/>
        <v>-0.02</v>
      </c>
      <c r="BB200" s="75">
        <f t="shared" si="423"/>
        <v>-0.08</v>
      </c>
      <c r="BC200" s="75">
        <f t="shared" si="423"/>
        <v>5.03</v>
      </c>
      <c r="BD200" s="75">
        <f t="shared" si="423"/>
        <v>0.5</v>
      </c>
      <c r="BE200" s="75">
        <f t="shared" si="423"/>
        <v>0</v>
      </c>
      <c r="BF200" s="75">
        <f t="shared" si="423"/>
        <v>0</v>
      </c>
      <c r="BG200" s="75">
        <f t="shared" si="423"/>
        <v>0</v>
      </c>
      <c r="BH200" s="75">
        <f t="shared" si="423"/>
        <v>0</v>
      </c>
      <c r="BI200" s="75">
        <f t="shared" si="423"/>
        <v>0</v>
      </c>
      <c r="BJ200" s="75">
        <f t="shared" si="423"/>
        <v>0</v>
      </c>
      <c r="BK200" s="75">
        <f t="shared" si="423"/>
        <v>5.51</v>
      </c>
      <c r="BL200" s="75">
        <f t="shared" si="423"/>
        <v>-0.08</v>
      </c>
      <c r="BM200" s="76">
        <f t="shared" si="423"/>
        <v>5.4300000000000006</v>
      </c>
      <c r="BN200" s="549">
        <f t="shared" si="423"/>
        <v>22458940</v>
      </c>
      <c r="BO200" s="74">
        <f t="shared" si="423"/>
        <v>16441830</v>
      </c>
      <c r="BP200" s="74">
        <f t="shared" si="423"/>
        <v>14712123</v>
      </c>
      <c r="BQ200" s="74">
        <f t="shared" si="423"/>
        <v>1729707</v>
      </c>
      <c r="BR200" s="74">
        <f t="shared" si="423"/>
        <v>38400</v>
      </c>
      <c r="BS200" s="74">
        <f t="shared" si="423"/>
        <v>12800</v>
      </c>
      <c r="BT200" s="74">
        <f t="shared" si="423"/>
        <v>25600</v>
      </c>
      <c r="BU200" s="74">
        <f t="shared" si="423"/>
        <v>5570318</v>
      </c>
      <c r="BV200" s="74">
        <f t="shared" ref="BV200:CF200" si="425">SUM(BV195:BV199)</f>
        <v>164419</v>
      </c>
      <c r="BW200" s="74">
        <f t="shared" si="425"/>
        <v>243973</v>
      </c>
      <c r="BX200" s="75">
        <f t="shared" si="425"/>
        <v>28.586000000000002</v>
      </c>
      <c r="BY200" s="75">
        <f t="shared" si="425"/>
        <v>23.456100000000003</v>
      </c>
      <c r="BZ200" s="753">
        <f t="shared" si="425"/>
        <v>5.1299000000000001</v>
      </c>
      <c r="CA200" s="796">
        <f t="shared" si="425"/>
        <v>380136</v>
      </c>
      <c r="CB200" s="789">
        <f t="shared" si="425"/>
        <v>282000</v>
      </c>
      <c r="CC200" s="789">
        <f t="shared" si="425"/>
        <v>0</v>
      </c>
      <c r="CD200" s="789">
        <f t="shared" si="425"/>
        <v>95316</v>
      </c>
      <c r="CE200" s="789">
        <f t="shared" si="425"/>
        <v>2820</v>
      </c>
      <c r="CF200" s="793">
        <f t="shared" si="425"/>
        <v>0.5</v>
      </c>
    </row>
    <row r="201" spans="1:84" ht="14.1" customHeight="1" x14ac:dyDescent="0.2">
      <c r="A201" s="66">
        <v>43</v>
      </c>
      <c r="B201" s="63">
        <v>2328</v>
      </c>
      <c r="C201" s="64">
        <v>691006041</v>
      </c>
      <c r="D201" s="63">
        <v>71294988</v>
      </c>
      <c r="E201" s="65" t="s">
        <v>622</v>
      </c>
      <c r="F201" s="66">
        <v>3113</v>
      </c>
      <c r="G201" s="65" t="s">
        <v>294</v>
      </c>
      <c r="H201" s="67" t="s">
        <v>271</v>
      </c>
      <c r="I201" s="423">
        <f t="shared" si="302"/>
        <v>29529260</v>
      </c>
      <c r="J201" s="418">
        <f t="shared" ref="J201" si="426">K201+L201</f>
        <v>21582690</v>
      </c>
      <c r="K201" s="418">
        <v>20023777</v>
      </c>
      <c r="L201" s="418">
        <v>1558913</v>
      </c>
      <c r="M201" s="418">
        <f>N201+O201</f>
        <v>0</v>
      </c>
      <c r="N201" s="418">
        <v>0</v>
      </c>
      <c r="O201" s="418">
        <v>0</v>
      </c>
      <c r="P201" s="668">
        <f t="shared" si="305"/>
        <v>7294949</v>
      </c>
      <c r="Q201" s="668">
        <f t="shared" si="306"/>
        <v>215827</v>
      </c>
      <c r="R201" s="418">
        <v>435794</v>
      </c>
      <c r="S201" s="419">
        <f>T201+U201</f>
        <v>32.4499</v>
      </c>
      <c r="T201" s="419">
        <v>27.7499</v>
      </c>
      <c r="U201" s="426">
        <v>4.7</v>
      </c>
      <c r="V201" s="428">
        <f t="shared" si="308"/>
        <v>-38400</v>
      </c>
      <c r="W201" s="421">
        <f t="shared" si="309"/>
        <v>-6400</v>
      </c>
      <c r="X201" s="421">
        <v>0</v>
      </c>
      <c r="Y201" s="421">
        <v>0</v>
      </c>
      <c r="Z201" s="421">
        <v>0</v>
      </c>
      <c r="AA201" s="421">
        <v>0</v>
      </c>
      <c r="AB201" s="421">
        <v>0</v>
      </c>
      <c r="AC201" s="421">
        <v>0</v>
      </c>
      <c r="AD201" s="421">
        <v>0</v>
      </c>
      <c r="AE201" s="421">
        <v>0</v>
      </c>
      <c r="AF201" s="421">
        <f t="shared" si="310"/>
        <v>-38400</v>
      </c>
      <c r="AG201" s="421">
        <f t="shared" si="311"/>
        <v>-6400</v>
      </c>
      <c r="AH201" s="421">
        <f t="shared" si="312"/>
        <v>-44800</v>
      </c>
      <c r="AI201" s="421">
        <v>38400</v>
      </c>
      <c r="AJ201" s="421">
        <v>6400</v>
      </c>
      <c r="AK201" s="421">
        <v>0</v>
      </c>
      <c r="AL201" s="421">
        <v>0</v>
      </c>
      <c r="AM201" s="421">
        <v>0</v>
      </c>
      <c r="AN201" s="421">
        <v>0</v>
      </c>
      <c r="AO201" s="421">
        <f t="shared" si="313"/>
        <v>38400</v>
      </c>
      <c r="AP201" s="421">
        <f t="shared" si="319"/>
        <v>6400</v>
      </c>
      <c r="AQ201" s="421">
        <f t="shared" si="314"/>
        <v>44800</v>
      </c>
      <c r="AR201" s="421">
        <f t="shared" ref="AR201:AS205" si="427">AF201+AO201</f>
        <v>0</v>
      </c>
      <c r="AS201" s="421">
        <f t="shared" si="427"/>
        <v>0</v>
      </c>
      <c r="AT201" s="421">
        <f t="shared" si="315"/>
        <v>0</v>
      </c>
      <c r="AU201" s="68">
        <f t="shared" ref="AU201:AU205" si="428">ROUND((AH201+AI201+AJ201+AK201+AL201)*33.8%,0)</f>
        <v>0</v>
      </c>
      <c r="AV201" s="68">
        <f>ROUND(AH201*1%,0)</f>
        <v>-448</v>
      </c>
      <c r="AW201" s="421">
        <v>0</v>
      </c>
      <c r="AX201" s="421">
        <v>0</v>
      </c>
      <c r="AY201" s="421">
        <f t="shared" si="316"/>
        <v>0</v>
      </c>
      <c r="AZ201" s="421">
        <f t="shared" si="317"/>
        <v>-448</v>
      </c>
      <c r="BA201" s="422">
        <v>-0.05</v>
      </c>
      <c r="BB201" s="422">
        <v>-0.02</v>
      </c>
      <c r="BC201" s="422">
        <v>0</v>
      </c>
      <c r="BD201" s="422">
        <v>0</v>
      </c>
      <c r="BE201" s="422">
        <v>0</v>
      </c>
      <c r="BF201" s="422">
        <v>0</v>
      </c>
      <c r="BG201" s="422">
        <v>0</v>
      </c>
      <c r="BH201" s="422">
        <v>0</v>
      </c>
      <c r="BI201" s="422">
        <v>0</v>
      </c>
      <c r="BJ201" s="422">
        <v>0</v>
      </c>
      <c r="BK201" s="422">
        <f>BA201+BC201+BD201+BF201+BH201+BI201</f>
        <v>-0.05</v>
      </c>
      <c r="BL201" s="422">
        <f>BB201+BE201+BG201+BJ201</f>
        <v>-0.02</v>
      </c>
      <c r="BM201" s="424">
        <f t="shared" si="318"/>
        <v>-7.0000000000000007E-2</v>
      </c>
      <c r="BN201" s="427">
        <f>I201+AZ201</f>
        <v>29528812</v>
      </c>
      <c r="BO201" s="421">
        <f>J201+AH201</f>
        <v>21537890</v>
      </c>
      <c r="BP201" s="421">
        <f t="shared" ref="BP201:BQ205" si="429">K201+AF201</f>
        <v>19985377</v>
      </c>
      <c r="BQ201" s="421">
        <f t="shared" si="429"/>
        <v>1552513</v>
      </c>
      <c r="BR201" s="421">
        <f>M201+AQ201</f>
        <v>44800</v>
      </c>
      <c r="BS201" s="421">
        <f t="shared" ref="BS201:BT205" si="430">N201+AO201</f>
        <v>38400</v>
      </c>
      <c r="BT201" s="421">
        <f t="shared" si="430"/>
        <v>6400</v>
      </c>
      <c r="BU201" s="421">
        <f t="shared" ref="BU201:BV205" si="431">P201+AU201</f>
        <v>7294949</v>
      </c>
      <c r="BV201" s="421">
        <f t="shared" si="431"/>
        <v>215379</v>
      </c>
      <c r="BW201" s="421">
        <f>R201+AY201</f>
        <v>435794</v>
      </c>
      <c r="BX201" s="422">
        <f>S201+BM201</f>
        <v>32.379899999999999</v>
      </c>
      <c r="BY201" s="422">
        <f t="shared" ref="BY201:BZ205" si="432">T201+BK201</f>
        <v>27.6999</v>
      </c>
      <c r="BZ201" s="611">
        <f t="shared" si="432"/>
        <v>4.6800000000000006</v>
      </c>
      <c r="CA201" s="423"/>
      <c r="CB201" s="418"/>
      <c r="CC201" s="418"/>
      <c r="CD201" s="418"/>
      <c r="CE201" s="418"/>
      <c r="CF201" s="527"/>
    </row>
    <row r="202" spans="1:84" ht="14.1" customHeight="1" x14ac:dyDescent="0.2">
      <c r="A202" s="66">
        <v>43</v>
      </c>
      <c r="B202" s="63">
        <v>2328</v>
      </c>
      <c r="C202" s="64">
        <v>691006041</v>
      </c>
      <c r="D202" s="63">
        <v>71294988</v>
      </c>
      <c r="E202" s="65" t="s">
        <v>622</v>
      </c>
      <c r="F202" s="66">
        <v>3113</v>
      </c>
      <c r="G202" s="77" t="s">
        <v>292</v>
      </c>
      <c r="H202" s="67" t="s">
        <v>272</v>
      </c>
      <c r="I202" s="423">
        <f t="shared" si="302"/>
        <v>0</v>
      </c>
      <c r="J202" s="418">
        <f t="shared" si="303"/>
        <v>0</v>
      </c>
      <c r="K202" s="418">
        <v>0</v>
      </c>
      <c r="L202" s="418">
        <v>0</v>
      </c>
      <c r="M202" s="418">
        <f t="shared" si="304"/>
        <v>0</v>
      </c>
      <c r="N202" s="418">
        <v>0</v>
      </c>
      <c r="O202" s="418">
        <v>0</v>
      </c>
      <c r="P202" s="668">
        <f t="shared" si="305"/>
        <v>0</v>
      </c>
      <c r="Q202" s="668">
        <f t="shared" si="306"/>
        <v>0</v>
      </c>
      <c r="R202" s="418">
        <v>0</v>
      </c>
      <c r="S202" s="419">
        <f t="shared" si="307"/>
        <v>0</v>
      </c>
      <c r="T202" s="420">
        <v>0</v>
      </c>
      <c r="U202" s="426">
        <v>0</v>
      </c>
      <c r="V202" s="428">
        <f t="shared" si="308"/>
        <v>0</v>
      </c>
      <c r="W202" s="421">
        <f t="shared" si="309"/>
        <v>0</v>
      </c>
      <c r="X202" s="16">
        <v>2367133</v>
      </c>
      <c r="Y202" s="16">
        <v>0</v>
      </c>
      <c r="Z202" s="16">
        <v>0</v>
      </c>
      <c r="AA202" s="16">
        <v>0</v>
      </c>
      <c r="AB202" s="421">
        <v>0</v>
      </c>
      <c r="AC202" s="16">
        <v>0</v>
      </c>
      <c r="AD202" s="16">
        <v>0</v>
      </c>
      <c r="AE202" s="16">
        <v>0</v>
      </c>
      <c r="AF202" s="421">
        <f t="shared" si="310"/>
        <v>2367133</v>
      </c>
      <c r="AG202" s="421">
        <f t="shared" si="311"/>
        <v>0</v>
      </c>
      <c r="AH202" s="421">
        <f t="shared" si="312"/>
        <v>2367133</v>
      </c>
      <c r="AI202" s="16">
        <v>0</v>
      </c>
      <c r="AJ202" s="16">
        <v>0</v>
      </c>
      <c r="AK202" s="421">
        <v>0</v>
      </c>
      <c r="AL202" s="16">
        <v>0</v>
      </c>
      <c r="AM202" s="16">
        <v>0</v>
      </c>
      <c r="AN202" s="16">
        <v>0</v>
      </c>
      <c r="AO202" s="421">
        <f t="shared" si="313"/>
        <v>0</v>
      </c>
      <c r="AP202" s="16">
        <v>0</v>
      </c>
      <c r="AQ202" s="421">
        <f t="shared" si="314"/>
        <v>0</v>
      </c>
      <c r="AR202" s="421">
        <f t="shared" si="427"/>
        <v>2367133</v>
      </c>
      <c r="AS202" s="421">
        <f t="shared" si="427"/>
        <v>0</v>
      </c>
      <c r="AT202" s="421">
        <f t="shared" si="315"/>
        <v>2367133</v>
      </c>
      <c r="AU202" s="68">
        <f t="shared" si="428"/>
        <v>800091</v>
      </c>
      <c r="AV202" s="68">
        <f>ROUND(AH202*1%,0)</f>
        <v>23671</v>
      </c>
      <c r="AW202" s="16">
        <v>4500</v>
      </c>
      <c r="AX202" s="16">
        <v>0</v>
      </c>
      <c r="AY202" s="421">
        <f t="shared" si="316"/>
        <v>4500</v>
      </c>
      <c r="AZ202" s="421">
        <f t="shared" si="317"/>
        <v>3195395</v>
      </c>
      <c r="BA202" s="13">
        <v>0</v>
      </c>
      <c r="BB202" s="13">
        <v>0</v>
      </c>
      <c r="BC202" s="13">
        <v>6.5</v>
      </c>
      <c r="BD202" s="422">
        <v>0</v>
      </c>
      <c r="BE202" s="422">
        <v>0</v>
      </c>
      <c r="BF202" s="422">
        <v>0</v>
      </c>
      <c r="BG202" s="422">
        <v>0</v>
      </c>
      <c r="BH202" s="422">
        <v>0</v>
      </c>
      <c r="BI202" s="422">
        <v>0</v>
      </c>
      <c r="BJ202" s="422">
        <v>0</v>
      </c>
      <c r="BK202" s="422">
        <f>BA202+BC202+BD202+BF202+BH202+BI202</f>
        <v>6.5</v>
      </c>
      <c r="BL202" s="422">
        <f>BB202+BE202+BG202+BJ202</f>
        <v>0</v>
      </c>
      <c r="BM202" s="424">
        <f t="shared" si="318"/>
        <v>6.5</v>
      </c>
      <c r="BN202" s="427">
        <f>I202+AZ202</f>
        <v>3195395</v>
      </c>
      <c r="BO202" s="421">
        <f>J202+AH202</f>
        <v>2367133</v>
      </c>
      <c r="BP202" s="421">
        <f t="shared" si="429"/>
        <v>2367133</v>
      </c>
      <c r="BQ202" s="421">
        <f t="shared" si="429"/>
        <v>0</v>
      </c>
      <c r="BR202" s="421">
        <f>M202+AQ202</f>
        <v>0</v>
      </c>
      <c r="BS202" s="421">
        <f t="shared" si="430"/>
        <v>0</v>
      </c>
      <c r="BT202" s="421">
        <f t="shared" si="430"/>
        <v>0</v>
      </c>
      <c r="BU202" s="421">
        <f t="shared" si="431"/>
        <v>800091</v>
      </c>
      <c r="BV202" s="421">
        <f t="shared" si="431"/>
        <v>23671</v>
      </c>
      <c r="BW202" s="421">
        <f>R202+AY202</f>
        <v>4500</v>
      </c>
      <c r="BX202" s="422">
        <f>S202+BM202</f>
        <v>6.5</v>
      </c>
      <c r="BY202" s="422">
        <f t="shared" si="432"/>
        <v>6.5</v>
      </c>
      <c r="BZ202" s="611">
        <f t="shared" si="432"/>
        <v>0</v>
      </c>
      <c r="CA202" s="423"/>
      <c r="CB202" s="418"/>
      <c r="CC202" s="418"/>
      <c r="CD202" s="418"/>
      <c r="CE202" s="418"/>
      <c r="CF202" s="527"/>
    </row>
    <row r="203" spans="1:84" ht="13.5" customHeight="1" x14ac:dyDescent="0.2">
      <c r="A203" s="66">
        <v>43</v>
      </c>
      <c r="B203" s="63">
        <v>2328</v>
      </c>
      <c r="C203" s="64">
        <v>691006041</v>
      </c>
      <c r="D203" s="63">
        <v>71294988</v>
      </c>
      <c r="E203" s="65" t="s">
        <v>622</v>
      </c>
      <c r="F203" s="66">
        <v>3141</v>
      </c>
      <c r="G203" s="65" t="s">
        <v>295</v>
      </c>
      <c r="H203" s="67" t="s">
        <v>272</v>
      </c>
      <c r="I203" s="423">
        <f t="shared" si="302"/>
        <v>1779209</v>
      </c>
      <c r="J203" s="418">
        <f t="shared" si="303"/>
        <v>1309476</v>
      </c>
      <c r="K203" s="418">
        <v>0</v>
      </c>
      <c r="L203" s="924">
        <v>1309476</v>
      </c>
      <c r="M203" s="418">
        <f>N203+O203</f>
        <v>0</v>
      </c>
      <c r="N203" s="205">
        <v>0</v>
      </c>
      <c r="O203" s="205">
        <v>0</v>
      </c>
      <c r="P203" s="668">
        <f t="shared" si="305"/>
        <v>442603</v>
      </c>
      <c r="Q203" s="668">
        <f t="shared" si="306"/>
        <v>13095</v>
      </c>
      <c r="R203" s="674">
        <v>14035</v>
      </c>
      <c r="S203" s="419">
        <f>T203+U203</f>
        <v>3.9266999999999999</v>
      </c>
      <c r="T203" s="676">
        <v>0</v>
      </c>
      <c r="U203" s="909">
        <v>3.9266999999999999</v>
      </c>
      <c r="V203" s="428">
        <f t="shared" si="308"/>
        <v>0</v>
      </c>
      <c r="W203" s="421">
        <f t="shared" si="309"/>
        <v>0</v>
      </c>
      <c r="X203" s="421">
        <v>0</v>
      </c>
      <c r="Y203" s="421">
        <v>0</v>
      </c>
      <c r="Z203" s="421">
        <v>0</v>
      </c>
      <c r="AA203" s="421">
        <v>0</v>
      </c>
      <c r="AB203" s="421">
        <v>0</v>
      </c>
      <c r="AC203" s="421">
        <v>0</v>
      </c>
      <c r="AD203" s="421">
        <v>0</v>
      </c>
      <c r="AE203" s="421">
        <v>0</v>
      </c>
      <c r="AF203" s="421">
        <f t="shared" si="310"/>
        <v>0</v>
      </c>
      <c r="AG203" s="421">
        <f t="shared" si="311"/>
        <v>0</v>
      </c>
      <c r="AH203" s="421">
        <f t="shared" si="312"/>
        <v>0</v>
      </c>
      <c r="AI203" s="421">
        <v>0</v>
      </c>
      <c r="AJ203" s="421">
        <v>0</v>
      </c>
      <c r="AK203" s="421">
        <v>0</v>
      </c>
      <c r="AL203" s="421">
        <v>0</v>
      </c>
      <c r="AM203" s="421">
        <v>0</v>
      </c>
      <c r="AN203" s="421">
        <v>0</v>
      </c>
      <c r="AO203" s="421">
        <f t="shared" si="313"/>
        <v>0</v>
      </c>
      <c r="AP203" s="421">
        <f t="shared" si="319"/>
        <v>0</v>
      </c>
      <c r="AQ203" s="421">
        <f t="shared" si="314"/>
        <v>0</v>
      </c>
      <c r="AR203" s="421">
        <f t="shared" si="427"/>
        <v>0</v>
      </c>
      <c r="AS203" s="421">
        <f t="shared" si="427"/>
        <v>0</v>
      </c>
      <c r="AT203" s="421">
        <f t="shared" si="315"/>
        <v>0</v>
      </c>
      <c r="AU203" s="68">
        <f t="shared" si="428"/>
        <v>0</v>
      </c>
      <c r="AV203" s="68">
        <f>ROUND(AH203*1%,0)</f>
        <v>0</v>
      </c>
      <c r="AW203" s="421">
        <v>0</v>
      </c>
      <c r="AX203" s="421">
        <v>0</v>
      </c>
      <c r="AY203" s="421">
        <f t="shared" si="316"/>
        <v>0</v>
      </c>
      <c r="AZ203" s="421">
        <f t="shared" si="317"/>
        <v>0</v>
      </c>
      <c r="BA203" s="422">
        <v>0</v>
      </c>
      <c r="BB203" s="422">
        <v>0</v>
      </c>
      <c r="BC203" s="422">
        <v>0</v>
      </c>
      <c r="BD203" s="422">
        <v>0</v>
      </c>
      <c r="BE203" s="422">
        <v>0</v>
      </c>
      <c r="BF203" s="422">
        <v>0</v>
      </c>
      <c r="BG203" s="422">
        <v>0</v>
      </c>
      <c r="BH203" s="422">
        <v>0</v>
      </c>
      <c r="BI203" s="422">
        <v>0</v>
      </c>
      <c r="BJ203" s="422">
        <v>0</v>
      </c>
      <c r="BK203" s="422">
        <f>BA203+BC203+BD203+BF203+BH203+BI203</f>
        <v>0</v>
      </c>
      <c r="BL203" s="422">
        <f>BB203+BE203+BG203+BJ203</f>
        <v>0</v>
      </c>
      <c r="BM203" s="424">
        <f t="shared" si="318"/>
        <v>0</v>
      </c>
      <c r="BN203" s="427">
        <f>I203+AZ203</f>
        <v>1779209</v>
      </c>
      <c r="BO203" s="421">
        <f>J203+AH203</f>
        <v>1309476</v>
      </c>
      <c r="BP203" s="421">
        <f t="shared" si="429"/>
        <v>0</v>
      </c>
      <c r="BQ203" s="421">
        <f t="shared" si="429"/>
        <v>1309476</v>
      </c>
      <c r="BR203" s="421">
        <f>M203+AQ203</f>
        <v>0</v>
      </c>
      <c r="BS203" s="421">
        <f t="shared" si="430"/>
        <v>0</v>
      </c>
      <c r="BT203" s="421">
        <f t="shared" si="430"/>
        <v>0</v>
      </c>
      <c r="BU203" s="421">
        <f t="shared" si="431"/>
        <v>442603</v>
      </c>
      <c r="BV203" s="421">
        <f t="shared" si="431"/>
        <v>13095</v>
      </c>
      <c r="BW203" s="421">
        <f>R203+AY203</f>
        <v>14035</v>
      </c>
      <c r="BX203" s="422">
        <f>S203+BM203</f>
        <v>3.9266999999999999</v>
      </c>
      <c r="BY203" s="422">
        <f t="shared" si="432"/>
        <v>0</v>
      </c>
      <c r="BZ203" s="611">
        <f t="shared" si="432"/>
        <v>3.9266999999999999</v>
      </c>
      <c r="CA203" s="423"/>
      <c r="CB203" s="418"/>
      <c r="CC203" s="418"/>
      <c r="CD203" s="418"/>
      <c r="CE203" s="418"/>
      <c r="CF203" s="527"/>
    </row>
    <row r="204" spans="1:84" ht="14.1" customHeight="1" x14ac:dyDescent="0.2">
      <c r="A204" s="66">
        <v>43</v>
      </c>
      <c r="B204" s="63">
        <v>2328</v>
      </c>
      <c r="C204" s="64">
        <v>691006041</v>
      </c>
      <c r="D204" s="63">
        <v>71294988</v>
      </c>
      <c r="E204" s="65" t="s">
        <v>622</v>
      </c>
      <c r="F204" s="66">
        <v>3143</v>
      </c>
      <c r="G204" s="77" t="s">
        <v>596</v>
      </c>
      <c r="H204" s="67" t="s">
        <v>271</v>
      </c>
      <c r="I204" s="423">
        <f t="shared" si="302"/>
        <v>3884801</v>
      </c>
      <c r="J204" s="418">
        <f t="shared" si="303"/>
        <v>2881900</v>
      </c>
      <c r="K204" s="418">
        <v>2881900</v>
      </c>
      <c r="L204" s="418">
        <v>0</v>
      </c>
      <c r="M204" s="418">
        <f t="shared" si="304"/>
        <v>0</v>
      </c>
      <c r="N204" s="418">
        <v>0</v>
      </c>
      <c r="O204" s="418">
        <v>0</v>
      </c>
      <c r="P204" s="668">
        <f t="shared" si="305"/>
        <v>974082</v>
      </c>
      <c r="Q204" s="668">
        <f t="shared" si="306"/>
        <v>28819</v>
      </c>
      <c r="R204" s="418">
        <v>0</v>
      </c>
      <c r="S204" s="419">
        <f t="shared" si="307"/>
        <v>5.7</v>
      </c>
      <c r="T204" s="419">
        <v>5.7</v>
      </c>
      <c r="U204" s="426">
        <v>0</v>
      </c>
      <c r="V204" s="428">
        <f t="shared" si="308"/>
        <v>0</v>
      </c>
      <c r="W204" s="421">
        <f t="shared" si="309"/>
        <v>0</v>
      </c>
      <c r="X204" s="421">
        <v>0</v>
      </c>
      <c r="Y204" s="421">
        <v>-417117</v>
      </c>
      <c r="Z204" s="421">
        <v>0</v>
      </c>
      <c r="AA204" s="421">
        <v>0</v>
      </c>
      <c r="AB204" s="421">
        <v>0</v>
      </c>
      <c r="AC204" s="421">
        <v>0</v>
      </c>
      <c r="AD204" s="421">
        <v>0</v>
      </c>
      <c r="AE204" s="421">
        <v>0</v>
      </c>
      <c r="AF204" s="421">
        <f t="shared" si="310"/>
        <v>-417117</v>
      </c>
      <c r="AG204" s="421">
        <f t="shared" si="311"/>
        <v>0</v>
      </c>
      <c r="AH204" s="421">
        <f t="shared" si="312"/>
        <v>-417117</v>
      </c>
      <c r="AI204" s="421">
        <v>0</v>
      </c>
      <c r="AJ204" s="421">
        <v>0</v>
      </c>
      <c r="AK204" s="421">
        <v>0</v>
      </c>
      <c r="AL204" s="421">
        <v>0</v>
      </c>
      <c r="AM204" s="421">
        <v>72209</v>
      </c>
      <c r="AN204" s="421">
        <v>0</v>
      </c>
      <c r="AO204" s="421">
        <f t="shared" si="313"/>
        <v>72209</v>
      </c>
      <c r="AP204" s="421">
        <f t="shared" si="319"/>
        <v>0</v>
      </c>
      <c r="AQ204" s="421">
        <f t="shared" si="314"/>
        <v>72209</v>
      </c>
      <c r="AR204" s="421">
        <f t="shared" si="427"/>
        <v>-344908</v>
      </c>
      <c r="AS204" s="421">
        <f t="shared" si="427"/>
        <v>0</v>
      </c>
      <c r="AT204" s="421">
        <f t="shared" si="315"/>
        <v>-344908</v>
      </c>
      <c r="AU204" s="68">
        <f t="shared" si="428"/>
        <v>-140986</v>
      </c>
      <c r="AV204" s="68">
        <f>ROUND(AH204*1%,0)</f>
        <v>-4171</v>
      </c>
      <c r="AW204" s="421">
        <v>0</v>
      </c>
      <c r="AX204" s="421">
        <v>0</v>
      </c>
      <c r="AY204" s="421">
        <f t="shared" si="316"/>
        <v>0</v>
      </c>
      <c r="AZ204" s="421">
        <f t="shared" si="317"/>
        <v>-490065</v>
      </c>
      <c r="BA204" s="422">
        <v>0</v>
      </c>
      <c r="BB204" s="422">
        <v>0</v>
      </c>
      <c r="BC204" s="422">
        <v>0</v>
      </c>
      <c r="BD204" s="422">
        <v>0</v>
      </c>
      <c r="BE204" s="422">
        <v>0</v>
      </c>
      <c r="BF204" s="422">
        <v>-0.9</v>
      </c>
      <c r="BG204" s="422">
        <v>0</v>
      </c>
      <c r="BH204" s="422">
        <v>0</v>
      </c>
      <c r="BI204" s="422">
        <v>0</v>
      </c>
      <c r="BJ204" s="422">
        <v>0</v>
      </c>
      <c r="BK204" s="422">
        <f>BA204+BC204+BD204+BF204+BH204+BI204</f>
        <v>-0.9</v>
      </c>
      <c r="BL204" s="422">
        <f>BB204+BE204+BG204+BJ204</f>
        <v>0</v>
      </c>
      <c r="BM204" s="424">
        <f t="shared" si="318"/>
        <v>-0.9</v>
      </c>
      <c r="BN204" s="427">
        <f>I204+AZ204</f>
        <v>3394736</v>
      </c>
      <c r="BO204" s="421">
        <f>J204+AH204</f>
        <v>2464783</v>
      </c>
      <c r="BP204" s="421">
        <f t="shared" si="429"/>
        <v>2464783</v>
      </c>
      <c r="BQ204" s="421">
        <f t="shared" si="429"/>
        <v>0</v>
      </c>
      <c r="BR204" s="421">
        <f>M204+AQ204</f>
        <v>72209</v>
      </c>
      <c r="BS204" s="421">
        <f t="shared" si="430"/>
        <v>72209</v>
      </c>
      <c r="BT204" s="421">
        <f t="shared" si="430"/>
        <v>0</v>
      </c>
      <c r="BU204" s="421">
        <f t="shared" si="431"/>
        <v>833096</v>
      </c>
      <c r="BV204" s="421">
        <f t="shared" si="431"/>
        <v>24648</v>
      </c>
      <c r="BW204" s="421">
        <f>R204+AY204</f>
        <v>0</v>
      </c>
      <c r="BX204" s="422">
        <f>S204+BM204</f>
        <v>4.8</v>
      </c>
      <c r="BY204" s="422">
        <f t="shared" si="432"/>
        <v>4.8</v>
      </c>
      <c r="BZ204" s="611">
        <f t="shared" si="432"/>
        <v>0</v>
      </c>
      <c r="CA204" s="423"/>
      <c r="CB204" s="418"/>
      <c r="CC204" s="418"/>
      <c r="CD204" s="418"/>
      <c r="CE204" s="418"/>
      <c r="CF204" s="527"/>
    </row>
    <row r="205" spans="1:84" ht="14.1" customHeight="1" x14ac:dyDescent="0.2">
      <c r="A205" s="66">
        <v>43</v>
      </c>
      <c r="B205" s="63">
        <v>2328</v>
      </c>
      <c r="C205" s="64">
        <v>691006041</v>
      </c>
      <c r="D205" s="63">
        <v>71294988</v>
      </c>
      <c r="E205" s="65" t="s">
        <v>622</v>
      </c>
      <c r="F205" s="66">
        <v>3143</v>
      </c>
      <c r="G205" s="77" t="s">
        <v>597</v>
      </c>
      <c r="H205" s="67" t="s">
        <v>272</v>
      </c>
      <c r="I205" s="423">
        <f t="shared" ref="I205:I268" si="433">J205+M205+P205+Q205+R205</f>
        <v>74283</v>
      </c>
      <c r="J205" s="418">
        <f t="shared" ref="J205:J268" si="434">K205+L205</f>
        <v>53170</v>
      </c>
      <c r="K205" s="418">
        <v>0</v>
      </c>
      <c r="L205" s="674">
        <v>53170</v>
      </c>
      <c r="M205" s="418">
        <f t="shared" ref="M205" si="435">N205+O205</f>
        <v>0</v>
      </c>
      <c r="N205" s="418">
        <v>0</v>
      </c>
      <c r="O205" s="418">
        <v>0</v>
      </c>
      <c r="P205" s="668">
        <f t="shared" ref="P205" si="436">ROUND(J205*33.8%,0)</f>
        <v>17971</v>
      </c>
      <c r="Q205" s="668">
        <f t="shared" ref="Q205" si="437">ROUND(J205*1%,0)</f>
        <v>532</v>
      </c>
      <c r="R205" s="675">
        <v>2610</v>
      </c>
      <c r="S205" s="419">
        <f t="shared" ref="S205" si="438">T205+U205</f>
        <v>0.2014</v>
      </c>
      <c r="T205" s="679">
        <v>0</v>
      </c>
      <c r="U205" s="909">
        <v>0.2014</v>
      </c>
      <c r="V205" s="428">
        <f t="shared" ref="V205:V268" si="439">AI205*-1</f>
        <v>0</v>
      </c>
      <c r="W205" s="421">
        <f t="shared" ref="W205:W268" si="440">AJ205*-1</f>
        <v>0</v>
      </c>
      <c r="X205" s="421">
        <v>0</v>
      </c>
      <c r="Y205" s="421">
        <v>0</v>
      </c>
      <c r="Z205" s="421">
        <v>0</v>
      </c>
      <c r="AA205" s="421">
        <v>0</v>
      </c>
      <c r="AB205" s="421">
        <v>0</v>
      </c>
      <c r="AC205" s="421">
        <v>0</v>
      </c>
      <c r="AD205" s="421">
        <v>0</v>
      </c>
      <c r="AE205" s="421">
        <v>0</v>
      </c>
      <c r="AF205" s="421">
        <f t="shared" ref="AF205:AF268" si="441">V205+X205+Y205+AA205+AB205+AD205</f>
        <v>0</v>
      </c>
      <c r="AG205" s="421">
        <f t="shared" ref="AG205:AG268" si="442">W205+Z205+AC205+AE205</f>
        <v>0</v>
      </c>
      <c r="AH205" s="421">
        <f t="shared" ref="AH205:AH268" si="443">SUM(AF205:AG205)</f>
        <v>0</v>
      </c>
      <c r="AI205" s="421">
        <v>0</v>
      </c>
      <c r="AJ205" s="421">
        <v>0</v>
      </c>
      <c r="AK205" s="421">
        <v>0</v>
      </c>
      <c r="AL205" s="421">
        <v>0</v>
      </c>
      <c r="AM205" s="421">
        <v>0</v>
      </c>
      <c r="AN205" s="421">
        <v>0</v>
      </c>
      <c r="AO205" s="421">
        <f t="shared" ref="AO205:AO268" si="444">AI205+AL205+AK205+AM205</f>
        <v>0</v>
      </c>
      <c r="AP205" s="421">
        <f t="shared" ref="AP205:AP267" si="445">AJ205+AN205</f>
        <v>0</v>
      </c>
      <c r="AQ205" s="421">
        <f t="shared" ref="AQ205:AQ268" si="446">SUM(AO205:AP205)</f>
        <v>0</v>
      </c>
      <c r="AR205" s="421">
        <f t="shared" si="427"/>
        <v>0</v>
      </c>
      <c r="AS205" s="421">
        <f t="shared" si="427"/>
        <v>0</v>
      </c>
      <c r="AT205" s="421">
        <f t="shared" ref="AT205:AT268" si="447">SUM(AR205:AS205)</f>
        <v>0</v>
      </c>
      <c r="AU205" s="68">
        <f t="shared" si="428"/>
        <v>0</v>
      </c>
      <c r="AV205" s="68">
        <f>ROUND(AH205*1%,0)</f>
        <v>0</v>
      </c>
      <c r="AW205" s="421">
        <v>0</v>
      </c>
      <c r="AX205" s="421">
        <v>0</v>
      </c>
      <c r="AY205" s="421">
        <f t="shared" ref="AY205:AY268" si="448">AW205+AX205</f>
        <v>0</v>
      </c>
      <c r="AZ205" s="421">
        <f t="shared" ref="AZ205:AZ268" si="449">AT205+AU205+AV205+AY205</f>
        <v>0</v>
      </c>
      <c r="BA205" s="422">
        <v>0</v>
      </c>
      <c r="BB205" s="422">
        <v>0</v>
      </c>
      <c r="BC205" s="422">
        <v>0</v>
      </c>
      <c r="BD205" s="422">
        <v>0</v>
      </c>
      <c r="BE205" s="422">
        <v>0</v>
      </c>
      <c r="BF205" s="422">
        <v>0</v>
      </c>
      <c r="BG205" s="422">
        <v>0</v>
      </c>
      <c r="BH205" s="422">
        <v>0</v>
      </c>
      <c r="BI205" s="422">
        <v>0</v>
      </c>
      <c r="BJ205" s="422">
        <v>0</v>
      </c>
      <c r="BK205" s="422">
        <f>BA205+BC205+BD205+BF205+BH205+BI205</f>
        <v>0</v>
      </c>
      <c r="BL205" s="422">
        <f>BB205+BE205+BG205+BJ205</f>
        <v>0</v>
      </c>
      <c r="BM205" s="424">
        <f t="shared" ref="BM205:BM268" si="450">SUM(BK205:BL205)</f>
        <v>0</v>
      </c>
      <c r="BN205" s="427">
        <f>I205+AZ205</f>
        <v>74283</v>
      </c>
      <c r="BO205" s="421">
        <f>J205+AH205</f>
        <v>53170</v>
      </c>
      <c r="BP205" s="421">
        <f t="shared" si="429"/>
        <v>0</v>
      </c>
      <c r="BQ205" s="421">
        <f t="shared" si="429"/>
        <v>53170</v>
      </c>
      <c r="BR205" s="421">
        <f>M205+AQ205</f>
        <v>0</v>
      </c>
      <c r="BS205" s="421">
        <f t="shared" si="430"/>
        <v>0</v>
      </c>
      <c r="BT205" s="421">
        <f t="shared" si="430"/>
        <v>0</v>
      </c>
      <c r="BU205" s="421">
        <f t="shared" si="431"/>
        <v>17971</v>
      </c>
      <c r="BV205" s="421">
        <f t="shared" si="431"/>
        <v>532</v>
      </c>
      <c r="BW205" s="421">
        <f>R205+AY205</f>
        <v>2610</v>
      </c>
      <c r="BX205" s="422">
        <f>S205+BM205</f>
        <v>0.2014</v>
      </c>
      <c r="BY205" s="422">
        <f t="shared" si="432"/>
        <v>0</v>
      </c>
      <c r="BZ205" s="611">
        <f t="shared" si="432"/>
        <v>0.2014</v>
      </c>
      <c r="CA205" s="423"/>
      <c r="CB205" s="418"/>
      <c r="CC205" s="418"/>
      <c r="CD205" s="418"/>
      <c r="CE205" s="418"/>
      <c r="CF205" s="527"/>
    </row>
    <row r="206" spans="1:84" ht="14.1" customHeight="1" x14ac:dyDescent="0.2">
      <c r="A206" s="72">
        <v>43</v>
      </c>
      <c r="B206" s="69">
        <v>2328</v>
      </c>
      <c r="C206" s="70">
        <v>691006041</v>
      </c>
      <c r="D206" s="69">
        <v>71294988</v>
      </c>
      <c r="E206" s="71" t="s">
        <v>623</v>
      </c>
      <c r="F206" s="72"/>
      <c r="G206" s="71"/>
      <c r="H206" s="73"/>
      <c r="I206" s="538">
        <f t="shared" ref="I206:BU206" si="451">SUM(I201:I205)</f>
        <v>35267553</v>
      </c>
      <c r="J206" s="74">
        <f t="shared" si="451"/>
        <v>25827236</v>
      </c>
      <c r="K206" s="74">
        <f>SUM(K201:K205)</f>
        <v>22905677</v>
      </c>
      <c r="L206" s="74">
        <f>SUM(L201:L205)</f>
        <v>2921559</v>
      </c>
      <c r="M206" s="74">
        <f>SUM(M201:M205)</f>
        <v>0</v>
      </c>
      <c r="N206" s="74">
        <f>SUM(N201:N205)</f>
        <v>0</v>
      </c>
      <c r="O206" s="74">
        <f>SUM(O201:O205)</f>
        <v>0</v>
      </c>
      <c r="P206" s="74">
        <f t="shared" ref="P206:Q206" si="452">SUM(P201:P205)</f>
        <v>8729605</v>
      </c>
      <c r="Q206" s="74">
        <f t="shared" si="452"/>
        <v>258273</v>
      </c>
      <c r="R206" s="74">
        <f>SUM(R201:R205)</f>
        <v>452439</v>
      </c>
      <c r="S206" s="75">
        <f>SUM(S201:S205)</f>
        <v>42.277999999999999</v>
      </c>
      <c r="T206" s="75">
        <f>SUM(T201:T205)</f>
        <v>33.4499</v>
      </c>
      <c r="U206" s="753">
        <f>SUM(U201:U205)</f>
        <v>8.8280999999999992</v>
      </c>
      <c r="V206" s="538">
        <f t="shared" si="451"/>
        <v>-38400</v>
      </c>
      <c r="W206" s="74">
        <f t="shared" si="451"/>
        <v>-6400</v>
      </c>
      <c r="X206" s="74">
        <f t="shared" si="451"/>
        <v>2367133</v>
      </c>
      <c r="Y206" s="74">
        <f t="shared" si="451"/>
        <v>-417117</v>
      </c>
      <c r="Z206" s="74">
        <f t="shared" si="451"/>
        <v>0</v>
      </c>
      <c r="AA206" s="74">
        <f t="shared" si="451"/>
        <v>0</v>
      </c>
      <c r="AB206" s="74">
        <f t="shared" si="451"/>
        <v>0</v>
      </c>
      <c r="AC206" s="74">
        <f t="shared" si="451"/>
        <v>0</v>
      </c>
      <c r="AD206" s="74">
        <f t="shared" si="451"/>
        <v>0</v>
      </c>
      <c r="AE206" s="74">
        <f t="shared" si="451"/>
        <v>0</v>
      </c>
      <c r="AF206" s="74">
        <f t="shared" si="451"/>
        <v>1911616</v>
      </c>
      <c r="AG206" s="74">
        <f t="shared" si="451"/>
        <v>-6400</v>
      </c>
      <c r="AH206" s="74">
        <f t="shared" si="451"/>
        <v>1905216</v>
      </c>
      <c r="AI206" s="74">
        <f t="shared" si="451"/>
        <v>38400</v>
      </c>
      <c r="AJ206" s="74">
        <f t="shared" si="451"/>
        <v>6400</v>
      </c>
      <c r="AK206" s="74">
        <f t="shared" si="451"/>
        <v>0</v>
      </c>
      <c r="AL206" s="74">
        <f t="shared" si="451"/>
        <v>0</v>
      </c>
      <c r="AM206" s="74">
        <f t="shared" si="451"/>
        <v>72209</v>
      </c>
      <c r="AN206" s="74">
        <f t="shared" si="451"/>
        <v>0</v>
      </c>
      <c r="AO206" s="74">
        <f t="shared" si="451"/>
        <v>110609</v>
      </c>
      <c r="AP206" s="74">
        <f t="shared" si="451"/>
        <v>6400</v>
      </c>
      <c r="AQ206" s="74">
        <f t="shared" si="451"/>
        <v>117009</v>
      </c>
      <c r="AR206" s="74">
        <f t="shared" si="451"/>
        <v>2022225</v>
      </c>
      <c r="AS206" s="74">
        <f t="shared" si="451"/>
        <v>0</v>
      </c>
      <c r="AT206" s="74">
        <f t="shared" si="451"/>
        <v>2022225</v>
      </c>
      <c r="AU206" s="74">
        <f t="shared" si="451"/>
        <v>659105</v>
      </c>
      <c r="AV206" s="74">
        <f t="shared" si="451"/>
        <v>19052</v>
      </c>
      <c r="AW206" s="74">
        <f t="shared" si="451"/>
        <v>4500</v>
      </c>
      <c r="AX206" s="74">
        <f t="shared" si="451"/>
        <v>0</v>
      </c>
      <c r="AY206" s="74">
        <f t="shared" si="451"/>
        <v>4500</v>
      </c>
      <c r="AZ206" s="74">
        <f t="shared" si="451"/>
        <v>2704882</v>
      </c>
      <c r="BA206" s="75">
        <f t="shared" si="451"/>
        <v>-0.05</v>
      </c>
      <c r="BB206" s="75">
        <f t="shared" si="451"/>
        <v>-0.02</v>
      </c>
      <c r="BC206" s="75">
        <f t="shared" si="451"/>
        <v>6.5</v>
      </c>
      <c r="BD206" s="75">
        <f t="shared" si="451"/>
        <v>0</v>
      </c>
      <c r="BE206" s="75">
        <f t="shared" si="451"/>
        <v>0</v>
      </c>
      <c r="BF206" s="75">
        <f t="shared" si="451"/>
        <v>-0.9</v>
      </c>
      <c r="BG206" s="75">
        <f t="shared" si="451"/>
        <v>0</v>
      </c>
      <c r="BH206" s="75">
        <f t="shared" si="451"/>
        <v>0</v>
      </c>
      <c r="BI206" s="75">
        <f t="shared" si="451"/>
        <v>0</v>
      </c>
      <c r="BJ206" s="75">
        <f t="shared" si="451"/>
        <v>0</v>
      </c>
      <c r="BK206" s="75">
        <f t="shared" si="451"/>
        <v>5.55</v>
      </c>
      <c r="BL206" s="75">
        <f t="shared" si="451"/>
        <v>-0.02</v>
      </c>
      <c r="BM206" s="76">
        <f t="shared" si="451"/>
        <v>5.5299999999999994</v>
      </c>
      <c r="BN206" s="549">
        <f t="shared" si="451"/>
        <v>37972435</v>
      </c>
      <c r="BO206" s="74">
        <f t="shared" si="451"/>
        <v>27732452</v>
      </c>
      <c r="BP206" s="74">
        <f t="shared" si="451"/>
        <v>24817293</v>
      </c>
      <c r="BQ206" s="74">
        <f t="shared" si="451"/>
        <v>2915159</v>
      </c>
      <c r="BR206" s="74">
        <f t="shared" si="451"/>
        <v>117009</v>
      </c>
      <c r="BS206" s="74">
        <f t="shared" si="451"/>
        <v>110609</v>
      </c>
      <c r="BT206" s="74">
        <f t="shared" si="451"/>
        <v>6400</v>
      </c>
      <c r="BU206" s="74">
        <f t="shared" si="451"/>
        <v>9388710</v>
      </c>
      <c r="BV206" s="74">
        <f t="shared" ref="BV206:CF206" si="453">SUM(BV201:BV205)</f>
        <v>277325</v>
      </c>
      <c r="BW206" s="74">
        <f t="shared" si="453"/>
        <v>456939</v>
      </c>
      <c r="BX206" s="75">
        <f t="shared" si="453"/>
        <v>47.807999999999993</v>
      </c>
      <c r="BY206" s="75">
        <f t="shared" si="453"/>
        <v>38.999899999999997</v>
      </c>
      <c r="BZ206" s="753">
        <f t="shared" si="453"/>
        <v>8.8080999999999996</v>
      </c>
      <c r="CA206" s="796">
        <f t="shared" si="453"/>
        <v>0</v>
      </c>
      <c r="CB206" s="789">
        <f t="shared" si="453"/>
        <v>0</v>
      </c>
      <c r="CC206" s="789">
        <f t="shared" si="453"/>
        <v>0</v>
      </c>
      <c r="CD206" s="789">
        <f t="shared" si="453"/>
        <v>0</v>
      </c>
      <c r="CE206" s="789">
        <f t="shared" si="453"/>
        <v>0</v>
      </c>
      <c r="CF206" s="793">
        <f t="shared" si="453"/>
        <v>0</v>
      </c>
    </row>
    <row r="207" spans="1:84" ht="14.1" customHeight="1" x14ac:dyDescent="0.2">
      <c r="A207" s="66">
        <v>44</v>
      </c>
      <c r="B207" s="63">
        <v>2486</v>
      </c>
      <c r="C207" s="64">
        <v>600079970</v>
      </c>
      <c r="D207" s="63">
        <v>46744908</v>
      </c>
      <c r="E207" s="65" t="s">
        <v>624</v>
      </c>
      <c r="F207" s="66">
        <v>3113</v>
      </c>
      <c r="G207" s="65" t="s">
        <v>294</v>
      </c>
      <c r="H207" s="67" t="s">
        <v>271</v>
      </c>
      <c r="I207" s="423">
        <f t="shared" si="433"/>
        <v>19546191</v>
      </c>
      <c r="J207" s="418">
        <f t="shared" ref="J207" si="454">K207+L207</f>
        <v>14292044</v>
      </c>
      <c r="K207" s="418">
        <v>13216860</v>
      </c>
      <c r="L207" s="418">
        <v>1075184</v>
      </c>
      <c r="M207" s="418">
        <f>N207+O207</f>
        <v>0</v>
      </c>
      <c r="N207" s="418">
        <v>0</v>
      </c>
      <c r="O207" s="418">
        <v>0</v>
      </c>
      <c r="P207" s="668">
        <f>ROUND(J207*33.8%,0)-1</f>
        <v>4830710</v>
      </c>
      <c r="Q207" s="668">
        <f>ROUND(J207*1%,0)+1</f>
        <v>142921</v>
      </c>
      <c r="R207" s="418">
        <v>280516</v>
      </c>
      <c r="S207" s="419">
        <f>T207+U207</f>
        <v>21.7423</v>
      </c>
      <c r="T207" s="419">
        <v>18.635999999999999</v>
      </c>
      <c r="U207" s="426">
        <v>3.1063000000000001</v>
      </c>
      <c r="V207" s="428">
        <f t="shared" si="439"/>
        <v>-137600</v>
      </c>
      <c r="W207" s="421">
        <f t="shared" si="440"/>
        <v>-9600</v>
      </c>
      <c r="X207" s="421">
        <v>0</v>
      </c>
      <c r="Y207" s="421">
        <v>0</v>
      </c>
      <c r="Z207" s="421">
        <v>0</v>
      </c>
      <c r="AA207" s="421">
        <v>51636</v>
      </c>
      <c r="AB207" s="421">
        <v>0</v>
      </c>
      <c r="AC207" s="421">
        <v>0</v>
      </c>
      <c r="AD207" s="421">
        <v>0</v>
      </c>
      <c r="AE207" s="421">
        <v>0</v>
      </c>
      <c r="AF207" s="421">
        <f t="shared" si="441"/>
        <v>-85964</v>
      </c>
      <c r="AG207" s="421">
        <f t="shared" si="442"/>
        <v>-9600</v>
      </c>
      <c r="AH207" s="421">
        <f t="shared" si="443"/>
        <v>-95564</v>
      </c>
      <c r="AI207" s="421">
        <v>137600</v>
      </c>
      <c r="AJ207" s="421">
        <v>9600</v>
      </c>
      <c r="AK207" s="421">
        <v>0</v>
      </c>
      <c r="AL207" s="421">
        <v>0</v>
      </c>
      <c r="AM207" s="421">
        <v>0</v>
      </c>
      <c r="AN207" s="421">
        <v>0</v>
      </c>
      <c r="AO207" s="421">
        <f t="shared" si="444"/>
        <v>137600</v>
      </c>
      <c r="AP207" s="421">
        <f t="shared" si="445"/>
        <v>9600</v>
      </c>
      <c r="AQ207" s="421">
        <f t="shared" si="446"/>
        <v>147200</v>
      </c>
      <c r="AR207" s="421">
        <f t="shared" ref="AR207:AS212" si="455">AF207+AO207</f>
        <v>51636</v>
      </c>
      <c r="AS207" s="421">
        <f t="shared" si="455"/>
        <v>0</v>
      </c>
      <c r="AT207" s="421">
        <f t="shared" si="447"/>
        <v>51636</v>
      </c>
      <c r="AU207" s="68">
        <f t="shared" ref="AU207:AU212" si="456">ROUND((AH207+AI207+AJ207+AK207+AL207)*33.8%,0)</f>
        <v>17453</v>
      </c>
      <c r="AV207" s="68">
        <f t="shared" ref="AV207:AV212" si="457">ROUND(AH207*1%,0)</f>
        <v>-956</v>
      </c>
      <c r="AW207" s="421">
        <v>0</v>
      </c>
      <c r="AX207" s="421">
        <v>0</v>
      </c>
      <c r="AY207" s="421">
        <f t="shared" si="448"/>
        <v>0</v>
      </c>
      <c r="AZ207" s="421">
        <f t="shared" si="449"/>
        <v>68133</v>
      </c>
      <c r="BA207" s="422">
        <v>-0.18</v>
      </c>
      <c r="BB207" s="422">
        <v>-0.01</v>
      </c>
      <c r="BC207" s="422">
        <v>0</v>
      </c>
      <c r="BD207" s="422">
        <v>0</v>
      </c>
      <c r="BE207" s="422">
        <v>0</v>
      </c>
      <c r="BF207" s="422">
        <v>0</v>
      </c>
      <c r="BG207" s="422">
        <v>0</v>
      </c>
      <c r="BH207" s="422">
        <v>0.08</v>
      </c>
      <c r="BI207" s="422">
        <v>0</v>
      </c>
      <c r="BJ207" s="422">
        <v>0</v>
      </c>
      <c r="BK207" s="422">
        <f t="shared" ref="BK207:BK212" si="458">BA207+BC207+BD207+BF207+BH207+BI207</f>
        <v>-9.9999999999999992E-2</v>
      </c>
      <c r="BL207" s="422">
        <f t="shared" ref="BL207:BL212" si="459">BB207+BE207+BG207+BJ207</f>
        <v>-0.01</v>
      </c>
      <c r="BM207" s="424">
        <f t="shared" si="450"/>
        <v>-0.10999999999999999</v>
      </c>
      <c r="BN207" s="427">
        <f t="shared" ref="BN207:BN212" si="460">I207+AZ207</f>
        <v>19614324</v>
      </c>
      <c r="BO207" s="421">
        <f t="shared" ref="BO207:BO212" si="461">J207+AH207</f>
        <v>14196480</v>
      </c>
      <c r="BP207" s="421">
        <f t="shared" ref="BP207:BQ212" si="462">K207+AF207</f>
        <v>13130896</v>
      </c>
      <c r="BQ207" s="421">
        <f t="shared" si="462"/>
        <v>1065584</v>
      </c>
      <c r="BR207" s="421">
        <f t="shared" ref="BR207:BR212" si="463">M207+AQ207</f>
        <v>147200</v>
      </c>
      <c r="BS207" s="421">
        <f t="shared" ref="BS207:BT212" si="464">N207+AO207</f>
        <v>137600</v>
      </c>
      <c r="BT207" s="421">
        <f t="shared" si="464"/>
        <v>9600</v>
      </c>
      <c r="BU207" s="421">
        <f t="shared" ref="BU207:BV212" si="465">P207+AU207</f>
        <v>4848163</v>
      </c>
      <c r="BV207" s="421">
        <f t="shared" si="465"/>
        <v>141965</v>
      </c>
      <c r="BW207" s="421">
        <f t="shared" ref="BW207:BW212" si="466">R207+AY207</f>
        <v>280516</v>
      </c>
      <c r="BX207" s="422">
        <f t="shared" ref="BX207:BX212" si="467">S207+BM207</f>
        <v>21.632300000000001</v>
      </c>
      <c r="BY207" s="422">
        <f t="shared" ref="BY207:BZ212" si="468">T207+BK207</f>
        <v>18.535999999999998</v>
      </c>
      <c r="BZ207" s="611">
        <f t="shared" si="468"/>
        <v>3.0963000000000003</v>
      </c>
      <c r="CA207" s="423"/>
      <c r="CB207" s="418"/>
      <c r="CC207" s="418"/>
      <c r="CD207" s="418"/>
      <c r="CE207" s="418"/>
      <c r="CF207" s="527"/>
    </row>
    <row r="208" spans="1:84" ht="14.1" customHeight="1" x14ac:dyDescent="0.2">
      <c r="A208" s="66">
        <v>44</v>
      </c>
      <c r="B208" s="63">
        <v>2486</v>
      </c>
      <c r="C208" s="64">
        <v>600079970</v>
      </c>
      <c r="D208" s="63">
        <v>46744908</v>
      </c>
      <c r="E208" s="65" t="s">
        <v>624</v>
      </c>
      <c r="F208" s="66">
        <v>3113</v>
      </c>
      <c r="G208" s="77" t="s">
        <v>292</v>
      </c>
      <c r="H208" s="67" t="s">
        <v>272</v>
      </c>
      <c r="I208" s="423">
        <f t="shared" si="433"/>
        <v>0</v>
      </c>
      <c r="J208" s="418">
        <f t="shared" si="434"/>
        <v>0</v>
      </c>
      <c r="K208" s="418">
        <v>0</v>
      </c>
      <c r="L208" s="418">
        <v>0</v>
      </c>
      <c r="M208" s="418">
        <f t="shared" ref="M208:M268" si="469">N208+O208</f>
        <v>0</v>
      </c>
      <c r="N208" s="418">
        <v>0</v>
      </c>
      <c r="O208" s="418">
        <v>0</v>
      </c>
      <c r="P208" s="668">
        <f t="shared" ref="P208:P268" si="470">ROUND(J208*33.8%,0)</f>
        <v>0</v>
      </c>
      <c r="Q208" s="668">
        <f t="shared" ref="Q208:Q268" si="471">ROUND(J208*1%,0)</f>
        <v>0</v>
      </c>
      <c r="R208" s="418">
        <v>0</v>
      </c>
      <c r="S208" s="419">
        <f t="shared" ref="S208:S268" si="472">T208+U208</f>
        <v>0</v>
      </c>
      <c r="T208" s="420">
        <v>0</v>
      </c>
      <c r="U208" s="426">
        <v>0</v>
      </c>
      <c r="V208" s="428">
        <f t="shared" si="439"/>
        <v>0</v>
      </c>
      <c r="W208" s="421">
        <f t="shared" si="440"/>
        <v>0</v>
      </c>
      <c r="X208" s="16">
        <v>1374133</v>
      </c>
      <c r="Y208" s="16">
        <v>0</v>
      </c>
      <c r="Z208" s="16">
        <v>0</v>
      </c>
      <c r="AA208" s="16">
        <v>0</v>
      </c>
      <c r="AB208" s="421">
        <v>0</v>
      </c>
      <c r="AC208" s="16">
        <v>0</v>
      </c>
      <c r="AD208" s="16">
        <v>0</v>
      </c>
      <c r="AE208" s="16">
        <v>0</v>
      </c>
      <c r="AF208" s="421">
        <f t="shared" si="441"/>
        <v>1374133</v>
      </c>
      <c r="AG208" s="421">
        <f t="shared" si="442"/>
        <v>0</v>
      </c>
      <c r="AH208" s="421">
        <f t="shared" si="443"/>
        <v>1374133</v>
      </c>
      <c r="AI208" s="16">
        <v>0</v>
      </c>
      <c r="AJ208" s="16">
        <v>0</v>
      </c>
      <c r="AK208" s="421">
        <v>0</v>
      </c>
      <c r="AL208" s="16">
        <v>0</v>
      </c>
      <c r="AM208" s="16">
        <v>0</v>
      </c>
      <c r="AN208" s="16">
        <v>0</v>
      </c>
      <c r="AO208" s="421">
        <f t="shared" si="444"/>
        <v>0</v>
      </c>
      <c r="AP208" s="16">
        <v>0</v>
      </c>
      <c r="AQ208" s="421">
        <f t="shared" si="446"/>
        <v>0</v>
      </c>
      <c r="AR208" s="421">
        <f t="shared" si="455"/>
        <v>1374133</v>
      </c>
      <c r="AS208" s="421">
        <f t="shared" si="455"/>
        <v>0</v>
      </c>
      <c r="AT208" s="421">
        <f t="shared" si="447"/>
        <v>1374133</v>
      </c>
      <c r="AU208" s="68">
        <f t="shared" si="456"/>
        <v>464457</v>
      </c>
      <c r="AV208" s="68">
        <f t="shared" si="457"/>
        <v>13741</v>
      </c>
      <c r="AW208" s="16">
        <f>700+2500</f>
        <v>3200</v>
      </c>
      <c r="AX208" s="16">
        <v>0</v>
      </c>
      <c r="AY208" s="421">
        <f t="shared" si="448"/>
        <v>3200</v>
      </c>
      <c r="AZ208" s="421">
        <f t="shared" si="449"/>
        <v>1855531</v>
      </c>
      <c r="BA208" s="13">
        <v>0</v>
      </c>
      <c r="BB208" s="13">
        <v>0</v>
      </c>
      <c r="BC208" s="13">
        <v>3.66</v>
      </c>
      <c r="BD208" s="422">
        <v>0</v>
      </c>
      <c r="BE208" s="422">
        <v>0</v>
      </c>
      <c r="BF208" s="422">
        <v>0</v>
      </c>
      <c r="BG208" s="422">
        <v>0</v>
      </c>
      <c r="BH208" s="422">
        <v>0</v>
      </c>
      <c r="BI208" s="422">
        <v>0</v>
      </c>
      <c r="BJ208" s="422">
        <v>0</v>
      </c>
      <c r="BK208" s="422">
        <f t="shared" si="458"/>
        <v>3.66</v>
      </c>
      <c r="BL208" s="422">
        <f t="shared" si="459"/>
        <v>0</v>
      </c>
      <c r="BM208" s="424">
        <f t="shared" si="450"/>
        <v>3.66</v>
      </c>
      <c r="BN208" s="427">
        <f t="shared" si="460"/>
        <v>1855531</v>
      </c>
      <c r="BO208" s="421">
        <f t="shared" si="461"/>
        <v>1374133</v>
      </c>
      <c r="BP208" s="421">
        <f t="shared" si="462"/>
        <v>1374133</v>
      </c>
      <c r="BQ208" s="421">
        <f t="shared" si="462"/>
        <v>0</v>
      </c>
      <c r="BR208" s="421">
        <f t="shared" si="463"/>
        <v>0</v>
      </c>
      <c r="BS208" s="421">
        <f t="shared" si="464"/>
        <v>0</v>
      </c>
      <c r="BT208" s="421">
        <f t="shared" si="464"/>
        <v>0</v>
      </c>
      <c r="BU208" s="421">
        <f t="shared" si="465"/>
        <v>464457</v>
      </c>
      <c r="BV208" s="421">
        <f t="shared" si="465"/>
        <v>13741</v>
      </c>
      <c r="BW208" s="421">
        <f t="shared" si="466"/>
        <v>3200</v>
      </c>
      <c r="BX208" s="422">
        <f t="shared" si="467"/>
        <v>3.66</v>
      </c>
      <c r="BY208" s="422">
        <f t="shared" si="468"/>
        <v>3.66</v>
      </c>
      <c r="BZ208" s="611">
        <f t="shared" si="468"/>
        <v>0</v>
      </c>
      <c r="CA208" s="423"/>
      <c r="CB208" s="418"/>
      <c r="CC208" s="418"/>
      <c r="CD208" s="418"/>
      <c r="CE208" s="418"/>
      <c r="CF208" s="527"/>
    </row>
    <row r="209" spans="1:84" ht="14.1" customHeight="1" x14ac:dyDescent="0.2">
      <c r="A209" s="66">
        <v>44</v>
      </c>
      <c r="B209" s="63">
        <v>2486</v>
      </c>
      <c r="C209" s="64">
        <v>600079970</v>
      </c>
      <c r="D209" s="63">
        <v>46744908</v>
      </c>
      <c r="E209" s="65" t="s">
        <v>624</v>
      </c>
      <c r="F209" s="66">
        <v>3141</v>
      </c>
      <c r="G209" s="65" t="s">
        <v>295</v>
      </c>
      <c r="H209" s="67" t="s">
        <v>272</v>
      </c>
      <c r="I209" s="423">
        <f t="shared" si="433"/>
        <v>518652</v>
      </c>
      <c r="J209" s="418">
        <f t="shared" si="434"/>
        <v>380167</v>
      </c>
      <c r="K209" s="418">
        <v>0</v>
      </c>
      <c r="L209" s="924">
        <v>380167</v>
      </c>
      <c r="M209" s="418">
        <f>N209+O209</f>
        <v>0</v>
      </c>
      <c r="N209" s="205">
        <v>0</v>
      </c>
      <c r="O209" s="205">
        <v>0</v>
      </c>
      <c r="P209" s="668">
        <f t="shared" si="470"/>
        <v>128496</v>
      </c>
      <c r="Q209" s="668">
        <f t="shared" si="471"/>
        <v>3802</v>
      </c>
      <c r="R209" s="674">
        <v>6187</v>
      </c>
      <c r="S209" s="419">
        <f>T209+U209</f>
        <v>1.1399999999999999</v>
      </c>
      <c r="T209" s="676">
        <v>0</v>
      </c>
      <c r="U209" s="909">
        <v>1.1399999999999999</v>
      </c>
      <c r="V209" s="428">
        <f t="shared" si="439"/>
        <v>0</v>
      </c>
      <c r="W209" s="421">
        <f t="shared" si="440"/>
        <v>-11520</v>
      </c>
      <c r="X209" s="421">
        <v>0</v>
      </c>
      <c r="Y209" s="421">
        <v>0</v>
      </c>
      <c r="Z209" s="421">
        <v>0</v>
      </c>
      <c r="AA209" s="421">
        <v>0</v>
      </c>
      <c r="AB209" s="421">
        <v>0</v>
      </c>
      <c r="AC209" s="421">
        <v>0</v>
      </c>
      <c r="AD209" s="421">
        <v>0</v>
      </c>
      <c r="AE209" s="421">
        <v>0</v>
      </c>
      <c r="AF209" s="421">
        <f t="shared" si="441"/>
        <v>0</v>
      </c>
      <c r="AG209" s="421">
        <f t="shared" si="442"/>
        <v>-11520</v>
      </c>
      <c r="AH209" s="421">
        <f t="shared" si="443"/>
        <v>-11520</v>
      </c>
      <c r="AI209" s="421">
        <v>0</v>
      </c>
      <c r="AJ209" s="421">
        <v>11520</v>
      </c>
      <c r="AK209" s="421">
        <v>0</v>
      </c>
      <c r="AL209" s="421">
        <v>0</v>
      </c>
      <c r="AM209" s="421">
        <v>0</v>
      </c>
      <c r="AN209" s="421">
        <v>0</v>
      </c>
      <c r="AO209" s="421">
        <f t="shared" si="444"/>
        <v>0</v>
      </c>
      <c r="AP209" s="421">
        <f t="shared" si="445"/>
        <v>11520</v>
      </c>
      <c r="AQ209" s="421">
        <f t="shared" si="446"/>
        <v>11520</v>
      </c>
      <c r="AR209" s="421">
        <f t="shared" si="455"/>
        <v>0</v>
      </c>
      <c r="AS209" s="421">
        <f t="shared" si="455"/>
        <v>0</v>
      </c>
      <c r="AT209" s="421">
        <f t="shared" si="447"/>
        <v>0</v>
      </c>
      <c r="AU209" s="68">
        <f t="shared" si="456"/>
        <v>0</v>
      </c>
      <c r="AV209" s="68">
        <f t="shared" si="457"/>
        <v>-115</v>
      </c>
      <c r="AW209" s="421">
        <v>0</v>
      </c>
      <c r="AX209" s="421">
        <v>0</v>
      </c>
      <c r="AY209" s="421">
        <f t="shared" si="448"/>
        <v>0</v>
      </c>
      <c r="AZ209" s="421">
        <f t="shared" si="449"/>
        <v>-115</v>
      </c>
      <c r="BA209" s="422">
        <v>0</v>
      </c>
      <c r="BB209" s="422">
        <v>0</v>
      </c>
      <c r="BC209" s="422">
        <v>0</v>
      </c>
      <c r="BD209" s="422">
        <v>0</v>
      </c>
      <c r="BE209" s="422">
        <v>0</v>
      </c>
      <c r="BF209" s="422">
        <v>0</v>
      </c>
      <c r="BG209" s="422">
        <v>0</v>
      </c>
      <c r="BH209" s="422">
        <v>0</v>
      </c>
      <c r="BI209" s="422">
        <v>0</v>
      </c>
      <c r="BJ209" s="422">
        <v>0</v>
      </c>
      <c r="BK209" s="422">
        <f t="shared" si="458"/>
        <v>0</v>
      </c>
      <c r="BL209" s="422">
        <f t="shared" si="459"/>
        <v>0</v>
      </c>
      <c r="BM209" s="424">
        <f t="shared" si="450"/>
        <v>0</v>
      </c>
      <c r="BN209" s="427">
        <f t="shared" si="460"/>
        <v>518537</v>
      </c>
      <c r="BO209" s="421">
        <f t="shared" si="461"/>
        <v>368647</v>
      </c>
      <c r="BP209" s="421">
        <f t="shared" si="462"/>
        <v>0</v>
      </c>
      <c r="BQ209" s="421">
        <f t="shared" si="462"/>
        <v>368647</v>
      </c>
      <c r="BR209" s="421">
        <f t="shared" si="463"/>
        <v>11520</v>
      </c>
      <c r="BS209" s="421">
        <f t="shared" si="464"/>
        <v>0</v>
      </c>
      <c r="BT209" s="421">
        <f t="shared" si="464"/>
        <v>11520</v>
      </c>
      <c r="BU209" s="421">
        <f t="shared" si="465"/>
        <v>128496</v>
      </c>
      <c r="BV209" s="421">
        <f t="shared" si="465"/>
        <v>3687</v>
      </c>
      <c r="BW209" s="421">
        <f t="shared" si="466"/>
        <v>6187</v>
      </c>
      <c r="BX209" s="422">
        <f t="shared" si="467"/>
        <v>1.1399999999999999</v>
      </c>
      <c r="BY209" s="422">
        <f t="shared" si="468"/>
        <v>0</v>
      </c>
      <c r="BZ209" s="611">
        <f t="shared" si="468"/>
        <v>1.1399999999999999</v>
      </c>
      <c r="CA209" s="423"/>
      <c r="CB209" s="418"/>
      <c r="CC209" s="418"/>
      <c r="CD209" s="418"/>
      <c r="CE209" s="418"/>
      <c r="CF209" s="527"/>
    </row>
    <row r="210" spans="1:84" ht="14.1" customHeight="1" x14ac:dyDescent="0.2">
      <c r="A210" s="66">
        <v>44</v>
      </c>
      <c r="B210" s="63">
        <v>2486</v>
      </c>
      <c r="C210" s="64">
        <v>600079970</v>
      </c>
      <c r="D210" s="63">
        <v>46744908</v>
      </c>
      <c r="E210" s="65" t="s">
        <v>624</v>
      </c>
      <c r="F210" s="66">
        <v>3143</v>
      </c>
      <c r="G210" s="77" t="s">
        <v>596</v>
      </c>
      <c r="H210" s="67" t="s">
        <v>271</v>
      </c>
      <c r="I210" s="423">
        <f t="shared" si="433"/>
        <v>1798011</v>
      </c>
      <c r="J210" s="418">
        <f t="shared" si="434"/>
        <v>1333836</v>
      </c>
      <c r="K210" s="418">
        <v>1333836</v>
      </c>
      <c r="L210" s="418">
        <v>0</v>
      </c>
      <c r="M210" s="418">
        <f t="shared" si="469"/>
        <v>0</v>
      </c>
      <c r="N210" s="418">
        <v>0</v>
      </c>
      <c r="O210" s="418">
        <v>0</v>
      </c>
      <c r="P210" s="668">
        <f t="shared" si="470"/>
        <v>450837</v>
      </c>
      <c r="Q210" s="668">
        <f t="shared" si="471"/>
        <v>13338</v>
      </c>
      <c r="R210" s="418">
        <v>0</v>
      </c>
      <c r="S210" s="419">
        <f t="shared" si="472"/>
        <v>2.5</v>
      </c>
      <c r="T210" s="419">
        <v>2.5</v>
      </c>
      <c r="U210" s="426">
        <v>0</v>
      </c>
      <c r="V210" s="428">
        <f t="shared" si="439"/>
        <v>-17280</v>
      </c>
      <c r="W210" s="421">
        <f t="shared" si="440"/>
        <v>0</v>
      </c>
      <c r="X210" s="421">
        <v>0</v>
      </c>
      <c r="Y210" s="421">
        <v>0</v>
      </c>
      <c r="Z210" s="421">
        <v>0</v>
      </c>
      <c r="AA210" s="421">
        <v>0</v>
      </c>
      <c r="AB210" s="421">
        <v>0</v>
      </c>
      <c r="AC210" s="421">
        <v>0</v>
      </c>
      <c r="AD210" s="421">
        <v>0</v>
      </c>
      <c r="AE210" s="421">
        <v>0</v>
      </c>
      <c r="AF210" s="421">
        <f t="shared" si="441"/>
        <v>-17280</v>
      </c>
      <c r="AG210" s="421">
        <f t="shared" si="442"/>
        <v>0</v>
      </c>
      <c r="AH210" s="421">
        <f t="shared" si="443"/>
        <v>-17280</v>
      </c>
      <c r="AI210" s="421">
        <v>17280</v>
      </c>
      <c r="AJ210" s="421">
        <v>0</v>
      </c>
      <c r="AK210" s="421">
        <v>0</v>
      </c>
      <c r="AL210" s="421">
        <v>0</v>
      </c>
      <c r="AM210" s="421">
        <v>0</v>
      </c>
      <c r="AN210" s="421">
        <v>0</v>
      </c>
      <c r="AO210" s="421">
        <f t="shared" si="444"/>
        <v>17280</v>
      </c>
      <c r="AP210" s="421">
        <f t="shared" si="445"/>
        <v>0</v>
      </c>
      <c r="AQ210" s="421">
        <f t="shared" si="446"/>
        <v>17280</v>
      </c>
      <c r="AR210" s="421">
        <f t="shared" si="455"/>
        <v>0</v>
      </c>
      <c r="AS210" s="421">
        <f t="shared" si="455"/>
        <v>0</v>
      </c>
      <c r="AT210" s="421">
        <f t="shared" si="447"/>
        <v>0</v>
      </c>
      <c r="AU210" s="68">
        <f t="shared" si="456"/>
        <v>0</v>
      </c>
      <c r="AV210" s="68">
        <f t="shared" si="457"/>
        <v>-173</v>
      </c>
      <c r="AW210" s="421">
        <v>0</v>
      </c>
      <c r="AX210" s="421">
        <v>0</v>
      </c>
      <c r="AY210" s="421">
        <f t="shared" si="448"/>
        <v>0</v>
      </c>
      <c r="AZ210" s="421">
        <f t="shared" si="449"/>
        <v>-173</v>
      </c>
      <c r="BA210" s="422">
        <v>-0.02</v>
      </c>
      <c r="BB210" s="422">
        <v>0</v>
      </c>
      <c r="BC210" s="422">
        <v>0</v>
      </c>
      <c r="BD210" s="422">
        <v>0</v>
      </c>
      <c r="BE210" s="422">
        <v>0</v>
      </c>
      <c r="BF210" s="422">
        <v>0</v>
      </c>
      <c r="BG210" s="422">
        <v>0</v>
      </c>
      <c r="BH210" s="422">
        <v>0</v>
      </c>
      <c r="BI210" s="422">
        <v>0</v>
      </c>
      <c r="BJ210" s="422">
        <v>0</v>
      </c>
      <c r="BK210" s="422">
        <f t="shared" si="458"/>
        <v>-0.02</v>
      </c>
      <c r="BL210" s="422">
        <f t="shared" si="459"/>
        <v>0</v>
      </c>
      <c r="BM210" s="424">
        <f t="shared" si="450"/>
        <v>-0.02</v>
      </c>
      <c r="BN210" s="427">
        <f t="shared" si="460"/>
        <v>1797838</v>
      </c>
      <c r="BO210" s="421">
        <f t="shared" si="461"/>
        <v>1316556</v>
      </c>
      <c r="BP210" s="421">
        <f t="shared" si="462"/>
        <v>1316556</v>
      </c>
      <c r="BQ210" s="421">
        <f t="shared" si="462"/>
        <v>0</v>
      </c>
      <c r="BR210" s="421">
        <f t="shared" si="463"/>
        <v>17280</v>
      </c>
      <c r="BS210" s="421">
        <f t="shared" si="464"/>
        <v>17280</v>
      </c>
      <c r="BT210" s="421">
        <f t="shared" si="464"/>
        <v>0</v>
      </c>
      <c r="BU210" s="421">
        <f t="shared" si="465"/>
        <v>450837</v>
      </c>
      <c r="BV210" s="421">
        <f t="shared" si="465"/>
        <v>13165</v>
      </c>
      <c r="BW210" s="421">
        <f t="shared" si="466"/>
        <v>0</v>
      </c>
      <c r="BX210" s="422">
        <f t="shared" si="467"/>
        <v>2.48</v>
      </c>
      <c r="BY210" s="422">
        <f t="shared" si="468"/>
        <v>2.48</v>
      </c>
      <c r="BZ210" s="611">
        <f t="shared" si="468"/>
        <v>0</v>
      </c>
      <c r="CA210" s="423"/>
      <c r="CB210" s="418"/>
      <c r="CC210" s="418"/>
      <c r="CD210" s="418"/>
      <c r="CE210" s="418"/>
      <c r="CF210" s="527"/>
    </row>
    <row r="211" spans="1:84" ht="14.1" customHeight="1" x14ac:dyDescent="0.2">
      <c r="A211" s="66">
        <v>44</v>
      </c>
      <c r="B211" s="63">
        <v>2486</v>
      </c>
      <c r="C211" s="64">
        <v>600079970</v>
      </c>
      <c r="D211" s="63">
        <v>46744908</v>
      </c>
      <c r="E211" s="65" t="s">
        <v>624</v>
      </c>
      <c r="F211" s="66">
        <v>3143</v>
      </c>
      <c r="G211" s="77" t="s">
        <v>597</v>
      </c>
      <c r="H211" s="67" t="s">
        <v>272</v>
      </c>
      <c r="I211" s="423">
        <f t="shared" si="433"/>
        <v>36883</v>
      </c>
      <c r="J211" s="418">
        <f t="shared" si="434"/>
        <v>26400</v>
      </c>
      <c r="K211" s="418">
        <v>0</v>
      </c>
      <c r="L211" s="674">
        <v>26400</v>
      </c>
      <c r="M211" s="418">
        <f t="shared" si="469"/>
        <v>0</v>
      </c>
      <c r="N211" s="418">
        <v>0</v>
      </c>
      <c r="O211" s="418">
        <v>0</v>
      </c>
      <c r="P211" s="668">
        <f t="shared" si="470"/>
        <v>8923</v>
      </c>
      <c r="Q211" s="668">
        <f t="shared" si="471"/>
        <v>264</v>
      </c>
      <c r="R211" s="675">
        <v>1296</v>
      </c>
      <c r="S211" s="419">
        <f t="shared" si="472"/>
        <v>0.1</v>
      </c>
      <c r="T211" s="679">
        <v>0</v>
      </c>
      <c r="U211" s="909">
        <v>0.1</v>
      </c>
      <c r="V211" s="428">
        <f t="shared" si="439"/>
        <v>0</v>
      </c>
      <c r="W211" s="421">
        <f t="shared" si="440"/>
        <v>0</v>
      </c>
      <c r="X211" s="421">
        <v>0</v>
      </c>
      <c r="Y211" s="421">
        <v>0</v>
      </c>
      <c r="Z211" s="421">
        <v>0</v>
      </c>
      <c r="AA211" s="421">
        <v>0</v>
      </c>
      <c r="AB211" s="421">
        <v>0</v>
      </c>
      <c r="AC211" s="421">
        <v>0</v>
      </c>
      <c r="AD211" s="421">
        <v>0</v>
      </c>
      <c r="AE211" s="421">
        <v>0</v>
      </c>
      <c r="AF211" s="421">
        <f t="shared" si="441"/>
        <v>0</v>
      </c>
      <c r="AG211" s="421">
        <f t="shared" si="442"/>
        <v>0</v>
      </c>
      <c r="AH211" s="421">
        <f t="shared" si="443"/>
        <v>0</v>
      </c>
      <c r="AI211" s="421">
        <v>0</v>
      </c>
      <c r="AJ211" s="421">
        <v>0</v>
      </c>
      <c r="AK211" s="421">
        <v>0</v>
      </c>
      <c r="AL211" s="421">
        <v>0</v>
      </c>
      <c r="AM211" s="421">
        <v>0</v>
      </c>
      <c r="AN211" s="421">
        <v>0</v>
      </c>
      <c r="AO211" s="421">
        <f t="shared" si="444"/>
        <v>0</v>
      </c>
      <c r="AP211" s="421">
        <f t="shared" si="445"/>
        <v>0</v>
      </c>
      <c r="AQ211" s="421">
        <f t="shared" si="446"/>
        <v>0</v>
      </c>
      <c r="AR211" s="421">
        <f t="shared" si="455"/>
        <v>0</v>
      </c>
      <c r="AS211" s="421">
        <f t="shared" si="455"/>
        <v>0</v>
      </c>
      <c r="AT211" s="421">
        <f t="shared" si="447"/>
        <v>0</v>
      </c>
      <c r="AU211" s="68">
        <f t="shared" si="456"/>
        <v>0</v>
      </c>
      <c r="AV211" s="68">
        <f t="shared" si="457"/>
        <v>0</v>
      </c>
      <c r="AW211" s="421">
        <v>0</v>
      </c>
      <c r="AX211" s="421">
        <v>0</v>
      </c>
      <c r="AY211" s="421">
        <f t="shared" si="448"/>
        <v>0</v>
      </c>
      <c r="AZ211" s="421">
        <f t="shared" si="449"/>
        <v>0</v>
      </c>
      <c r="BA211" s="422">
        <v>0</v>
      </c>
      <c r="BB211" s="422">
        <v>0</v>
      </c>
      <c r="BC211" s="422">
        <v>0</v>
      </c>
      <c r="BD211" s="422">
        <v>0</v>
      </c>
      <c r="BE211" s="422">
        <v>0</v>
      </c>
      <c r="BF211" s="422">
        <v>0</v>
      </c>
      <c r="BG211" s="422">
        <v>0</v>
      </c>
      <c r="BH211" s="422">
        <v>0</v>
      </c>
      <c r="BI211" s="422">
        <v>0</v>
      </c>
      <c r="BJ211" s="422">
        <v>0</v>
      </c>
      <c r="BK211" s="422">
        <f t="shared" si="458"/>
        <v>0</v>
      </c>
      <c r="BL211" s="422">
        <f t="shared" si="459"/>
        <v>0</v>
      </c>
      <c r="BM211" s="424">
        <f t="shared" si="450"/>
        <v>0</v>
      </c>
      <c r="BN211" s="427">
        <f t="shared" si="460"/>
        <v>36883</v>
      </c>
      <c r="BO211" s="421">
        <f t="shared" si="461"/>
        <v>26400</v>
      </c>
      <c r="BP211" s="421">
        <f t="shared" si="462"/>
        <v>0</v>
      </c>
      <c r="BQ211" s="421">
        <f t="shared" si="462"/>
        <v>26400</v>
      </c>
      <c r="BR211" s="421">
        <f t="shared" si="463"/>
        <v>0</v>
      </c>
      <c r="BS211" s="421">
        <f t="shared" si="464"/>
        <v>0</v>
      </c>
      <c r="BT211" s="421">
        <f t="shared" si="464"/>
        <v>0</v>
      </c>
      <c r="BU211" s="421">
        <f t="shared" si="465"/>
        <v>8923</v>
      </c>
      <c r="BV211" s="421">
        <f t="shared" si="465"/>
        <v>264</v>
      </c>
      <c r="BW211" s="421">
        <f t="shared" si="466"/>
        <v>1296</v>
      </c>
      <c r="BX211" s="422">
        <f t="shared" si="467"/>
        <v>0.1</v>
      </c>
      <c r="BY211" s="422">
        <f t="shared" si="468"/>
        <v>0</v>
      </c>
      <c r="BZ211" s="611">
        <f t="shared" si="468"/>
        <v>0.1</v>
      </c>
      <c r="CA211" s="423"/>
      <c r="CB211" s="418"/>
      <c r="CC211" s="418"/>
      <c r="CD211" s="418"/>
      <c r="CE211" s="418"/>
      <c r="CF211" s="527"/>
    </row>
    <row r="212" spans="1:84" ht="14.1" customHeight="1" x14ac:dyDescent="0.2">
      <c r="A212" s="66">
        <v>44</v>
      </c>
      <c r="B212" s="63">
        <v>2486</v>
      </c>
      <c r="C212" s="64">
        <v>600079970</v>
      </c>
      <c r="D212" s="63">
        <v>46744908</v>
      </c>
      <c r="E212" s="65" t="s">
        <v>624</v>
      </c>
      <c r="F212" s="66">
        <v>3233</v>
      </c>
      <c r="G212" s="65" t="s">
        <v>298</v>
      </c>
      <c r="H212" s="67" t="s">
        <v>272</v>
      </c>
      <c r="I212" s="423">
        <f t="shared" si="433"/>
        <v>469303</v>
      </c>
      <c r="J212" s="418">
        <f t="shared" si="434"/>
        <v>347951</v>
      </c>
      <c r="K212" s="418">
        <v>302467</v>
      </c>
      <c r="L212" s="418">
        <v>45484</v>
      </c>
      <c r="M212" s="418">
        <f t="shared" si="469"/>
        <v>0</v>
      </c>
      <c r="N212" s="418">
        <v>0</v>
      </c>
      <c r="O212" s="418">
        <v>0</v>
      </c>
      <c r="P212" s="668">
        <f t="shared" si="470"/>
        <v>117607</v>
      </c>
      <c r="Q212" s="668">
        <f t="shared" si="471"/>
        <v>3480</v>
      </c>
      <c r="R212" s="418">
        <v>265</v>
      </c>
      <c r="S212" s="419">
        <f t="shared" si="472"/>
        <v>0.70000000000000007</v>
      </c>
      <c r="T212" s="420">
        <v>0.55000000000000004</v>
      </c>
      <c r="U212" s="426">
        <v>0.15</v>
      </c>
      <c r="V212" s="428">
        <f t="shared" si="439"/>
        <v>-64000</v>
      </c>
      <c r="W212" s="421">
        <f t="shared" si="440"/>
        <v>0</v>
      </c>
      <c r="X212" s="421">
        <v>0</v>
      </c>
      <c r="Y212" s="421">
        <v>0</v>
      </c>
      <c r="Z212" s="421">
        <v>0</v>
      </c>
      <c r="AA212" s="421">
        <v>0</v>
      </c>
      <c r="AB212" s="421">
        <v>0</v>
      </c>
      <c r="AC212" s="421">
        <v>0</v>
      </c>
      <c r="AD212" s="421">
        <v>0</v>
      </c>
      <c r="AE212" s="421">
        <v>0</v>
      </c>
      <c r="AF212" s="421">
        <f t="shared" si="441"/>
        <v>-64000</v>
      </c>
      <c r="AG212" s="421">
        <f t="shared" si="442"/>
        <v>0</v>
      </c>
      <c r="AH212" s="421">
        <f t="shared" si="443"/>
        <v>-64000</v>
      </c>
      <c r="AI212" s="421">
        <v>64000</v>
      </c>
      <c r="AJ212" s="421">
        <v>0</v>
      </c>
      <c r="AK212" s="421">
        <v>0</v>
      </c>
      <c r="AL212" s="421">
        <v>0</v>
      </c>
      <c r="AM212" s="421">
        <v>0</v>
      </c>
      <c r="AN212" s="421">
        <v>0</v>
      </c>
      <c r="AO212" s="421">
        <f t="shared" si="444"/>
        <v>64000</v>
      </c>
      <c r="AP212" s="421">
        <f t="shared" si="445"/>
        <v>0</v>
      </c>
      <c r="AQ212" s="421">
        <f t="shared" si="446"/>
        <v>64000</v>
      </c>
      <c r="AR212" s="421">
        <f t="shared" si="455"/>
        <v>0</v>
      </c>
      <c r="AS212" s="421">
        <f t="shared" si="455"/>
        <v>0</v>
      </c>
      <c r="AT212" s="421">
        <f t="shared" si="447"/>
        <v>0</v>
      </c>
      <c r="AU212" s="68">
        <f t="shared" si="456"/>
        <v>0</v>
      </c>
      <c r="AV212" s="68">
        <f t="shared" si="457"/>
        <v>-640</v>
      </c>
      <c r="AW212" s="421">
        <v>0</v>
      </c>
      <c r="AX212" s="421">
        <v>0</v>
      </c>
      <c r="AY212" s="421">
        <f t="shared" si="448"/>
        <v>0</v>
      </c>
      <c r="AZ212" s="421">
        <f t="shared" si="449"/>
        <v>-640</v>
      </c>
      <c r="BA212" s="422">
        <v>-0.12</v>
      </c>
      <c r="BB212" s="422">
        <v>0</v>
      </c>
      <c r="BC212" s="422">
        <v>0</v>
      </c>
      <c r="BD212" s="422">
        <v>0</v>
      </c>
      <c r="BE212" s="422">
        <v>0</v>
      </c>
      <c r="BF212" s="422">
        <v>0</v>
      </c>
      <c r="BG212" s="422">
        <v>0</v>
      </c>
      <c r="BH212" s="422">
        <v>0</v>
      </c>
      <c r="BI212" s="422">
        <v>0</v>
      </c>
      <c r="BJ212" s="422">
        <v>0</v>
      </c>
      <c r="BK212" s="422">
        <f t="shared" si="458"/>
        <v>-0.12</v>
      </c>
      <c r="BL212" s="422">
        <f t="shared" si="459"/>
        <v>0</v>
      </c>
      <c r="BM212" s="424">
        <f t="shared" si="450"/>
        <v>-0.12</v>
      </c>
      <c r="BN212" s="427">
        <f t="shared" si="460"/>
        <v>468663</v>
      </c>
      <c r="BO212" s="421">
        <f t="shared" si="461"/>
        <v>283951</v>
      </c>
      <c r="BP212" s="421">
        <f t="shared" si="462"/>
        <v>238467</v>
      </c>
      <c r="BQ212" s="421">
        <f t="shared" si="462"/>
        <v>45484</v>
      </c>
      <c r="BR212" s="421">
        <f t="shared" si="463"/>
        <v>64000</v>
      </c>
      <c r="BS212" s="421">
        <f t="shared" si="464"/>
        <v>64000</v>
      </c>
      <c r="BT212" s="421">
        <f t="shared" si="464"/>
        <v>0</v>
      </c>
      <c r="BU212" s="421">
        <f t="shared" si="465"/>
        <v>117607</v>
      </c>
      <c r="BV212" s="421">
        <f t="shared" si="465"/>
        <v>2840</v>
      </c>
      <c r="BW212" s="421">
        <f t="shared" si="466"/>
        <v>265</v>
      </c>
      <c r="BX212" s="422">
        <f t="shared" si="467"/>
        <v>0.58000000000000007</v>
      </c>
      <c r="BY212" s="422">
        <f t="shared" si="468"/>
        <v>0.43000000000000005</v>
      </c>
      <c r="BZ212" s="611">
        <f t="shared" si="468"/>
        <v>0.15</v>
      </c>
      <c r="CA212" s="423"/>
      <c r="CB212" s="418"/>
      <c r="CC212" s="418"/>
      <c r="CD212" s="418"/>
      <c r="CE212" s="418"/>
      <c r="CF212" s="527"/>
    </row>
    <row r="213" spans="1:84" ht="14.1" customHeight="1" x14ac:dyDescent="0.2">
      <c r="A213" s="72">
        <v>44</v>
      </c>
      <c r="B213" s="69">
        <v>2486</v>
      </c>
      <c r="C213" s="70">
        <v>600079970</v>
      </c>
      <c r="D213" s="69">
        <v>46744908</v>
      </c>
      <c r="E213" s="71" t="s">
        <v>625</v>
      </c>
      <c r="F213" s="72"/>
      <c r="G213" s="71"/>
      <c r="H213" s="73"/>
      <c r="I213" s="538">
        <f t="shared" ref="I213:BU213" si="473">SUM(I207:I212)</f>
        <v>22369040</v>
      </c>
      <c r="J213" s="74">
        <f t="shared" si="473"/>
        <v>16380398</v>
      </c>
      <c r="K213" s="74">
        <f>SUM(K207:K212)</f>
        <v>14853163</v>
      </c>
      <c r="L213" s="74">
        <f>SUM(L207:L212)</f>
        <v>1527235</v>
      </c>
      <c r="M213" s="74">
        <f>SUM(M207:M212)</f>
        <v>0</v>
      </c>
      <c r="N213" s="74">
        <f>SUM(N207:N212)</f>
        <v>0</v>
      </c>
      <c r="O213" s="74">
        <f>SUM(O207:O212)</f>
        <v>0</v>
      </c>
      <c r="P213" s="74">
        <f t="shared" ref="P213:Q213" si="474">SUM(P207:P212)</f>
        <v>5536573</v>
      </c>
      <c r="Q213" s="74">
        <f t="shared" si="474"/>
        <v>163805</v>
      </c>
      <c r="R213" s="74">
        <f>SUM(R207:R212)</f>
        <v>288264</v>
      </c>
      <c r="S213" s="75">
        <f>SUM(S207:S212)</f>
        <v>26.182300000000001</v>
      </c>
      <c r="T213" s="75">
        <f>SUM(T207:T212)</f>
        <v>21.686</v>
      </c>
      <c r="U213" s="753">
        <f>SUM(U207:U212)</f>
        <v>4.4962999999999997</v>
      </c>
      <c r="V213" s="538">
        <f t="shared" si="473"/>
        <v>-218880</v>
      </c>
      <c r="W213" s="74">
        <f t="shared" si="473"/>
        <v>-21120</v>
      </c>
      <c r="X213" s="74">
        <f t="shared" si="473"/>
        <v>1374133</v>
      </c>
      <c r="Y213" s="74">
        <f t="shared" si="473"/>
        <v>0</v>
      </c>
      <c r="Z213" s="74">
        <f t="shared" si="473"/>
        <v>0</v>
      </c>
      <c r="AA213" s="74">
        <f t="shared" si="473"/>
        <v>51636</v>
      </c>
      <c r="AB213" s="74">
        <f t="shared" si="473"/>
        <v>0</v>
      </c>
      <c r="AC213" s="74">
        <f t="shared" si="473"/>
        <v>0</v>
      </c>
      <c r="AD213" s="74">
        <f t="shared" si="473"/>
        <v>0</v>
      </c>
      <c r="AE213" s="74">
        <f t="shared" si="473"/>
        <v>0</v>
      </c>
      <c r="AF213" s="74">
        <f t="shared" si="473"/>
        <v>1206889</v>
      </c>
      <c r="AG213" s="74">
        <f t="shared" si="473"/>
        <v>-21120</v>
      </c>
      <c r="AH213" s="74">
        <f t="shared" si="473"/>
        <v>1185769</v>
      </c>
      <c r="AI213" s="74">
        <f t="shared" si="473"/>
        <v>218880</v>
      </c>
      <c r="AJ213" s="74">
        <f t="shared" si="473"/>
        <v>21120</v>
      </c>
      <c r="AK213" s="74">
        <f t="shared" si="473"/>
        <v>0</v>
      </c>
      <c r="AL213" s="74">
        <f t="shared" si="473"/>
        <v>0</v>
      </c>
      <c r="AM213" s="74">
        <f t="shared" si="473"/>
        <v>0</v>
      </c>
      <c r="AN213" s="74">
        <f t="shared" si="473"/>
        <v>0</v>
      </c>
      <c r="AO213" s="74">
        <f t="shared" si="473"/>
        <v>218880</v>
      </c>
      <c r="AP213" s="74">
        <f t="shared" si="473"/>
        <v>21120</v>
      </c>
      <c r="AQ213" s="74">
        <f t="shared" si="473"/>
        <v>240000</v>
      </c>
      <c r="AR213" s="74">
        <f t="shared" si="473"/>
        <v>1425769</v>
      </c>
      <c r="AS213" s="74">
        <f t="shared" si="473"/>
        <v>0</v>
      </c>
      <c r="AT213" s="74">
        <f t="shared" si="473"/>
        <v>1425769</v>
      </c>
      <c r="AU213" s="74">
        <f t="shared" si="473"/>
        <v>481910</v>
      </c>
      <c r="AV213" s="74">
        <f t="shared" si="473"/>
        <v>11857</v>
      </c>
      <c r="AW213" s="74">
        <f t="shared" si="473"/>
        <v>3200</v>
      </c>
      <c r="AX213" s="74">
        <f t="shared" si="473"/>
        <v>0</v>
      </c>
      <c r="AY213" s="74">
        <f t="shared" si="473"/>
        <v>3200</v>
      </c>
      <c r="AZ213" s="74">
        <f t="shared" si="473"/>
        <v>1922736</v>
      </c>
      <c r="BA213" s="75">
        <f t="shared" si="473"/>
        <v>-0.31999999999999995</v>
      </c>
      <c r="BB213" s="75">
        <f t="shared" si="473"/>
        <v>-0.01</v>
      </c>
      <c r="BC213" s="75">
        <f t="shared" si="473"/>
        <v>3.66</v>
      </c>
      <c r="BD213" s="75">
        <f t="shared" si="473"/>
        <v>0</v>
      </c>
      <c r="BE213" s="75">
        <f t="shared" si="473"/>
        <v>0</v>
      </c>
      <c r="BF213" s="75">
        <f t="shared" si="473"/>
        <v>0</v>
      </c>
      <c r="BG213" s="75">
        <f t="shared" si="473"/>
        <v>0</v>
      </c>
      <c r="BH213" s="75">
        <f t="shared" si="473"/>
        <v>0.08</v>
      </c>
      <c r="BI213" s="75">
        <f t="shared" si="473"/>
        <v>0</v>
      </c>
      <c r="BJ213" s="75">
        <f t="shared" si="473"/>
        <v>0</v>
      </c>
      <c r="BK213" s="75">
        <f t="shared" si="473"/>
        <v>3.42</v>
      </c>
      <c r="BL213" s="75">
        <f t="shared" si="473"/>
        <v>-0.01</v>
      </c>
      <c r="BM213" s="76">
        <f t="shared" si="473"/>
        <v>3.41</v>
      </c>
      <c r="BN213" s="549">
        <f t="shared" si="473"/>
        <v>24291776</v>
      </c>
      <c r="BO213" s="74">
        <f t="shared" si="473"/>
        <v>17566167</v>
      </c>
      <c r="BP213" s="74">
        <f t="shared" si="473"/>
        <v>16060052</v>
      </c>
      <c r="BQ213" s="74">
        <f t="shared" si="473"/>
        <v>1506115</v>
      </c>
      <c r="BR213" s="74">
        <f t="shared" si="473"/>
        <v>240000</v>
      </c>
      <c r="BS213" s="74">
        <f t="shared" si="473"/>
        <v>218880</v>
      </c>
      <c r="BT213" s="74">
        <f t="shared" si="473"/>
        <v>21120</v>
      </c>
      <c r="BU213" s="74">
        <f t="shared" si="473"/>
        <v>6018483</v>
      </c>
      <c r="BV213" s="74">
        <f t="shared" ref="BV213:CF213" si="475">SUM(BV207:BV212)</f>
        <v>175662</v>
      </c>
      <c r="BW213" s="74">
        <f t="shared" si="475"/>
        <v>291464</v>
      </c>
      <c r="BX213" s="75">
        <f t="shared" si="475"/>
        <v>29.592300000000002</v>
      </c>
      <c r="BY213" s="75">
        <f t="shared" si="475"/>
        <v>25.105999999999998</v>
      </c>
      <c r="BZ213" s="753">
        <f t="shared" si="475"/>
        <v>4.4863</v>
      </c>
      <c r="CA213" s="796">
        <f t="shared" si="475"/>
        <v>0</v>
      </c>
      <c r="CB213" s="789">
        <f t="shared" si="475"/>
        <v>0</v>
      </c>
      <c r="CC213" s="789">
        <f t="shared" si="475"/>
        <v>0</v>
      </c>
      <c r="CD213" s="789">
        <f t="shared" si="475"/>
        <v>0</v>
      </c>
      <c r="CE213" s="789">
        <f t="shared" si="475"/>
        <v>0</v>
      </c>
      <c r="CF213" s="793">
        <f t="shared" si="475"/>
        <v>0</v>
      </c>
    </row>
    <row r="214" spans="1:84" ht="14.1" customHeight="1" x14ac:dyDescent="0.2">
      <c r="A214" s="66">
        <v>45</v>
      </c>
      <c r="B214" s="63">
        <v>2487</v>
      </c>
      <c r="C214" s="64">
        <v>600079996</v>
      </c>
      <c r="D214" s="63">
        <v>68974639</v>
      </c>
      <c r="E214" s="65" t="s">
        <v>626</v>
      </c>
      <c r="F214" s="66">
        <v>3113</v>
      </c>
      <c r="G214" s="65" t="s">
        <v>294</v>
      </c>
      <c r="H214" s="67" t="s">
        <v>271</v>
      </c>
      <c r="I214" s="423">
        <f t="shared" si="433"/>
        <v>28507911</v>
      </c>
      <c r="J214" s="418">
        <f t="shared" ref="J214" si="476">K214+L214</f>
        <v>20853522</v>
      </c>
      <c r="K214" s="418">
        <v>19421311</v>
      </c>
      <c r="L214" s="418">
        <v>1432211</v>
      </c>
      <c r="M214" s="418">
        <f>N214+O214</f>
        <v>0</v>
      </c>
      <c r="N214" s="418">
        <v>0</v>
      </c>
      <c r="O214" s="418">
        <v>0</v>
      </c>
      <c r="P214" s="668">
        <f t="shared" si="470"/>
        <v>7048490</v>
      </c>
      <c r="Q214" s="668">
        <f t="shared" si="471"/>
        <v>208535</v>
      </c>
      <c r="R214" s="418">
        <v>397364</v>
      </c>
      <c r="S214" s="419">
        <f>T214+U214</f>
        <v>31.9467</v>
      </c>
      <c r="T214" s="419">
        <v>27.7273</v>
      </c>
      <c r="U214" s="426">
        <v>4.2194000000000003</v>
      </c>
      <c r="V214" s="428">
        <f t="shared" si="439"/>
        <v>-32000</v>
      </c>
      <c r="W214" s="421">
        <f t="shared" si="440"/>
        <v>-6400</v>
      </c>
      <c r="X214" s="421">
        <v>0</v>
      </c>
      <c r="Y214" s="421">
        <v>0</v>
      </c>
      <c r="Z214" s="421">
        <v>0</v>
      </c>
      <c r="AA214" s="421">
        <v>0</v>
      </c>
      <c r="AB214" s="421">
        <v>451200</v>
      </c>
      <c r="AC214" s="421">
        <v>0</v>
      </c>
      <c r="AD214" s="421">
        <v>0</v>
      </c>
      <c r="AE214" s="421">
        <v>0</v>
      </c>
      <c r="AF214" s="421">
        <f t="shared" si="441"/>
        <v>419200</v>
      </c>
      <c r="AG214" s="421">
        <f t="shared" si="442"/>
        <v>-6400</v>
      </c>
      <c r="AH214" s="421">
        <f t="shared" si="443"/>
        <v>412800</v>
      </c>
      <c r="AI214" s="421">
        <v>32000</v>
      </c>
      <c r="AJ214" s="421">
        <v>6400</v>
      </c>
      <c r="AK214" s="421">
        <v>0</v>
      </c>
      <c r="AL214" s="421">
        <v>0</v>
      </c>
      <c r="AM214" s="421">
        <v>0</v>
      </c>
      <c r="AN214" s="421">
        <v>0</v>
      </c>
      <c r="AO214" s="421">
        <f t="shared" si="444"/>
        <v>32000</v>
      </c>
      <c r="AP214" s="421">
        <f t="shared" si="445"/>
        <v>6400</v>
      </c>
      <c r="AQ214" s="421">
        <f t="shared" si="446"/>
        <v>38400</v>
      </c>
      <c r="AR214" s="421">
        <f t="shared" ref="AR214:AS218" si="477">AF214+AO214</f>
        <v>451200</v>
      </c>
      <c r="AS214" s="421">
        <f t="shared" si="477"/>
        <v>0</v>
      </c>
      <c r="AT214" s="421">
        <f t="shared" si="447"/>
        <v>451200</v>
      </c>
      <c r="AU214" s="68">
        <f t="shared" ref="AU214:AU218" si="478">ROUND((AH214+AI214+AJ214+AK214+AL214)*33.8%,0)</f>
        <v>152506</v>
      </c>
      <c r="AV214" s="68">
        <f>ROUND(AH214*1%,0)</f>
        <v>4128</v>
      </c>
      <c r="AW214" s="421">
        <v>0</v>
      </c>
      <c r="AX214" s="421">
        <v>0</v>
      </c>
      <c r="AY214" s="421">
        <f t="shared" si="448"/>
        <v>0</v>
      </c>
      <c r="AZ214" s="421">
        <f t="shared" si="449"/>
        <v>607834</v>
      </c>
      <c r="BA214" s="422">
        <v>-0.02</v>
      </c>
      <c r="BB214" s="422">
        <v>-0.02</v>
      </c>
      <c r="BC214" s="422">
        <v>0</v>
      </c>
      <c r="BD214" s="422">
        <v>0.8</v>
      </c>
      <c r="BE214" s="422">
        <v>0</v>
      </c>
      <c r="BF214" s="422">
        <v>0</v>
      </c>
      <c r="BG214" s="422">
        <v>0</v>
      </c>
      <c r="BH214" s="422">
        <v>0</v>
      </c>
      <c r="BI214" s="422">
        <v>0</v>
      </c>
      <c r="BJ214" s="422">
        <v>0</v>
      </c>
      <c r="BK214" s="422">
        <f>BA214+BC214+BD214+BF214+BH214+BI214</f>
        <v>0.78</v>
      </c>
      <c r="BL214" s="422">
        <f>BB214+BE214+BG214+BJ214</f>
        <v>-0.02</v>
      </c>
      <c r="BM214" s="424">
        <f t="shared" si="450"/>
        <v>0.76</v>
      </c>
      <c r="BN214" s="427">
        <f>I214+AZ214</f>
        <v>29115745</v>
      </c>
      <c r="BO214" s="421">
        <f>J214+AH214</f>
        <v>21266322</v>
      </c>
      <c r="BP214" s="421">
        <f t="shared" ref="BP214:BQ218" si="479">K214+AF214</f>
        <v>19840511</v>
      </c>
      <c r="BQ214" s="421">
        <f t="shared" si="479"/>
        <v>1425811</v>
      </c>
      <c r="BR214" s="421">
        <f>M214+AQ214</f>
        <v>38400</v>
      </c>
      <c r="BS214" s="421">
        <f t="shared" ref="BS214:BT218" si="480">N214+AO214</f>
        <v>32000</v>
      </c>
      <c r="BT214" s="421">
        <f t="shared" si="480"/>
        <v>6400</v>
      </c>
      <c r="BU214" s="421">
        <f t="shared" ref="BU214:BV218" si="481">P214+AU214</f>
        <v>7200996</v>
      </c>
      <c r="BV214" s="421">
        <f t="shared" si="481"/>
        <v>212663</v>
      </c>
      <c r="BW214" s="421">
        <f>R214+AY214</f>
        <v>397364</v>
      </c>
      <c r="BX214" s="422">
        <f>S214+BM214</f>
        <v>32.706699999999998</v>
      </c>
      <c r="BY214" s="422">
        <f t="shared" ref="BY214:BZ218" si="482">T214+BK214</f>
        <v>28.507300000000001</v>
      </c>
      <c r="BZ214" s="611">
        <f t="shared" si="482"/>
        <v>4.1994000000000007</v>
      </c>
      <c r="CA214" s="423">
        <v>608218</v>
      </c>
      <c r="CB214" s="418">
        <v>451200</v>
      </c>
      <c r="CC214" s="418">
        <v>0</v>
      </c>
      <c r="CD214" s="418">
        <v>152506</v>
      </c>
      <c r="CE214" s="418">
        <v>4512</v>
      </c>
      <c r="CF214" s="527">
        <v>0.8</v>
      </c>
    </row>
    <row r="215" spans="1:84" ht="14.1" customHeight="1" x14ac:dyDescent="0.2">
      <c r="A215" s="66">
        <v>45</v>
      </c>
      <c r="B215" s="63">
        <v>2487</v>
      </c>
      <c r="C215" s="64">
        <v>600079996</v>
      </c>
      <c r="D215" s="63">
        <v>68974639</v>
      </c>
      <c r="E215" s="65" t="s">
        <v>626</v>
      </c>
      <c r="F215" s="66">
        <v>3113</v>
      </c>
      <c r="G215" s="77" t="s">
        <v>292</v>
      </c>
      <c r="H215" s="67" t="s">
        <v>272</v>
      </c>
      <c r="I215" s="423">
        <f t="shared" si="433"/>
        <v>0</v>
      </c>
      <c r="J215" s="418">
        <f t="shared" si="434"/>
        <v>0</v>
      </c>
      <c r="K215" s="418">
        <v>0</v>
      </c>
      <c r="L215" s="418">
        <v>0</v>
      </c>
      <c r="M215" s="418">
        <f t="shared" si="469"/>
        <v>0</v>
      </c>
      <c r="N215" s="418">
        <v>0</v>
      </c>
      <c r="O215" s="418">
        <v>0</v>
      </c>
      <c r="P215" s="668">
        <f t="shared" si="470"/>
        <v>0</v>
      </c>
      <c r="Q215" s="668">
        <f t="shared" si="471"/>
        <v>0</v>
      </c>
      <c r="R215" s="418">
        <v>0</v>
      </c>
      <c r="S215" s="419">
        <f t="shared" si="472"/>
        <v>0</v>
      </c>
      <c r="T215" s="420">
        <v>0</v>
      </c>
      <c r="U215" s="426">
        <v>0</v>
      </c>
      <c r="V215" s="428">
        <f t="shared" si="439"/>
        <v>0</v>
      </c>
      <c r="W215" s="421">
        <f t="shared" si="440"/>
        <v>0</v>
      </c>
      <c r="X215" s="16">
        <v>1450328</v>
      </c>
      <c r="Y215" s="16">
        <v>0</v>
      </c>
      <c r="Z215" s="16">
        <v>0</v>
      </c>
      <c r="AA215" s="16">
        <v>0</v>
      </c>
      <c r="AB215" s="421">
        <v>0</v>
      </c>
      <c r="AC215" s="16">
        <v>0</v>
      </c>
      <c r="AD215" s="16">
        <v>0</v>
      </c>
      <c r="AE215" s="16">
        <v>0</v>
      </c>
      <c r="AF215" s="421">
        <f t="shared" si="441"/>
        <v>1450328</v>
      </c>
      <c r="AG215" s="421">
        <f t="shared" si="442"/>
        <v>0</v>
      </c>
      <c r="AH215" s="421">
        <f t="shared" si="443"/>
        <v>1450328</v>
      </c>
      <c r="AI215" s="16">
        <v>0</v>
      </c>
      <c r="AJ215" s="16">
        <v>0</v>
      </c>
      <c r="AK215" s="421">
        <v>0</v>
      </c>
      <c r="AL215" s="16">
        <v>0</v>
      </c>
      <c r="AM215" s="16">
        <v>0</v>
      </c>
      <c r="AN215" s="16">
        <v>0</v>
      </c>
      <c r="AO215" s="421">
        <f t="shared" si="444"/>
        <v>0</v>
      </c>
      <c r="AP215" s="16">
        <v>0</v>
      </c>
      <c r="AQ215" s="421">
        <f t="shared" si="446"/>
        <v>0</v>
      </c>
      <c r="AR215" s="421">
        <f t="shared" si="477"/>
        <v>1450328</v>
      </c>
      <c r="AS215" s="421">
        <f t="shared" si="477"/>
        <v>0</v>
      </c>
      <c r="AT215" s="421">
        <f t="shared" si="447"/>
        <v>1450328</v>
      </c>
      <c r="AU215" s="68">
        <f t="shared" si="478"/>
        <v>490211</v>
      </c>
      <c r="AV215" s="68">
        <f>ROUND(AH215*1%,0)</f>
        <v>14503</v>
      </c>
      <c r="AW215" s="16">
        <v>0</v>
      </c>
      <c r="AX215" s="16">
        <v>0</v>
      </c>
      <c r="AY215" s="421">
        <f t="shared" si="448"/>
        <v>0</v>
      </c>
      <c r="AZ215" s="421">
        <f t="shared" si="449"/>
        <v>1955042</v>
      </c>
      <c r="BA215" s="13">
        <v>0</v>
      </c>
      <c r="BB215" s="13">
        <v>0</v>
      </c>
      <c r="BC215" s="13">
        <v>3.8800000000000003</v>
      </c>
      <c r="BD215" s="422">
        <v>0</v>
      </c>
      <c r="BE215" s="422">
        <v>0</v>
      </c>
      <c r="BF215" s="422">
        <v>0</v>
      </c>
      <c r="BG215" s="422">
        <v>0</v>
      </c>
      <c r="BH215" s="422">
        <v>0</v>
      </c>
      <c r="BI215" s="422">
        <v>0</v>
      </c>
      <c r="BJ215" s="422">
        <v>0</v>
      </c>
      <c r="BK215" s="422">
        <f>BA215+BC215+BD215+BF215+BH215+BI215</f>
        <v>3.8800000000000003</v>
      </c>
      <c r="BL215" s="422">
        <f>BB215+BE215+BG215+BJ215</f>
        <v>0</v>
      </c>
      <c r="BM215" s="424">
        <f t="shared" si="450"/>
        <v>3.8800000000000003</v>
      </c>
      <c r="BN215" s="427">
        <f>I215+AZ215</f>
        <v>1955042</v>
      </c>
      <c r="BO215" s="421">
        <f>J215+AH215</f>
        <v>1450328</v>
      </c>
      <c r="BP215" s="421">
        <f t="shared" si="479"/>
        <v>1450328</v>
      </c>
      <c r="BQ215" s="421">
        <f t="shared" si="479"/>
        <v>0</v>
      </c>
      <c r="BR215" s="421">
        <f>M215+AQ215</f>
        <v>0</v>
      </c>
      <c r="BS215" s="421">
        <f t="shared" si="480"/>
        <v>0</v>
      </c>
      <c r="BT215" s="421">
        <f t="shared" si="480"/>
        <v>0</v>
      </c>
      <c r="BU215" s="421">
        <f t="shared" si="481"/>
        <v>490211</v>
      </c>
      <c r="BV215" s="421">
        <f t="shared" si="481"/>
        <v>14503</v>
      </c>
      <c r="BW215" s="421">
        <f>R215+AY215</f>
        <v>0</v>
      </c>
      <c r="BX215" s="422">
        <f>S215+BM215</f>
        <v>3.8800000000000003</v>
      </c>
      <c r="BY215" s="422">
        <f t="shared" si="482"/>
        <v>3.8800000000000003</v>
      </c>
      <c r="BZ215" s="611">
        <f t="shared" si="482"/>
        <v>0</v>
      </c>
      <c r="CA215" s="423"/>
      <c r="CB215" s="418"/>
      <c r="CC215" s="418"/>
      <c r="CD215" s="418"/>
      <c r="CE215" s="418"/>
      <c r="CF215" s="527"/>
    </row>
    <row r="216" spans="1:84" ht="14.1" customHeight="1" x14ac:dyDescent="0.2">
      <c r="A216" s="66">
        <v>45</v>
      </c>
      <c r="B216" s="63">
        <v>2487</v>
      </c>
      <c r="C216" s="64">
        <v>600079996</v>
      </c>
      <c r="D216" s="63">
        <v>68974639</v>
      </c>
      <c r="E216" s="65" t="s">
        <v>626</v>
      </c>
      <c r="F216" s="66">
        <v>3141</v>
      </c>
      <c r="G216" s="65" t="s">
        <v>295</v>
      </c>
      <c r="H216" s="67" t="s">
        <v>272</v>
      </c>
      <c r="I216" s="423">
        <f t="shared" si="433"/>
        <v>2418064</v>
      </c>
      <c r="J216" s="418">
        <f t="shared" si="434"/>
        <v>1778549</v>
      </c>
      <c r="K216" s="418">
        <v>0</v>
      </c>
      <c r="L216" s="924">
        <v>1778549</v>
      </c>
      <c r="M216" s="418">
        <f>N216+O216</f>
        <v>0</v>
      </c>
      <c r="N216" s="205">
        <v>0</v>
      </c>
      <c r="O216" s="205">
        <v>0</v>
      </c>
      <c r="P216" s="668">
        <f t="shared" si="470"/>
        <v>601150</v>
      </c>
      <c r="Q216" s="668">
        <f t="shared" si="471"/>
        <v>17785</v>
      </c>
      <c r="R216" s="674">
        <v>20580</v>
      </c>
      <c r="S216" s="419">
        <f>T216+U216</f>
        <v>5.3333000000000004</v>
      </c>
      <c r="T216" s="676">
        <v>0</v>
      </c>
      <c r="U216" s="909">
        <v>5.3333000000000004</v>
      </c>
      <c r="V216" s="428">
        <f t="shared" si="439"/>
        <v>0</v>
      </c>
      <c r="W216" s="421">
        <f t="shared" si="440"/>
        <v>-6400</v>
      </c>
      <c r="X216" s="421">
        <v>0</v>
      </c>
      <c r="Y216" s="421">
        <v>0</v>
      </c>
      <c r="Z216" s="421">
        <v>0</v>
      </c>
      <c r="AA216" s="421">
        <v>0</v>
      </c>
      <c r="AB216" s="421">
        <v>0</v>
      </c>
      <c r="AC216" s="421">
        <v>0</v>
      </c>
      <c r="AD216" s="421">
        <v>0</v>
      </c>
      <c r="AE216" s="421">
        <v>0</v>
      </c>
      <c r="AF216" s="421">
        <f t="shared" si="441"/>
        <v>0</v>
      </c>
      <c r="AG216" s="421">
        <f t="shared" si="442"/>
        <v>-6400</v>
      </c>
      <c r="AH216" s="421">
        <f t="shared" si="443"/>
        <v>-6400</v>
      </c>
      <c r="AI216" s="421">
        <v>0</v>
      </c>
      <c r="AJ216" s="421">
        <v>6400</v>
      </c>
      <c r="AK216" s="421">
        <v>0</v>
      </c>
      <c r="AL216" s="421">
        <v>0</v>
      </c>
      <c r="AM216" s="421">
        <v>0</v>
      </c>
      <c r="AN216" s="421">
        <v>0</v>
      </c>
      <c r="AO216" s="421">
        <f t="shared" si="444"/>
        <v>0</v>
      </c>
      <c r="AP216" s="421">
        <f t="shared" si="445"/>
        <v>6400</v>
      </c>
      <c r="AQ216" s="421">
        <f t="shared" si="446"/>
        <v>6400</v>
      </c>
      <c r="AR216" s="421">
        <f t="shared" si="477"/>
        <v>0</v>
      </c>
      <c r="AS216" s="421">
        <f t="shared" si="477"/>
        <v>0</v>
      </c>
      <c r="AT216" s="421">
        <f t="shared" si="447"/>
        <v>0</v>
      </c>
      <c r="AU216" s="68">
        <f t="shared" si="478"/>
        <v>0</v>
      </c>
      <c r="AV216" s="68">
        <f>ROUND(AH216*1%,0)</f>
        <v>-64</v>
      </c>
      <c r="AW216" s="421">
        <v>0</v>
      </c>
      <c r="AX216" s="421">
        <v>0</v>
      </c>
      <c r="AY216" s="421">
        <f t="shared" si="448"/>
        <v>0</v>
      </c>
      <c r="AZ216" s="421">
        <f t="shared" si="449"/>
        <v>-64</v>
      </c>
      <c r="BA216" s="422">
        <v>0</v>
      </c>
      <c r="BB216" s="422">
        <v>0</v>
      </c>
      <c r="BC216" s="422">
        <v>0</v>
      </c>
      <c r="BD216" s="422">
        <v>0</v>
      </c>
      <c r="BE216" s="422">
        <v>0</v>
      </c>
      <c r="BF216" s="422">
        <v>0</v>
      </c>
      <c r="BG216" s="422">
        <v>0</v>
      </c>
      <c r="BH216" s="422">
        <v>0</v>
      </c>
      <c r="BI216" s="422">
        <v>0</v>
      </c>
      <c r="BJ216" s="422">
        <v>0</v>
      </c>
      <c r="BK216" s="422">
        <f>BA216+BC216+BD216+BF216+BH216+BI216</f>
        <v>0</v>
      </c>
      <c r="BL216" s="422">
        <f>BB216+BE216+BG216+BJ216</f>
        <v>0</v>
      </c>
      <c r="BM216" s="424">
        <f t="shared" si="450"/>
        <v>0</v>
      </c>
      <c r="BN216" s="427">
        <f>I216+AZ216</f>
        <v>2418000</v>
      </c>
      <c r="BO216" s="421">
        <f>J216+AH216</f>
        <v>1772149</v>
      </c>
      <c r="BP216" s="421">
        <f t="shared" si="479"/>
        <v>0</v>
      </c>
      <c r="BQ216" s="421">
        <f t="shared" si="479"/>
        <v>1772149</v>
      </c>
      <c r="BR216" s="421">
        <f>M216+AQ216</f>
        <v>6400</v>
      </c>
      <c r="BS216" s="421">
        <f t="shared" si="480"/>
        <v>0</v>
      </c>
      <c r="BT216" s="421">
        <f t="shared" si="480"/>
        <v>6400</v>
      </c>
      <c r="BU216" s="421">
        <f t="shared" si="481"/>
        <v>601150</v>
      </c>
      <c r="BV216" s="421">
        <f t="shared" si="481"/>
        <v>17721</v>
      </c>
      <c r="BW216" s="421">
        <f>R216+AY216</f>
        <v>20580</v>
      </c>
      <c r="BX216" s="422">
        <f>S216+BM216</f>
        <v>5.3333000000000004</v>
      </c>
      <c r="BY216" s="422">
        <f t="shared" si="482"/>
        <v>0</v>
      </c>
      <c r="BZ216" s="611">
        <f t="shared" si="482"/>
        <v>5.3333000000000004</v>
      </c>
      <c r="CA216" s="423"/>
      <c r="CB216" s="418"/>
      <c r="CC216" s="418"/>
      <c r="CD216" s="418"/>
      <c r="CE216" s="418"/>
      <c r="CF216" s="527"/>
    </row>
    <row r="217" spans="1:84" ht="14.1" customHeight="1" x14ac:dyDescent="0.2">
      <c r="A217" s="66">
        <v>45</v>
      </c>
      <c r="B217" s="63">
        <v>2487</v>
      </c>
      <c r="C217" s="64">
        <v>600079996</v>
      </c>
      <c r="D217" s="63">
        <v>68974639</v>
      </c>
      <c r="E217" s="65" t="s">
        <v>626</v>
      </c>
      <c r="F217" s="66">
        <v>3143</v>
      </c>
      <c r="G217" s="77" t="s">
        <v>596</v>
      </c>
      <c r="H217" s="67" t="s">
        <v>271</v>
      </c>
      <c r="I217" s="423">
        <f t="shared" si="433"/>
        <v>2393122</v>
      </c>
      <c r="J217" s="418">
        <f t="shared" si="434"/>
        <v>1775313</v>
      </c>
      <c r="K217" s="418">
        <v>1775313</v>
      </c>
      <c r="L217" s="418">
        <v>0</v>
      </c>
      <c r="M217" s="418">
        <f t="shared" si="469"/>
        <v>0</v>
      </c>
      <c r="N217" s="418">
        <v>0</v>
      </c>
      <c r="O217" s="418">
        <v>0</v>
      </c>
      <c r="P217" s="668">
        <f t="shared" si="470"/>
        <v>600056</v>
      </c>
      <c r="Q217" s="668">
        <f t="shared" si="471"/>
        <v>17753</v>
      </c>
      <c r="R217" s="418">
        <v>0</v>
      </c>
      <c r="S217" s="419">
        <f t="shared" si="472"/>
        <v>3.5</v>
      </c>
      <c r="T217" s="419">
        <v>3.5</v>
      </c>
      <c r="U217" s="426">
        <v>0</v>
      </c>
      <c r="V217" s="428">
        <f t="shared" si="439"/>
        <v>0</v>
      </c>
      <c r="W217" s="421">
        <f t="shared" si="440"/>
        <v>0</v>
      </c>
      <c r="X217" s="421">
        <v>0</v>
      </c>
      <c r="Y217" s="421">
        <v>0</v>
      </c>
      <c r="Z217" s="421">
        <v>0</v>
      </c>
      <c r="AA217" s="421">
        <v>0</v>
      </c>
      <c r="AB217" s="421">
        <v>0</v>
      </c>
      <c r="AC217" s="421">
        <v>0</v>
      </c>
      <c r="AD217" s="421">
        <v>0</v>
      </c>
      <c r="AE217" s="421">
        <v>0</v>
      </c>
      <c r="AF217" s="421">
        <f t="shared" si="441"/>
        <v>0</v>
      </c>
      <c r="AG217" s="421">
        <f t="shared" si="442"/>
        <v>0</v>
      </c>
      <c r="AH217" s="421">
        <f t="shared" si="443"/>
        <v>0</v>
      </c>
      <c r="AI217" s="421">
        <v>0</v>
      </c>
      <c r="AJ217" s="421">
        <v>0</v>
      </c>
      <c r="AK217" s="421">
        <v>0</v>
      </c>
      <c r="AL217" s="421">
        <v>0</v>
      </c>
      <c r="AM217" s="421">
        <v>0</v>
      </c>
      <c r="AN217" s="421">
        <v>0</v>
      </c>
      <c r="AO217" s="421">
        <f t="shared" si="444"/>
        <v>0</v>
      </c>
      <c r="AP217" s="421">
        <f t="shared" si="445"/>
        <v>0</v>
      </c>
      <c r="AQ217" s="421">
        <f t="shared" si="446"/>
        <v>0</v>
      </c>
      <c r="AR217" s="421">
        <f t="shared" si="477"/>
        <v>0</v>
      </c>
      <c r="AS217" s="421">
        <f t="shared" si="477"/>
        <v>0</v>
      </c>
      <c r="AT217" s="421">
        <f t="shared" si="447"/>
        <v>0</v>
      </c>
      <c r="AU217" s="68">
        <f t="shared" si="478"/>
        <v>0</v>
      </c>
      <c r="AV217" s="68">
        <f>ROUND(AH217*1%,0)</f>
        <v>0</v>
      </c>
      <c r="AW217" s="421">
        <v>0</v>
      </c>
      <c r="AX217" s="421">
        <v>0</v>
      </c>
      <c r="AY217" s="421">
        <f t="shared" si="448"/>
        <v>0</v>
      </c>
      <c r="AZ217" s="421">
        <f t="shared" si="449"/>
        <v>0</v>
      </c>
      <c r="BA217" s="422">
        <v>0</v>
      </c>
      <c r="BB217" s="422">
        <v>0</v>
      </c>
      <c r="BC217" s="422">
        <v>0</v>
      </c>
      <c r="BD217" s="422">
        <v>0</v>
      </c>
      <c r="BE217" s="422">
        <v>0</v>
      </c>
      <c r="BF217" s="422">
        <v>0</v>
      </c>
      <c r="BG217" s="422">
        <v>0</v>
      </c>
      <c r="BH217" s="422">
        <v>0</v>
      </c>
      <c r="BI217" s="422">
        <v>0</v>
      </c>
      <c r="BJ217" s="422">
        <v>0</v>
      </c>
      <c r="BK217" s="422">
        <f>BA217+BC217+BD217+BF217+BH217+BI217</f>
        <v>0</v>
      </c>
      <c r="BL217" s="422">
        <f>BB217+BE217+BG217+BJ217</f>
        <v>0</v>
      </c>
      <c r="BM217" s="424">
        <f t="shared" si="450"/>
        <v>0</v>
      </c>
      <c r="BN217" s="427">
        <f>I217+AZ217</f>
        <v>2393122</v>
      </c>
      <c r="BO217" s="421">
        <f>J217+AH217</f>
        <v>1775313</v>
      </c>
      <c r="BP217" s="421">
        <f t="shared" si="479"/>
        <v>1775313</v>
      </c>
      <c r="BQ217" s="421">
        <f t="shared" si="479"/>
        <v>0</v>
      </c>
      <c r="BR217" s="421">
        <f>M217+AQ217</f>
        <v>0</v>
      </c>
      <c r="BS217" s="421">
        <f t="shared" si="480"/>
        <v>0</v>
      </c>
      <c r="BT217" s="421">
        <f t="shared" si="480"/>
        <v>0</v>
      </c>
      <c r="BU217" s="421">
        <f t="shared" si="481"/>
        <v>600056</v>
      </c>
      <c r="BV217" s="421">
        <f t="shared" si="481"/>
        <v>17753</v>
      </c>
      <c r="BW217" s="421">
        <f>R217+AY217</f>
        <v>0</v>
      </c>
      <c r="BX217" s="422">
        <f>S217+BM217</f>
        <v>3.5</v>
      </c>
      <c r="BY217" s="422">
        <f t="shared" si="482"/>
        <v>3.5</v>
      </c>
      <c r="BZ217" s="611">
        <f t="shared" si="482"/>
        <v>0</v>
      </c>
      <c r="CA217" s="423"/>
      <c r="CB217" s="418"/>
      <c r="CC217" s="418"/>
      <c r="CD217" s="418"/>
      <c r="CE217" s="418"/>
      <c r="CF217" s="527"/>
    </row>
    <row r="218" spans="1:84" ht="14.1" customHeight="1" x14ac:dyDescent="0.2">
      <c r="A218" s="66">
        <v>45</v>
      </c>
      <c r="B218" s="63">
        <v>2487</v>
      </c>
      <c r="C218" s="64">
        <v>600079996</v>
      </c>
      <c r="D218" s="63">
        <v>68974639</v>
      </c>
      <c r="E218" s="65" t="s">
        <v>626</v>
      </c>
      <c r="F218" s="66">
        <v>3143</v>
      </c>
      <c r="G218" s="77" t="s">
        <v>597</v>
      </c>
      <c r="H218" s="67" t="s">
        <v>272</v>
      </c>
      <c r="I218" s="423">
        <f t="shared" si="433"/>
        <v>56357</v>
      </c>
      <c r="J218" s="418">
        <f t="shared" si="434"/>
        <v>40339</v>
      </c>
      <c r="K218" s="418">
        <v>0</v>
      </c>
      <c r="L218" s="674">
        <v>40339</v>
      </c>
      <c r="M218" s="418">
        <f t="shared" si="469"/>
        <v>0</v>
      </c>
      <c r="N218" s="418">
        <v>0</v>
      </c>
      <c r="O218" s="418">
        <v>0</v>
      </c>
      <c r="P218" s="668">
        <f t="shared" si="470"/>
        <v>13635</v>
      </c>
      <c r="Q218" s="668">
        <f t="shared" si="471"/>
        <v>403</v>
      </c>
      <c r="R218" s="675">
        <v>1980</v>
      </c>
      <c r="S218" s="419">
        <f t="shared" si="472"/>
        <v>0.15279999999999999</v>
      </c>
      <c r="T218" s="679">
        <v>0</v>
      </c>
      <c r="U218" s="909">
        <v>0.15279999999999999</v>
      </c>
      <c r="V218" s="428">
        <f t="shared" si="439"/>
        <v>0</v>
      </c>
      <c r="W218" s="421">
        <f t="shared" si="440"/>
        <v>0</v>
      </c>
      <c r="X218" s="421">
        <v>0</v>
      </c>
      <c r="Y218" s="421">
        <v>0</v>
      </c>
      <c r="Z218" s="421">
        <v>0</v>
      </c>
      <c r="AA218" s="421">
        <v>0</v>
      </c>
      <c r="AB218" s="421">
        <v>0</v>
      </c>
      <c r="AC218" s="421">
        <v>0</v>
      </c>
      <c r="AD218" s="421">
        <v>0</v>
      </c>
      <c r="AE218" s="421">
        <v>0</v>
      </c>
      <c r="AF218" s="421">
        <f t="shared" si="441"/>
        <v>0</v>
      </c>
      <c r="AG218" s="421">
        <f t="shared" si="442"/>
        <v>0</v>
      </c>
      <c r="AH218" s="421">
        <f t="shared" si="443"/>
        <v>0</v>
      </c>
      <c r="AI218" s="421">
        <v>0</v>
      </c>
      <c r="AJ218" s="421">
        <v>0</v>
      </c>
      <c r="AK218" s="421">
        <v>0</v>
      </c>
      <c r="AL218" s="421">
        <v>0</v>
      </c>
      <c r="AM218" s="421">
        <v>0</v>
      </c>
      <c r="AN218" s="421">
        <v>0</v>
      </c>
      <c r="AO218" s="421">
        <f t="shared" si="444"/>
        <v>0</v>
      </c>
      <c r="AP218" s="421">
        <f t="shared" si="445"/>
        <v>0</v>
      </c>
      <c r="AQ218" s="421">
        <f t="shared" si="446"/>
        <v>0</v>
      </c>
      <c r="AR218" s="421">
        <f t="shared" si="477"/>
        <v>0</v>
      </c>
      <c r="AS218" s="421">
        <f t="shared" si="477"/>
        <v>0</v>
      </c>
      <c r="AT218" s="421">
        <f t="shared" si="447"/>
        <v>0</v>
      </c>
      <c r="AU218" s="68">
        <f t="shared" si="478"/>
        <v>0</v>
      </c>
      <c r="AV218" s="68">
        <f>ROUND(AH218*1%,0)</f>
        <v>0</v>
      </c>
      <c r="AW218" s="421">
        <v>0</v>
      </c>
      <c r="AX218" s="421">
        <v>0</v>
      </c>
      <c r="AY218" s="421">
        <f t="shared" si="448"/>
        <v>0</v>
      </c>
      <c r="AZ218" s="421">
        <f t="shared" si="449"/>
        <v>0</v>
      </c>
      <c r="BA218" s="422">
        <v>0</v>
      </c>
      <c r="BB218" s="422">
        <v>0</v>
      </c>
      <c r="BC218" s="422">
        <v>0</v>
      </c>
      <c r="BD218" s="422">
        <v>0</v>
      </c>
      <c r="BE218" s="422">
        <v>0</v>
      </c>
      <c r="BF218" s="422">
        <v>0</v>
      </c>
      <c r="BG218" s="422">
        <v>0</v>
      </c>
      <c r="BH218" s="422">
        <v>0</v>
      </c>
      <c r="BI218" s="422">
        <v>0</v>
      </c>
      <c r="BJ218" s="422">
        <v>0</v>
      </c>
      <c r="BK218" s="422">
        <f>BA218+BC218+BD218+BF218+BH218+BI218</f>
        <v>0</v>
      </c>
      <c r="BL218" s="422">
        <f>BB218+BE218+BG218+BJ218</f>
        <v>0</v>
      </c>
      <c r="BM218" s="424">
        <f t="shared" si="450"/>
        <v>0</v>
      </c>
      <c r="BN218" s="427">
        <f>I218+AZ218</f>
        <v>56357</v>
      </c>
      <c r="BO218" s="421">
        <f>J218+AH218</f>
        <v>40339</v>
      </c>
      <c r="BP218" s="421">
        <f t="shared" si="479"/>
        <v>0</v>
      </c>
      <c r="BQ218" s="421">
        <f t="shared" si="479"/>
        <v>40339</v>
      </c>
      <c r="BR218" s="421">
        <f>M218+AQ218</f>
        <v>0</v>
      </c>
      <c r="BS218" s="421">
        <f t="shared" si="480"/>
        <v>0</v>
      </c>
      <c r="BT218" s="421">
        <f t="shared" si="480"/>
        <v>0</v>
      </c>
      <c r="BU218" s="421">
        <f t="shared" si="481"/>
        <v>13635</v>
      </c>
      <c r="BV218" s="421">
        <f t="shared" si="481"/>
        <v>403</v>
      </c>
      <c r="BW218" s="421">
        <f>R218+AY218</f>
        <v>1980</v>
      </c>
      <c r="BX218" s="422">
        <f>S218+BM218</f>
        <v>0.15279999999999999</v>
      </c>
      <c r="BY218" s="422">
        <f t="shared" si="482"/>
        <v>0</v>
      </c>
      <c r="BZ218" s="611">
        <f t="shared" si="482"/>
        <v>0.15279999999999999</v>
      </c>
      <c r="CA218" s="423"/>
      <c r="CB218" s="418"/>
      <c r="CC218" s="418"/>
      <c r="CD218" s="418"/>
      <c r="CE218" s="418"/>
      <c r="CF218" s="527"/>
    </row>
    <row r="219" spans="1:84" ht="14.1" customHeight="1" x14ac:dyDescent="0.2">
      <c r="A219" s="72">
        <v>45</v>
      </c>
      <c r="B219" s="69">
        <v>2487</v>
      </c>
      <c r="C219" s="70">
        <v>600079996</v>
      </c>
      <c r="D219" s="69">
        <v>68974639</v>
      </c>
      <c r="E219" s="71" t="s">
        <v>627</v>
      </c>
      <c r="F219" s="72"/>
      <c r="G219" s="71"/>
      <c r="H219" s="73"/>
      <c r="I219" s="538">
        <f t="shared" ref="I219:BU219" si="483">SUM(I214:I218)</f>
        <v>33375454</v>
      </c>
      <c r="J219" s="74">
        <f t="shared" si="483"/>
        <v>24447723</v>
      </c>
      <c r="K219" s="74">
        <f>SUM(K214:K218)</f>
        <v>21196624</v>
      </c>
      <c r="L219" s="74">
        <f>SUM(L214:L218)</f>
        <v>3251099</v>
      </c>
      <c r="M219" s="74">
        <f>SUM(M214:M218)</f>
        <v>0</v>
      </c>
      <c r="N219" s="74">
        <f>SUM(N214:N218)</f>
        <v>0</v>
      </c>
      <c r="O219" s="74">
        <f>SUM(O214:O218)</f>
        <v>0</v>
      </c>
      <c r="P219" s="74">
        <f t="shared" ref="P219:Q219" si="484">SUM(P214:P218)</f>
        <v>8263331</v>
      </c>
      <c r="Q219" s="74">
        <f t="shared" si="484"/>
        <v>244476</v>
      </c>
      <c r="R219" s="74">
        <f>SUM(R214:R218)</f>
        <v>419924</v>
      </c>
      <c r="S219" s="75">
        <f>SUM(S214:S218)</f>
        <v>40.9328</v>
      </c>
      <c r="T219" s="75">
        <f>SUM(T214:T218)</f>
        <v>31.2273</v>
      </c>
      <c r="U219" s="753">
        <f>SUM(U214:U218)</f>
        <v>9.7055000000000007</v>
      </c>
      <c r="V219" s="538">
        <f t="shared" si="483"/>
        <v>-32000</v>
      </c>
      <c r="W219" s="74">
        <f t="shared" si="483"/>
        <v>-12800</v>
      </c>
      <c r="X219" s="74">
        <f t="shared" si="483"/>
        <v>1450328</v>
      </c>
      <c r="Y219" s="74">
        <f t="shared" si="483"/>
        <v>0</v>
      </c>
      <c r="Z219" s="74">
        <f t="shared" si="483"/>
        <v>0</v>
      </c>
      <c r="AA219" s="74">
        <f t="shared" si="483"/>
        <v>0</v>
      </c>
      <c r="AB219" s="74">
        <f t="shared" si="483"/>
        <v>451200</v>
      </c>
      <c r="AC219" s="74">
        <f t="shared" si="483"/>
        <v>0</v>
      </c>
      <c r="AD219" s="74">
        <f t="shared" si="483"/>
        <v>0</v>
      </c>
      <c r="AE219" s="74">
        <f t="shared" si="483"/>
        <v>0</v>
      </c>
      <c r="AF219" s="74">
        <f t="shared" si="483"/>
        <v>1869528</v>
      </c>
      <c r="AG219" s="74">
        <f t="shared" si="483"/>
        <v>-12800</v>
      </c>
      <c r="AH219" s="74">
        <f t="shared" si="483"/>
        <v>1856728</v>
      </c>
      <c r="AI219" s="74">
        <f t="shared" si="483"/>
        <v>32000</v>
      </c>
      <c r="AJ219" s="74">
        <f t="shared" si="483"/>
        <v>12800</v>
      </c>
      <c r="AK219" s="74">
        <f t="shared" si="483"/>
        <v>0</v>
      </c>
      <c r="AL219" s="74">
        <f t="shared" si="483"/>
        <v>0</v>
      </c>
      <c r="AM219" s="74">
        <f t="shared" si="483"/>
        <v>0</v>
      </c>
      <c r="AN219" s="74">
        <f t="shared" si="483"/>
        <v>0</v>
      </c>
      <c r="AO219" s="74">
        <f t="shared" si="483"/>
        <v>32000</v>
      </c>
      <c r="AP219" s="74">
        <f t="shared" si="483"/>
        <v>12800</v>
      </c>
      <c r="AQ219" s="74">
        <f t="shared" si="483"/>
        <v>44800</v>
      </c>
      <c r="AR219" s="74">
        <f t="shared" si="483"/>
        <v>1901528</v>
      </c>
      <c r="AS219" s="74">
        <f t="shared" si="483"/>
        <v>0</v>
      </c>
      <c r="AT219" s="74">
        <f t="shared" si="483"/>
        <v>1901528</v>
      </c>
      <c r="AU219" s="74">
        <f t="shared" si="483"/>
        <v>642717</v>
      </c>
      <c r="AV219" s="74">
        <f t="shared" si="483"/>
        <v>18567</v>
      </c>
      <c r="AW219" s="74">
        <f t="shared" si="483"/>
        <v>0</v>
      </c>
      <c r="AX219" s="74">
        <f t="shared" si="483"/>
        <v>0</v>
      </c>
      <c r="AY219" s="74">
        <f t="shared" si="483"/>
        <v>0</v>
      </c>
      <c r="AZ219" s="74">
        <f t="shared" si="483"/>
        <v>2562812</v>
      </c>
      <c r="BA219" s="75">
        <f t="shared" si="483"/>
        <v>-0.02</v>
      </c>
      <c r="BB219" s="75">
        <f t="shared" si="483"/>
        <v>-0.02</v>
      </c>
      <c r="BC219" s="75">
        <f t="shared" si="483"/>
        <v>3.8800000000000003</v>
      </c>
      <c r="BD219" s="75">
        <f t="shared" si="483"/>
        <v>0.8</v>
      </c>
      <c r="BE219" s="75">
        <f t="shared" si="483"/>
        <v>0</v>
      </c>
      <c r="BF219" s="75">
        <f t="shared" si="483"/>
        <v>0</v>
      </c>
      <c r="BG219" s="75">
        <f t="shared" si="483"/>
        <v>0</v>
      </c>
      <c r="BH219" s="75">
        <f t="shared" si="483"/>
        <v>0</v>
      </c>
      <c r="BI219" s="75">
        <f t="shared" si="483"/>
        <v>0</v>
      </c>
      <c r="BJ219" s="75">
        <f t="shared" si="483"/>
        <v>0</v>
      </c>
      <c r="BK219" s="75">
        <f t="shared" si="483"/>
        <v>4.66</v>
      </c>
      <c r="BL219" s="75">
        <f t="shared" si="483"/>
        <v>-0.02</v>
      </c>
      <c r="BM219" s="76">
        <f t="shared" si="483"/>
        <v>4.6400000000000006</v>
      </c>
      <c r="BN219" s="549">
        <f t="shared" si="483"/>
        <v>35938266</v>
      </c>
      <c r="BO219" s="74">
        <f t="shared" si="483"/>
        <v>26304451</v>
      </c>
      <c r="BP219" s="74">
        <f t="shared" si="483"/>
        <v>23066152</v>
      </c>
      <c r="BQ219" s="74">
        <f t="shared" si="483"/>
        <v>3238299</v>
      </c>
      <c r="BR219" s="74">
        <f t="shared" si="483"/>
        <v>44800</v>
      </c>
      <c r="BS219" s="74">
        <f t="shared" si="483"/>
        <v>32000</v>
      </c>
      <c r="BT219" s="74">
        <f t="shared" si="483"/>
        <v>12800</v>
      </c>
      <c r="BU219" s="74">
        <f t="shared" si="483"/>
        <v>8906048</v>
      </c>
      <c r="BV219" s="74">
        <f t="shared" ref="BV219:CF219" si="485">SUM(BV214:BV218)</f>
        <v>263043</v>
      </c>
      <c r="BW219" s="74">
        <f t="shared" si="485"/>
        <v>419924</v>
      </c>
      <c r="BX219" s="75">
        <f t="shared" si="485"/>
        <v>45.572800000000001</v>
      </c>
      <c r="BY219" s="75">
        <f t="shared" si="485"/>
        <v>35.887300000000003</v>
      </c>
      <c r="BZ219" s="753">
        <f t="shared" si="485"/>
        <v>9.6855000000000011</v>
      </c>
      <c r="CA219" s="796">
        <f t="shared" si="485"/>
        <v>608218</v>
      </c>
      <c r="CB219" s="789">
        <f t="shared" si="485"/>
        <v>451200</v>
      </c>
      <c r="CC219" s="789">
        <f t="shared" si="485"/>
        <v>0</v>
      </c>
      <c r="CD219" s="789">
        <f t="shared" si="485"/>
        <v>152506</v>
      </c>
      <c r="CE219" s="789">
        <f t="shared" si="485"/>
        <v>4512</v>
      </c>
      <c r="CF219" s="793">
        <f t="shared" si="485"/>
        <v>0.8</v>
      </c>
    </row>
    <row r="220" spans="1:84" ht="14.1" customHeight="1" x14ac:dyDescent="0.2">
      <c r="A220" s="66">
        <v>46</v>
      </c>
      <c r="B220" s="63">
        <v>2488</v>
      </c>
      <c r="C220" s="64">
        <v>600079902</v>
      </c>
      <c r="D220" s="63">
        <v>70884978</v>
      </c>
      <c r="E220" s="65" t="s">
        <v>628</v>
      </c>
      <c r="F220" s="66">
        <v>3113</v>
      </c>
      <c r="G220" s="65" t="s">
        <v>294</v>
      </c>
      <c r="H220" s="67" t="s">
        <v>271</v>
      </c>
      <c r="I220" s="423">
        <f t="shared" si="433"/>
        <v>23995347</v>
      </c>
      <c r="J220" s="418">
        <f t="shared" ref="J220" si="486">K220+L220</f>
        <v>17562380</v>
      </c>
      <c r="K220" s="418">
        <v>16263254</v>
      </c>
      <c r="L220" s="418">
        <v>1299126</v>
      </c>
      <c r="M220" s="418">
        <f>N220+O220</f>
        <v>0</v>
      </c>
      <c r="N220" s="418">
        <v>0</v>
      </c>
      <c r="O220" s="418">
        <v>0</v>
      </c>
      <c r="P220" s="668">
        <f>ROUND(J220*33.8%,0)+1</f>
        <v>5936085</v>
      </c>
      <c r="Q220" s="668">
        <f t="shared" si="471"/>
        <v>175624</v>
      </c>
      <c r="R220" s="418">
        <v>321258</v>
      </c>
      <c r="S220" s="419">
        <f>T220+U220</f>
        <v>26.820399999999999</v>
      </c>
      <c r="T220" s="419">
        <v>22.953700000000001</v>
      </c>
      <c r="U220" s="426">
        <v>3.8666999999999998</v>
      </c>
      <c r="V220" s="428">
        <f t="shared" si="439"/>
        <v>-32000</v>
      </c>
      <c r="W220" s="421">
        <f t="shared" si="440"/>
        <v>-32000</v>
      </c>
      <c r="X220" s="421">
        <v>0</v>
      </c>
      <c r="Y220" s="421">
        <v>0</v>
      </c>
      <c r="Z220" s="421">
        <v>0</v>
      </c>
      <c r="AA220" s="421">
        <v>99300</v>
      </c>
      <c r="AB220" s="421">
        <v>451200</v>
      </c>
      <c r="AC220" s="421">
        <v>0</v>
      </c>
      <c r="AD220" s="421">
        <v>0</v>
      </c>
      <c r="AE220" s="421">
        <v>0</v>
      </c>
      <c r="AF220" s="421">
        <f t="shared" si="441"/>
        <v>518500</v>
      </c>
      <c r="AG220" s="421">
        <f t="shared" si="442"/>
        <v>-32000</v>
      </c>
      <c r="AH220" s="421">
        <f t="shared" si="443"/>
        <v>486500</v>
      </c>
      <c r="AI220" s="421">
        <v>32000</v>
      </c>
      <c r="AJ220" s="421">
        <v>32000</v>
      </c>
      <c r="AK220" s="421">
        <v>0</v>
      </c>
      <c r="AL220" s="421">
        <v>0</v>
      </c>
      <c r="AM220" s="421">
        <v>0</v>
      </c>
      <c r="AN220" s="421">
        <v>0</v>
      </c>
      <c r="AO220" s="421">
        <f t="shared" si="444"/>
        <v>32000</v>
      </c>
      <c r="AP220" s="421">
        <f t="shared" si="445"/>
        <v>32000</v>
      </c>
      <c r="AQ220" s="421">
        <f t="shared" si="446"/>
        <v>64000</v>
      </c>
      <c r="AR220" s="421">
        <f t="shared" ref="AR220:AS224" si="487">AF220+AO220</f>
        <v>550500</v>
      </c>
      <c r="AS220" s="421">
        <f t="shared" si="487"/>
        <v>0</v>
      </c>
      <c r="AT220" s="421">
        <f t="shared" si="447"/>
        <v>550500</v>
      </c>
      <c r="AU220" s="68">
        <f t="shared" ref="AU220:AU224" si="488">ROUND((AH220+AI220+AJ220+AK220+AL220)*33.8%,0)</f>
        <v>186069</v>
      </c>
      <c r="AV220" s="68">
        <f>ROUND(AH220*1%,0)</f>
        <v>4865</v>
      </c>
      <c r="AW220" s="421">
        <v>0</v>
      </c>
      <c r="AX220" s="421">
        <v>0</v>
      </c>
      <c r="AY220" s="421">
        <f t="shared" si="448"/>
        <v>0</v>
      </c>
      <c r="AZ220" s="421">
        <f t="shared" si="449"/>
        <v>741434</v>
      </c>
      <c r="BA220" s="422">
        <v>-0.05</v>
      </c>
      <c r="BB220" s="422">
        <v>0</v>
      </c>
      <c r="BC220" s="422">
        <v>0</v>
      </c>
      <c r="BD220" s="422">
        <v>0.8</v>
      </c>
      <c r="BE220" s="422">
        <v>0</v>
      </c>
      <c r="BF220" s="422">
        <v>0</v>
      </c>
      <c r="BG220" s="422">
        <v>0</v>
      </c>
      <c r="BH220" s="422">
        <v>0.14000000000000001</v>
      </c>
      <c r="BI220" s="422">
        <v>0</v>
      </c>
      <c r="BJ220" s="422">
        <v>0</v>
      </c>
      <c r="BK220" s="422">
        <f>BA220+BC220+BD220+BF220+BH220+BI220</f>
        <v>0.89</v>
      </c>
      <c r="BL220" s="422">
        <f>BB220+BE220+BG220+BJ220</f>
        <v>0</v>
      </c>
      <c r="BM220" s="424">
        <f t="shared" si="450"/>
        <v>0.89</v>
      </c>
      <c r="BN220" s="427">
        <f>I220+AZ220</f>
        <v>24736781</v>
      </c>
      <c r="BO220" s="421">
        <f>J220+AH220</f>
        <v>18048880</v>
      </c>
      <c r="BP220" s="421">
        <f t="shared" ref="BP220:BQ224" si="489">K220+AF220</f>
        <v>16781754</v>
      </c>
      <c r="BQ220" s="421">
        <f t="shared" si="489"/>
        <v>1267126</v>
      </c>
      <c r="BR220" s="421">
        <f>M220+AQ220</f>
        <v>64000</v>
      </c>
      <c r="BS220" s="421">
        <f t="shared" ref="BS220:BT224" si="490">N220+AO220</f>
        <v>32000</v>
      </c>
      <c r="BT220" s="421">
        <f t="shared" si="490"/>
        <v>32000</v>
      </c>
      <c r="BU220" s="421">
        <f t="shared" ref="BU220:BV224" si="491">P220+AU220</f>
        <v>6122154</v>
      </c>
      <c r="BV220" s="421">
        <f t="shared" si="491"/>
        <v>180489</v>
      </c>
      <c r="BW220" s="421">
        <f>R220+AY220</f>
        <v>321258</v>
      </c>
      <c r="BX220" s="422">
        <f>S220+BM220</f>
        <v>27.7104</v>
      </c>
      <c r="BY220" s="422">
        <f t="shared" ref="BY220:BZ224" si="492">T220+BK220</f>
        <v>23.843700000000002</v>
      </c>
      <c r="BZ220" s="611">
        <f t="shared" si="492"/>
        <v>3.8666999999999998</v>
      </c>
      <c r="CA220" s="423">
        <v>608218</v>
      </c>
      <c r="CB220" s="418">
        <v>451200</v>
      </c>
      <c r="CC220" s="418">
        <v>0</v>
      </c>
      <c r="CD220" s="418">
        <v>152506</v>
      </c>
      <c r="CE220" s="418">
        <v>4512</v>
      </c>
      <c r="CF220" s="527">
        <v>0.8</v>
      </c>
    </row>
    <row r="221" spans="1:84" ht="14.1" customHeight="1" x14ac:dyDescent="0.2">
      <c r="A221" s="66">
        <v>46</v>
      </c>
      <c r="B221" s="63">
        <v>2488</v>
      </c>
      <c r="C221" s="64">
        <v>600079902</v>
      </c>
      <c r="D221" s="63">
        <v>70884978</v>
      </c>
      <c r="E221" s="65" t="s">
        <v>628</v>
      </c>
      <c r="F221" s="66">
        <v>3113</v>
      </c>
      <c r="G221" s="77" t="s">
        <v>292</v>
      </c>
      <c r="H221" s="67" t="s">
        <v>272</v>
      </c>
      <c r="I221" s="423">
        <f t="shared" si="433"/>
        <v>0</v>
      </c>
      <c r="J221" s="418">
        <f t="shared" si="434"/>
        <v>0</v>
      </c>
      <c r="K221" s="418">
        <v>0</v>
      </c>
      <c r="L221" s="418">
        <v>0</v>
      </c>
      <c r="M221" s="418">
        <f t="shared" si="469"/>
        <v>0</v>
      </c>
      <c r="N221" s="418">
        <v>0</v>
      </c>
      <c r="O221" s="418">
        <v>0</v>
      </c>
      <c r="P221" s="668">
        <f t="shared" si="470"/>
        <v>0</v>
      </c>
      <c r="Q221" s="668">
        <f t="shared" si="471"/>
        <v>0</v>
      </c>
      <c r="R221" s="418">
        <v>0</v>
      </c>
      <c r="S221" s="419">
        <f t="shared" si="472"/>
        <v>0</v>
      </c>
      <c r="T221" s="420">
        <v>0</v>
      </c>
      <c r="U221" s="426">
        <v>0</v>
      </c>
      <c r="V221" s="428">
        <f t="shared" si="439"/>
        <v>0</v>
      </c>
      <c r="W221" s="421">
        <f t="shared" si="440"/>
        <v>0</v>
      </c>
      <c r="X221" s="16">
        <v>3639008</v>
      </c>
      <c r="Y221" s="16">
        <v>0</v>
      </c>
      <c r="Z221" s="16">
        <v>0</v>
      </c>
      <c r="AA221" s="16">
        <v>0</v>
      </c>
      <c r="AB221" s="421">
        <v>0</v>
      </c>
      <c r="AC221" s="16">
        <v>0</v>
      </c>
      <c r="AD221" s="16">
        <v>0</v>
      </c>
      <c r="AE221" s="16">
        <v>0</v>
      </c>
      <c r="AF221" s="421">
        <f t="shared" si="441"/>
        <v>3639008</v>
      </c>
      <c r="AG221" s="421">
        <f t="shared" si="442"/>
        <v>0</v>
      </c>
      <c r="AH221" s="421">
        <f t="shared" si="443"/>
        <v>3639008</v>
      </c>
      <c r="AI221" s="16">
        <v>0</v>
      </c>
      <c r="AJ221" s="16">
        <v>0</v>
      </c>
      <c r="AK221" s="421">
        <v>0</v>
      </c>
      <c r="AL221" s="16">
        <v>0</v>
      </c>
      <c r="AM221" s="16">
        <v>0</v>
      </c>
      <c r="AN221" s="16">
        <v>0</v>
      </c>
      <c r="AO221" s="421">
        <f t="shared" si="444"/>
        <v>0</v>
      </c>
      <c r="AP221" s="16">
        <v>0</v>
      </c>
      <c r="AQ221" s="421">
        <f t="shared" si="446"/>
        <v>0</v>
      </c>
      <c r="AR221" s="421">
        <f t="shared" si="487"/>
        <v>3639008</v>
      </c>
      <c r="AS221" s="421">
        <f t="shared" si="487"/>
        <v>0</v>
      </c>
      <c r="AT221" s="421">
        <f t="shared" si="447"/>
        <v>3639008</v>
      </c>
      <c r="AU221" s="68">
        <f t="shared" si="488"/>
        <v>1229985</v>
      </c>
      <c r="AV221" s="68">
        <f>ROUND(AH221*1%,0)</f>
        <v>36390</v>
      </c>
      <c r="AW221" s="16">
        <v>3000</v>
      </c>
      <c r="AX221" s="16">
        <v>0</v>
      </c>
      <c r="AY221" s="421">
        <f t="shared" si="448"/>
        <v>3000</v>
      </c>
      <c r="AZ221" s="421">
        <f t="shared" si="449"/>
        <v>4908383</v>
      </c>
      <c r="BA221" s="13">
        <v>0</v>
      </c>
      <c r="BB221" s="13">
        <v>0</v>
      </c>
      <c r="BC221" s="13">
        <v>10.02</v>
      </c>
      <c r="BD221" s="422">
        <v>0</v>
      </c>
      <c r="BE221" s="422">
        <v>0</v>
      </c>
      <c r="BF221" s="422">
        <v>0</v>
      </c>
      <c r="BG221" s="422">
        <v>0</v>
      </c>
      <c r="BH221" s="422">
        <v>0</v>
      </c>
      <c r="BI221" s="422">
        <v>0</v>
      </c>
      <c r="BJ221" s="422">
        <v>0</v>
      </c>
      <c r="BK221" s="422">
        <f>BA221+BC221+BD221+BF221+BH221+BI221</f>
        <v>10.02</v>
      </c>
      <c r="BL221" s="422">
        <f>BB221+BE221+BG221+BJ221</f>
        <v>0</v>
      </c>
      <c r="BM221" s="424">
        <f t="shared" si="450"/>
        <v>10.02</v>
      </c>
      <c r="BN221" s="427">
        <f>I221+AZ221</f>
        <v>4908383</v>
      </c>
      <c r="BO221" s="421">
        <f>J221+AH221</f>
        <v>3639008</v>
      </c>
      <c r="BP221" s="421">
        <f t="shared" si="489"/>
        <v>3639008</v>
      </c>
      <c r="BQ221" s="421">
        <f t="shared" si="489"/>
        <v>0</v>
      </c>
      <c r="BR221" s="421">
        <f>M221+AQ221</f>
        <v>0</v>
      </c>
      <c r="BS221" s="421">
        <f t="shared" si="490"/>
        <v>0</v>
      </c>
      <c r="BT221" s="421">
        <f t="shared" si="490"/>
        <v>0</v>
      </c>
      <c r="BU221" s="421">
        <f t="shared" si="491"/>
        <v>1229985</v>
      </c>
      <c r="BV221" s="421">
        <f t="shared" si="491"/>
        <v>36390</v>
      </c>
      <c r="BW221" s="421">
        <f>R221+AY221</f>
        <v>3000</v>
      </c>
      <c r="BX221" s="422">
        <f>S221+BM221</f>
        <v>10.02</v>
      </c>
      <c r="BY221" s="422">
        <f t="shared" si="492"/>
        <v>10.02</v>
      </c>
      <c r="BZ221" s="611">
        <f t="shared" si="492"/>
        <v>0</v>
      </c>
      <c r="CA221" s="423"/>
      <c r="CB221" s="418"/>
      <c r="CC221" s="418"/>
      <c r="CD221" s="418"/>
      <c r="CE221" s="418"/>
      <c r="CF221" s="527"/>
    </row>
    <row r="222" spans="1:84" ht="14.1" customHeight="1" x14ac:dyDescent="0.2">
      <c r="A222" s="66">
        <v>46</v>
      </c>
      <c r="B222" s="63">
        <v>2488</v>
      </c>
      <c r="C222" s="64">
        <v>600079902</v>
      </c>
      <c r="D222" s="63">
        <v>70884978</v>
      </c>
      <c r="E222" s="65" t="s">
        <v>628</v>
      </c>
      <c r="F222" s="66">
        <v>3141</v>
      </c>
      <c r="G222" s="65" t="s">
        <v>295</v>
      </c>
      <c r="H222" s="67" t="s">
        <v>272</v>
      </c>
      <c r="I222" s="423">
        <f t="shared" si="433"/>
        <v>0</v>
      </c>
      <c r="J222" s="418">
        <f t="shared" si="434"/>
        <v>0</v>
      </c>
      <c r="K222" s="418">
        <v>0</v>
      </c>
      <c r="L222" s="924">
        <v>0</v>
      </c>
      <c r="M222" s="418">
        <f>N222+O222</f>
        <v>0</v>
      </c>
      <c r="N222" s="205">
        <v>0</v>
      </c>
      <c r="O222" s="205">
        <v>0</v>
      </c>
      <c r="P222" s="668">
        <f t="shared" si="470"/>
        <v>0</v>
      </c>
      <c r="Q222" s="668">
        <f t="shared" si="471"/>
        <v>0</v>
      </c>
      <c r="R222" s="674">
        <v>0</v>
      </c>
      <c r="S222" s="419">
        <f>T222+U222</f>
        <v>0</v>
      </c>
      <c r="T222" s="676">
        <v>0</v>
      </c>
      <c r="U222" s="909">
        <v>0</v>
      </c>
      <c r="V222" s="428">
        <f t="shared" si="439"/>
        <v>0</v>
      </c>
      <c r="W222" s="421">
        <f t="shared" si="440"/>
        <v>0</v>
      </c>
      <c r="X222" s="421">
        <v>0</v>
      </c>
      <c r="Y222" s="421">
        <v>0</v>
      </c>
      <c r="Z222" s="421">
        <v>0</v>
      </c>
      <c r="AA222" s="421">
        <v>0</v>
      </c>
      <c r="AB222" s="421">
        <v>0</v>
      </c>
      <c r="AC222" s="421">
        <v>0</v>
      </c>
      <c r="AD222" s="421">
        <v>0</v>
      </c>
      <c r="AE222" s="421">
        <v>0</v>
      </c>
      <c r="AF222" s="421">
        <f t="shared" si="441"/>
        <v>0</v>
      </c>
      <c r="AG222" s="421">
        <f t="shared" si="442"/>
        <v>0</v>
      </c>
      <c r="AH222" s="421">
        <f t="shared" si="443"/>
        <v>0</v>
      </c>
      <c r="AI222" s="421">
        <v>0</v>
      </c>
      <c r="AJ222" s="421">
        <v>0</v>
      </c>
      <c r="AK222" s="421">
        <v>0</v>
      </c>
      <c r="AL222" s="421">
        <v>0</v>
      </c>
      <c r="AM222" s="421">
        <v>0</v>
      </c>
      <c r="AN222" s="421">
        <v>0</v>
      </c>
      <c r="AO222" s="421">
        <f t="shared" si="444"/>
        <v>0</v>
      </c>
      <c r="AP222" s="421">
        <f t="shared" si="445"/>
        <v>0</v>
      </c>
      <c r="AQ222" s="421">
        <f t="shared" si="446"/>
        <v>0</v>
      </c>
      <c r="AR222" s="421">
        <f t="shared" si="487"/>
        <v>0</v>
      </c>
      <c r="AS222" s="421">
        <f t="shared" si="487"/>
        <v>0</v>
      </c>
      <c r="AT222" s="421">
        <f t="shared" si="447"/>
        <v>0</v>
      </c>
      <c r="AU222" s="68">
        <f t="shared" si="488"/>
        <v>0</v>
      </c>
      <c r="AV222" s="68">
        <f>ROUND(AH222*1%,0)</f>
        <v>0</v>
      </c>
      <c r="AW222" s="421">
        <v>0</v>
      </c>
      <c r="AX222" s="421">
        <v>0</v>
      </c>
      <c r="AY222" s="421">
        <f t="shared" si="448"/>
        <v>0</v>
      </c>
      <c r="AZ222" s="421">
        <f t="shared" si="449"/>
        <v>0</v>
      </c>
      <c r="BA222" s="422">
        <v>0</v>
      </c>
      <c r="BB222" s="422">
        <v>0</v>
      </c>
      <c r="BC222" s="422">
        <v>0</v>
      </c>
      <c r="BD222" s="422">
        <v>0</v>
      </c>
      <c r="BE222" s="422">
        <v>0</v>
      </c>
      <c r="BF222" s="422">
        <v>0</v>
      </c>
      <c r="BG222" s="422">
        <v>0</v>
      </c>
      <c r="BH222" s="422">
        <v>0</v>
      </c>
      <c r="BI222" s="422">
        <v>0</v>
      </c>
      <c r="BJ222" s="422">
        <v>0</v>
      </c>
      <c r="BK222" s="422">
        <f>BA222+BC222+BD222+BF222+BH222+BI222</f>
        <v>0</v>
      </c>
      <c r="BL222" s="422">
        <f>BB222+BE222+BG222+BJ222</f>
        <v>0</v>
      </c>
      <c r="BM222" s="424">
        <f t="shared" si="450"/>
        <v>0</v>
      </c>
      <c r="BN222" s="427">
        <f>I222+AZ222</f>
        <v>0</v>
      </c>
      <c r="BO222" s="421">
        <f>J222+AH222</f>
        <v>0</v>
      </c>
      <c r="BP222" s="421">
        <f t="shared" si="489"/>
        <v>0</v>
      </c>
      <c r="BQ222" s="421">
        <f t="shared" si="489"/>
        <v>0</v>
      </c>
      <c r="BR222" s="421">
        <f>M222+AQ222</f>
        <v>0</v>
      </c>
      <c r="BS222" s="421">
        <f t="shared" si="490"/>
        <v>0</v>
      </c>
      <c r="BT222" s="421">
        <f t="shared" si="490"/>
        <v>0</v>
      </c>
      <c r="BU222" s="421">
        <f t="shared" si="491"/>
        <v>0</v>
      </c>
      <c r="BV222" s="421">
        <f t="shared" si="491"/>
        <v>0</v>
      </c>
      <c r="BW222" s="421">
        <f>R222+AY222</f>
        <v>0</v>
      </c>
      <c r="BX222" s="422">
        <f>S222+BM222</f>
        <v>0</v>
      </c>
      <c r="BY222" s="422">
        <f t="shared" si="492"/>
        <v>0</v>
      </c>
      <c r="BZ222" s="611">
        <f t="shared" si="492"/>
        <v>0</v>
      </c>
      <c r="CA222" s="423"/>
      <c r="CB222" s="418"/>
      <c r="CC222" s="418"/>
      <c r="CD222" s="418"/>
      <c r="CE222" s="418"/>
      <c r="CF222" s="527"/>
    </row>
    <row r="223" spans="1:84" ht="14.1" customHeight="1" x14ac:dyDescent="0.2">
      <c r="A223" s="66">
        <v>46</v>
      </c>
      <c r="B223" s="63">
        <v>2488</v>
      </c>
      <c r="C223" s="64">
        <v>600079902</v>
      </c>
      <c r="D223" s="63">
        <v>70884978</v>
      </c>
      <c r="E223" s="65" t="s">
        <v>628</v>
      </c>
      <c r="F223" s="66">
        <v>3143</v>
      </c>
      <c r="G223" s="77" t="s">
        <v>596</v>
      </c>
      <c r="H223" s="67" t="s">
        <v>271</v>
      </c>
      <c r="I223" s="423">
        <f t="shared" si="433"/>
        <v>2621985</v>
      </c>
      <c r="J223" s="418">
        <f t="shared" si="434"/>
        <v>1945093</v>
      </c>
      <c r="K223" s="418">
        <v>1945093</v>
      </c>
      <c r="L223" s="418">
        <v>0</v>
      </c>
      <c r="M223" s="418">
        <f t="shared" si="469"/>
        <v>0</v>
      </c>
      <c r="N223" s="418">
        <v>0</v>
      </c>
      <c r="O223" s="418">
        <v>0</v>
      </c>
      <c r="P223" s="668">
        <f t="shared" si="470"/>
        <v>657441</v>
      </c>
      <c r="Q223" s="668">
        <f t="shared" si="471"/>
        <v>19451</v>
      </c>
      <c r="R223" s="418">
        <v>0</v>
      </c>
      <c r="S223" s="419">
        <f t="shared" si="472"/>
        <v>3.875</v>
      </c>
      <c r="T223" s="419">
        <v>3.875</v>
      </c>
      <c r="U223" s="426">
        <v>0</v>
      </c>
      <c r="V223" s="428">
        <f t="shared" si="439"/>
        <v>0</v>
      </c>
      <c r="W223" s="421">
        <f t="shared" si="440"/>
        <v>0</v>
      </c>
      <c r="X223" s="421">
        <v>0</v>
      </c>
      <c r="Y223" s="421">
        <v>0</v>
      </c>
      <c r="Z223" s="421">
        <v>0</v>
      </c>
      <c r="AA223" s="421">
        <v>0</v>
      </c>
      <c r="AB223" s="421">
        <v>0</v>
      </c>
      <c r="AC223" s="421">
        <v>0</v>
      </c>
      <c r="AD223" s="421">
        <v>0</v>
      </c>
      <c r="AE223" s="421">
        <v>0</v>
      </c>
      <c r="AF223" s="421">
        <f t="shared" si="441"/>
        <v>0</v>
      </c>
      <c r="AG223" s="421">
        <f t="shared" si="442"/>
        <v>0</v>
      </c>
      <c r="AH223" s="421">
        <f t="shared" si="443"/>
        <v>0</v>
      </c>
      <c r="AI223" s="421">
        <v>0</v>
      </c>
      <c r="AJ223" s="421">
        <v>0</v>
      </c>
      <c r="AK223" s="421">
        <v>0</v>
      </c>
      <c r="AL223" s="421">
        <v>0</v>
      </c>
      <c r="AM223" s="421">
        <v>0</v>
      </c>
      <c r="AN223" s="421">
        <v>0</v>
      </c>
      <c r="AO223" s="421">
        <f t="shared" si="444"/>
        <v>0</v>
      </c>
      <c r="AP223" s="421">
        <f t="shared" si="445"/>
        <v>0</v>
      </c>
      <c r="AQ223" s="421">
        <f t="shared" si="446"/>
        <v>0</v>
      </c>
      <c r="AR223" s="421">
        <f t="shared" si="487"/>
        <v>0</v>
      </c>
      <c r="AS223" s="421">
        <f t="shared" si="487"/>
        <v>0</v>
      </c>
      <c r="AT223" s="421">
        <f t="shared" si="447"/>
        <v>0</v>
      </c>
      <c r="AU223" s="68">
        <f t="shared" si="488"/>
        <v>0</v>
      </c>
      <c r="AV223" s="68">
        <f>ROUND(AH223*1%,0)</f>
        <v>0</v>
      </c>
      <c r="AW223" s="421">
        <v>0</v>
      </c>
      <c r="AX223" s="421">
        <v>0</v>
      </c>
      <c r="AY223" s="421">
        <f t="shared" si="448"/>
        <v>0</v>
      </c>
      <c r="AZ223" s="421">
        <f t="shared" si="449"/>
        <v>0</v>
      </c>
      <c r="BA223" s="422">
        <v>0</v>
      </c>
      <c r="BB223" s="422">
        <v>0</v>
      </c>
      <c r="BC223" s="422">
        <v>0</v>
      </c>
      <c r="BD223" s="422">
        <v>0</v>
      </c>
      <c r="BE223" s="422">
        <v>0</v>
      </c>
      <c r="BF223" s="422">
        <v>0</v>
      </c>
      <c r="BG223" s="422">
        <v>0</v>
      </c>
      <c r="BH223" s="422">
        <v>0</v>
      </c>
      <c r="BI223" s="422">
        <v>0</v>
      </c>
      <c r="BJ223" s="422">
        <v>0</v>
      </c>
      <c r="BK223" s="422">
        <f>BA223+BC223+BD223+BF223+BH223+BI223</f>
        <v>0</v>
      </c>
      <c r="BL223" s="422">
        <f>BB223+BE223+BG223+BJ223</f>
        <v>0</v>
      </c>
      <c r="BM223" s="424">
        <f t="shared" si="450"/>
        <v>0</v>
      </c>
      <c r="BN223" s="427">
        <f>I223+AZ223</f>
        <v>2621985</v>
      </c>
      <c r="BO223" s="421">
        <f>J223+AH223</f>
        <v>1945093</v>
      </c>
      <c r="BP223" s="421">
        <f t="shared" si="489"/>
        <v>1945093</v>
      </c>
      <c r="BQ223" s="421">
        <f t="shared" si="489"/>
        <v>0</v>
      </c>
      <c r="BR223" s="421">
        <f>M223+AQ223</f>
        <v>0</v>
      </c>
      <c r="BS223" s="421">
        <f t="shared" si="490"/>
        <v>0</v>
      </c>
      <c r="BT223" s="421">
        <f t="shared" si="490"/>
        <v>0</v>
      </c>
      <c r="BU223" s="421">
        <f t="shared" si="491"/>
        <v>657441</v>
      </c>
      <c r="BV223" s="421">
        <f t="shared" si="491"/>
        <v>19451</v>
      </c>
      <c r="BW223" s="421">
        <f>R223+AY223</f>
        <v>0</v>
      </c>
      <c r="BX223" s="422">
        <f>S223+BM223</f>
        <v>3.875</v>
      </c>
      <c r="BY223" s="422">
        <f t="shared" si="492"/>
        <v>3.875</v>
      </c>
      <c r="BZ223" s="611">
        <f t="shared" si="492"/>
        <v>0</v>
      </c>
      <c r="CA223" s="423"/>
      <c r="CB223" s="418"/>
      <c r="CC223" s="418"/>
      <c r="CD223" s="418"/>
      <c r="CE223" s="418"/>
      <c r="CF223" s="527"/>
    </row>
    <row r="224" spans="1:84" ht="14.1" customHeight="1" x14ac:dyDescent="0.2">
      <c r="A224" s="66">
        <v>46</v>
      </c>
      <c r="B224" s="63">
        <v>2488</v>
      </c>
      <c r="C224" s="64">
        <v>600079902</v>
      </c>
      <c r="D224" s="63">
        <v>70884978</v>
      </c>
      <c r="E224" s="65" t="s">
        <v>628</v>
      </c>
      <c r="F224" s="66">
        <v>3143</v>
      </c>
      <c r="G224" s="77" t="s">
        <v>597</v>
      </c>
      <c r="H224" s="67" t="s">
        <v>272</v>
      </c>
      <c r="I224" s="423">
        <f t="shared" si="433"/>
        <v>63514</v>
      </c>
      <c r="J224" s="418">
        <f t="shared" si="434"/>
        <v>45461</v>
      </c>
      <c r="K224" s="418">
        <v>0</v>
      </c>
      <c r="L224" s="674">
        <v>45461</v>
      </c>
      <c r="M224" s="418">
        <f t="shared" si="469"/>
        <v>0</v>
      </c>
      <c r="N224" s="418">
        <v>0</v>
      </c>
      <c r="O224" s="418">
        <v>0</v>
      </c>
      <c r="P224" s="668">
        <f t="shared" si="470"/>
        <v>15366</v>
      </c>
      <c r="Q224" s="668">
        <f t="shared" si="471"/>
        <v>455</v>
      </c>
      <c r="R224" s="675">
        <v>2232</v>
      </c>
      <c r="S224" s="419">
        <f t="shared" si="472"/>
        <v>0.17219999999999999</v>
      </c>
      <c r="T224" s="679">
        <v>0</v>
      </c>
      <c r="U224" s="909">
        <v>0.17219999999999999</v>
      </c>
      <c r="V224" s="428">
        <f t="shared" si="439"/>
        <v>0</v>
      </c>
      <c r="W224" s="421">
        <f t="shared" si="440"/>
        <v>0</v>
      </c>
      <c r="X224" s="421">
        <v>0</v>
      </c>
      <c r="Y224" s="421">
        <v>0</v>
      </c>
      <c r="Z224" s="421">
        <v>0</v>
      </c>
      <c r="AA224" s="421">
        <v>0</v>
      </c>
      <c r="AB224" s="421">
        <v>0</v>
      </c>
      <c r="AC224" s="421">
        <v>0</v>
      </c>
      <c r="AD224" s="421">
        <v>0</v>
      </c>
      <c r="AE224" s="421">
        <v>0</v>
      </c>
      <c r="AF224" s="421">
        <f t="shared" si="441"/>
        <v>0</v>
      </c>
      <c r="AG224" s="421">
        <f t="shared" si="442"/>
        <v>0</v>
      </c>
      <c r="AH224" s="421">
        <f t="shared" si="443"/>
        <v>0</v>
      </c>
      <c r="AI224" s="421">
        <v>0</v>
      </c>
      <c r="AJ224" s="421">
        <v>0</v>
      </c>
      <c r="AK224" s="421">
        <v>0</v>
      </c>
      <c r="AL224" s="421">
        <v>0</v>
      </c>
      <c r="AM224" s="421">
        <v>0</v>
      </c>
      <c r="AN224" s="421">
        <v>0</v>
      </c>
      <c r="AO224" s="421">
        <f t="shared" si="444"/>
        <v>0</v>
      </c>
      <c r="AP224" s="421">
        <f t="shared" si="445"/>
        <v>0</v>
      </c>
      <c r="AQ224" s="421">
        <f t="shared" si="446"/>
        <v>0</v>
      </c>
      <c r="AR224" s="421">
        <f t="shared" si="487"/>
        <v>0</v>
      </c>
      <c r="AS224" s="421">
        <f t="shared" si="487"/>
        <v>0</v>
      </c>
      <c r="AT224" s="421">
        <f t="shared" si="447"/>
        <v>0</v>
      </c>
      <c r="AU224" s="68">
        <f t="shared" si="488"/>
        <v>0</v>
      </c>
      <c r="AV224" s="68">
        <f>ROUND(AH224*1%,0)</f>
        <v>0</v>
      </c>
      <c r="AW224" s="421">
        <v>0</v>
      </c>
      <c r="AX224" s="421">
        <v>0</v>
      </c>
      <c r="AY224" s="421">
        <f t="shared" si="448"/>
        <v>0</v>
      </c>
      <c r="AZ224" s="421">
        <f t="shared" si="449"/>
        <v>0</v>
      </c>
      <c r="BA224" s="422">
        <v>0</v>
      </c>
      <c r="BB224" s="422">
        <v>0</v>
      </c>
      <c r="BC224" s="422">
        <v>0</v>
      </c>
      <c r="BD224" s="422">
        <v>0</v>
      </c>
      <c r="BE224" s="422">
        <v>0</v>
      </c>
      <c r="BF224" s="422">
        <v>0</v>
      </c>
      <c r="BG224" s="422">
        <v>0</v>
      </c>
      <c r="BH224" s="422">
        <v>0</v>
      </c>
      <c r="BI224" s="422">
        <v>0</v>
      </c>
      <c r="BJ224" s="422">
        <v>0</v>
      </c>
      <c r="BK224" s="422">
        <f>BA224+BC224+BD224+BF224+BH224+BI224</f>
        <v>0</v>
      </c>
      <c r="BL224" s="422">
        <f>BB224+BE224+BG224+BJ224</f>
        <v>0</v>
      </c>
      <c r="BM224" s="424">
        <f t="shared" si="450"/>
        <v>0</v>
      </c>
      <c r="BN224" s="427">
        <f>I224+AZ224</f>
        <v>63514</v>
      </c>
      <c r="BO224" s="421">
        <f>J224+AH224</f>
        <v>45461</v>
      </c>
      <c r="BP224" s="421">
        <f t="shared" si="489"/>
        <v>0</v>
      </c>
      <c r="BQ224" s="421">
        <f t="shared" si="489"/>
        <v>45461</v>
      </c>
      <c r="BR224" s="421">
        <f>M224+AQ224</f>
        <v>0</v>
      </c>
      <c r="BS224" s="421">
        <f t="shared" si="490"/>
        <v>0</v>
      </c>
      <c r="BT224" s="421">
        <f t="shared" si="490"/>
        <v>0</v>
      </c>
      <c r="BU224" s="421">
        <f t="shared" si="491"/>
        <v>15366</v>
      </c>
      <c r="BV224" s="421">
        <f t="shared" si="491"/>
        <v>455</v>
      </c>
      <c r="BW224" s="421">
        <f>R224+AY224</f>
        <v>2232</v>
      </c>
      <c r="BX224" s="422">
        <f>S224+BM224</f>
        <v>0.17219999999999999</v>
      </c>
      <c r="BY224" s="422">
        <f t="shared" si="492"/>
        <v>0</v>
      </c>
      <c r="BZ224" s="611">
        <f t="shared" si="492"/>
        <v>0.17219999999999999</v>
      </c>
      <c r="CA224" s="423"/>
      <c r="CB224" s="418"/>
      <c r="CC224" s="418"/>
      <c r="CD224" s="418"/>
      <c r="CE224" s="418"/>
      <c r="CF224" s="527"/>
    </row>
    <row r="225" spans="1:84" ht="14.1" customHeight="1" x14ac:dyDescent="0.2">
      <c r="A225" s="72">
        <v>46</v>
      </c>
      <c r="B225" s="69">
        <v>2488</v>
      </c>
      <c r="C225" s="70">
        <v>600079902</v>
      </c>
      <c r="D225" s="69">
        <v>70884978</v>
      </c>
      <c r="E225" s="71" t="s">
        <v>629</v>
      </c>
      <c r="F225" s="72"/>
      <c r="G225" s="71"/>
      <c r="H225" s="73"/>
      <c r="I225" s="538">
        <f t="shared" ref="I225:BU225" si="493">SUM(I220:I224)</f>
        <v>26680846</v>
      </c>
      <c r="J225" s="74">
        <f t="shared" si="493"/>
        <v>19552934</v>
      </c>
      <c r="K225" s="74">
        <f>SUM(K220:K224)</f>
        <v>18208347</v>
      </c>
      <c r="L225" s="74">
        <f>SUM(L220:L224)</f>
        <v>1344587</v>
      </c>
      <c r="M225" s="74">
        <f>SUM(M220:M224)</f>
        <v>0</v>
      </c>
      <c r="N225" s="74">
        <f>SUM(N220:N224)</f>
        <v>0</v>
      </c>
      <c r="O225" s="74">
        <f>SUM(O220:O224)</f>
        <v>0</v>
      </c>
      <c r="P225" s="74">
        <f t="shared" ref="P225:Q225" si="494">SUM(P220:P224)</f>
        <v>6608892</v>
      </c>
      <c r="Q225" s="74">
        <f t="shared" si="494"/>
        <v>195530</v>
      </c>
      <c r="R225" s="74">
        <f>SUM(R220:R224)</f>
        <v>323490</v>
      </c>
      <c r="S225" s="75">
        <f>SUM(S220:S224)</f>
        <v>30.867599999999999</v>
      </c>
      <c r="T225" s="75">
        <f>SUM(T220:T224)</f>
        <v>26.828700000000001</v>
      </c>
      <c r="U225" s="753">
        <f>SUM(U220:U224)</f>
        <v>4.0388999999999999</v>
      </c>
      <c r="V225" s="538">
        <f t="shared" si="493"/>
        <v>-32000</v>
      </c>
      <c r="W225" s="74">
        <f t="shared" si="493"/>
        <v>-32000</v>
      </c>
      <c r="X225" s="74">
        <f t="shared" si="493"/>
        <v>3639008</v>
      </c>
      <c r="Y225" s="74">
        <f t="shared" si="493"/>
        <v>0</v>
      </c>
      <c r="Z225" s="74">
        <f t="shared" si="493"/>
        <v>0</v>
      </c>
      <c r="AA225" s="74">
        <f t="shared" si="493"/>
        <v>99300</v>
      </c>
      <c r="AB225" s="74">
        <f t="shared" si="493"/>
        <v>451200</v>
      </c>
      <c r="AC225" s="74">
        <f t="shared" si="493"/>
        <v>0</v>
      </c>
      <c r="AD225" s="74">
        <f t="shared" si="493"/>
        <v>0</v>
      </c>
      <c r="AE225" s="74">
        <f t="shared" si="493"/>
        <v>0</v>
      </c>
      <c r="AF225" s="74">
        <f t="shared" si="493"/>
        <v>4157508</v>
      </c>
      <c r="AG225" s="74">
        <f t="shared" si="493"/>
        <v>-32000</v>
      </c>
      <c r="AH225" s="74">
        <f t="shared" si="493"/>
        <v>4125508</v>
      </c>
      <c r="AI225" s="74">
        <f t="shared" si="493"/>
        <v>32000</v>
      </c>
      <c r="AJ225" s="74">
        <f t="shared" si="493"/>
        <v>32000</v>
      </c>
      <c r="AK225" s="74">
        <f t="shared" si="493"/>
        <v>0</v>
      </c>
      <c r="AL225" s="74">
        <f t="shared" si="493"/>
        <v>0</v>
      </c>
      <c r="AM225" s="74">
        <f t="shared" si="493"/>
        <v>0</v>
      </c>
      <c r="AN225" s="74">
        <f t="shared" si="493"/>
        <v>0</v>
      </c>
      <c r="AO225" s="74">
        <f t="shared" si="493"/>
        <v>32000</v>
      </c>
      <c r="AP225" s="74">
        <f t="shared" si="493"/>
        <v>32000</v>
      </c>
      <c r="AQ225" s="74">
        <f t="shared" si="493"/>
        <v>64000</v>
      </c>
      <c r="AR225" s="74">
        <f t="shared" si="493"/>
        <v>4189508</v>
      </c>
      <c r="AS225" s="74">
        <f t="shared" si="493"/>
        <v>0</v>
      </c>
      <c r="AT225" s="74">
        <f t="shared" si="493"/>
        <v>4189508</v>
      </c>
      <c r="AU225" s="74">
        <f t="shared" si="493"/>
        <v>1416054</v>
      </c>
      <c r="AV225" s="74">
        <f t="shared" si="493"/>
        <v>41255</v>
      </c>
      <c r="AW225" s="74">
        <f t="shared" si="493"/>
        <v>3000</v>
      </c>
      <c r="AX225" s="74">
        <f t="shared" si="493"/>
        <v>0</v>
      </c>
      <c r="AY225" s="74">
        <f t="shared" si="493"/>
        <v>3000</v>
      </c>
      <c r="AZ225" s="74">
        <f t="shared" si="493"/>
        <v>5649817</v>
      </c>
      <c r="BA225" s="75">
        <f t="shared" si="493"/>
        <v>-0.05</v>
      </c>
      <c r="BB225" s="75">
        <f t="shared" si="493"/>
        <v>0</v>
      </c>
      <c r="BC225" s="75">
        <f t="shared" si="493"/>
        <v>10.02</v>
      </c>
      <c r="BD225" s="75">
        <f t="shared" si="493"/>
        <v>0.8</v>
      </c>
      <c r="BE225" s="75">
        <f t="shared" si="493"/>
        <v>0</v>
      </c>
      <c r="BF225" s="75">
        <f t="shared" si="493"/>
        <v>0</v>
      </c>
      <c r="BG225" s="75">
        <f t="shared" si="493"/>
        <v>0</v>
      </c>
      <c r="BH225" s="75">
        <f t="shared" si="493"/>
        <v>0.14000000000000001</v>
      </c>
      <c r="BI225" s="75">
        <f t="shared" si="493"/>
        <v>0</v>
      </c>
      <c r="BJ225" s="75">
        <f t="shared" si="493"/>
        <v>0</v>
      </c>
      <c r="BK225" s="75">
        <f t="shared" si="493"/>
        <v>10.91</v>
      </c>
      <c r="BL225" s="75">
        <f t="shared" si="493"/>
        <v>0</v>
      </c>
      <c r="BM225" s="76">
        <f t="shared" si="493"/>
        <v>10.91</v>
      </c>
      <c r="BN225" s="549">
        <f t="shared" si="493"/>
        <v>32330663</v>
      </c>
      <c r="BO225" s="74">
        <f t="shared" si="493"/>
        <v>23678442</v>
      </c>
      <c r="BP225" s="74">
        <f t="shared" si="493"/>
        <v>22365855</v>
      </c>
      <c r="BQ225" s="74">
        <f t="shared" si="493"/>
        <v>1312587</v>
      </c>
      <c r="BR225" s="74">
        <f t="shared" si="493"/>
        <v>64000</v>
      </c>
      <c r="BS225" s="74">
        <f t="shared" si="493"/>
        <v>32000</v>
      </c>
      <c r="BT225" s="74">
        <f t="shared" si="493"/>
        <v>32000</v>
      </c>
      <c r="BU225" s="74">
        <f t="shared" si="493"/>
        <v>8024946</v>
      </c>
      <c r="BV225" s="74">
        <f t="shared" ref="BV225:CF225" si="495">SUM(BV220:BV224)</f>
        <v>236785</v>
      </c>
      <c r="BW225" s="74">
        <f t="shared" si="495"/>
        <v>326490</v>
      </c>
      <c r="BX225" s="75">
        <f t="shared" si="495"/>
        <v>41.7776</v>
      </c>
      <c r="BY225" s="75">
        <f t="shared" si="495"/>
        <v>37.738700000000001</v>
      </c>
      <c r="BZ225" s="753">
        <f t="shared" si="495"/>
        <v>4.0388999999999999</v>
      </c>
      <c r="CA225" s="796">
        <f t="shared" si="495"/>
        <v>608218</v>
      </c>
      <c r="CB225" s="789">
        <f t="shared" si="495"/>
        <v>451200</v>
      </c>
      <c r="CC225" s="789">
        <f t="shared" si="495"/>
        <v>0</v>
      </c>
      <c r="CD225" s="789">
        <f t="shared" si="495"/>
        <v>152506</v>
      </c>
      <c r="CE225" s="789">
        <f t="shared" si="495"/>
        <v>4512</v>
      </c>
      <c r="CF225" s="793">
        <f t="shared" si="495"/>
        <v>0.8</v>
      </c>
    </row>
    <row r="226" spans="1:84" ht="14.1" customHeight="1" x14ac:dyDescent="0.2">
      <c r="A226" s="66">
        <v>47</v>
      </c>
      <c r="B226" s="63">
        <v>2472</v>
      </c>
      <c r="C226" s="64">
        <v>600080277</v>
      </c>
      <c r="D226" s="63">
        <v>72743131</v>
      </c>
      <c r="E226" s="65" t="s">
        <v>630</v>
      </c>
      <c r="F226" s="66">
        <v>3113</v>
      </c>
      <c r="G226" s="65" t="s">
        <v>294</v>
      </c>
      <c r="H226" s="67" t="s">
        <v>271</v>
      </c>
      <c r="I226" s="423">
        <f t="shared" si="433"/>
        <v>27169530</v>
      </c>
      <c r="J226" s="418">
        <f t="shared" ref="J226" si="496">K226+L226</f>
        <v>19940637</v>
      </c>
      <c r="K226" s="418">
        <v>18363850</v>
      </c>
      <c r="L226" s="418">
        <v>1576787</v>
      </c>
      <c r="M226" s="418">
        <f>N226+O226</f>
        <v>0</v>
      </c>
      <c r="N226" s="418">
        <v>0</v>
      </c>
      <c r="O226" s="418">
        <v>0</v>
      </c>
      <c r="P226" s="668">
        <f>ROUND(J226*33.8%,0)+1</f>
        <v>6739936</v>
      </c>
      <c r="Q226" s="668">
        <f>ROUND(J226*1%,0)+1</f>
        <v>199407</v>
      </c>
      <c r="R226" s="418">
        <v>289550</v>
      </c>
      <c r="S226" s="419">
        <f>T226+U226</f>
        <v>31.0169</v>
      </c>
      <c r="T226" s="419">
        <v>26.2636</v>
      </c>
      <c r="U226" s="426">
        <v>4.7533000000000003</v>
      </c>
      <c r="V226" s="428">
        <f t="shared" si="439"/>
        <v>-38400</v>
      </c>
      <c r="W226" s="421">
        <f t="shared" si="440"/>
        <v>-9600</v>
      </c>
      <c r="X226" s="421">
        <v>0</v>
      </c>
      <c r="Y226" s="421">
        <v>0</v>
      </c>
      <c r="Z226" s="421">
        <v>0</v>
      </c>
      <c r="AA226" s="421">
        <v>52960</v>
      </c>
      <c r="AB226" s="421">
        <v>282000</v>
      </c>
      <c r="AC226" s="421">
        <v>0</v>
      </c>
      <c r="AD226" s="421">
        <v>0</v>
      </c>
      <c r="AE226" s="421">
        <v>0</v>
      </c>
      <c r="AF226" s="421">
        <f t="shared" si="441"/>
        <v>296560</v>
      </c>
      <c r="AG226" s="421">
        <f t="shared" si="442"/>
        <v>-9600</v>
      </c>
      <c r="AH226" s="421">
        <f t="shared" si="443"/>
        <v>286960</v>
      </c>
      <c r="AI226" s="421">
        <v>38400</v>
      </c>
      <c r="AJ226" s="421">
        <v>9600</v>
      </c>
      <c r="AK226" s="421">
        <v>0</v>
      </c>
      <c r="AL226" s="421">
        <v>0</v>
      </c>
      <c r="AM226" s="421">
        <v>0</v>
      </c>
      <c r="AN226" s="421">
        <v>0</v>
      </c>
      <c r="AO226" s="421">
        <f t="shared" si="444"/>
        <v>38400</v>
      </c>
      <c r="AP226" s="421">
        <f t="shared" si="445"/>
        <v>9600</v>
      </c>
      <c r="AQ226" s="421">
        <f t="shared" si="446"/>
        <v>48000</v>
      </c>
      <c r="AR226" s="421">
        <f t="shared" ref="AR226:AS230" si="497">AF226+AO226</f>
        <v>334960</v>
      </c>
      <c r="AS226" s="421">
        <f t="shared" si="497"/>
        <v>0</v>
      </c>
      <c r="AT226" s="421">
        <f t="shared" si="447"/>
        <v>334960</v>
      </c>
      <c r="AU226" s="68">
        <f t="shared" ref="AU226:AU230" si="498">ROUND((AH226+AI226+AJ226+AK226+AL226)*33.8%,0)</f>
        <v>113216</v>
      </c>
      <c r="AV226" s="68">
        <f>ROUND(AH226*1%,0)</f>
        <v>2870</v>
      </c>
      <c r="AW226" s="421">
        <v>0</v>
      </c>
      <c r="AX226" s="421">
        <v>0</v>
      </c>
      <c r="AY226" s="421">
        <f t="shared" si="448"/>
        <v>0</v>
      </c>
      <c r="AZ226" s="421">
        <f t="shared" si="449"/>
        <v>451046</v>
      </c>
      <c r="BA226" s="422">
        <v>-0.03</v>
      </c>
      <c r="BB226" s="422">
        <v>-0.01</v>
      </c>
      <c r="BC226" s="422">
        <v>0</v>
      </c>
      <c r="BD226" s="422">
        <v>0.5</v>
      </c>
      <c r="BE226" s="422">
        <v>0</v>
      </c>
      <c r="BF226" s="422">
        <v>0</v>
      </c>
      <c r="BG226" s="422">
        <v>0</v>
      </c>
      <c r="BH226" s="422">
        <v>0.08</v>
      </c>
      <c r="BI226" s="422">
        <v>0</v>
      </c>
      <c r="BJ226" s="422">
        <v>0</v>
      </c>
      <c r="BK226" s="422">
        <f>BA226+BC226+BD226+BF226+BH226+BI226</f>
        <v>0.54999999999999993</v>
      </c>
      <c r="BL226" s="422">
        <f>BB226+BE226+BG226+BJ226</f>
        <v>-0.01</v>
      </c>
      <c r="BM226" s="424">
        <f t="shared" si="450"/>
        <v>0.53999999999999992</v>
      </c>
      <c r="BN226" s="427">
        <f>I226+AZ226</f>
        <v>27620576</v>
      </c>
      <c r="BO226" s="421">
        <f>J226+AH226</f>
        <v>20227597</v>
      </c>
      <c r="BP226" s="421">
        <f t="shared" ref="BP226:BQ230" si="499">K226+AF226</f>
        <v>18660410</v>
      </c>
      <c r="BQ226" s="421">
        <f t="shared" si="499"/>
        <v>1567187</v>
      </c>
      <c r="BR226" s="421">
        <f>M226+AQ226</f>
        <v>48000</v>
      </c>
      <c r="BS226" s="421">
        <f t="shared" ref="BS226:BT230" si="500">N226+AO226</f>
        <v>38400</v>
      </c>
      <c r="BT226" s="421">
        <f t="shared" si="500"/>
        <v>9600</v>
      </c>
      <c r="BU226" s="421">
        <f t="shared" ref="BU226:BV230" si="501">P226+AU226</f>
        <v>6853152</v>
      </c>
      <c r="BV226" s="421">
        <f t="shared" si="501"/>
        <v>202277</v>
      </c>
      <c r="BW226" s="421">
        <f>R226+AY226</f>
        <v>289550</v>
      </c>
      <c r="BX226" s="422">
        <f>S226+BM226</f>
        <v>31.556899999999999</v>
      </c>
      <c r="BY226" s="422">
        <f t="shared" ref="BY226:BZ230" si="502">T226+BK226</f>
        <v>26.813600000000001</v>
      </c>
      <c r="BZ226" s="611">
        <f t="shared" si="502"/>
        <v>4.7433000000000005</v>
      </c>
      <c r="CA226" s="423">
        <v>380136</v>
      </c>
      <c r="CB226" s="418">
        <v>282000</v>
      </c>
      <c r="CC226" s="418">
        <v>0</v>
      </c>
      <c r="CD226" s="418">
        <v>95316</v>
      </c>
      <c r="CE226" s="418">
        <v>2820</v>
      </c>
      <c r="CF226" s="527">
        <v>0.5</v>
      </c>
    </row>
    <row r="227" spans="1:84" ht="14.1" customHeight="1" x14ac:dyDescent="0.2">
      <c r="A227" s="66">
        <v>47</v>
      </c>
      <c r="B227" s="63">
        <v>2472</v>
      </c>
      <c r="C227" s="64">
        <v>600080277</v>
      </c>
      <c r="D227" s="63">
        <v>72743131</v>
      </c>
      <c r="E227" s="65" t="s">
        <v>630</v>
      </c>
      <c r="F227" s="66">
        <v>3113</v>
      </c>
      <c r="G227" s="77" t="s">
        <v>292</v>
      </c>
      <c r="H227" s="67" t="s">
        <v>272</v>
      </c>
      <c r="I227" s="423">
        <f t="shared" si="433"/>
        <v>0</v>
      </c>
      <c r="J227" s="418">
        <f t="shared" si="434"/>
        <v>0</v>
      </c>
      <c r="K227" s="418">
        <v>0</v>
      </c>
      <c r="L227" s="418">
        <v>0</v>
      </c>
      <c r="M227" s="418">
        <f t="shared" si="469"/>
        <v>0</v>
      </c>
      <c r="N227" s="418">
        <v>0</v>
      </c>
      <c r="O227" s="418">
        <v>0</v>
      </c>
      <c r="P227" s="668">
        <f t="shared" si="470"/>
        <v>0</v>
      </c>
      <c r="Q227" s="668">
        <f t="shared" si="471"/>
        <v>0</v>
      </c>
      <c r="R227" s="418">
        <v>0</v>
      </c>
      <c r="S227" s="419">
        <f t="shared" si="472"/>
        <v>0</v>
      </c>
      <c r="T227" s="420">
        <v>0</v>
      </c>
      <c r="U227" s="426">
        <v>0</v>
      </c>
      <c r="V227" s="428">
        <f t="shared" si="439"/>
        <v>0</v>
      </c>
      <c r="W227" s="421">
        <f t="shared" si="440"/>
        <v>0</v>
      </c>
      <c r="X227" s="16">
        <v>3216588</v>
      </c>
      <c r="Y227" s="16">
        <v>0</v>
      </c>
      <c r="Z227" s="16">
        <v>0</v>
      </c>
      <c r="AA227" s="16">
        <v>0</v>
      </c>
      <c r="AB227" s="421">
        <v>0</v>
      </c>
      <c r="AC227" s="16">
        <v>0</v>
      </c>
      <c r="AD227" s="16">
        <v>0</v>
      </c>
      <c r="AE227" s="16">
        <v>0</v>
      </c>
      <c r="AF227" s="421">
        <f t="shared" si="441"/>
        <v>3216588</v>
      </c>
      <c r="AG227" s="421">
        <f t="shared" si="442"/>
        <v>0</v>
      </c>
      <c r="AH227" s="421">
        <f t="shared" si="443"/>
        <v>3216588</v>
      </c>
      <c r="AI227" s="16">
        <v>0</v>
      </c>
      <c r="AJ227" s="16">
        <v>0</v>
      </c>
      <c r="AK227" s="421">
        <v>0</v>
      </c>
      <c r="AL227" s="16">
        <v>0</v>
      </c>
      <c r="AM227" s="16">
        <v>0</v>
      </c>
      <c r="AN227" s="16">
        <v>0</v>
      </c>
      <c r="AO227" s="421">
        <f t="shared" si="444"/>
        <v>0</v>
      </c>
      <c r="AP227" s="16">
        <v>0</v>
      </c>
      <c r="AQ227" s="421">
        <f t="shared" si="446"/>
        <v>0</v>
      </c>
      <c r="AR227" s="421">
        <f t="shared" si="497"/>
        <v>3216588</v>
      </c>
      <c r="AS227" s="421">
        <f t="shared" si="497"/>
        <v>0</v>
      </c>
      <c r="AT227" s="421">
        <f t="shared" si="447"/>
        <v>3216588</v>
      </c>
      <c r="AU227" s="68">
        <f t="shared" si="498"/>
        <v>1087207</v>
      </c>
      <c r="AV227" s="68">
        <f>ROUND(AH227*1%,0)</f>
        <v>32166</v>
      </c>
      <c r="AW227" s="16">
        <v>0</v>
      </c>
      <c r="AX227" s="16">
        <v>0</v>
      </c>
      <c r="AY227" s="421">
        <f t="shared" si="448"/>
        <v>0</v>
      </c>
      <c r="AZ227" s="421">
        <f t="shared" si="449"/>
        <v>4335961</v>
      </c>
      <c r="BA227" s="13">
        <v>0</v>
      </c>
      <c r="BB227" s="13">
        <v>0</v>
      </c>
      <c r="BC227" s="13">
        <v>8.27</v>
      </c>
      <c r="BD227" s="422">
        <v>0</v>
      </c>
      <c r="BE227" s="422">
        <v>0</v>
      </c>
      <c r="BF227" s="422">
        <v>0</v>
      </c>
      <c r="BG227" s="422">
        <v>0</v>
      </c>
      <c r="BH227" s="422">
        <v>0</v>
      </c>
      <c r="BI227" s="422">
        <v>0</v>
      </c>
      <c r="BJ227" s="422">
        <v>0</v>
      </c>
      <c r="BK227" s="422">
        <f>BA227+BC227+BD227+BF227+BH227+BI227</f>
        <v>8.27</v>
      </c>
      <c r="BL227" s="422">
        <f>BB227+BE227+BG227+BJ227</f>
        <v>0</v>
      </c>
      <c r="BM227" s="424">
        <f t="shared" si="450"/>
        <v>8.27</v>
      </c>
      <c r="BN227" s="427">
        <f>I227+AZ227</f>
        <v>4335961</v>
      </c>
      <c r="BO227" s="421">
        <f>J227+AH227</f>
        <v>3216588</v>
      </c>
      <c r="BP227" s="421">
        <f t="shared" si="499"/>
        <v>3216588</v>
      </c>
      <c r="BQ227" s="421">
        <f t="shared" si="499"/>
        <v>0</v>
      </c>
      <c r="BR227" s="421">
        <f>M227+AQ227</f>
        <v>0</v>
      </c>
      <c r="BS227" s="421">
        <f t="shared" si="500"/>
        <v>0</v>
      </c>
      <c r="BT227" s="421">
        <f t="shared" si="500"/>
        <v>0</v>
      </c>
      <c r="BU227" s="421">
        <f t="shared" si="501"/>
        <v>1087207</v>
      </c>
      <c r="BV227" s="421">
        <f t="shared" si="501"/>
        <v>32166</v>
      </c>
      <c r="BW227" s="421">
        <f>R227+AY227</f>
        <v>0</v>
      </c>
      <c r="BX227" s="422">
        <f>S227+BM227</f>
        <v>8.27</v>
      </c>
      <c r="BY227" s="422">
        <f t="shared" si="502"/>
        <v>8.27</v>
      </c>
      <c r="BZ227" s="611">
        <f t="shared" si="502"/>
        <v>0</v>
      </c>
      <c r="CA227" s="423"/>
      <c r="CB227" s="418"/>
      <c r="CC227" s="418"/>
      <c r="CD227" s="418"/>
      <c r="CE227" s="418"/>
      <c r="CF227" s="527"/>
    </row>
    <row r="228" spans="1:84" ht="14.1" customHeight="1" x14ac:dyDescent="0.2">
      <c r="A228" s="66">
        <v>47</v>
      </c>
      <c r="B228" s="63">
        <v>2472</v>
      </c>
      <c r="C228" s="64">
        <v>600080277</v>
      </c>
      <c r="D228" s="63">
        <v>72743131</v>
      </c>
      <c r="E228" s="65" t="s">
        <v>630</v>
      </c>
      <c r="F228" s="66">
        <v>3141</v>
      </c>
      <c r="G228" s="65" t="s">
        <v>295</v>
      </c>
      <c r="H228" s="67" t="s">
        <v>272</v>
      </c>
      <c r="I228" s="423">
        <f t="shared" si="433"/>
        <v>195622</v>
      </c>
      <c r="J228" s="418">
        <f t="shared" si="434"/>
        <v>144497</v>
      </c>
      <c r="K228" s="418">
        <v>0</v>
      </c>
      <c r="L228" s="924">
        <v>144497</v>
      </c>
      <c r="M228" s="418">
        <f>N228+O228</f>
        <v>0</v>
      </c>
      <c r="N228" s="205">
        <v>0</v>
      </c>
      <c r="O228" s="205">
        <v>0</v>
      </c>
      <c r="P228" s="668">
        <f t="shared" si="470"/>
        <v>48840</v>
      </c>
      <c r="Q228" s="668">
        <f t="shared" si="471"/>
        <v>1445</v>
      </c>
      <c r="R228" s="674">
        <v>840</v>
      </c>
      <c r="S228" s="419">
        <f>T228+U228</f>
        <v>0.43330000000000002</v>
      </c>
      <c r="T228" s="676">
        <v>0</v>
      </c>
      <c r="U228" s="909">
        <v>0.43330000000000002</v>
      </c>
      <c r="V228" s="428">
        <f t="shared" si="439"/>
        <v>0</v>
      </c>
      <c r="W228" s="421">
        <f t="shared" si="440"/>
        <v>0</v>
      </c>
      <c r="X228" s="421">
        <v>0</v>
      </c>
      <c r="Y228" s="421">
        <v>0</v>
      </c>
      <c r="Z228" s="421">
        <v>0</v>
      </c>
      <c r="AA228" s="421">
        <v>0</v>
      </c>
      <c r="AB228" s="421">
        <v>0</v>
      </c>
      <c r="AC228" s="421">
        <v>0</v>
      </c>
      <c r="AD228" s="421">
        <v>0</v>
      </c>
      <c r="AE228" s="421">
        <v>0</v>
      </c>
      <c r="AF228" s="421">
        <f t="shared" si="441"/>
        <v>0</v>
      </c>
      <c r="AG228" s="421">
        <f t="shared" si="442"/>
        <v>0</v>
      </c>
      <c r="AH228" s="421">
        <f t="shared" si="443"/>
        <v>0</v>
      </c>
      <c r="AI228" s="421">
        <v>0</v>
      </c>
      <c r="AJ228" s="421">
        <v>0</v>
      </c>
      <c r="AK228" s="421">
        <v>0</v>
      </c>
      <c r="AL228" s="421">
        <v>0</v>
      </c>
      <c r="AM228" s="421">
        <v>0</v>
      </c>
      <c r="AN228" s="421">
        <v>0</v>
      </c>
      <c r="AO228" s="421">
        <f t="shared" si="444"/>
        <v>0</v>
      </c>
      <c r="AP228" s="421">
        <f t="shared" si="445"/>
        <v>0</v>
      </c>
      <c r="AQ228" s="421">
        <f t="shared" si="446"/>
        <v>0</v>
      </c>
      <c r="AR228" s="421">
        <f t="shared" si="497"/>
        <v>0</v>
      </c>
      <c r="AS228" s="421">
        <f t="shared" si="497"/>
        <v>0</v>
      </c>
      <c r="AT228" s="421">
        <f t="shared" si="447"/>
        <v>0</v>
      </c>
      <c r="AU228" s="68">
        <f t="shared" si="498"/>
        <v>0</v>
      </c>
      <c r="AV228" s="68">
        <f>ROUND(AH228*1%,0)</f>
        <v>0</v>
      </c>
      <c r="AW228" s="421">
        <v>0</v>
      </c>
      <c r="AX228" s="421">
        <v>0</v>
      </c>
      <c r="AY228" s="421">
        <f t="shared" si="448"/>
        <v>0</v>
      </c>
      <c r="AZ228" s="421">
        <f t="shared" si="449"/>
        <v>0</v>
      </c>
      <c r="BA228" s="422">
        <v>0</v>
      </c>
      <c r="BB228" s="422">
        <v>0</v>
      </c>
      <c r="BC228" s="422">
        <v>0</v>
      </c>
      <c r="BD228" s="422">
        <v>0</v>
      </c>
      <c r="BE228" s="422">
        <v>0</v>
      </c>
      <c r="BF228" s="422">
        <v>0</v>
      </c>
      <c r="BG228" s="422">
        <v>0</v>
      </c>
      <c r="BH228" s="422">
        <v>0</v>
      </c>
      <c r="BI228" s="422">
        <v>0</v>
      </c>
      <c r="BJ228" s="422">
        <v>0</v>
      </c>
      <c r="BK228" s="422">
        <f>BA228+BC228+BD228+BF228+BH228+BI228</f>
        <v>0</v>
      </c>
      <c r="BL228" s="422">
        <f>BB228+BE228+BG228+BJ228</f>
        <v>0</v>
      </c>
      <c r="BM228" s="424">
        <f t="shared" si="450"/>
        <v>0</v>
      </c>
      <c r="BN228" s="427">
        <f>I228+AZ228</f>
        <v>195622</v>
      </c>
      <c r="BO228" s="421">
        <f>J228+AH228</f>
        <v>144497</v>
      </c>
      <c r="BP228" s="421">
        <f t="shared" si="499"/>
        <v>0</v>
      </c>
      <c r="BQ228" s="421">
        <f t="shared" si="499"/>
        <v>144497</v>
      </c>
      <c r="BR228" s="421">
        <f>M228+AQ228</f>
        <v>0</v>
      </c>
      <c r="BS228" s="421">
        <f t="shared" si="500"/>
        <v>0</v>
      </c>
      <c r="BT228" s="421">
        <f t="shared" si="500"/>
        <v>0</v>
      </c>
      <c r="BU228" s="421">
        <f t="shared" si="501"/>
        <v>48840</v>
      </c>
      <c r="BV228" s="421">
        <f t="shared" si="501"/>
        <v>1445</v>
      </c>
      <c r="BW228" s="421">
        <f>R228+AY228</f>
        <v>840</v>
      </c>
      <c r="BX228" s="422">
        <f>S228+BM228</f>
        <v>0.43330000000000002</v>
      </c>
      <c r="BY228" s="422">
        <f t="shared" si="502"/>
        <v>0</v>
      </c>
      <c r="BZ228" s="611">
        <f t="shared" si="502"/>
        <v>0.43330000000000002</v>
      </c>
      <c r="CA228" s="423"/>
      <c r="CB228" s="418"/>
      <c r="CC228" s="418"/>
      <c r="CD228" s="418"/>
      <c r="CE228" s="418"/>
      <c r="CF228" s="527"/>
    </row>
    <row r="229" spans="1:84" ht="14.1" customHeight="1" x14ac:dyDescent="0.2">
      <c r="A229" s="66">
        <v>47</v>
      </c>
      <c r="B229" s="63">
        <v>2472</v>
      </c>
      <c r="C229" s="64">
        <v>600080277</v>
      </c>
      <c r="D229" s="63">
        <v>72743131</v>
      </c>
      <c r="E229" s="65" t="s">
        <v>630</v>
      </c>
      <c r="F229" s="66">
        <v>3143</v>
      </c>
      <c r="G229" s="77" t="s">
        <v>596</v>
      </c>
      <c r="H229" s="67" t="s">
        <v>271</v>
      </c>
      <c r="I229" s="423">
        <f t="shared" si="433"/>
        <v>2476197</v>
      </c>
      <c r="J229" s="418">
        <f t="shared" si="434"/>
        <v>1836942</v>
      </c>
      <c r="K229" s="418">
        <v>1836942</v>
      </c>
      <c r="L229" s="418">
        <v>0</v>
      </c>
      <c r="M229" s="418">
        <f t="shared" si="469"/>
        <v>0</v>
      </c>
      <c r="N229" s="418">
        <v>0</v>
      </c>
      <c r="O229" s="418">
        <v>0</v>
      </c>
      <c r="P229" s="668">
        <f t="shared" si="470"/>
        <v>620886</v>
      </c>
      <c r="Q229" s="668">
        <f t="shared" si="471"/>
        <v>18369</v>
      </c>
      <c r="R229" s="418">
        <v>0</v>
      </c>
      <c r="S229" s="419">
        <f t="shared" si="472"/>
        <v>3.5811999999999999</v>
      </c>
      <c r="T229" s="419">
        <v>3.5811999999999999</v>
      </c>
      <c r="U229" s="426">
        <v>0</v>
      </c>
      <c r="V229" s="428">
        <f t="shared" si="439"/>
        <v>-3200</v>
      </c>
      <c r="W229" s="421">
        <f t="shared" si="440"/>
        <v>0</v>
      </c>
      <c r="X229" s="421">
        <v>0</v>
      </c>
      <c r="Y229" s="421">
        <v>0</v>
      </c>
      <c r="Z229" s="421">
        <v>0</v>
      </c>
      <c r="AA229" s="421">
        <v>0</v>
      </c>
      <c r="AB229" s="421">
        <v>0</v>
      </c>
      <c r="AC229" s="421">
        <v>0</v>
      </c>
      <c r="AD229" s="421">
        <v>0</v>
      </c>
      <c r="AE229" s="421">
        <v>0</v>
      </c>
      <c r="AF229" s="421">
        <f t="shared" si="441"/>
        <v>-3200</v>
      </c>
      <c r="AG229" s="421">
        <f t="shared" si="442"/>
        <v>0</v>
      </c>
      <c r="AH229" s="421">
        <f t="shared" si="443"/>
        <v>-3200</v>
      </c>
      <c r="AI229" s="421">
        <v>3200</v>
      </c>
      <c r="AJ229" s="421">
        <v>0</v>
      </c>
      <c r="AK229" s="421">
        <v>0</v>
      </c>
      <c r="AL229" s="421">
        <v>0</v>
      </c>
      <c r="AM229" s="421">
        <v>0</v>
      </c>
      <c r="AN229" s="421">
        <v>0</v>
      </c>
      <c r="AO229" s="421">
        <f t="shared" si="444"/>
        <v>3200</v>
      </c>
      <c r="AP229" s="421">
        <f t="shared" si="445"/>
        <v>0</v>
      </c>
      <c r="AQ229" s="421">
        <f t="shared" si="446"/>
        <v>3200</v>
      </c>
      <c r="AR229" s="421">
        <f t="shared" si="497"/>
        <v>0</v>
      </c>
      <c r="AS229" s="421">
        <f t="shared" si="497"/>
        <v>0</v>
      </c>
      <c r="AT229" s="421">
        <f t="shared" si="447"/>
        <v>0</v>
      </c>
      <c r="AU229" s="68">
        <f t="shared" si="498"/>
        <v>0</v>
      </c>
      <c r="AV229" s="68">
        <f>ROUND(AH229*1%,0)</f>
        <v>-32</v>
      </c>
      <c r="AW229" s="421">
        <v>0</v>
      </c>
      <c r="AX229" s="421">
        <v>0</v>
      </c>
      <c r="AY229" s="421">
        <f t="shared" si="448"/>
        <v>0</v>
      </c>
      <c r="AZ229" s="421">
        <f t="shared" si="449"/>
        <v>-32</v>
      </c>
      <c r="BA229" s="422">
        <v>0</v>
      </c>
      <c r="BB229" s="422">
        <v>0</v>
      </c>
      <c r="BC229" s="422">
        <v>0</v>
      </c>
      <c r="BD229" s="422">
        <v>0</v>
      </c>
      <c r="BE229" s="422">
        <v>0</v>
      </c>
      <c r="BF229" s="422">
        <v>0</v>
      </c>
      <c r="BG229" s="422">
        <v>0</v>
      </c>
      <c r="BH229" s="422">
        <v>0</v>
      </c>
      <c r="BI229" s="422">
        <v>0</v>
      </c>
      <c r="BJ229" s="422">
        <v>0</v>
      </c>
      <c r="BK229" s="422">
        <f>BA229+BC229+BD229+BF229+BH229+BI229</f>
        <v>0</v>
      </c>
      <c r="BL229" s="422">
        <f>BB229+BE229+BG229+BJ229</f>
        <v>0</v>
      </c>
      <c r="BM229" s="424">
        <f t="shared" si="450"/>
        <v>0</v>
      </c>
      <c r="BN229" s="427">
        <f>I229+AZ229</f>
        <v>2476165</v>
      </c>
      <c r="BO229" s="421">
        <f>J229+AH229</f>
        <v>1833742</v>
      </c>
      <c r="BP229" s="421">
        <f t="shared" si="499"/>
        <v>1833742</v>
      </c>
      <c r="BQ229" s="421">
        <f t="shared" si="499"/>
        <v>0</v>
      </c>
      <c r="BR229" s="421">
        <f>M229+AQ229</f>
        <v>3200</v>
      </c>
      <c r="BS229" s="421">
        <f t="shared" si="500"/>
        <v>3200</v>
      </c>
      <c r="BT229" s="421">
        <f t="shared" si="500"/>
        <v>0</v>
      </c>
      <c r="BU229" s="421">
        <f t="shared" si="501"/>
        <v>620886</v>
      </c>
      <c r="BV229" s="421">
        <f t="shared" si="501"/>
        <v>18337</v>
      </c>
      <c r="BW229" s="421">
        <f>R229+AY229</f>
        <v>0</v>
      </c>
      <c r="BX229" s="422">
        <f>S229+BM229</f>
        <v>3.5811999999999999</v>
      </c>
      <c r="BY229" s="422">
        <f t="shared" si="502"/>
        <v>3.5811999999999999</v>
      </c>
      <c r="BZ229" s="611">
        <f t="shared" si="502"/>
        <v>0</v>
      </c>
      <c r="CA229" s="423"/>
      <c r="CB229" s="418"/>
      <c r="CC229" s="418"/>
      <c r="CD229" s="418"/>
      <c r="CE229" s="418"/>
      <c r="CF229" s="527"/>
    </row>
    <row r="230" spans="1:84" ht="14.1" customHeight="1" x14ac:dyDescent="0.2">
      <c r="A230" s="66">
        <v>47</v>
      </c>
      <c r="B230" s="63">
        <v>2472</v>
      </c>
      <c r="C230" s="64">
        <v>600080277</v>
      </c>
      <c r="D230" s="63">
        <v>72743131</v>
      </c>
      <c r="E230" s="65" t="s">
        <v>630</v>
      </c>
      <c r="F230" s="66">
        <v>3143</v>
      </c>
      <c r="G230" s="77" t="s">
        <v>597</v>
      </c>
      <c r="H230" s="67" t="s">
        <v>272</v>
      </c>
      <c r="I230" s="423">
        <f t="shared" si="433"/>
        <v>39464</v>
      </c>
      <c r="J230" s="418">
        <f t="shared" si="434"/>
        <v>28248</v>
      </c>
      <c r="K230" s="418">
        <v>0</v>
      </c>
      <c r="L230" s="674">
        <v>28248</v>
      </c>
      <c r="M230" s="418">
        <f t="shared" si="469"/>
        <v>0</v>
      </c>
      <c r="N230" s="418">
        <v>0</v>
      </c>
      <c r="O230" s="418">
        <v>0</v>
      </c>
      <c r="P230" s="668">
        <f t="shared" si="470"/>
        <v>9548</v>
      </c>
      <c r="Q230" s="668">
        <f t="shared" si="471"/>
        <v>282</v>
      </c>
      <c r="R230" s="674">
        <v>1386</v>
      </c>
      <c r="S230" s="419">
        <f t="shared" si="472"/>
        <v>0.10699999999999998</v>
      </c>
      <c r="T230" s="676">
        <v>0</v>
      </c>
      <c r="U230" s="909">
        <v>0.10699999999999998</v>
      </c>
      <c r="V230" s="428">
        <f t="shared" si="439"/>
        <v>0</v>
      </c>
      <c r="W230" s="421">
        <f t="shared" si="440"/>
        <v>0</v>
      </c>
      <c r="X230" s="421">
        <v>0</v>
      </c>
      <c r="Y230" s="421">
        <v>0</v>
      </c>
      <c r="Z230" s="421">
        <v>0</v>
      </c>
      <c r="AA230" s="421">
        <v>0</v>
      </c>
      <c r="AB230" s="421">
        <v>0</v>
      </c>
      <c r="AC230" s="421">
        <v>0</v>
      </c>
      <c r="AD230" s="421">
        <v>0</v>
      </c>
      <c r="AE230" s="421">
        <v>0</v>
      </c>
      <c r="AF230" s="421">
        <f t="shared" si="441"/>
        <v>0</v>
      </c>
      <c r="AG230" s="421">
        <f t="shared" si="442"/>
        <v>0</v>
      </c>
      <c r="AH230" s="421">
        <f t="shared" si="443"/>
        <v>0</v>
      </c>
      <c r="AI230" s="421">
        <v>0</v>
      </c>
      <c r="AJ230" s="421">
        <v>0</v>
      </c>
      <c r="AK230" s="421">
        <v>0</v>
      </c>
      <c r="AL230" s="421">
        <v>0</v>
      </c>
      <c r="AM230" s="421">
        <v>0</v>
      </c>
      <c r="AN230" s="421">
        <v>0</v>
      </c>
      <c r="AO230" s="421">
        <f t="shared" si="444"/>
        <v>0</v>
      </c>
      <c r="AP230" s="421">
        <f t="shared" si="445"/>
        <v>0</v>
      </c>
      <c r="AQ230" s="421">
        <f t="shared" si="446"/>
        <v>0</v>
      </c>
      <c r="AR230" s="421">
        <f t="shared" si="497"/>
        <v>0</v>
      </c>
      <c r="AS230" s="421">
        <f t="shared" si="497"/>
        <v>0</v>
      </c>
      <c r="AT230" s="421">
        <f t="shared" si="447"/>
        <v>0</v>
      </c>
      <c r="AU230" s="68">
        <f t="shared" si="498"/>
        <v>0</v>
      </c>
      <c r="AV230" s="68">
        <f>ROUND(AH230*1%,0)</f>
        <v>0</v>
      </c>
      <c r="AW230" s="421">
        <v>0</v>
      </c>
      <c r="AX230" s="421">
        <v>0</v>
      </c>
      <c r="AY230" s="421">
        <f t="shared" si="448"/>
        <v>0</v>
      </c>
      <c r="AZ230" s="421">
        <f t="shared" si="449"/>
        <v>0</v>
      </c>
      <c r="BA230" s="422">
        <v>0</v>
      </c>
      <c r="BB230" s="422">
        <v>0</v>
      </c>
      <c r="BC230" s="422">
        <v>0</v>
      </c>
      <c r="BD230" s="422">
        <v>0</v>
      </c>
      <c r="BE230" s="422">
        <v>0</v>
      </c>
      <c r="BF230" s="422">
        <v>0</v>
      </c>
      <c r="BG230" s="422">
        <v>0</v>
      </c>
      <c r="BH230" s="422">
        <v>0</v>
      </c>
      <c r="BI230" s="422">
        <v>0</v>
      </c>
      <c r="BJ230" s="422">
        <v>0</v>
      </c>
      <c r="BK230" s="422">
        <f>BA230+BC230+BD230+BF230+BH230+BI230</f>
        <v>0</v>
      </c>
      <c r="BL230" s="422">
        <f>BB230+BE230+BG230+BJ230</f>
        <v>0</v>
      </c>
      <c r="BM230" s="424">
        <f t="shared" si="450"/>
        <v>0</v>
      </c>
      <c r="BN230" s="427">
        <f>I230+AZ230</f>
        <v>39464</v>
      </c>
      <c r="BO230" s="421">
        <f>J230+AH230</f>
        <v>28248</v>
      </c>
      <c r="BP230" s="421">
        <f t="shared" si="499"/>
        <v>0</v>
      </c>
      <c r="BQ230" s="421">
        <f t="shared" si="499"/>
        <v>28248</v>
      </c>
      <c r="BR230" s="421">
        <f>M230+AQ230</f>
        <v>0</v>
      </c>
      <c r="BS230" s="421">
        <f t="shared" si="500"/>
        <v>0</v>
      </c>
      <c r="BT230" s="421">
        <f t="shared" si="500"/>
        <v>0</v>
      </c>
      <c r="BU230" s="421">
        <f t="shared" si="501"/>
        <v>9548</v>
      </c>
      <c r="BV230" s="421">
        <f t="shared" si="501"/>
        <v>282</v>
      </c>
      <c r="BW230" s="421">
        <f>R230+AY230</f>
        <v>1386</v>
      </c>
      <c r="BX230" s="422">
        <f>S230+BM230</f>
        <v>0.10699999999999998</v>
      </c>
      <c r="BY230" s="422">
        <f t="shared" si="502"/>
        <v>0</v>
      </c>
      <c r="BZ230" s="611">
        <f t="shared" si="502"/>
        <v>0.10699999999999998</v>
      </c>
      <c r="CA230" s="423"/>
      <c r="CB230" s="418"/>
      <c r="CC230" s="418"/>
      <c r="CD230" s="418"/>
      <c r="CE230" s="418"/>
      <c r="CF230" s="527"/>
    </row>
    <row r="231" spans="1:84" ht="14.1" customHeight="1" x14ac:dyDescent="0.2">
      <c r="A231" s="72">
        <v>47</v>
      </c>
      <c r="B231" s="69">
        <v>2472</v>
      </c>
      <c r="C231" s="70">
        <v>600080277</v>
      </c>
      <c r="D231" s="69">
        <v>72743131</v>
      </c>
      <c r="E231" s="71" t="s">
        <v>631</v>
      </c>
      <c r="F231" s="72"/>
      <c r="G231" s="71"/>
      <c r="H231" s="73"/>
      <c r="I231" s="538">
        <f t="shared" ref="I231:BU231" si="503">SUM(I226:I230)</f>
        <v>29880813</v>
      </c>
      <c r="J231" s="74">
        <f t="shared" si="503"/>
        <v>21950324</v>
      </c>
      <c r="K231" s="74">
        <f>SUM(K226:K230)</f>
        <v>20200792</v>
      </c>
      <c r="L231" s="74">
        <f>SUM(L226:L230)</f>
        <v>1749532</v>
      </c>
      <c r="M231" s="74">
        <f>SUM(M226:M230)</f>
        <v>0</v>
      </c>
      <c r="N231" s="74">
        <f>SUM(N226:N230)</f>
        <v>0</v>
      </c>
      <c r="O231" s="74">
        <f>SUM(O226:O230)</f>
        <v>0</v>
      </c>
      <c r="P231" s="74">
        <f t="shared" ref="P231:Q231" si="504">SUM(P226:P230)</f>
        <v>7419210</v>
      </c>
      <c r="Q231" s="74">
        <f t="shared" si="504"/>
        <v>219503</v>
      </c>
      <c r="R231" s="74">
        <f>SUM(R226:R230)</f>
        <v>291776</v>
      </c>
      <c r="S231" s="75">
        <f>SUM(S226:S230)</f>
        <v>35.138399999999997</v>
      </c>
      <c r="T231" s="75">
        <f>SUM(T226:T230)</f>
        <v>29.844799999999999</v>
      </c>
      <c r="U231" s="753">
        <f>SUM(U226:U230)</f>
        <v>5.2936000000000005</v>
      </c>
      <c r="V231" s="538">
        <f t="shared" si="503"/>
        <v>-41600</v>
      </c>
      <c r="W231" s="74">
        <f t="shared" si="503"/>
        <v>-9600</v>
      </c>
      <c r="X231" s="74">
        <f t="shared" si="503"/>
        <v>3216588</v>
      </c>
      <c r="Y231" s="74">
        <f t="shared" si="503"/>
        <v>0</v>
      </c>
      <c r="Z231" s="74">
        <f t="shared" si="503"/>
        <v>0</v>
      </c>
      <c r="AA231" s="74">
        <f t="shared" si="503"/>
        <v>52960</v>
      </c>
      <c r="AB231" s="74">
        <f t="shared" si="503"/>
        <v>282000</v>
      </c>
      <c r="AC231" s="74">
        <f t="shared" si="503"/>
        <v>0</v>
      </c>
      <c r="AD231" s="74">
        <f t="shared" si="503"/>
        <v>0</v>
      </c>
      <c r="AE231" s="74">
        <f t="shared" si="503"/>
        <v>0</v>
      </c>
      <c r="AF231" s="74">
        <f t="shared" si="503"/>
        <v>3509948</v>
      </c>
      <c r="AG231" s="74">
        <f t="shared" si="503"/>
        <v>-9600</v>
      </c>
      <c r="AH231" s="74">
        <f t="shared" si="503"/>
        <v>3500348</v>
      </c>
      <c r="AI231" s="74">
        <f t="shared" si="503"/>
        <v>41600</v>
      </c>
      <c r="AJ231" s="74">
        <f t="shared" si="503"/>
        <v>9600</v>
      </c>
      <c r="AK231" s="74">
        <f t="shared" si="503"/>
        <v>0</v>
      </c>
      <c r="AL231" s="74">
        <f t="shared" si="503"/>
        <v>0</v>
      </c>
      <c r="AM231" s="74">
        <f t="shared" si="503"/>
        <v>0</v>
      </c>
      <c r="AN231" s="74">
        <f t="shared" si="503"/>
        <v>0</v>
      </c>
      <c r="AO231" s="74">
        <f t="shared" si="503"/>
        <v>41600</v>
      </c>
      <c r="AP231" s="74">
        <f t="shared" si="503"/>
        <v>9600</v>
      </c>
      <c r="AQ231" s="74">
        <f t="shared" si="503"/>
        <v>51200</v>
      </c>
      <c r="AR231" s="74">
        <f t="shared" si="503"/>
        <v>3551548</v>
      </c>
      <c r="AS231" s="74">
        <f t="shared" si="503"/>
        <v>0</v>
      </c>
      <c r="AT231" s="74">
        <f t="shared" si="503"/>
        <v>3551548</v>
      </c>
      <c r="AU231" s="74">
        <f t="shared" si="503"/>
        <v>1200423</v>
      </c>
      <c r="AV231" s="74">
        <f t="shared" si="503"/>
        <v>35004</v>
      </c>
      <c r="AW231" s="74">
        <f t="shared" si="503"/>
        <v>0</v>
      </c>
      <c r="AX231" s="74">
        <f t="shared" si="503"/>
        <v>0</v>
      </c>
      <c r="AY231" s="74">
        <f t="shared" si="503"/>
        <v>0</v>
      </c>
      <c r="AZ231" s="74">
        <f t="shared" si="503"/>
        <v>4786975</v>
      </c>
      <c r="BA231" s="75">
        <f t="shared" si="503"/>
        <v>-0.03</v>
      </c>
      <c r="BB231" s="75">
        <f t="shared" si="503"/>
        <v>-0.01</v>
      </c>
      <c r="BC231" s="75">
        <f t="shared" si="503"/>
        <v>8.27</v>
      </c>
      <c r="BD231" s="75">
        <f t="shared" si="503"/>
        <v>0.5</v>
      </c>
      <c r="BE231" s="75">
        <f t="shared" si="503"/>
        <v>0</v>
      </c>
      <c r="BF231" s="75">
        <f t="shared" si="503"/>
        <v>0</v>
      </c>
      <c r="BG231" s="75">
        <f t="shared" si="503"/>
        <v>0</v>
      </c>
      <c r="BH231" s="75">
        <f t="shared" si="503"/>
        <v>0.08</v>
      </c>
      <c r="BI231" s="75">
        <f t="shared" si="503"/>
        <v>0</v>
      </c>
      <c r="BJ231" s="75">
        <f t="shared" si="503"/>
        <v>0</v>
      </c>
      <c r="BK231" s="75">
        <f t="shared" si="503"/>
        <v>8.82</v>
      </c>
      <c r="BL231" s="75">
        <f t="shared" si="503"/>
        <v>-0.01</v>
      </c>
      <c r="BM231" s="76">
        <f t="shared" si="503"/>
        <v>8.8099999999999987</v>
      </c>
      <c r="BN231" s="549">
        <f t="shared" si="503"/>
        <v>34667788</v>
      </c>
      <c r="BO231" s="74">
        <f t="shared" si="503"/>
        <v>25450672</v>
      </c>
      <c r="BP231" s="74">
        <f t="shared" si="503"/>
        <v>23710740</v>
      </c>
      <c r="BQ231" s="74">
        <f t="shared" si="503"/>
        <v>1739932</v>
      </c>
      <c r="BR231" s="74">
        <f t="shared" si="503"/>
        <v>51200</v>
      </c>
      <c r="BS231" s="74">
        <f t="shared" si="503"/>
        <v>41600</v>
      </c>
      <c r="BT231" s="74">
        <f t="shared" si="503"/>
        <v>9600</v>
      </c>
      <c r="BU231" s="74">
        <f t="shared" si="503"/>
        <v>8619633</v>
      </c>
      <c r="BV231" s="74">
        <f t="shared" ref="BV231:CF231" si="505">SUM(BV226:BV230)</f>
        <v>254507</v>
      </c>
      <c r="BW231" s="74">
        <f t="shared" si="505"/>
        <v>291776</v>
      </c>
      <c r="BX231" s="75">
        <f t="shared" si="505"/>
        <v>43.948399999999999</v>
      </c>
      <c r="BY231" s="75">
        <f t="shared" si="505"/>
        <v>38.664800000000007</v>
      </c>
      <c r="BZ231" s="753">
        <f t="shared" si="505"/>
        <v>5.2836000000000007</v>
      </c>
      <c r="CA231" s="796">
        <f t="shared" si="505"/>
        <v>380136</v>
      </c>
      <c r="CB231" s="789">
        <f t="shared" si="505"/>
        <v>282000</v>
      </c>
      <c r="CC231" s="789">
        <f t="shared" si="505"/>
        <v>0</v>
      </c>
      <c r="CD231" s="789">
        <f t="shared" si="505"/>
        <v>95316</v>
      </c>
      <c r="CE231" s="789">
        <f t="shared" si="505"/>
        <v>2820</v>
      </c>
      <c r="CF231" s="793">
        <f t="shared" si="505"/>
        <v>0.5</v>
      </c>
    </row>
    <row r="232" spans="1:84" ht="14.1" customHeight="1" x14ac:dyDescent="0.2">
      <c r="A232" s="66">
        <v>48</v>
      </c>
      <c r="B232" s="63">
        <v>2489</v>
      </c>
      <c r="C232" s="64">
        <v>600080188</v>
      </c>
      <c r="D232" s="63">
        <v>64040402</v>
      </c>
      <c r="E232" s="65" t="s">
        <v>632</v>
      </c>
      <c r="F232" s="66">
        <v>3113</v>
      </c>
      <c r="G232" s="65" t="s">
        <v>294</v>
      </c>
      <c r="H232" s="67" t="s">
        <v>271</v>
      </c>
      <c r="I232" s="423">
        <f t="shared" si="433"/>
        <v>34437138</v>
      </c>
      <c r="J232" s="418">
        <f t="shared" ref="J232" si="506">K232+L232</f>
        <v>25180944</v>
      </c>
      <c r="K232" s="418">
        <v>23486372</v>
      </c>
      <c r="L232" s="418">
        <v>1694572</v>
      </c>
      <c r="M232" s="418">
        <f>N232+O232</f>
        <v>0</v>
      </c>
      <c r="N232" s="418">
        <v>0</v>
      </c>
      <c r="O232" s="418">
        <v>0</v>
      </c>
      <c r="P232" s="668">
        <f t="shared" si="470"/>
        <v>8511159</v>
      </c>
      <c r="Q232" s="668">
        <f t="shared" si="471"/>
        <v>251809</v>
      </c>
      <c r="R232" s="418">
        <v>493226</v>
      </c>
      <c r="S232" s="419">
        <f>T232+U232</f>
        <v>37.075600000000001</v>
      </c>
      <c r="T232" s="419">
        <v>31.908899999999999</v>
      </c>
      <c r="U232" s="426">
        <v>5.1667000000000005</v>
      </c>
      <c r="V232" s="428">
        <f t="shared" si="439"/>
        <v>-22400</v>
      </c>
      <c r="W232" s="421">
        <f t="shared" si="440"/>
        <v>-25600</v>
      </c>
      <c r="X232" s="421">
        <v>0</v>
      </c>
      <c r="Y232" s="421">
        <v>0</v>
      </c>
      <c r="Z232" s="421">
        <v>0</v>
      </c>
      <c r="AA232" s="421">
        <v>30452</v>
      </c>
      <c r="AB232" s="421">
        <v>282000</v>
      </c>
      <c r="AC232" s="421">
        <v>0</v>
      </c>
      <c r="AD232" s="421">
        <v>0</v>
      </c>
      <c r="AE232" s="421">
        <v>0</v>
      </c>
      <c r="AF232" s="421">
        <f t="shared" si="441"/>
        <v>290052</v>
      </c>
      <c r="AG232" s="421">
        <f t="shared" si="442"/>
        <v>-25600</v>
      </c>
      <c r="AH232" s="421">
        <f t="shared" si="443"/>
        <v>264452</v>
      </c>
      <c r="AI232" s="421">
        <v>22400</v>
      </c>
      <c r="AJ232" s="421">
        <v>25600</v>
      </c>
      <c r="AK232" s="421">
        <v>0</v>
      </c>
      <c r="AL232" s="421">
        <v>0</v>
      </c>
      <c r="AM232" s="421">
        <v>0</v>
      </c>
      <c r="AN232" s="421">
        <v>0</v>
      </c>
      <c r="AO232" s="421">
        <f t="shared" si="444"/>
        <v>22400</v>
      </c>
      <c r="AP232" s="421">
        <f t="shared" si="445"/>
        <v>25600</v>
      </c>
      <c r="AQ232" s="421">
        <f t="shared" si="446"/>
        <v>48000</v>
      </c>
      <c r="AR232" s="421">
        <f t="shared" ref="AR232:AS236" si="507">AF232+AO232</f>
        <v>312452</v>
      </c>
      <c r="AS232" s="421">
        <f t="shared" si="507"/>
        <v>0</v>
      </c>
      <c r="AT232" s="421">
        <f t="shared" si="447"/>
        <v>312452</v>
      </c>
      <c r="AU232" s="68">
        <f t="shared" ref="AU232:AU236" si="508">ROUND((AH232+AI232+AJ232+AK232+AL232)*33.8%,0)</f>
        <v>105609</v>
      </c>
      <c r="AV232" s="68">
        <f>ROUND(AH232*1%,0)</f>
        <v>2645</v>
      </c>
      <c r="AW232" s="421">
        <v>0</v>
      </c>
      <c r="AX232" s="421">
        <v>0</v>
      </c>
      <c r="AY232" s="421">
        <f t="shared" si="448"/>
        <v>0</v>
      </c>
      <c r="AZ232" s="421">
        <f t="shared" si="449"/>
        <v>420706</v>
      </c>
      <c r="BA232" s="422">
        <v>-0.03</v>
      </c>
      <c r="BB232" s="422">
        <v>-0.08</v>
      </c>
      <c r="BC232" s="422">
        <v>0</v>
      </c>
      <c r="BD232" s="422">
        <v>0.5</v>
      </c>
      <c r="BE232" s="422">
        <v>0</v>
      </c>
      <c r="BF232" s="422">
        <v>0</v>
      </c>
      <c r="BG232" s="422">
        <v>0</v>
      </c>
      <c r="BH232" s="422">
        <v>0.05</v>
      </c>
      <c r="BI232" s="422">
        <v>0</v>
      </c>
      <c r="BJ232" s="422">
        <v>0</v>
      </c>
      <c r="BK232" s="422">
        <f>BA232+BC232+BD232+BF232+BH232+BI232</f>
        <v>0.52</v>
      </c>
      <c r="BL232" s="422">
        <f>BB232+BE232+BG232+BJ232</f>
        <v>-0.08</v>
      </c>
      <c r="BM232" s="424">
        <f t="shared" si="450"/>
        <v>0.44</v>
      </c>
      <c r="BN232" s="427">
        <f>I232+AZ232</f>
        <v>34857844</v>
      </c>
      <c r="BO232" s="421">
        <f>J232+AH232</f>
        <v>25445396</v>
      </c>
      <c r="BP232" s="421">
        <f t="shared" ref="BP232:BQ236" si="509">K232+AF232</f>
        <v>23776424</v>
      </c>
      <c r="BQ232" s="421">
        <f t="shared" si="509"/>
        <v>1668972</v>
      </c>
      <c r="BR232" s="421">
        <f>M232+AQ232</f>
        <v>48000</v>
      </c>
      <c r="BS232" s="421">
        <f t="shared" ref="BS232:BT236" si="510">N232+AO232</f>
        <v>22400</v>
      </c>
      <c r="BT232" s="421">
        <f t="shared" si="510"/>
        <v>25600</v>
      </c>
      <c r="BU232" s="421">
        <f t="shared" ref="BU232:BV236" si="511">P232+AU232</f>
        <v>8616768</v>
      </c>
      <c r="BV232" s="421">
        <f t="shared" si="511"/>
        <v>254454</v>
      </c>
      <c r="BW232" s="421">
        <f>R232+AY232</f>
        <v>493226</v>
      </c>
      <c r="BX232" s="422">
        <f>S232+BM232</f>
        <v>37.515599999999999</v>
      </c>
      <c r="BY232" s="422">
        <f t="shared" ref="BY232:BZ236" si="512">T232+BK232</f>
        <v>32.428899999999999</v>
      </c>
      <c r="BZ232" s="611">
        <f t="shared" si="512"/>
        <v>5.0867000000000004</v>
      </c>
      <c r="CA232" s="423">
        <v>380136</v>
      </c>
      <c r="CB232" s="418">
        <v>282000</v>
      </c>
      <c r="CC232" s="418">
        <v>0</v>
      </c>
      <c r="CD232" s="418">
        <v>95316</v>
      </c>
      <c r="CE232" s="418">
        <v>2820</v>
      </c>
      <c r="CF232" s="527">
        <v>0.5</v>
      </c>
    </row>
    <row r="233" spans="1:84" ht="14.1" customHeight="1" x14ac:dyDescent="0.2">
      <c r="A233" s="66">
        <v>48</v>
      </c>
      <c r="B233" s="63">
        <v>2489</v>
      </c>
      <c r="C233" s="64">
        <v>600080188</v>
      </c>
      <c r="D233" s="63">
        <v>64040402</v>
      </c>
      <c r="E233" s="65" t="s">
        <v>632</v>
      </c>
      <c r="F233" s="66">
        <v>3113</v>
      </c>
      <c r="G233" s="77" t="s">
        <v>292</v>
      </c>
      <c r="H233" s="67" t="s">
        <v>272</v>
      </c>
      <c r="I233" s="423">
        <f t="shared" si="433"/>
        <v>0</v>
      </c>
      <c r="J233" s="418">
        <f t="shared" si="434"/>
        <v>0</v>
      </c>
      <c r="K233" s="418">
        <v>0</v>
      </c>
      <c r="L233" s="418">
        <v>0</v>
      </c>
      <c r="M233" s="418">
        <f t="shared" si="469"/>
        <v>0</v>
      </c>
      <c r="N233" s="418">
        <v>0</v>
      </c>
      <c r="O233" s="418">
        <v>0</v>
      </c>
      <c r="P233" s="668">
        <f t="shared" si="470"/>
        <v>0</v>
      </c>
      <c r="Q233" s="668">
        <f t="shared" si="471"/>
        <v>0</v>
      </c>
      <c r="R233" s="418">
        <v>0</v>
      </c>
      <c r="S233" s="419">
        <f t="shared" si="472"/>
        <v>0</v>
      </c>
      <c r="T233" s="420">
        <v>0</v>
      </c>
      <c r="U233" s="426">
        <v>0</v>
      </c>
      <c r="V233" s="428">
        <f t="shared" si="439"/>
        <v>0</v>
      </c>
      <c r="W233" s="421">
        <f t="shared" si="440"/>
        <v>0</v>
      </c>
      <c r="X233" s="16">
        <v>2266201</v>
      </c>
      <c r="Y233" s="16">
        <v>0</v>
      </c>
      <c r="Z233" s="16">
        <v>0</v>
      </c>
      <c r="AA233" s="16">
        <v>0</v>
      </c>
      <c r="AB233" s="421">
        <v>0</v>
      </c>
      <c r="AC233" s="16">
        <v>0</v>
      </c>
      <c r="AD233" s="16">
        <v>0</v>
      </c>
      <c r="AE233" s="16">
        <v>0</v>
      </c>
      <c r="AF233" s="421">
        <f t="shared" si="441"/>
        <v>2266201</v>
      </c>
      <c r="AG233" s="421">
        <f t="shared" si="442"/>
        <v>0</v>
      </c>
      <c r="AH233" s="421">
        <f t="shared" si="443"/>
        <v>2266201</v>
      </c>
      <c r="AI233" s="16">
        <v>0</v>
      </c>
      <c r="AJ233" s="16">
        <v>0</v>
      </c>
      <c r="AK233" s="421">
        <v>0</v>
      </c>
      <c r="AL233" s="16">
        <v>0</v>
      </c>
      <c r="AM233" s="16">
        <v>0</v>
      </c>
      <c r="AN233" s="16">
        <v>0</v>
      </c>
      <c r="AO233" s="421">
        <f t="shared" si="444"/>
        <v>0</v>
      </c>
      <c r="AP233" s="16">
        <v>0</v>
      </c>
      <c r="AQ233" s="421">
        <f t="shared" si="446"/>
        <v>0</v>
      </c>
      <c r="AR233" s="421">
        <f t="shared" si="507"/>
        <v>2266201</v>
      </c>
      <c r="AS233" s="421">
        <f t="shared" si="507"/>
        <v>0</v>
      </c>
      <c r="AT233" s="421">
        <f t="shared" si="447"/>
        <v>2266201</v>
      </c>
      <c r="AU233" s="68">
        <f t="shared" si="508"/>
        <v>765976</v>
      </c>
      <c r="AV233" s="68">
        <f>ROUND(AH233*1%,0)</f>
        <v>22662</v>
      </c>
      <c r="AW233" s="16">
        <v>1500</v>
      </c>
      <c r="AX233" s="16">
        <v>0</v>
      </c>
      <c r="AY233" s="421">
        <f t="shared" si="448"/>
        <v>1500</v>
      </c>
      <c r="AZ233" s="421">
        <f t="shared" si="449"/>
        <v>3056339</v>
      </c>
      <c r="BA233" s="13">
        <v>0</v>
      </c>
      <c r="BB233" s="13">
        <v>0</v>
      </c>
      <c r="BC233" s="13">
        <v>6.03</v>
      </c>
      <c r="BD233" s="422">
        <v>0</v>
      </c>
      <c r="BE233" s="422">
        <v>0</v>
      </c>
      <c r="BF233" s="422">
        <v>0</v>
      </c>
      <c r="BG233" s="422">
        <v>0</v>
      </c>
      <c r="BH233" s="422">
        <v>0</v>
      </c>
      <c r="BI233" s="422">
        <v>0</v>
      </c>
      <c r="BJ233" s="422">
        <v>0</v>
      </c>
      <c r="BK233" s="422">
        <f>BA233+BC233+BD233+BF233+BH233+BI233</f>
        <v>6.03</v>
      </c>
      <c r="BL233" s="422">
        <f>BB233+BE233+BG233+BJ233</f>
        <v>0</v>
      </c>
      <c r="BM233" s="424">
        <f t="shared" si="450"/>
        <v>6.03</v>
      </c>
      <c r="BN233" s="427">
        <f>I233+AZ233</f>
        <v>3056339</v>
      </c>
      <c r="BO233" s="421">
        <f>J233+AH233</f>
        <v>2266201</v>
      </c>
      <c r="BP233" s="421">
        <f t="shared" si="509"/>
        <v>2266201</v>
      </c>
      <c r="BQ233" s="421">
        <f t="shared" si="509"/>
        <v>0</v>
      </c>
      <c r="BR233" s="421">
        <f>M233+AQ233</f>
        <v>0</v>
      </c>
      <c r="BS233" s="421">
        <f t="shared" si="510"/>
        <v>0</v>
      </c>
      <c r="BT233" s="421">
        <f t="shared" si="510"/>
        <v>0</v>
      </c>
      <c r="BU233" s="421">
        <f t="shared" si="511"/>
        <v>765976</v>
      </c>
      <c r="BV233" s="421">
        <f t="shared" si="511"/>
        <v>22662</v>
      </c>
      <c r="BW233" s="421">
        <f>R233+AY233</f>
        <v>1500</v>
      </c>
      <c r="BX233" s="422">
        <f>S233+BM233</f>
        <v>6.03</v>
      </c>
      <c r="BY233" s="422">
        <f t="shared" si="512"/>
        <v>6.03</v>
      </c>
      <c r="BZ233" s="611">
        <f t="shared" si="512"/>
        <v>0</v>
      </c>
      <c r="CA233" s="423"/>
      <c r="CB233" s="418"/>
      <c r="CC233" s="418"/>
      <c r="CD233" s="418"/>
      <c r="CE233" s="418"/>
      <c r="CF233" s="527"/>
    </row>
    <row r="234" spans="1:84" ht="14.1" customHeight="1" x14ac:dyDescent="0.2">
      <c r="A234" s="66">
        <v>48</v>
      </c>
      <c r="B234" s="63">
        <v>2489</v>
      </c>
      <c r="C234" s="64">
        <v>600080188</v>
      </c>
      <c r="D234" s="63">
        <v>64040402</v>
      </c>
      <c r="E234" s="65" t="s">
        <v>632</v>
      </c>
      <c r="F234" s="66">
        <v>3141</v>
      </c>
      <c r="G234" s="65" t="s">
        <v>295</v>
      </c>
      <c r="H234" s="67" t="s">
        <v>272</v>
      </c>
      <c r="I234" s="423">
        <f t="shared" si="433"/>
        <v>1972902</v>
      </c>
      <c r="J234" s="418">
        <f t="shared" si="434"/>
        <v>1451738</v>
      </c>
      <c r="K234" s="418">
        <v>0</v>
      </c>
      <c r="L234" s="924">
        <v>1451738</v>
      </c>
      <c r="M234" s="418">
        <f>N234+O234</f>
        <v>0</v>
      </c>
      <c r="N234" s="205">
        <v>0</v>
      </c>
      <c r="O234" s="205">
        <v>0</v>
      </c>
      <c r="P234" s="668">
        <f t="shared" si="470"/>
        <v>490687</v>
      </c>
      <c r="Q234" s="668">
        <f t="shared" si="471"/>
        <v>14517</v>
      </c>
      <c r="R234" s="674">
        <v>15960</v>
      </c>
      <c r="S234" s="419">
        <f>T234+U234</f>
        <v>4.3532999999999999</v>
      </c>
      <c r="T234" s="676">
        <v>0</v>
      </c>
      <c r="U234" s="909">
        <v>4.3532999999999999</v>
      </c>
      <c r="V234" s="428">
        <f t="shared" si="439"/>
        <v>0</v>
      </c>
      <c r="W234" s="421">
        <f t="shared" si="440"/>
        <v>0</v>
      </c>
      <c r="X234" s="421">
        <v>0</v>
      </c>
      <c r="Y234" s="421">
        <v>0</v>
      </c>
      <c r="Z234" s="421">
        <v>0</v>
      </c>
      <c r="AA234" s="421">
        <v>0</v>
      </c>
      <c r="AB234" s="421">
        <v>0</v>
      </c>
      <c r="AC234" s="421">
        <v>0</v>
      </c>
      <c r="AD234" s="421">
        <v>0</v>
      </c>
      <c r="AE234" s="421">
        <v>0</v>
      </c>
      <c r="AF234" s="421">
        <f t="shared" si="441"/>
        <v>0</v>
      </c>
      <c r="AG234" s="421">
        <f t="shared" si="442"/>
        <v>0</v>
      </c>
      <c r="AH234" s="421">
        <f t="shared" si="443"/>
        <v>0</v>
      </c>
      <c r="AI234" s="421">
        <v>0</v>
      </c>
      <c r="AJ234" s="421">
        <v>0</v>
      </c>
      <c r="AK234" s="421">
        <v>0</v>
      </c>
      <c r="AL234" s="421">
        <v>0</v>
      </c>
      <c r="AM234" s="421">
        <v>0</v>
      </c>
      <c r="AN234" s="421">
        <v>0</v>
      </c>
      <c r="AO234" s="421">
        <f t="shared" si="444"/>
        <v>0</v>
      </c>
      <c r="AP234" s="421">
        <f t="shared" si="445"/>
        <v>0</v>
      </c>
      <c r="AQ234" s="421">
        <f t="shared" si="446"/>
        <v>0</v>
      </c>
      <c r="AR234" s="421">
        <f t="shared" si="507"/>
        <v>0</v>
      </c>
      <c r="AS234" s="421">
        <f t="shared" si="507"/>
        <v>0</v>
      </c>
      <c r="AT234" s="421">
        <f t="shared" si="447"/>
        <v>0</v>
      </c>
      <c r="AU234" s="68">
        <f t="shared" si="508"/>
        <v>0</v>
      </c>
      <c r="AV234" s="68">
        <f>ROUND(AH234*1%,0)</f>
        <v>0</v>
      </c>
      <c r="AW234" s="421">
        <v>0</v>
      </c>
      <c r="AX234" s="421">
        <v>0</v>
      </c>
      <c r="AY234" s="421">
        <f t="shared" si="448"/>
        <v>0</v>
      </c>
      <c r="AZ234" s="421">
        <f t="shared" si="449"/>
        <v>0</v>
      </c>
      <c r="BA234" s="422">
        <v>0</v>
      </c>
      <c r="BB234" s="422">
        <v>0</v>
      </c>
      <c r="BC234" s="422">
        <v>0</v>
      </c>
      <c r="BD234" s="422">
        <v>0</v>
      </c>
      <c r="BE234" s="422">
        <v>0</v>
      </c>
      <c r="BF234" s="422">
        <v>0</v>
      </c>
      <c r="BG234" s="422">
        <v>0</v>
      </c>
      <c r="BH234" s="422">
        <v>0</v>
      </c>
      <c r="BI234" s="422">
        <v>0</v>
      </c>
      <c r="BJ234" s="422">
        <v>0</v>
      </c>
      <c r="BK234" s="422">
        <f>BA234+BC234+BD234+BF234+BH234+BI234</f>
        <v>0</v>
      </c>
      <c r="BL234" s="422">
        <f>BB234+BE234+BG234+BJ234</f>
        <v>0</v>
      </c>
      <c r="BM234" s="424">
        <f t="shared" si="450"/>
        <v>0</v>
      </c>
      <c r="BN234" s="427">
        <f>I234+AZ234</f>
        <v>1972902</v>
      </c>
      <c r="BO234" s="421">
        <f>J234+AH234</f>
        <v>1451738</v>
      </c>
      <c r="BP234" s="421">
        <f t="shared" si="509"/>
        <v>0</v>
      </c>
      <c r="BQ234" s="421">
        <f t="shared" si="509"/>
        <v>1451738</v>
      </c>
      <c r="BR234" s="421">
        <f>M234+AQ234</f>
        <v>0</v>
      </c>
      <c r="BS234" s="421">
        <f t="shared" si="510"/>
        <v>0</v>
      </c>
      <c r="BT234" s="421">
        <f t="shared" si="510"/>
        <v>0</v>
      </c>
      <c r="BU234" s="421">
        <f t="shared" si="511"/>
        <v>490687</v>
      </c>
      <c r="BV234" s="421">
        <f t="shared" si="511"/>
        <v>14517</v>
      </c>
      <c r="BW234" s="421">
        <f>R234+AY234</f>
        <v>15960</v>
      </c>
      <c r="BX234" s="422">
        <f>S234+BM234</f>
        <v>4.3532999999999999</v>
      </c>
      <c r="BY234" s="422">
        <f t="shared" si="512"/>
        <v>0</v>
      </c>
      <c r="BZ234" s="611">
        <f t="shared" si="512"/>
        <v>4.3532999999999999</v>
      </c>
      <c r="CA234" s="423"/>
      <c r="CB234" s="418"/>
      <c r="CC234" s="418"/>
      <c r="CD234" s="418"/>
      <c r="CE234" s="418"/>
      <c r="CF234" s="527"/>
    </row>
    <row r="235" spans="1:84" ht="14.1" customHeight="1" x14ac:dyDescent="0.2">
      <c r="A235" s="66">
        <v>48</v>
      </c>
      <c r="B235" s="63">
        <v>2489</v>
      </c>
      <c r="C235" s="64">
        <v>600080188</v>
      </c>
      <c r="D235" s="63">
        <v>64040402</v>
      </c>
      <c r="E235" s="65" t="s">
        <v>632</v>
      </c>
      <c r="F235" s="66">
        <v>3143</v>
      </c>
      <c r="G235" s="77" t="s">
        <v>596</v>
      </c>
      <c r="H235" s="67" t="s">
        <v>271</v>
      </c>
      <c r="I235" s="423">
        <f t="shared" si="433"/>
        <v>3258343</v>
      </c>
      <c r="J235" s="418">
        <f t="shared" si="434"/>
        <v>2417168</v>
      </c>
      <c r="K235" s="418">
        <v>2417168</v>
      </c>
      <c r="L235" s="418">
        <v>0</v>
      </c>
      <c r="M235" s="418">
        <f t="shared" si="469"/>
        <v>0</v>
      </c>
      <c r="N235" s="418">
        <v>0</v>
      </c>
      <c r="O235" s="418">
        <v>0</v>
      </c>
      <c r="P235" s="668">
        <f t="shared" si="470"/>
        <v>817003</v>
      </c>
      <c r="Q235" s="668">
        <f t="shared" si="471"/>
        <v>24172</v>
      </c>
      <c r="R235" s="418">
        <v>0</v>
      </c>
      <c r="S235" s="419">
        <f t="shared" si="472"/>
        <v>4.6665999999999999</v>
      </c>
      <c r="T235" s="419">
        <v>4.6665999999999999</v>
      </c>
      <c r="U235" s="426">
        <v>0</v>
      </c>
      <c r="V235" s="428">
        <f t="shared" si="439"/>
        <v>-3200</v>
      </c>
      <c r="W235" s="421">
        <f t="shared" si="440"/>
        <v>0</v>
      </c>
      <c r="X235" s="421">
        <v>0</v>
      </c>
      <c r="Y235" s="421">
        <v>0</v>
      </c>
      <c r="Z235" s="421">
        <v>0</v>
      </c>
      <c r="AA235" s="421">
        <v>0</v>
      </c>
      <c r="AB235" s="421">
        <v>0</v>
      </c>
      <c r="AC235" s="421">
        <v>0</v>
      </c>
      <c r="AD235" s="421">
        <v>0</v>
      </c>
      <c r="AE235" s="421">
        <v>0</v>
      </c>
      <c r="AF235" s="421">
        <f t="shared" si="441"/>
        <v>-3200</v>
      </c>
      <c r="AG235" s="421">
        <f t="shared" si="442"/>
        <v>0</v>
      </c>
      <c r="AH235" s="421">
        <f t="shared" si="443"/>
        <v>-3200</v>
      </c>
      <c r="AI235" s="421">
        <v>3200</v>
      </c>
      <c r="AJ235" s="421">
        <v>0</v>
      </c>
      <c r="AK235" s="421">
        <v>0</v>
      </c>
      <c r="AL235" s="421">
        <v>0</v>
      </c>
      <c r="AM235" s="421">
        <v>0</v>
      </c>
      <c r="AN235" s="421">
        <v>0</v>
      </c>
      <c r="AO235" s="421">
        <f t="shared" si="444"/>
        <v>3200</v>
      </c>
      <c r="AP235" s="421">
        <f t="shared" si="445"/>
        <v>0</v>
      </c>
      <c r="AQ235" s="421">
        <f t="shared" si="446"/>
        <v>3200</v>
      </c>
      <c r="AR235" s="421">
        <f t="shared" si="507"/>
        <v>0</v>
      </c>
      <c r="AS235" s="421">
        <f t="shared" si="507"/>
        <v>0</v>
      </c>
      <c r="AT235" s="421">
        <f t="shared" si="447"/>
        <v>0</v>
      </c>
      <c r="AU235" s="68">
        <f t="shared" si="508"/>
        <v>0</v>
      </c>
      <c r="AV235" s="68">
        <f>ROUND(AH235*1%,0)</f>
        <v>-32</v>
      </c>
      <c r="AW235" s="421">
        <v>0</v>
      </c>
      <c r="AX235" s="421">
        <v>0</v>
      </c>
      <c r="AY235" s="421">
        <f t="shared" si="448"/>
        <v>0</v>
      </c>
      <c r="AZ235" s="421">
        <f t="shared" si="449"/>
        <v>-32</v>
      </c>
      <c r="BA235" s="422">
        <v>-0.01</v>
      </c>
      <c r="BB235" s="422">
        <v>0</v>
      </c>
      <c r="BC235" s="422">
        <v>0</v>
      </c>
      <c r="BD235" s="422">
        <v>0</v>
      </c>
      <c r="BE235" s="422">
        <v>0</v>
      </c>
      <c r="BF235" s="422">
        <v>0</v>
      </c>
      <c r="BG235" s="422">
        <v>0</v>
      </c>
      <c r="BH235" s="422">
        <v>0</v>
      </c>
      <c r="BI235" s="422">
        <v>0</v>
      </c>
      <c r="BJ235" s="422">
        <v>0</v>
      </c>
      <c r="BK235" s="422">
        <f>BA235+BC235+BD235+BF235+BH235+BI235</f>
        <v>-0.01</v>
      </c>
      <c r="BL235" s="422">
        <f>BB235+BE235+BG235+BJ235</f>
        <v>0</v>
      </c>
      <c r="BM235" s="424">
        <f t="shared" si="450"/>
        <v>-0.01</v>
      </c>
      <c r="BN235" s="427">
        <f>I235+AZ235</f>
        <v>3258311</v>
      </c>
      <c r="BO235" s="421">
        <f>J235+AH235</f>
        <v>2413968</v>
      </c>
      <c r="BP235" s="421">
        <f t="shared" si="509"/>
        <v>2413968</v>
      </c>
      <c r="BQ235" s="421">
        <f t="shared" si="509"/>
        <v>0</v>
      </c>
      <c r="BR235" s="421">
        <f>M235+AQ235</f>
        <v>3200</v>
      </c>
      <c r="BS235" s="421">
        <f t="shared" si="510"/>
        <v>3200</v>
      </c>
      <c r="BT235" s="421">
        <f t="shared" si="510"/>
        <v>0</v>
      </c>
      <c r="BU235" s="421">
        <f t="shared" si="511"/>
        <v>817003</v>
      </c>
      <c r="BV235" s="421">
        <f t="shared" si="511"/>
        <v>24140</v>
      </c>
      <c r="BW235" s="421">
        <f>R235+AY235</f>
        <v>0</v>
      </c>
      <c r="BX235" s="422">
        <f>S235+BM235</f>
        <v>4.6566000000000001</v>
      </c>
      <c r="BY235" s="422">
        <f t="shared" si="512"/>
        <v>4.6566000000000001</v>
      </c>
      <c r="BZ235" s="611">
        <f t="shared" si="512"/>
        <v>0</v>
      </c>
      <c r="CA235" s="423"/>
      <c r="CB235" s="418"/>
      <c r="CC235" s="418"/>
      <c r="CD235" s="418"/>
      <c r="CE235" s="418"/>
      <c r="CF235" s="527"/>
    </row>
    <row r="236" spans="1:84" ht="14.1" customHeight="1" x14ac:dyDescent="0.2">
      <c r="A236" s="66">
        <v>48</v>
      </c>
      <c r="B236" s="63">
        <v>2489</v>
      </c>
      <c r="C236" s="64">
        <v>600080188</v>
      </c>
      <c r="D236" s="63">
        <v>64040402</v>
      </c>
      <c r="E236" s="65" t="s">
        <v>632</v>
      </c>
      <c r="F236" s="66">
        <v>3143</v>
      </c>
      <c r="G236" s="77" t="s">
        <v>597</v>
      </c>
      <c r="H236" s="67" t="s">
        <v>272</v>
      </c>
      <c r="I236" s="423">
        <f t="shared" si="433"/>
        <v>92208</v>
      </c>
      <c r="J236" s="418">
        <f t="shared" si="434"/>
        <v>66000</v>
      </c>
      <c r="K236" s="418">
        <v>0</v>
      </c>
      <c r="L236" s="674">
        <v>66000</v>
      </c>
      <c r="M236" s="418">
        <f t="shared" si="469"/>
        <v>0</v>
      </c>
      <c r="N236" s="418">
        <v>0</v>
      </c>
      <c r="O236" s="418">
        <v>0</v>
      </c>
      <c r="P236" s="668">
        <f t="shared" si="470"/>
        <v>22308</v>
      </c>
      <c r="Q236" s="668">
        <f t="shared" si="471"/>
        <v>660</v>
      </c>
      <c r="R236" s="674">
        <v>3240</v>
      </c>
      <c r="S236" s="419">
        <f t="shared" si="472"/>
        <v>0.25</v>
      </c>
      <c r="T236" s="676">
        <v>0</v>
      </c>
      <c r="U236" s="909">
        <v>0.25</v>
      </c>
      <c r="V236" s="428">
        <f t="shared" si="439"/>
        <v>0</v>
      </c>
      <c r="W236" s="421">
        <f t="shared" si="440"/>
        <v>0</v>
      </c>
      <c r="X236" s="421">
        <v>0</v>
      </c>
      <c r="Y236" s="421">
        <v>0</v>
      </c>
      <c r="Z236" s="421">
        <v>0</v>
      </c>
      <c r="AA236" s="421">
        <v>0</v>
      </c>
      <c r="AB236" s="421">
        <v>0</v>
      </c>
      <c r="AC236" s="421">
        <v>0</v>
      </c>
      <c r="AD236" s="421">
        <v>0</v>
      </c>
      <c r="AE236" s="421">
        <v>0</v>
      </c>
      <c r="AF236" s="421">
        <f t="shared" si="441"/>
        <v>0</v>
      </c>
      <c r="AG236" s="421">
        <f t="shared" si="442"/>
        <v>0</v>
      </c>
      <c r="AH236" s="421">
        <f t="shared" si="443"/>
        <v>0</v>
      </c>
      <c r="AI236" s="421">
        <v>0</v>
      </c>
      <c r="AJ236" s="421">
        <v>0</v>
      </c>
      <c r="AK236" s="421">
        <v>0</v>
      </c>
      <c r="AL236" s="421">
        <v>0</v>
      </c>
      <c r="AM236" s="421">
        <v>0</v>
      </c>
      <c r="AN236" s="421">
        <v>0</v>
      </c>
      <c r="AO236" s="421">
        <f t="shared" si="444"/>
        <v>0</v>
      </c>
      <c r="AP236" s="421">
        <f t="shared" si="445"/>
        <v>0</v>
      </c>
      <c r="AQ236" s="421">
        <f t="shared" si="446"/>
        <v>0</v>
      </c>
      <c r="AR236" s="421">
        <f t="shared" si="507"/>
        <v>0</v>
      </c>
      <c r="AS236" s="421">
        <f t="shared" si="507"/>
        <v>0</v>
      </c>
      <c r="AT236" s="421">
        <f t="shared" si="447"/>
        <v>0</v>
      </c>
      <c r="AU236" s="68">
        <f t="shared" si="508"/>
        <v>0</v>
      </c>
      <c r="AV236" s="68">
        <f>ROUND(AH236*1%,0)</f>
        <v>0</v>
      </c>
      <c r="AW236" s="421">
        <v>0</v>
      </c>
      <c r="AX236" s="421">
        <v>0</v>
      </c>
      <c r="AY236" s="421">
        <f t="shared" si="448"/>
        <v>0</v>
      </c>
      <c r="AZ236" s="421">
        <f t="shared" si="449"/>
        <v>0</v>
      </c>
      <c r="BA236" s="422">
        <v>0</v>
      </c>
      <c r="BB236" s="422">
        <v>0</v>
      </c>
      <c r="BC236" s="422">
        <v>0</v>
      </c>
      <c r="BD236" s="422">
        <v>0</v>
      </c>
      <c r="BE236" s="422">
        <v>0</v>
      </c>
      <c r="BF236" s="422">
        <v>0</v>
      </c>
      <c r="BG236" s="422">
        <v>0</v>
      </c>
      <c r="BH236" s="422">
        <v>0</v>
      </c>
      <c r="BI236" s="422">
        <v>0</v>
      </c>
      <c r="BJ236" s="422">
        <v>0</v>
      </c>
      <c r="BK236" s="422">
        <f>BA236+BC236+BD236+BF236+BH236+BI236</f>
        <v>0</v>
      </c>
      <c r="BL236" s="422">
        <f>BB236+BE236+BG236+BJ236</f>
        <v>0</v>
      </c>
      <c r="BM236" s="424">
        <f t="shared" si="450"/>
        <v>0</v>
      </c>
      <c r="BN236" s="427">
        <f>I236+AZ236</f>
        <v>92208</v>
      </c>
      <c r="BO236" s="421">
        <f>J236+AH236</f>
        <v>66000</v>
      </c>
      <c r="BP236" s="421">
        <f t="shared" si="509"/>
        <v>0</v>
      </c>
      <c r="BQ236" s="421">
        <f t="shared" si="509"/>
        <v>66000</v>
      </c>
      <c r="BR236" s="421">
        <f>M236+AQ236</f>
        <v>0</v>
      </c>
      <c r="BS236" s="421">
        <f t="shared" si="510"/>
        <v>0</v>
      </c>
      <c r="BT236" s="421">
        <f t="shared" si="510"/>
        <v>0</v>
      </c>
      <c r="BU236" s="421">
        <f t="shared" si="511"/>
        <v>22308</v>
      </c>
      <c r="BV236" s="421">
        <f t="shared" si="511"/>
        <v>660</v>
      </c>
      <c r="BW236" s="421">
        <f>R236+AY236</f>
        <v>3240</v>
      </c>
      <c r="BX236" s="422">
        <f>S236+BM236</f>
        <v>0.25</v>
      </c>
      <c r="BY236" s="422">
        <f t="shared" si="512"/>
        <v>0</v>
      </c>
      <c r="BZ236" s="611">
        <f t="shared" si="512"/>
        <v>0.25</v>
      </c>
      <c r="CA236" s="423"/>
      <c r="CB236" s="418"/>
      <c r="CC236" s="418"/>
      <c r="CD236" s="418"/>
      <c r="CE236" s="418"/>
      <c r="CF236" s="527"/>
    </row>
    <row r="237" spans="1:84" ht="14.1" customHeight="1" x14ac:dyDescent="0.2">
      <c r="A237" s="72">
        <v>48</v>
      </c>
      <c r="B237" s="69">
        <v>2489</v>
      </c>
      <c r="C237" s="70">
        <v>600080188</v>
      </c>
      <c r="D237" s="69">
        <v>64040402</v>
      </c>
      <c r="E237" s="71" t="s">
        <v>633</v>
      </c>
      <c r="F237" s="72"/>
      <c r="G237" s="71"/>
      <c r="H237" s="73"/>
      <c r="I237" s="538">
        <f t="shared" ref="I237:BU237" si="513">SUM(I232:I236)</f>
        <v>39760591</v>
      </c>
      <c r="J237" s="74">
        <f t="shared" si="513"/>
        <v>29115850</v>
      </c>
      <c r="K237" s="74">
        <f>SUM(K232:K236)</f>
        <v>25903540</v>
      </c>
      <c r="L237" s="74">
        <f>SUM(L232:L236)</f>
        <v>3212310</v>
      </c>
      <c r="M237" s="74">
        <f>SUM(M232:M236)</f>
        <v>0</v>
      </c>
      <c r="N237" s="74">
        <f>SUM(N232:N236)</f>
        <v>0</v>
      </c>
      <c r="O237" s="74">
        <f>SUM(O232:O236)</f>
        <v>0</v>
      </c>
      <c r="P237" s="74">
        <f t="shared" ref="P237:Q237" si="514">SUM(P232:P236)</f>
        <v>9841157</v>
      </c>
      <c r="Q237" s="74">
        <f t="shared" si="514"/>
        <v>291158</v>
      </c>
      <c r="R237" s="74">
        <f>SUM(R232:R236)</f>
        <v>512426</v>
      </c>
      <c r="S237" s="75">
        <f>SUM(S232:S236)</f>
        <v>46.345500000000001</v>
      </c>
      <c r="T237" s="75">
        <f>SUM(T232:T236)</f>
        <v>36.575499999999998</v>
      </c>
      <c r="U237" s="753">
        <f>SUM(U232:U236)</f>
        <v>9.77</v>
      </c>
      <c r="V237" s="538">
        <f t="shared" si="513"/>
        <v>-25600</v>
      </c>
      <c r="W237" s="74">
        <f t="shared" si="513"/>
        <v>-25600</v>
      </c>
      <c r="X237" s="74">
        <f t="shared" si="513"/>
        <v>2266201</v>
      </c>
      <c r="Y237" s="74">
        <f t="shared" si="513"/>
        <v>0</v>
      </c>
      <c r="Z237" s="74">
        <f t="shared" si="513"/>
        <v>0</v>
      </c>
      <c r="AA237" s="74">
        <f t="shared" si="513"/>
        <v>30452</v>
      </c>
      <c r="AB237" s="74">
        <f t="shared" si="513"/>
        <v>282000</v>
      </c>
      <c r="AC237" s="74">
        <f t="shared" si="513"/>
        <v>0</v>
      </c>
      <c r="AD237" s="74">
        <f t="shared" si="513"/>
        <v>0</v>
      </c>
      <c r="AE237" s="74">
        <f t="shared" si="513"/>
        <v>0</v>
      </c>
      <c r="AF237" s="74">
        <f t="shared" si="513"/>
        <v>2553053</v>
      </c>
      <c r="AG237" s="74">
        <f t="shared" si="513"/>
        <v>-25600</v>
      </c>
      <c r="AH237" s="74">
        <f t="shared" si="513"/>
        <v>2527453</v>
      </c>
      <c r="AI237" s="74">
        <f t="shared" si="513"/>
        <v>25600</v>
      </c>
      <c r="AJ237" s="74">
        <f t="shared" si="513"/>
        <v>25600</v>
      </c>
      <c r="AK237" s="74">
        <f t="shared" si="513"/>
        <v>0</v>
      </c>
      <c r="AL237" s="74">
        <f t="shared" si="513"/>
        <v>0</v>
      </c>
      <c r="AM237" s="74">
        <f t="shared" si="513"/>
        <v>0</v>
      </c>
      <c r="AN237" s="74">
        <f t="shared" si="513"/>
        <v>0</v>
      </c>
      <c r="AO237" s="74">
        <f t="shared" si="513"/>
        <v>25600</v>
      </c>
      <c r="AP237" s="74">
        <f t="shared" si="513"/>
        <v>25600</v>
      </c>
      <c r="AQ237" s="74">
        <f t="shared" si="513"/>
        <v>51200</v>
      </c>
      <c r="AR237" s="74">
        <f t="shared" si="513"/>
        <v>2578653</v>
      </c>
      <c r="AS237" s="74">
        <f t="shared" si="513"/>
        <v>0</v>
      </c>
      <c r="AT237" s="74">
        <f t="shared" si="513"/>
        <v>2578653</v>
      </c>
      <c r="AU237" s="74">
        <f t="shared" si="513"/>
        <v>871585</v>
      </c>
      <c r="AV237" s="74">
        <f t="shared" si="513"/>
        <v>25275</v>
      </c>
      <c r="AW237" s="74">
        <f t="shared" si="513"/>
        <v>1500</v>
      </c>
      <c r="AX237" s="74">
        <f t="shared" si="513"/>
        <v>0</v>
      </c>
      <c r="AY237" s="74">
        <f t="shared" si="513"/>
        <v>1500</v>
      </c>
      <c r="AZ237" s="74">
        <f t="shared" si="513"/>
        <v>3477013</v>
      </c>
      <c r="BA237" s="75">
        <f t="shared" si="513"/>
        <v>-0.04</v>
      </c>
      <c r="BB237" s="75">
        <f t="shared" si="513"/>
        <v>-0.08</v>
      </c>
      <c r="BC237" s="75">
        <f t="shared" si="513"/>
        <v>6.03</v>
      </c>
      <c r="BD237" s="75">
        <f t="shared" si="513"/>
        <v>0.5</v>
      </c>
      <c r="BE237" s="75">
        <f t="shared" si="513"/>
        <v>0</v>
      </c>
      <c r="BF237" s="75">
        <f t="shared" si="513"/>
        <v>0</v>
      </c>
      <c r="BG237" s="75">
        <f t="shared" si="513"/>
        <v>0</v>
      </c>
      <c r="BH237" s="75">
        <f t="shared" si="513"/>
        <v>0.05</v>
      </c>
      <c r="BI237" s="75">
        <f t="shared" si="513"/>
        <v>0</v>
      </c>
      <c r="BJ237" s="75">
        <f t="shared" si="513"/>
        <v>0</v>
      </c>
      <c r="BK237" s="75">
        <f t="shared" si="513"/>
        <v>6.5400000000000009</v>
      </c>
      <c r="BL237" s="75">
        <f t="shared" si="513"/>
        <v>-0.08</v>
      </c>
      <c r="BM237" s="76">
        <f t="shared" si="513"/>
        <v>6.4600000000000009</v>
      </c>
      <c r="BN237" s="549">
        <f t="shared" si="513"/>
        <v>43237604</v>
      </c>
      <c r="BO237" s="74">
        <f t="shared" si="513"/>
        <v>31643303</v>
      </c>
      <c r="BP237" s="74">
        <f t="shared" si="513"/>
        <v>28456593</v>
      </c>
      <c r="BQ237" s="74">
        <f t="shared" si="513"/>
        <v>3186710</v>
      </c>
      <c r="BR237" s="74">
        <f t="shared" si="513"/>
        <v>51200</v>
      </c>
      <c r="BS237" s="74">
        <f t="shared" si="513"/>
        <v>25600</v>
      </c>
      <c r="BT237" s="74">
        <f t="shared" si="513"/>
        <v>25600</v>
      </c>
      <c r="BU237" s="74">
        <f t="shared" si="513"/>
        <v>10712742</v>
      </c>
      <c r="BV237" s="74">
        <f t="shared" ref="BV237:CF237" si="515">SUM(BV232:BV236)</f>
        <v>316433</v>
      </c>
      <c r="BW237" s="74">
        <f t="shared" si="515"/>
        <v>513926</v>
      </c>
      <c r="BX237" s="75">
        <f t="shared" si="515"/>
        <v>52.805499999999995</v>
      </c>
      <c r="BY237" s="75">
        <f t="shared" si="515"/>
        <v>43.115499999999997</v>
      </c>
      <c r="BZ237" s="753">
        <f t="shared" si="515"/>
        <v>9.6900000000000013</v>
      </c>
      <c r="CA237" s="796">
        <f t="shared" si="515"/>
        <v>380136</v>
      </c>
      <c r="CB237" s="789">
        <f t="shared" si="515"/>
        <v>282000</v>
      </c>
      <c r="CC237" s="789">
        <f t="shared" si="515"/>
        <v>0</v>
      </c>
      <c r="CD237" s="789">
        <f t="shared" si="515"/>
        <v>95316</v>
      </c>
      <c r="CE237" s="789">
        <f t="shared" si="515"/>
        <v>2820</v>
      </c>
      <c r="CF237" s="793">
        <f t="shared" si="515"/>
        <v>0.5</v>
      </c>
    </row>
    <row r="238" spans="1:84" ht="14.1" customHeight="1" x14ac:dyDescent="0.2">
      <c r="A238" s="66">
        <v>49</v>
      </c>
      <c r="B238" s="63">
        <v>2473</v>
      </c>
      <c r="C238" s="64">
        <v>600080285</v>
      </c>
      <c r="D238" s="63">
        <v>65642376</v>
      </c>
      <c r="E238" s="65" t="s">
        <v>634</v>
      </c>
      <c r="F238" s="66">
        <v>3113</v>
      </c>
      <c r="G238" s="65" t="s">
        <v>294</v>
      </c>
      <c r="H238" s="67" t="s">
        <v>271</v>
      </c>
      <c r="I238" s="423">
        <f t="shared" si="433"/>
        <v>42943004</v>
      </c>
      <c r="J238" s="418">
        <f t="shared" ref="J238" si="516">K238+L238</f>
        <v>31405247</v>
      </c>
      <c r="K238" s="418">
        <v>29433103</v>
      </c>
      <c r="L238" s="418">
        <v>1972144</v>
      </c>
      <c r="M238" s="418">
        <f>N238+O238</f>
        <v>0</v>
      </c>
      <c r="N238" s="418">
        <v>0</v>
      </c>
      <c r="O238" s="418">
        <v>0</v>
      </c>
      <c r="P238" s="668">
        <f>ROUND(J238*33.8%,0)+1</f>
        <v>10614974</v>
      </c>
      <c r="Q238" s="668">
        <f>ROUND(J238*1%,0)+1</f>
        <v>314053</v>
      </c>
      <c r="R238" s="418">
        <v>608730</v>
      </c>
      <c r="S238" s="419">
        <f>T238+U238</f>
        <v>48.293699999999994</v>
      </c>
      <c r="T238" s="419">
        <v>42.307899999999997</v>
      </c>
      <c r="U238" s="426">
        <v>5.9858000000000002</v>
      </c>
      <c r="V238" s="428">
        <f t="shared" si="439"/>
        <v>-192000</v>
      </c>
      <c r="W238" s="421">
        <f t="shared" si="440"/>
        <v>-76800</v>
      </c>
      <c r="X238" s="421">
        <v>0</v>
      </c>
      <c r="Y238" s="421">
        <v>0</v>
      </c>
      <c r="Z238" s="421">
        <v>0</v>
      </c>
      <c r="AA238" s="421">
        <v>370058</v>
      </c>
      <c r="AB238" s="421">
        <v>564000</v>
      </c>
      <c r="AC238" s="421">
        <v>0</v>
      </c>
      <c r="AD238" s="421">
        <v>0</v>
      </c>
      <c r="AE238" s="421">
        <v>0</v>
      </c>
      <c r="AF238" s="421">
        <f t="shared" si="441"/>
        <v>742058</v>
      </c>
      <c r="AG238" s="421">
        <f t="shared" si="442"/>
        <v>-76800</v>
      </c>
      <c r="AH238" s="421">
        <f t="shared" si="443"/>
        <v>665258</v>
      </c>
      <c r="AI238" s="421">
        <v>192000</v>
      </c>
      <c r="AJ238" s="421">
        <v>76800</v>
      </c>
      <c r="AK238" s="421">
        <v>0</v>
      </c>
      <c r="AL238" s="421">
        <v>0</v>
      </c>
      <c r="AM238" s="421">
        <v>0</v>
      </c>
      <c r="AN238" s="421">
        <v>0</v>
      </c>
      <c r="AO238" s="421">
        <f t="shared" si="444"/>
        <v>192000</v>
      </c>
      <c r="AP238" s="421">
        <f t="shared" si="445"/>
        <v>76800</v>
      </c>
      <c r="AQ238" s="421">
        <f t="shared" si="446"/>
        <v>268800</v>
      </c>
      <c r="AR238" s="421">
        <f t="shared" ref="AR238:AS242" si="517">AF238+AO238</f>
        <v>934058</v>
      </c>
      <c r="AS238" s="421">
        <f t="shared" si="517"/>
        <v>0</v>
      </c>
      <c r="AT238" s="421">
        <f t="shared" si="447"/>
        <v>934058</v>
      </c>
      <c r="AU238" s="68">
        <f t="shared" ref="AU238:AU242" si="518">ROUND((AH238+AI238+AJ238+AK238+AL238)*33.8%,0)</f>
        <v>315712</v>
      </c>
      <c r="AV238" s="68">
        <f>ROUND(AH238*1%,0)</f>
        <v>6653</v>
      </c>
      <c r="AW238" s="421">
        <v>0</v>
      </c>
      <c r="AX238" s="421">
        <v>0</v>
      </c>
      <c r="AY238" s="421">
        <f t="shared" si="448"/>
        <v>0</v>
      </c>
      <c r="AZ238" s="421">
        <f t="shared" si="449"/>
        <v>1256423</v>
      </c>
      <c r="BA238" s="422">
        <v>-0.27</v>
      </c>
      <c r="BB238" s="422">
        <v>-0.23</v>
      </c>
      <c r="BC238" s="422">
        <v>0</v>
      </c>
      <c r="BD238" s="422">
        <v>1</v>
      </c>
      <c r="BE238" s="422">
        <v>0</v>
      </c>
      <c r="BF238" s="422">
        <v>0</v>
      </c>
      <c r="BG238" s="422">
        <v>0</v>
      </c>
      <c r="BH238" s="422">
        <v>0.53</v>
      </c>
      <c r="BI238" s="422">
        <v>0</v>
      </c>
      <c r="BJ238" s="422">
        <v>0</v>
      </c>
      <c r="BK238" s="422">
        <f>BA238+BC238+BD238+BF238+BH238+BI238</f>
        <v>1.26</v>
      </c>
      <c r="BL238" s="422">
        <f>BB238+BE238+BG238+BJ238</f>
        <v>-0.23</v>
      </c>
      <c r="BM238" s="424">
        <f t="shared" si="450"/>
        <v>1.03</v>
      </c>
      <c r="BN238" s="427">
        <f>I238+AZ238</f>
        <v>44199427</v>
      </c>
      <c r="BO238" s="421">
        <f>J238+AH238</f>
        <v>32070505</v>
      </c>
      <c r="BP238" s="421">
        <f t="shared" ref="BP238:BQ242" si="519">K238+AF238</f>
        <v>30175161</v>
      </c>
      <c r="BQ238" s="421">
        <f t="shared" si="519"/>
        <v>1895344</v>
      </c>
      <c r="BR238" s="421">
        <f>M238+AQ238</f>
        <v>268800</v>
      </c>
      <c r="BS238" s="421">
        <f t="shared" ref="BS238:BT242" si="520">N238+AO238</f>
        <v>192000</v>
      </c>
      <c r="BT238" s="421">
        <f t="shared" si="520"/>
        <v>76800</v>
      </c>
      <c r="BU238" s="421">
        <f t="shared" ref="BU238:BV242" si="521">P238+AU238</f>
        <v>10930686</v>
      </c>
      <c r="BV238" s="421">
        <f t="shared" si="521"/>
        <v>320706</v>
      </c>
      <c r="BW238" s="421">
        <f>R238+AY238</f>
        <v>608730</v>
      </c>
      <c r="BX238" s="422">
        <f>S238+BM238</f>
        <v>49.323699999999995</v>
      </c>
      <c r="BY238" s="422">
        <f t="shared" ref="BY238:BZ242" si="522">T238+BK238</f>
        <v>43.567899999999995</v>
      </c>
      <c r="BZ238" s="611">
        <f t="shared" si="522"/>
        <v>5.7557999999999998</v>
      </c>
      <c r="CA238" s="423">
        <v>760272</v>
      </c>
      <c r="CB238" s="418">
        <v>564000</v>
      </c>
      <c r="CC238" s="418">
        <v>0</v>
      </c>
      <c r="CD238" s="418">
        <v>190632</v>
      </c>
      <c r="CE238" s="418">
        <v>5640</v>
      </c>
      <c r="CF238" s="527">
        <v>1</v>
      </c>
    </row>
    <row r="239" spans="1:84" ht="14.1" customHeight="1" x14ac:dyDescent="0.2">
      <c r="A239" s="66">
        <v>49</v>
      </c>
      <c r="B239" s="63">
        <v>2473</v>
      </c>
      <c r="C239" s="64">
        <v>600080285</v>
      </c>
      <c r="D239" s="63">
        <v>65642376</v>
      </c>
      <c r="E239" s="65" t="s">
        <v>634</v>
      </c>
      <c r="F239" s="66">
        <v>3113</v>
      </c>
      <c r="G239" s="77" t="s">
        <v>292</v>
      </c>
      <c r="H239" s="67" t="s">
        <v>272</v>
      </c>
      <c r="I239" s="423">
        <f t="shared" si="433"/>
        <v>0</v>
      </c>
      <c r="J239" s="418">
        <f t="shared" si="434"/>
        <v>0</v>
      </c>
      <c r="K239" s="418">
        <v>0</v>
      </c>
      <c r="L239" s="418">
        <v>0</v>
      </c>
      <c r="M239" s="418">
        <f t="shared" si="469"/>
        <v>0</v>
      </c>
      <c r="N239" s="418">
        <v>0</v>
      </c>
      <c r="O239" s="418">
        <v>0</v>
      </c>
      <c r="P239" s="668">
        <f t="shared" si="470"/>
        <v>0</v>
      </c>
      <c r="Q239" s="668">
        <f t="shared" si="471"/>
        <v>0</v>
      </c>
      <c r="R239" s="418">
        <v>0</v>
      </c>
      <c r="S239" s="419">
        <f t="shared" si="472"/>
        <v>0</v>
      </c>
      <c r="T239" s="420">
        <v>0</v>
      </c>
      <c r="U239" s="426">
        <v>0</v>
      </c>
      <c r="V239" s="428">
        <f t="shared" si="439"/>
        <v>0</v>
      </c>
      <c r="W239" s="421">
        <f t="shared" si="440"/>
        <v>0</v>
      </c>
      <c r="X239" s="16">
        <v>8261269</v>
      </c>
      <c r="Y239" s="16">
        <v>0</v>
      </c>
      <c r="Z239" s="16">
        <v>0</v>
      </c>
      <c r="AA239" s="16">
        <v>0</v>
      </c>
      <c r="AB239" s="421">
        <v>0</v>
      </c>
      <c r="AC239" s="16">
        <v>0</v>
      </c>
      <c r="AD239" s="16">
        <v>0</v>
      </c>
      <c r="AE239" s="16">
        <v>0</v>
      </c>
      <c r="AF239" s="421">
        <f t="shared" si="441"/>
        <v>8261269</v>
      </c>
      <c r="AG239" s="421">
        <f t="shared" si="442"/>
        <v>0</v>
      </c>
      <c r="AH239" s="421">
        <f t="shared" si="443"/>
        <v>8261269</v>
      </c>
      <c r="AI239" s="16">
        <v>0</v>
      </c>
      <c r="AJ239" s="16">
        <v>0</v>
      </c>
      <c r="AK239" s="421">
        <v>0</v>
      </c>
      <c r="AL239" s="16">
        <v>0</v>
      </c>
      <c r="AM239" s="16">
        <v>0</v>
      </c>
      <c r="AN239" s="16">
        <v>0</v>
      </c>
      <c r="AO239" s="421">
        <f t="shared" si="444"/>
        <v>0</v>
      </c>
      <c r="AP239" s="16">
        <v>0</v>
      </c>
      <c r="AQ239" s="421">
        <f t="shared" si="446"/>
        <v>0</v>
      </c>
      <c r="AR239" s="421">
        <f t="shared" si="517"/>
        <v>8261269</v>
      </c>
      <c r="AS239" s="421">
        <f t="shared" si="517"/>
        <v>0</v>
      </c>
      <c r="AT239" s="421">
        <f t="shared" si="447"/>
        <v>8261269</v>
      </c>
      <c r="AU239" s="68">
        <f t="shared" si="518"/>
        <v>2792309</v>
      </c>
      <c r="AV239" s="68">
        <f>ROUND(AH239*1%,0)</f>
        <v>82613</v>
      </c>
      <c r="AW239" s="16">
        <v>0</v>
      </c>
      <c r="AX239" s="16">
        <v>0</v>
      </c>
      <c r="AY239" s="421">
        <f t="shared" si="448"/>
        <v>0</v>
      </c>
      <c r="AZ239" s="421">
        <f t="shared" si="449"/>
        <v>11136191</v>
      </c>
      <c r="BA239" s="13">
        <v>0</v>
      </c>
      <c r="BB239" s="13">
        <v>0</v>
      </c>
      <c r="BC239" s="13">
        <v>21.98</v>
      </c>
      <c r="BD239" s="422">
        <v>0</v>
      </c>
      <c r="BE239" s="422">
        <v>0</v>
      </c>
      <c r="BF239" s="422">
        <v>0</v>
      </c>
      <c r="BG239" s="422">
        <v>0</v>
      </c>
      <c r="BH239" s="422">
        <v>0</v>
      </c>
      <c r="BI239" s="422">
        <v>0</v>
      </c>
      <c r="BJ239" s="422">
        <v>0</v>
      </c>
      <c r="BK239" s="422">
        <f>BA239+BC239+BD239+BF239+BH239+BI239</f>
        <v>21.98</v>
      </c>
      <c r="BL239" s="422">
        <f>BB239+BE239+BG239+BJ239</f>
        <v>0</v>
      </c>
      <c r="BM239" s="424">
        <f t="shared" si="450"/>
        <v>21.98</v>
      </c>
      <c r="BN239" s="427">
        <f>I239+AZ239</f>
        <v>11136191</v>
      </c>
      <c r="BO239" s="421">
        <f>J239+AH239</f>
        <v>8261269</v>
      </c>
      <c r="BP239" s="421">
        <f t="shared" si="519"/>
        <v>8261269</v>
      </c>
      <c r="BQ239" s="421">
        <f t="shared" si="519"/>
        <v>0</v>
      </c>
      <c r="BR239" s="421">
        <f>M239+AQ239</f>
        <v>0</v>
      </c>
      <c r="BS239" s="421">
        <f t="shared" si="520"/>
        <v>0</v>
      </c>
      <c r="BT239" s="421">
        <f t="shared" si="520"/>
        <v>0</v>
      </c>
      <c r="BU239" s="421">
        <f t="shared" si="521"/>
        <v>2792309</v>
      </c>
      <c r="BV239" s="421">
        <f t="shared" si="521"/>
        <v>82613</v>
      </c>
      <c r="BW239" s="421">
        <f>R239+AY239</f>
        <v>0</v>
      </c>
      <c r="BX239" s="422">
        <f>S239+BM239</f>
        <v>21.98</v>
      </c>
      <c r="BY239" s="422">
        <f t="shared" si="522"/>
        <v>21.98</v>
      </c>
      <c r="BZ239" s="611">
        <f t="shared" si="522"/>
        <v>0</v>
      </c>
      <c r="CA239" s="423"/>
      <c r="CB239" s="418"/>
      <c r="CC239" s="418"/>
      <c r="CD239" s="418"/>
      <c r="CE239" s="418"/>
      <c r="CF239" s="527"/>
    </row>
    <row r="240" spans="1:84" ht="14.1" customHeight="1" x14ac:dyDescent="0.2">
      <c r="A240" s="66">
        <v>49</v>
      </c>
      <c r="B240" s="63">
        <v>2473</v>
      </c>
      <c r="C240" s="64">
        <v>600080285</v>
      </c>
      <c r="D240" s="63">
        <v>65642376</v>
      </c>
      <c r="E240" s="65" t="s">
        <v>634</v>
      </c>
      <c r="F240" s="66">
        <v>3141</v>
      </c>
      <c r="G240" s="65" t="s">
        <v>295</v>
      </c>
      <c r="H240" s="67" t="s">
        <v>272</v>
      </c>
      <c r="I240" s="423">
        <f t="shared" si="433"/>
        <v>884119</v>
      </c>
      <c r="J240" s="418">
        <f t="shared" si="434"/>
        <v>646951</v>
      </c>
      <c r="K240" s="418">
        <v>0</v>
      </c>
      <c r="L240" s="924">
        <v>646951</v>
      </c>
      <c r="M240" s="418">
        <f>N240+O240</f>
        <v>0</v>
      </c>
      <c r="N240" s="205">
        <v>0</v>
      </c>
      <c r="O240" s="205">
        <v>0</v>
      </c>
      <c r="P240" s="668">
        <f t="shared" si="470"/>
        <v>218669</v>
      </c>
      <c r="Q240" s="668">
        <f t="shared" si="471"/>
        <v>6470</v>
      </c>
      <c r="R240" s="674">
        <v>12029</v>
      </c>
      <c r="S240" s="419">
        <f>T240+U240</f>
        <v>1.94</v>
      </c>
      <c r="T240" s="676">
        <v>0</v>
      </c>
      <c r="U240" s="909">
        <v>1.94</v>
      </c>
      <c r="V240" s="428">
        <f t="shared" si="439"/>
        <v>0</v>
      </c>
      <c r="W240" s="421">
        <f t="shared" si="440"/>
        <v>0</v>
      </c>
      <c r="X240" s="421">
        <v>0</v>
      </c>
      <c r="Y240" s="421">
        <v>0</v>
      </c>
      <c r="Z240" s="421">
        <v>0</v>
      </c>
      <c r="AA240" s="421">
        <v>0</v>
      </c>
      <c r="AB240" s="421">
        <v>0</v>
      </c>
      <c r="AC240" s="421">
        <v>0</v>
      </c>
      <c r="AD240" s="421">
        <v>0</v>
      </c>
      <c r="AE240" s="421">
        <v>0</v>
      </c>
      <c r="AF240" s="421">
        <f t="shared" si="441"/>
        <v>0</v>
      </c>
      <c r="AG240" s="421">
        <f t="shared" si="442"/>
        <v>0</v>
      </c>
      <c r="AH240" s="421">
        <f t="shared" si="443"/>
        <v>0</v>
      </c>
      <c r="AI240" s="421">
        <v>0</v>
      </c>
      <c r="AJ240" s="421">
        <v>0</v>
      </c>
      <c r="AK240" s="421">
        <v>0</v>
      </c>
      <c r="AL240" s="421">
        <v>0</v>
      </c>
      <c r="AM240" s="421">
        <v>0</v>
      </c>
      <c r="AN240" s="421">
        <v>32000</v>
      </c>
      <c r="AO240" s="421">
        <f t="shared" si="444"/>
        <v>0</v>
      </c>
      <c r="AP240" s="421">
        <f t="shared" si="445"/>
        <v>32000</v>
      </c>
      <c r="AQ240" s="421">
        <f t="shared" si="446"/>
        <v>32000</v>
      </c>
      <c r="AR240" s="421">
        <f t="shared" si="517"/>
        <v>0</v>
      </c>
      <c r="AS240" s="421">
        <f t="shared" si="517"/>
        <v>32000</v>
      </c>
      <c r="AT240" s="421">
        <f t="shared" si="447"/>
        <v>32000</v>
      </c>
      <c r="AU240" s="68">
        <f t="shared" si="518"/>
        <v>0</v>
      </c>
      <c r="AV240" s="68">
        <f>ROUND(AH240*1%,0)</f>
        <v>0</v>
      </c>
      <c r="AW240" s="421">
        <v>0</v>
      </c>
      <c r="AX240" s="421">
        <v>0</v>
      </c>
      <c r="AY240" s="421">
        <f t="shared" si="448"/>
        <v>0</v>
      </c>
      <c r="AZ240" s="421">
        <f t="shared" si="449"/>
        <v>32000</v>
      </c>
      <c r="BA240" s="422">
        <v>0</v>
      </c>
      <c r="BB240" s="422">
        <v>0</v>
      </c>
      <c r="BC240" s="422">
        <v>0</v>
      </c>
      <c r="BD240" s="422">
        <v>0</v>
      </c>
      <c r="BE240" s="422">
        <v>0</v>
      </c>
      <c r="BF240" s="422">
        <v>0</v>
      </c>
      <c r="BG240" s="422">
        <v>0</v>
      </c>
      <c r="BH240" s="422">
        <v>0</v>
      </c>
      <c r="BI240" s="422">
        <v>0</v>
      </c>
      <c r="BJ240" s="422">
        <v>0</v>
      </c>
      <c r="BK240" s="422">
        <f>BA240+BC240+BD240+BF240+BH240+BI240</f>
        <v>0</v>
      </c>
      <c r="BL240" s="422">
        <f>BB240+BE240+BG240+BJ240</f>
        <v>0</v>
      </c>
      <c r="BM240" s="424">
        <f t="shared" si="450"/>
        <v>0</v>
      </c>
      <c r="BN240" s="427">
        <f>I240+AZ240</f>
        <v>916119</v>
      </c>
      <c r="BO240" s="421">
        <f>J240+AH240</f>
        <v>646951</v>
      </c>
      <c r="BP240" s="421">
        <f t="shared" si="519"/>
        <v>0</v>
      </c>
      <c r="BQ240" s="421">
        <f t="shared" si="519"/>
        <v>646951</v>
      </c>
      <c r="BR240" s="421">
        <f>M240+AQ240</f>
        <v>32000</v>
      </c>
      <c r="BS240" s="421">
        <f t="shared" si="520"/>
        <v>0</v>
      </c>
      <c r="BT240" s="421">
        <f t="shared" si="520"/>
        <v>32000</v>
      </c>
      <c r="BU240" s="421">
        <f t="shared" si="521"/>
        <v>218669</v>
      </c>
      <c r="BV240" s="421">
        <f t="shared" si="521"/>
        <v>6470</v>
      </c>
      <c r="BW240" s="421">
        <f>R240+AY240</f>
        <v>12029</v>
      </c>
      <c r="BX240" s="422">
        <f>S240+BM240</f>
        <v>1.94</v>
      </c>
      <c r="BY240" s="422">
        <f t="shared" si="522"/>
        <v>0</v>
      </c>
      <c r="BZ240" s="611">
        <f t="shared" si="522"/>
        <v>1.94</v>
      </c>
      <c r="CA240" s="423"/>
      <c r="CB240" s="418"/>
      <c r="CC240" s="418"/>
      <c r="CD240" s="418"/>
      <c r="CE240" s="418"/>
      <c r="CF240" s="527"/>
    </row>
    <row r="241" spans="1:84" ht="14.1" customHeight="1" x14ac:dyDescent="0.2">
      <c r="A241" s="66">
        <v>49</v>
      </c>
      <c r="B241" s="63">
        <v>2473</v>
      </c>
      <c r="C241" s="64">
        <v>600080285</v>
      </c>
      <c r="D241" s="63">
        <v>65642376</v>
      </c>
      <c r="E241" s="65" t="s">
        <v>634</v>
      </c>
      <c r="F241" s="66">
        <v>3143</v>
      </c>
      <c r="G241" s="77" t="s">
        <v>596</v>
      </c>
      <c r="H241" s="67" t="s">
        <v>271</v>
      </c>
      <c r="I241" s="423">
        <f t="shared" si="433"/>
        <v>4933565</v>
      </c>
      <c r="J241" s="418">
        <f t="shared" si="434"/>
        <v>3659915</v>
      </c>
      <c r="K241" s="418">
        <v>3659915</v>
      </c>
      <c r="L241" s="418">
        <v>0</v>
      </c>
      <c r="M241" s="418">
        <f t="shared" si="469"/>
        <v>0</v>
      </c>
      <c r="N241" s="418">
        <v>0</v>
      </c>
      <c r="O241" s="418">
        <v>0</v>
      </c>
      <c r="P241" s="668">
        <f t="shared" si="470"/>
        <v>1237051</v>
      </c>
      <c r="Q241" s="668">
        <f t="shared" si="471"/>
        <v>36599</v>
      </c>
      <c r="R241" s="418">
        <v>0</v>
      </c>
      <c r="S241" s="419">
        <f t="shared" si="472"/>
        <v>7.4417</v>
      </c>
      <c r="T241" s="419">
        <v>7.4417</v>
      </c>
      <c r="U241" s="426">
        <v>0</v>
      </c>
      <c r="V241" s="428">
        <f t="shared" si="439"/>
        <v>0</v>
      </c>
      <c r="W241" s="421">
        <f t="shared" si="440"/>
        <v>0</v>
      </c>
      <c r="X241" s="421">
        <v>0</v>
      </c>
      <c r="Y241" s="421">
        <v>0</v>
      </c>
      <c r="Z241" s="421">
        <v>0</v>
      </c>
      <c r="AA241" s="421">
        <v>0</v>
      </c>
      <c r="AB241" s="421">
        <v>0</v>
      </c>
      <c r="AC241" s="421">
        <v>0</v>
      </c>
      <c r="AD241" s="421">
        <v>0</v>
      </c>
      <c r="AE241" s="421">
        <v>0</v>
      </c>
      <c r="AF241" s="421">
        <f t="shared" si="441"/>
        <v>0</v>
      </c>
      <c r="AG241" s="421">
        <f t="shared" si="442"/>
        <v>0</v>
      </c>
      <c r="AH241" s="421">
        <f t="shared" si="443"/>
        <v>0</v>
      </c>
      <c r="AI241" s="421">
        <v>0</v>
      </c>
      <c r="AJ241" s="421">
        <v>0</v>
      </c>
      <c r="AK241" s="421">
        <v>0</v>
      </c>
      <c r="AL241" s="421">
        <v>0</v>
      </c>
      <c r="AM241" s="421">
        <v>0</v>
      </c>
      <c r="AN241" s="421">
        <v>0</v>
      </c>
      <c r="AO241" s="421">
        <f t="shared" si="444"/>
        <v>0</v>
      </c>
      <c r="AP241" s="421">
        <f t="shared" si="445"/>
        <v>0</v>
      </c>
      <c r="AQ241" s="421">
        <f t="shared" si="446"/>
        <v>0</v>
      </c>
      <c r="AR241" s="421">
        <f t="shared" si="517"/>
        <v>0</v>
      </c>
      <c r="AS241" s="421">
        <f t="shared" si="517"/>
        <v>0</v>
      </c>
      <c r="AT241" s="421">
        <f t="shared" si="447"/>
        <v>0</v>
      </c>
      <c r="AU241" s="68">
        <f t="shared" si="518"/>
        <v>0</v>
      </c>
      <c r="AV241" s="68">
        <f>ROUND(AH241*1%,0)</f>
        <v>0</v>
      </c>
      <c r="AW241" s="421">
        <v>0</v>
      </c>
      <c r="AX241" s="421">
        <v>0</v>
      </c>
      <c r="AY241" s="421">
        <f t="shared" si="448"/>
        <v>0</v>
      </c>
      <c r="AZ241" s="421">
        <f t="shared" si="449"/>
        <v>0</v>
      </c>
      <c r="BA241" s="422">
        <v>0</v>
      </c>
      <c r="BB241" s="422">
        <v>0</v>
      </c>
      <c r="BC241" s="422">
        <v>0</v>
      </c>
      <c r="BD241" s="422">
        <v>0</v>
      </c>
      <c r="BE241" s="422">
        <v>0</v>
      </c>
      <c r="BF241" s="422">
        <v>0</v>
      </c>
      <c r="BG241" s="422">
        <v>0</v>
      </c>
      <c r="BH241" s="422">
        <v>0</v>
      </c>
      <c r="BI241" s="422">
        <v>0</v>
      </c>
      <c r="BJ241" s="422">
        <v>0</v>
      </c>
      <c r="BK241" s="422">
        <f>BA241+BC241+BD241+BF241+BH241+BI241</f>
        <v>0</v>
      </c>
      <c r="BL241" s="422">
        <f>BB241+BE241+BG241+BJ241</f>
        <v>0</v>
      </c>
      <c r="BM241" s="424">
        <f t="shared" si="450"/>
        <v>0</v>
      </c>
      <c r="BN241" s="427">
        <f>I241+AZ241</f>
        <v>4933565</v>
      </c>
      <c r="BO241" s="421">
        <f>J241+AH241</f>
        <v>3659915</v>
      </c>
      <c r="BP241" s="421">
        <f t="shared" si="519"/>
        <v>3659915</v>
      </c>
      <c r="BQ241" s="421">
        <f t="shared" si="519"/>
        <v>0</v>
      </c>
      <c r="BR241" s="421">
        <f>M241+AQ241</f>
        <v>0</v>
      </c>
      <c r="BS241" s="421">
        <f t="shared" si="520"/>
        <v>0</v>
      </c>
      <c r="BT241" s="421">
        <f t="shared" si="520"/>
        <v>0</v>
      </c>
      <c r="BU241" s="421">
        <f t="shared" si="521"/>
        <v>1237051</v>
      </c>
      <c r="BV241" s="421">
        <f t="shared" si="521"/>
        <v>36599</v>
      </c>
      <c r="BW241" s="421">
        <f>R241+AY241</f>
        <v>0</v>
      </c>
      <c r="BX241" s="422">
        <f>S241+BM241</f>
        <v>7.4417</v>
      </c>
      <c r="BY241" s="422">
        <f t="shared" si="522"/>
        <v>7.4417</v>
      </c>
      <c r="BZ241" s="611">
        <f t="shared" si="522"/>
        <v>0</v>
      </c>
      <c r="CA241" s="423"/>
      <c r="CB241" s="418"/>
      <c r="CC241" s="418"/>
      <c r="CD241" s="418"/>
      <c r="CE241" s="418"/>
      <c r="CF241" s="527"/>
    </row>
    <row r="242" spans="1:84" ht="14.1" customHeight="1" x14ac:dyDescent="0.2">
      <c r="A242" s="66">
        <v>49</v>
      </c>
      <c r="B242" s="63">
        <v>2473</v>
      </c>
      <c r="C242" s="64">
        <v>600080285</v>
      </c>
      <c r="D242" s="63">
        <v>65642376</v>
      </c>
      <c r="E242" s="65" t="s">
        <v>634</v>
      </c>
      <c r="F242" s="66">
        <v>3143</v>
      </c>
      <c r="G242" s="77" t="s">
        <v>597</v>
      </c>
      <c r="H242" s="67" t="s">
        <v>272</v>
      </c>
      <c r="I242" s="423">
        <f t="shared" si="433"/>
        <v>128059</v>
      </c>
      <c r="J242" s="418">
        <f t="shared" si="434"/>
        <v>91661</v>
      </c>
      <c r="K242" s="418">
        <v>0</v>
      </c>
      <c r="L242" s="674">
        <v>91661</v>
      </c>
      <c r="M242" s="418">
        <f t="shared" si="469"/>
        <v>0</v>
      </c>
      <c r="N242" s="418">
        <v>0</v>
      </c>
      <c r="O242" s="418">
        <v>0</v>
      </c>
      <c r="P242" s="668">
        <f t="shared" si="470"/>
        <v>30981</v>
      </c>
      <c r="Q242" s="668">
        <f t="shared" si="471"/>
        <v>917</v>
      </c>
      <c r="R242" s="675">
        <v>4500</v>
      </c>
      <c r="S242" s="419">
        <f t="shared" si="472"/>
        <v>0.34720000000000001</v>
      </c>
      <c r="T242" s="679">
        <v>0</v>
      </c>
      <c r="U242" s="909">
        <v>0.34720000000000001</v>
      </c>
      <c r="V242" s="428">
        <f t="shared" si="439"/>
        <v>0</v>
      </c>
      <c r="W242" s="421">
        <f t="shared" si="440"/>
        <v>0</v>
      </c>
      <c r="X242" s="421">
        <v>0</v>
      </c>
      <c r="Y242" s="421">
        <v>0</v>
      </c>
      <c r="Z242" s="421">
        <v>0</v>
      </c>
      <c r="AA242" s="421">
        <v>0</v>
      </c>
      <c r="AB242" s="421">
        <v>0</v>
      </c>
      <c r="AC242" s="421">
        <v>0</v>
      </c>
      <c r="AD242" s="421">
        <v>0</v>
      </c>
      <c r="AE242" s="421">
        <v>0</v>
      </c>
      <c r="AF242" s="421">
        <f t="shared" si="441"/>
        <v>0</v>
      </c>
      <c r="AG242" s="421">
        <f t="shared" si="442"/>
        <v>0</v>
      </c>
      <c r="AH242" s="421">
        <f t="shared" si="443"/>
        <v>0</v>
      </c>
      <c r="AI242" s="421">
        <v>0</v>
      </c>
      <c r="AJ242" s="421">
        <v>0</v>
      </c>
      <c r="AK242" s="421">
        <v>0</v>
      </c>
      <c r="AL242" s="421">
        <v>0</v>
      </c>
      <c r="AM242" s="421">
        <v>0</v>
      </c>
      <c r="AN242" s="421">
        <v>0</v>
      </c>
      <c r="AO242" s="421">
        <f t="shared" si="444"/>
        <v>0</v>
      </c>
      <c r="AP242" s="421">
        <f t="shared" si="445"/>
        <v>0</v>
      </c>
      <c r="AQ242" s="421">
        <f t="shared" si="446"/>
        <v>0</v>
      </c>
      <c r="AR242" s="421">
        <f t="shared" si="517"/>
        <v>0</v>
      </c>
      <c r="AS242" s="421">
        <f t="shared" si="517"/>
        <v>0</v>
      </c>
      <c r="AT242" s="421">
        <f t="shared" si="447"/>
        <v>0</v>
      </c>
      <c r="AU242" s="68">
        <f t="shared" si="518"/>
        <v>0</v>
      </c>
      <c r="AV242" s="68">
        <f>ROUND(AH242*1%,0)</f>
        <v>0</v>
      </c>
      <c r="AW242" s="421">
        <v>0</v>
      </c>
      <c r="AX242" s="421">
        <v>0</v>
      </c>
      <c r="AY242" s="421">
        <f t="shared" si="448"/>
        <v>0</v>
      </c>
      <c r="AZ242" s="421">
        <f t="shared" si="449"/>
        <v>0</v>
      </c>
      <c r="BA242" s="422">
        <v>0</v>
      </c>
      <c r="BB242" s="422">
        <v>0</v>
      </c>
      <c r="BC242" s="422">
        <v>0</v>
      </c>
      <c r="BD242" s="422">
        <v>0</v>
      </c>
      <c r="BE242" s="422">
        <v>0</v>
      </c>
      <c r="BF242" s="422">
        <v>0</v>
      </c>
      <c r="BG242" s="422">
        <v>0</v>
      </c>
      <c r="BH242" s="422">
        <v>0</v>
      </c>
      <c r="BI242" s="422">
        <v>0</v>
      </c>
      <c r="BJ242" s="422">
        <v>0</v>
      </c>
      <c r="BK242" s="422">
        <f>BA242+BC242+BD242+BF242+BH242+BI242</f>
        <v>0</v>
      </c>
      <c r="BL242" s="422">
        <f>BB242+BE242+BG242+BJ242</f>
        <v>0</v>
      </c>
      <c r="BM242" s="424">
        <f t="shared" si="450"/>
        <v>0</v>
      </c>
      <c r="BN242" s="427">
        <f>I242+AZ242</f>
        <v>128059</v>
      </c>
      <c r="BO242" s="421">
        <f>J242+AH242</f>
        <v>91661</v>
      </c>
      <c r="BP242" s="421">
        <f t="shared" si="519"/>
        <v>0</v>
      </c>
      <c r="BQ242" s="421">
        <f t="shared" si="519"/>
        <v>91661</v>
      </c>
      <c r="BR242" s="421">
        <f>M242+AQ242</f>
        <v>0</v>
      </c>
      <c r="BS242" s="421">
        <f t="shared" si="520"/>
        <v>0</v>
      </c>
      <c r="BT242" s="421">
        <f t="shared" si="520"/>
        <v>0</v>
      </c>
      <c r="BU242" s="421">
        <f t="shared" si="521"/>
        <v>30981</v>
      </c>
      <c r="BV242" s="421">
        <f t="shared" si="521"/>
        <v>917</v>
      </c>
      <c r="BW242" s="421">
        <f>R242+AY242</f>
        <v>4500</v>
      </c>
      <c r="BX242" s="422">
        <f>S242+BM242</f>
        <v>0.34720000000000001</v>
      </c>
      <c r="BY242" s="422">
        <f t="shared" si="522"/>
        <v>0</v>
      </c>
      <c r="BZ242" s="611">
        <f t="shared" si="522"/>
        <v>0.34720000000000001</v>
      </c>
      <c r="CA242" s="423"/>
      <c r="CB242" s="418"/>
      <c r="CC242" s="418"/>
      <c r="CD242" s="418"/>
      <c r="CE242" s="418"/>
      <c r="CF242" s="527"/>
    </row>
    <row r="243" spans="1:84" ht="14.1" customHeight="1" x14ac:dyDescent="0.2">
      <c r="A243" s="72">
        <v>49</v>
      </c>
      <c r="B243" s="69">
        <v>2473</v>
      </c>
      <c r="C243" s="70">
        <v>600080285</v>
      </c>
      <c r="D243" s="69">
        <v>65642376</v>
      </c>
      <c r="E243" s="71" t="s">
        <v>635</v>
      </c>
      <c r="F243" s="72"/>
      <c r="G243" s="71"/>
      <c r="H243" s="73"/>
      <c r="I243" s="538">
        <f t="shared" ref="I243:BU243" si="523">SUM(I238:I242)</f>
        <v>48888747</v>
      </c>
      <c r="J243" s="74">
        <f t="shared" si="523"/>
        <v>35803774</v>
      </c>
      <c r="K243" s="74">
        <f>SUM(K238:K242)</f>
        <v>33093018</v>
      </c>
      <c r="L243" s="74">
        <f>SUM(L238:L242)</f>
        <v>2710756</v>
      </c>
      <c r="M243" s="74">
        <f>SUM(M238:M242)</f>
        <v>0</v>
      </c>
      <c r="N243" s="74">
        <f>SUM(N238:N242)</f>
        <v>0</v>
      </c>
      <c r="O243" s="74">
        <f>SUM(O238:O242)</f>
        <v>0</v>
      </c>
      <c r="P243" s="74">
        <f t="shared" ref="P243:Q243" si="524">SUM(P238:P242)</f>
        <v>12101675</v>
      </c>
      <c r="Q243" s="74">
        <f t="shared" si="524"/>
        <v>358039</v>
      </c>
      <c r="R243" s="74">
        <f>SUM(R238:R242)</f>
        <v>625259</v>
      </c>
      <c r="S243" s="75">
        <f>SUM(S238:S242)</f>
        <v>58.02259999999999</v>
      </c>
      <c r="T243" s="75">
        <f>SUM(T238:T242)</f>
        <v>49.749599999999994</v>
      </c>
      <c r="U243" s="753">
        <f>SUM(U238:U242)</f>
        <v>8.2730000000000015</v>
      </c>
      <c r="V243" s="538">
        <f t="shared" si="523"/>
        <v>-192000</v>
      </c>
      <c r="W243" s="74">
        <f t="shared" si="523"/>
        <v>-76800</v>
      </c>
      <c r="X243" s="74">
        <f t="shared" si="523"/>
        <v>8261269</v>
      </c>
      <c r="Y243" s="74">
        <f t="shared" si="523"/>
        <v>0</v>
      </c>
      <c r="Z243" s="74">
        <f t="shared" si="523"/>
        <v>0</v>
      </c>
      <c r="AA243" s="74">
        <f t="shared" si="523"/>
        <v>370058</v>
      </c>
      <c r="AB243" s="74">
        <f t="shared" si="523"/>
        <v>564000</v>
      </c>
      <c r="AC243" s="74">
        <f t="shared" si="523"/>
        <v>0</v>
      </c>
      <c r="AD243" s="74">
        <f t="shared" si="523"/>
        <v>0</v>
      </c>
      <c r="AE243" s="74">
        <f t="shared" si="523"/>
        <v>0</v>
      </c>
      <c r="AF243" s="74">
        <f t="shared" si="523"/>
        <v>9003327</v>
      </c>
      <c r="AG243" s="74">
        <f t="shared" si="523"/>
        <v>-76800</v>
      </c>
      <c r="AH243" s="74">
        <f t="shared" si="523"/>
        <v>8926527</v>
      </c>
      <c r="AI243" s="74">
        <f t="shared" si="523"/>
        <v>192000</v>
      </c>
      <c r="AJ243" s="74">
        <f t="shared" si="523"/>
        <v>76800</v>
      </c>
      <c r="AK243" s="74">
        <f t="shared" si="523"/>
        <v>0</v>
      </c>
      <c r="AL243" s="74">
        <f t="shared" si="523"/>
        <v>0</v>
      </c>
      <c r="AM243" s="74">
        <f t="shared" si="523"/>
        <v>0</v>
      </c>
      <c r="AN243" s="74">
        <f t="shared" si="523"/>
        <v>32000</v>
      </c>
      <c r="AO243" s="74">
        <f t="shared" si="523"/>
        <v>192000</v>
      </c>
      <c r="AP243" s="74">
        <f t="shared" si="523"/>
        <v>108800</v>
      </c>
      <c r="AQ243" s="74">
        <f t="shared" si="523"/>
        <v>300800</v>
      </c>
      <c r="AR243" s="74">
        <f t="shared" si="523"/>
        <v>9195327</v>
      </c>
      <c r="AS243" s="74">
        <f t="shared" si="523"/>
        <v>32000</v>
      </c>
      <c r="AT243" s="74">
        <f t="shared" si="523"/>
        <v>9227327</v>
      </c>
      <c r="AU243" s="74">
        <f t="shared" si="523"/>
        <v>3108021</v>
      </c>
      <c r="AV243" s="74">
        <f t="shared" si="523"/>
        <v>89266</v>
      </c>
      <c r="AW243" s="74">
        <f t="shared" si="523"/>
        <v>0</v>
      </c>
      <c r="AX243" s="74">
        <f t="shared" si="523"/>
        <v>0</v>
      </c>
      <c r="AY243" s="74">
        <f t="shared" si="523"/>
        <v>0</v>
      </c>
      <c r="AZ243" s="74">
        <f t="shared" si="523"/>
        <v>12424614</v>
      </c>
      <c r="BA243" s="75">
        <f t="shared" si="523"/>
        <v>-0.27</v>
      </c>
      <c r="BB243" s="75">
        <f t="shared" si="523"/>
        <v>-0.23</v>
      </c>
      <c r="BC243" s="75">
        <f t="shared" si="523"/>
        <v>21.98</v>
      </c>
      <c r="BD243" s="75">
        <f t="shared" si="523"/>
        <v>1</v>
      </c>
      <c r="BE243" s="75">
        <f t="shared" si="523"/>
        <v>0</v>
      </c>
      <c r="BF243" s="75">
        <f t="shared" si="523"/>
        <v>0</v>
      </c>
      <c r="BG243" s="75">
        <f t="shared" si="523"/>
        <v>0</v>
      </c>
      <c r="BH243" s="75">
        <f t="shared" si="523"/>
        <v>0.53</v>
      </c>
      <c r="BI243" s="75">
        <f t="shared" si="523"/>
        <v>0</v>
      </c>
      <c r="BJ243" s="75">
        <f t="shared" si="523"/>
        <v>0</v>
      </c>
      <c r="BK243" s="75">
        <f t="shared" si="523"/>
        <v>23.240000000000002</v>
      </c>
      <c r="BL243" s="75">
        <f t="shared" si="523"/>
        <v>-0.23</v>
      </c>
      <c r="BM243" s="76">
        <f t="shared" si="523"/>
        <v>23.01</v>
      </c>
      <c r="BN243" s="549">
        <f t="shared" si="523"/>
        <v>61313361</v>
      </c>
      <c r="BO243" s="74">
        <f t="shared" si="523"/>
        <v>44730301</v>
      </c>
      <c r="BP243" s="74">
        <f t="shared" si="523"/>
        <v>42096345</v>
      </c>
      <c r="BQ243" s="74">
        <f t="shared" si="523"/>
        <v>2633956</v>
      </c>
      <c r="BR243" s="74">
        <f t="shared" si="523"/>
        <v>300800</v>
      </c>
      <c r="BS243" s="74">
        <f t="shared" si="523"/>
        <v>192000</v>
      </c>
      <c r="BT243" s="74">
        <f t="shared" si="523"/>
        <v>108800</v>
      </c>
      <c r="BU243" s="74">
        <f t="shared" si="523"/>
        <v>15209696</v>
      </c>
      <c r="BV243" s="74">
        <f t="shared" ref="BV243:CF243" si="525">SUM(BV238:BV242)</f>
        <v>447305</v>
      </c>
      <c r="BW243" s="74">
        <f t="shared" si="525"/>
        <v>625259</v>
      </c>
      <c r="BX243" s="75">
        <f t="shared" si="525"/>
        <v>81.032599999999988</v>
      </c>
      <c r="BY243" s="75">
        <f t="shared" si="525"/>
        <v>72.989599999999996</v>
      </c>
      <c r="BZ243" s="753">
        <f t="shared" si="525"/>
        <v>8.043000000000001</v>
      </c>
      <c r="CA243" s="796">
        <f t="shared" si="525"/>
        <v>760272</v>
      </c>
      <c r="CB243" s="789">
        <f t="shared" si="525"/>
        <v>564000</v>
      </c>
      <c r="CC243" s="789">
        <f t="shared" si="525"/>
        <v>0</v>
      </c>
      <c r="CD243" s="789">
        <f t="shared" si="525"/>
        <v>190632</v>
      </c>
      <c r="CE243" s="789">
        <f t="shared" si="525"/>
        <v>5640</v>
      </c>
      <c r="CF243" s="793">
        <f t="shared" si="525"/>
        <v>1</v>
      </c>
    </row>
    <row r="244" spans="1:84" ht="14.1" customHeight="1" x14ac:dyDescent="0.2">
      <c r="A244" s="66">
        <v>50</v>
      </c>
      <c r="B244" s="63">
        <v>2490</v>
      </c>
      <c r="C244" s="64">
        <v>600080005</v>
      </c>
      <c r="D244" s="63">
        <v>46746757</v>
      </c>
      <c r="E244" s="65" t="s">
        <v>636</v>
      </c>
      <c r="F244" s="66">
        <v>3113</v>
      </c>
      <c r="G244" s="65" t="s">
        <v>294</v>
      </c>
      <c r="H244" s="67" t="s">
        <v>271</v>
      </c>
      <c r="I244" s="423">
        <f t="shared" si="433"/>
        <v>27182747</v>
      </c>
      <c r="J244" s="418">
        <f t="shared" ref="J244" si="526">K244+L244</f>
        <v>19899019</v>
      </c>
      <c r="K244" s="418">
        <v>18521300</v>
      </c>
      <c r="L244" s="418">
        <v>1377719</v>
      </c>
      <c r="M244" s="418">
        <f>N244+O244</f>
        <v>0</v>
      </c>
      <c r="N244" s="418">
        <v>0</v>
      </c>
      <c r="O244" s="418">
        <v>0</v>
      </c>
      <c r="P244" s="668">
        <f>ROUND(J244*33.8%,0)+1</f>
        <v>6725869</v>
      </c>
      <c r="Q244" s="668">
        <f t="shared" si="471"/>
        <v>198990</v>
      </c>
      <c r="R244" s="418">
        <v>358869</v>
      </c>
      <c r="S244" s="419">
        <f>T244+U244</f>
        <v>30.637999999999998</v>
      </c>
      <c r="T244" s="419">
        <v>26.591899999999999</v>
      </c>
      <c r="U244" s="426">
        <v>4.0461</v>
      </c>
      <c r="V244" s="428">
        <f t="shared" si="439"/>
        <v>-25600</v>
      </c>
      <c r="W244" s="421">
        <f t="shared" si="440"/>
        <v>-12800</v>
      </c>
      <c r="X244" s="421">
        <v>0</v>
      </c>
      <c r="Y244" s="421">
        <v>0</v>
      </c>
      <c r="Z244" s="421">
        <v>0</v>
      </c>
      <c r="AA244" s="421">
        <v>31776</v>
      </c>
      <c r="AB244" s="421">
        <v>0</v>
      </c>
      <c r="AC244" s="421">
        <v>0</v>
      </c>
      <c r="AD244" s="421">
        <v>0</v>
      </c>
      <c r="AE244" s="421">
        <v>0</v>
      </c>
      <c r="AF244" s="421">
        <f t="shared" si="441"/>
        <v>6176</v>
      </c>
      <c r="AG244" s="421">
        <f t="shared" si="442"/>
        <v>-12800</v>
      </c>
      <c r="AH244" s="421">
        <f t="shared" si="443"/>
        <v>-6624</v>
      </c>
      <c r="AI244" s="421">
        <v>25600</v>
      </c>
      <c r="AJ244" s="421">
        <v>12800</v>
      </c>
      <c r="AK244" s="421">
        <v>0</v>
      </c>
      <c r="AL244" s="421">
        <v>0</v>
      </c>
      <c r="AM244" s="421">
        <v>0</v>
      </c>
      <c r="AN244" s="421">
        <v>0</v>
      </c>
      <c r="AO244" s="421">
        <f t="shared" si="444"/>
        <v>25600</v>
      </c>
      <c r="AP244" s="421">
        <f t="shared" si="445"/>
        <v>12800</v>
      </c>
      <c r="AQ244" s="421">
        <f t="shared" si="446"/>
        <v>38400</v>
      </c>
      <c r="AR244" s="421">
        <f t="shared" ref="AR244:AS248" si="527">AF244+AO244</f>
        <v>31776</v>
      </c>
      <c r="AS244" s="421">
        <f t="shared" si="527"/>
        <v>0</v>
      </c>
      <c r="AT244" s="421">
        <f t="shared" si="447"/>
        <v>31776</v>
      </c>
      <c r="AU244" s="68">
        <f t="shared" ref="AU244:AU248" si="528">ROUND((AH244+AI244+AJ244+AK244+AL244)*33.8%,0)</f>
        <v>10740</v>
      </c>
      <c r="AV244" s="68">
        <f>ROUND(AH244*1%,0)</f>
        <v>-66</v>
      </c>
      <c r="AW244" s="421">
        <v>0</v>
      </c>
      <c r="AX244" s="421">
        <v>0</v>
      </c>
      <c r="AY244" s="421">
        <f t="shared" si="448"/>
        <v>0</v>
      </c>
      <c r="AZ244" s="421">
        <f t="shared" si="449"/>
        <v>42450</v>
      </c>
      <c r="BA244" s="422">
        <v>0</v>
      </c>
      <c r="BB244" s="422">
        <v>-0.04</v>
      </c>
      <c r="BC244" s="422">
        <v>0</v>
      </c>
      <c r="BD244" s="422">
        <v>0</v>
      </c>
      <c r="BE244" s="422">
        <v>0</v>
      </c>
      <c r="BF244" s="422">
        <v>0</v>
      </c>
      <c r="BG244" s="422">
        <v>0</v>
      </c>
      <c r="BH244" s="422">
        <v>0.05</v>
      </c>
      <c r="BI244" s="422">
        <v>0</v>
      </c>
      <c r="BJ244" s="422">
        <v>0</v>
      </c>
      <c r="BK244" s="422">
        <f>BA244+BC244+BD244+BF244+BH244+BI244</f>
        <v>0.05</v>
      </c>
      <c r="BL244" s="422">
        <f>BB244+BE244+BG244+BJ244</f>
        <v>-0.04</v>
      </c>
      <c r="BM244" s="424">
        <f t="shared" si="450"/>
        <v>1.0000000000000002E-2</v>
      </c>
      <c r="BN244" s="427">
        <f>I244+AZ244</f>
        <v>27225197</v>
      </c>
      <c r="BO244" s="421">
        <f>J244+AH244</f>
        <v>19892395</v>
      </c>
      <c r="BP244" s="421">
        <f t="shared" ref="BP244:BQ248" si="529">K244+AF244</f>
        <v>18527476</v>
      </c>
      <c r="BQ244" s="421">
        <f t="shared" si="529"/>
        <v>1364919</v>
      </c>
      <c r="BR244" s="421">
        <f>M244+AQ244</f>
        <v>38400</v>
      </c>
      <c r="BS244" s="421">
        <f t="shared" ref="BS244:BT248" si="530">N244+AO244</f>
        <v>25600</v>
      </c>
      <c r="BT244" s="421">
        <f t="shared" si="530"/>
        <v>12800</v>
      </c>
      <c r="BU244" s="421">
        <f t="shared" ref="BU244:BV248" si="531">P244+AU244</f>
        <v>6736609</v>
      </c>
      <c r="BV244" s="421">
        <f t="shared" si="531"/>
        <v>198924</v>
      </c>
      <c r="BW244" s="421">
        <f>R244+AY244</f>
        <v>358869</v>
      </c>
      <c r="BX244" s="422">
        <f>S244+BM244</f>
        <v>30.648</v>
      </c>
      <c r="BY244" s="422">
        <f t="shared" ref="BY244:BZ248" si="532">T244+BK244</f>
        <v>26.6419</v>
      </c>
      <c r="BZ244" s="611">
        <f t="shared" si="532"/>
        <v>4.0061</v>
      </c>
      <c r="CA244" s="423"/>
      <c r="CB244" s="418"/>
      <c r="CC244" s="418"/>
      <c r="CD244" s="418"/>
      <c r="CE244" s="418"/>
      <c r="CF244" s="527"/>
    </row>
    <row r="245" spans="1:84" ht="14.1" customHeight="1" x14ac:dyDescent="0.2">
      <c r="A245" s="66">
        <v>50</v>
      </c>
      <c r="B245" s="63">
        <v>2490</v>
      </c>
      <c r="C245" s="64">
        <v>600080005</v>
      </c>
      <c r="D245" s="63">
        <v>46746757</v>
      </c>
      <c r="E245" s="65" t="s">
        <v>636</v>
      </c>
      <c r="F245" s="66">
        <v>3113</v>
      </c>
      <c r="G245" s="77" t="s">
        <v>292</v>
      </c>
      <c r="H245" s="67" t="s">
        <v>272</v>
      </c>
      <c r="I245" s="423">
        <f t="shared" si="433"/>
        <v>0</v>
      </c>
      <c r="J245" s="418">
        <f t="shared" si="434"/>
        <v>0</v>
      </c>
      <c r="K245" s="418">
        <v>0</v>
      </c>
      <c r="L245" s="418">
        <v>0</v>
      </c>
      <c r="M245" s="418">
        <f t="shared" si="469"/>
        <v>0</v>
      </c>
      <c r="N245" s="418">
        <v>0</v>
      </c>
      <c r="O245" s="418">
        <v>0</v>
      </c>
      <c r="P245" s="668">
        <f t="shared" si="470"/>
        <v>0</v>
      </c>
      <c r="Q245" s="668">
        <f t="shared" si="471"/>
        <v>0</v>
      </c>
      <c r="R245" s="418">
        <v>0</v>
      </c>
      <c r="S245" s="419">
        <f t="shared" si="472"/>
        <v>0</v>
      </c>
      <c r="T245" s="420">
        <v>0</v>
      </c>
      <c r="U245" s="426">
        <v>0</v>
      </c>
      <c r="V245" s="428">
        <f t="shared" si="439"/>
        <v>0</v>
      </c>
      <c r="W245" s="421">
        <f t="shared" si="440"/>
        <v>0</v>
      </c>
      <c r="X245" s="16">
        <v>1717238</v>
      </c>
      <c r="Y245" s="16">
        <v>0</v>
      </c>
      <c r="Z245" s="16">
        <v>0</v>
      </c>
      <c r="AA245" s="16">
        <v>0</v>
      </c>
      <c r="AB245" s="421">
        <v>0</v>
      </c>
      <c r="AC245" s="16">
        <v>0</v>
      </c>
      <c r="AD245" s="16">
        <v>0</v>
      </c>
      <c r="AE245" s="16">
        <v>0</v>
      </c>
      <c r="AF245" s="421">
        <f t="shared" si="441"/>
        <v>1717238</v>
      </c>
      <c r="AG245" s="421">
        <f t="shared" si="442"/>
        <v>0</v>
      </c>
      <c r="AH245" s="421">
        <f t="shared" si="443"/>
        <v>1717238</v>
      </c>
      <c r="AI245" s="16">
        <v>0</v>
      </c>
      <c r="AJ245" s="16">
        <v>0</v>
      </c>
      <c r="AK245" s="421">
        <v>0</v>
      </c>
      <c r="AL245" s="16">
        <v>0</v>
      </c>
      <c r="AM245" s="16">
        <v>0</v>
      </c>
      <c r="AN245" s="16">
        <v>0</v>
      </c>
      <c r="AO245" s="421">
        <f t="shared" si="444"/>
        <v>0</v>
      </c>
      <c r="AP245" s="16">
        <v>0</v>
      </c>
      <c r="AQ245" s="421">
        <f t="shared" si="446"/>
        <v>0</v>
      </c>
      <c r="AR245" s="421">
        <f t="shared" si="527"/>
        <v>1717238</v>
      </c>
      <c r="AS245" s="421">
        <f t="shared" si="527"/>
        <v>0</v>
      </c>
      <c r="AT245" s="421">
        <f t="shared" si="447"/>
        <v>1717238</v>
      </c>
      <c r="AU245" s="68">
        <f t="shared" si="528"/>
        <v>580426</v>
      </c>
      <c r="AV245" s="68">
        <f>ROUND(AH245*1%,0)</f>
        <v>17172</v>
      </c>
      <c r="AW245" s="16">
        <v>1000</v>
      </c>
      <c r="AX245" s="16">
        <v>0</v>
      </c>
      <c r="AY245" s="421">
        <f t="shared" si="448"/>
        <v>1000</v>
      </c>
      <c r="AZ245" s="421">
        <f t="shared" si="449"/>
        <v>2315836</v>
      </c>
      <c r="BA245" s="13">
        <v>0</v>
      </c>
      <c r="BB245" s="13">
        <v>0</v>
      </c>
      <c r="BC245" s="13">
        <v>4.5600000000000005</v>
      </c>
      <c r="BD245" s="422">
        <v>0</v>
      </c>
      <c r="BE245" s="422">
        <v>0</v>
      </c>
      <c r="BF245" s="422">
        <v>0</v>
      </c>
      <c r="BG245" s="422">
        <v>0</v>
      </c>
      <c r="BH245" s="422">
        <v>0</v>
      </c>
      <c r="BI245" s="422">
        <v>0</v>
      </c>
      <c r="BJ245" s="422">
        <v>0</v>
      </c>
      <c r="BK245" s="422">
        <f>BA245+BC245+BD245+BF245+BH245+BI245</f>
        <v>4.5600000000000005</v>
      </c>
      <c r="BL245" s="422">
        <f>BB245+BE245+BG245+BJ245</f>
        <v>0</v>
      </c>
      <c r="BM245" s="424">
        <f t="shared" si="450"/>
        <v>4.5600000000000005</v>
      </c>
      <c r="BN245" s="427">
        <f>I245+AZ245</f>
        <v>2315836</v>
      </c>
      <c r="BO245" s="421">
        <f>J245+AH245</f>
        <v>1717238</v>
      </c>
      <c r="BP245" s="421">
        <f t="shared" si="529"/>
        <v>1717238</v>
      </c>
      <c r="BQ245" s="421">
        <f t="shared" si="529"/>
        <v>0</v>
      </c>
      <c r="BR245" s="421">
        <f>M245+AQ245</f>
        <v>0</v>
      </c>
      <c r="BS245" s="421">
        <f t="shared" si="530"/>
        <v>0</v>
      </c>
      <c r="BT245" s="421">
        <f t="shared" si="530"/>
        <v>0</v>
      </c>
      <c r="BU245" s="421">
        <f t="shared" si="531"/>
        <v>580426</v>
      </c>
      <c r="BV245" s="421">
        <f t="shared" si="531"/>
        <v>17172</v>
      </c>
      <c r="BW245" s="421">
        <f>R245+AY245</f>
        <v>1000</v>
      </c>
      <c r="BX245" s="422">
        <f>S245+BM245</f>
        <v>4.5600000000000005</v>
      </c>
      <c r="BY245" s="422">
        <f t="shared" si="532"/>
        <v>4.5600000000000005</v>
      </c>
      <c r="BZ245" s="611">
        <f t="shared" si="532"/>
        <v>0</v>
      </c>
      <c r="CA245" s="423"/>
      <c r="CB245" s="418"/>
      <c r="CC245" s="418"/>
      <c r="CD245" s="418"/>
      <c r="CE245" s="418"/>
      <c r="CF245" s="527"/>
    </row>
    <row r="246" spans="1:84" ht="14.1" customHeight="1" x14ac:dyDescent="0.2">
      <c r="A246" s="66">
        <v>50</v>
      </c>
      <c r="B246" s="63">
        <v>2490</v>
      </c>
      <c r="C246" s="64">
        <v>600080005</v>
      </c>
      <c r="D246" s="63">
        <v>46746757</v>
      </c>
      <c r="E246" s="65" t="s">
        <v>636</v>
      </c>
      <c r="F246" s="66">
        <v>3141</v>
      </c>
      <c r="G246" s="65" t="s">
        <v>295</v>
      </c>
      <c r="H246" s="67" t="s">
        <v>272</v>
      </c>
      <c r="I246" s="423">
        <f t="shared" si="433"/>
        <v>1370745</v>
      </c>
      <c r="J246" s="418">
        <f t="shared" si="434"/>
        <v>1009344</v>
      </c>
      <c r="K246" s="418">
        <v>0</v>
      </c>
      <c r="L246" s="924">
        <v>1009344</v>
      </c>
      <c r="M246" s="418">
        <f>N246+O246</f>
        <v>0</v>
      </c>
      <c r="N246" s="205">
        <v>0</v>
      </c>
      <c r="O246" s="205">
        <v>0</v>
      </c>
      <c r="P246" s="668">
        <f t="shared" si="470"/>
        <v>341158</v>
      </c>
      <c r="Q246" s="668">
        <f t="shared" si="471"/>
        <v>10093</v>
      </c>
      <c r="R246" s="674">
        <v>10150</v>
      </c>
      <c r="S246" s="419">
        <f>T246+U246</f>
        <v>3.0266999999999999</v>
      </c>
      <c r="T246" s="676">
        <v>0</v>
      </c>
      <c r="U246" s="909">
        <v>3.0266999999999999</v>
      </c>
      <c r="V246" s="428">
        <f t="shared" si="439"/>
        <v>0</v>
      </c>
      <c r="W246" s="421">
        <f t="shared" si="440"/>
        <v>0</v>
      </c>
      <c r="X246" s="421">
        <v>0</v>
      </c>
      <c r="Y246" s="421">
        <v>0</v>
      </c>
      <c r="Z246" s="421">
        <v>0</v>
      </c>
      <c r="AA246" s="421">
        <v>0</v>
      </c>
      <c r="AB246" s="421">
        <v>0</v>
      </c>
      <c r="AC246" s="421">
        <v>0</v>
      </c>
      <c r="AD246" s="421">
        <v>0</v>
      </c>
      <c r="AE246" s="421">
        <v>0</v>
      </c>
      <c r="AF246" s="421">
        <f t="shared" si="441"/>
        <v>0</v>
      </c>
      <c r="AG246" s="421">
        <f t="shared" si="442"/>
        <v>0</v>
      </c>
      <c r="AH246" s="421">
        <f t="shared" si="443"/>
        <v>0</v>
      </c>
      <c r="AI246" s="421">
        <v>0</v>
      </c>
      <c r="AJ246" s="421">
        <v>0</v>
      </c>
      <c r="AK246" s="421">
        <v>0</v>
      </c>
      <c r="AL246" s="421">
        <v>0</v>
      </c>
      <c r="AM246" s="421">
        <v>0</v>
      </c>
      <c r="AN246" s="421">
        <v>0</v>
      </c>
      <c r="AO246" s="421">
        <f t="shared" si="444"/>
        <v>0</v>
      </c>
      <c r="AP246" s="421">
        <f t="shared" si="445"/>
        <v>0</v>
      </c>
      <c r="AQ246" s="421">
        <f t="shared" si="446"/>
        <v>0</v>
      </c>
      <c r="AR246" s="421">
        <f t="shared" si="527"/>
        <v>0</v>
      </c>
      <c r="AS246" s="421">
        <f t="shared" si="527"/>
        <v>0</v>
      </c>
      <c r="AT246" s="421">
        <f t="shared" si="447"/>
        <v>0</v>
      </c>
      <c r="AU246" s="68">
        <f t="shared" si="528"/>
        <v>0</v>
      </c>
      <c r="AV246" s="68">
        <f>ROUND(AH246*1%,0)</f>
        <v>0</v>
      </c>
      <c r="AW246" s="421">
        <v>0</v>
      </c>
      <c r="AX246" s="421">
        <v>0</v>
      </c>
      <c r="AY246" s="421">
        <f t="shared" si="448"/>
        <v>0</v>
      </c>
      <c r="AZ246" s="421">
        <f t="shared" si="449"/>
        <v>0</v>
      </c>
      <c r="BA246" s="422">
        <v>0</v>
      </c>
      <c r="BB246" s="422">
        <v>0</v>
      </c>
      <c r="BC246" s="422">
        <v>0</v>
      </c>
      <c r="BD246" s="422">
        <v>0</v>
      </c>
      <c r="BE246" s="422">
        <v>0</v>
      </c>
      <c r="BF246" s="422">
        <v>0</v>
      </c>
      <c r="BG246" s="422">
        <v>0</v>
      </c>
      <c r="BH246" s="422">
        <v>0</v>
      </c>
      <c r="BI246" s="422">
        <v>0</v>
      </c>
      <c r="BJ246" s="422">
        <v>0</v>
      </c>
      <c r="BK246" s="422">
        <f>BA246+BC246+BD246+BF246+BH246+BI246</f>
        <v>0</v>
      </c>
      <c r="BL246" s="422">
        <f>BB246+BE246+BG246+BJ246</f>
        <v>0</v>
      </c>
      <c r="BM246" s="424">
        <f t="shared" si="450"/>
        <v>0</v>
      </c>
      <c r="BN246" s="427">
        <f>I246+AZ246</f>
        <v>1370745</v>
      </c>
      <c r="BO246" s="421">
        <f>J246+AH246</f>
        <v>1009344</v>
      </c>
      <c r="BP246" s="421">
        <f t="shared" si="529"/>
        <v>0</v>
      </c>
      <c r="BQ246" s="421">
        <f t="shared" si="529"/>
        <v>1009344</v>
      </c>
      <c r="BR246" s="421">
        <f>M246+AQ246</f>
        <v>0</v>
      </c>
      <c r="BS246" s="421">
        <f t="shared" si="530"/>
        <v>0</v>
      </c>
      <c r="BT246" s="421">
        <f t="shared" si="530"/>
        <v>0</v>
      </c>
      <c r="BU246" s="421">
        <f t="shared" si="531"/>
        <v>341158</v>
      </c>
      <c r="BV246" s="421">
        <f t="shared" si="531"/>
        <v>10093</v>
      </c>
      <c r="BW246" s="421">
        <f>R246+AY246</f>
        <v>10150</v>
      </c>
      <c r="BX246" s="422">
        <f>S246+BM246</f>
        <v>3.0266999999999999</v>
      </c>
      <c r="BY246" s="422">
        <f t="shared" si="532"/>
        <v>0</v>
      </c>
      <c r="BZ246" s="611">
        <f t="shared" si="532"/>
        <v>3.0266999999999999</v>
      </c>
      <c r="CA246" s="423"/>
      <c r="CB246" s="418"/>
      <c r="CC246" s="418"/>
      <c r="CD246" s="418"/>
      <c r="CE246" s="418"/>
      <c r="CF246" s="527"/>
    </row>
    <row r="247" spans="1:84" ht="14.1" customHeight="1" x14ac:dyDescent="0.2">
      <c r="A247" s="66">
        <v>50</v>
      </c>
      <c r="B247" s="63">
        <v>2490</v>
      </c>
      <c r="C247" s="64">
        <v>600080005</v>
      </c>
      <c r="D247" s="63">
        <v>46746757</v>
      </c>
      <c r="E247" s="65" t="s">
        <v>636</v>
      </c>
      <c r="F247" s="66">
        <v>3143</v>
      </c>
      <c r="G247" s="77" t="s">
        <v>596</v>
      </c>
      <c r="H247" s="67" t="s">
        <v>271</v>
      </c>
      <c r="I247" s="423">
        <f t="shared" si="433"/>
        <v>2570725</v>
      </c>
      <c r="J247" s="418">
        <f t="shared" si="434"/>
        <v>1907066</v>
      </c>
      <c r="K247" s="418">
        <v>1907066</v>
      </c>
      <c r="L247" s="418">
        <v>0</v>
      </c>
      <c r="M247" s="418">
        <f t="shared" si="469"/>
        <v>0</v>
      </c>
      <c r="N247" s="418">
        <v>0</v>
      </c>
      <c r="O247" s="418">
        <v>0</v>
      </c>
      <c r="P247" s="668">
        <f t="shared" si="470"/>
        <v>644588</v>
      </c>
      <c r="Q247" s="668">
        <f t="shared" si="471"/>
        <v>19071</v>
      </c>
      <c r="R247" s="418">
        <v>0</v>
      </c>
      <c r="S247" s="419">
        <f t="shared" si="472"/>
        <v>3.65</v>
      </c>
      <c r="T247" s="419">
        <v>3.65</v>
      </c>
      <c r="U247" s="426">
        <v>0</v>
      </c>
      <c r="V247" s="428">
        <f t="shared" si="439"/>
        <v>0</v>
      </c>
      <c r="W247" s="421">
        <f t="shared" si="440"/>
        <v>0</v>
      </c>
      <c r="X247" s="421">
        <v>0</v>
      </c>
      <c r="Y247" s="421">
        <v>0</v>
      </c>
      <c r="Z247" s="421">
        <v>0</v>
      </c>
      <c r="AA247" s="421">
        <v>0</v>
      </c>
      <c r="AB247" s="421">
        <v>0</v>
      </c>
      <c r="AC247" s="421">
        <v>0</v>
      </c>
      <c r="AD247" s="421">
        <v>0</v>
      </c>
      <c r="AE247" s="421">
        <v>0</v>
      </c>
      <c r="AF247" s="421">
        <f t="shared" si="441"/>
        <v>0</v>
      </c>
      <c r="AG247" s="421">
        <f t="shared" si="442"/>
        <v>0</v>
      </c>
      <c r="AH247" s="421">
        <f t="shared" si="443"/>
        <v>0</v>
      </c>
      <c r="AI247" s="421">
        <v>0</v>
      </c>
      <c r="AJ247" s="421">
        <v>0</v>
      </c>
      <c r="AK247" s="421">
        <v>0</v>
      </c>
      <c r="AL247" s="421">
        <v>0</v>
      </c>
      <c r="AM247" s="421">
        <v>0</v>
      </c>
      <c r="AN247" s="421">
        <v>0</v>
      </c>
      <c r="AO247" s="421">
        <f t="shared" si="444"/>
        <v>0</v>
      </c>
      <c r="AP247" s="421">
        <f t="shared" si="445"/>
        <v>0</v>
      </c>
      <c r="AQ247" s="421">
        <f t="shared" si="446"/>
        <v>0</v>
      </c>
      <c r="AR247" s="421">
        <f t="shared" si="527"/>
        <v>0</v>
      </c>
      <c r="AS247" s="421">
        <f t="shared" si="527"/>
        <v>0</v>
      </c>
      <c r="AT247" s="421">
        <f t="shared" si="447"/>
        <v>0</v>
      </c>
      <c r="AU247" s="68">
        <f t="shared" si="528"/>
        <v>0</v>
      </c>
      <c r="AV247" s="68">
        <f>ROUND(AH247*1%,0)</f>
        <v>0</v>
      </c>
      <c r="AW247" s="421">
        <v>0</v>
      </c>
      <c r="AX247" s="421">
        <v>0</v>
      </c>
      <c r="AY247" s="421">
        <f t="shared" si="448"/>
        <v>0</v>
      </c>
      <c r="AZ247" s="421">
        <f t="shared" si="449"/>
        <v>0</v>
      </c>
      <c r="BA247" s="422">
        <v>0</v>
      </c>
      <c r="BB247" s="422">
        <v>0</v>
      </c>
      <c r="BC247" s="422">
        <v>0</v>
      </c>
      <c r="BD247" s="422">
        <v>0</v>
      </c>
      <c r="BE247" s="422">
        <v>0</v>
      </c>
      <c r="BF247" s="422">
        <v>0</v>
      </c>
      <c r="BG247" s="422">
        <v>0</v>
      </c>
      <c r="BH247" s="422">
        <v>0</v>
      </c>
      <c r="BI247" s="422">
        <v>0</v>
      </c>
      <c r="BJ247" s="422">
        <v>0</v>
      </c>
      <c r="BK247" s="422">
        <f>BA247+BC247+BD247+BF247+BH247+BI247</f>
        <v>0</v>
      </c>
      <c r="BL247" s="422">
        <f>BB247+BE247+BG247+BJ247</f>
        <v>0</v>
      </c>
      <c r="BM247" s="424">
        <f t="shared" si="450"/>
        <v>0</v>
      </c>
      <c r="BN247" s="427">
        <f>I247+AZ247</f>
        <v>2570725</v>
      </c>
      <c r="BO247" s="421">
        <f>J247+AH247</f>
        <v>1907066</v>
      </c>
      <c r="BP247" s="421">
        <f t="shared" si="529"/>
        <v>1907066</v>
      </c>
      <c r="BQ247" s="421">
        <f t="shared" si="529"/>
        <v>0</v>
      </c>
      <c r="BR247" s="421">
        <f>M247+AQ247</f>
        <v>0</v>
      </c>
      <c r="BS247" s="421">
        <f t="shared" si="530"/>
        <v>0</v>
      </c>
      <c r="BT247" s="421">
        <f t="shared" si="530"/>
        <v>0</v>
      </c>
      <c r="BU247" s="421">
        <f t="shared" si="531"/>
        <v>644588</v>
      </c>
      <c r="BV247" s="421">
        <f t="shared" si="531"/>
        <v>19071</v>
      </c>
      <c r="BW247" s="421">
        <f>R247+AY247</f>
        <v>0</v>
      </c>
      <c r="BX247" s="422">
        <f>S247+BM247</f>
        <v>3.65</v>
      </c>
      <c r="BY247" s="422">
        <f t="shared" si="532"/>
        <v>3.65</v>
      </c>
      <c r="BZ247" s="611">
        <f t="shared" si="532"/>
        <v>0</v>
      </c>
      <c r="CA247" s="423"/>
      <c r="CB247" s="418"/>
      <c r="CC247" s="418"/>
      <c r="CD247" s="418"/>
      <c r="CE247" s="418"/>
      <c r="CF247" s="527"/>
    </row>
    <row r="248" spans="1:84" ht="14.1" customHeight="1" x14ac:dyDescent="0.2">
      <c r="A248" s="66">
        <v>50</v>
      </c>
      <c r="B248" s="63">
        <v>2490</v>
      </c>
      <c r="C248" s="64">
        <v>600080005</v>
      </c>
      <c r="D248" s="63">
        <v>46746757</v>
      </c>
      <c r="E248" s="65" t="s">
        <v>636</v>
      </c>
      <c r="F248" s="66">
        <v>3143</v>
      </c>
      <c r="G248" s="77" t="s">
        <v>597</v>
      </c>
      <c r="H248" s="67" t="s">
        <v>272</v>
      </c>
      <c r="I248" s="423">
        <f t="shared" si="433"/>
        <v>61484</v>
      </c>
      <c r="J248" s="418">
        <f t="shared" si="434"/>
        <v>44009</v>
      </c>
      <c r="K248" s="418">
        <v>0</v>
      </c>
      <c r="L248" s="674">
        <v>44009</v>
      </c>
      <c r="M248" s="418">
        <f t="shared" si="469"/>
        <v>0</v>
      </c>
      <c r="N248" s="418">
        <v>0</v>
      </c>
      <c r="O248" s="418">
        <v>0</v>
      </c>
      <c r="P248" s="668">
        <f t="shared" si="470"/>
        <v>14875</v>
      </c>
      <c r="Q248" s="668">
        <f t="shared" si="471"/>
        <v>440</v>
      </c>
      <c r="R248" s="675">
        <v>2160</v>
      </c>
      <c r="S248" s="419">
        <f t="shared" si="472"/>
        <v>0.16669999999999999</v>
      </c>
      <c r="T248" s="679">
        <v>0</v>
      </c>
      <c r="U248" s="909">
        <v>0.16669999999999999</v>
      </c>
      <c r="V248" s="428">
        <f t="shared" si="439"/>
        <v>0</v>
      </c>
      <c r="W248" s="421">
        <f t="shared" si="440"/>
        <v>0</v>
      </c>
      <c r="X248" s="421">
        <v>0</v>
      </c>
      <c r="Y248" s="421">
        <v>0</v>
      </c>
      <c r="Z248" s="421">
        <v>0</v>
      </c>
      <c r="AA248" s="421">
        <v>0</v>
      </c>
      <c r="AB248" s="421">
        <v>0</v>
      </c>
      <c r="AC248" s="421">
        <v>0</v>
      </c>
      <c r="AD248" s="421">
        <v>0</v>
      </c>
      <c r="AE248" s="421">
        <v>0</v>
      </c>
      <c r="AF248" s="421">
        <f t="shared" si="441"/>
        <v>0</v>
      </c>
      <c r="AG248" s="421">
        <f t="shared" si="442"/>
        <v>0</v>
      </c>
      <c r="AH248" s="421">
        <f t="shared" si="443"/>
        <v>0</v>
      </c>
      <c r="AI248" s="421">
        <v>0</v>
      </c>
      <c r="AJ248" s="421">
        <v>0</v>
      </c>
      <c r="AK248" s="421">
        <v>0</v>
      </c>
      <c r="AL248" s="421">
        <v>0</v>
      </c>
      <c r="AM248" s="421">
        <v>0</v>
      </c>
      <c r="AN248" s="421">
        <v>0</v>
      </c>
      <c r="AO248" s="421">
        <f t="shared" si="444"/>
        <v>0</v>
      </c>
      <c r="AP248" s="421">
        <f t="shared" si="445"/>
        <v>0</v>
      </c>
      <c r="AQ248" s="421">
        <f t="shared" si="446"/>
        <v>0</v>
      </c>
      <c r="AR248" s="421">
        <f t="shared" si="527"/>
        <v>0</v>
      </c>
      <c r="AS248" s="421">
        <f t="shared" si="527"/>
        <v>0</v>
      </c>
      <c r="AT248" s="421">
        <f t="shared" si="447"/>
        <v>0</v>
      </c>
      <c r="AU248" s="68">
        <f t="shared" si="528"/>
        <v>0</v>
      </c>
      <c r="AV248" s="68">
        <f>ROUND(AH248*1%,0)</f>
        <v>0</v>
      </c>
      <c r="AW248" s="421">
        <v>0</v>
      </c>
      <c r="AX248" s="421">
        <v>0</v>
      </c>
      <c r="AY248" s="421">
        <f t="shared" si="448"/>
        <v>0</v>
      </c>
      <c r="AZ248" s="421">
        <f t="shared" si="449"/>
        <v>0</v>
      </c>
      <c r="BA248" s="422">
        <v>0</v>
      </c>
      <c r="BB248" s="422">
        <v>0</v>
      </c>
      <c r="BC248" s="422">
        <v>0</v>
      </c>
      <c r="BD248" s="422">
        <v>0</v>
      </c>
      <c r="BE248" s="422">
        <v>0</v>
      </c>
      <c r="BF248" s="422">
        <v>0</v>
      </c>
      <c r="BG248" s="422">
        <v>0</v>
      </c>
      <c r="BH248" s="422">
        <v>0</v>
      </c>
      <c r="BI248" s="422">
        <v>0</v>
      </c>
      <c r="BJ248" s="422">
        <v>0</v>
      </c>
      <c r="BK248" s="422">
        <f>BA248+BC248+BD248+BF248+BH248+BI248</f>
        <v>0</v>
      </c>
      <c r="BL248" s="422">
        <f>BB248+BE248+BG248+BJ248</f>
        <v>0</v>
      </c>
      <c r="BM248" s="424">
        <f t="shared" si="450"/>
        <v>0</v>
      </c>
      <c r="BN248" s="427">
        <f>I248+AZ248</f>
        <v>61484</v>
      </c>
      <c r="BO248" s="421">
        <f>J248+AH248</f>
        <v>44009</v>
      </c>
      <c r="BP248" s="421">
        <f t="shared" si="529"/>
        <v>0</v>
      </c>
      <c r="BQ248" s="421">
        <f t="shared" si="529"/>
        <v>44009</v>
      </c>
      <c r="BR248" s="421">
        <f>M248+AQ248</f>
        <v>0</v>
      </c>
      <c r="BS248" s="421">
        <f t="shared" si="530"/>
        <v>0</v>
      </c>
      <c r="BT248" s="421">
        <f t="shared" si="530"/>
        <v>0</v>
      </c>
      <c r="BU248" s="421">
        <f t="shared" si="531"/>
        <v>14875</v>
      </c>
      <c r="BV248" s="421">
        <f t="shared" si="531"/>
        <v>440</v>
      </c>
      <c r="BW248" s="421">
        <f>R248+AY248</f>
        <v>2160</v>
      </c>
      <c r="BX248" s="422">
        <f>S248+BM248</f>
        <v>0.16669999999999999</v>
      </c>
      <c r="BY248" s="422">
        <f t="shared" si="532"/>
        <v>0</v>
      </c>
      <c r="BZ248" s="611">
        <f t="shared" si="532"/>
        <v>0.16669999999999999</v>
      </c>
      <c r="CA248" s="423"/>
      <c r="CB248" s="418"/>
      <c r="CC248" s="418"/>
      <c r="CD248" s="418"/>
      <c r="CE248" s="418"/>
      <c r="CF248" s="527"/>
    </row>
    <row r="249" spans="1:84" ht="14.1" customHeight="1" x14ac:dyDescent="0.2">
      <c r="A249" s="72">
        <v>50</v>
      </c>
      <c r="B249" s="69">
        <v>2490</v>
      </c>
      <c r="C249" s="70">
        <v>600080005</v>
      </c>
      <c r="D249" s="69">
        <v>46746757</v>
      </c>
      <c r="E249" s="71" t="s">
        <v>637</v>
      </c>
      <c r="F249" s="72"/>
      <c r="G249" s="71"/>
      <c r="H249" s="73"/>
      <c r="I249" s="538">
        <f t="shared" ref="I249:BU249" si="533">SUM(I244:I248)</f>
        <v>31185701</v>
      </c>
      <c r="J249" s="74">
        <f t="shared" si="533"/>
        <v>22859438</v>
      </c>
      <c r="K249" s="74">
        <f>SUM(K244:K248)</f>
        <v>20428366</v>
      </c>
      <c r="L249" s="74">
        <f>SUM(L244:L248)</f>
        <v>2431072</v>
      </c>
      <c r="M249" s="74">
        <f>SUM(M244:M248)</f>
        <v>0</v>
      </c>
      <c r="N249" s="74">
        <f>SUM(N244:N248)</f>
        <v>0</v>
      </c>
      <c r="O249" s="74">
        <f>SUM(O244:O248)</f>
        <v>0</v>
      </c>
      <c r="P249" s="74">
        <f t="shared" ref="P249:Q249" si="534">SUM(P244:P248)</f>
        <v>7726490</v>
      </c>
      <c r="Q249" s="74">
        <f t="shared" si="534"/>
        <v>228594</v>
      </c>
      <c r="R249" s="74">
        <f>SUM(R244:R248)</f>
        <v>371179</v>
      </c>
      <c r="S249" s="75">
        <f>SUM(S244:S248)</f>
        <v>37.481399999999994</v>
      </c>
      <c r="T249" s="75">
        <f>SUM(T244:T248)</f>
        <v>30.241899999999998</v>
      </c>
      <c r="U249" s="753">
        <f>SUM(U244:U248)</f>
        <v>7.2394999999999996</v>
      </c>
      <c r="V249" s="538">
        <f t="shared" si="533"/>
        <v>-25600</v>
      </c>
      <c r="W249" s="74">
        <f t="shared" si="533"/>
        <v>-12800</v>
      </c>
      <c r="X249" s="74">
        <f t="shared" si="533"/>
        <v>1717238</v>
      </c>
      <c r="Y249" s="74">
        <f t="shared" si="533"/>
        <v>0</v>
      </c>
      <c r="Z249" s="74">
        <f t="shared" si="533"/>
        <v>0</v>
      </c>
      <c r="AA249" s="74">
        <f t="shared" si="533"/>
        <v>31776</v>
      </c>
      <c r="AB249" s="74">
        <f t="shared" si="533"/>
        <v>0</v>
      </c>
      <c r="AC249" s="74">
        <f t="shared" si="533"/>
        <v>0</v>
      </c>
      <c r="AD249" s="74">
        <f t="shared" si="533"/>
        <v>0</v>
      </c>
      <c r="AE249" s="74">
        <f t="shared" si="533"/>
        <v>0</v>
      </c>
      <c r="AF249" s="74">
        <f t="shared" si="533"/>
        <v>1723414</v>
      </c>
      <c r="AG249" s="74">
        <f t="shared" si="533"/>
        <v>-12800</v>
      </c>
      <c r="AH249" s="74">
        <f t="shared" si="533"/>
        <v>1710614</v>
      </c>
      <c r="AI249" s="74">
        <f t="shared" si="533"/>
        <v>25600</v>
      </c>
      <c r="AJ249" s="74">
        <f t="shared" si="533"/>
        <v>12800</v>
      </c>
      <c r="AK249" s="74">
        <f t="shared" si="533"/>
        <v>0</v>
      </c>
      <c r="AL249" s="74">
        <f t="shared" si="533"/>
        <v>0</v>
      </c>
      <c r="AM249" s="74">
        <f t="shared" si="533"/>
        <v>0</v>
      </c>
      <c r="AN249" s="74">
        <f t="shared" si="533"/>
        <v>0</v>
      </c>
      <c r="AO249" s="74">
        <f t="shared" si="533"/>
        <v>25600</v>
      </c>
      <c r="AP249" s="74">
        <f t="shared" si="533"/>
        <v>12800</v>
      </c>
      <c r="AQ249" s="74">
        <f t="shared" si="533"/>
        <v>38400</v>
      </c>
      <c r="AR249" s="74">
        <f t="shared" si="533"/>
        <v>1749014</v>
      </c>
      <c r="AS249" s="74">
        <f t="shared" si="533"/>
        <v>0</v>
      </c>
      <c r="AT249" s="74">
        <f t="shared" si="533"/>
        <v>1749014</v>
      </c>
      <c r="AU249" s="74">
        <f t="shared" si="533"/>
        <v>591166</v>
      </c>
      <c r="AV249" s="74">
        <f t="shared" si="533"/>
        <v>17106</v>
      </c>
      <c r="AW249" s="74">
        <f t="shared" si="533"/>
        <v>1000</v>
      </c>
      <c r="AX249" s="74">
        <f t="shared" si="533"/>
        <v>0</v>
      </c>
      <c r="AY249" s="74">
        <f t="shared" si="533"/>
        <v>1000</v>
      </c>
      <c r="AZ249" s="74">
        <f t="shared" si="533"/>
        <v>2358286</v>
      </c>
      <c r="BA249" s="75">
        <f t="shared" si="533"/>
        <v>0</v>
      </c>
      <c r="BB249" s="75">
        <f t="shared" si="533"/>
        <v>-0.04</v>
      </c>
      <c r="BC249" s="75">
        <f t="shared" si="533"/>
        <v>4.5600000000000005</v>
      </c>
      <c r="BD249" s="75">
        <f t="shared" si="533"/>
        <v>0</v>
      </c>
      <c r="BE249" s="75">
        <f t="shared" si="533"/>
        <v>0</v>
      </c>
      <c r="BF249" s="75">
        <f t="shared" si="533"/>
        <v>0</v>
      </c>
      <c r="BG249" s="75">
        <f t="shared" si="533"/>
        <v>0</v>
      </c>
      <c r="BH249" s="75">
        <f t="shared" si="533"/>
        <v>0.05</v>
      </c>
      <c r="BI249" s="75">
        <f t="shared" si="533"/>
        <v>0</v>
      </c>
      <c r="BJ249" s="75">
        <f t="shared" si="533"/>
        <v>0</v>
      </c>
      <c r="BK249" s="75">
        <f t="shared" si="533"/>
        <v>4.6100000000000003</v>
      </c>
      <c r="BL249" s="75">
        <f t="shared" si="533"/>
        <v>-0.04</v>
      </c>
      <c r="BM249" s="76">
        <f t="shared" si="533"/>
        <v>4.57</v>
      </c>
      <c r="BN249" s="549">
        <f t="shared" si="533"/>
        <v>33543987</v>
      </c>
      <c r="BO249" s="74">
        <f t="shared" si="533"/>
        <v>24570052</v>
      </c>
      <c r="BP249" s="74">
        <f t="shared" si="533"/>
        <v>22151780</v>
      </c>
      <c r="BQ249" s="74">
        <f t="shared" si="533"/>
        <v>2418272</v>
      </c>
      <c r="BR249" s="74">
        <f t="shared" si="533"/>
        <v>38400</v>
      </c>
      <c r="BS249" s="74">
        <f t="shared" si="533"/>
        <v>25600</v>
      </c>
      <c r="BT249" s="74">
        <f t="shared" si="533"/>
        <v>12800</v>
      </c>
      <c r="BU249" s="74">
        <f t="shared" si="533"/>
        <v>8317656</v>
      </c>
      <c r="BV249" s="74">
        <f t="shared" ref="BV249:CF249" si="535">SUM(BV244:BV248)</f>
        <v>245700</v>
      </c>
      <c r="BW249" s="74">
        <f t="shared" si="535"/>
        <v>372179</v>
      </c>
      <c r="BX249" s="75">
        <f t="shared" si="535"/>
        <v>42.051399999999994</v>
      </c>
      <c r="BY249" s="75">
        <f t="shared" si="535"/>
        <v>34.851900000000001</v>
      </c>
      <c r="BZ249" s="753">
        <f t="shared" si="535"/>
        <v>7.1994999999999996</v>
      </c>
      <c r="CA249" s="796">
        <f t="shared" si="535"/>
        <v>0</v>
      </c>
      <c r="CB249" s="789">
        <f t="shared" si="535"/>
        <v>0</v>
      </c>
      <c r="CC249" s="789">
        <f t="shared" si="535"/>
        <v>0</v>
      </c>
      <c r="CD249" s="789">
        <f t="shared" si="535"/>
        <v>0</v>
      </c>
      <c r="CE249" s="789">
        <f t="shared" si="535"/>
        <v>0</v>
      </c>
      <c r="CF249" s="793">
        <f t="shared" si="535"/>
        <v>0</v>
      </c>
    </row>
    <row r="250" spans="1:84" ht="14.1" customHeight="1" x14ac:dyDescent="0.2">
      <c r="A250" s="66">
        <v>51</v>
      </c>
      <c r="B250" s="63">
        <v>2310</v>
      </c>
      <c r="C250" s="64">
        <v>600080412</v>
      </c>
      <c r="D250" s="63">
        <v>72742038</v>
      </c>
      <c r="E250" s="65" t="s">
        <v>638</v>
      </c>
      <c r="F250" s="66">
        <v>3114</v>
      </c>
      <c r="G250" s="165" t="s">
        <v>526</v>
      </c>
      <c r="H250" s="67" t="s">
        <v>271</v>
      </c>
      <c r="I250" s="423">
        <f t="shared" si="433"/>
        <v>29223308</v>
      </c>
      <c r="J250" s="418">
        <f t="shared" si="434"/>
        <v>21522742</v>
      </c>
      <c r="K250" s="418">
        <v>19889970</v>
      </c>
      <c r="L250" s="418">
        <v>1632772</v>
      </c>
      <c r="M250" s="418">
        <f>N250+O250</f>
        <v>0</v>
      </c>
      <c r="N250" s="418">
        <v>0</v>
      </c>
      <c r="O250" s="418">
        <v>0</v>
      </c>
      <c r="P250" s="668">
        <f t="shared" si="470"/>
        <v>7274687</v>
      </c>
      <c r="Q250" s="668">
        <f t="shared" si="471"/>
        <v>215227</v>
      </c>
      <c r="R250" s="418">
        <v>210652</v>
      </c>
      <c r="S250" s="419">
        <f>T250+U250</f>
        <v>31.334499999999998</v>
      </c>
      <c r="T250" s="419">
        <v>26.454499999999999</v>
      </c>
      <c r="U250" s="426">
        <v>4.88</v>
      </c>
      <c r="V250" s="428">
        <f t="shared" si="439"/>
        <v>0</v>
      </c>
      <c r="W250" s="421">
        <f t="shared" si="440"/>
        <v>-47360</v>
      </c>
      <c r="X250" s="421">
        <v>0</v>
      </c>
      <c r="Y250" s="421">
        <v>0</v>
      </c>
      <c r="Z250" s="421">
        <v>0</v>
      </c>
      <c r="AA250" s="421">
        <v>0</v>
      </c>
      <c r="AB250" s="421">
        <v>0</v>
      </c>
      <c r="AC250" s="421">
        <v>0</v>
      </c>
      <c r="AD250" s="421">
        <v>0</v>
      </c>
      <c r="AE250" s="421">
        <v>0</v>
      </c>
      <c r="AF250" s="421">
        <f t="shared" si="441"/>
        <v>0</v>
      </c>
      <c r="AG250" s="421">
        <f t="shared" si="442"/>
        <v>-47360</v>
      </c>
      <c r="AH250" s="421">
        <f t="shared" si="443"/>
        <v>-47360</v>
      </c>
      <c r="AI250" s="421">
        <v>0</v>
      </c>
      <c r="AJ250" s="421">
        <v>47360</v>
      </c>
      <c r="AK250" s="421">
        <v>0</v>
      </c>
      <c r="AL250" s="421">
        <v>0</v>
      </c>
      <c r="AM250" s="421">
        <v>0</v>
      </c>
      <c r="AN250" s="421">
        <v>0</v>
      </c>
      <c r="AO250" s="421">
        <f t="shared" si="444"/>
        <v>0</v>
      </c>
      <c r="AP250" s="421">
        <f t="shared" si="445"/>
        <v>47360</v>
      </c>
      <c r="AQ250" s="421">
        <f t="shared" si="446"/>
        <v>47360</v>
      </c>
      <c r="AR250" s="421">
        <f t="shared" ref="AR250:AS255" si="536">AF250+AO250</f>
        <v>0</v>
      </c>
      <c r="AS250" s="421">
        <f t="shared" si="536"/>
        <v>0</v>
      </c>
      <c r="AT250" s="421">
        <f t="shared" si="447"/>
        <v>0</v>
      </c>
      <c r="AU250" s="68">
        <f t="shared" ref="AU250:AU255" si="537">ROUND((AH250+AI250+AJ250+AK250+AL250)*33.8%,0)</f>
        <v>0</v>
      </c>
      <c r="AV250" s="68">
        <f t="shared" ref="AV250:AV255" si="538">ROUND(AH250*1%,0)</f>
        <v>-474</v>
      </c>
      <c r="AW250" s="421">
        <v>0</v>
      </c>
      <c r="AX250" s="421">
        <v>0</v>
      </c>
      <c r="AY250" s="421">
        <f t="shared" si="448"/>
        <v>0</v>
      </c>
      <c r="AZ250" s="421">
        <f t="shared" si="449"/>
        <v>-474</v>
      </c>
      <c r="BA250" s="422">
        <v>0</v>
      </c>
      <c r="BB250" s="422">
        <v>-0.14000000000000001</v>
      </c>
      <c r="BC250" s="422">
        <v>0</v>
      </c>
      <c r="BD250" s="422">
        <v>0</v>
      </c>
      <c r="BE250" s="422">
        <v>0</v>
      </c>
      <c r="BF250" s="422">
        <v>0</v>
      </c>
      <c r="BG250" s="422">
        <v>0</v>
      </c>
      <c r="BH250" s="422">
        <v>0</v>
      </c>
      <c r="BI250" s="422">
        <v>0</v>
      </c>
      <c r="BJ250" s="422">
        <v>0</v>
      </c>
      <c r="BK250" s="422">
        <f t="shared" ref="BK250:BK255" si="539">BA250+BC250+BD250+BF250+BH250+BI250</f>
        <v>0</v>
      </c>
      <c r="BL250" s="422">
        <f t="shared" ref="BL250:BL255" si="540">BB250+BE250+BG250+BJ250</f>
        <v>-0.14000000000000001</v>
      </c>
      <c r="BM250" s="424">
        <f t="shared" si="450"/>
        <v>-0.14000000000000001</v>
      </c>
      <c r="BN250" s="427">
        <f t="shared" ref="BN250:BN255" si="541">I250+AZ250</f>
        <v>29222834</v>
      </c>
      <c r="BO250" s="421">
        <f t="shared" ref="BO250:BO255" si="542">J250+AH250</f>
        <v>21475382</v>
      </c>
      <c r="BP250" s="421">
        <f t="shared" ref="BP250:BQ255" si="543">K250+AF250</f>
        <v>19889970</v>
      </c>
      <c r="BQ250" s="421">
        <f t="shared" si="543"/>
        <v>1585412</v>
      </c>
      <c r="BR250" s="421">
        <f t="shared" ref="BR250:BR255" si="544">M250+AQ250</f>
        <v>47360</v>
      </c>
      <c r="BS250" s="421">
        <f t="shared" ref="BS250:BT255" si="545">N250+AO250</f>
        <v>0</v>
      </c>
      <c r="BT250" s="421">
        <f t="shared" si="545"/>
        <v>47360</v>
      </c>
      <c r="BU250" s="421">
        <f t="shared" ref="BU250:BV255" si="546">P250+AU250</f>
        <v>7274687</v>
      </c>
      <c r="BV250" s="421">
        <f t="shared" si="546"/>
        <v>214753</v>
      </c>
      <c r="BW250" s="421">
        <f t="shared" ref="BW250:BW255" si="547">R250+AY250</f>
        <v>210652</v>
      </c>
      <c r="BX250" s="422">
        <f t="shared" ref="BX250:BX255" si="548">S250+BM250</f>
        <v>31.194499999999998</v>
      </c>
      <c r="BY250" s="422">
        <f t="shared" ref="BY250:BZ255" si="549">T250+BK250</f>
        <v>26.454499999999999</v>
      </c>
      <c r="BZ250" s="611">
        <f t="shared" si="549"/>
        <v>4.74</v>
      </c>
      <c r="CA250" s="423"/>
      <c r="CB250" s="418"/>
      <c r="CC250" s="418"/>
      <c r="CD250" s="418"/>
      <c r="CE250" s="418"/>
      <c r="CF250" s="527"/>
    </row>
    <row r="251" spans="1:84" ht="14.1" customHeight="1" x14ac:dyDescent="0.2">
      <c r="A251" s="66">
        <v>51</v>
      </c>
      <c r="B251" s="63">
        <v>2310</v>
      </c>
      <c r="C251" s="64">
        <v>600080412</v>
      </c>
      <c r="D251" s="63">
        <v>72742038</v>
      </c>
      <c r="E251" s="65" t="s">
        <v>638</v>
      </c>
      <c r="F251" s="66">
        <v>3114</v>
      </c>
      <c r="G251" s="43" t="s">
        <v>293</v>
      </c>
      <c r="H251" s="67" t="s">
        <v>271</v>
      </c>
      <c r="I251" s="423">
        <f t="shared" si="433"/>
        <v>12047873</v>
      </c>
      <c r="J251" s="418">
        <f t="shared" si="434"/>
        <v>8937591</v>
      </c>
      <c r="K251" s="418">
        <v>8937591</v>
      </c>
      <c r="L251" s="418">
        <v>0</v>
      </c>
      <c r="M251" s="418">
        <f t="shared" si="469"/>
        <v>0</v>
      </c>
      <c r="N251" s="418">
        <v>0</v>
      </c>
      <c r="O251" s="418">
        <v>0</v>
      </c>
      <c r="P251" s="668">
        <f t="shared" si="470"/>
        <v>3020906</v>
      </c>
      <c r="Q251" s="668">
        <f t="shared" si="471"/>
        <v>89376</v>
      </c>
      <c r="R251" s="418">
        <v>0</v>
      </c>
      <c r="S251" s="419">
        <f t="shared" si="472"/>
        <v>22.6113</v>
      </c>
      <c r="T251" s="419">
        <v>22.6113</v>
      </c>
      <c r="U251" s="426">
        <v>0</v>
      </c>
      <c r="V251" s="428">
        <f t="shared" si="439"/>
        <v>0</v>
      </c>
      <c r="W251" s="421">
        <f t="shared" si="440"/>
        <v>0</v>
      </c>
      <c r="X251" s="421">
        <v>0</v>
      </c>
      <c r="Y251" s="421">
        <v>0</v>
      </c>
      <c r="Z251" s="421">
        <v>0</v>
      </c>
      <c r="AA251" s="421">
        <v>0</v>
      </c>
      <c r="AB251" s="421">
        <v>0</v>
      </c>
      <c r="AC251" s="421">
        <v>0</v>
      </c>
      <c r="AD251" s="421">
        <v>0</v>
      </c>
      <c r="AE251" s="421">
        <v>0</v>
      </c>
      <c r="AF251" s="421">
        <f t="shared" si="441"/>
        <v>0</v>
      </c>
      <c r="AG251" s="421">
        <f t="shared" si="442"/>
        <v>0</v>
      </c>
      <c r="AH251" s="421">
        <f t="shared" si="443"/>
        <v>0</v>
      </c>
      <c r="AI251" s="421">
        <v>0</v>
      </c>
      <c r="AJ251" s="421">
        <v>0</v>
      </c>
      <c r="AK251" s="421">
        <v>0</v>
      </c>
      <c r="AL251" s="421">
        <v>0</v>
      </c>
      <c r="AM251" s="421">
        <v>0</v>
      </c>
      <c r="AN251" s="421">
        <v>0</v>
      </c>
      <c r="AO251" s="421">
        <f t="shared" si="444"/>
        <v>0</v>
      </c>
      <c r="AP251" s="421">
        <f t="shared" si="445"/>
        <v>0</v>
      </c>
      <c r="AQ251" s="421">
        <f t="shared" si="446"/>
        <v>0</v>
      </c>
      <c r="AR251" s="421">
        <f t="shared" si="536"/>
        <v>0</v>
      </c>
      <c r="AS251" s="421">
        <f t="shared" si="536"/>
        <v>0</v>
      </c>
      <c r="AT251" s="421">
        <f t="shared" si="447"/>
        <v>0</v>
      </c>
      <c r="AU251" s="68">
        <f t="shared" si="537"/>
        <v>0</v>
      </c>
      <c r="AV251" s="68">
        <f t="shared" si="538"/>
        <v>0</v>
      </c>
      <c r="AW251" s="421">
        <v>0</v>
      </c>
      <c r="AX251" s="421">
        <v>0</v>
      </c>
      <c r="AY251" s="421">
        <f t="shared" si="448"/>
        <v>0</v>
      </c>
      <c r="AZ251" s="421">
        <f t="shared" si="449"/>
        <v>0</v>
      </c>
      <c r="BA251" s="422">
        <v>0</v>
      </c>
      <c r="BB251" s="422">
        <v>0</v>
      </c>
      <c r="BC251" s="422">
        <v>0</v>
      </c>
      <c r="BD251" s="422">
        <v>0</v>
      </c>
      <c r="BE251" s="422">
        <v>0</v>
      </c>
      <c r="BF251" s="422">
        <v>0</v>
      </c>
      <c r="BG251" s="422">
        <v>0</v>
      </c>
      <c r="BH251" s="422">
        <v>0</v>
      </c>
      <c r="BI251" s="422">
        <v>0</v>
      </c>
      <c r="BJ251" s="422">
        <v>0</v>
      </c>
      <c r="BK251" s="422">
        <f t="shared" si="539"/>
        <v>0</v>
      </c>
      <c r="BL251" s="422">
        <f t="shared" si="540"/>
        <v>0</v>
      </c>
      <c r="BM251" s="424">
        <f t="shared" si="450"/>
        <v>0</v>
      </c>
      <c r="BN251" s="427">
        <f t="shared" si="541"/>
        <v>12047873</v>
      </c>
      <c r="BO251" s="421">
        <f t="shared" si="542"/>
        <v>8937591</v>
      </c>
      <c r="BP251" s="421">
        <f t="shared" si="543"/>
        <v>8937591</v>
      </c>
      <c r="BQ251" s="421">
        <f t="shared" si="543"/>
        <v>0</v>
      </c>
      <c r="BR251" s="421">
        <f t="shared" si="544"/>
        <v>0</v>
      </c>
      <c r="BS251" s="421">
        <f t="shared" si="545"/>
        <v>0</v>
      </c>
      <c r="BT251" s="421">
        <f t="shared" si="545"/>
        <v>0</v>
      </c>
      <c r="BU251" s="421">
        <f t="shared" si="546"/>
        <v>3020906</v>
      </c>
      <c r="BV251" s="421">
        <f t="shared" si="546"/>
        <v>89376</v>
      </c>
      <c r="BW251" s="421">
        <f t="shared" si="547"/>
        <v>0</v>
      </c>
      <c r="BX251" s="422">
        <f t="shared" si="548"/>
        <v>22.6113</v>
      </c>
      <c r="BY251" s="422">
        <f t="shared" si="549"/>
        <v>22.6113</v>
      </c>
      <c r="BZ251" s="611">
        <f t="shared" si="549"/>
        <v>0</v>
      </c>
      <c r="CA251" s="423"/>
      <c r="CB251" s="418"/>
      <c r="CC251" s="418"/>
      <c r="CD251" s="418"/>
      <c r="CE251" s="418"/>
      <c r="CF251" s="527"/>
    </row>
    <row r="252" spans="1:84" ht="14.1" customHeight="1" x14ac:dyDescent="0.2">
      <c r="A252" s="66">
        <v>51</v>
      </c>
      <c r="B252" s="63">
        <v>2310</v>
      </c>
      <c r="C252" s="64">
        <v>600080412</v>
      </c>
      <c r="D252" s="63">
        <v>72742038</v>
      </c>
      <c r="E252" s="65" t="s">
        <v>638</v>
      </c>
      <c r="F252" s="66">
        <v>3114</v>
      </c>
      <c r="G252" s="77" t="s">
        <v>292</v>
      </c>
      <c r="H252" s="67" t="s">
        <v>272</v>
      </c>
      <c r="I252" s="423">
        <f t="shared" si="433"/>
        <v>0</v>
      </c>
      <c r="J252" s="418">
        <f t="shared" si="434"/>
        <v>0</v>
      </c>
      <c r="K252" s="418">
        <v>0</v>
      </c>
      <c r="L252" s="418">
        <v>0</v>
      </c>
      <c r="M252" s="418">
        <f t="shared" si="469"/>
        <v>0</v>
      </c>
      <c r="N252" s="418">
        <v>0</v>
      </c>
      <c r="O252" s="418">
        <v>0</v>
      </c>
      <c r="P252" s="668">
        <f t="shared" si="470"/>
        <v>0</v>
      </c>
      <c r="Q252" s="668">
        <f t="shared" si="471"/>
        <v>0</v>
      </c>
      <c r="R252" s="418">
        <v>0</v>
      </c>
      <c r="S252" s="419">
        <f t="shared" si="472"/>
        <v>0</v>
      </c>
      <c r="T252" s="420">
        <v>0</v>
      </c>
      <c r="U252" s="426">
        <v>0</v>
      </c>
      <c r="V252" s="428">
        <f t="shared" si="439"/>
        <v>0</v>
      </c>
      <c r="W252" s="421">
        <f t="shared" si="440"/>
        <v>0</v>
      </c>
      <c r="X252" s="421">
        <v>0</v>
      </c>
      <c r="Y252" s="421">
        <v>0</v>
      </c>
      <c r="Z252" s="421">
        <v>0</v>
      </c>
      <c r="AA252" s="421">
        <v>0</v>
      </c>
      <c r="AB252" s="421">
        <v>0</v>
      </c>
      <c r="AC252" s="421">
        <v>0</v>
      </c>
      <c r="AD252" s="421">
        <v>0</v>
      </c>
      <c r="AE252" s="421">
        <v>0</v>
      </c>
      <c r="AF252" s="421">
        <f t="shared" si="441"/>
        <v>0</v>
      </c>
      <c r="AG252" s="421">
        <f t="shared" si="442"/>
        <v>0</v>
      </c>
      <c r="AH252" s="421">
        <f t="shared" si="443"/>
        <v>0</v>
      </c>
      <c r="AI252" s="421">
        <v>0</v>
      </c>
      <c r="AJ252" s="421">
        <v>0</v>
      </c>
      <c r="AK252" s="421">
        <v>0</v>
      </c>
      <c r="AL252" s="421">
        <v>0</v>
      </c>
      <c r="AM252" s="421">
        <v>0</v>
      </c>
      <c r="AN252" s="421">
        <v>0</v>
      </c>
      <c r="AO252" s="421">
        <f t="shared" si="444"/>
        <v>0</v>
      </c>
      <c r="AP252" s="421">
        <f t="shared" si="445"/>
        <v>0</v>
      </c>
      <c r="AQ252" s="421">
        <f t="shared" si="446"/>
        <v>0</v>
      </c>
      <c r="AR252" s="421">
        <f t="shared" si="536"/>
        <v>0</v>
      </c>
      <c r="AS252" s="421">
        <f t="shared" si="536"/>
        <v>0</v>
      </c>
      <c r="AT252" s="421">
        <f t="shared" si="447"/>
        <v>0</v>
      </c>
      <c r="AU252" s="68">
        <f t="shared" si="537"/>
        <v>0</v>
      </c>
      <c r="AV252" s="68">
        <f t="shared" si="538"/>
        <v>0</v>
      </c>
      <c r="AW252" s="421">
        <v>0</v>
      </c>
      <c r="AX252" s="421">
        <v>0</v>
      </c>
      <c r="AY252" s="421">
        <f t="shared" si="448"/>
        <v>0</v>
      </c>
      <c r="AZ252" s="421">
        <f t="shared" si="449"/>
        <v>0</v>
      </c>
      <c r="BA252" s="422">
        <v>0</v>
      </c>
      <c r="BB252" s="422">
        <v>0</v>
      </c>
      <c r="BC252" s="422">
        <v>0</v>
      </c>
      <c r="BD252" s="422">
        <v>0</v>
      </c>
      <c r="BE252" s="422">
        <v>0</v>
      </c>
      <c r="BF252" s="422">
        <v>0</v>
      </c>
      <c r="BG252" s="422">
        <v>0</v>
      </c>
      <c r="BH252" s="422">
        <v>0</v>
      </c>
      <c r="BI252" s="422">
        <v>0</v>
      </c>
      <c r="BJ252" s="422">
        <v>0</v>
      </c>
      <c r="BK252" s="422">
        <f t="shared" si="539"/>
        <v>0</v>
      </c>
      <c r="BL252" s="422">
        <f t="shared" si="540"/>
        <v>0</v>
      </c>
      <c r="BM252" s="424">
        <f t="shared" si="450"/>
        <v>0</v>
      </c>
      <c r="BN252" s="427">
        <f t="shared" si="541"/>
        <v>0</v>
      </c>
      <c r="BO252" s="421">
        <f t="shared" si="542"/>
        <v>0</v>
      </c>
      <c r="BP252" s="421">
        <f t="shared" si="543"/>
        <v>0</v>
      </c>
      <c r="BQ252" s="421">
        <f t="shared" si="543"/>
        <v>0</v>
      </c>
      <c r="BR252" s="421">
        <f t="shared" si="544"/>
        <v>0</v>
      </c>
      <c r="BS252" s="421">
        <f t="shared" si="545"/>
        <v>0</v>
      </c>
      <c r="BT252" s="421">
        <f t="shared" si="545"/>
        <v>0</v>
      </c>
      <c r="BU252" s="421">
        <f t="shared" si="546"/>
        <v>0</v>
      </c>
      <c r="BV252" s="421">
        <f t="shared" si="546"/>
        <v>0</v>
      </c>
      <c r="BW252" s="421">
        <f t="shared" si="547"/>
        <v>0</v>
      </c>
      <c r="BX252" s="422">
        <f t="shared" si="548"/>
        <v>0</v>
      </c>
      <c r="BY252" s="422">
        <f t="shared" si="549"/>
        <v>0</v>
      </c>
      <c r="BZ252" s="611">
        <f t="shared" si="549"/>
        <v>0</v>
      </c>
      <c r="CA252" s="423"/>
      <c r="CB252" s="418"/>
      <c r="CC252" s="418"/>
      <c r="CD252" s="418"/>
      <c r="CE252" s="418"/>
      <c r="CF252" s="527"/>
    </row>
    <row r="253" spans="1:84" ht="14.1" customHeight="1" x14ac:dyDescent="0.2">
      <c r="A253" s="66">
        <v>51</v>
      </c>
      <c r="B253" s="63">
        <v>2310</v>
      </c>
      <c r="C253" s="64">
        <v>600080412</v>
      </c>
      <c r="D253" s="63">
        <v>72742038</v>
      </c>
      <c r="E253" s="65" t="s">
        <v>638</v>
      </c>
      <c r="F253" s="66">
        <v>3141</v>
      </c>
      <c r="G253" s="65" t="s">
        <v>295</v>
      </c>
      <c r="H253" s="67" t="s">
        <v>272</v>
      </c>
      <c r="I253" s="423">
        <f t="shared" si="433"/>
        <v>280964</v>
      </c>
      <c r="J253" s="418">
        <f t="shared" si="434"/>
        <v>206758</v>
      </c>
      <c r="K253" s="418">
        <v>0</v>
      </c>
      <c r="L253" s="924">
        <v>206758</v>
      </c>
      <c r="M253" s="418">
        <f>N253+O253</f>
        <v>0</v>
      </c>
      <c r="N253" s="674">
        <v>0</v>
      </c>
      <c r="O253" s="674">
        <v>0</v>
      </c>
      <c r="P253" s="668">
        <f t="shared" si="470"/>
        <v>69884</v>
      </c>
      <c r="Q253" s="668">
        <f t="shared" si="471"/>
        <v>2068</v>
      </c>
      <c r="R253" s="674">
        <v>2254</v>
      </c>
      <c r="S253" s="419">
        <f>T253+U253</f>
        <v>0.62</v>
      </c>
      <c r="T253" s="676">
        <v>0</v>
      </c>
      <c r="U253" s="909">
        <v>0.62</v>
      </c>
      <c r="V253" s="428">
        <f t="shared" si="439"/>
        <v>0</v>
      </c>
      <c r="W253" s="421">
        <f t="shared" si="440"/>
        <v>0</v>
      </c>
      <c r="X253" s="421">
        <v>0</v>
      </c>
      <c r="Y253" s="421">
        <v>0</v>
      </c>
      <c r="Z253" s="421">
        <v>0</v>
      </c>
      <c r="AA253" s="421">
        <v>0</v>
      </c>
      <c r="AB253" s="421">
        <v>0</v>
      </c>
      <c r="AC253" s="421">
        <v>0</v>
      </c>
      <c r="AD253" s="421">
        <v>0</v>
      </c>
      <c r="AE253" s="421">
        <v>0</v>
      </c>
      <c r="AF253" s="421">
        <f t="shared" si="441"/>
        <v>0</v>
      </c>
      <c r="AG253" s="421">
        <f t="shared" si="442"/>
        <v>0</v>
      </c>
      <c r="AH253" s="421">
        <f t="shared" si="443"/>
        <v>0</v>
      </c>
      <c r="AI253" s="421">
        <v>0</v>
      </c>
      <c r="AJ253" s="421">
        <v>0</v>
      </c>
      <c r="AK253" s="421">
        <v>0</v>
      </c>
      <c r="AL253" s="421">
        <v>0</v>
      </c>
      <c r="AM253" s="421">
        <v>0</v>
      </c>
      <c r="AN253" s="421">
        <v>0</v>
      </c>
      <c r="AO253" s="421">
        <f t="shared" si="444"/>
        <v>0</v>
      </c>
      <c r="AP253" s="421">
        <f t="shared" si="445"/>
        <v>0</v>
      </c>
      <c r="AQ253" s="421">
        <f t="shared" si="446"/>
        <v>0</v>
      </c>
      <c r="AR253" s="421">
        <f t="shared" si="536"/>
        <v>0</v>
      </c>
      <c r="AS253" s="421">
        <f t="shared" si="536"/>
        <v>0</v>
      </c>
      <c r="AT253" s="421">
        <f t="shared" si="447"/>
        <v>0</v>
      </c>
      <c r="AU253" s="68">
        <f t="shared" si="537"/>
        <v>0</v>
      </c>
      <c r="AV253" s="68">
        <f t="shared" si="538"/>
        <v>0</v>
      </c>
      <c r="AW253" s="421">
        <v>0</v>
      </c>
      <c r="AX253" s="421">
        <v>0</v>
      </c>
      <c r="AY253" s="421">
        <f t="shared" si="448"/>
        <v>0</v>
      </c>
      <c r="AZ253" s="421">
        <f t="shared" si="449"/>
        <v>0</v>
      </c>
      <c r="BA253" s="422">
        <v>0</v>
      </c>
      <c r="BB253" s="422">
        <v>0</v>
      </c>
      <c r="BC253" s="422">
        <v>0</v>
      </c>
      <c r="BD253" s="422">
        <v>0</v>
      </c>
      <c r="BE253" s="422">
        <v>0</v>
      </c>
      <c r="BF253" s="422">
        <v>0</v>
      </c>
      <c r="BG253" s="422">
        <v>0</v>
      </c>
      <c r="BH253" s="422">
        <v>0</v>
      </c>
      <c r="BI253" s="422">
        <v>0</v>
      </c>
      <c r="BJ253" s="422">
        <v>0</v>
      </c>
      <c r="BK253" s="422">
        <f t="shared" si="539"/>
        <v>0</v>
      </c>
      <c r="BL253" s="422">
        <f t="shared" si="540"/>
        <v>0</v>
      </c>
      <c r="BM253" s="424">
        <f t="shared" si="450"/>
        <v>0</v>
      </c>
      <c r="BN253" s="427">
        <f t="shared" si="541"/>
        <v>280964</v>
      </c>
      <c r="BO253" s="421">
        <f t="shared" si="542"/>
        <v>206758</v>
      </c>
      <c r="BP253" s="421">
        <f t="shared" si="543"/>
        <v>0</v>
      </c>
      <c r="BQ253" s="421">
        <f t="shared" si="543"/>
        <v>206758</v>
      </c>
      <c r="BR253" s="421">
        <f t="shared" si="544"/>
        <v>0</v>
      </c>
      <c r="BS253" s="421">
        <f t="shared" si="545"/>
        <v>0</v>
      </c>
      <c r="BT253" s="421">
        <f t="shared" si="545"/>
        <v>0</v>
      </c>
      <c r="BU253" s="421">
        <f t="shared" si="546"/>
        <v>69884</v>
      </c>
      <c r="BV253" s="421">
        <f t="shared" si="546"/>
        <v>2068</v>
      </c>
      <c r="BW253" s="421">
        <f t="shared" si="547"/>
        <v>2254</v>
      </c>
      <c r="BX253" s="422">
        <f t="shared" si="548"/>
        <v>0.62</v>
      </c>
      <c r="BY253" s="422">
        <f t="shared" si="549"/>
        <v>0</v>
      </c>
      <c r="BZ253" s="611">
        <f t="shared" si="549"/>
        <v>0.62</v>
      </c>
      <c r="CA253" s="423"/>
      <c r="CB253" s="418"/>
      <c r="CC253" s="418"/>
      <c r="CD253" s="418"/>
      <c r="CE253" s="418"/>
      <c r="CF253" s="527"/>
    </row>
    <row r="254" spans="1:84" ht="14.1" customHeight="1" x14ac:dyDescent="0.2">
      <c r="A254" s="66">
        <v>51</v>
      </c>
      <c r="B254" s="63">
        <v>2310</v>
      </c>
      <c r="C254" s="64">
        <v>600080412</v>
      </c>
      <c r="D254" s="63">
        <v>72742038</v>
      </c>
      <c r="E254" s="65" t="s">
        <v>638</v>
      </c>
      <c r="F254" s="66">
        <v>3143</v>
      </c>
      <c r="G254" s="77" t="s">
        <v>596</v>
      </c>
      <c r="H254" s="67" t="s">
        <v>271</v>
      </c>
      <c r="I254" s="423">
        <f t="shared" si="433"/>
        <v>2312440</v>
      </c>
      <c r="J254" s="418">
        <f t="shared" si="434"/>
        <v>1715460</v>
      </c>
      <c r="K254" s="418">
        <v>1715460</v>
      </c>
      <c r="L254" s="418">
        <v>0</v>
      </c>
      <c r="M254" s="418">
        <f t="shared" si="469"/>
        <v>0</v>
      </c>
      <c r="N254" s="418">
        <v>0</v>
      </c>
      <c r="O254" s="418">
        <v>0</v>
      </c>
      <c r="P254" s="668">
        <f t="shared" si="470"/>
        <v>579825</v>
      </c>
      <c r="Q254" s="668">
        <f t="shared" si="471"/>
        <v>17155</v>
      </c>
      <c r="R254" s="418">
        <v>0</v>
      </c>
      <c r="S254" s="419">
        <f t="shared" si="472"/>
        <v>3.5</v>
      </c>
      <c r="T254" s="419">
        <v>3.5</v>
      </c>
      <c r="U254" s="426">
        <v>0</v>
      </c>
      <c r="V254" s="428">
        <f t="shared" si="439"/>
        <v>0</v>
      </c>
      <c r="W254" s="421">
        <f t="shared" si="440"/>
        <v>0</v>
      </c>
      <c r="X254" s="421">
        <v>0</v>
      </c>
      <c r="Y254" s="421">
        <v>0</v>
      </c>
      <c r="Z254" s="421">
        <v>0</v>
      </c>
      <c r="AA254" s="421">
        <v>0</v>
      </c>
      <c r="AB254" s="421">
        <v>0</v>
      </c>
      <c r="AC254" s="421">
        <v>0</v>
      </c>
      <c r="AD254" s="421">
        <v>0</v>
      </c>
      <c r="AE254" s="421">
        <v>0</v>
      </c>
      <c r="AF254" s="421">
        <f t="shared" si="441"/>
        <v>0</v>
      </c>
      <c r="AG254" s="421">
        <f t="shared" si="442"/>
        <v>0</v>
      </c>
      <c r="AH254" s="421">
        <f t="shared" si="443"/>
        <v>0</v>
      </c>
      <c r="AI254" s="421">
        <v>0</v>
      </c>
      <c r="AJ254" s="421">
        <v>0</v>
      </c>
      <c r="AK254" s="421">
        <v>0</v>
      </c>
      <c r="AL254" s="421">
        <v>0</v>
      </c>
      <c r="AM254" s="421">
        <v>0</v>
      </c>
      <c r="AN254" s="421">
        <v>0</v>
      </c>
      <c r="AO254" s="421">
        <f t="shared" si="444"/>
        <v>0</v>
      </c>
      <c r="AP254" s="421">
        <f t="shared" si="445"/>
        <v>0</v>
      </c>
      <c r="AQ254" s="421">
        <f t="shared" si="446"/>
        <v>0</v>
      </c>
      <c r="AR254" s="421">
        <f t="shared" si="536"/>
        <v>0</v>
      </c>
      <c r="AS254" s="421">
        <f t="shared" si="536"/>
        <v>0</v>
      </c>
      <c r="AT254" s="421">
        <f t="shared" si="447"/>
        <v>0</v>
      </c>
      <c r="AU254" s="68">
        <f t="shared" si="537"/>
        <v>0</v>
      </c>
      <c r="AV254" s="68">
        <f t="shared" si="538"/>
        <v>0</v>
      </c>
      <c r="AW254" s="421">
        <v>0</v>
      </c>
      <c r="AX254" s="421">
        <v>0</v>
      </c>
      <c r="AY254" s="421">
        <f t="shared" si="448"/>
        <v>0</v>
      </c>
      <c r="AZ254" s="421">
        <f t="shared" si="449"/>
        <v>0</v>
      </c>
      <c r="BA254" s="422">
        <v>0</v>
      </c>
      <c r="BB254" s="422">
        <v>0</v>
      </c>
      <c r="BC254" s="422">
        <v>0</v>
      </c>
      <c r="BD254" s="422">
        <v>0</v>
      </c>
      <c r="BE254" s="422">
        <v>0</v>
      </c>
      <c r="BF254" s="422">
        <v>0</v>
      </c>
      <c r="BG254" s="422">
        <v>0</v>
      </c>
      <c r="BH254" s="422">
        <v>0</v>
      </c>
      <c r="BI254" s="422">
        <v>0</v>
      </c>
      <c r="BJ254" s="422">
        <v>0</v>
      </c>
      <c r="BK254" s="422">
        <f t="shared" si="539"/>
        <v>0</v>
      </c>
      <c r="BL254" s="422">
        <f t="shared" si="540"/>
        <v>0</v>
      </c>
      <c r="BM254" s="424">
        <f t="shared" si="450"/>
        <v>0</v>
      </c>
      <c r="BN254" s="427">
        <f t="shared" si="541"/>
        <v>2312440</v>
      </c>
      <c r="BO254" s="421">
        <f t="shared" si="542"/>
        <v>1715460</v>
      </c>
      <c r="BP254" s="421">
        <f t="shared" si="543"/>
        <v>1715460</v>
      </c>
      <c r="BQ254" s="421">
        <f t="shared" si="543"/>
        <v>0</v>
      </c>
      <c r="BR254" s="421">
        <f t="shared" si="544"/>
        <v>0</v>
      </c>
      <c r="BS254" s="421">
        <f t="shared" si="545"/>
        <v>0</v>
      </c>
      <c r="BT254" s="421">
        <f t="shared" si="545"/>
        <v>0</v>
      </c>
      <c r="BU254" s="421">
        <f t="shared" si="546"/>
        <v>579825</v>
      </c>
      <c r="BV254" s="421">
        <f t="shared" si="546"/>
        <v>17155</v>
      </c>
      <c r="BW254" s="421">
        <f t="shared" si="547"/>
        <v>0</v>
      </c>
      <c r="BX254" s="422">
        <f t="shared" si="548"/>
        <v>3.5</v>
      </c>
      <c r="BY254" s="422">
        <f t="shared" si="549"/>
        <v>3.5</v>
      </c>
      <c r="BZ254" s="611">
        <f t="shared" si="549"/>
        <v>0</v>
      </c>
      <c r="CA254" s="423"/>
      <c r="CB254" s="418"/>
      <c r="CC254" s="418"/>
      <c r="CD254" s="418"/>
      <c r="CE254" s="418"/>
      <c r="CF254" s="527"/>
    </row>
    <row r="255" spans="1:84" ht="14.1" customHeight="1" x14ac:dyDescent="0.2">
      <c r="A255" s="66">
        <v>51</v>
      </c>
      <c r="B255" s="63">
        <v>2310</v>
      </c>
      <c r="C255" s="64">
        <v>600080412</v>
      </c>
      <c r="D255" s="63">
        <v>72742038</v>
      </c>
      <c r="E255" s="65" t="s">
        <v>638</v>
      </c>
      <c r="F255" s="66">
        <v>3143</v>
      </c>
      <c r="G255" s="77" t="s">
        <v>597</v>
      </c>
      <c r="H255" s="67" t="s">
        <v>272</v>
      </c>
      <c r="I255" s="423">
        <f t="shared" si="433"/>
        <v>26114</v>
      </c>
      <c r="J255" s="418">
        <f t="shared" si="434"/>
        <v>18691</v>
      </c>
      <c r="K255" s="418">
        <v>0</v>
      </c>
      <c r="L255" s="674">
        <v>18691</v>
      </c>
      <c r="M255" s="418">
        <f t="shared" si="469"/>
        <v>0</v>
      </c>
      <c r="N255" s="418">
        <v>0</v>
      </c>
      <c r="O255" s="418">
        <v>0</v>
      </c>
      <c r="P255" s="668">
        <f t="shared" si="470"/>
        <v>6318</v>
      </c>
      <c r="Q255" s="668">
        <f t="shared" si="471"/>
        <v>187</v>
      </c>
      <c r="R255" s="675">
        <v>918</v>
      </c>
      <c r="S255" s="419">
        <f t="shared" si="472"/>
        <v>7.0800000000000002E-2</v>
      </c>
      <c r="T255" s="679">
        <v>0</v>
      </c>
      <c r="U255" s="909">
        <v>7.0800000000000002E-2</v>
      </c>
      <c r="V255" s="428">
        <f t="shared" si="439"/>
        <v>0</v>
      </c>
      <c r="W255" s="421">
        <f t="shared" si="440"/>
        <v>0</v>
      </c>
      <c r="X255" s="421">
        <v>0</v>
      </c>
      <c r="Y255" s="421">
        <v>0</v>
      </c>
      <c r="Z255" s="421">
        <v>0</v>
      </c>
      <c r="AA255" s="421">
        <v>0</v>
      </c>
      <c r="AB255" s="421">
        <v>0</v>
      </c>
      <c r="AC255" s="421">
        <v>0</v>
      </c>
      <c r="AD255" s="421">
        <v>0</v>
      </c>
      <c r="AE255" s="421">
        <v>0</v>
      </c>
      <c r="AF255" s="421">
        <f t="shared" si="441"/>
        <v>0</v>
      </c>
      <c r="AG255" s="421">
        <f t="shared" si="442"/>
        <v>0</v>
      </c>
      <c r="AH255" s="421">
        <f t="shared" si="443"/>
        <v>0</v>
      </c>
      <c r="AI255" s="421">
        <v>0</v>
      </c>
      <c r="AJ255" s="421">
        <v>0</v>
      </c>
      <c r="AK255" s="421">
        <v>0</v>
      </c>
      <c r="AL255" s="421">
        <v>0</v>
      </c>
      <c r="AM255" s="421">
        <v>0</v>
      </c>
      <c r="AN255" s="421">
        <v>0</v>
      </c>
      <c r="AO255" s="421">
        <f t="shared" si="444"/>
        <v>0</v>
      </c>
      <c r="AP255" s="421">
        <f t="shared" si="445"/>
        <v>0</v>
      </c>
      <c r="AQ255" s="421">
        <f t="shared" si="446"/>
        <v>0</v>
      </c>
      <c r="AR255" s="421">
        <f t="shared" si="536"/>
        <v>0</v>
      </c>
      <c r="AS255" s="421">
        <f t="shared" si="536"/>
        <v>0</v>
      </c>
      <c r="AT255" s="421">
        <f t="shared" si="447"/>
        <v>0</v>
      </c>
      <c r="AU255" s="68">
        <f t="shared" si="537"/>
        <v>0</v>
      </c>
      <c r="AV255" s="68">
        <f t="shared" si="538"/>
        <v>0</v>
      </c>
      <c r="AW255" s="421">
        <v>0</v>
      </c>
      <c r="AX255" s="421">
        <v>0</v>
      </c>
      <c r="AY255" s="421">
        <f t="shared" si="448"/>
        <v>0</v>
      </c>
      <c r="AZ255" s="421">
        <f t="shared" si="449"/>
        <v>0</v>
      </c>
      <c r="BA255" s="422">
        <v>0</v>
      </c>
      <c r="BB255" s="422">
        <v>0</v>
      </c>
      <c r="BC255" s="422">
        <v>0</v>
      </c>
      <c r="BD255" s="422">
        <v>0</v>
      </c>
      <c r="BE255" s="422">
        <v>0</v>
      </c>
      <c r="BF255" s="422">
        <v>0</v>
      </c>
      <c r="BG255" s="422">
        <v>0</v>
      </c>
      <c r="BH255" s="422">
        <v>0</v>
      </c>
      <c r="BI255" s="422">
        <v>0</v>
      </c>
      <c r="BJ255" s="422">
        <v>0</v>
      </c>
      <c r="BK255" s="422">
        <f t="shared" si="539"/>
        <v>0</v>
      </c>
      <c r="BL255" s="422">
        <f t="shared" si="540"/>
        <v>0</v>
      </c>
      <c r="BM255" s="424">
        <f t="shared" si="450"/>
        <v>0</v>
      </c>
      <c r="BN255" s="427">
        <f t="shared" si="541"/>
        <v>26114</v>
      </c>
      <c r="BO255" s="421">
        <f t="shared" si="542"/>
        <v>18691</v>
      </c>
      <c r="BP255" s="421">
        <f t="shared" si="543"/>
        <v>0</v>
      </c>
      <c r="BQ255" s="421">
        <f t="shared" si="543"/>
        <v>18691</v>
      </c>
      <c r="BR255" s="421">
        <f t="shared" si="544"/>
        <v>0</v>
      </c>
      <c r="BS255" s="421">
        <f t="shared" si="545"/>
        <v>0</v>
      </c>
      <c r="BT255" s="421">
        <f t="shared" si="545"/>
        <v>0</v>
      </c>
      <c r="BU255" s="421">
        <f t="shared" si="546"/>
        <v>6318</v>
      </c>
      <c r="BV255" s="421">
        <f t="shared" si="546"/>
        <v>187</v>
      </c>
      <c r="BW255" s="421">
        <f t="shared" si="547"/>
        <v>918</v>
      </c>
      <c r="BX255" s="422">
        <f t="shared" si="548"/>
        <v>7.0800000000000002E-2</v>
      </c>
      <c r="BY255" s="422">
        <f t="shared" si="549"/>
        <v>0</v>
      </c>
      <c r="BZ255" s="611">
        <f t="shared" si="549"/>
        <v>7.0800000000000002E-2</v>
      </c>
      <c r="CA255" s="423"/>
      <c r="CB255" s="418"/>
      <c r="CC255" s="418"/>
      <c r="CD255" s="418"/>
      <c r="CE255" s="418"/>
      <c r="CF255" s="527"/>
    </row>
    <row r="256" spans="1:84" ht="14.1" customHeight="1" x14ac:dyDescent="0.2">
      <c r="A256" s="72">
        <v>51</v>
      </c>
      <c r="B256" s="69">
        <v>2310</v>
      </c>
      <c r="C256" s="70">
        <v>600080412</v>
      </c>
      <c r="D256" s="69">
        <v>72742038</v>
      </c>
      <c r="E256" s="71" t="s">
        <v>639</v>
      </c>
      <c r="F256" s="72"/>
      <c r="G256" s="71"/>
      <c r="H256" s="73"/>
      <c r="I256" s="538">
        <f t="shared" ref="I256:BU256" si="550">SUM(I250:I255)</f>
        <v>43890699</v>
      </c>
      <c r="J256" s="74">
        <f t="shared" si="550"/>
        <v>32401242</v>
      </c>
      <c r="K256" s="74">
        <f t="shared" si="550"/>
        <v>30543021</v>
      </c>
      <c r="L256" s="74">
        <f t="shared" si="550"/>
        <v>1858221</v>
      </c>
      <c r="M256" s="74">
        <f t="shared" si="550"/>
        <v>0</v>
      </c>
      <c r="N256" s="74">
        <f t="shared" si="550"/>
        <v>0</v>
      </c>
      <c r="O256" s="74">
        <f t="shared" si="550"/>
        <v>0</v>
      </c>
      <c r="P256" s="74">
        <f t="shared" si="550"/>
        <v>10951620</v>
      </c>
      <c r="Q256" s="74">
        <f t="shared" si="550"/>
        <v>324013</v>
      </c>
      <c r="R256" s="74">
        <f t="shared" si="550"/>
        <v>213824</v>
      </c>
      <c r="S256" s="75">
        <f t="shared" si="550"/>
        <v>58.136599999999994</v>
      </c>
      <c r="T256" s="75">
        <f t="shared" si="550"/>
        <v>52.565799999999996</v>
      </c>
      <c r="U256" s="753">
        <f t="shared" si="550"/>
        <v>5.5708000000000002</v>
      </c>
      <c r="V256" s="538">
        <f t="shared" si="550"/>
        <v>0</v>
      </c>
      <c r="W256" s="74">
        <f t="shared" si="550"/>
        <v>-47360</v>
      </c>
      <c r="X256" s="74">
        <f t="shared" si="550"/>
        <v>0</v>
      </c>
      <c r="Y256" s="74">
        <f t="shared" si="550"/>
        <v>0</v>
      </c>
      <c r="Z256" s="74">
        <f t="shared" si="550"/>
        <v>0</v>
      </c>
      <c r="AA256" s="74">
        <f t="shared" si="550"/>
        <v>0</v>
      </c>
      <c r="AB256" s="74">
        <f t="shared" si="550"/>
        <v>0</v>
      </c>
      <c r="AC256" s="74">
        <f t="shared" si="550"/>
        <v>0</v>
      </c>
      <c r="AD256" s="74">
        <f t="shared" si="550"/>
        <v>0</v>
      </c>
      <c r="AE256" s="74">
        <f t="shared" si="550"/>
        <v>0</v>
      </c>
      <c r="AF256" s="74">
        <f t="shared" si="550"/>
        <v>0</v>
      </c>
      <c r="AG256" s="74">
        <f t="shared" si="550"/>
        <v>-47360</v>
      </c>
      <c r="AH256" s="74">
        <f t="shared" si="550"/>
        <v>-47360</v>
      </c>
      <c r="AI256" s="74">
        <f t="shared" si="550"/>
        <v>0</v>
      </c>
      <c r="AJ256" s="74">
        <f t="shared" si="550"/>
        <v>47360</v>
      </c>
      <c r="AK256" s="74">
        <f t="shared" si="550"/>
        <v>0</v>
      </c>
      <c r="AL256" s="74">
        <f t="shared" si="550"/>
        <v>0</v>
      </c>
      <c r="AM256" s="74">
        <f t="shared" si="550"/>
        <v>0</v>
      </c>
      <c r="AN256" s="74">
        <f t="shared" si="550"/>
        <v>0</v>
      </c>
      <c r="AO256" s="74">
        <f t="shared" si="550"/>
        <v>0</v>
      </c>
      <c r="AP256" s="74">
        <f t="shared" si="550"/>
        <v>47360</v>
      </c>
      <c r="AQ256" s="74">
        <f t="shared" si="550"/>
        <v>47360</v>
      </c>
      <c r="AR256" s="74">
        <f t="shared" si="550"/>
        <v>0</v>
      </c>
      <c r="AS256" s="74">
        <f t="shared" si="550"/>
        <v>0</v>
      </c>
      <c r="AT256" s="74">
        <f t="shared" si="550"/>
        <v>0</v>
      </c>
      <c r="AU256" s="74">
        <f t="shared" si="550"/>
        <v>0</v>
      </c>
      <c r="AV256" s="74">
        <f t="shared" si="550"/>
        <v>-474</v>
      </c>
      <c r="AW256" s="74">
        <f t="shared" si="550"/>
        <v>0</v>
      </c>
      <c r="AX256" s="74">
        <f t="shared" si="550"/>
        <v>0</v>
      </c>
      <c r="AY256" s="74">
        <f t="shared" si="550"/>
        <v>0</v>
      </c>
      <c r="AZ256" s="74">
        <f t="shared" si="550"/>
        <v>-474</v>
      </c>
      <c r="BA256" s="75">
        <f t="shared" si="550"/>
        <v>0</v>
      </c>
      <c r="BB256" s="75">
        <f t="shared" si="550"/>
        <v>-0.14000000000000001</v>
      </c>
      <c r="BC256" s="75">
        <f t="shared" si="550"/>
        <v>0</v>
      </c>
      <c r="BD256" s="75">
        <f t="shared" si="550"/>
        <v>0</v>
      </c>
      <c r="BE256" s="75">
        <f t="shared" si="550"/>
        <v>0</v>
      </c>
      <c r="BF256" s="75">
        <f t="shared" si="550"/>
        <v>0</v>
      </c>
      <c r="BG256" s="75">
        <f t="shared" si="550"/>
        <v>0</v>
      </c>
      <c r="BH256" s="75">
        <f t="shared" si="550"/>
        <v>0</v>
      </c>
      <c r="BI256" s="75">
        <f t="shared" si="550"/>
        <v>0</v>
      </c>
      <c r="BJ256" s="75">
        <f t="shared" si="550"/>
        <v>0</v>
      </c>
      <c r="BK256" s="75">
        <f t="shared" si="550"/>
        <v>0</v>
      </c>
      <c r="BL256" s="75">
        <f t="shared" si="550"/>
        <v>-0.14000000000000001</v>
      </c>
      <c r="BM256" s="76">
        <f t="shared" si="550"/>
        <v>-0.14000000000000001</v>
      </c>
      <c r="BN256" s="549">
        <f t="shared" si="550"/>
        <v>43890225</v>
      </c>
      <c r="BO256" s="74">
        <f t="shared" si="550"/>
        <v>32353882</v>
      </c>
      <c r="BP256" s="74">
        <f t="shared" si="550"/>
        <v>30543021</v>
      </c>
      <c r="BQ256" s="74">
        <f t="shared" si="550"/>
        <v>1810861</v>
      </c>
      <c r="BR256" s="74">
        <f t="shared" si="550"/>
        <v>47360</v>
      </c>
      <c r="BS256" s="74">
        <f t="shared" si="550"/>
        <v>0</v>
      </c>
      <c r="BT256" s="74">
        <f t="shared" si="550"/>
        <v>47360</v>
      </c>
      <c r="BU256" s="74">
        <f t="shared" si="550"/>
        <v>10951620</v>
      </c>
      <c r="BV256" s="74">
        <f t="shared" ref="BV256:CF256" si="551">SUM(BV250:BV255)</f>
        <v>323539</v>
      </c>
      <c r="BW256" s="74">
        <f t="shared" si="551"/>
        <v>213824</v>
      </c>
      <c r="BX256" s="75">
        <f t="shared" si="551"/>
        <v>57.996599999999994</v>
      </c>
      <c r="BY256" s="75">
        <f t="shared" si="551"/>
        <v>52.565799999999996</v>
      </c>
      <c r="BZ256" s="753">
        <f t="shared" si="551"/>
        <v>5.4308000000000005</v>
      </c>
      <c r="CA256" s="796">
        <f t="shared" si="551"/>
        <v>0</v>
      </c>
      <c r="CB256" s="789">
        <f t="shared" si="551"/>
        <v>0</v>
      </c>
      <c r="CC256" s="789">
        <f t="shared" si="551"/>
        <v>0</v>
      </c>
      <c r="CD256" s="789">
        <f t="shared" si="551"/>
        <v>0</v>
      </c>
      <c r="CE256" s="789">
        <f t="shared" si="551"/>
        <v>0</v>
      </c>
      <c r="CF256" s="793">
        <f t="shared" si="551"/>
        <v>0</v>
      </c>
    </row>
    <row r="257" spans="1:84" ht="14.1" customHeight="1" x14ac:dyDescent="0.2">
      <c r="A257" s="66">
        <v>52</v>
      </c>
      <c r="B257" s="63">
        <v>2313</v>
      </c>
      <c r="C257" s="64">
        <v>600080323</v>
      </c>
      <c r="D257" s="63">
        <v>64040445</v>
      </c>
      <c r="E257" s="65" t="s">
        <v>640</v>
      </c>
      <c r="F257" s="66">
        <v>3231</v>
      </c>
      <c r="G257" s="65" t="s">
        <v>296</v>
      </c>
      <c r="H257" s="67" t="s">
        <v>271</v>
      </c>
      <c r="I257" s="423">
        <f t="shared" si="433"/>
        <v>58663812</v>
      </c>
      <c r="J257" s="418">
        <f t="shared" si="434"/>
        <v>43461544</v>
      </c>
      <c r="K257" s="418">
        <v>41863381</v>
      </c>
      <c r="L257" s="418">
        <v>1598163</v>
      </c>
      <c r="M257" s="418">
        <f t="shared" si="469"/>
        <v>0</v>
      </c>
      <c r="N257" s="418">
        <v>0</v>
      </c>
      <c r="O257" s="418">
        <v>0</v>
      </c>
      <c r="P257" s="668">
        <f t="shared" si="470"/>
        <v>14690002</v>
      </c>
      <c r="Q257" s="668">
        <f t="shared" si="471"/>
        <v>434615</v>
      </c>
      <c r="R257" s="418">
        <v>77651</v>
      </c>
      <c r="S257" s="419">
        <f t="shared" si="472"/>
        <v>70.680000000000007</v>
      </c>
      <c r="T257" s="419">
        <v>66.2</v>
      </c>
      <c r="U257" s="426">
        <v>4.4800000000000004</v>
      </c>
      <c r="V257" s="428">
        <f t="shared" si="439"/>
        <v>-12800</v>
      </c>
      <c r="W257" s="421">
        <f t="shared" si="440"/>
        <v>0</v>
      </c>
      <c r="X257" s="421">
        <v>0</v>
      </c>
      <c r="Y257" s="421">
        <v>0</v>
      </c>
      <c r="Z257" s="421">
        <v>0</v>
      </c>
      <c r="AA257" s="421">
        <v>0</v>
      </c>
      <c r="AB257" s="421">
        <v>0</v>
      </c>
      <c r="AC257" s="421">
        <v>0</v>
      </c>
      <c r="AD257" s="421">
        <v>0</v>
      </c>
      <c r="AE257" s="421">
        <v>0</v>
      </c>
      <c r="AF257" s="421">
        <f t="shared" si="441"/>
        <v>-12800</v>
      </c>
      <c r="AG257" s="421">
        <f t="shared" si="442"/>
        <v>0</v>
      </c>
      <c r="AH257" s="421">
        <f t="shared" si="443"/>
        <v>-12800</v>
      </c>
      <c r="AI257" s="421">
        <v>12800</v>
      </c>
      <c r="AJ257" s="421">
        <v>0</v>
      </c>
      <c r="AK257" s="421">
        <v>0</v>
      </c>
      <c r="AL257" s="421">
        <v>0</v>
      </c>
      <c r="AM257" s="421">
        <v>0</v>
      </c>
      <c r="AN257" s="421">
        <v>0</v>
      </c>
      <c r="AO257" s="421">
        <f t="shared" si="444"/>
        <v>12800</v>
      </c>
      <c r="AP257" s="421">
        <f t="shared" si="445"/>
        <v>0</v>
      </c>
      <c r="AQ257" s="421">
        <f t="shared" si="446"/>
        <v>12800</v>
      </c>
      <c r="AR257" s="421">
        <f>AF257+AO257</f>
        <v>0</v>
      </c>
      <c r="AS257" s="421">
        <f>AG257+AP257</f>
        <v>0</v>
      </c>
      <c r="AT257" s="421">
        <f t="shared" si="447"/>
        <v>0</v>
      </c>
      <c r="AU257" s="68">
        <f>ROUND((AH257+AI257+AJ257+AK257+AL257)*33.8%,0)</f>
        <v>0</v>
      </c>
      <c r="AV257" s="68">
        <f>ROUND(AH257*1%,0)</f>
        <v>-128</v>
      </c>
      <c r="AW257" s="421">
        <v>0</v>
      </c>
      <c r="AX257" s="421">
        <v>0</v>
      </c>
      <c r="AY257" s="421">
        <f t="shared" si="448"/>
        <v>0</v>
      </c>
      <c r="AZ257" s="421">
        <f t="shared" si="449"/>
        <v>-128</v>
      </c>
      <c r="BA257" s="422">
        <v>-0.02</v>
      </c>
      <c r="BB257" s="422">
        <v>0</v>
      </c>
      <c r="BC257" s="422">
        <v>0</v>
      </c>
      <c r="BD257" s="422">
        <v>0</v>
      </c>
      <c r="BE257" s="422">
        <v>0</v>
      </c>
      <c r="BF257" s="422">
        <v>0</v>
      </c>
      <c r="BG257" s="422">
        <v>0</v>
      </c>
      <c r="BH257" s="422">
        <v>0</v>
      </c>
      <c r="BI257" s="422">
        <v>0</v>
      </c>
      <c r="BJ257" s="422">
        <v>0</v>
      </c>
      <c r="BK257" s="422">
        <f>BA257+BC257+BD257+BF257+BH257+BI257</f>
        <v>-0.02</v>
      </c>
      <c r="BL257" s="422">
        <f>BB257+BE257+BG257+BJ257</f>
        <v>0</v>
      </c>
      <c r="BM257" s="424">
        <f t="shared" si="450"/>
        <v>-0.02</v>
      </c>
      <c r="BN257" s="427">
        <f>I257+AZ257</f>
        <v>58663684</v>
      </c>
      <c r="BO257" s="421">
        <f>J257+AH257</f>
        <v>43448744</v>
      </c>
      <c r="BP257" s="421">
        <f>K257+AF257</f>
        <v>41850581</v>
      </c>
      <c r="BQ257" s="421">
        <f>L257+AG257</f>
        <v>1598163</v>
      </c>
      <c r="BR257" s="421">
        <f>M257+AQ257</f>
        <v>12800</v>
      </c>
      <c r="BS257" s="421">
        <f>N257+AO257</f>
        <v>12800</v>
      </c>
      <c r="BT257" s="421">
        <f>O257+AP257</f>
        <v>0</v>
      </c>
      <c r="BU257" s="421">
        <f>P257+AU257</f>
        <v>14690002</v>
      </c>
      <c r="BV257" s="421">
        <f>Q257+AV257</f>
        <v>434487</v>
      </c>
      <c r="BW257" s="421">
        <f>R257+AY257</f>
        <v>77651</v>
      </c>
      <c r="BX257" s="422">
        <f>S257+BM257</f>
        <v>70.660000000000011</v>
      </c>
      <c r="BY257" s="422">
        <f>T257+BK257</f>
        <v>66.180000000000007</v>
      </c>
      <c r="BZ257" s="611">
        <f>U257+BL257</f>
        <v>4.4800000000000004</v>
      </c>
      <c r="CA257" s="423"/>
      <c r="CB257" s="418"/>
      <c r="CC257" s="418"/>
      <c r="CD257" s="418"/>
      <c r="CE257" s="418"/>
      <c r="CF257" s="527"/>
    </row>
    <row r="258" spans="1:84" ht="14.1" customHeight="1" x14ac:dyDescent="0.2">
      <c r="A258" s="72">
        <v>52</v>
      </c>
      <c r="B258" s="69">
        <v>2313</v>
      </c>
      <c r="C258" s="70">
        <v>600080323</v>
      </c>
      <c r="D258" s="69">
        <v>64040445</v>
      </c>
      <c r="E258" s="71" t="s">
        <v>641</v>
      </c>
      <c r="F258" s="72"/>
      <c r="G258" s="71"/>
      <c r="H258" s="73"/>
      <c r="I258" s="539">
        <f t="shared" ref="I258:BU258" si="552">SUM(I257)</f>
        <v>58663812</v>
      </c>
      <c r="J258" s="78">
        <f t="shared" si="552"/>
        <v>43461544</v>
      </c>
      <c r="K258" s="78">
        <f t="shared" si="552"/>
        <v>41863381</v>
      </c>
      <c r="L258" s="78">
        <f t="shared" si="552"/>
        <v>1598163</v>
      </c>
      <c r="M258" s="78">
        <f t="shared" si="552"/>
        <v>0</v>
      </c>
      <c r="N258" s="78">
        <f t="shared" si="552"/>
        <v>0</v>
      </c>
      <c r="O258" s="78">
        <f t="shared" si="552"/>
        <v>0</v>
      </c>
      <c r="P258" s="78">
        <f t="shared" si="552"/>
        <v>14690002</v>
      </c>
      <c r="Q258" s="78">
        <f t="shared" si="552"/>
        <v>434615</v>
      </c>
      <c r="R258" s="78">
        <f t="shared" si="552"/>
        <v>77651</v>
      </c>
      <c r="S258" s="79">
        <f t="shared" si="552"/>
        <v>70.680000000000007</v>
      </c>
      <c r="T258" s="79">
        <f t="shared" si="552"/>
        <v>66.2</v>
      </c>
      <c r="U258" s="754">
        <f t="shared" si="552"/>
        <v>4.4800000000000004</v>
      </c>
      <c r="V258" s="539">
        <f t="shared" si="552"/>
        <v>-12800</v>
      </c>
      <c r="W258" s="78">
        <f t="shared" si="552"/>
        <v>0</v>
      </c>
      <c r="X258" s="78">
        <f t="shared" si="552"/>
        <v>0</v>
      </c>
      <c r="Y258" s="78">
        <f t="shared" si="552"/>
        <v>0</v>
      </c>
      <c r="Z258" s="78">
        <f t="shared" si="552"/>
        <v>0</v>
      </c>
      <c r="AA258" s="78">
        <f t="shared" si="552"/>
        <v>0</v>
      </c>
      <c r="AB258" s="78">
        <f t="shared" si="552"/>
        <v>0</v>
      </c>
      <c r="AC258" s="78">
        <f t="shared" si="552"/>
        <v>0</v>
      </c>
      <c r="AD258" s="78">
        <f t="shared" si="552"/>
        <v>0</v>
      </c>
      <c r="AE258" s="78">
        <f t="shared" si="552"/>
        <v>0</v>
      </c>
      <c r="AF258" s="78">
        <f t="shared" si="552"/>
        <v>-12800</v>
      </c>
      <c r="AG258" s="78">
        <f t="shared" si="552"/>
        <v>0</v>
      </c>
      <c r="AH258" s="78">
        <f t="shared" si="552"/>
        <v>-12800</v>
      </c>
      <c r="AI258" s="78">
        <f t="shared" si="552"/>
        <v>12800</v>
      </c>
      <c r="AJ258" s="78">
        <f t="shared" si="552"/>
        <v>0</v>
      </c>
      <c r="AK258" s="78">
        <f t="shared" si="552"/>
        <v>0</v>
      </c>
      <c r="AL258" s="78">
        <f t="shared" si="552"/>
        <v>0</v>
      </c>
      <c r="AM258" s="78">
        <f t="shared" si="552"/>
        <v>0</v>
      </c>
      <c r="AN258" s="78">
        <f t="shared" si="552"/>
        <v>0</v>
      </c>
      <c r="AO258" s="78">
        <f t="shared" si="552"/>
        <v>12800</v>
      </c>
      <c r="AP258" s="78">
        <f t="shared" si="552"/>
        <v>0</v>
      </c>
      <c r="AQ258" s="78">
        <f t="shared" si="552"/>
        <v>12800</v>
      </c>
      <c r="AR258" s="78">
        <f t="shared" si="552"/>
        <v>0</v>
      </c>
      <c r="AS258" s="78">
        <f t="shared" si="552"/>
        <v>0</v>
      </c>
      <c r="AT258" s="78">
        <f t="shared" si="552"/>
        <v>0</v>
      </c>
      <c r="AU258" s="78">
        <f t="shared" si="552"/>
        <v>0</v>
      </c>
      <c r="AV258" s="78">
        <f t="shared" si="552"/>
        <v>-128</v>
      </c>
      <c r="AW258" s="78">
        <f t="shared" si="552"/>
        <v>0</v>
      </c>
      <c r="AX258" s="78">
        <f t="shared" si="552"/>
        <v>0</v>
      </c>
      <c r="AY258" s="78">
        <f t="shared" si="552"/>
        <v>0</v>
      </c>
      <c r="AZ258" s="78">
        <f t="shared" si="552"/>
        <v>-128</v>
      </c>
      <c r="BA258" s="79">
        <f t="shared" si="552"/>
        <v>-0.02</v>
      </c>
      <c r="BB258" s="79">
        <f t="shared" si="552"/>
        <v>0</v>
      </c>
      <c r="BC258" s="79">
        <f t="shared" si="552"/>
        <v>0</v>
      </c>
      <c r="BD258" s="79">
        <f t="shared" si="552"/>
        <v>0</v>
      </c>
      <c r="BE258" s="79">
        <f t="shared" si="552"/>
        <v>0</v>
      </c>
      <c r="BF258" s="79">
        <f t="shared" si="552"/>
        <v>0</v>
      </c>
      <c r="BG258" s="79">
        <f t="shared" si="552"/>
        <v>0</v>
      </c>
      <c r="BH258" s="79">
        <f t="shared" si="552"/>
        <v>0</v>
      </c>
      <c r="BI258" s="79">
        <f t="shared" si="552"/>
        <v>0</v>
      </c>
      <c r="BJ258" s="79">
        <f t="shared" si="552"/>
        <v>0</v>
      </c>
      <c r="BK258" s="79">
        <f t="shared" si="552"/>
        <v>-0.02</v>
      </c>
      <c r="BL258" s="79">
        <f t="shared" si="552"/>
        <v>0</v>
      </c>
      <c r="BM258" s="80">
        <f t="shared" si="552"/>
        <v>-0.02</v>
      </c>
      <c r="BN258" s="550">
        <f t="shared" si="552"/>
        <v>58663684</v>
      </c>
      <c r="BO258" s="78">
        <f t="shared" si="552"/>
        <v>43448744</v>
      </c>
      <c r="BP258" s="78">
        <f t="shared" si="552"/>
        <v>41850581</v>
      </c>
      <c r="BQ258" s="78">
        <f t="shared" si="552"/>
        <v>1598163</v>
      </c>
      <c r="BR258" s="78">
        <f t="shared" si="552"/>
        <v>12800</v>
      </c>
      <c r="BS258" s="78">
        <f t="shared" si="552"/>
        <v>12800</v>
      </c>
      <c r="BT258" s="78">
        <f t="shared" si="552"/>
        <v>0</v>
      </c>
      <c r="BU258" s="78">
        <f t="shared" si="552"/>
        <v>14690002</v>
      </c>
      <c r="BV258" s="78">
        <f t="shared" ref="BV258:CF258" si="553">SUM(BV257)</f>
        <v>434487</v>
      </c>
      <c r="BW258" s="78">
        <f t="shared" si="553"/>
        <v>77651</v>
      </c>
      <c r="BX258" s="79">
        <f t="shared" si="553"/>
        <v>70.660000000000011</v>
      </c>
      <c r="BY258" s="79">
        <f t="shared" si="553"/>
        <v>66.180000000000007</v>
      </c>
      <c r="BZ258" s="754">
        <f t="shared" si="553"/>
        <v>4.4800000000000004</v>
      </c>
      <c r="CA258" s="797">
        <f t="shared" si="553"/>
        <v>0</v>
      </c>
      <c r="CB258" s="790">
        <f t="shared" si="553"/>
        <v>0</v>
      </c>
      <c r="CC258" s="790">
        <f t="shared" si="553"/>
        <v>0</v>
      </c>
      <c r="CD258" s="790">
        <f t="shared" si="553"/>
        <v>0</v>
      </c>
      <c r="CE258" s="790">
        <f t="shared" si="553"/>
        <v>0</v>
      </c>
      <c r="CF258" s="794">
        <f t="shared" si="553"/>
        <v>0</v>
      </c>
    </row>
    <row r="259" spans="1:84" ht="14.1" customHeight="1" x14ac:dyDescent="0.2">
      <c r="A259" s="66">
        <v>53</v>
      </c>
      <c r="B259" s="63">
        <v>2431</v>
      </c>
      <c r="C259" s="64">
        <v>600079228</v>
      </c>
      <c r="D259" s="63">
        <v>46746234</v>
      </c>
      <c r="E259" s="65" t="s">
        <v>642</v>
      </c>
      <c r="F259" s="66">
        <v>3111</v>
      </c>
      <c r="G259" s="65" t="s">
        <v>291</v>
      </c>
      <c r="H259" s="67" t="s">
        <v>271</v>
      </c>
      <c r="I259" s="423">
        <f t="shared" si="433"/>
        <v>7708661</v>
      </c>
      <c r="J259" s="418">
        <f t="shared" si="434"/>
        <v>5699972</v>
      </c>
      <c r="K259" s="418">
        <v>5229770</v>
      </c>
      <c r="L259" s="418">
        <v>470202</v>
      </c>
      <c r="M259" s="418">
        <f>N259+O259</f>
        <v>0</v>
      </c>
      <c r="N259" s="418">
        <v>0</v>
      </c>
      <c r="O259" s="418">
        <v>0</v>
      </c>
      <c r="P259" s="668">
        <f t="shared" si="470"/>
        <v>1926591</v>
      </c>
      <c r="Q259" s="668">
        <f t="shared" si="471"/>
        <v>57000</v>
      </c>
      <c r="R259" s="418">
        <v>25098</v>
      </c>
      <c r="S259" s="419">
        <f t="shared" si="472"/>
        <v>10.051599999999999</v>
      </c>
      <c r="T259" s="419">
        <v>8.4514999999999993</v>
      </c>
      <c r="U259" s="426">
        <v>1.6000999999999999</v>
      </c>
      <c r="V259" s="428">
        <f t="shared" si="439"/>
        <v>0</v>
      </c>
      <c r="W259" s="421">
        <f t="shared" si="440"/>
        <v>0</v>
      </c>
      <c r="X259" s="421">
        <v>0</v>
      </c>
      <c r="Y259" s="421">
        <v>0</v>
      </c>
      <c r="Z259" s="421">
        <v>0</v>
      </c>
      <c r="AA259" s="421">
        <v>0</v>
      </c>
      <c r="AB259" s="421">
        <v>0</v>
      </c>
      <c r="AC259" s="421">
        <v>0</v>
      </c>
      <c r="AD259" s="421">
        <v>0</v>
      </c>
      <c r="AE259" s="421">
        <v>0</v>
      </c>
      <c r="AF259" s="421">
        <f t="shared" si="441"/>
        <v>0</v>
      </c>
      <c r="AG259" s="421">
        <f t="shared" si="442"/>
        <v>0</v>
      </c>
      <c r="AH259" s="421">
        <f t="shared" si="443"/>
        <v>0</v>
      </c>
      <c r="AI259" s="421">
        <v>0</v>
      </c>
      <c r="AJ259" s="421">
        <v>0</v>
      </c>
      <c r="AK259" s="421">
        <v>0</v>
      </c>
      <c r="AL259" s="421">
        <v>0</v>
      </c>
      <c r="AM259" s="421">
        <v>0</v>
      </c>
      <c r="AN259" s="421">
        <v>0</v>
      </c>
      <c r="AO259" s="421">
        <f t="shared" si="444"/>
        <v>0</v>
      </c>
      <c r="AP259" s="421">
        <f t="shared" si="445"/>
        <v>0</v>
      </c>
      <c r="AQ259" s="421">
        <f t="shared" si="446"/>
        <v>0</v>
      </c>
      <c r="AR259" s="421">
        <f t="shared" ref="AR259:AS261" si="554">AF259+AO259</f>
        <v>0</v>
      </c>
      <c r="AS259" s="421">
        <f t="shared" si="554"/>
        <v>0</v>
      </c>
      <c r="AT259" s="421">
        <f t="shared" si="447"/>
        <v>0</v>
      </c>
      <c r="AU259" s="68">
        <f t="shared" ref="AU259:AU261" si="555">ROUND((AH259+AI259+AJ259+AK259+AL259)*33.8%,0)</f>
        <v>0</v>
      </c>
      <c r="AV259" s="68">
        <f>ROUND(AH259*1%,0)</f>
        <v>0</v>
      </c>
      <c r="AW259" s="421">
        <v>0</v>
      </c>
      <c r="AX259" s="421">
        <v>0</v>
      </c>
      <c r="AY259" s="421">
        <f t="shared" si="448"/>
        <v>0</v>
      </c>
      <c r="AZ259" s="421">
        <f t="shared" si="449"/>
        <v>0</v>
      </c>
      <c r="BA259" s="422">
        <v>0</v>
      </c>
      <c r="BB259" s="422">
        <v>0</v>
      </c>
      <c r="BC259" s="422">
        <v>0</v>
      </c>
      <c r="BD259" s="422">
        <v>0</v>
      </c>
      <c r="BE259" s="422">
        <v>0</v>
      </c>
      <c r="BF259" s="422">
        <v>0</v>
      </c>
      <c r="BG259" s="422">
        <v>0</v>
      </c>
      <c r="BH259" s="422">
        <v>0</v>
      </c>
      <c r="BI259" s="422">
        <v>0</v>
      </c>
      <c r="BJ259" s="422">
        <v>0</v>
      </c>
      <c r="BK259" s="422">
        <f>BA259+BC259+BD259+BF259+BH259+BI259</f>
        <v>0</v>
      </c>
      <c r="BL259" s="422">
        <f>BB259+BE259+BG259+BJ259</f>
        <v>0</v>
      </c>
      <c r="BM259" s="424">
        <f t="shared" si="450"/>
        <v>0</v>
      </c>
      <c r="BN259" s="427">
        <f>I259+AZ259</f>
        <v>7708661</v>
      </c>
      <c r="BO259" s="421">
        <f>J259+AH259</f>
        <v>5699972</v>
      </c>
      <c r="BP259" s="421">
        <f t="shared" ref="BP259:BQ261" si="556">K259+AF259</f>
        <v>5229770</v>
      </c>
      <c r="BQ259" s="421">
        <f t="shared" si="556"/>
        <v>470202</v>
      </c>
      <c r="BR259" s="421">
        <f>M259+AQ259</f>
        <v>0</v>
      </c>
      <c r="BS259" s="421">
        <f t="shared" ref="BS259:BT261" si="557">N259+AO259</f>
        <v>0</v>
      </c>
      <c r="BT259" s="421">
        <f t="shared" si="557"/>
        <v>0</v>
      </c>
      <c r="BU259" s="421">
        <f t="shared" ref="BU259:BV261" si="558">P259+AU259</f>
        <v>1926591</v>
      </c>
      <c r="BV259" s="421">
        <f t="shared" si="558"/>
        <v>57000</v>
      </c>
      <c r="BW259" s="421">
        <f>R259+AY259</f>
        <v>25098</v>
      </c>
      <c r="BX259" s="422">
        <f>S259+BM259</f>
        <v>10.051599999999999</v>
      </c>
      <c r="BY259" s="422">
        <f t="shared" ref="BY259:BZ261" si="559">T259+BK259</f>
        <v>8.4514999999999993</v>
      </c>
      <c r="BZ259" s="611">
        <f t="shared" si="559"/>
        <v>1.6000999999999999</v>
      </c>
      <c r="CA259" s="423"/>
      <c r="CB259" s="418"/>
      <c r="CC259" s="418"/>
      <c r="CD259" s="418"/>
      <c r="CE259" s="418"/>
      <c r="CF259" s="527"/>
    </row>
    <row r="260" spans="1:84" ht="14.1" customHeight="1" x14ac:dyDescent="0.2">
      <c r="A260" s="66">
        <v>53</v>
      </c>
      <c r="B260" s="63">
        <v>2431</v>
      </c>
      <c r="C260" s="64">
        <v>600079228</v>
      </c>
      <c r="D260" s="63">
        <v>46746234</v>
      </c>
      <c r="E260" s="65" t="s">
        <v>642</v>
      </c>
      <c r="F260" s="66">
        <v>3111</v>
      </c>
      <c r="G260" s="77" t="s">
        <v>292</v>
      </c>
      <c r="H260" s="67" t="s">
        <v>272</v>
      </c>
      <c r="I260" s="423">
        <f t="shared" si="433"/>
        <v>0</v>
      </c>
      <c r="J260" s="418">
        <f t="shared" si="434"/>
        <v>0</v>
      </c>
      <c r="K260" s="418">
        <v>0</v>
      </c>
      <c r="L260" s="418">
        <v>0</v>
      </c>
      <c r="M260" s="418">
        <f t="shared" si="469"/>
        <v>0</v>
      </c>
      <c r="N260" s="418">
        <v>0</v>
      </c>
      <c r="O260" s="418">
        <v>0</v>
      </c>
      <c r="P260" s="668">
        <f t="shared" si="470"/>
        <v>0</v>
      </c>
      <c r="Q260" s="668">
        <f t="shared" si="471"/>
        <v>0</v>
      </c>
      <c r="R260" s="418">
        <v>0</v>
      </c>
      <c r="S260" s="419">
        <f t="shared" si="472"/>
        <v>0</v>
      </c>
      <c r="T260" s="420">
        <v>0</v>
      </c>
      <c r="U260" s="426">
        <v>0</v>
      </c>
      <c r="V260" s="428">
        <f t="shared" si="439"/>
        <v>0</v>
      </c>
      <c r="W260" s="421">
        <f t="shared" si="440"/>
        <v>0</v>
      </c>
      <c r="X260" s="16">
        <v>0</v>
      </c>
      <c r="Y260" s="16">
        <v>0</v>
      </c>
      <c r="Z260" s="16">
        <v>0</v>
      </c>
      <c r="AA260" s="16">
        <v>0</v>
      </c>
      <c r="AB260" s="421">
        <v>0</v>
      </c>
      <c r="AC260" s="16">
        <v>0</v>
      </c>
      <c r="AD260" s="16">
        <v>0</v>
      </c>
      <c r="AE260" s="16">
        <v>0</v>
      </c>
      <c r="AF260" s="421">
        <f t="shared" si="441"/>
        <v>0</v>
      </c>
      <c r="AG260" s="421">
        <f t="shared" si="442"/>
        <v>0</v>
      </c>
      <c r="AH260" s="421">
        <f t="shared" si="443"/>
        <v>0</v>
      </c>
      <c r="AI260" s="16">
        <v>0</v>
      </c>
      <c r="AJ260" s="16">
        <v>0</v>
      </c>
      <c r="AK260" s="421">
        <v>0</v>
      </c>
      <c r="AL260" s="16">
        <v>0</v>
      </c>
      <c r="AM260" s="16">
        <v>0</v>
      </c>
      <c r="AN260" s="16">
        <v>0</v>
      </c>
      <c r="AO260" s="421">
        <f t="shared" si="444"/>
        <v>0</v>
      </c>
      <c r="AP260" s="16">
        <v>0</v>
      </c>
      <c r="AQ260" s="421">
        <f t="shared" si="446"/>
        <v>0</v>
      </c>
      <c r="AR260" s="421">
        <f t="shared" si="554"/>
        <v>0</v>
      </c>
      <c r="AS260" s="421">
        <f t="shared" si="554"/>
        <v>0</v>
      </c>
      <c r="AT260" s="421">
        <f t="shared" si="447"/>
        <v>0</v>
      </c>
      <c r="AU260" s="68">
        <f t="shared" si="555"/>
        <v>0</v>
      </c>
      <c r="AV260" s="68">
        <f>ROUND(AH260*1%,0)</f>
        <v>0</v>
      </c>
      <c r="AW260" s="16">
        <v>2000</v>
      </c>
      <c r="AX260" s="16">
        <v>0</v>
      </c>
      <c r="AY260" s="421">
        <f t="shared" si="448"/>
        <v>2000</v>
      </c>
      <c r="AZ260" s="421">
        <f t="shared" si="449"/>
        <v>2000</v>
      </c>
      <c r="BA260" s="13">
        <v>0</v>
      </c>
      <c r="BB260" s="13">
        <v>0</v>
      </c>
      <c r="BC260" s="13">
        <v>0</v>
      </c>
      <c r="BD260" s="422">
        <v>0</v>
      </c>
      <c r="BE260" s="422">
        <v>0</v>
      </c>
      <c r="BF260" s="422">
        <v>0</v>
      </c>
      <c r="BG260" s="422">
        <v>0</v>
      </c>
      <c r="BH260" s="422">
        <v>0</v>
      </c>
      <c r="BI260" s="422">
        <v>0</v>
      </c>
      <c r="BJ260" s="422">
        <v>0</v>
      </c>
      <c r="BK260" s="422">
        <f>BA260+BC260+BD260+BF260+BH260+BI260</f>
        <v>0</v>
      </c>
      <c r="BL260" s="422">
        <f>BB260+BE260+BG260+BJ260</f>
        <v>0</v>
      </c>
      <c r="BM260" s="424">
        <f t="shared" si="450"/>
        <v>0</v>
      </c>
      <c r="BN260" s="427">
        <f>I260+AZ260</f>
        <v>2000</v>
      </c>
      <c r="BO260" s="421">
        <f>J260+AH260</f>
        <v>0</v>
      </c>
      <c r="BP260" s="421">
        <f t="shared" si="556"/>
        <v>0</v>
      </c>
      <c r="BQ260" s="421">
        <f t="shared" si="556"/>
        <v>0</v>
      </c>
      <c r="BR260" s="421">
        <f>M260+AQ260</f>
        <v>0</v>
      </c>
      <c r="BS260" s="421">
        <f t="shared" si="557"/>
        <v>0</v>
      </c>
      <c r="BT260" s="421">
        <f t="shared" si="557"/>
        <v>0</v>
      </c>
      <c r="BU260" s="421">
        <f t="shared" si="558"/>
        <v>0</v>
      </c>
      <c r="BV260" s="421">
        <f t="shared" si="558"/>
        <v>0</v>
      </c>
      <c r="BW260" s="421">
        <f>R260+AY260</f>
        <v>2000</v>
      </c>
      <c r="BX260" s="422">
        <f>S260+BM260</f>
        <v>0</v>
      </c>
      <c r="BY260" s="422">
        <f t="shared" si="559"/>
        <v>0</v>
      </c>
      <c r="BZ260" s="611">
        <f t="shared" si="559"/>
        <v>0</v>
      </c>
      <c r="CA260" s="423"/>
      <c r="CB260" s="418"/>
      <c r="CC260" s="418"/>
      <c r="CD260" s="418"/>
      <c r="CE260" s="418"/>
      <c r="CF260" s="527"/>
    </row>
    <row r="261" spans="1:84" ht="14.1" customHeight="1" x14ac:dyDescent="0.2">
      <c r="A261" s="66">
        <v>53</v>
      </c>
      <c r="B261" s="63">
        <v>2431</v>
      </c>
      <c r="C261" s="64">
        <v>600079228</v>
      </c>
      <c r="D261" s="63">
        <v>46746234</v>
      </c>
      <c r="E261" s="65" t="s">
        <v>642</v>
      </c>
      <c r="F261" s="66">
        <v>3141</v>
      </c>
      <c r="G261" s="65" t="s">
        <v>295</v>
      </c>
      <c r="H261" s="67" t="s">
        <v>272</v>
      </c>
      <c r="I261" s="423">
        <f t="shared" si="433"/>
        <v>713549</v>
      </c>
      <c r="J261" s="418">
        <f t="shared" si="434"/>
        <v>526898</v>
      </c>
      <c r="K261" s="418">
        <v>0</v>
      </c>
      <c r="L261" s="924">
        <v>526898</v>
      </c>
      <c r="M261" s="418">
        <f>N261+O261</f>
        <v>0</v>
      </c>
      <c r="N261" s="205">
        <v>0</v>
      </c>
      <c r="O261" s="205">
        <v>0</v>
      </c>
      <c r="P261" s="668">
        <f t="shared" si="470"/>
        <v>178092</v>
      </c>
      <c r="Q261" s="668">
        <f t="shared" si="471"/>
        <v>5269</v>
      </c>
      <c r="R261" s="674">
        <v>3290</v>
      </c>
      <c r="S261" s="419">
        <f>T261+U261</f>
        <v>1.58</v>
      </c>
      <c r="T261" s="676">
        <v>0</v>
      </c>
      <c r="U261" s="909">
        <v>1.58</v>
      </c>
      <c r="V261" s="428">
        <f t="shared" si="439"/>
        <v>0</v>
      </c>
      <c r="W261" s="421">
        <f t="shared" si="440"/>
        <v>0</v>
      </c>
      <c r="X261" s="421">
        <v>0</v>
      </c>
      <c r="Y261" s="421">
        <v>0</v>
      </c>
      <c r="Z261" s="421">
        <v>0</v>
      </c>
      <c r="AA261" s="421">
        <v>0</v>
      </c>
      <c r="AB261" s="421">
        <v>0</v>
      </c>
      <c r="AC261" s="421">
        <v>0</v>
      </c>
      <c r="AD261" s="421">
        <v>0</v>
      </c>
      <c r="AE261" s="421">
        <v>0</v>
      </c>
      <c r="AF261" s="421">
        <f t="shared" si="441"/>
        <v>0</v>
      </c>
      <c r="AG261" s="421">
        <f t="shared" si="442"/>
        <v>0</v>
      </c>
      <c r="AH261" s="421">
        <f t="shared" si="443"/>
        <v>0</v>
      </c>
      <c r="AI261" s="421">
        <v>0</v>
      </c>
      <c r="AJ261" s="421">
        <v>0</v>
      </c>
      <c r="AK261" s="421">
        <v>0</v>
      </c>
      <c r="AL261" s="421">
        <v>0</v>
      </c>
      <c r="AM261" s="421">
        <v>0</v>
      </c>
      <c r="AN261" s="421">
        <v>0</v>
      </c>
      <c r="AO261" s="421">
        <f t="shared" si="444"/>
        <v>0</v>
      </c>
      <c r="AP261" s="421">
        <f t="shared" si="445"/>
        <v>0</v>
      </c>
      <c r="AQ261" s="421">
        <f t="shared" si="446"/>
        <v>0</v>
      </c>
      <c r="AR261" s="421">
        <f t="shared" si="554"/>
        <v>0</v>
      </c>
      <c r="AS261" s="421">
        <f t="shared" si="554"/>
        <v>0</v>
      </c>
      <c r="AT261" s="421">
        <f t="shared" si="447"/>
        <v>0</v>
      </c>
      <c r="AU261" s="68">
        <f t="shared" si="555"/>
        <v>0</v>
      </c>
      <c r="AV261" s="68">
        <f>ROUND(AH261*1%,0)</f>
        <v>0</v>
      </c>
      <c r="AW261" s="421">
        <v>0</v>
      </c>
      <c r="AX261" s="421">
        <v>0</v>
      </c>
      <c r="AY261" s="421">
        <f t="shared" si="448"/>
        <v>0</v>
      </c>
      <c r="AZ261" s="421">
        <f t="shared" si="449"/>
        <v>0</v>
      </c>
      <c r="BA261" s="422">
        <v>0</v>
      </c>
      <c r="BB261" s="422">
        <v>0</v>
      </c>
      <c r="BC261" s="422">
        <v>0</v>
      </c>
      <c r="BD261" s="422">
        <v>0</v>
      </c>
      <c r="BE261" s="422">
        <v>0</v>
      </c>
      <c r="BF261" s="422">
        <v>0</v>
      </c>
      <c r="BG261" s="422">
        <v>0</v>
      </c>
      <c r="BH261" s="422">
        <v>0</v>
      </c>
      <c r="BI261" s="422">
        <v>0</v>
      </c>
      <c r="BJ261" s="422">
        <v>0</v>
      </c>
      <c r="BK261" s="422">
        <f>BA261+BC261+BD261+BF261+BH261+BI261</f>
        <v>0</v>
      </c>
      <c r="BL261" s="422">
        <f>BB261+BE261+BG261+BJ261</f>
        <v>0</v>
      </c>
      <c r="BM261" s="424">
        <f t="shared" si="450"/>
        <v>0</v>
      </c>
      <c r="BN261" s="427">
        <f>I261+AZ261</f>
        <v>713549</v>
      </c>
      <c r="BO261" s="421">
        <f>J261+AH261</f>
        <v>526898</v>
      </c>
      <c r="BP261" s="421">
        <f t="shared" si="556"/>
        <v>0</v>
      </c>
      <c r="BQ261" s="421">
        <f t="shared" si="556"/>
        <v>526898</v>
      </c>
      <c r="BR261" s="421">
        <f>M261+AQ261</f>
        <v>0</v>
      </c>
      <c r="BS261" s="421">
        <f t="shared" si="557"/>
        <v>0</v>
      </c>
      <c r="BT261" s="421">
        <f t="shared" si="557"/>
        <v>0</v>
      </c>
      <c r="BU261" s="421">
        <f t="shared" si="558"/>
        <v>178092</v>
      </c>
      <c r="BV261" s="421">
        <f t="shared" si="558"/>
        <v>5269</v>
      </c>
      <c r="BW261" s="421">
        <f>R261+AY261</f>
        <v>3290</v>
      </c>
      <c r="BX261" s="422">
        <f>S261+BM261</f>
        <v>1.58</v>
      </c>
      <c r="BY261" s="422">
        <f t="shared" si="559"/>
        <v>0</v>
      </c>
      <c r="BZ261" s="611">
        <f t="shared" si="559"/>
        <v>1.58</v>
      </c>
      <c r="CA261" s="423"/>
      <c r="CB261" s="418"/>
      <c r="CC261" s="418"/>
      <c r="CD261" s="418"/>
      <c r="CE261" s="418"/>
      <c r="CF261" s="527"/>
    </row>
    <row r="262" spans="1:84" ht="14.1" customHeight="1" x14ac:dyDescent="0.2">
      <c r="A262" s="72">
        <v>53</v>
      </c>
      <c r="B262" s="69">
        <v>2431</v>
      </c>
      <c r="C262" s="70">
        <v>600079228</v>
      </c>
      <c r="D262" s="69">
        <v>46746234</v>
      </c>
      <c r="E262" s="71" t="s">
        <v>643</v>
      </c>
      <c r="F262" s="72"/>
      <c r="G262" s="71"/>
      <c r="H262" s="73"/>
      <c r="I262" s="538">
        <f t="shared" ref="I262:BU262" si="560">SUM(I259:I261)</f>
        <v>8422210</v>
      </c>
      <c r="J262" s="74">
        <f t="shared" si="560"/>
        <v>6226870</v>
      </c>
      <c r="K262" s="74">
        <f t="shared" si="560"/>
        <v>5229770</v>
      </c>
      <c r="L262" s="74">
        <f t="shared" si="560"/>
        <v>997100</v>
      </c>
      <c r="M262" s="74">
        <f t="shared" si="560"/>
        <v>0</v>
      </c>
      <c r="N262" s="74">
        <f t="shared" si="560"/>
        <v>0</v>
      </c>
      <c r="O262" s="74">
        <f t="shared" si="560"/>
        <v>0</v>
      </c>
      <c r="P262" s="74">
        <f t="shared" si="560"/>
        <v>2104683</v>
      </c>
      <c r="Q262" s="74">
        <f t="shared" si="560"/>
        <v>62269</v>
      </c>
      <c r="R262" s="74">
        <f t="shared" si="560"/>
        <v>28388</v>
      </c>
      <c r="S262" s="75">
        <f t="shared" si="560"/>
        <v>11.631599999999999</v>
      </c>
      <c r="T262" s="75">
        <f t="shared" si="560"/>
        <v>8.4514999999999993</v>
      </c>
      <c r="U262" s="753">
        <f t="shared" si="560"/>
        <v>3.1800999999999999</v>
      </c>
      <c r="V262" s="538">
        <f t="shared" si="560"/>
        <v>0</v>
      </c>
      <c r="W262" s="74">
        <f t="shared" si="560"/>
        <v>0</v>
      </c>
      <c r="X262" s="74">
        <f t="shared" si="560"/>
        <v>0</v>
      </c>
      <c r="Y262" s="74">
        <f t="shared" si="560"/>
        <v>0</v>
      </c>
      <c r="Z262" s="74">
        <f t="shared" si="560"/>
        <v>0</v>
      </c>
      <c r="AA262" s="74">
        <f t="shared" si="560"/>
        <v>0</v>
      </c>
      <c r="AB262" s="74">
        <f t="shared" si="560"/>
        <v>0</v>
      </c>
      <c r="AC262" s="74">
        <f t="shared" si="560"/>
        <v>0</v>
      </c>
      <c r="AD262" s="74">
        <f t="shared" si="560"/>
        <v>0</v>
      </c>
      <c r="AE262" s="74">
        <f t="shared" si="560"/>
        <v>0</v>
      </c>
      <c r="AF262" s="74">
        <f t="shared" si="560"/>
        <v>0</v>
      </c>
      <c r="AG262" s="74">
        <f t="shared" si="560"/>
        <v>0</v>
      </c>
      <c r="AH262" s="74">
        <f t="shared" si="560"/>
        <v>0</v>
      </c>
      <c r="AI262" s="74">
        <f t="shared" si="560"/>
        <v>0</v>
      </c>
      <c r="AJ262" s="74">
        <f t="shared" si="560"/>
        <v>0</v>
      </c>
      <c r="AK262" s="74">
        <f t="shared" si="560"/>
        <v>0</v>
      </c>
      <c r="AL262" s="74">
        <f t="shared" si="560"/>
        <v>0</v>
      </c>
      <c r="AM262" s="74">
        <f t="shared" si="560"/>
        <v>0</v>
      </c>
      <c r="AN262" s="74">
        <f t="shared" si="560"/>
        <v>0</v>
      </c>
      <c r="AO262" s="74">
        <f t="shared" si="560"/>
        <v>0</v>
      </c>
      <c r="AP262" s="74">
        <f t="shared" si="560"/>
        <v>0</v>
      </c>
      <c r="AQ262" s="74">
        <f t="shared" si="560"/>
        <v>0</v>
      </c>
      <c r="AR262" s="74">
        <f t="shared" si="560"/>
        <v>0</v>
      </c>
      <c r="AS262" s="74">
        <f t="shared" si="560"/>
        <v>0</v>
      </c>
      <c r="AT262" s="74">
        <f t="shared" si="560"/>
        <v>0</v>
      </c>
      <c r="AU262" s="74">
        <f t="shared" si="560"/>
        <v>0</v>
      </c>
      <c r="AV262" s="74">
        <f t="shared" si="560"/>
        <v>0</v>
      </c>
      <c r="AW262" s="74">
        <f t="shared" si="560"/>
        <v>2000</v>
      </c>
      <c r="AX262" s="74">
        <f t="shared" si="560"/>
        <v>0</v>
      </c>
      <c r="AY262" s="74">
        <f t="shared" si="560"/>
        <v>2000</v>
      </c>
      <c r="AZ262" s="74">
        <f t="shared" si="560"/>
        <v>2000</v>
      </c>
      <c r="BA262" s="75">
        <f t="shared" si="560"/>
        <v>0</v>
      </c>
      <c r="BB262" s="75">
        <f t="shared" si="560"/>
        <v>0</v>
      </c>
      <c r="BC262" s="75">
        <f t="shared" si="560"/>
        <v>0</v>
      </c>
      <c r="BD262" s="75">
        <f t="shared" si="560"/>
        <v>0</v>
      </c>
      <c r="BE262" s="75">
        <f t="shared" si="560"/>
        <v>0</v>
      </c>
      <c r="BF262" s="75">
        <f t="shared" si="560"/>
        <v>0</v>
      </c>
      <c r="BG262" s="75">
        <f t="shared" si="560"/>
        <v>0</v>
      </c>
      <c r="BH262" s="75">
        <f t="shared" si="560"/>
        <v>0</v>
      </c>
      <c r="BI262" s="75">
        <f t="shared" si="560"/>
        <v>0</v>
      </c>
      <c r="BJ262" s="75">
        <f t="shared" si="560"/>
        <v>0</v>
      </c>
      <c r="BK262" s="75">
        <f t="shared" si="560"/>
        <v>0</v>
      </c>
      <c r="BL262" s="75">
        <f t="shared" si="560"/>
        <v>0</v>
      </c>
      <c r="BM262" s="76">
        <f t="shared" si="560"/>
        <v>0</v>
      </c>
      <c r="BN262" s="549">
        <f t="shared" si="560"/>
        <v>8424210</v>
      </c>
      <c r="BO262" s="74">
        <f t="shared" si="560"/>
        <v>6226870</v>
      </c>
      <c r="BP262" s="74">
        <f t="shared" si="560"/>
        <v>5229770</v>
      </c>
      <c r="BQ262" s="74">
        <f t="shared" si="560"/>
        <v>997100</v>
      </c>
      <c r="BR262" s="74">
        <f t="shared" si="560"/>
        <v>0</v>
      </c>
      <c r="BS262" s="74">
        <f t="shared" si="560"/>
        <v>0</v>
      </c>
      <c r="BT262" s="74">
        <f t="shared" si="560"/>
        <v>0</v>
      </c>
      <c r="BU262" s="74">
        <f t="shared" si="560"/>
        <v>2104683</v>
      </c>
      <c r="BV262" s="74">
        <f t="shared" ref="BV262:CF262" si="561">SUM(BV259:BV261)</f>
        <v>62269</v>
      </c>
      <c r="BW262" s="74">
        <f t="shared" si="561"/>
        <v>30388</v>
      </c>
      <c r="BX262" s="75">
        <f t="shared" si="561"/>
        <v>11.631599999999999</v>
      </c>
      <c r="BY262" s="75">
        <f t="shared" si="561"/>
        <v>8.4514999999999993</v>
      </c>
      <c r="BZ262" s="753">
        <f t="shared" si="561"/>
        <v>3.1800999999999999</v>
      </c>
      <c r="CA262" s="796">
        <f t="shared" si="561"/>
        <v>0</v>
      </c>
      <c r="CB262" s="789">
        <f t="shared" si="561"/>
        <v>0</v>
      </c>
      <c r="CC262" s="789">
        <f t="shared" si="561"/>
        <v>0</v>
      </c>
      <c r="CD262" s="789">
        <f t="shared" si="561"/>
        <v>0</v>
      </c>
      <c r="CE262" s="789">
        <f t="shared" si="561"/>
        <v>0</v>
      </c>
      <c r="CF262" s="793">
        <f t="shared" si="561"/>
        <v>0</v>
      </c>
    </row>
    <row r="263" spans="1:84" ht="11.25" customHeight="1" x14ac:dyDescent="0.2">
      <c r="A263" s="66">
        <v>54</v>
      </c>
      <c r="B263" s="63">
        <v>2434</v>
      </c>
      <c r="C263" s="64">
        <v>600079317</v>
      </c>
      <c r="D263" s="63">
        <v>46746480</v>
      </c>
      <c r="E263" s="65" t="s">
        <v>644</v>
      </c>
      <c r="F263" s="66">
        <v>3111</v>
      </c>
      <c r="G263" s="65" t="s">
        <v>291</v>
      </c>
      <c r="H263" s="67" t="s">
        <v>271</v>
      </c>
      <c r="I263" s="423">
        <f t="shared" si="433"/>
        <v>14179075</v>
      </c>
      <c r="J263" s="418">
        <f t="shared" si="434"/>
        <v>10482750</v>
      </c>
      <c r="K263" s="418">
        <v>9381107</v>
      </c>
      <c r="L263" s="418">
        <v>1101643</v>
      </c>
      <c r="M263" s="418">
        <f>N263+O263</f>
        <v>0</v>
      </c>
      <c r="N263" s="418">
        <v>0</v>
      </c>
      <c r="O263" s="418">
        <v>0</v>
      </c>
      <c r="P263" s="668">
        <f t="shared" si="470"/>
        <v>3543170</v>
      </c>
      <c r="Q263" s="668">
        <f t="shared" si="471"/>
        <v>104828</v>
      </c>
      <c r="R263" s="418">
        <v>48327</v>
      </c>
      <c r="S263" s="419">
        <f t="shared" si="472"/>
        <v>19.840399999999999</v>
      </c>
      <c r="T263" s="419">
        <v>16</v>
      </c>
      <c r="U263" s="426">
        <v>3.8403999999999998</v>
      </c>
      <c r="V263" s="428">
        <f t="shared" si="439"/>
        <v>0</v>
      </c>
      <c r="W263" s="421">
        <f t="shared" si="440"/>
        <v>0</v>
      </c>
      <c r="X263" s="421">
        <v>0</v>
      </c>
      <c r="Y263" s="421">
        <v>0</v>
      </c>
      <c r="Z263" s="421">
        <v>0</v>
      </c>
      <c r="AA263" s="421">
        <v>0</v>
      </c>
      <c r="AB263" s="421">
        <v>0</v>
      </c>
      <c r="AC263" s="421">
        <v>0</v>
      </c>
      <c r="AD263" s="421">
        <v>0</v>
      </c>
      <c r="AE263" s="421">
        <v>0</v>
      </c>
      <c r="AF263" s="421">
        <f t="shared" si="441"/>
        <v>0</v>
      </c>
      <c r="AG263" s="421">
        <f t="shared" si="442"/>
        <v>0</v>
      </c>
      <c r="AH263" s="421">
        <f t="shared" si="443"/>
        <v>0</v>
      </c>
      <c r="AI263" s="421">
        <v>0</v>
      </c>
      <c r="AJ263" s="421">
        <v>0</v>
      </c>
      <c r="AK263" s="421">
        <v>0</v>
      </c>
      <c r="AL263" s="421">
        <v>0</v>
      </c>
      <c r="AM263" s="421">
        <v>0</v>
      </c>
      <c r="AN263" s="421">
        <v>0</v>
      </c>
      <c r="AO263" s="421">
        <f t="shared" si="444"/>
        <v>0</v>
      </c>
      <c r="AP263" s="421">
        <f t="shared" si="445"/>
        <v>0</v>
      </c>
      <c r="AQ263" s="421">
        <f t="shared" si="446"/>
        <v>0</v>
      </c>
      <c r="AR263" s="421">
        <f t="shared" ref="AR263:AS265" si="562">AF263+AO263</f>
        <v>0</v>
      </c>
      <c r="AS263" s="421">
        <f t="shared" si="562"/>
        <v>0</v>
      </c>
      <c r="AT263" s="421">
        <f t="shared" si="447"/>
        <v>0</v>
      </c>
      <c r="AU263" s="68">
        <f t="shared" ref="AU263:AU265" si="563">ROUND((AH263+AI263+AJ263+AK263+AL263)*33.8%,0)</f>
        <v>0</v>
      </c>
      <c r="AV263" s="68">
        <f>ROUND(AH263*1%,0)</f>
        <v>0</v>
      </c>
      <c r="AW263" s="421">
        <v>0</v>
      </c>
      <c r="AX263" s="421">
        <v>0</v>
      </c>
      <c r="AY263" s="421">
        <f t="shared" si="448"/>
        <v>0</v>
      </c>
      <c r="AZ263" s="421">
        <f t="shared" si="449"/>
        <v>0</v>
      </c>
      <c r="BA263" s="422">
        <v>0</v>
      </c>
      <c r="BB263" s="422">
        <v>0</v>
      </c>
      <c r="BC263" s="422">
        <v>0</v>
      </c>
      <c r="BD263" s="422">
        <v>0</v>
      </c>
      <c r="BE263" s="422">
        <v>0</v>
      </c>
      <c r="BF263" s="422">
        <v>0</v>
      </c>
      <c r="BG263" s="422">
        <v>0</v>
      </c>
      <c r="BH263" s="422">
        <v>0</v>
      </c>
      <c r="BI263" s="422">
        <v>0</v>
      </c>
      <c r="BJ263" s="422">
        <v>0</v>
      </c>
      <c r="BK263" s="422">
        <f>BA263+BC263+BD263+BF263+BH263+BI263</f>
        <v>0</v>
      </c>
      <c r="BL263" s="422">
        <f>BB263+BE263+BG263+BJ263</f>
        <v>0</v>
      </c>
      <c r="BM263" s="424">
        <f t="shared" si="450"/>
        <v>0</v>
      </c>
      <c r="BN263" s="427">
        <f>I263+AZ263</f>
        <v>14179075</v>
      </c>
      <c r="BO263" s="421">
        <f>J263+AH263</f>
        <v>10482750</v>
      </c>
      <c r="BP263" s="421">
        <f t="shared" ref="BP263:BQ265" si="564">K263+AF263</f>
        <v>9381107</v>
      </c>
      <c r="BQ263" s="421">
        <f t="shared" si="564"/>
        <v>1101643</v>
      </c>
      <c r="BR263" s="421">
        <f>M263+AQ263</f>
        <v>0</v>
      </c>
      <c r="BS263" s="421">
        <f t="shared" ref="BS263:BT265" si="565">N263+AO263</f>
        <v>0</v>
      </c>
      <c r="BT263" s="421">
        <f t="shared" si="565"/>
        <v>0</v>
      </c>
      <c r="BU263" s="421">
        <f t="shared" ref="BU263:BV265" si="566">P263+AU263</f>
        <v>3543170</v>
      </c>
      <c r="BV263" s="421">
        <f t="shared" si="566"/>
        <v>104828</v>
      </c>
      <c r="BW263" s="421">
        <f>R263+AY263</f>
        <v>48327</v>
      </c>
      <c r="BX263" s="422">
        <f>S263+BM263</f>
        <v>19.840399999999999</v>
      </c>
      <c r="BY263" s="422">
        <f t="shared" ref="BY263:BZ265" si="567">T263+BK263</f>
        <v>16</v>
      </c>
      <c r="BZ263" s="611">
        <f t="shared" si="567"/>
        <v>3.8403999999999998</v>
      </c>
      <c r="CA263" s="423"/>
      <c r="CB263" s="418"/>
      <c r="CC263" s="418"/>
      <c r="CD263" s="418"/>
      <c r="CE263" s="418"/>
      <c r="CF263" s="527"/>
    </row>
    <row r="264" spans="1:84" ht="14.1" customHeight="1" x14ac:dyDescent="0.2">
      <c r="A264" s="66">
        <v>54</v>
      </c>
      <c r="B264" s="63">
        <v>2434</v>
      </c>
      <c r="C264" s="64">
        <v>600079317</v>
      </c>
      <c r="D264" s="63">
        <v>46746480</v>
      </c>
      <c r="E264" s="65" t="s">
        <v>644</v>
      </c>
      <c r="F264" s="66">
        <v>3111</v>
      </c>
      <c r="G264" s="77" t="s">
        <v>292</v>
      </c>
      <c r="H264" s="67" t="s">
        <v>272</v>
      </c>
      <c r="I264" s="423">
        <f t="shared" si="433"/>
        <v>0</v>
      </c>
      <c r="J264" s="418">
        <f t="shared" si="434"/>
        <v>0</v>
      </c>
      <c r="K264" s="418">
        <v>0</v>
      </c>
      <c r="L264" s="418">
        <v>0</v>
      </c>
      <c r="M264" s="418">
        <f t="shared" si="469"/>
        <v>0</v>
      </c>
      <c r="N264" s="418">
        <v>0</v>
      </c>
      <c r="O264" s="418">
        <v>0</v>
      </c>
      <c r="P264" s="668">
        <f t="shared" si="470"/>
        <v>0</v>
      </c>
      <c r="Q264" s="668">
        <f t="shared" si="471"/>
        <v>0</v>
      </c>
      <c r="R264" s="418">
        <v>0</v>
      </c>
      <c r="S264" s="419">
        <f t="shared" si="472"/>
        <v>0</v>
      </c>
      <c r="T264" s="420">
        <v>0</v>
      </c>
      <c r="U264" s="426">
        <v>0</v>
      </c>
      <c r="V264" s="428">
        <f t="shared" si="439"/>
        <v>0</v>
      </c>
      <c r="W264" s="421">
        <f t="shared" si="440"/>
        <v>0</v>
      </c>
      <c r="X264" s="16">
        <v>803402</v>
      </c>
      <c r="Y264" s="16">
        <v>0</v>
      </c>
      <c r="Z264" s="16">
        <v>0</v>
      </c>
      <c r="AA264" s="16">
        <v>0</v>
      </c>
      <c r="AB264" s="421">
        <v>0</v>
      </c>
      <c r="AC264" s="16">
        <v>0</v>
      </c>
      <c r="AD264" s="16">
        <v>0</v>
      </c>
      <c r="AE264" s="16">
        <v>0</v>
      </c>
      <c r="AF264" s="421">
        <f t="shared" si="441"/>
        <v>803402</v>
      </c>
      <c r="AG264" s="421">
        <f t="shared" si="442"/>
        <v>0</v>
      </c>
      <c r="AH264" s="421">
        <f t="shared" si="443"/>
        <v>803402</v>
      </c>
      <c r="AI264" s="16">
        <v>0</v>
      </c>
      <c r="AJ264" s="16">
        <v>0</v>
      </c>
      <c r="AK264" s="421">
        <v>0</v>
      </c>
      <c r="AL264" s="16">
        <v>0</v>
      </c>
      <c r="AM264" s="16">
        <v>0</v>
      </c>
      <c r="AN264" s="16">
        <v>0</v>
      </c>
      <c r="AO264" s="421">
        <f t="shared" si="444"/>
        <v>0</v>
      </c>
      <c r="AP264" s="16">
        <v>0</v>
      </c>
      <c r="AQ264" s="421">
        <f t="shared" si="446"/>
        <v>0</v>
      </c>
      <c r="AR264" s="421">
        <f t="shared" si="562"/>
        <v>803402</v>
      </c>
      <c r="AS264" s="421">
        <f t="shared" si="562"/>
        <v>0</v>
      </c>
      <c r="AT264" s="421">
        <f t="shared" si="447"/>
        <v>803402</v>
      </c>
      <c r="AU264" s="68">
        <f t="shared" si="563"/>
        <v>271550</v>
      </c>
      <c r="AV264" s="68">
        <f>ROUND(AH264*1%,0)</f>
        <v>8034</v>
      </c>
      <c r="AW264" s="16">
        <v>0</v>
      </c>
      <c r="AX264" s="16">
        <v>0</v>
      </c>
      <c r="AY264" s="421">
        <f t="shared" si="448"/>
        <v>0</v>
      </c>
      <c r="AZ264" s="421">
        <f t="shared" si="449"/>
        <v>1082986</v>
      </c>
      <c r="BA264" s="13">
        <v>0</v>
      </c>
      <c r="BB264" s="13">
        <v>0</v>
      </c>
      <c r="BC264" s="13">
        <v>2.17</v>
      </c>
      <c r="BD264" s="422">
        <v>0</v>
      </c>
      <c r="BE264" s="422">
        <v>0</v>
      </c>
      <c r="BF264" s="422">
        <v>0</v>
      </c>
      <c r="BG264" s="422">
        <v>0</v>
      </c>
      <c r="BH264" s="422">
        <v>0</v>
      </c>
      <c r="BI264" s="422">
        <v>0</v>
      </c>
      <c r="BJ264" s="422">
        <v>0</v>
      </c>
      <c r="BK264" s="422">
        <f>BA264+BC264+BD264+BF264+BH264+BI264</f>
        <v>2.17</v>
      </c>
      <c r="BL264" s="422">
        <f>BB264+BE264+BG264+BJ264</f>
        <v>0</v>
      </c>
      <c r="BM264" s="424">
        <f t="shared" si="450"/>
        <v>2.17</v>
      </c>
      <c r="BN264" s="427">
        <f>I264+AZ264</f>
        <v>1082986</v>
      </c>
      <c r="BO264" s="421">
        <f>J264+AH264</f>
        <v>803402</v>
      </c>
      <c r="BP264" s="421">
        <f t="shared" si="564"/>
        <v>803402</v>
      </c>
      <c r="BQ264" s="421">
        <f t="shared" si="564"/>
        <v>0</v>
      </c>
      <c r="BR264" s="421">
        <f>M264+AQ264</f>
        <v>0</v>
      </c>
      <c r="BS264" s="421">
        <f t="shared" si="565"/>
        <v>0</v>
      </c>
      <c r="BT264" s="421">
        <f t="shared" si="565"/>
        <v>0</v>
      </c>
      <c r="BU264" s="421">
        <f t="shared" si="566"/>
        <v>271550</v>
      </c>
      <c r="BV264" s="421">
        <f t="shared" si="566"/>
        <v>8034</v>
      </c>
      <c r="BW264" s="421">
        <f>R264+AY264</f>
        <v>0</v>
      </c>
      <c r="BX264" s="422">
        <f>S264+BM264</f>
        <v>2.17</v>
      </c>
      <c r="BY264" s="422">
        <f t="shared" si="567"/>
        <v>2.17</v>
      </c>
      <c r="BZ264" s="611">
        <f t="shared" si="567"/>
        <v>0</v>
      </c>
      <c r="CA264" s="423"/>
      <c r="CB264" s="418"/>
      <c r="CC264" s="418"/>
      <c r="CD264" s="418"/>
      <c r="CE264" s="418"/>
      <c r="CF264" s="527"/>
    </row>
    <row r="265" spans="1:84" ht="14.1" customHeight="1" x14ac:dyDescent="0.2">
      <c r="A265" s="66">
        <v>54</v>
      </c>
      <c r="B265" s="63">
        <v>2434</v>
      </c>
      <c r="C265" s="64">
        <v>600079317</v>
      </c>
      <c r="D265" s="63">
        <v>46746480</v>
      </c>
      <c r="E265" s="65" t="s">
        <v>644</v>
      </c>
      <c r="F265" s="66">
        <v>3141</v>
      </c>
      <c r="G265" s="65" t="s">
        <v>295</v>
      </c>
      <c r="H265" s="67" t="s">
        <v>272</v>
      </c>
      <c r="I265" s="423">
        <f t="shared" si="433"/>
        <v>1429279</v>
      </c>
      <c r="J265" s="418">
        <f t="shared" si="434"/>
        <v>1056031</v>
      </c>
      <c r="K265" s="418">
        <v>0</v>
      </c>
      <c r="L265" s="924">
        <v>1056031</v>
      </c>
      <c r="M265" s="418">
        <f>N265+O265</f>
        <v>0</v>
      </c>
      <c r="N265" s="205">
        <v>0</v>
      </c>
      <c r="O265" s="205">
        <v>0</v>
      </c>
      <c r="P265" s="668">
        <f t="shared" si="470"/>
        <v>356938</v>
      </c>
      <c r="Q265" s="668">
        <f t="shared" si="471"/>
        <v>10560</v>
      </c>
      <c r="R265" s="674">
        <v>5750</v>
      </c>
      <c r="S265" s="419">
        <f>T265+U265</f>
        <v>3.1666999999999996</v>
      </c>
      <c r="T265" s="676">
        <v>0</v>
      </c>
      <c r="U265" s="909">
        <v>3.1666999999999996</v>
      </c>
      <c r="V265" s="428">
        <f t="shared" si="439"/>
        <v>0</v>
      </c>
      <c r="W265" s="421">
        <f t="shared" si="440"/>
        <v>0</v>
      </c>
      <c r="X265" s="421">
        <v>0</v>
      </c>
      <c r="Y265" s="421">
        <v>0</v>
      </c>
      <c r="Z265" s="421">
        <v>0</v>
      </c>
      <c r="AA265" s="421">
        <v>0</v>
      </c>
      <c r="AB265" s="421">
        <v>0</v>
      </c>
      <c r="AC265" s="421">
        <v>0</v>
      </c>
      <c r="AD265" s="421">
        <v>0</v>
      </c>
      <c r="AE265" s="421">
        <v>0</v>
      </c>
      <c r="AF265" s="421">
        <f t="shared" si="441"/>
        <v>0</v>
      </c>
      <c r="AG265" s="421">
        <f t="shared" si="442"/>
        <v>0</v>
      </c>
      <c r="AH265" s="421">
        <f t="shared" si="443"/>
        <v>0</v>
      </c>
      <c r="AI265" s="421">
        <v>0</v>
      </c>
      <c r="AJ265" s="421">
        <v>0</v>
      </c>
      <c r="AK265" s="421">
        <v>0</v>
      </c>
      <c r="AL265" s="421">
        <v>0</v>
      </c>
      <c r="AM265" s="421">
        <v>0</v>
      </c>
      <c r="AN265" s="421">
        <v>0</v>
      </c>
      <c r="AO265" s="421">
        <f t="shared" si="444"/>
        <v>0</v>
      </c>
      <c r="AP265" s="421">
        <f t="shared" si="445"/>
        <v>0</v>
      </c>
      <c r="AQ265" s="421">
        <f t="shared" si="446"/>
        <v>0</v>
      </c>
      <c r="AR265" s="421">
        <f t="shared" si="562"/>
        <v>0</v>
      </c>
      <c r="AS265" s="421">
        <f t="shared" si="562"/>
        <v>0</v>
      </c>
      <c r="AT265" s="421">
        <f t="shared" si="447"/>
        <v>0</v>
      </c>
      <c r="AU265" s="68">
        <f t="shared" si="563"/>
        <v>0</v>
      </c>
      <c r="AV265" s="68">
        <f>ROUND(AH265*1%,0)</f>
        <v>0</v>
      </c>
      <c r="AW265" s="421">
        <v>0</v>
      </c>
      <c r="AX265" s="421">
        <v>0</v>
      </c>
      <c r="AY265" s="421">
        <f t="shared" si="448"/>
        <v>0</v>
      </c>
      <c r="AZ265" s="421">
        <f t="shared" si="449"/>
        <v>0</v>
      </c>
      <c r="BA265" s="422">
        <v>0</v>
      </c>
      <c r="BB265" s="422">
        <v>0</v>
      </c>
      <c r="BC265" s="422">
        <v>0</v>
      </c>
      <c r="BD265" s="422">
        <v>0</v>
      </c>
      <c r="BE265" s="422">
        <v>0</v>
      </c>
      <c r="BF265" s="422">
        <v>0</v>
      </c>
      <c r="BG265" s="422">
        <v>0</v>
      </c>
      <c r="BH265" s="422">
        <v>0</v>
      </c>
      <c r="BI265" s="422">
        <v>0</v>
      </c>
      <c r="BJ265" s="422">
        <v>0</v>
      </c>
      <c r="BK265" s="422">
        <f>BA265+BC265+BD265+BF265+BH265+BI265</f>
        <v>0</v>
      </c>
      <c r="BL265" s="422">
        <f>BB265+BE265+BG265+BJ265</f>
        <v>0</v>
      </c>
      <c r="BM265" s="424">
        <f t="shared" si="450"/>
        <v>0</v>
      </c>
      <c r="BN265" s="427">
        <f>I265+AZ265</f>
        <v>1429279</v>
      </c>
      <c r="BO265" s="421">
        <f>J265+AH265</f>
        <v>1056031</v>
      </c>
      <c r="BP265" s="421">
        <f t="shared" si="564"/>
        <v>0</v>
      </c>
      <c r="BQ265" s="421">
        <f t="shared" si="564"/>
        <v>1056031</v>
      </c>
      <c r="BR265" s="421">
        <f>M265+AQ265</f>
        <v>0</v>
      </c>
      <c r="BS265" s="421">
        <f t="shared" si="565"/>
        <v>0</v>
      </c>
      <c r="BT265" s="421">
        <f t="shared" si="565"/>
        <v>0</v>
      </c>
      <c r="BU265" s="421">
        <f t="shared" si="566"/>
        <v>356938</v>
      </c>
      <c r="BV265" s="421">
        <f t="shared" si="566"/>
        <v>10560</v>
      </c>
      <c r="BW265" s="421">
        <f>R265+AY265</f>
        <v>5750</v>
      </c>
      <c r="BX265" s="422">
        <f>S265+BM265</f>
        <v>3.1666999999999996</v>
      </c>
      <c r="BY265" s="422">
        <f t="shared" si="567"/>
        <v>0</v>
      </c>
      <c r="BZ265" s="611">
        <f t="shared" si="567"/>
        <v>3.1666999999999996</v>
      </c>
      <c r="CA265" s="423"/>
      <c r="CB265" s="418"/>
      <c r="CC265" s="418"/>
      <c r="CD265" s="418"/>
      <c r="CE265" s="418"/>
      <c r="CF265" s="527"/>
    </row>
    <row r="266" spans="1:84" ht="14.1" customHeight="1" x14ac:dyDescent="0.2">
      <c r="A266" s="72">
        <v>54</v>
      </c>
      <c r="B266" s="69">
        <v>2434</v>
      </c>
      <c r="C266" s="70">
        <v>600079317</v>
      </c>
      <c r="D266" s="69">
        <v>46746480</v>
      </c>
      <c r="E266" s="71" t="s">
        <v>645</v>
      </c>
      <c r="F266" s="72"/>
      <c r="G266" s="71"/>
      <c r="H266" s="73"/>
      <c r="I266" s="538">
        <f t="shared" ref="I266:BU266" si="568">SUM(I263:I265)</f>
        <v>15608354</v>
      </c>
      <c r="J266" s="74">
        <f t="shared" si="568"/>
        <v>11538781</v>
      </c>
      <c r="K266" s="74">
        <f t="shared" si="568"/>
        <v>9381107</v>
      </c>
      <c r="L266" s="74">
        <f t="shared" si="568"/>
        <v>2157674</v>
      </c>
      <c r="M266" s="74">
        <f t="shared" si="568"/>
        <v>0</v>
      </c>
      <c r="N266" s="74">
        <f t="shared" si="568"/>
        <v>0</v>
      </c>
      <c r="O266" s="74">
        <f t="shared" si="568"/>
        <v>0</v>
      </c>
      <c r="P266" s="74">
        <f t="shared" si="568"/>
        <v>3900108</v>
      </c>
      <c r="Q266" s="74">
        <f t="shared" si="568"/>
        <v>115388</v>
      </c>
      <c r="R266" s="74">
        <f t="shared" si="568"/>
        <v>54077</v>
      </c>
      <c r="S266" s="75">
        <f t="shared" si="568"/>
        <v>23.007099999999998</v>
      </c>
      <c r="T266" s="75">
        <f t="shared" si="568"/>
        <v>16</v>
      </c>
      <c r="U266" s="753">
        <f t="shared" si="568"/>
        <v>7.0070999999999994</v>
      </c>
      <c r="V266" s="538">
        <f t="shared" si="568"/>
        <v>0</v>
      </c>
      <c r="W266" s="74">
        <f t="shared" si="568"/>
        <v>0</v>
      </c>
      <c r="X266" s="74">
        <f t="shared" si="568"/>
        <v>803402</v>
      </c>
      <c r="Y266" s="74">
        <f t="shared" si="568"/>
        <v>0</v>
      </c>
      <c r="Z266" s="74">
        <f t="shared" si="568"/>
        <v>0</v>
      </c>
      <c r="AA266" s="74">
        <f t="shared" si="568"/>
        <v>0</v>
      </c>
      <c r="AB266" s="74">
        <f t="shared" si="568"/>
        <v>0</v>
      </c>
      <c r="AC266" s="74">
        <f t="shared" si="568"/>
        <v>0</v>
      </c>
      <c r="AD266" s="74">
        <f t="shared" si="568"/>
        <v>0</v>
      </c>
      <c r="AE266" s="74">
        <f t="shared" si="568"/>
        <v>0</v>
      </c>
      <c r="AF266" s="74">
        <f t="shared" si="568"/>
        <v>803402</v>
      </c>
      <c r="AG266" s="74">
        <f t="shared" si="568"/>
        <v>0</v>
      </c>
      <c r="AH266" s="74">
        <f t="shared" si="568"/>
        <v>803402</v>
      </c>
      <c r="AI266" s="74">
        <f t="shared" si="568"/>
        <v>0</v>
      </c>
      <c r="AJ266" s="74">
        <f t="shared" si="568"/>
        <v>0</v>
      </c>
      <c r="AK266" s="74">
        <f t="shared" si="568"/>
        <v>0</v>
      </c>
      <c r="AL266" s="74">
        <f t="shared" si="568"/>
        <v>0</v>
      </c>
      <c r="AM266" s="74">
        <f t="shared" si="568"/>
        <v>0</v>
      </c>
      <c r="AN266" s="74">
        <f t="shared" si="568"/>
        <v>0</v>
      </c>
      <c r="AO266" s="74">
        <f t="shared" si="568"/>
        <v>0</v>
      </c>
      <c r="AP266" s="74">
        <f t="shared" si="568"/>
        <v>0</v>
      </c>
      <c r="AQ266" s="74">
        <f t="shared" si="568"/>
        <v>0</v>
      </c>
      <c r="AR266" s="74">
        <f t="shared" si="568"/>
        <v>803402</v>
      </c>
      <c r="AS266" s="74">
        <f t="shared" si="568"/>
        <v>0</v>
      </c>
      <c r="AT266" s="74">
        <f t="shared" si="568"/>
        <v>803402</v>
      </c>
      <c r="AU266" s="74">
        <f t="shared" si="568"/>
        <v>271550</v>
      </c>
      <c r="AV266" s="74">
        <f t="shared" si="568"/>
        <v>8034</v>
      </c>
      <c r="AW266" s="74">
        <f t="shared" si="568"/>
        <v>0</v>
      </c>
      <c r="AX266" s="74">
        <f t="shared" si="568"/>
        <v>0</v>
      </c>
      <c r="AY266" s="74">
        <f t="shared" si="568"/>
        <v>0</v>
      </c>
      <c r="AZ266" s="74">
        <f t="shared" si="568"/>
        <v>1082986</v>
      </c>
      <c r="BA266" s="75">
        <f t="shared" si="568"/>
        <v>0</v>
      </c>
      <c r="BB266" s="75">
        <f t="shared" si="568"/>
        <v>0</v>
      </c>
      <c r="BC266" s="75">
        <f t="shared" si="568"/>
        <v>2.17</v>
      </c>
      <c r="BD266" s="75">
        <f t="shared" si="568"/>
        <v>0</v>
      </c>
      <c r="BE266" s="75">
        <f t="shared" si="568"/>
        <v>0</v>
      </c>
      <c r="BF266" s="75">
        <f t="shared" si="568"/>
        <v>0</v>
      </c>
      <c r="BG266" s="75">
        <f t="shared" si="568"/>
        <v>0</v>
      </c>
      <c r="BH266" s="75">
        <f t="shared" si="568"/>
        <v>0</v>
      </c>
      <c r="BI266" s="75">
        <f t="shared" si="568"/>
        <v>0</v>
      </c>
      <c r="BJ266" s="75">
        <f t="shared" si="568"/>
        <v>0</v>
      </c>
      <c r="BK266" s="75">
        <f t="shared" si="568"/>
        <v>2.17</v>
      </c>
      <c r="BL266" s="75">
        <f t="shared" si="568"/>
        <v>0</v>
      </c>
      <c r="BM266" s="76">
        <f t="shared" si="568"/>
        <v>2.17</v>
      </c>
      <c r="BN266" s="549">
        <f t="shared" si="568"/>
        <v>16691340</v>
      </c>
      <c r="BO266" s="74">
        <f t="shared" si="568"/>
        <v>12342183</v>
      </c>
      <c r="BP266" s="74">
        <f t="shared" si="568"/>
        <v>10184509</v>
      </c>
      <c r="BQ266" s="74">
        <f t="shared" si="568"/>
        <v>2157674</v>
      </c>
      <c r="BR266" s="74">
        <f t="shared" si="568"/>
        <v>0</v>
      </c>
      <c r="BS266" s="74">
        <f t="shared" si="568"/>
        <v>0</v>
      </c>
      <c r="BT266" s="74">
        <f t="shared" si="568"/>
        <v>0</v>
      </c>
      <c r="BU266" s="74">
        <f t="shared" si="568"/>
        <v>4171658</v>
      </c>
      <c r="BV266" s="74">
        <f t="shared" ref="BV266:CF266" si="569">SUM(BV263:BV265)</f>
        <v>123422</v>
      </c>
      <c r="BW266" s="74">
        <f t="shared" si="569"/>
        <v>54077</v>
      </c>
      <c r="BX266" s="75">
        <f t="shared" si="569"/>
        <v>25.177099999999996</v>
      </c>
      <c r="BY266" s="75">
        <f t="shared" si="569"/>
        <v>18.170000000000002</v>
      </c>
      <c r="BZ266" s="753">
        <f t="shared" si="569"/>
        <v>7.0070999999999994</v>
      </c>
      <c r="CA266" s="796">
        <f t="shared" si="569"/>
        <v>0</v>
      </c>
      <c r="CB266" s="789">
        <f t="shared" si="569"/>
        <v>0</v>
      </c>
      <c r="CC266" s="789">
        <f t="shared" si="569"/>
        <v>0</v>
      </c>
      <c r="CD266" s="789">
        <f t="shared" si="569"/>
        <v>0</v>
      </c>
      <c r="CE266" s="789">
        <f t="shared" si="569"/>
        <v>0</v>
      </c>
      <c r="CF266" s="793">
        <f t="shared" si="569"/>
        <v>0</v>
      </c>
    </row>
    <row r="267" spans="1:84" ht="14.1" customHeight="1" x14ac:dyDescent="0.2">
      <c r="A267" s="66">
        <v>55</v>
      </c>
      <c r="B267" s="63">
        <v>2484</v>
      </c>
      <c r="C267" s="64">
        <v>600079864</v>
      </c>
      <c r="D267" s="63">
        <v>46746145</v>
      </c>
      <c r="E267" s="65" t="s">
        <v>646</v>
      </c>
      <c r="F267" s="66">
        <v>3113</v>
      </c>
      <c r="G267" s="65" t="s">
        <v>294</v>
      </c>
      <c r="H267" s="67" t="s">
        <v>271</v>
      </c>
      <c r="I267" s="423">
        <f t="shared" si="433"/>
        <v>48576141</v>
      </c>
      <c r="J267" s="418">
        <f t="shared" si="434"/>
        <v>35476887</v>
      </c>
      <c r="K267" s="418">
        <v>33200383</v>
      </c>
      <c r="L267" s="418">
        <v>2276504</v>
      </c>
      <c r="M267" s="418">
        <f>N267+O267</f>
        <v>0</v>
      </c>
      <c r="N267" s="418">
        <v>0</v>
      </c>
      <c r="O267" s="418">
        <v>0</v>
      </c>
      <c r="P267" s="668">
        <f t="shared" si="470"/>
        <v>11991188</v>
      </c>
      <c r="Q267" s="668">
        <f t="shared" si="471"/>
        <v>354769</v>
      </c>
      <c r="R267" s="418">
        <v>753297</v>
      </c>
      <c r="S267" s="419">
        <f>T267+U267</f>
        <v>53.546999999999997</v>
      </c>
      <c r="T267" s="419">
        <v>46.581499999999998</v>
      </c>
      <c r="U267" s="426">
        <v>6.9655000000000005</v>
      </c>
      <c r="V267" s="428">
        <f t="shared" si="439"/>
        <v>-64000</v>
      </c>
      <c r="W267" s="421">
        <f t="shared" si="440"/>
        <v>-25600</v>
      </c>
      <c r="X267" s="421">
        <v>0</v>
      </c>
      <c r="Y267" s="421">
        <v>0</v>
      </c>
      <c r="Z267" s="421">
        <v>0</v>
      </c>
      <c r="AA267" s="421">
        <v>0</v>
      </c>
      <c r="AB267" s="421">
        <v>0</v>
      </c>
      <c r="AC267" s="421">
        <v>0</v>
      </c>
      <c r="AD267" s="421">
        <v>0</v>
      </c>
      <c r="AE267" s="421">
        <v>0</v>
      </c>
      <c r="AF267" s="421">
        <f t="shared" si="441"/>
        <v>-64000</v>
      </c>
      <c r="AG267" s="421">
        <f t="shared" si="442"/>
        <v>-25600</v>
      </c>
      <c r="AH267" s="421">
        <f t="shared" si="443"/>
        <v>-89600</v>
      </c>
      <c r="AI267" s="421">
        <v>64000</v>
      </c>
      <c r="AJ267" s="421">
        <v>25600</v>
      </c>
      <c r="AK267" s="421">
        <v>564000</v>
      </c>
      <c r="AL267" s="421">
        <v>0</v>
      </c>
      <c r="AM267" s="421">
        <v>0</v>
      </c>
      <c r="AN267" s="421">
        <v>0</v>
      </c>
      <c r="AO267" s="421">
        <f t="shared" si="444"/>
        <v>628000</v>
      </c>
      <c r="AP267" s="421">
        <f t="shared" si="445"/>
        <v>25600</v>
      </c>
      <c r="AQ267" s="421">
        <f t="shared" si="446"/>
        <v>653600</v>
      </c>
      <c r="AR267" s="421">
        <f t="shared" ref="AR267:AS271" si="570">AF267+AO267</f>
        <v>564000</v>
      </c>
      <c r="AS267" s="421">
        <f t="shared" si="570"/>
        <v>0</v>
      </c>
      <c r="AT267" s="421">
        <f t="shared" si="447"/>
        <v>564000</v>
      </c>
      <c r="AU267" s="68">
        <f t="shared" ref="AU267:AU271" si="571">ROUND((AH267+AI267+AJ267+AK267+AL267)*33.8%,0)</f>
        <v>190632</v>
      </c>
      <c r="AV267" s="68">
        <f>ROUND(AH267*1%,0)</f>
        <v>-896</v>
      </c>
      <c r="AW267" s="421">
        <v>0</v>
      </c>
      <c r="AX267" s="421">
        <v>0</v>
      </c>
      <c r="AY267" s="421">
        <f t="shared" si="448"/>
        <v>0</v>
      </c>
      <c r="AZ267" s="421">
        <f t="shared" si="449"/>
        <v>753736</v>
      </c>
      <c r="BA267" s="422">
        <v>-0.02</v>
      </c>
      <c r="BB267" s="422">
        <v>-0.04</v>
      </c>
      <c r="BC267" s="422">
        <v>0</v>
      </c>
      <c r="BD267" s="422">
        <v>0</v>
      </c>
      <c r="BE267" s="422">
        <v>0</v>
      </c>
      <c r="BF267" s="422">
        <v>0</v>
      </c>
      <c r="BG267" s="422">
        <v>0</v>
      </c>
      <c r="BH267" s="422">
        <v>0</v>
      </c>
      <c r="BI267" s="422">
        <v>0</v>
      </c>
      <c r="BJ267" s="422">
        <v>0</v>
      </c>
      <c r="BK267" s="422">
        <f>BA267+BC267+BD267+BF267+BH267+BI267</f>
        <v>-0.02</v>
      </c>
      <c r="BL267" s="422">
        <f>BB267+BE267+BG267+BJ267</f>
        <v>-0.04</v>
      </c>
      <c r="BM267" s="424">
        <f t="shared" si="450"/>
        <v>-0.06</v>
      </c>
      <c r="BN267" s="427">
        <f>I267+AZ267</f>
        <v>49329877</v>
      </c>
      <c r="BO267" s="421">
        <f>J267+AH267</f>
        <v>35387287</v>
      </c>
      <c r="BP267" s="421">
        <f t="shared" ref="BP267:BQ271" si="572">K267+AF267</f>
        <v>33136383</v>
      </c>
      <c r="BQ267" s="421">
        <f t="shared" si="572"/>
        <v>2250904</v>
      </c>
      <c r="BR267" s="421">
        <f>M267+AQ267</f>
        <v>653600</v>
      </c>
      <c r="BS267" s="421">
        <f t="shared" ref="BS267:BT271" si="573">N267+AO267</f>
        <v>628000</v>
      </c>
      <c r="BT267" s="421">
        <f t="shared" si="573"/>
        <v>25600</v>
      </c>
      <c r="BU267" s="421">
        <f t="shared" ref="BU267:BV271" si="574">P267+AU267</f>
        <v>12181820</v>
      </c>
      <c r="BV267" s="421">
        <f t="shared" si="574"/>
        <v>353873</v>
      </c>
      <c r="BW267" s="421">
        <f>R267+AY267</f>
        <v>753297</v>
      </c>
      <c r="BX267" s="422">
        <f>S267+BM267</f>
        <v>53.486999999999995</v>
      </c>
      <c r="BY267" s="422">
        <f t="shared" ref="BY267:BZ271" si="575">T267+BK267</f>
        <v>46.561499999999995</v>
      </c>
      <c r="BZ267" s="611">
        <f t="shared" si="575"/>
        <v>6.9255000000000004</v>
      </c>
      <c r="CA267" s="423">
        <v>754632</v>
      </c>
      <c r="CB267" s="418">
        <v>0</v>
      </c>
      <c r="CC267" s="418">
        <v>564000</v>
      </c>
      <c r="CD267" s="418">
        <v>190632</v>
      </c>
      <c r="CE267" s="418">
        <v>0</v>
      </c>
      <c r="CF267" s="527">
        <v>0</v>
      </c>
    </row>
    <row r="268" spans="1:84" ht="14.1" customHeight="1" x14ac:dyDescent="0.2">
      <c r="A268" s="66">
        <v>55</v>
      </c>
      <c r="B268" s="63">
        <v>2484</v>
      </c>
      <c r="C268" s="64">
        <v>600079864</v>
      </c>
      <c r="D268" s="63">
        <v>46746145</v>
      </c>
      <c r="E268" s="65" t="s">
        <v>646</v>
      </c>
      <c r="F268" s="66">
        <v>3113</v>
      </c>
      <c r="G268" s="77" t="s">
        <v>292</v>
      </c>
      <c r="H268" s="67" t="s">
        <v>272</v>
      </c>
      <c r="I268" s="423">
        <f t="shared" si="433"/>
        <v>0</v>
      </c>
      <c r="J268" s="418">
        <f t="shared" si="434"/>
        <v>0</v>
      </c>
      <c r="K268" s="418">
        <v>0</v>
      </c>
      <c r="L268" s="418">
        <v>0</v>
      </c>
      <c r="M268" s="418">
        <f t="shared" si="469"/>
        <v>0</v>
      </c>
      <c r="N268" s="418">
        <v>0</v>
      </c>
      <c r="O268" s="418">
        <v>0</v>
      </c>
      <c r="P268" s="668">
        <f t="shared" si="470"/>
        <v>0</v>
      </c>
      <c r="Q268" s="668">
        <f t="shared" si="471"/>
        <v>0</v>
      </c>
      <c r="R268" s="418">
        <v>0</v>
      </c>
      <c r="S268" s="419">
        <f t="shared" si="472"/>
        <v>0</v>
      </c>
      <c r="T268" s="420">
        <v>0</v>
      </c>
      <c r="U268" s="426">
        <v>0</v>
      </c>
      <c r="V268" s="428">
        <f t="shared" si="439"/>
        <v>0</v>
      </c>
      <c r="W268" s="421">
        <f t="shared" si="440"/>
        <v>0</v>
      </c>
      <c r="X268" s="16">
        <v>4459982</v>
      </c>
      <c r="Y268" s="16">
        <v>0</v>
      </c>
      <c r="Z268" s="16">
        <v>0</v>
      </c>
      <c r="AA268" s="16">
        <v>0</v>
      </c>
      <c r="AB268" s="421">
        <v>0</v>
      </c>
      <c r="AC268" s="16">
        <v>0</v>
      </c>
      <c r="AD268" s="16">
        <v>0</v>
      </c>
      <c r="AE268" s="16">
        <v>0</v>
      </c>
      <c r="AF268" s="421">
        <f t="shared" si="441"/>
        <v>4459982</v>
      </c>
      <c r="AG268" s="421">
        <f t="shared" si="442"/>
        <v>0</v>
      </c>
      <c r="AH268" s="421">
        <f t="shared" si="443"/>
        <v>4459982</v>
      </c>
      <c r="AI268" s="16">
        <v>0</v>
      </c>
      <c r="AJ268" s="16">
        <v>0</v>
      </c>
      <c r="AK268" s="421">
        <v>0</v>
      </c>
      <c r="AL268" s="16">
        <v>0</v>
      </c>
      <c r="AM268" s="16">
        <v>0</v>
      </c>
      <c r="AN268" s="16">
        <v>0</v>
      </c>
      <c r="AO268" s="421">
        <f t="shared" si="444"/>
        <v>0</v>
      </c>
      <c r="AP268" s="16">
        <v>0</v>
      </c>
      <c r="AQ268" s="421">
        <f t="shared" si="446"/>
        <v>0</v>
      </c>
      <c r="AR268" s="421">
        <f t="shared" si="570"/>
        <v>4459982</v>
      </c>
      <c r="AS268" s="421">
        <f t="shared" si="570"/>
        <v>0</v>
      </c>
      <c r="AT268" s="421">
        <f t="shared" si="447"/>
        <v>4459982</v>
      </c>
      <c r="AU268" s="68">
        <f t="shared" si="571"/>
        <v>1507474</v>
      </c>
      <c r="AV268" s="68">
        <f>ROUND(AH268*1%,0)</f>
        <v>44600</v>
      </c>
      <c r="AW268" s="16">
        <v>0</v>
      </c>
      <c r="AX268" s="16">
        <v>0</v>
      </c>
      <c r="AY268" s="421">
        <f t="shared" si="448"/>
        <v>0</v>
      </c>
      <c r="AZ268" s="421">
        <f t="shared" si="449"/>
        <v>6012056</v>
      </c>
      <c r="BA268" s="13">
        <v>0</v>
      </c>
      <c r="BB268" s="13">
        <v>0</v>
      </c>
      <c r="BC268" s="13">
        <v>11.68</v>
      </c>
      <c r="BD268" s="422">
        <v>0</v>
      </c>
      <c r="BE268" s="422">
        <v>0</v>
      </c>
      <c r="BF268" s="422">
        <v>0</v>
      </c>
      <c r="BG268" s="422">
        <v>0</v>
      </c>
      <c r="BH268" s="422">
        <v>0</v>
      </c>
      <c r="BI268" s="422">
        <v>0</v>
      </c>
      <c r="BJ268" s="422">
        <v>0</v>
      </c>
      <c r="BK268" s="422">
        <f>BA268+BC268+BD268+BF268+BH268+BI268</f>
        <v>11.68</v>
      </c>
      <c r="BL268" s="422">
        <f>BB268+BE268+BG268+BJ268</f>
        <v>0</v>
      </c>
      <c r="BM268" s="424">
        <f t="shared" si="450"/>
        <v>11.68</v>
      </c>
      <c r="BN268" s="427">
        <f>I268+AZ268</f>
        <v>6012056</v>
      </c>
      <c r="BO268" s="421">
        <f>J268+AH268</f>
        <v>4459982</v>
      </c>
      <c r="BP268" s="421">
        <f t="shared" si="572"/>
        <v>4459982</v>
      </c>
      <c r="BQ268" s="421">
        <f t="shared" si="572"/>
        <v>0</v>
      </c>
      <c r="BR268" s="421">
        <f>M268+AQ268</f>
        <v>0</v>
      </c>
      <c r="BS268" s="421">
        <f t="shared" si="573"/>
        <v>0</v>
      </c>
      <c r="BT268" s="421">
        <f t="shared" si="573"/>
        <v>0</v>
      </c>
      <c r="BU268" s="421">
        <f t="shared" si="574"/>
        <v>1507474</v>
      </c>
      <c r="BV268" s="421">
        <f t="shared" si="574"/>
        <v>44600</v>
      </c>
      <c r="BW268" s="421">
        <f>R268+AY268</f>
        <v>0</v>
      </c>
      <c r="BX268" s="422">
        <f>S268+BM268</f>
        <v>11.68</v>
      </c>
      <c r="BY268" s="422">
        <f t="shared" si="575"/>
        <v>11.68</v>
      </c>
      <c r="BZ268" s="611">
        <f t="shared" si="575"/>
        <v>0</v>
      </c>
      <c r="CA268" s="423"/>
      <c r="CB268" s="418"/>
      <c r="CC268" s="418"/>
      <c r="CD268" s="418"/>
      <c r="CE268" s="418"/>
      <c r="CF268" s="527"/>
    </row>
    <row r="269" spans="1:84" ht="14.1" customHeight="1" x14ac:dyDescent="0.2">
      <c r="A269" s="66">
        <v>55</v>
      </c>
      <c r="B269" s="63">
        <v>2484</v>
      </c>
      <c r="C269" s="64">
        <v>600079864</v>
      </c>
      <c r="D269" s="63">
        <v>46746145</v>
      </c>
      <c r="E269" s="65" t="s">
        <v>646</v>
      </c>
      <c r="F269" s="66">
        <v>3141</v>
      </c>
      <c r="G269" s="65" t="s">
        <v>295</v>
      </c>
      <c r="H269" s="67" t="s">
        <v>272</v>
      </c>
      <c r="I269" s="423">
        <f t="shared" ref="I269:I331" si="576">J269+M269+P269+Q269+R269</f>
        <v>2627089</v>
      </c>
      <c r="J269" s="418">
        <f t="shared" ref="J269:J331" si="577">K269+L269</f>
        <v>1931950</v>
      </c>
      <c r="K269" s="418">
        <v>0</v>
      </c>
      <c r="L269" s="924">
        <v>1931950</v>
      </c>
      <c r="M269" s="418">
        <f>N269+O269</f>
        <v>0</v>
      </c>
      <c r="N269" s="205">
        <v>0</v>
      </c>
      <c r="O269" s="205">
        <v>0</v>
      </c>
      <c r="P269" s="668">
        <f t="shared" ref="P269" si="578">ROUND(J269*33.8%,0)</f>
        <v>652999</v>
      </c>
      <c r="Q269" s="668">
        <f t="shared" ref="Q269" si="579">ROUND(J269*1%,0)</f>
        <v>19320</v>
      </c>
      <c r="R269" s="674">
        <v>22820</v>
      </c>
      <c r="S269" s="419">
        <f>T269+U269</f>
        <v>5.7933000000000003</v>
      </c>
      <c r="T269" s="676">
        <v>0</v>
      </c>
      <c r="U269" s="909">
        <v>5.7933000000000003</v>
      </c>
      <c r="V269" s="428">
        <f t="shared" ref="V269:V331" si="580">AI269*-1</f>
        <v>0</v>
      </c>
      <c r="W269" s="421">
        <f t="shared" ref="W269:W331" si="581">AJ269*-1</f>
        <v>-44800</v>
      </c>
      <c r="X269" s="421">
        <v>0</v>
      </c>
      <c r="Y269" s="421">
        <v>0</v>
      </c>
      <c r="Z269" s="421">
        <v>0</v>
      </c>
      <c r="AA269" s="421">
        <v>0</v>
      </c>
      <c r="AB269" s="421">
        <v>0</v>
      </c>
      <c r="AC269" s="421">
        <v>0</v>
      </c>
      <c r="AD269" s="421">
        <v>0</v>
      </c>
      <c r="AE269" s="421">
        <v>0</v>
      </c>
      <c r="AF269" s="421">
        <f t="shared" ref="AF269:AF331" si="582">V269+X269+Y269+AA269+AB269+AD269</f>
        <v>0</v>
      </c>
      <c r="AG269" s="421">
        <f t="shared" ref="AG269:AG331" si="583">W269+Z269+AC269+AE269</f>
        <v>-44800</v>
      </c>
      <c r="AH269" s="421">
        <f t="shared" ref="AH269:AH331" si="584">SUM(AF269:AG269)</f>
        <v>-44800</v>
      </c>
      <c r="AI269" s="421">
        <v>0</v>
      </c>
      <c r="AJ269" s="421">
        <v>44800</v>
      </c>
      <c r="AK269" s="421">
        <v>0</v>
      </c>
      <c r="AL269" s="421">
        <v>0</v>
      </c>
      <c r="AM269" s="421">
        <v>0</v>
      </c>
      <c r="AN269" s="421">
        <v>0</v>
      </c>
      <c r="AO269" s="421">
        <f t="shared" ref="AO269:AO331" si="585">AI269+AL269+AK269+AM269</f>
        <v>0</v>
      </c>
      <c r="AP269" s="421">
        <f t="shared" ref="AP269:AP331" si="586">AJ269+AN269</f>
        <v>44800</v>
      </c>
      <c r="AQ269" s="421">
        <f t="shared" ref="AQ269:AQ331" si="587">SUM(AO269:AP269)</f>
        <v>44800</v>
      </c>
      <c r="AR269" s="421">
        <f t="shared" si="570"/>
        <v>0</v>
      </c>
      <c r="AS269" s="421">
        <f t="shared" si="570"/>
        <v>0</v>
      </c>
      <c r="AT269" s="421">
        <f t="shared" ref="AT269:AT331" si="588">SUM(AR269:AS269)</f>
        <v>0</v>
      </c>
      <c r="AU269" s="68">
        <f t="shared" si="571"/>
        <v>0</v>
      </c>
      <c r="AV269" s="68">
        <f>ROUND(AH269*1%,0)</f>
        <v>-448</v>
      </c>
      <c r="AW269" s="421">
        <v>0</v>
      </c>
      <c r="AX269" s="421">
        <v>0</v>
      </c>
      <c r="AY269" s="421">
        <f t="shared" ref="AY269:AY331" si="589">AW269+AX269</f>
        <v>0</v>
      </c>
      <c r="AZ269" s="421">
        <f t="shared" ref="AZ269:AZ331" si="590">AT269+AU269+AV269+AY269</f>
        <v>-448</v>
      </c>
      <c r="BA269" s="422">
        <v>0</v>
      </c>
      <c r="BB269" s="422">
        <v>-0.06</v>
      </c>
      <c r="BC269" s="422">
        <v>0</v>
      </c>
      <c r="BD269" s="422">
        <v>0</v>
      </c>
      <c r="BE269" s="422">
        <v>0</v>
      </c>
      <c r="BF269" s="422">
        <v>0</v>
      </c>
      <c r="BG269" s="422">
        <v>0</v>
      </c>
      <c r="BH269" s="422">
        <v>0</v>
      </c>
      <c r="BI269" s="422">
        <v>0</v>
      </c>
      <c r="BJ269" s="422">
        <v>0</v>
      </c>
      <c r="BK269" s="422">
        <f>BA269+BC269+BD269+BF269+BH269+BI269</f>
        <v>0</v>
      </c>
      <c r="BL269" s="422">
        <f>BB269+BE269+BG269+BJ269</f>
        <v>-0.06</v>
      </c>
      <c r="BM269" s="424">
        <f t="shared" ref="BM269:BM331" si="591">SUM(BK269:BL269)</f>
        <v>-0.06</v>
      </c>
      <c r="BN269" s="427">
        <f>I269+AZ269</f>
        <v>2626641</v>
      </c>
      <c r="BO269" s="421">
        <f>J269+AH269</f>
        <v>1887150</v>
      </c>
      <c r="BP269" s="421">
        <f t="shared" si="572"/>
        <v>0</v>
      </c>
      <c r="BQ269" s="421">
        <f t="shared" si="572"/>
        <v>1887150</v>
      </c>
      <c r="BR269" s="421">
        <f>M269+AQ269</f>
        <v>44800</v>
      </c>
      <c r="BS269" s="421">
        <f t="shared" si="573"/>
        <v>0</v>
      </c>
      <c r="BT269" s="421">
        <f t="shared" si="573"/>
        <v>44800</v>
      </c>
      <c r="BU269" s="421">
        <f t="shared" si="574"/>
        <v>652999</v>
      </c>
      <c r="BV269" s="421">
        <f t="shared" si="574"/>
        <v>18872</v>
      </c>
      <c r="BW269" s="421">
        <f>R269+AY269</f>
        <v>22820</v>
      </c>
      <c r="BX269" s="422">
        <f>S269+BM269</f>
        <v>5.7333000000000007</v>
      </c>
      <c r="BY269" s="422">
        <f t="shared" si="575"/>
        <v>0</v>
      </c>
      <c r="BZ269" s="611">
        <f t="shared" si="575"/>
        <v>5.7333000000000007</v>
      </c>
      <c r="CA269" s="423"/>
      <c r="CB269" s="418"/>
      <c r="CC269" s="418"/>
      <c r="CD269" s="418"/>
      <c r="CE269" s="418"/>
      <c r="CF269" s="527"/>
    </row>
    <row r="270" spans="1:84" ht="14.1" customHeight="1" x14ac:dyDescent="0.2">
      <c r="A270" s="66">
        <v>55</v>
      </c>
      <c r="B270" s="63">
        <v>2484</v>
      </c>
      <c r="C270" s="64">
        <v>600079864</v>
      </c>
      <c r="D270" s="63">
        <v>46746145</v>
      </c>
      <c r="E270" s="65" t="s">
        <v>646</v>
      </c>
      <c r="F270" s="66">
        <v>3143</v>
      </c>
      <c r="G270" s="77" t="s">
        <v>596</v>
      </c>
      <c r="H270" s="67" t="s">
        <v>271</v>
      </c>
      <c r="I270" s="423">
        <f t="shared" si="576"/>
        <v>4453901</v>
      </c>
      <c r="J270" s="418">
        <f t="shared" si="577"/>
        <v>3304081</v>
      </c>
      <c r="K270" s="418">
        <v>3304081</v>
      </c>
      <c r="L270" s="418">
        <v>0</v>
      </c>
      <c r="M270" s="418">
        <f t="shared" ref="M270:M330" si="592">N270+O270</f>
        <v>0</v>
      </c>
      <c r="N270" s="418">
        <v>0</v>
      </c>
      <c r="O270" s="418">
        <v>0</v>
      </c>
      <c r="P270" s="668">
        <f t="shared" ref="P270:P331" si="593">ROUND(J270*33.8%,0)</f>
        <v>1116779</v>
      </c>
      <c r="Q270" s="668">
        <f t="shared" ref="Q270:Q331" si="594">ROUND(J270*1%,0)</f>
        <v>33041</v>
      </c>
      <c r="R270" s="418">
        <v>0</v>
      </c>
      <c r="S270" s="419">
        <f t="shared" ref="S270:S330" si="595">T270+U270</f>
        <v>6.4786999999999999</v>
      </c>
      <c r="T270" s="419">
        <v>6.4786999999999999</v>
      </c>
      <c r="U270" s="426">
        <v>0</v>
      </c>
      <c r="V270" s="428">
        <f t="shared" si="580"/>
        <v>-38400</v>
      </c>
      <c r="W270" s="421">
        <f t="shared" si="581"/>
        <v>0</v>
      </c>
      <c r="X270" s="421">
        <v>0</v>
      </c>
      <c r="Y270" s="421">
        <v>0</v>
      </c>
      <c r="Z270" s="421">
        <v>0</v>
      </c>
      <c r="AA270" s="421">
        <v>0</v>
      </c>
      <c r="AB270" s="421">
        <v>0</v>
      </c>
      <c r="AC270" s="421">
        <v>0</v>
      </c>
      <c r="AD270" s="421">
        <v>0</v>
      </c>
      <c r="AE270" s="421">
        <v>0</v>
      </c>
      <c r="AF270" s="421">
        <f t="shared" si="582"/>
        <v>-38400</v>
      </c>
      <c r="AG270" s="421">
        <f t="shared" si="583"/>
        <v>0</v>
      </c>
      <c r="AH270" s="421">
        <f t="shared" si="584"/>
        <v>-38400</v>
      </c>
      <c r="AI270" s="421">
        <v>38400</v>
      </c>
      <c r="AJ270" s="421">
        <v>0</v>
      </c>
      <c r="AK270" s="421">
        <v>0</v>
      </c>
      <c r="AL270" s="421">
        <v>0</v>
      </c>
      <c r="AM270" s="421">
        <v>0</v>
      </c>
      <c r="AN270" s="421">
        <v>0</v>
      </c>
      <c r="AO270" s="421">
        <f t="shared" si="585"/>
        <v>38400</v>
      </c>
      <c r="AP270" s="421">
        <f t="shared" si="586"/>
        <v>0</v>
      </c>
      <c r="AQ270" s="421">
        <f t="shared" si="587"/>
        <v>38400</v>
      </c>
      <c r="AR270" s="421">
        <f t="shared" si="570"/>
        <v>0</v>
      </c>
      <c r="AS270" s="421">
        <f t="shared" si="570"/>
        <v>0</v>
      </c>
      <c r="AT270" s="421">
        <f t="shared" si="588"/>
        <v>0</v>
      </c>
      <c r="AU270" s="68">
        <f t="shared" si="571"/>
        <v>0</v>
      </c>
      <c r="AV270" s="68">
        <f>ROUND(AH270*1%,0)</f>
        <v>-384</v>
      </c>
      <c r="AW270" s="421">
        <v>0</v>
      </c>
      <c r="AX270" s="421">
        <v>0</v>
      </c>
      <c r="AY270" s="421">
        <f t="shared" si="589"/>
        <v>0</v>
      </c>
      <c r="AZ270" s="421">
        <f t="shared" si="590"/>
        <v>-384</v>
      </c>
      <c r="BA270" s="422">
        <v>0</v>
      </c>
      <c r="BB270" s="422">
        <v>0</v>
      </c>
      <c r="BC270" s="422">
        <v>0</v>
      </c>
      <c r="BD270" s="422">
        <v>0</v>
      </c>
      <c r="BE270" s="422">
        <v>0</v>
      </c>
      <c r="BF270" s="422">
        <v>0</v>
      </c>
      <c r="BG270" s="422">
        <v>0</v>
      </c>
      <c r="BH270" s="422">
        <v>0</v>
      </c>
      <c r="BI270" s="422">
        <v>0</v>
      </c>
      <c r="BJ270" s="422">
        <v>0</v>
      </c>
      <c r="BK270" s="422">
        <f>BA270+BC270+BD270+BF270+BH270+BI270</f>
        <v>0</v>
      </c>
      <c r="BL270" s="422">
        <f>BB270+BE270+BG270+BJ270</f>
        <v>0</v>
      </c>
      <c r="BM270" s="424">
        <f t="shared" si="591"/>
        <v>0</v>
      </c>
      <c r="BN270" s="427">
        <f>I270+AZ270</f>
        <v>4453517</v>
      </c>
      <c r="BO270" s="421">
        <f>J270+AH270</f>
        <v>3265681</v>
      </c>
      <c r="BP270" s="421">
        <f t="shared" si="572"/>
        <v>3265681</v>
      </c>
      <c r="BQ270" s="421">
        <f t="shared" si="572"/>
        <v>0</v>
      </c>
      <c r="BR270" s="421">
        <f>M270+AQ270</f>
        <v>38400</v>
      </c>
      <c r="BS270" s="421">
        <f t="shared" si="573"/>
        <v>38400</v>
      </c>
      <c r="BT270" s="421">
        <f t="shared" si="573"/>
        <v>0</v>
      </c>
      <c r="BU270" s="421">
        <f t="shared" si="574"/>
        <v>1116779</v>
      </c>
      <c r="BV270" s="421">
        <f t="shared" si="574"/>
        <v>32657</v>
      </c>
      <c r="BW270" s="421">
        <f>R270+AY270</f>
        <v>0</v>
      </c>
      <c r="BX270" s="422">
        <f>S270+BM270</f>
        <v>6.4786999999999999</v>
      </c>
      <c r="BY270" s="422">
        <f t="shared" si="575"/>
        <v>6.4786999999999999</v>
      </c>
      <c r="BZ270" s="611">
        <f t="shared" si="575"/>
        <v>0</v>
      </c>
      <c r="CA270" s="423"/>
      <c r="CB270" s="418"/>
      <c r="CC270" s="418"/>
      <c r="CD270" s="418"/>
      <c r="CE270" s="418"/>
      <c r="CF270" s="527"/>
    </row>
    <row r="271" spans="1:84" ht="14.1" customHeight="1" x14ac:dyDescent="0.2">
      <c r="A271" s="66">
        <v>55</v>
      </c>
      <c r="B271" s="63">
        <v>2484</v>
      </c>
      <c r="C271" s="64">
        <v>600079864</v>
      </c>
      <c r="D271" s="63">
        <v>46746145</v>
      </c>
      <c r="E271" s="65" t="s">
        <v>646</v>
      </c>
      <c r="F271" s="66">
        <v>3143</v>
      </c>
      <c r="G271" s="77" t="s">
        <v>597</v>
      </c>
      <c r="H271" s="67" t="s">
        <v>272</v>
      </c>
      <c r="I271" s="423">
        <f t="shared" si="576"/>
        <v>96818</v>
      </c>
      <c r="J271" s="418">
        <f t="shared" si="577"/>
        <v>69300</v>
      </c>
      <c r="K271" s="418">
        <v>0</v>
      </c>
      <c r="L271" s="674">
        <v>69300</v>
      </c>
      <c r="M271" s="418">
        <f t="shared" si="592"/>
        <v>0</v>
      </c>
      <c r="N271" s="418">
        <v>0</v>
      </c>
      <c r="O271" s="418">
        <v>0</v>
      </c>
      <c r="P271" s="668">
        <f t="shared" si="593"/>
        <v>23423</v>
      </c>
      <c r="Q271" s="668">
        <f t="shared" si="594"/>
        <v>693</v>
      </c>
      <c r="R271" s="674">
        <v>3402</v>
      </c>
      <c r="S271" s="419">
        <f t="shared" si="595"/>
        <v>0.26250000000000001</v>
      </c>
      <c r="T271" s="676">
        <v>0</v>
      </c>
      <c r="U271" s="909">
        <v>0.26250000000000001</v>
      </c>
      <c r="V271" s="428">
        <f t="shared" si="580"/>
        <v>0</v>
      </c>
      <c r="W271" s="421">
        <f t="shared" si="581"/>
        <v>0</v>
      </c>
      <c r="X271" s="421">
        <v>0</v>
      </c>
      <c r="Y271" s="421">
        <v>0</v>
      </c>
      <c r="Z271" s="421">
        <v>0</v>
      </c>
      <c r="AA271" s="421">
        <v>0</v>
      </c>
      <c r="AB271" s="421">
        <v>0</v>
      </c>
      <c r="AC271" s="421">
        <v>0</v>
      </c>
      <c r="AD271" s="421">
        <v>0</v>
      </c>
      <c r="AE271" s="421">
        <v>0</v>
      </c>
      <c r="AF271" s="421">
        <f t="shared" si="582"/>
        <v>0</v>
      </c>
      <c r="AG271" s="421">
        <f t="shared" si="583"/>
        <v>0</v>
      </c>
      <c r="AH271" s="421">
        <f t="shared" si="584"/>
        <v>0</v>
      </c>
      <c r="AI271" s="421">
        <v>0</v>
      </c>
      <c r="AJ271" s="421">
        <v>0</v>
      </c>
      <c r="AK271" s="421">
        <v>0</v>
      </c>
      <c r="AL271" s="421">
        <v>0</v>
      </c>
      <c r="AM271" s="421">
        <v>0</v>
      </c>
      <c r="AN271" s="421">
        <v>0</v>
      </c>
      <c r="AO271" s="421">
        <f t="shared" si="585"/>
        <v>0</v>
      </c>
      <c r="AP271" s="421">
        <f t="shared" si="586"/>
        <v>0</v>
      </c>
      <c r="AQ271" s="421">
        <f t="shared" si="587"/>
        <v>0</v>
      </c>
      <c r="AR271" s="421">
        <f t="shared" si="570"/>
        <v>0</v>
      </c>
      <c r="AS271" s="421">
        <f t="shared" si="570"/>
        <v>0</v>
      </c>
      <c r="AT271" s="421">
        <f t="shared" si="588"/>
        <v>0</v>
      </c>
      <c r="AU271" s="68">
        <f t="shared" si="571"/>
        <v>0</v>
      </c>
      <c r="AV271" s="68">
        <f>ROUND(AH271*1%,0)</f>
        <v>0</v>
      </c>
      <c r="AW271" s="421">
        <v>0</v>
      </c>
      <c r="AX271" s="421">
        <v>0</v>
      </c>
      <c r="AY271" s="421">
        <f t="shared" si="589"/>
        <v>0</v>
      </c>
      <c r="AZ271" s="421">
        <f t="shared" si="590"/>
        <v>0</v>
      </c>
      <c r="BA271" s="422">
        <v>0</v>
      </c>
      <c r="BB271" s="422">
        <v>0</v>
      </c>
      <c r="BC271" s="422">
        <v>0</v>
      </c>
      <c r="BD271" s="422">
        <v>0</v>
      </c>
      <c r="BE271" s="422">
        <v>0</v>
      </c>
      <c r="BF271" s="422">
        <v>0</v>
      </c>
      <c r="BG271" s="422">
        <v>0</v>
      </c>
      <c r="BH271" s="422">
        <v>0</v>
      </c>
      <c r="BI271" s="422">
        <v>0</v>
      </c>
      <c r="BJ271" s="422">
        <v>0</v>
      </c>
      <c r="BK271" s="422">
        <f>BA271+BC271+BD271+BF271+BH271+BI271</f>
        <v>0</v>
      </c>
      <c r="BL271" s="422">
        <f>BB271+BE271+BG271+BJ271</f>
        <v>0</v>
      </c>
      <c r="BM271" s="424">
        <f t="shared" si="591"/>
        <v>0</v>
      </c>
      <c r="BN271" s="427">
        <f>I271+AZ271</f>
        <v>96818</v>
      </c>
      <c r="BO271" s="421">
        <f>J271+AH271</f>
        <v>69300</v>
      </c>
      <c r="BP271" s="421">
        <f t="shared" si="572"/>
        <v>0</v>
      </c>
      <c r="BQ271" s="421">
        <f t="shared" si="572"/>
        <v>69300</v>
      </c>
      <c r="BR271" s="421">
        <f>M271+AQ271</f>
        <v>0</v>
      </c>
      <c r="BS271" s="421">
        <f t="shared" si="573"/>
        <v>0</v>
      </c>
      <c r="BT271" s="421">
        <f t="shared" si="573"/>
        <v>0</v>
      </c>
      <c r="BU271" s="421">
        <f t="shared" si="574"/>
        <v>23423</v>
      </c>
      <c r="BV271" s="421">
        <f t="shared" si="574"/>
        <v>693</v>
      </c>
      <c r="BW271" s="421">
        <f>R271+AY271</f>
        <v>3402</v>
      </c>
      <c r="BX271" s="422">
        <f>S271+BM271</f>
        <v>0.26250000000000001</v>
      </c>
      <c r="BY271" s="422">
        <f t="shared" si="575"/>
        <v>0</v>
      </c>
      <c r="BZ271" s="611">
        <f t="shared" si="575"/>
        <v>0.26250000000000001</v>
      </c>
      <c r="CA271" s="423"/>
      <c r="CB271" s="418"/>
      <c r="CC271" s="418"/>
      <c r="CD271" s="418"/>
      <c r="CE271" s="418"/>
      <c r="CF271" s="527"/>
    </row>
    <row r="272" spans="1:84" ht="14.1" customHeight="1" x14ac:dyDescent="0.2">
      <c r="A272" s="72">
        <v>55</v>
      </c>
      <c r="B272" s="69">
        <v>2484</v>
      </c>
      <c r="C272" s="70">
        <v>600079864</v>
      </c>
      <c r="D272" s="69">
        <v>46746145</v>
      </c>
      <c r="E272" s="71" t="s">
        <v>647</v>
      </c>
      <c r="F272" s="72"/>
      <c r="G272" s="71"/>
      <c r="H272" s="73"/>
      <c r="I272" s="538">
        <f t="shared" ref="I272:BU272" si="596">SUM(I267:I271)</f>
        <v>55753949</v>
      </c>
      <c r="J272" s="74">
        <f t="shared" si="596"/>
        <v>40782218</v>
      </c>
      <c r="K272" s="74">
        <f t="shared" si="596"/>
        <v>36504464</v>
      </c>
      <c r="L272" s="74">
        <f t="shared" si="596"/>
        <v>4277754</v>
      </c>
      <c r="M272" s="74">
        <f t="shared" si="596"/>
        <v>0</v>
      </c>
      <c r="N272" s="74">
        <f t="shared" si="596"/>
        <v>0</v>
      </c>
      <c r="O272" s="74">
        <f t="shared" si="596"/>
        <v>0</v>
      </c>
      <c r="P272" s="74">
        <f t="shared" si="596"/>
        <v>13784389</v>
      </c>
      <c r="Q272" s="74">
        <f t="shared" si="596"/>
        <v>407823</v>
      </c>
      <c r="R272" s="74">
        <f t="shared" si="596"/>
        <v>779519</v>
      </c>
      <c r="S272" s="75">
        <f t="shared" si="596"/>
        <v>66.081500000000005</v>
      </c>
      <c r="T272" s="75">
        <f t="shared" si="596"/>
        <v>53.060199999999995</v>
      </c>
      <c r="U272" s="753">
        <f t="shared" si="596"/>
        <v>13.0213</v>
      </c>
      <c r="V272" s="538">
        <f t="shared" si="596"/>
        <v>-102400</v>
      </c>
      <c r="W272" s="74">
        <f t="shared" si="596"/>
        <v>-70400</v>
      </c>
      <c r="X272" s="74">
        <f t="shared" si="596"/>
        <v>4459982</v>
      </c>
      <c r="Y272" s="74">
        <f t="shared" si="596"/>
        <v>0</v>
      </c>
      <c r="Z272" s="74">
        <f t="shared" si="596"/>
        <v>0</v>
      </c>
      <c r="AA272" s="74">
        <f t="shared" si="596"/>
        <v>0</v>
      </c>
      <c r="AB272" s="74">
        <f t="shared" si="596"/>
        <v>0</v>
      </c>
      <c r="AC272" s="74">
        <f t="shared" si="596"/>
        <v>0</v>
      </c>
      <c r="AD272" s="74">
        <f t="shared" si="596"/>
        <v>0</v>
      </c>
      <c r="AE272" s="74">
        <f t="shared" si="596"/>
        <v>0</v>
      </c>
      <c r="AF272" s="74">
        <f t="shared" si="596"/>
        <v>4357582</v>
      </c>
      <c r="AG272" s="74">
        <f t="shared" si="596"/>
        <v>-70400</v>
      </c>
      <c r="AH272" s="74">
        <f t="shared" si="596"/>
        <v>4287182</v>
      </c>
      <c r="AI272" s="74">
        <f t="shared" si="596"/>
        <v>102400</v>
      </c>
      <c r="AJ272" s="74">
        <f t="shared" si="596"/>
        <v>70400</v>
      </c>
      <c r="AK272" s="74">
        <f t="shared" si="596"/>
        <v>564000</v>
      </c>
      <c r="AL272" s="74">
        <f t="shared" si="596"/>
        <v>0</v>
      </c>
      <c r="AM272" s="74">
        <f t="shared" si="596"/>
        <v>0</v>
      </c>
      <c r="AN272" s="74">
        <f t="shared" si="596"/>
        <v>0</v>
      </c>
      <c r="AO272" s="74">
        <f t="shared" si="596"/>
        <v>666400</v>
      </c>
      <c r="AP272" s="74">
        <f t="shared" si="596"/>
        <v>70400</v>
      </c>
      <c r="AQ272" s="74">
        <f t="shared" si="596"/>
        <v>736800</v>
      </c>
      <c r="AR272" s="74">
        <f t="shared" si="596"/>
        <v>5023982</v>
      </c>
      <c r="AS272" s="74">
        <f t="shared" si="596"/>
        <v>0</v>
      </c>
      <c r="AT272" s="74">
        <f t="shared" si="596"/>
        <v>5023982</v>
      </c>
      <c r="AU272" s="74">
        <f t="shared" si="596"/>
        <v>1698106</v>
      </c>
      <c r="AV272" s="74">
        <f t="shared" si="596"/>
        <v>42872</v>
      </c>
      <c r="AW272" s="74">
        <f t="shared" si="596"/>
        <v>0</v>
      </c>
      <c r="AX272" s="74">
        <f t="shared" si="596"/>
        <v>0</v>
      </c>
      <c r="AY272" s="74">
        <f t="shared" si="596"/>
        <v>0</v>
      </c>
      <c r="AZ272" s="74">
        <f t="shared" si="596"/>
        <v>6764960</v>
      </c>
      <c r="BA272" s="75">
        <f t="shared" si="596"/>
        <v>-0.02</v>
      </c>
      <c r="BB272" s="75">
        <f t="shared" si="596"/>
        <v>-0.1</v>
      </c>
      <c r="BC272" s="75">
        <f t="shared" si="596"/>
        <v>11.68</v>
      </c>
      <c r="BD272" s="75">
        <f t="shared" si="596"/>
        <v>0</v>
      </c>
      <c r="BE272" s="75">
        <f t="shared" si="596"/>
        <v>0</v>
      </c>
      <c r="BF272" s="75">
        <f t="shared" si="596"/>
        <v>0</v>
      </c>
      <c r="BG272" s="75">
        <f t="shared" si="596"/>
        <v>0</v>
      </c>
      <c r="BH272" s="75">
        <f t="shared" si="596"/>
        <v>0</v>
      </c>
      <c r="BI272" s="75">
        <f t="shared" si="596"/>
        <v>0</v>
      </c>
      <c r="BJ272" s="75">
        <f t="shared" si="596"/>
        <v>0</v>
      </c>
      <c r="BK272" s="75">
        <f t="shared" si="596"/>
        <v>11.66</v>
      </c>
      <c r="BL272" s="75">
        <f t="shared" si="596"/>
        <v>-0.1</v>
      </c>
      <c r="BM272" s="76">
        <f t="shared" si="596"/>
        <v>11.559999999999999</v>
      </c>
      <c r="BN272" s="549">
        <f t="shared" si="596"/>
        <v>62518909</v>
      </c>
      <c r="BO272" s="74">
        <f t="shared" si="596"/>
        <v>45069400</v>
      </c>
      <c r="BP272" s="74">
        <f t="shared" si="596"/>
        <v>40862046</v>
      </c>
      <c r="BQ272" s="74">
        <f t="shared" si="596"/>
        <v>4207354</v>
      </c>
      <c r="BR272" s="74">
        <f t="shared" si="596"/>
        <v>736800</v>
      </c>
      <c r="BS272" s="74">
        <f t="shared" si="596"/>
        <v>666400</v>
      </c>
      <c r="BT272" s="74">
        <f t="shared" si="596"/>
        <v>70400</v>
      </c>
      <c r="BU272" s="74">
        <f t="shared" si="596"/>
        <v>15482495</v>
      </c>
      <c r="BV272" s="74">
        <f t="shared" ref="BV272:CF272" si="597">SUM(BV267:BV271)</f>
        <v>450695</v>
      </c>
      <c r="BW272" s="74">
        <f t="shared" si="597"/>
        <v>779519</v>
      </c>
      <c r="BX272" s="75">
        <f t="shared" si="597"/>
        <v>77.641500000000008</v>
      </c>
      <c r="BY272" s="75">
        <f t="shared" si="597"/>
        <v>64.720199999999991</v>
      </c>
      <c r="BZ272" s="753">
        <f t="shared" si="597"/>
        <v>12.9213</v>
      </c>
      <c r="CA272" s="796">
        <f t="shared" si="597"/>
        <v>754632</v>
      </c>
      <c r="CB272" s="789">
        <f t="shared" si="597"/>
        <v>0</v>
      </c>
      <c r="CC272" s="789">
        <f t="shared" si="597"/>
        <v>564000</v>
      </c>
      <c r="CD272" s="789">
        <f t="shared" si="597"/>
        <v>190632</v>
      </c>
      <c r="CE272" s="789">
        <f t="shared" si="597"/>
        <v>0</v>
      </c>
      <c r="CF272" s="793">
        <f t="shared" si="597"/>
        <v>0</v>
      </c>
    </row>
    <row r="273" spans="1:84" ht="14.1" customHeight="1" x14ac:dyDescent="0.2">
      <c r="A273" s="66">
        <v>56</v>
      </c>
      <c r="B273" s="63">
        <v>2401</v>
      </c>
      <c r="C273" s="64">
        <v>600079597</v>
      </c>
      <c r="D273" s="63">
        <v>72741538</v>
      </c>
      <c r="E273" s="65" t="s">
        <v>648</v>
      </c>
      <c r="F273" s="66">
        <v>3111</v>
      </c>
      <c r="G273" s="65" t="s">
        <v>291</v>
      </c>
      <c r="H273" s="67" t="s">
        <v>271</v>
      </c>
      <c r="I273" s="423">
        <f t="shared" si="576"/>
        <v>3533560</v>
      </c>
      <c r="J273" s="418">
        <f t="shared" si="577"/>
        <v>2612620</v>
      </c>
      <c r="K273" s="418">
        <v>2377500</v>
      </c>
      <c r="L273" s="418">
        <v>235120</v>
      </c>
      <c r="M273" s="418">
        <f>N273+O273</f>
        <v>0</v>
      </c>
      <c r="N273" s="418">
        <v>0</v>
      </c>
      <c r="O273" s="418">
        <v>0</v>
      </c>
      <c r="P273" s="668">
        <f t="shared" si="593"/>
        <v>883066</v>
      </c>
      <c r="Q273" s="668">
        <f t="shared" si="594"/>
        <v>26126</v>
      </c>
      <c r="R273" s="418">
        <v>11748</v>
      </c>
      <c r="S273" s="419">
        <f t="shared" si="595"/>
        <v>4.8001000000000005</v>
      </c>
      <c r="T273" s="419">
        <v>4</v>
      </c>
      <c r="U273" s="426">
        <v>0.80010000000000003</v>
      </c>
      <c r="V273" s="428">
        <f t="shared" si="580"/>
        <v>-44800</v>
      </c>
      <c r="W273" s="421">
        <f t="shared" si="581"/>
        <v>-19200</v>
      </c>
      <c r="X273" s="421">
        <v>0</v>
      </c>
      <c r="Y273" s="421">
        <v>0</v>
      </c>
      <c r="Z273" s="421">
        <v>0</v>
      </c>
      <c r="AA273" s="421">
        <v>0</v>
      </c>
      <c r="AB273" s="421">
        <v>0</v>
      </c>
      <c r="AC273" s="421">
        <v>0</v>
      </c>
      <c r="AD273" s="421">
        <v>0</v>
      </c>
      <c r="AE273" s="421">
        <v>0</v>
      </c>
      <c r="AF273" s="421">
        <f t="shared" si="582"/>
        <v>-44800</v>
      </c>
      <c r="AG273" s="421">
        <f t="shared" si="583"/>
        <v>-19200</v>
      </c>
      <c r="AH273" s="421">
        <f t="shared" si="584"/>
        <v>-64000</v>
      </c>
      <c r="AI273" s="421">
        <v>44800</v>
      </c>
      <c r="AJ273" s="421">
        <v>19200</v>
      </c>
      <c r="AK273" s="421">
        <v>0</v>
      </c>
      <c r="AL273" s="421">
        <v>0</v>
      </c>
      <c r="AM273" s="421">
        <v>0</v>
      </c>
      <c r="AN273" s="421">
        <v>0</v>
      </c>
      <c r="AO273" s="421">
        <f t="shared" si="585"/>
        <v>44800</v>
      </c>
      <c r="AP273" s="421">
        <f t="shared" si="586"/>
        <v>19200</v>
      </c>
      <c r="AQ273" s="421">
        <f t="shared" si="587"/>
        <v>64000</v>
      </c>
      <c r="AR273" s="421">
        <f t="shared" ref="AR273:AS275" si="598">AF273+AO273</f>
        <v>0</v>
      </c>
      <c r="AS273" s="421">
        <f t="shared" si="598"/>
        <v>0</v>
      </c>
      <c r="AT273" s="421">
        <f t="shared" si="588"/>
        <v>0</v>
      </c>
      <c r="AU273" s="68">
        <f t="shared" ref="AU273:AU275" si="599">ROUND((AH273+AI273+AJ273+AK273+AL273)*33.8%,0)</f>
        <v>0</v>
      </c>
      <c r="AV273" s="68">
        <f>ROUND(AH273*1%,0)</f>
        <v>-640</v>
      </c>
      <c r="AW273" s="421">
        <v>0</v>
      </c>
      <c r="AX273" s="421">
        <v>0</v>
      </c>
      <c r="AY273" s="421">
        <f t="shared" si="589"/>
        <v>0</v>
      </c>
      <c r="AZ273" s="421">
        <f t="shared" si="590"/>
        <v>-640</v>
      </c>
      <c r="BA273" s="422">
        <v>-0.08</v>
      </c>
      <c r="BB273" s="422">
        <v>-7.0000000000000007E-2</v>
      </c>
      <c r="BC273" s="422">
        <v>0</v>
      </c>
      <c r="BD273" s="422">
        <v>0</v>
      </c>
      <c r="BE273" s="422">
        <v>0</v>
      </c>
      <c r="BF273" s="422">
        <v>0</v>
      </c>
      <c r="BG273" s="422">
        <v>0</v>
      </c>
      <c r="BH273" s="422">
        <v>0</v>
      </c>
      <c r="BI273" s="422">
        <v>0</v>
      </c>
      <c r="BJ273" s="422">
        <v>0</v>
      </c>
      <c r="BK273" s="422">
        <f>BA273+BC273+BD273+BF273+BH273+BI273</f>
        <v>-0.08</v>
      </c>
      <c r="BL273" s="422">
        <f>BB273+BE273+BG273+BJ273</f>
        <v>-7.0000000000000007E-2</v>
      </c>
      <c r="BM273" s="424">
        <f t="shared" si="591"/>
        <v>-0.15000000000000002</v>
      </c>
      <c r="BN273" s="427">
        <f>I273+AZ273</f>
        <v>3532920</v>
      </c>
      <c r="BO273" s="421">
        <f>J273+AH273</f>
        <v>2548620</v>
      </c>
      <c r="BP273" s="421">
        <f t="shared" ref="BP273:BQ275" si="600">K273+AF273</f>
        <v>2332700</v>
      </c>
      <c r="BQ273" s="421">
        <f t="shared" si="600"/>
        <v>215920</v>
      </c>
      <c r="BR273" s="421">
        <f>M273+AQ273</f>
        <v>64000</v>
      </c>
      <c r="BS273" s="421">
        <f t="shared" ref="BS273:BT275" si="601">N273+AO273</f>
        <v>44800</v>
      </c>
      <c r="BT273" s="421">
        <f t="shared" si="601"/>
        <v>19200</v>
      </c>
      <c r="BU273" s="421">
        <f t="shared" ref="BU273:BV275" si="602">P273+AU273</f>
        <v>883066</v>
      </c>
      <c r="BV273" s="421">
        <f t="shared" si="602"/>
        <v>25486</v>
      </c>
      <c r="BW273" s="421">
        <f>R273+AY273</f>
        <v>11748</v>
      </c>
      <c r="BX273" s="422">
        <f>S273+BM273</f>
        <v>4.6501000000000001</v>
      </c>
      <c r="BY273" s="422">
        <f t="shared" ref="BY273:BZ275" si="603">T273+BK273</f>
        <v>3.92</v>
      </c>
      <c r="BZ273" s="611">
        <f t="shared" si="603"/>
        <v>0.73009999999999997</v>
      </c>
      <c r="CA273" s="423"/>
      <c r="CB273" s="418"/>
      <c r="CC273" s="418"/>
      <c r="CD273" s="418"/>
      <c r="CE273" s="418"/>
      <c r="CF273" s="527"/>
    </row>
    <row r="274" spans="1:84" ht="14.1" customHeight="1" x14ac:dyDescent="0.2">
      <c r="A274" s="66">
        <v>56</v>
      </c>
      <c r="B274" s="63">
        <v>2401</v>
      </c>
      <c r="C274" s="64">
        <v>600079597</v>
      </c>
      <c r="D274" s="63">
        <v>72741538</v>
      </c>
      <c r="E274" s="65" t="s">
        <v>648</v>
      </c>
      <c r="F274" s="66">
        <v>3111</v>
      </c>
      <c r="G274" s="65" t="s">
        <v>292</v>
      </c>
      <c r="H274" s="67" t="s">
        <v>272</v>
      </c>
      <c r="I274" s="423">
        <f t="shared" si="576"/>
        <v>0</v>
      </c>
      <c r="J274" s="418">
        <f t="shared" si="577"/>
        <v>0</v>
      </c>
      <c r="K274" s="418">
        <v>0</v>
      </c>
      <c r="L274" s="418">
        <v>0</v>
      </c>
      <c r="M274" s="418">
        <f t="shared" si="592"/>
        <v>0</v>
      </c>
      <c r="N274" s="418">
        <v>0</v>
      </c>
      <c r="O274" s="418">
        <v>0</v>
      </c>
      <c r="P274" s="668">
        <f t="shared" si="593"/>
        <v>0</v>
      </c>
      <c r="Q274" s="668">
        <f t="shared" si="594"/>
        <v>0</v>
      </c>
      <c r="R274" s="418">
        <v>0</v>
      </c>
      <c r="S274" s="419">
        <f t="shared" si="595"/>
        <v>0</v>
      </c>
      <c r="T274" s="420">
        <v>0</v>
      </c>
      <c r="U274" s="426">
        <v>0</v>
      </c>
      <c r="V274" s="428">
        <f t="shared" si="580"/>
        <v>0</v>
      </c>
      <c r="W274" s="421">
        <f t="shared" si="581"/>
        <v>0</v>
      </c>
      <c r="X274" s="16">
        <v>706733</v>
      </c>
      <c r="Y274" s="16">
        <v>0</v>
      </c>
      <c r="Z274" s="16">
        <v>0</v>
      </c>
      <c r="AA274" s="16">
        <v>0</v>
      </c>
      <c r="AB274" s="421">
        <v>0</v>
      </c>
      <c r="AC274" s="16">
        <v>0</v>
      </c>
      <c r="AD274" s="16">
        <v>0</v>
      </c>
      <c r="AE274" s="16">
        <v>0</v>
      </c>
      <c r="AF274" s="421">
        <f t="shared" si="582"/>
        <v>706733</v>
      </c>
      <c r="AG274" s="421">
        <f t="shared" si="583"/>
        <v>0</v>
      </c>
      <c r="AH274" s="421">
        <f t="shared" si="584"/>
        <v>706733</v>
      </c>
      <c r="AI274" s="16">
        <v>0</v>
      </c>
      <c r="AJ274" s="16">
        <v>0</v>
      </c>
      <c r="AK274" s="421">
        <v>0</v>
      </c>
      <c r="AL274" s="16">
        <v>0</v>
      </c>
      <c r="AM274" s="16">
        <v>0</v>
      </c>
      <c r="AN274" s="16">
        <v>0</v>
      </c>
      <c r="AO274" s="421">
        <f t="shared" si="585"/>
        <v>0</v>
      </c>
      <c r="AP274" s="16">
        <v>0</v>
      </c>
      <c r="AQ274" s="421">
        <f t="shared" si="587"/>
        <v>0</v>
      </c>
      <c r="AR274" s="421">
        <f t="shared" si="598"/>
        <v>706733</v>
      </c>
      <c r="AS274" s="421">
        <f t="shared" si="598"/>
        <v>0</v>
      </c>
      <c r="AT274" s="421">
        <f t="shared" si="588"/>
        <v>706733</v>
      </c>
      <c r="AU274" s="68">
        <f t="shared" si="599"/>
        <v>238876</v>
      </c>
      <c r="AV274" s="68">
        <f>ROUND(AH274*1%,0)</f>
        <v>7067</v>
      </c>
      <c r="AW274" s="16">
        <v>0</v>
      </c>
      <c r="AX274" s="16">
        <v>0</v>
      </c>
      <c r="AY274" s="421">
        <f t="shared" si="589"/>
        <v>0</v>
      </c>
      <c r="AZ274" s="421">
        <f t="shared" si="590"/>
        <v>952676</v>
      </c>
      <c r="BA274" s="13">
        <v>0</v>
      </c>
      <c r="BB274" s="13">
        <v>0</v>
      </c>
      <c r="BC274" s="13">
        <v>1.8400000000000003</v>
      </c>
      <c r="BD274" s="422">
        <v>0</v>
      </c>
      <c r="BE274" s="422">
        <v>0</v>
      </c>
      <c r="BF274" s="422">
        <v>0</v>
      </c>
      <c r="BG274" s="422">
        <v>0</v>
      </c>
      <c r="BH274" s="422">
        <v>0</v>
      </c>
      <c r="BI274" s="422">
        <v>0</v>
      </c>
      <c r="BJ274" s="422">
        <v>0</v>
      </c>
      <c r="BK274" s="422">
        <f>BA274+BC274+BD274+BF274+BH274+BI274</f>
        <v>1.8400000000000003</v>
      </c>
      <c r="BL274" s="422">
        <f>BB274+BE274+BG274+BJ274</f>
        <v>0</v>
      </c>
      <c r="BM274" s="424">
        <f t="shared" si="591"/>
        <v>1.8400000000000003</v>
      </c>
      <c r="BN274" s="427">
        <f>I274+AZ274</f>
        <v>952676</v>
      </c>
      <c r="BO274" s="421">
        <f>J274+AH274</f>
        <v>706733</v>
      </c>
      <c r="BP274" s="421">
        <f t="shared" si="600"/>
        <v>706733</v>
      </c>
      <c r="BQ274" s="421">
        <f t="shared" si="600"/>
        <v>0</v>
      </c>
      <c r="BR274" s="421">
        <f>M274+AQ274</f>
        <v>0</v>
      </c>
      <c r="BS274" s="421">
        <f t="shared" si="601"/>
        <v>0</v>
      </c>
      <c r="BT274" s="421">
        <f t="shared" si="601"/>
        <v>0</v>
      </c>
      <c r="BU274" s="421">
        <f t="shared" si="602"/>
        <v>238876</v>
      </c>
      <c r="BV274" s="421">
        <f t="shared" si="602"/>
        <v>7067</v>
      </c>
      <c r="BW274" s="421">
        <f>R274+AY274</f>
        <v>0</v>
      </c>
      <c r="BX274" s="422">
        <f>S274+BM274</f>
        <v>1.8400000000000003</v>
      </c>
      <c r="BY274" s="422">
        <f t="shared" si="603"/>
        <v>1.8400000000000003</v>
      </c>
      <c r="BZ274" s="611">
        <f t="shared" si="603"/>
        <v>0</v>
      </c>
      <c r="CA274" s="423"/>
      <c r="CB274" s="418"/>
      <c r="CC274" s="418"/>
      <c r="CD274" s="418"/>
      <c r="CE274" s="418"/>
      <c r="CF274" s="527"/>
    </row>
    <row r="275" spans="1:84" ht="14.1" customHeight="1" x14ac:dyDescent="0.2">
      <c r="A275" s="66">
        <v>56</v>
      </c>
      <c r="B275" s="63">
        <v>2401</v>
      </c>
      <c r="C275" s="64">
        <v>600079597</v>
      </c>
      <c r="D275" s="63">
        <v>72741538</v>
      </c>
      <c r="E275" s="65" t="s">
        <v>648</v>
      </c>
      <c r="F275" s="66">
        <v>3141</v>
      </c>
      <c r="G275" s="65" t="s">
        <v>295</v>
      </c>
      <c r="H275" s="67" t="s">
        <v>272</v>
      </c>
      <c r="I275" s="423">
        <f t="shared" si="576"/>
        <v>424099</v>
      </c>
      <c r="J275" s="418">
        <f t="shared" si="577"/>
        <v>313471</v>
      </c>
      <c r="K275" s="418">
        <v>0</v>
      </c>
      <c r="L275" s="924">
        <v>313471</v>
      </c>
      <c r="M275" s="418">
        <f>N275+O275</f>
        <v>0</v>
      </c>
      <c r="N275" s="205">
        <v>0</v>
      </c>
      <c r="O275" s="205">
        <v>0</v>
      </c>
      <c r="P275" s="668">
        <f t="shared" si="593"/>
        <v>105953</v>
      </c>
      <c r="Q275" s="668">
        <f t="shared" si="594"/>
        <v>3135</v>
      </c>
      <c r="R275" s="674">
        <v>1540</v>
      </c>
      <c r="S275" s="419">
        <f>T275+U275</f>
        <v>0.94</v>
      </c>
      <c r="T275" s="676">
        <v>0</v>
      </c>
      <c r="U275" s="909">
        <v>0.94</v>
      </c>
      <c r="V275" s="428">
        <f t="shared" si="580"/>
        <v>0</v>
      </c>
      <c r="W275" s="421">
        <f t="shared" si="581"/>
        <v>0</v>
      </c>
      <c r="X275" s="421">
        <v>0</v>
      </c>
      <c r="Y275" s="421">
        <v>0</v>
      </c>
      <c r="Z275" s="421">
        <v>0</v>
      </c>
      <c r="AA275" s="421">
        <v>0</v>
      </c>
      <c r="AB275" s="421">
        <v>0</v>
      </c>
      <c r="AC275" s="421">
        <v>0</v>
      </c>
      <c r="AD275" s="421">
        <v>0</v>
      </c>
      <c r="AE275" s="421">
        <v>0</v>
      </c>
      <c r="AF275" s="421">
        <f t="shared" si="582"/>
        <v>0</v>
      </c>
      <c r="AG275" s="421">
        <f t="shared" si="583"/>
        <v>0</v>
      </c>
      <c r="AH275" s="421">
        <f t="shared" si="584"/>
        <v>0</v>
      </c>
      <c r="AI275" s="421">
        <v>0</v>
      </c>
      <c r="AJ275" s="421">
        <v>0</v>
      </c>
      <c r="AK275" s="421">
        <v>0</v>
      </c>
      <c r="AL275" s="421">
        <v>0</v>
      </c>
      <c r="AM275" s="421">
        <v>0</v>
      </c>
      <c r="AN275" s="421">
        <v>0</v>
      </c>
      <c r="AO275" s="421">
        <f t="shared" si="585"/>
        <v>0</v>
      </c>
      <c r="AP275" s="421">
        <f t="shared" si="586"/>
        <v>0</v>
      </c>
      <c r="AQ275" s="421">
        <f t="shared" si="587"/>
        <v>0</v>
      </c>
      <c r="AR275" s="421">
        <f t="shared" si="598"/>
        <v>0</v>
      </c>
      <c r="AS275" s="421">
        <f t="shared" si="598"/>
        <v>0</v>
      </c>
      <c r="AT275" s="421">
        <f t="shared" si="588"/>
        <v>0</v>
      </c>
      <c r="AU275" s="68">
        <f t="shared" si="599"/>
        <v>0</v>
      </c>
      <c r="AV275" s="68">
        <f>ROUND(AH275*1%,0)</f>
        <v>0</v>
      </c>
      <c r="AW275" s="421">
        <v>0</v>
      </c>
      <c r="AX275" s="421">
        <v>0</v>
      </c>
      <c r="AY275" s="421">
        <f t="shared" si="589"/>
        <v>0</v>
      </c>
      <c r="AZ275" s="421">
        <f t="shared" si="590"/>
        <v>0</v>
      </c>
      <c r="BA275" s="422">
        <v>0</v>
      </c>
      <c r="BB275" s="422">
        <v>0</v>
      </c>
      <c r="BC275" s="422">
        <v>0</v>
      </c>
      <c r="BD275" s="422">
        <v>0</v>
      </c>
      <c r="BE275" s="422">
        <v>0</v>
      </c>
      <c r="BF275" s="422">
        <v>0</v>
      </c>
      <c r="BG275" s="422">
        <v>0</v>
      </c>
      <c r="BH275" s="422">
        <v>0</v>
      </c>
      <c r="BI275" s="422">
        <v>0</v>
      </c>
      <c r="BJ275" s="422">
        <v>0</v>
      </c>
      <c r="BK275" s="422">
        <f>BA275+BC275+BD275+BF275+BH275+BI275</f>
        <v>0</v>
      </c>
      <c r="BL275" s="422">
        <f>BB275+BE275+BG275+BJ275</f>
        <v>0</v>
      </c>
      <c r="BM275" s="424">
        <f t="shared" si="591"/>
        <v>0</v>
      </c>
      <c r="BN275" s="427">
        <f>I275+AZ275</f>
        <v>424099</v>
      </c>
      <c r="BO275" s="421">
        <f>J275+AH275</f>
        <v>313471</v>
      </c>
      <c r="BP275" s="421">
        <f t="shared" si="600"/>
        <v>0</v>
      </c>
      <c r="BQ275" s="421">
        <f t="shared" si="600"/>
        <v>313471</v>
      </c>
      <c r="BR275" s="421">
        <f>M275+AQ275</f>
        <v>0</v>
      </c>
      <c r="BS275" s="421">
        <f t="shared" si="601"/>
        <v>0</v>
      </c>
      <c r="BT275" s="421">
        <f t="shared" si="601"/>
        <v>0</v>
      </c>
      <c r="BU275" s="421">
        <f t="shared" si="602"/>
        <v>105953</v>
      </c>
      <c r="BV275" s="421">
        <f t="shared" si="602"/>
        <v>3135</v>
      </c>
      <c r="BW275" s="421">
        <f>R275+AY275</f>
        <v>1540</v>
      </c>
      <c r="BX275" s="422">
        <f>S275+BM275</f>
        <v>0.94</v>
      </c>
      <c r="BY275" s="422">
        <f t="shared" si="603"/>
        <v>0</v>
      </c>
      <c r="BZ275" s="611">
        <f t="shared" si="603"/>
        <v>0.94</v>
      </c>
      <c r="CA275" s="423"/>
      <c r="CB275" s="418"/>
      <c r="CC275" s="418"/>
      <c r="CD275" s="418"/>
      <c r="CE275" s="418"/>
      <c r="CF275" s="527"/>
    </row>
    <row r="276" spans="1:84" ht="14.1" customHeight="1" x14ac:dyDescent="0.2">
      <c r="A276" s="72">
        <v>56</v>
      </c>
      <c r="B276" s="69">
        <v>2401</v>
      </c>
      <c r="C276" s="70">
        <v>600079597</v>
      </c>
      <c r="D276" s="69">
        <v>72741538</v>
      </c>
      <c r="E276" s="71" t="s">
        <v>649</v>
      </c>
      <c r="F276" s="72"/>
      <c r="G276" s="71"/>
      <c r="H276" s="73"/>
      <c r="I276" s="538">
        <f t="shared" ref="I276:BU276" si="604">SUM(I273:I275)</f>
        <v>3957659</v>
      </c>
      <c r="J276" s="74">
        <f t="shared" si="604"/>
        <v>2926091</v>
      </c>
      <c r="K276" s="74">
        <f t="shared" si="604"/>
        <v>2377500</v>
      </c>
      <c r="L276" s="74">
        <f t="shared" si="604"/>
        <v>548591</v>
      </c>
      <c r="M276" s="74">
        <f t="shared" si="604"/>
        <v>0</v>
      </c>
      <c r="N276" s="74">
        <f t="shared" si="604"/>
        <v>0</v>
      </c>
      <c r="O276" s="74">
        <f t="shared" si="604"/>
        <v>0</v>
      </c>
      <c r="P276" s="74">
        <f t="shared" si="604"/>
        <v>989019</v>
      </c>
      <c r="Q276" s="74">
        <f t="shared" si="604"/>
        <v>29261</v>
      </c>
      <c r="R276" s="74">
        <f t="shared" si="604"/>
        <v>13288</v>
      </c>
      <c r="S276" s="75">
        <f t="shared" si="604"/>
        <v>5.7401</v>
      </c>
      <c r="T276" s="75">
        <f t="shared" si="604"/>
        <v>4</v>
      </c>
      <c r="U276" s="753">
        <f t="shared" si="604"/>
        <v>1.7401</v>
      </c>
      <c r="V276" s="538">
        <f t="shared" si="604"/>
        <v>-44800</v>
      </c>
      <c r="W276" s="74">
        <f t="shared" si="604"/>
        <v>-19200</v>
      </c>
      <c r="X276" s="74">
        <f t="shared" si="604"/>
        <v>706733</v>
      </c>
      <c r="Y276" s="74">
        <f t="shared" si="604"/>
        <v>0</v>
      </c>
      <c r="Z276" s="74">
        <f t="shared" si="604"/>
        <v>0</v>
      </c>
      <c r="AA276" s="74">
        <f t="shared" si="604"/>
        <v>0</v>
      </c>
      <c r="AB276" s="74">
        <f t="shared" si="604"/>
        <v>0</v>
      </c>
      <c r="AC276" s="74">
        <f t="shared" si="604"/>
        <v>0</v>
      </c>
      <c r="AD276" s="74">
        <f t="shared" si="604"/>
        <v>0</v>
      </c>
      <c r="AE276" s="74">
        <f t="shared" si="604"/>
        <v>0</v>
      </c>
      <c r="AF276" s="74">
        <f t="shared" si="604"/>
        <v>661933</v>
      </c>
      <c r="AG276" s="74">
        <f t="shared" si="604"/>
        <v>-19200</v>
      </c>
      <c r="AH276" s="74">
        <f t="shared" si="604"/>
        <v>642733</v>
      </c>
      <c r="AI276" s="74">
        <f t="shared" si="604"/>
        <v>44800</v>
      </c>
      <c r="AJ276" s="74">
        <f t="shared" si="604"/>
        <v>19200</v>
      </c>
      <c r="AK276" s="74">
        <f t="shared" si="604"/>
        <v>0</v>
      </c>
      <c r="AL276" s="74">
        <f t="shared" si="604"/>
        <v>0</v>
      </c>
      <c r="AM276" s="74">
        <f t="shared" si="604"/>
        <v>0</v>
      </c>
      <c r="AN276" s="74">
        <f t="shared" si="604"/>
        <v>0</v>
      </c>
      <c r="AO276" s="74">
        <f t="shared" si="604"/>
        <v>44800</v>
      </c>
      <c r="AP276" s="74">
        <f t="shared" si="604"/>
        <v>19200</v>
      </c>
      <c r="AQ276" s="74">
        <f t="shared" si="604"/>
        <v>64000</v>
      </c>
      <c r="AR276" s="74">
        <f t="shared" si="604"/>
        <v>706733</v>
      </c>
      <c r="AS276" s="74">
        <f t="shared" si="604"/>
        <v>0</v>
      </c>
      <c r="AT276" s="74">
        <f t="shared" si="604"/>
        <v>706733</v>
      </c>
      <c r="AU276" s="74">
        <f t="shared" si="604"/>
        <v>238876</v>
      </c>
      <c r="AV276" s="74">
        <f t="shared" si="604"/>
        <v>6427</v>
      </c>
      <c r="AW276" s="74">
        <f t="shared" si="604"/>
        <v>0</v>
      </c>
      <c r="AX276" s="74">
        <f t="shared" si="604"/>
        <v>0</v>
      </c>
      <c r="AY276" s="74">
        <f t="shared" si="604"/>
        <v>0</v>
      </c>
      <c r="AZ276" s="74">
        <f t="shared" si="604"/>
        <v>952036</v>
      </c>
      <c r="BA276" s="75">
        <f t="shared" si="604"/>
        <v>-0.08</v>
      </c>
      <c r="BB276" s="75">
        <f t="shared" si="604"/>
        <v>-7.0000000000000007E-2</v>
      </c>
      <c r="BC276" s="75">
        <f t="shared" si="604"/>
        <v>1.8400000000000003</v>
      </c>
      <c r="BD276" s="75">
        <f t="shared" si="604"/>
        <v>0</v>
      </c>
      <c r="BE276" s="75">
        <f t="shared" si="604"/>
        <v>0</v>
      </c>
      <c r="BF276" s="75">
        <f t="shared" si="604"/>
        <v>0</v>
      </c>
      <c r="BG276" s="75">
        <f t="shared" si="604"/>
        <v>0</v>
      </c>
      <c r="BH276" s="75">
        <f t="shared" si="604"/>
        <v>0</v>
      </c>
      <c r="BI276" s="75">
        <f t="shared" si="604"/>
        <v>0</v>
      </c>
      <c r="BJ276" s="75">
        <f t="shared" si="604"/>
        <v>0</v>
      </c>
      <c r="BK276" s="75">
        <f t="shared" si="604"/>
        <v>1.7600000000000002</v>
      </c>
      <c r="BL276" s="75">
        <f t="shared" si="604"/>
        <v>-7.0000000000000007E-2</v>
      </c>
      <c r="BM276" s="76">
        <f t="shared" si="604"/>
        <v>1.6900000000000004</v>
      </c>
      <c r="BN276" s="549">
        <f t="shared" si="604"/>
        <v>4909695</v>
      </c>
      <c r="BO276" s="74">
        <f t="shared" si="604"/>
        <v>3568824</v>
      </c>
      <c r="BP276" s="74">
        <f t="shared" si="604"/>
        <v>3039433</v>
      </c>
      <c r="BQ276" s="74">
        <f t="shared" si="604"/>
        <v>529391</v>
      </c>
      <c r="BR276" s="74">
        <f t="shared" si="604"/>
        <v>64000</v>
      </c>
      <c r="BS276" s="74">
        <f t="shared" si="604"/>
        <v>44800</v>
      </c>
      <c r="BT276" s="74">
        <f t="shared" si="604"/>
        <v>19200</v>
      </c>
      <c r="BU276" s="74">
        <f t="shared" si="604"/>
        <v>1227895</v>
      </c>
      <c r="BV276" s="74">
        <f t="shared" ref="BV276:CF276" si="605">SUM(BV273:BV275)</f>
        <v>35688</v>
      </c>
      <c r="BW276" s="74">
        <f t="shared" si="605"/>
        <v>13288</v>
      </c>
      <c r="BX276" s="75">
        <f t="shared" si="605"/>
        <v>7.4300999999999995</v>
      </c>
      <c r="BY276" s="75">
        <f t="shared" si="605"/>
        <v>5.76</v>
      </c>
      <c r="BZ276" s="753">
        <f t="shared" si="605"/>
        <v>1.6700999999999999</v>
      </c>
      <c r="CA276" s="796">
        <f t="shared" si="605"/>
        <v>0</v>
      </c>
      <c r="CB276" s="789">
        <f t="shared" si="605"/>
        <v>0</v>
      </c>
      <c r="CC276" s="789">
        <f t="shared" si="605"/>
        <v>0</v>
      </c>
      <c r="CD276" s="789">
        <f t="shared" si="605"/>
        <v>0</v>
      </c>
      <c r="CE276" s="789">
        <f t="shared" si="605"/>
        <v>0</v>
      </c>
      <c r="CF276" s="793">
        <f t="shared" si="605"/>
        <v>0</v>
      </c>
    </row>
    <row r="277" spans="1:84" ht="14.1" customHeight="1" x14ac:dyDescent="0.2">
      <c r="A277" s="66">
        <v>57</v>
      </c>
      <c r="B277" s="63">
        <v>2449</v>
      </c>
      <c r="C277" s="64">
        <v>650029348</v>
      </c>
      <c r="D277" s="63">
        <v>72742071</v>
      </c>
      <c r="E277" s="65" t="s">
        <v>650</v>
      </c>
      <c r="F277" s="66">
        <v>3111</v>
      </c>
      <c r="G277" s="65" t="s">
        <v>291</v>
      </c>
      <c r="H277" s="67" t="s">
        <v>271</v>
      </c>
      <c r="I277" s="423">
        <f t="shared" si="576"/>
        <v>3332165</v>
      </c>
      <c r="J277" s="418">
        <f t="shared" si="577"/>
        <v>2461388</v>
      </c>
      <c r="K277" s="418">
        <v>2328252</v>
      </c>
      <c r="L277" s="418">
        <v>133136</v>
      </c>
      <c r="M277" s="418">
        <f t="shared" ref="M277:M278" si="606">N277+O277</f>
        <v>0</v>
      </c>
      <c r="N277" s="418">
        <v>0</v>
      </c>
      <c r="O277" s="418">
        <v>0</v>
      </c>
      <c r="P277" s="668">
        <f t="shared" si="593"/>
        <v>831949</v>
      </c>
      <c r="Q277" s="668">
        <f t="shared" si="594"/>
        <v>24614</v>
      </c>
      <c r="R277" s="418">
        <v>14214</v>
      </c>
      <c r="S277" s="419">
        <f t="shared" si="595"/>
        <v>4.5334000000000003</v>
      </c>
      <c r="T277" s="419">
        <v>4</v>
      </c>
      <c r="U277" s="426">
        <v>0.53339999999999999</v>
      </c>
      <c r="V277" s="428">
        <f t="shared" si="580"/>
        <v>-21120</v>
      </c>
      <c r="W277" s="421">
        <f t="shared" si="581"/>
        <v>0</v>
      </c>
      <c r="X277" s="421">
        <v>0</v>
      </c>
      <c r="Y277" s="421">
        <v>0</v>
      </c>
      <c r="Z277" s="421">
        <v>0</v>
      </c>
      <c r="AA277" s="421">
        <v>0</v>
      </c>
      <c r="AB277" s="421">
        <v>0</v>
      </c>
      <c r="AC277" s="421">
        <v>0</v>
      </c>
      <c r="AD277" s="421">
        <v>0</v>
      </c>
      <c r="AE277" s="421">
        <v>0</v>
      </c>
      <c r="AF277" s="421">
        <f t="shared" si="582"/>
        <v>-21120</v>
      </c>
      <c r="AG277" s="421">
        <f t="shared" si="583"/>
        <v>0</v>
      </c>
      <c r="AH277" s="421">
        <f t="shared" si="584"/>
        <v>-21120</v>
      </c>
      <c r="AI277" s="421">
        <v>21120</v>
      </c>
      <c r="AJ277" s="421">
        <v>0</v>
      </c>
      <c r="AK277" s="421">
        <v>0</v>
      </c>
      <c r="AL277" s="421">
        <v>0</v>
      </c>
      <c r="AM277" s="421">
        <v>0</v>
      </c>
      <c r="AN277" s="421">
        <v>0</v>
      </c>
      <c r="AO277" s="421">
        <f t="shared" si="585"/>
        <v>21120</v>
      </c>
      <c r="AP277" s="421">
        <f t="shared" si="586"/>
        <v>0</v>
      </c>
      <c r="AQ277" s="421">
        <f t="shared" si="587"/>
        <v>21120</v>
      </c>
      <c r="AR277" s="421">
        <f t="shared" ref="AR277:AS282" si="607">AF277+AO277</f>
        <v>0</v>
      </c>
      <c r="AS277" s="421">
        <f t="shared" si="607"/>
        <v>0</v>
      </c>
      <c r="AT277" s="421">
        <f t="shared" si="588"/>
        <v>0</v>
      </c>
      <c r="AU277" s="68">
        <f t="shared" ref="AU277:AU282" si="608">ROUND((AH277+AI277+AJ277+AK277+AL277)*33.8%,0)</f>
        <v>0</v>
      </c>
      <c r="AV277" s="68">
        <f t="shared" ref="AV277:AV282" si="609">ROUND(AH277*1%,0)</f>
        <v>-211</v>
      </c>
      <c r="AW277" s="421">
        <v>0</v>
      </c>
      <c r="AX277" s="421">
        <v>0</v>
      </c>
      <c r="AY277" s="421">
        <f t="shared" si="589"/>
        <v>0</v>
      </c>
      <c r="AZ277" s="421">
        <f t="shared" si="590"/>
        <v>-211</v>
      </c>
      <c r="BA277" s="422">
        <v>-0.04</v>
      </c>
      <c r="BB277" s="422">
        <v>0</v>
      </c>
      <c r="BC277" s="422">
        <v>0</v>
      </c>
      <c r="BD277" s="422">
        <v>0</v>
      </c>
      <c r="BE277" s="422">
        <v>0</v>
      </c>
      <c r="BF277" s="422">
        <v>0</v>
      </c>
      <c r="BG277" s="422">
        <v>0</v>
      </c>
      <c r="BH277" s="422">
        <v>0</v>
      </c>
      <c r="BI277" s="422">
        <v>0</v>
      </c>
      <c r="BJ277" s="422">
        <v>0</v>
      </c>
      <c r="BK277" s="422">
        <f t="shared" ref="BK277:BK282" si="610">BA277+BC277+BD277+BF277+BH277+BI277</f>
        <v>-0.04</v>
      </c>
      <c r="BL277" s="422">
        <f t="shared" ref="BL277:BL282" si="611">BB277+BE277+BG277+BJ277</f>
        <v>0</v>
      </c>
      <c r="BM277" s="424">
        <f t="shared" si="591"/>
        <v>-0.04</v>
      </c>
      <c r="BN277" s="427">
        <f t="shared" ref="BN277:BN282" si="612">I277+AZ277</f>
        <v>3331954</v>
      </c>
      <c r="BO277" s="421">
        <f t="shared" ref="BO277:BO282" si="613">J277+AH277</f>
        <v>2440268</v>
      </c>
      <c r="BP277" s="421">
        <f t="shared" ref="BP277:BQ282" si="614">K277+AF277</f>
        <v>2307132</v>
      </c>
      <c r="BQ277" s="421">
        <f t="shared" si="614"/>
        <v>133136</v>
      </c>
      <c r="BR277" s="421">
        <f t="shared" ref="BR277:BR282" si="615">M277+AQ277</f>
        <v>21120</v>
      </c>
      <c r="BS277" s="421">
        <f t="shared" ref="BS277:BT282" si="616">N277+AO277</f>
        <v>21120</v>
      </c>
      <c r="BT277" s="421">
        <f t="shared" si="616"/>
        <v>0</v>
      </c>
      <c r="BU277" s="421">
        <f t="shared" ref="BU277:BV282" si="617">P277+AU277</f>
        <v>831949</v>
      </c>
      <c r="BV277" s="421">
        <f t="shared" si="617"/>
        <v>24403</v>
      </c>
      <c r="BW277" s="421">
        <f t="shared" ref="BW277:BW282" si="618">R277+AY277</f>
        <v>14214</v>
      </c>
      <c r="BX277" s="422">
        <f t="shared" ref="BX277:BX282" si="619">S277+BM277</f>
        <v>4.4934000000000003</v>
      </c>
      <c r="BY277" s="422">
        <f t="shared" ref="BY277:BZ282" si="620">T277+BK277</f>
        <v>3.96</v>
      </c>
      <c r="BZ277" s="611">
        <f t="shared" si="620"/>
        <v>0.53339999999999999</v>
      </c>
      <c r="CA277" s="423"/>
      <c r="CB277" s="418"/>
      <c r="CC277" s="418"/>
      <c r="CD277" s="418"/>
      <c r="CE277" s="418"/>
      <c r="CF277" s="527"/>
    </row>
    <row r="278" spans="1:84" ht="14.1" customHeight="1" x14ac:dyDescent="0.2">
      <c r="A278" s="66">
        <v>57</v>
      </c>
      <c r="B278" s="63">
        <v>2449</v>
      </c>
      <c r="C278" s="64">
        <v>650029348</v>
      </c>
      <c r="D278" s="63">
        <v>72742071</v>
      </c>
      <c r="E278" s="65" t="s">
        <v>650</v>
      </c>
      <c r="F278" s="66">
        <v>3117</v>
      </c>
      <c r="G278" s="65" t="s">
        <v>294</v>
      </c>
      <c r="H278" s="67" t="s">
        <v>271</v>
      </c>
      <c r="I278" s="423">
        <f t="shared" si="576"/>
        <v>4589551</v>
      </c>
      <c r="J278" s="418">
        <f t="shared" si="577"/>
        <v>3358667</v>
      </c>
      <c r="K278" s="418">
        <v>2896995</v>
      </c>
      <c r="L278" s="418">
        <v>461672</v>
      </c>
      <c r="M278" s="418">
        <f t="shared" si="606"/>
        <v>0</v>
      </c>
      <c r="N278" s="418">
        <v>0</v>
      </c>
      <c r="O278" s="418">
        <v>0</v>
      </c>
      <c r="P278" s="668">
        <f>ROUND(J278*33.8%,0)+1</f>
        <v>1135230</v>
      </c>
      <c r="Q278" s="668">
        <f t="shared" si="594"/>
        <v>33587</v>
      </c>
      <c r="R278" s="418">
        <v>62067</v>
      </c>
      <c r="S278" s="419">
        <f>T278+U278</f>
        <v>5.8592999999999993</v>
      </c>
      <c r="T278" s="419">
        <v>4.5926999999999998</v>
      </c>
      <c r="U278" s="426">
        <v>1.2665999999999999</v>
      </c>
      <c r="V278" s="428">
        <f t="shared" si="580"/>
        <v>0</v>
      </c>
      <c r="W278" s="421">
        <f t="shared" si="581"/>
        <v>0</v>
      </c>
      <c r="X278" s="421">
        <v>0</v>
      </c>
      <c r="Y278" s="421">
        <v>0</v>
      </c>
      <c r="Z278" s="421">
        <v>0</v>
      </c>
      <c r="AA278" s="421">
        <v>0</v>
      </c>
      <c r="AB278" s="421">
        <v>0</v>
      </c>
      <c r="AC278" s="421">
        <v>0</v>
      </c>
      <c r="AD278" s="421">
        <v>0</v>
      </c>
      <c r="AE278" s="421">
        <v>0</v>
      </c>
      <c r="AF278" s="421">
        <f t="shared" si="582"/>
        <v>0</v>
      </c>
      <c r="AG278" s="421">
        <f t="shared" si="583"/>
        <v>0</v>
      </c>
      <c r="AH278" s="421">
        <f t="shared" si="584"/>
        <v>0</v>
      </c>
      <c r="AI278" s="421">
        <v>0</v>
      </c>
      <c r="AJ278" s="421">
        <v>0</v>
      </c>
      <c r="AK278" s="421">
        <v>0</v>
      </c>
      <c r="AL278" s="421">
        <v>0</v>
      </c>
      <c r="AM278" s="421">
        <v>0</v>
      </c>
      <c r="AN278" s="421">
        <v>0</v>
      </c>
      <c r="AO278" s="421">
        <f t="shared" si="585"/>
        <v>0</v>
      </c>
      <c r="AP278" s="421">
        <f t="shared" si="586"/>
        <v>0</v>
      </c>
      <c r="AQ278" s="421">
        <f t="shared" si="587"/>
        <v>0</v>
      </c>
      <c r="AR278" s="421">
        <f t="shared" si="607"/>
        <v>0</v>
      </c>
      <c r="AS278" s="421">
        <f t="shared" si="607"/>
        <v>0</v>
      </c>
      <c r="AT278" s="421">
        <f t="shared" si="588"/>
        <v>0</v>
      </c>
      <c r="AU278" s="68">
        <f t="shared" si="608"/>
        <v>0</v>
      </c>
      <c r="AV278" s="68">
        <f t="shared" si="609"/>
        <v>0</v>
      </c>
      <c r="AW278" s="421">
        <v>0</v>
      </c>
      <c r="AX278" s="421">
        <v>0</v>
      </c>
      <c r="AY278" s="421">
        <f t="shared" si="589"/>
        <v>0</v>
      </c>
      <c r="AZ278" s="421">
        <f t="shared" si="590"/>
        <v>0</v>
      </c>
      <c r="BA278" s="422">
        <v>0</v>
      </c>
      <c r="BB278" s="422">
        <v>0</v>
      </c>
      <c r="BC278" s="422">
        <v>0</v>
      </c>
      <c r="BD278" s="422">
        <v>0</v>
      </c>
      <c r="BE278" s="422">
        <v>0</v>
      </c>
      <c r="BF278" s="422">
        <v>0</v>
      </c>
      <c r="BG278" s="422">
        <v>0</v>
      </c>
      <c r="BH278" s="422">
        <v>0</v>
      </c>
      <c r="BI278" s="422">
        <v>0</v>
      </c>
      <c r="BJ278" s="422">
        <v>0</v>
      </c>
      <c r="BK278" s="422">
        <f t="shared" si="610"/>
        <v>0</v>
      </c>
      <c r="BL278" s="422">
        <f t="shared" si="611"/>
        <v>0</v>
      </c>
      <c r="BM278" s="424">
        <f t="shared" si="591"/>
        <v>0</v>
      </c>
      <c r="BN278" s="427">
        <f t="shared" si="612"/>
        <v>4589551</v>
      </c>
      <c r="BO278" s="421">
        <f t="shared" si="613"/>
        <v>3358667</v>
      </c>
      <c r="BP278" s="421">
        <f t="shared" si="614"/>
        <v>2896995</v>
      </c>
      <c r="BQ278" s="421">
        <f t="shared" si="614"/>
        <v>461672</v>
      </c>
      <c r="BR278" s="421">
        <f t="shared" si="615"/>
        <v>0</v>
      </c>
      <c r="BS278" s="421">
        <f t="shared" si="616"/>
        <v>0</v>
      </c>
      <c r="BT278" s="421">
        <f t="shared" si="616"/>
        <v>0</v>
      </c>
      <c r="BU278" s="421">
        <f t="shared" si="617"/>
        <v>1135230</v>
      </c>
      <c r="BV278" s="421">
        <f t="shared" si="617"/>
        <v>33587</v>
      </c>
      <c r="BW278" s="421">
        <f t="shared" si="618"/>
        <v>62067</v>
      </c>
      <c r="BX278" s="422">
        <f t="shared" si="619"/>
        <v>5.8592999999999993</v>
      </c>
      <c r="BY278" s="422">
        <f t="shared" si="620"/>
        <v>4.5926999999999998</v>
      </c>
      <c r="BZ278" s="611">
        <f t="shared" si="620"/>
        <v>1.2665999999999999</v>
      </c>
      <c r="CA278" s="423"/>
      <c r="CB278" s="418"/>
      <c r="CC278" s="418"/>
      <c r="CD278" s="418"/>
      <c r="CE278" s="418"/>
      <c r="CF278" s="527"/>
    </row>
    <row r="279" spans="1:84" ht="14.1" customHeight="1" x14ac:dyDescent="0.2">
      <c r="A279" s="66">
        <v>57</v>
      </c>
      <c r="B279" s="63">
        <v>2449</v>
      </c>
      <c r="C279" s="64">
        <v>650029348</v>
      </c>
      <c r="D279" s="63">
        <v>72742071</v>
      </c>
      <c r="E279" s="65" t="s">
        <v>650</v>
      </c>
      <c r="F279" s="66">
        <v>3117</v>
      </c>
      <c r="G279" s="77" t="s">
        <v>292</v>
      </c>
      <c r="H279" s="67" t="s">
        <v>272</v>
      </c>
      <c r="I279" s="423">
        <f t="shared" si="576"/>
        <v>0</v>
      </c>
      <c r="J279" s="418">
        <f t="shared" si="577"/>
        <v>0</v>
      </c>
      <c r="K279" s="418">
        <v>0</v>
      </c>
      <c r="L279" s="418">
        <v>0</v>
      </c>
      <c r="M279" s="418">
        <f t="shared" si="592"/>
        <v>0</v>
      </c>
      <c r="N279" s="418">
        <v>0</v>
      </c>
      <c r="O279" s="418">
        <v>0</v>
      </c>
      <c r="P279" s="668">
        <f t="shared" si="593"/>
        <v>0</v>
      </c>
      <c r="Q279" s="668">
        <f t="shared" si="594"/>
        <v>0</v>
      </c>
      <c r="R279" s="418">
        <v>0</v>
      </c>
      <c r="S279" s="419">
        <f t="shared" si="595"/>
        <v>0</v>
      </c>
      <c r="T279" s="420">
        <v>0</v>
      </c>
      <c r="U279" s="426">
        <v>0</v>
      </c>
      <c r="V279" s="428">
        <f t="shared" si="580"/>
        <v>0</v>
      </c>
      <c r="W279" s="421">
        <f t="shared" si="581"/>
        <v>0</v>
      </c>
      <c r="X279" s="16">
        <v>236905</v>
      </c>
      <c r="Y279" s="16">
        <v>0</v>
      </c>
      <c r="Z279" s="16">
        <v>0</v>
      </c>
      <c r="AA279" s="16">
        <v>0</v>
      </c>
      <c r="AB279" s="421">
        <v>0</v>
      </c>
      <c r="AC279" s="16">
        <v>0</v>
      </c>
      <c r="AD279" s="16">
        <v>0</v>
      </c>
      <c r="AE279" s="16">
        <v>0</v>
      </c>
      <c r="AF279" s="421">
        <f t="shared" si="582"/>
        <v>236905</v>
      </c>
      <c r="AG279" s="421">
        <f t="shared" si="583"/>
        <v>0</v>
      </c>
      <c r="AH279" s="421">
        <f t="shared" si="584"/>
        <v>236905</v>
      </c>
      <c r="AI279" s="16">
        <v>0</v>
      </c>
      <c r="AJ279" s="16">
        <v>0</v>
      </c>
      <c r="AK279" s="421">
        <v>0</v>
      </c>
      <c r="AL279" s="16">
        <v>0</v>
      </c>
      <c r="AM279" s="16">
        <v>0</v>
      </c>
      <c r="AN279" s="16">
        <v>0</v>
      </c>
      <c r="AO279" s="421">
        <f t="shared" si="585"/>
        <v>0</v>
      </c>
      <c r="AP279" s="16">
        <v>0</v>
      </c>
      <c r="AQ279" s="421">
        <f t="shared" si="587"/>
        <v>0</v>
      </c>
      <c r="AR279" s="421">
        <f t="shared" si="607"/>
        <v>236905</v>
      </c>
      <c r="AS279" s="421">
        <f t="shared" si="607"/>
        <v>0</v>
      </c>
      <c r="AT279" s="421">
        <f t="shared" si="588"/>
        <v>236905</v>
      </c>
      <c r="AU279" s="68">
        <f t="shared" si="608"/>
        <v>80074</v>
      </c>
      <c r="AV279" s="68">
        <f t="shared" si="609"/>
        <v>2369</v>
      </c>
      <c r="AW279" s="16">
        <v>0</v>
      </c>
      <c r="AX279" s="16">
        <v>0</v>
      </c>
      <c r="AY279" s="421">
        <f t="shared" si="589"/>
        <v>0</v>
      </c>
      <c r="AZ279" s="421">
        <f t="shared" si="590"/>
        <v>319348</v>
      </c>
      <c r="BA279" s="13">
        <v>0</v>
      </c>
      <c r="BB279" s="13">
        <v>0</v>
      </c>
      <c r="BC279" s="13">
        <v>0.64</v>
      </c>
      <c r="BD279" s="422">
        <v>0</v>
      </c>
      <c r="BE279" s="422">
        <v>0</v>
      </c>
      <c r="BF279" s="422">
        <v>0</v>
      </c>
      <c r="BG279" s="422">
        <v>0</v>
      </c>
      <c r="BH279" s="422">
        <v>0</v>
      </c>
      <c r="BI279" s="422">
        <v>0</v>
      </c>
      <c r="BJ279" s="422">
        <v>0</v>
      </c>
      <c r="BK279" s="422">
        <f t="shared" si="610"/>
        <v>0.64</v>
      </c>
      <c r="BL279" s="422">
        <f t="shared" si="611"/>
        <v>0</v>
      </c>
      <c r="BM279" s="424">
        <f t="shared" si="591"/>
        <v>0.64</v>
      </c>
      <c r="BN279" s="427">
        <f t="shared" si="612"/>
        <v>319348</v>
      </c>
      <c r="BO279" s="421">
        <f t="shared" si="613"/>
        <v>236905</v>
      </c>
      <c r="BP279" s="421">
        <f t="shared" si="614"/>
        <v>236905</v>
      </c>
      <c r="BQ279" s="421">
        <f t="shared" si="614"/>
        <v>0</v>
      </c>
      <c r="BR279" s="421">
        <f t="shared" si="615"/>
        <v>0</v>
      </c>
      <c r="BS279" s="421">
        <f t="shared" si="616"/>
        <v>0</v>
      </c>
      <c r="BT279" s="421">
        <f t="shared" si="616"/>
        <v>0</v>
      </c>
      <c r="BU279" s="421">
        <f t="shared" si="617"/>
        <v>80074</v>
      </c>
      <c r="BV279" s="421">
        <f t="shared" si="617"/>
        <v>2369</v>
      </c>
      <c r="BW279" s="421">
        <f t="shared" si="618"/>
        <v>0</v>
      </c>
      <c r="BX279" s="422">
        <f t="shared" si="619"/>
        <v>0.64</v>
      </c>
      <c r="BY279" s="422">
        <f t="shared" si="620"/>
        <v>0.64</v>
      </c>
      <c r="BZ279" s="611">
        <f t="shared" si="620"/>
        <v>0</v>
      </c>
      <c r="CA279" s="423"/>
      <c r="CB279" s="418"/>
      <c r="CC279" s="418"/>
      <c r="CD279" s="418"/>
      <c r="CE279" s="418"/>
      <c r="CF279" s="527"/>
    </row>
    <row r="280" spans="1:84" ht="14.1" customHeight="1" x14ac:dyDescent="0.2">
      <c r="A280" s="66">
        <v>57</v>
      </c>
      <c r="B280" s="63">
        <v>2449</v>
      </c>
      <c r="C280" s="64">
        <v>650029348</v>
      </c>
      <c r="D280" s="63">
        <v>72742071</v>
      </c>
      <c r="E280" s="65" t="s">
        <v>650</v>
      </c>
      <c r="F280" s="66">
        <v>3141</v>
      </c>
      <c r="G280" s="65" t="s">
        <v>295</v>
      </c>
      <c r="H280" s="67" t="s">
        <v>272</v>
      </c>
      <c r="I280" s="423">
        <f t="shared" si="576"/>
        <v>767423</v>
      </c>
      <c r="J280" s="418">
        <f t="shared" si="577"/>
        <v>566916</v>
      </c>
      <c r="K280" s="418">
        <v>0</v>
      </c>
      <c r="L280" s="924">
        <v>566916</v>
      </c>
      <c r="M280" s="418">
        <f>N280+O280</f>
        <v>0</v>
      </c>
      <c r="N280" s="205">
        <v>0</v>
      </c>
      <c r="O280" s="205">
        <v>0</v>
      </c>
      <c r="P280" s="668">
        <f t="shared" si="593"/>
        <v>191618</v>
      </c>
      <c r="Q280" s="668">
        <f t="shared" si="594"/>
        <v>5669</v>
      </c>
      <c r="R280" s="674">
        <v>3220</v>
      </c>
      <c r="S280" s="419">
        <f>T280+U280</f>
        <v>1.7</v>
      </c>
      <c r="T280" s="676">
        <v>0</v>
      </c>
      <c r="U280" s="909">
        <v>1.7</v>
      </c>
      <c r="V280" s="428">
        <f t="shared" si="580"/>
        <v>0</v>
      </c>
      <c r="W280" s="421">
        <f t="shared" si="581"/>
        <v>0</v>
      </c>
      <c r="X280" s="421">
        <v>0</v>
      </c>
      <c r="Y280" s="421">
        <v>0</v>
      </c>
      <c r="Z280" s="421">
        <v>0</v>
      </c>
      <c r="AA280" s="421">
        <v>0</v>
      </c>
      <c r="AB280" s="421">
        <v>0</v>
      </c>
      <c r="AC280" s="421">
        <v>0</v>
      </c>
      <c r="AD280" s="421">
        <v>0</v>
      </c>
      <c r="AE280" s="421">
        <v>0</v>
      </c>
      <c r="AF280" s="421">
        <f t="shared" si="582"/>
        <v>0</v>
      </c>
      <c r="AG280" s="421">
        <f t="shared" si="583"/>
        <v>0</v>
      </c>
      <c r="AH280" s="421">
        <f t="shared" si="584"/>
        <v>0</v>
      </c>
      <c r="AI280" s="421">
        <v>0</v>
      </c>
      <c r="AJ280" s="421">
        <v>0</v>
      </c>
      <c r="AK280" s="421">
        <v>0</v>
      </c>
      <c r="AL280" s="421">
        <v>0</v>
      </c>
      <c r="AM280" s="421">
        <v>0</v>
      </c>
      <c r="AN280" s="421">
        <v>0</v>
      </c>
      <c r="AO280" s="421">
        <f t="shared" si="585"/>
        <v>0</v>
      </c>
      <c r="AP280" s="421">
        <f t="shared" si="586"/>
        <v>0</v>
      </c>
      <c r="AQ280" s="421">
        <f t="shared" si="587"/>
        <v>0</v>
      </c>
      <c r="AR280" s="421">
        <f t="shared" si="607"/>
        <v>0</v>
      </c>
      <c r="AS280" s="421">
        <f t="shared" si="607"/>
        <v>0</v>
      </c>
      <c r="AT280" s="421">
        <f t="shared" si="588"/>
        <v>0</v>
      </c>
      <c r="AU280" s="68">
        <f t="shared" si="608"/>
        <v>0</v>
      </c>
      <c r="AV280" s="68">
        <f t="shared" si="609"/>
        <v>0</v>
      </c>
      <c r="AW280" s="421">
        <v>0</v>
      </c>
      <c r="AX280" s="421">
        <v>0</v>
      </c>
      <c r="AY280" s="421">
        <f t="shared" si="589"/>
        <v>0</v>
      </c>
      <c r="AZ280" s="421">
        <f t="shared" si="590"/>
        <v>0</v>
      </c>
      <c r="BA280" s="422">
        <v>0</v>
      </c>
      <c r="BB280" s="422">
        <v>0</v>
      </c>
      <c r="BC280" s="422">
        <v>0</v>
      </c>
      <c r="BD280" s="422">
        <v>0</v>
      </c>
      <c r="BE280" s="422">
        <v>0</v>
      </c>
      <c r="BF280" s="422">
        <v>0</v>
      </c>
      <c r="BG280" s="422">
        <v>0</v>
      </c>
      <c r="BH280" s="422">
        <v>0</v>
      </c>
      <c r="BI280" s="422">
        <v>0</v>
      </c>
      <c r="BJ280" s="422">
        <v>0</v>
      </c>
      <c r="BK280" s="422">
        <f t="shared" si="610"/>
        <v>0</v>
      </c>
      <c r="BL280" s="422">
        <f t="shared" si="611"/>
        <v>0</v>
      </c>
      <c r="BM280" s="424">
        <f t="shared" si="591"/>
        <v>0</v>
      </c>
      <c r="BN280" s="427">
        <f t="shared" si="612"/>
        <v>767423</v>
      </c>
      <c r="BO280" s="421">
        <f t="shared" si="613"/>
        <v>566916</v>
      </c>
      <c r="BP280" s="421">
        <f t="shared" si="614"/>
        <v>0</v>
      </c>
      <c r="BQ280" s="421">
        <f t="shared" si="614"/>
        <v>566916</v>
      </c>
      <c r="BR280" s="421">
        <f t="shared" si="615"/>
        <v>0</v>
      </c>
      <c r="BS280" s="421">
        <f t="shared" si="616"/>
        <v>0</v>
      </c>
      <c r="BT280" s="421">
        <f t="shared" si="616"/>
        <v>0</v>
      </c>
      <c r="BU280" s="421">
        <f t="shared" si="617"/>
        <v>191618</v>
      </c>
      <c r="BV280" s="421">
        <f t="shared" si="617"/>
        <v>5669</v>
      </c>
      <c r="BW280" s="421">
        <f t="shared" si="618"/>
        <v>3220</v>
      </c>
      <c r="BX280" s="422">
        <f t="shared" si="619"/>
        <v>1.7</v>
      </c>
      <c r="BY280" s="422">
        <f t="shared" si="620"/>
        <v>0</v>
      </c>
      <c r="BZ280" s="611">
        <f t="shared" si="620"/>
        <v>1.7</v>
      </c>
      <c r="CA280" s="423"/>
      <c r="CB280" s="418"/>
      <c r="CC280" s="418"/>
      <c r="CD280" s="418"/>
      <c r="CE280" s="418"/>
      <c r="CF280" s="527"/>
    </row>
    <row r="281" spans="1:84" ht="14.1" customHeight="1" x14ac:dyDescent="0.2">
      <c r="A281" s="66">
        <v>57</v>
      </c>
      <c r="B281" s="63">
        <v>2449</v>
      </c>
      <c r="C281" s="64">
        <v>650029348</v>
      </c>
      <c r="D281" s="63">
        <v>72742071</v>
      </c>
      <c r="E281" s="65" t="s">
        <v>650</v>
      </c>
      <c r="F281" s="66">
        <v>3143</v>
      </c>
      <c r="G281" s="77" t="s">
        <v>596</v>
      </c>
      <c r="H281" s="67" t="s">
        <v>271</v>
      </c>
      <c r="I281" s="423">
        <f t="shared" si="576"/>
        <v>727421</v>
      </c>
      <c r="J281" s="418">
        <f t="shared" si="577"/>
        <v>539630</v>
      </c>
      <c r="K281" s="418">
        <v>539630</v>
      </c>
      <c r="L281" s="418">
        <v>0</v>
      </c>
      <c r="M281" s="418">
        <f t="shared" si="592"/>
        <v>0</v>
      </c>
      <c r="N281" s="418">
        <v>0</v>
      </c>
      <c r="O281" s="418">
        <v>0</v>
      </c>
      <c r="P281" s="668">
        <f t="shared" si="593"/>
        <v>182395</v>
      </c>
      <c r="Q281" s="668">
        <f t="shared" si="594"/>
        <v>5396</v>
      </c>
      <c r="R281" s="418">
        <v>0</v>
      </c>
      <c r="S281" s="419">
        <f t="shared" si="595"/>
        <v>1</v>
      </c>
      <c r="T281" s="419">
        <v>1</v>
      </c>
      <c r="U281" s="426">
        <v>0</v>
      </c>
      <c r="V281" s="428">
        <f t="shared" si="580"/>
        <v>0</v>
      </c>
      <c r="W281" s="421">
        <f t="shared" si="581"/>
        <v>0</v>
      </c>
      <c r="X281" s="421">
        <v>0</v>
      </c>
      <c r="Y281" s="421">
        <v>0</v>
      </c>
      <c r="Z281" s="421">
        <v>0</v>
      </c>
      <c r="AA281" s="421">
        <v>0</v>
      </c>
      <c r="AB281" s="421">
        <v>0</v>
      </c>
      <c r="AC281" s="421">
        <v>0</v>
      </c>
      <c r="AD281" s="421">
        <v>0</v>
      </c>
      <c r="AE281" s="421">
        <v>0</v>
      </c>
      <c r="AF281" s="421">
        <f t="shared" si="582"/>
        <v>0</v>
      </c>
      <c r="AG281" s="421">
        <f t="shared" si="583"/>
        <v>0</v>
      </c>
      <c r="AH281" s="421">
        <f t="shared" si="584"/>
        <v>0</v>
      </c>
      <c r="AI281" s="421">
        <v>0</v>
      </c>
      <c r="AJ281" s="421">
        <v>0</v>
      </c>
      <c r="AK281" s="421">
        <v>0</v>
      </c>
      <c r="AL281" s="421">
        <v>0</v>
      </c>
      <c r="AM281" s="421">
        <v>0</v>
      </c>
      <c r="AN281" s="421">
        <v>0</v>
      </c>
      <c r="AO281" s="421">
        <f t="shared" si="585"/>
        <v>0</v>
      </c>
      <c r="AP281" s="421">
        <f t="shared" si="586"/>
        <v>0</v>
      </c>
      <c r="AQ281" s="421">
        <f t="shared" si="587"/>
        <v>0</v>
      </c>
      <c r="AR281" s="421">
        <f t="shared" si="607"/>
        <v>0</v>
      </c>
      <c r="AS281" s="421">
        <f t="shared" si="607"/>
        <v>0</v>
      </c>
      <c r="AT281" s="421">
        <f t="shared" si="588"/>
        <v>0</v>
      </c>
      <c r="AU281" s="68">
        <f t="shared" si="608"/>
        <v>0</v>
      </c>
      <c r="AV281" s="68">
        <f t="shared" si="609"/>
        <v>0</v>
      </c>
      <c r="AW281" s="421">
        <v>0</v>
      </c>
      <c r="AX281" s="421">
        <v>0</v>
      </c>
      <c r="AY281" s="421">
        <f t="shared" si="589"/>
        <v>0</v>
      </c>
      <c r="AZ281" s="421">
        <f t="shared" si="590"/>
        <v>0</v>
      </c>
      <c r="BA281" s="422">
        <v>0</v>
      </c>
      <c r="BB281" s="422">
        <v>0</v>
      </c>
      <c r="BC281" s="422">
        <v>0</v>
      </c>
      <c r="BD281" s="422">
        <v>0</v>
      </c>
      <c r="BE281" s="422">
        <v>0</v>
      </c>
      <c r="BF281" s="422">
        <v>0</v>
      </c>
      <c r="BG281" s="422">
        <v>0</v>
      </c>
      <c r="BH281" s="422">
        <v>0</v>
      </c>
      <c r="BI281" s="422">
        <v>0</v>
      </c>
      <c r="BJ281" s="422">
        <v>0</v>
      </c>
      <c r="BK281" s="422">
        <f t="shared" si="610"/>
        <v>0</v>
      </c>
      <c r="BL281" s="422">
        <f t="shared" si="611"/>
        <v>0</v>
      </c>
      <c r="BM281" s="424">
        <f t="shared" si="591"/>
        <v>0</v>
      </c>
      <c r="BN281" s="427">
        <f t="shared" si="612"/>
        <v>727421</v>
      </c>
      <c r="BO281" s="421">
        <f t="shared" si="613"/>
        <v>539630</v>
      </c>
      <c r="BP281" s="421">
        <f t="shared" si="614"/>
        <v>539630</v>
      </c>
      <c r="BQ281" s="421">
        <f t="shared" si="614"/>
        <v>0</v>
      </c>
      <c r="BR281" s="421">
        <f t="shared" si="615"/>
        <v>0</v>
      </c>
      <c r="BS281" s="421">
        <f t="shared" si="616"/>
        <v>0</v>
      </c>
      <c r="BT281" s="421">
        <f t="shared" si="616"/>
        <v>0</v>
      </c>
      <c r="BU281" s="421">
        <f t="shared" si="617"/>
        <v>182395</v>
      </c>
      <c r="BV281" s="421">
        <f t="shared" si="617"/>
        <v>5396</v>
      </c>
      <c r="BW281" s="421">
        <f t="shared" si="618"/>
        <v>0</v>
      </c>
      <c r="BX281" s="422">
        <f t="shared" si="619"/>
        <v>1</v>
      </c>
      <c r="BY281" s="422">
        <f t="shared" si="620"/>
        <v>1</v>
      </c>
      <c r="BZ281" s="611">
        <f t="shared" si="620"/>
        <v>0</v>
      </c>
      <c r="CA281" s="423"/>
      <c r="CB281" s="418"/>
      <c r="CC281" s="418"/>
      <c r="CD281" s="418"/>
      <c r="CE281" s="418"/>
      <c r="CF281" s="527"/>
    </row>
    <row r="282" spans="1:84" ht="14.1" customHeight="1" x14ac:dyDescent="0.2">
      <c r="A282" s="66">
        <v>57</v>
      </c>
      <c r="B282" s="63">
        <v>2449</v>
      </c>
      <c r="C282" s="64">
        <v>650029348</v>
      </c>
      <c r="D282" s="63">
        <v>72742071</v>
      </c>
      <c r="E282" s="65" t="s">
        <v>650</v>
      </c>
      <c r="F282" s="66">
        <v>3143</v>
      </c>
      <c r="G282" s="77" t="s">
        <v>597</v>
      </c>
      <c r="H282" s="67" t="s">
        <v>272</v>
      </c>
      <c r="I282" s="423">
        <f t="shared" si="576"/>
        <v>14863</v>
      </c>
      <c r="J282" s="418">
        <f t="shared" si="577"/>
        <v>10639</v>
      </c>
      <c r="K282" s="418">
        <v>0</v>
      </c>
      <c r="L282" s="674">
        <v>10639</v>
      </c>
      <c r="M282" s="418">
        <f t="shared" si="592"/>
        <v>0</v>
      </c>
      <c r="N282" s="418">
        <v>0</v>
      </c>
      <c r="O282" s="418">
        <v>0</v>
      </c>
      <c r="P282" s="668">
        <f t="shared" si="593"/>
        <v>3596</v>
      </c>
      <c r="Q282" s="668">
        <f t="shared" si="594"/>
        <v>106</v>
      </c>
      <c r="R282" s="675">
        <v>522</v>
      </c>
      <c r="S282" s="419">
        <f t="shared" si="595"/>
        <v>4.0300000000000002E-2</v>
      </c>
      <c r="T282" s="679">
        <v>0</v>
      </c>
      <c r="U282" s="909">
        <v>4.0300000000000002E-2</v>
      </c>
      <c r="V282" s="428">
        <f t="shared" si="580"/>
        <v>0</v>
      </c>
      <c r="W282" s="421">
        <f t="shared" si="581"/>
        <v>0</v>
      </c>
      <c r="X282" s="421">
        <v>0</v>
      </c>
      <c r="Y282" s="421">
        <v>0</v>
      </c>
      <c r="Z282" s="421">
        <v>0</v>
      </c>
      <c r="AA282" s="421">
        <v>0</v>
      </c>
      <c r="AB282" s="421">
        <v>0</v>
      </c>
      <c r="AC282" s="421">
        <v>0</v>
      </c>
      <c r="AD282" s="421">
        <v>0</v>
      </c>
      <c r="AE282" s="421">
        <v>0</v>
      </c>
      <c r="AF282" s="421">
        <f t="shared" si="582"/>
        <v>0</v>
      </c>
      <c r="AG282" s="421">
        <f t="shared" si="583"/>
        <v>0</v>
      </c>
      <c r="AH282" s="421">
        <f t="shared" si="584"/>
        <v>0</v>
      </c>
      <c r="AI282" s="421">
        <v>0</v>
      </c>
      <c r="AJ282" s="421">
        <v>0</v>
      </c>
      <c r="AK282" s="421">
        <v>0</v>
      </c>
      <c r="AL282" s="421">
        <v>0</v>
      </c>
      <c r="AM282" s="421">
        <v>0</v>
      </c>
      <c r="AN282" s="421">
        <v>0</v>
      </c>
      <c r="AO282" s="421">
        <f t="shared" si="585"/>
        <v>0</v>
      </c>
      <c r="AP282" s="421">
        <f t="shared" si="586"/>
        <v>0</v>
      </c>
      <c r="AQ282" s="421">
        <f t="shared" si="587"/>
        <v>0</v>
      </c>
      <c r="AR282" s="421">
        <f t="shared" si="607"/>
        <v>0</v>
      </c>
      <c r="AS282" s="421">
        <f t="shared" si="607"/>
        <v>0</v>
      </c>
      <c r="AT282" s="421">
        <f t="shared" si="588"/>
        <v>0</v>
      </c>
      <c r="AU282" s="68">
        <f t="shared" si="608"/>
        <v>0</v>
      </c>
      <c r="AV282" s="68">
        <f t="shared" si="609"/>
        <v>0</v>
      </c>
      <c r="AW282" s="421">
        <v>0</v>
      </c>
      <c r="AX282" s="421">
        <v>0</v>
      </c>
      <c r="AY282" s="421">
        <f t="shared" si="589"/>
        <v>0</v>
      </c>
      <c r="AZ282" s="421">
        <f t="shared" si="590"/>
        <v>0</v>
      </c>
      <c r="BA282" s="422">
        <v>0</v>
      </c>
      <c r="BB282" s="422">
        <v>0</v>
      </c>
      <c r="BC282" s="422">
        <v>0</v>
      </c>
      <c r="BD282" s="422">
        <v>0</v>
      </c>
      <c r="BE282" s="422">
        <v>0</v>
      </c>
      <c r="BF282" s="422">
        <v>0</v>
      </c>
      <c r="BG282" s="422">
        <v>0</v>
      </c>
      <c r="BH282" s="422">
        <v>0</v>
      </c>
      <c r="BI282" s="422">
        <v>0</v>
      </c>
      <c r="BJ282" s="422">
        <v>0</v>
      </c>
      <c r="BK282" s="422">
        <f t="shared" si="610"/>
        <v>0</v>
      </c>
      <c r="BL282" s="422">
        <f t="shared" si="611"/>
        <v>0</v>
      </c>
      <c r="BM282" s="424">
        <f t="shared" si="591"/>
        <v>0</v>
      </c>
      <c r="BN282" s="427">
        <f t="shared" si="612"/>
        <v>14863</v>
      </c>
      <c r="BO282" s="421">
        <f t="shared" si="613"/>
        <v>10639</v>
      </c>
      <c r="BP282" s="421">
        <f t="shared" si="614"/>
        <v>0</v>
      </c>
      <c r="BQ282" s="421">
        <f t="shared" si="614"/>
        <v>10639</v>
      </c>
      <c r="BR282" s="421">
        <f t="shared" si="615"/>
        <v>0</v>
      </c>
      <c r="BS282" s="421">
        <f t="shared" si="616"/>
        <v>0</v>
      </c>
      <c r="BT282" s="421">
        <f t="shared" si="616"/>
        <v>0</v>
      </c>
      <c r="BU282" s="421">
        <f t="shared" si="617"/>
        <v>3596</v>
      </c>
      <c r="BV282" s="421">
        <f t="shared" si="617"/>
        <v>106</v>
      </c>
      <c r="BW282" s="421">
        <f t="shared" si="618"/>
        <v>522</v>
      </c>
      <c r="BX282" s="422">
        <f t="shared" si="619"/>
        <v>4.0300000000000002E-2</v>
      </c>
      <c r="BY282" s="422">
        <f t="shared" si="620"/>
        <v>0</v>
      </c>
      <c r="BZ282" s="611">
        <f t="shared" si="620"/>
        <v>4.0300000000000002E-2</v>
      </c>
      <c r="CA282" s="423"/>
      <c r="CB282" s="418"/>
      <c r="CC282" s="418"/>
      <c r="CD282" s="418"/>
      <c r="CE282" s="418"/>
      <c r="CF282" s="527"/>
    </row>
    <row r="283" spans="1:84" ht="14.1" customHeight="1" x14ac:dyDescent="0.2">
      <c r="A283" s="72">
        <v>57</v>
      </c>
      <c r="B283" s="69">
        <v>2449</v>
      </c>
      <c r="C283" s="70">
        <v>650029348</v>
      </c>
      <c r="D283" s="69">
        <v>72742071</v>
      </c>
      <c r="E283" s="71" t="s">
        <v>651</v>
      </c>
      <c r="F283" s="72"/>
      <c r="G283" s="71"/>
      <c r="H283" s="73"/>
      <c r="I283" s="538">
        <f t="shared" ref="I283:BU283" si="621">SUM(I277:I282)</f>
        <v>9431423</v>
      </c>
      <c r="J283" s="74">
        <f t="shared" si="621"/>
        <v>6937240</v>
      </c>
      <c r="K283" s="74">
        <f t="shared" si="621"/>
        <v>5764877</v>
      </c>
      <c r="L283" s="74">
        <f t="shared" si="621"/>
        <v>1172363</v>
      </c>
      <c r="M283" s="74">
        <f t="shared" si="621"/>
        <v>0</v>
      </c>
      <c r="N283" s="74">
        <f t="shared" si="621"/>
        <v>0</v>
      </c>
      <c r="O283" s="74">
        <f t="shared" si="621"/>
        <v>0</v>
      </c>
      <c r="P283" s="74">
        <f t="shared" si="621"/>
        <v>2344788</v>
      </c>
      <c r="Q283" s="74">
        <f t="shared" si="621"/>
        <v>69372</v>
      </c>
      <c r="R283" s="74">
        <f t="shared" si="621"/>
        <v>80023</v>
      </c>
      <c r="S283" s="75">
        <f t="shared" si="621"/>
        <v>13.132999999999999</v>
      </c>
      <c r="T283" s="75">
        <f t="shared" si="621"/>
        <v>9.5927000000000007</v>
      </c>
      <c r="U283" s="753">
        <f t="shared" si="621"/>
        <v>3.5403000000000002</v>
      </c>
      <c r="V283" s="538">
        <f t="shared" si="621"/>
        <v>-21120</v>
      </c>
      <c r="W283" s="74">
        <f t="shared" si="621"/>
        <v>0</v>
      </c>
      <c r="X283" s="74">
        <f t="shared" si="621"/>
        <v>236905</v>
      </c>
      <c r="Y283" s="74">
        <f t="shared" si="621"/>
        <v>0</v>
      </c>
      <c r="Z283" s="74">
        <f t="shared" si="621"/>
        <v>0</v>
      </c>
      <c r="AA283" s="74">
        <f t="shared" si="621"/>
        <v>0</v>
      </c>
      <c r="AB283" s="74">
        <f t="shared" si="621"/>
        <v>0</v>
      </c>
      <c r="AC283" s="74">
        <f t="shared" si="621"/>
        <v>0</v>
      </c>
      <c r="AD283" s="74">
        <f t="shared" si="621"/>
        <v>0</v>
      </c>
      <c r="AE283" s="74">
        <f t="shared" si="621"/>
        <v>0</v>
      </c>
      <c r="AF283" s="74">
        <f t="shared" si="621"/>
        <v>215785</v>
      </c>
      <c r="AG283" s="74">
        <f t="shared" si="621"/>
        <v>0</v>
      </c>
      <c r="AH283" s="74">
        <f t="shared" si="621"/>
        <v>215785</v>
      </c>
      <c r="AI283" s="74">
        <f t="shared" si="621"/>
        <v>21120</v>
      </c>
      <c r="AJ283" s="74">
        <f t="shared" si="621"/>
        <v>0</v>
      </c>
      <c r="AK283" s="74">
        <f t="shared" si="621"/>
        <v>0</v>
      </c>
      <c r="AL283" s="74">
        <f t="shared" si="621"/>
        <v>0</v>
      </c>
      <c r="AM283" s="74">
        <f t="shared" si="621"/>
        <v>0</v>
      </c>
      <c r="AN283" s="74">
        <f t="shared" si="621"/>
        <v>0</v>
      </c>
      <c r="AO283" s="74">
        <f t="shared" si="621"/>
        <v>21120</v>
      </c>
      <c r="AP283" s="74">
        <f t="shared" si="621"/>
        <v>0</v>
      </c>
      <c r="AQ283" s="74">
        <f t="shared" si="621"/>
        <v>21120</v>
      </c>
      <c r="AR283" s="74">
        <f t="shared" si="621"/>
        <v>236905</v>
      </c>
      <c r="AS283" s="74">
        <f t="shared" si="621"/>
        <v>0</v>
      </c>
      <c r="AT283" s="74">
        <f t="shared" si="621"/>
        <v>236905</v>
      </c>
      <c r="AU283" s="74">
        <f t="shared" si="621"/>
        <v>80074</v>
      </c>
      <c r="AV283" s="74">
        <f t="shared" si="621"/>
        <v>2158</v>
      </c>
      <c r="AW283" s="74">
        <f t="shared" si="621"/>
        <v>0</v>
      </c>
      <c r="AX283" s="74">
        <f t="shared" si="621"/>
        <v>0</v>
      </c>
      <c r="AY283" s="74">
        <f t="shared" si="621"/>
        <v>0</v>
      </c>
      <c r="AZ283" s="74">
        <f t="shared" si="621"/>
        <v>319137</v>
      </c>
      <c r="BA283" s="75">
        <f t="shared" si="621"/>
        <v>-0.04</v>
      </c>
      <c r="BB283" s="75">
        <f t="shared" si="621"/>
        <v>0</v>
      </c>
      <c r="BC283" s="75">
        <f t="shared" si="621"/>
        <v>0.64</v>
      </c>
      <c r="BD283" s="75">
        <f t="shared" si="621"/>
        <v>0</v>
      </c>
      <c r="BE283" s="75">
        <f t="shared" si="621"/>
        <v>0</v>
      </c>
      <c r="BF283" s="75">
        <f t="shared" si="621"/>
        <v>0</v>
      </c>
      <c r="BG283" s="75">
        <f t="shared" si="621"/>
        <v>0</v>
      </c>
      <c r="BH283" s="75">
        <f t="shared" si="621"/>
        <v>0</v>
      </c>
      <c r="BI283" s="75">
        <f t="shared" si="621"/>
        <v>0</v>
      </c>
      <c r="BJ283" s="75">
        <f t="shared" si="621"/>
        <v>0</v>
      </c>
      <c r="BK283" s="75">
        <f t="shared" si="621"/>
        <v>0.6</v>
      </c>
      <c r="BL283" s="75">
        <f t="shared" si="621"/>
        <v>0</v>
      </c>
      <c r="BM283" s="76">
        <f t="shared" si="621"/>
        <v>0.6</v>
      </c>
      <c r="BN283" s="549">
        <f t="shared" si="621"/>
        <v>9750560</v>
      </c>
      <c r="BO283" s="74">
        <f t="shared" si="621"/>
        <v>7153025</v>
      </c>
      <c r="BP283" s="74">
        <f t="shared" si="621"/>
        <v>5980662</v>
      </c>
      <c r="BQ283" s="74">
        <f t="shared" si="621"/>
        <v>1172363</v>
      </c>
      <c r="BR283" s="74">
        <f t="shared" si="621"/>
        <v>21120</v>
      </c>
      <c r="BS283" s="74">
        <f t="shared" si="621"/>
        <v>21120</v>
      </c>
      <c r="BT283" s="74">
        <f t="shared" si="621"/>
        <v>0</v>
      </c>
      <c r="BU283" s="74">
        <f t="shared" si="621"/>
        <v>2424862</v>
      </c>
      <c r="BV283" s="74">
        <f t="shared" ref="BV283:CF283" si="622">SUM(BV277:BV282)</f>
        <v>71530</v>
      </c>
      <c r="BW283" s="74">
        <f t="shared" si="622"/>
        <v>80023</v>
      </c>
      <c r="BX283" s="75">
        <f t="shared" si="622"/>
        <v>13.732999999999999</v>
      </c>
      <c r="BY283" s="75">
        <f t="shared" si="622"/>
        <v>10.1927</v>
      </c>
      <c r="BZ283" s="753">
        <f t="shared" si="622"/>
        <v>3.5403000000000002</v>
      </c>
      <c r="CA283" s="796">
        <f t="shared" si="622"/>
        <v>0</v>
      </c>
      <c r="CB283" s="789">
        <f t="shared" si="622"/>
        <v>0</v>
      </c>
      <c r="CC283" s="789">
        <f t="shared" si="622"/>
        <v>0</v>
      </c>
      <c r="CD283" s="789">
        <f t="shared" si="622"/>
        <v>0</v>
      </c>
      <c r="CE283" s="789">
        <f t="shared" si="622"/>
        <v>0</v>
      </c>
      <c r="CF283" s="793">
        <f t="shared" si="622"/>
        <v>0</v>
      </c>
    </row>
    <row r="284" spans="1:84" ht="14.1" customHeight="1" x14ac:dyDescent="0.2">
      <c r="A284" s="66">
        <v>58</v>
      </c>
      <c r="B284" s="63">
        <v>2318</v>
      </c>
      <c r="C284" s="64">
        <v>600079546</v>
      </c>
      <c r="D284" s="63">
        <v>70695253</v>
      </c>
      <c r="E284" s="65" t="s">
        <v>652</v>
      </c>
      <c r="F284" s="66">
        <v>3111</v>
      </c>
      <c r="G284" s="65" t="s">
        <v>291</v>
      </c>
      <c r="H284" s="67" t="s">
        <v>271</v>
      </c>
      <c r="I284" s="423">
        <f t="shared" si="576"/>
        <v>7681554</v>
      </c>
      <c r="J284" s="418">
        <f t="shared" si="577"/>
        <v>5673358</v>
      </c>
      <c r="K284" s="418">
        <v>5101491</v>
      </c>
      <c r="L284" s="418">
        <v>571867</v>
      </c>
      <c r="M284" s="418">
        <f>N284+O284</f>
        <v>0</v>
      </c>
      <c r="N284" s="418">
        <v>0</v>
      </c>
      <c r="O284" s="418">
        <v>0</v>
      </c>
      <c r="P284" s="668">
        <f t="shared" si="593"/>
        <v>1917595</v>
      </c>
      <c r="Q284" s="668">
        <f t="shared" si="594"/>
        <v>56734</v>
      </c>
      <c r="R284" s="418">
        <v>33867</v>
      </c>
      <c r="S284" s="419">
        <f t="shared" si="595"/>
        <v>10.94</v>
      </c>
      <c r="T284" s="419">
        <v>9</v>
      </c>
      <c r="U284" s="426">
        <v>1.94</v>
      </c>
      <c r="V284" s="428">
        <f t="shared" si="580"/>
        <v>0</v>
      </c>
      <c r="W284" s="421">
        <f t="shared" si="581"/>
        <v>-3642</v>
      </c>
      <c r="X284" s="421">
        <v>0</v>
      </c>
      <c r="Y284" s="421">
        <v>0</v>
      </c>
      <c r="Z284" s="421">
        <v>0</v>
      </c>
      <c r="AA284" s="421">
        <v>0</v>
      </c>
      <c r="AB284" s="421">
        <v>0</v>
      </c>
      <c r="AC284" s="421">
        <v>0</v>
      </c>
      <c r="AD284" s="421">
        <v>0</v>
      </c>
      <c r="AE284" s="421">
        <v>0</v>
      </c>
      <c r="AF284" s="421">
        <f t="shared" si="582"/>
        <v>0</v>
      </c>
      <c r="AG284" s="421">
        <f t="shared" si="583"/>
        <v>-3642</v>
      </c>
      <c r="AH284" s="421">
        <f t="shared" si="584"/>
        <v>-3642</v>
      </c>
      <c r="AI284" s="421">
        <v>0</v>
      </c>
      <c r="AJ284" s="421">
        <v>3642</v>
      </c>
      <c r="AK284" s="421">
        <v>0</v>
      </c>
      <c r="AL284" s="421">
        <v>0</v>
      </c>
      <c r="AM284" s="421">
        <v>0</v>
      </c>
      <c r="AN284" s="421">
        <v>0</v>
      </c>
      <c r="AO284" s="421">
        <f t="shared" si="585"/>
        <v>0</v>
      </c>
      <c r="AP284" s="421">
        <f t="shared" si="586"/>
        <v>3642</v>
      </c>
      <c r="AQ284" s="421">
        <f t="shared" si="587"/>
        <v>3642</v>
      </c>
      <c r="AR284" s="421">
        <f t="shared" ref="AR284:AS287" si="623">AF284+AO284</f>
        <v>0</v>
      </c>
      <c r="AS284" s="421">
        <f t="shared" si="623"/>
        <v>0</v>
      </c>
      <c r="AT284" s="421">
        <f t="shared" si="588"/>
        <v>0</v>
      </c>
      <c r="AU284" s="68">
        <f t="shared" ref="AU284:AU287" si="624">ROUND((AH284+AI284+AJ284+AK284+AL284)*33.8%,0)</f>
        <v>0</v>
      </c>
      <c r="AV284" s="68">
        <f>ROUND(AH284*1%,0)</f>
        <v>-36</v>
      </c>
      <c r="AW284" s="421">
        <v>0</v>
      </c>
      <c r="AX284" s="421">
        <v>0</v>
      </c>
      <c r="AY284" s="421">
        <f t="shared" si="589"/>
        <v>0</v>
      </c>
      <c r="AZ284" s="421">
        <f t="shared" si="590"/>
        <v>-36</v>
      </c>
      <c r="BA284" s="422">
        <v>0</v>
      </c>
      <c r="BB284" s="422">
        <v>-0.01</v>
      </c>
      <c r="BC284" s="422">
        <v>0</v>
      </c>
      <c r="BD284" s="422">
        <v>0</v>
      </c>
      <c r="BE284" s="422">
        <v>0</v>
      </c>
      <c r="BF284" s="422">
        <v>0</v>
      </c>
      <c r="BG284" s="422">
        <v>0</v>
      </c>
      <c r="BH284" s="422">
        <v>0</v>
      </c>
      <c r="BI284" s="422">
        <v>0</v>
      </c>
      <c r="BJ284" s="422">
        <v>0</v>
      </c>
      <c r="BK284" s="422">
        <f>BA284+BC284+BD284+BF284+BH284+BI284</f>
        <v>0</v>
      </c>
      <c r="BL284" s="422">
        <f>BB284+BE284+BG284+BJ284</f>
        <v>-0.01</v>
      </c>
      <c r="BM284" s="424">
        <f t="shared" si="591"/>
        <v>-0.01</v>
      </c>
      <c r="BN284" s="427">
        <f>I284+AZ284</f>
        <v>7681518</v>
      </c>
      <c r="BO284" s="421">
        <f>J284+AH284</f>
        <v>5669716</v>
      </c>
      <c r="BP284" s="421">
        <f t="shared" ref="BP284:BQ287" si="625">K284+AF284</f>
        <v>5101491</v>
      </c>
      <c r="BQ284" s="421">
        <f t="shared" si="625"/>
        <v>568225</v>
      </c>
      <c r="BR284" s="421">
        <f>M284+AQ284</f>
        <v>3642</v>
      </c>
      <c r="BS284" s="421">
        <f t="shared" ref="BS284:BT287" si="626">N284+AO284</f>
        <v>0</v>
      </c>
      <c r="BT284" s="421">
        <f t="shared" si="626"/>
        <v>3642</v>
      </c>
      <c r="BU284" s="421">
        <f t="shared" ref="BU284:BV287" si="627">P284+AU284</f>
        <v>1917595</v>
      </c>
      <c r="BV284" s="421">
        <f t="shared" si="627"/>
        <v>56698</v>
      </c>
      <c r="BW284" s="421">
        <f>R284+AY284</f>
        <v>33867</v>
      </c>
      <c r="BX284" s="422">
        <f>S284+BM284</f>
        <v>10.93</v>
      </c>
      <c r="BY284" s="422">
        <f t="shared" ref="BY284:BZ287" si="628">T284+BK284</f>
        <v>9</v>
      </c>
      <c r="BZ284" s="611">
        <f t="shared" si="628"/>
        <v>1.93</v>
      </c>
      <c r="CA284" s="423"/>
      <c r="CB284" s="418"/>
      <c r="CC284" s="418"/>
      <c r="CD284" s="418"/>
      <c r="CE284" s="418"/>
      <c r="CF284" s="527"/>
    </row>
    <row r="285" spans="1:84" ht="14.1" customHeight="1" x14ac:dyDescent="0.2">
      <c r="A285" s="66">
        <v>58</v>
      </c>
      <c r="B285" s="63">
        <v>2318</v>
      </c>
      <c r="C285" s="64">
        <v>600079546</v>
      </c>
      <c r="D285" s="63">
        <v>70695253</v>
      </c>
      <c r="E285" s="65" t="s">
        <v>652</v>
      </c>
      <c r="F285" s="66">
        <v>3111</v>
      </c>
      <c r="G285" s="43" t="s">
        <v>293</v>
      </c>
      <c r="H285" s="67" t="s">
        <v>271</v>
      </c>
      <c r="I285" s="423">
        <f t="shared" si="576"/>
        <v>464413</v>
      </c>
      <c r="J285" s="418">
        <f t="shared" si="577"/>
        <v>344520</v>
      </c>
      <c r="K285" s="418">
        <v>344520</v>
      </c>
      <c r="L285" s="418">
        <v>0</v>
      </c>
      <c r="M285" s="418">
        <f t="shared" si="592"/>
        <v>0</v>
      </c>
      <c r="N285" s="418">
        <v>0</v>
      </c>
      <c r="O285" s="418">
        <v>0</v>
      </c>
      <c r="P285" s="668">
        <f t="shared" si="593"/>
        <v>116448</v>
      </c>
      <c r="Q285" s="668">
        <f t="shared" si="594"/>
        <v>3445</v>
      </c>
      <c r="R285" s="418">
        <v>0</v>
      </c>
      <c r="S285" s="419">
        <f t="shared" si="595"/>
        <v>1</v>
      </c>
      <c r="T285" s="419">
        <v>1</v>
      </c>
      <c r="U285" s="426">
        <v>0</v>
      </c>
      <c r="V285" s="428">
        <f t="shared" si="580"/>
        <v>0</v>
      </c>
      <c r="W285" s="421">
        <f t="shared" si="581"/>
        <v>0</v>
      </c>
      <c r="X285" s="421">
        <v>0</v>
      </c>
      <c r="Y285" s="421">
        <v>0</v>
      </c>
      <c r="Z285" s="421">
        <v>0</v>
      </c>
      <c r="AA285" s="421">
        <v>0</v>
      </c>
      <c r="AB285" s="421">
        <v>0</v>
      </c>
      <c r="AC285" s="421">
        <v>0</v>
      </c>
      <c r="AD285" s="421">
        <v>0</v>
      </c>
      <c r="AE285" s="421">
        <v>0</v>
      </c>
      <c r="AF285" s="421">
        <f t="shared" si="582"/>
        <v>0</v>
      </c>
      <c r="AG285" s="421">
        <f t="shared" si="583"/>
        <v>0</v>
      </c>
      <c r="AH285" s="421">
        <f t="shared" si="584"/>
        <v>0</v>
      </c>
      <c r="AI285" s="421">
        <v>0</v>
      </c>
      <c r="AJ285" s="421">
        <v>0</v>
      </c>
      <c r="AK285" s="421">
        <v>0</v>
      </c>
      <c r="AL285" s="421">
        <v>0</v>
      </c>
      <c r="AM285" s="421">
        <v>0</v>
      </c>
      <c r="AN285" s="421">
        <v>0</v>
      </c>
      <c r="AO285" s="421">
        <f t="shared" si="585"/>
        <v>0</v>
      </c>
      <c r="AP285" s="421">
        <f t="shared" si="586"/>
        <v>0</v>
      </c>
      <c r="AQ285" s="421">
        <f t="shared" si="587"/>
        <v>0</v>
      </c>
      <c r="AR285" s="421">
        <f t="shared" si="623"/>
        <v>0</v>
      </c>
      <c r="AS285" s="421">
        <f t="shared" si="623"/>
        <v>0</v>
      </c>
      <c r="AT285" s="421">
        <f t="shared" si="588"/>
        <v>0</v>
      </c>
      <c r="AU285" s="68">
        <f t="shared" si="624"/>
        <v>0</v>
      </c>
      <c r="AV285" s="68">
        <f>ROUND(AH285*1%,0)</f>
        <v>0</v>
      </c>
      <c r="AW285" s="421">
        <v>0</v>
      </c>
      <c r="AX285" s="421">
        <v>0</v>
      </c>
      <c r="AY285" s="421">
        <f t="shared" si="589"/>
        <v>0</v>
      </c>
      <c r="AZ285" s="421">
        <f t="shared" si="590"/>
        <v>0</v>
      </c>
      <c r="BA285" s="422">
        <v>0</v>
      </c>
      <c r="BB285" s="422">
        <v>0</v>
      </c>
      <c r="BC285" s="422">
        <v>0</v>
      </c>
      <c r="BD285" s="422">
        <v>0</v>
      </c>
      <c r="BE285" s="422">
        <v>0</v>
      </c>
      <c r="BF285" s="422">
        <v>0</v>
      </c>
      <c r="BG285" s="422">
        <v>0</v>
      </c>
      <c r="BH285" s="422">
        <v>0</v>
      </c>
      <c r="BI285" s="422">
        <v>0</v>
      </c>
      <c r="BJ285" s="422">
        <v>0</v>
      </c>
      <c r="BK285" s="422">
        <f>BA285+BC285+BD285+BF285+BH285+BI285</f>
        <v>0</v>
      </c>
      <c r="BL285" s="422">
        <f>BB285+BE285+BG285+BJ285</f>
        <v>0</v>
      </c>
      <c r="BM285" s="424">
        <f t="shared" si="591"/>
        <v>0</v>
      </c>
      <c r="BN285" s="427">
        <f>I285+AZ285</f>
        <v>464413</v>
      </c>
      <c r="BO285" s="421">
        <f>J285+AH285</f>
        <v>344520</v>
      </c>
      <c r="BP285" s="421">
        <f t="shared" si="625"/>
        <v>344520</v>
      </c>
      <c r="BQ285" s="421">
        <f t="shared" si="625"/>
        <v>0</v>
      </c>
      <c r="BR285" s="421">
        <f>M285+AQ285</f>
        <v>0</v>
      </c>
      <c r="BS285" s="421">
        <f t="shared" si="626"/>
        <v>0</v>
      </c>
      <c r="BT285" s="421">
        <f t="shared" si="626"/>
        <v>0</v>
      </c>
      <c r="BU285" s="421">
        <f t="shared" si="627"/>
        <v>116448</v>
      </c>
      <c r="BV285" s="421">
        <f t="shared" si="627"/>
        <v>3445</v>
      </c>
      <c r="BW285" s="421">
        <f>R285+AY285</f>
        <v>0</v>
      </c>
      <c r="BX285" s="422">
        <f>S285+BM285</f>
        <v>1</v>
      </c>
      <c r="BY285" s="422">
        <f t="shared" si="628"/>
        <v>1</v>
      </c>
      <c r="BZ285" s="611">
        <f t="shared" si="628"/>
        <v>0</v>
      </c>
      <c r="CA285" s="423"/>
      <c r="CB285" s="418"/>
      <c r="CC285" s="418"/>
      <c r="CD285" s="418"/>
      <c r="CE285" s="418"/>
      <c r="CF285" s="527"/>
    </row>
    <row r="286" spans="1:84" ht="14.1" customHeight="1" x14ac:dyDescent="0.2">
      <c r="A286" s="66">
        <v>58</v>
      </c>
      <c r="B286" s="63">
        <v>2318</v>
      </c>
      <c r="C286" s="64">
        <v>600079546</v>
      </c>
      <c r="D286" s="63">
        <v>70695253</v>
      </c>
      <c r="E286" s="65" t="s">
        <v>652</v>
      </c>
      <c r="F286" s="66">
        <v>3111</v>
      </c>
      <c r="G286" s="77" t="s">
        <v>292</v>
      </c>
      <c r="H286" s="67" t="s">
        <v>272</v>
      </c>
      <c r="I286" s="423">
        <f t="shared" si="576"/>
        <v>0</v>
      </c>
      <c r="J286" s="418">
        <f t="shared" si="577"/>
        <v>0</v>
      </c>
      <c r="K286" s="418">
        <v>0</v>
      </c>
      <c r="L286" s="418">
        <v>0</v>
      </c>
      <c r="M286" s="418">
        <f t="shared" si="592"/>
        <v>0</v>
      </c>
      <c r="N286" s="418">
        <v>0</v>
      </c>
      <c r="O286" s="418">
        <v>0</v>
      </c>
      <c r="P286" s="668">
        <f t="shared" si="593"/>
        <v>0</v>
      </c>
      <c r="Q286" s="668">
        <f t="shared" si="594"/>
        <v>0</v>
      </c>
      <c r="R286" s="418">
        <v>0</v>
      </c>
      <c r="S286" s="419">
        <f t="shared" si="595"/>
        <v>0</v>
      </c>
      <c r="T286" s="420">
        <v>0</v>
      </c>
      <c r="U286" s="426">
        <v>0</v>
      </c>
      <c r="V286" s="428">
        <f t="shared" si="580"/>
        <v>0</v>
      </c>
      <c r="W286" s="421">
        <f t="shared" si="581"/>
        <v>0</v>
      </c>
      <c r="X286" s="421">
        <v>0</v>
      </c>
      <c r="Y286" s="421">
        <v>0</v>
      </c>
      <c r="Z286" s="421">
        <v>0</v>
      </c>
      <c r="AA286" s="421">
        <v>0</v>
      </c>
      <c r="AB286" s="421">
        <v>0</v>
      </c>
      <c r="AC286" s="421">
        <v>0</v>
      </c>
      <c r="AD286" s="421">
        <v>0</v>
      </c>
      <c r="AE286" s="421">
        <v>0</v>
      </c>
      <c r="AF286" s="421">
        <f t="shared" si="582"/>
        <v>0</v>
      </c>
      <c r="AG286" s="421">
        <f t="shared" si="583"/>
        <v>0</v>
      </c>
      <c r="AH286" s="421">
        <f t="shared" si="584"/>
        <v>0</v>
      </c>
      <c r="AI286" s="421">
        <v>0</v>
      </c>
      <c r="AJ286" s="421">
        <v>0</v>
      </c>
      <c r="AK286" s="421">
        <v>0</v>
      </c>
      <c r="AL286" s="421">
        <v>0</v>
      </c>
      <c r="AM286" s="421">
        <v>0</v>
      </c>
      <c r="AN286" s="421">
        <v>0</v>
      </c>
      <c r="AO286" s="421">
        <f t="shared" si="585"/>
        <v>0</v>
      </c>
      <c r="AP286" s="421">
        <f t="shared" si="586"/>
        <v>0</v>
      </c>
      <c r="AQ286" s="421">
        <f t="shared" si="587"/>
        <v>0</v>
      </c>
      <c r="AR286" s="421">
        <f t="shared" si="623"/>
        <v>0</v>
      </c>
      <c r="AS286" s="421">
        <f t="shared" si="623"/>
        <v>0</v>
      </c>
      <c r="AT286" s="421">
        <f t="shared" si="588"/>
        <v>0</v>
      </c>
      <c r="AU286" s="68">
        <f t="shared" si="624"/>
        <v>0</v>
      </c>
      <c r="AV286" s="68">
        <f>ROUND(AH286*1%,0)</f>
        <v>0</v>
      </c>
      <c r="AW286" s="421">
        <v>0</v>
      </c>
      <c r="AX286" s="421">
        <v>0</v>
      </c>
      <c r="AY286" s="421">
        <f t="shared" si="589"/>
        <v>0</v>
      </c>
      <c r="AZ286" s="421">
        <f t="shared" si="590"/>
        <v>0</v>
      </c>
      <c r="BA286" s="422">
        <v>0</v>
      </c>
      <c r="BB286" s="422">
        <v>0</v>
      </c>
      <c r="BC286" s="422">
        <v>0</v>
      </c>
      <c r="BD286" s="422">
        <v>0</v>
      </c>
      <c r="BE286" s="422">
        <v>0</v>
      </c>
      <c r="BF286" s="422">
        <v>0</v>
      </c>
      <c r="BG286" s="422">
        <v>0</v>
      </c>
      <c r="BH286" s="422">
        <v>0</v>
      </c>
      <c r="BI286" s="422">
        <v>0</v>
      </c>
      <c r="BJ286" s="422">
        <v>0</v>
      </c>
      <c r="BK286" s="422">
        <f>BA286+BC286+BD286+BF286+BH286+BI286</f>
        <v>0</v>
      </c>
      <c r="BL286" s="422">
        <f>BB286+BE286+BG286+BJ286</f>
        <v>0</v>
      </c>
      <c r="BM286" s="424">
        <f t="shared" si="591"/>
        <v>0</v>
      </c>
      <c r="BN286" s="427">
        <f>I286+AZ286</f>
        <v>0</v>
      </c>
      <c r="BO286" s="421">
        <f>J286+AH286</f>
        <v>0</v>
      </c>
      <c r="BP286" s="421">
        <f t="shared" si="625"/>
        <v>0</v>
      </c>
      <c r="BQ286" s="421">
        <f t="shared" si="625"/>
        <v>0</v>
      </c>
      <c r="BR286" s="421">
        <f>M286+AQ286</f>
        <v>0</v>
      </c>
      <c r="BS286" s="421">
        <f t="shared" si="626"/>
        <v>0</v>
      </c>
      <c r="BT286" s="421">
        <f t="shared" si="626"/>
        <v>0</v>
      </c>
      <c r="BU286" s="421">
        <f t="shared" si="627"/>
        <v>0</v>
      </c>
      <c r="BV286" s="421">
        <f t="shared" si="627"/>
        <v>0</v>
      </c>
      <c r="BW286" s="421">
        <f>R286+AY286</f>
        <v>0</v>
      </c>
      <c r="BX286" s="422">
        <f>S286+BM286</f>
        <v>0</v>
      </c>
      <c r="BY286" s="422">
        <f t="shared" si="628"/>
        <v>0</v>
      </c>
      <c r="BZ286" s="611">
        <f t="shared" si="628"/>
        <v>0</v>
      </c>
      <c r="CA286" s="423"/>
      <c r="CB286" s="418"/>
      <c r="CC286" s="418"/>
      <c r="CD286" s="418"/>
      <c r="CE286" s="418"/>
      <c r="CF286" s="527"/>
    </row>
    <row r="287" spans="1:84" ht="14.1" customHeight="1" x14ac:dyDescent="0.2">
      <c r="A287" s="66">
        <v>58</v>
      </c>
      <c r="B287" s="63">
        <v>2318</v>
      </c>
      <c r="C287" s="64">
        <v>600079546</v>
      </c>
      <c r="D287" s="63">
        <v>70695253</v>
      </c>
      <c r="E287" s="65" t="s">
        <v>652</v>
      </c>
      <c r="F287" s="66">
        <v>3141</v>
      </c>
      <c r="G287" s="65" t="s">
        <v>295</v>
      </c>
      <c r="H287" s="67" t="s">
        <v>272</v>
      </c>
      <c r="I287" s="423">
        <f t="shared" si="576"/>
        <v>719563</v>
      </c>
      <c r="J287" s="418">
        <f t="shared" si="577"/>
        <v>531334</v>
      </c>
      <c r="K287" s="418">
        <v>0</v>
      </c>
      <c r="L287" s="924">
        <v>531334</v>
      </c>
      <c r="M287" s="418">
        <f>N287+O287</f>
        <v>0</v>
      </c>
      <c r="N287" s="205">
        <v>0</v>
      </c>
      <c r="O287" s="205">
        <v>0</v>
      </c>
      <c r="P287" s="668">
        <f t="shared" si="593"/>
        <v>179591</v>
      </c>
      <c r="Q287" s="668">
        <f t="shared" si="594"/>
        <v>5313</v>
      </c>
      <c r="R287" s="674">
        <v>3325</v>
      </c>
      <c r="S287" s="419">
        <f>T287+U287</f>
        <v>1.5932999999999999</v>
      </c>
      <c r="T287" s="676">
        <v>0</v>
      </c>
      <c r="U287" s="909">
        <v>1.5932999999999999</v>
      </c>
      <c r="V287" s="428">
        <f t="shared" si="580"/>
        <v>0</v>
      </c>
      <c r="W287" s="421">
        <f t="shared" si="581"/>
        <v>0</v>
      </c>
      <c r="X287" s="421">
        <v>0</v>
      </c>
      <c r="Y287" s="421">
        <v>0</v>
      </c>
      <c r="Z287" s="421">
        <v>0</v>
      </c>
      <c r="AA287" s="421">
        <v>0</v>
      </c>
      <c r="AB287" s="421">
        <v>0</v>
      </c>
      <c r="AC287" s="421">
        <v>0</v>
      </c>
      <c r="AD287" s="421">
        <v>0</v>
      </c>
      <c r="AE287" s="421">
        <v>0</v>
      </c>
      <c r="AF287" s="421">
        <f t="shared" si="582"/>
        <v>0</v>
      </c>
      <c r="AG287" s="421">
        <f t="shared" si="583"/>
        <v>0</v>
      </c>
      <c r="AH287" s="421">
        <f t="shared" si="584"/>
        <v>0</v>
      </c>
      <c r="AI287" s="421">
        <v>0</v>
      </c>
      <c r="AJ287" s="421">
        <v>0</v>
      </c>
      <c r="AK287" s="421">
        <v>0</v>
      </c>
      <c r="AL287" s="421">
        <v>0</v>
      </c>
      <c r="AM287" s="421">
        <v>0</v>
      </c>
      <c r="AN287" s="421">
        <v>0</v>
      </c>
      <c r="AO287" s="421">
        <f t="shared" si="585"/>
        <v>0</v>
      </c>
      <c r="AP287" s="421">
        <f t="shared" si="586"/>
        <v>0</v>
      </c>
      <c r="AQ287" s="421">
        <f t="shared" si="587"/>
        <v>0</v>
      </c>
      <c r="AR287" s="421">
        <f t="shared" si="623"/>
        <v>0</v>
      </c>
      <c r="AS287" s="421">
        <f t="shared" si="623"/>
        <v>0</v>
      </c>
      <c r="AT287" s="421">
        <f t="shared" si="588"/>
        <v>0</v>
      </c>
      <c r="AU287" s="68">
        <f t="shared" si="624"/>
        <v>0</v>
      </c>
      <c r="AV287" s="68">
        <f>ROUND(AH287*1%,0)</f>
        <v>0</v>
      </c>
      <c r="AW287" s="421">
        <v>0</v>
      </c>
      <c r="AX287" s="421">
        <v>0</v>
      </c>
      <c r="AY287" s="421">
        <f t="shared" si="589"/>
        <v>0</v>
      </c>
      <c r="AZ287" s="421">
        <f t="shared" si="590"/>
        <v>0</v>
      </c>
      <c r="BA287" s="422">
        <v>0</v>
      </c>
      <c r="BB287" s="422">
        <v>0</v>
      </c>
      <c r="BC287" s="422">
        <v>0</v>
      </c>
      <c r="BD287" s="422">
        <v>0</v>
      </c>
      <c r="BE287" s="422">
        <v>0</v>
      </c>
      <c r="BF287" s="422">
        <v>0</v>
      </c>
      <c r="BG287" s="422">
        <v>0</v>
      </c>
      <c r="BH287" s="422">
        <v>0</v>
      </c>
      <c r="BI287" s="422">
        <v>0</v>
      </c>
      <c r="BJ287" s="422">
        <v>0</v>
      </c>
      <c r="BK287" s="422">
        <f>BA287+BC287+BD287+BF287+BH287+BI287</f>
        <v>0</v>
      </c>
      <c r="BL287" s="422">
        <f>BB287+BE287+BG287+BJ287</f>
        <v>0</v>
      </c>
      <c r="BM287" s="424">
        <f t="shared" si="591"/>
        <v>0</v>
      </c>
      <c r="BN287" s="427">
        <f>I287+AZ287</f>
        <v>719563</v>
      </c>
      <c r="BO287" s="421">
        <f>J287+AH287</f>
        <v>531334</v>
      </c>
      <c r="BP287" s="421">
        <f t="shared" si="625"/>
        <v>0</v>
      </c>
      <c r="BQ287" s="421">
        <f t="shared" si="625"/>
        <v>531334</v>
      </c>
      <c r="BR287" s="421">
        <f>M287+AQ287</f>
        <v>0</v>
      </c>
      <c r="BS287" s="421">
        <f t="shared" si="626"/>
        <v>0</v>
      </c>
      <c r="BT287" s="421">
        <f t="shared" si="626"/>
        <v>0</v>
      </c>
      <c r="BU287" s="421">
        <f t="shared" si="627"/>
        <v>179591</v>
      </c>
      <c r="BV287" s="421">
        <f t="shared" si="627"/>
        <v>5313</v>
      </c>
      <c r="BW287" s="421">
        <f>R287+AY287</f>
        <v>3325</v>
      </c>
      <c r="BX287" s="422">
        <f>S287+BM287</f>
        <v>1.5932999999999999</v>
      </c>
      <c r="BY287" s="422">
        <f t="shared" si="628"/>
        <v>0</v>
      </c>
      <c r="BZ287" s="611">
        <f t="shared" si="628"/>
        <v>1.5932999999999999</v>
      </c>
      <c r="CA287" s="423"/>
      <c r="CB287" s="418"/>
      <c r="CC287" s="418"/>
      <c r="CD287" s="418"/>
      <c r="CE287" s="418"/>
      <c r="CF287" s="527"/>
    </row>
    <row r="288" spans="1:84" ht="14.1" customHeight="1" x14ac:dyDescent="0.2">
      <c r="A288" s="72">
        <v>58</v>
      </c>
      <c r="B288" s="69">
        <v>2318</v>
      </c>
      <c r="C288" s="70">
        <v>600079546</v>
      </c>
      <c r="D288" s="69">
        <v>70695253</v>
      </c>
      <c r="E288" s="71" t="s">
        <v>653</v>
      </c>
      <c r="F288" s="72"/>
      <c r="G288" s="71"/>
      <c r="H288" s="73"/>
      <c r="I288" s="538">
        <f t="shared" ref="I288:BU288" si="629">SUM(I284:I287)</f>
        <v>8865530</v>
      </c>
      <c r="J288" s="74">
        <f t="shared" si="629"/>
        <v>6549212</v>
      </c>
      <c r="K288" s="74">
        <f t="shared" si="629"/>
        <v>5446011</v>
      </c>
      <c r="L288" s="74">
        <f t="shared" si="629"/>
        <v>1103201</v>
      </c>
      <c r="M288" s="74">
        <f t="shared" si="629"/>
        <v>0</v>
      </c>
      <c r="N288" s="74">
        <f t="shared" si="629"/>
        <v>0</v>
      </c>
      <c r="O288" s="74">
        <f t="shared" si="629"/>
        <v>0</v>
      </c>
      <c r="P288" s="74">
        <f t="shared" si="629"/>
        <v>2213634</v>
      </c>
      <c r="Q288" s="74">
        <f t="shared" si="629"/>
        <v>65492</v>
      </c>
      <c r="R288" s="74">
        <f t="shared" si="629"/>
        <v>37192</v>
      </c>
      <c r="S288" s="75">
        <f t="shared" si="629"/>
        <v>13.533299999999999</v>
      </c>
      <c r="T288" s="75">
        <f t="shared" si="629"/>
        <v>10</v>
      </c>
      <c r="U288" s="753">
        <f t="shared" si="629"/>
        <v>3.5332999999999997</v>
      </c>
      <c r="V288" s="538">
        <f t="shared" si="629"/>
        <v>0</v>
      </c>
      <c r="W288" s="74">
        <f t="shared" si="629"/>
        <v>-3642</v>
      </c>
      <c r="X288" s="74">
        <f t="shared" si="629"/>
        <v>0</v>
      </c>
      <c r="Y288" s="74">
        <f t="shared" si="629"/>
        <v>0</v>
      </c>
      <c r="Z288" s="74">
        <f t="shared" si="629"/>
        <v>0</v>
      </c>
      <c r="AA288" s="74">
        <f t="shared" si="629"/>
        <v>0</v>
      </c>
      <c r="AB288" s="74">
        <f t="shared" si="629"/>
        <v>0</v>
      </c>
      <c r="AC288" s="74">
        <f t="shared" si="629"/>
        <v>0</v>
      </c>
      <c r="AD288" s="74">
        <f t="shared" si="629"/>
        <v>0</v>
      </c>
      <c r="AE288" s="74">
        <f t="shared" si="629"/>
        <v>0</v>
      </c>
      <c r="AF288" s="74">
        <f t="shared" si="629"/>
        <v>0</v>
      </c>
      <c r="AG288" s="74">
        <f t="shared" si="629"/>
        <v>-3642</v>
      </c>
      <c r="AH288" s="74">
        <f t="shared" si="629"/>
        <v>-3642</v>
      </c>
      <c r="AI288" s="74">
        <f t="shared" si="629"/>
        <v>0</v>
      </c>
      <c r="AJ288" s="74">
        <f t="shared" si="629"/>
        <v>3642</v>
      </c>
      <c r="AK288" s="74">
        <f t="shared" si="629"/>
        <v>0</v>
      </c>
      <c r="AL288" s="74">
        <f t="shared" si="629"/>
        <v>0</v>
      </c>
      <c r="AM288" s="74">
        <f t="shared" si="629"/>
        <v>0</v>
      </c>
      <c r="AN288" s="74">
        <f t="shared" si="629"/>
        <v>0</v>
      </c>
      <c r="AO288" s="74">
        <f t="shared" si="629"/>
        <v>0</v>
      </c>
      <c r="AP288" s="74">
        <f t="shared" si="629"/>
        <v>3642</v>
      </c>
      <c r="AQ288" s="74">
        <f t="shared" si="629"/>
        <v>3642</v>
      </c>
      <c r="AR288" s="74">
        <f t="shared" si="629"/>
        <v>0</v>
      </c>
      <c r="AS288" s="74">
        <f t="shared" si="629"/>
        <v>0</v>
      </c>
      <c r="AT288" s="74">
        <f t="shared" si="629"/>
        <v>0</v>
      </c>
      <c r="AU288" s="74">
        <f t="shared" si="629"/>
        <v>0</v>
      </c>
      <c r="AV288" s="74">
        <f t="shared" si="629"/>
        <v>-36</v>
      </c>
      <c r="AW288" s="74">
        <f t="shared" si="629"/>
        <v>0</v>
      </c>
      <c r="AX288" s="74">
        <f t="shared" si="629"/>
        <v>0</v>
      </c>
      <c r="AY288" s="74">
        <f t="shared" si="629"/>
        <v>0</v>
      </c>
      <c r="AZ288" s="74">
        <f t="shared" si="629"/>
        <v>-36</v>
      </c>
      <c r="BA288" s="75">
        <f t="shared" si="629"/>
        <v>0</v>
      </c>
      <c r="BB288" s="75">
        <f t="shared" si="629"/>
        <v>-0.01</v>
      </c>
      <c r="BC288" s="75">
        <f t="shared" si="629"/>
        <v>0</v>
      </c>
      <c r="BD288" s="75">
        <f t="shared" si="629"/>
        <v>0</v>
      </c>
      <c r="BE288" s="75">
        <f t="shared" si="629"/>
        <v>0</v>
      </c>
      <c r="BF288" s="75">
        <f t="shared" si="629"/>
        <v>0</v>
      </c>
      <c r="BG288" s="75">
        <f t="shared" si="629"/>
        <v>0</v>
      </c>
      <c r="BH288" s="75">
        <f t="shared" si="629"/>
        <v>0</v>
      </c>
      <c r="BI288" s="75">
        <f t="shared" si="629"/>
        <v>0</v>
      </c>
      <c r="BJ288" s="75">
        <f t="shared" si="629"/>
        <v>0</v>
      </c>
      <c r="BK288" s="75">
        <f t="shared" si="629"/>
        <v>0</v>
      </c>
      <c r="BL288" s="75">
        <f t="shared" si="629"/>
        <v>-0.01</v>
      </c>
      <c r="BM288" s="76">
        <f t="shared" si="629"/>
        <v>-0.01</v>
      </c>
      <c r="BN288" s="549">
        <f t="shared" si="629"/>
        <v>8865494</v>
      </c>
      <c r="BO288" s="74">
        <f t="shared" si="629"/>
        <v>6545570</v>
      </c>
      <c r="BP288" s="74">
        <f t="shared" si="629"/>
        <v>5446011</v>
      </c>
      <c r="BQ288" s="74">
        <f t="shared" si="629"/>
        <v>1099559</v>
      </c>
      <c r="BR288" s="74">
        <f t="shared" si="629"/>
        <v>3642</v>
      </c>
      <c r="BS288" s="74">
        <f t="shared" si="629"/>
        <v>0</v>
      </c>
      <c r="BT288" s="74">
        <f t="shared" si="629"/>
        <v>3642</v>
      </c>
      <c r="BU288" s="74">
        <f t="shared" si="629"/>
        <v>2213634</v>
      </c>
      <c r="BV288" s="74">
        <f t="shared" ref="BV288:CF288" si="630">SUM(BV284:BV287)</f>
        <v>65456</v>
      </c>
      <c r="BW288" s="74">
        <f t="shared" si="630"/>
        <v>37192</v>
      </c>
      <c r="BX288" s="75">
        <f t="shared" si="630"/>
        <v>13.523299999999999</v>
      </c>
      <c r="BY288" s="75">
        <f t="shared" si="630"/>
        <v>10</v>
      </c>
      <c r="BZ288" s="753">
        <f t="shared" si="630"/>
        <v>3.5232999999999999</v>
      </c>
      <c r="CA288" s="796">
        <f t="shared" si="630"/>
        <v>0</v>
      </c>
      <c r="CB288" s="789">
        <f t="shared" si="630"/>
        <v>0</v>
      </c>
      <c r="CC288" s="789">
        <f t="shared" si="630"/>
        <v>0</v>
      </c>
      <c r="CD288" s="789">
        <f t="shared" si="630"/>
        <v>0</v>
      </c>
      <c r="CE288" s="789">
        <f t="shared" si="630"/>
        <v>0</v>
      </c>
      <c r="CF288" s="793">
        <f t="shared" si="630"/>
        <v>0</v>
      </c>
    </row>
    <row r="289" spans="1:84" ht="14.1" customHeight="1" x14ac:dyDescent="0.2">
      <c r="A289" s="66">
        <v>59</v>
      </c>
      <c r="B289" s="63">
        <v>2452</v>
      </c>
      <c r="C289" s="64">
        <v>600079660</v>
      </c>
      <c r="D289" s="63">
        <v>70695261</v>
      </c>
      <c r="E289" s="65" t="s">
        <v>654</v>
      </c>
      <c r="F289" s="66">
        <v>3113</v>
      </c>
      <c r="G289" s="65" t="s">
        <v>294</v>
      </c>
      <c r="H289" s="67" t="s">
        <v>271</v>
      </c>
      <c r="I289" s="423">
        <f t="shared" si="576"/>
        <v>35392575</v>
      </c>
      <c r="J289" s="418">
        <f t="shared" ref="J289" si="631">K289+L289</f>
        <v>25929209</v>
      </c>
      <c r="K289" s="418">
        <v>24226465</v>
      </c>
      <c r="L289" s="418">
        <v>1702744</v>
      </c>
      <c r="M289" s="418">
        <f>N289+O289</f>
        <v>0</v>
      </c>
      <c r="N289" s="418">
        <v>0</v>
      </c>
      <c r="O289" s="418">
        <v>0</v>
      </c>
      <c r="P289" s="668">
        <f t="shared" si="593"/>
        <v>8764073</v>
      </c>
      <c r="Q289" s="668">
        <f t="shared" si="594"/>
        <v>259292</v>
      </c>
      <c r="R289" s="418">
        <v>440001</v>
      </c>
      <c r="S289" s="419">
        <f>T289+U289</f>
        <v>39.540900000000001</v>
      </c>
      <c r="T289" s="419">
        <v>34.454900000000002</v>
      </c>
      <c r="U289" s="426">
        <v>5.0860000000000003</v>
      </c>
      <c r="V289" s="428">
        <f t="shared" si="580"/>
        <v>-64000</v>
      </c>
      <c r="W289" s="421">
        <f t="shared" si="581"/>
        <v>-35200</v>
      </c>
      <c r="X289" s="421">
        <v>0</v>
      </c>
      <c r="Y289" s="421">
        <v>0</v>
      </c>
      <c r="Z289" s="421">
        <v>0</v>
      </c>
      <c r="AA289" s="421">
        <v>132400</v>
      </c>
      <c r="AB289" s="421">
        <v>0</v>
      </c>
      <c r="AC289" s="421">
        <v>0</v>
      </c>
      <c r="AD289" s="421">
        <v>0</v>
      </c>
      <c r="AE289" s="421">
        <v>0</v>
      </c>
      <c r="AF289" s="421">
        <f t="shared" si="582"/>
        <v>68400</v>
      </c>
      <c r="AG289" s="421">
        <f t="shared" si="583"/>
        <v>-35200</v>
      </c>
      <c r="AH289" s="421">
        <f t="shared" si="584"/>
        <v>33200</v>
      </c>
      <c r="AI289" s="421">
        <v>64000</v>
      </c>
      <c r="AJ289" s="421">
        <v>35200</v>
      </c>
      <c r="AK289" s="421">
        <v>0</v>
      </c>
      <c r="AL289" s="421">
        <v>0</v>
      </c>
      <c r="AM289" s="421">
        <v>0</v>
      </c>
      <c r="AN289" s="421">
        <v>0</v>
      </c>
      <c r="AO289" s="421">
        <f t="shared" si="585"/>
        <v>64000</v>
      </c>
      <c r="AP289" s="421">
        <f t="shared" si="586"/>
        <v>35200</v>
      </c>
      <c r="AQ289" s="421">
        <f t="shared" si="587"/>
        <v>99200</v>
      </c>
      <c r="AR289" s="421">
        <f t="shared" ref="AR289:AS295" si="632">AF289+AO289</f>
        <v>132400</v>
      </c>
      <c r="AS289" s="421">
        <f t="shared" si="632"/>
        <v>0</v>
      </c>
      <c r="AT289" s="421">
        <f t="shared" si="588"/>
        <v>132400</v>
      </c>
      <c r="AU289" s="68">
        <f t="shared" ref="AU289:AU295" si="633">ROUND((AH289+AI289+AJ289+AK289+AL289)*33.8%,0)</f>
        <v>44751</v>
      </c>
      <c r="AV289" s="68">
        <f t="shared" ref="AV289:AV295" si="634">ROUND(AH289*1%,0)</f>
        <v>332</v>
      </c>
      <c r="AW289" s="421">
        <v>0</v>
      </c>
      <c r="AX289" s="421">
        <v>0</v>
      </c>
      <c r="AY289" s="421">
        <f t="shared" si="589"/>
        <v>0</v>
      </c>
      <c r="AZ289" s="421">
        <f t="shared" si="590"/>
        <v>177483</v>
      </c>
      <c r="BA289" s="422">
        <v>-0.09</v>
      </c>
      <c r="BB289" s="422">
        <v>-0.11</v>
      </c>
      <c r="BC289" s="422">
        <v>0</v>
      </c>
      <c r="BD289" s="422">
        <v>0</v>
      </c>
      <c r="BE289" s="422">
        <v>0</v>
      </c>
      <c r="BF289" s="422">
        <v>0</v>
      </c>
      <c r="BG289" s="422">
        <v>0</v>
      </c>
      <c r="BH289" s="422">
        <v>0.19</v>
      </c>
      <c r="BI289" s="422">
        <v>0</v>
      </c>
      <c r="BJ289" s="422">
        <v>0</v>
      </c>
      <c r="BK289" s="422">
        <f t="shared" ref="BK289:BK295" si="635">BA289+BC289+BD289+BF289+BH289+BI289</f>
        <v>0.1</v>
      </c>
      <c r="BL289" s="422">
        <f t="shared" ref="BL289:BL295" si="636">BB289+BE289+BG289+BJ289</f>
        <v>-0.11</v>
      </c>
      <c r="BM289" s="424">
        <f t="shared" si="591"/>
        <v>-9.999999999999995E-3</v>
      </c>
      <c r="BN289" s="427">
        <f t="shared" ref="BN289:BN295" si="637">I289+AZ289</f>
        <v>35570058</v>
      </c>
      <c r="BO289" s="421">
        <f t="shared" ref="BO289:BO295" si="638">J289+AH289</f>
        <v>25962409</v>
      </c>
      <c r="BP289" s="421">
        <f t="shared" ref="BP289:BQ295" si="639">K289+AF289</f>
        <v>24294865</v>
      </c>
      <c r="BQ289" s="421">
        <f t="shared" si="639"/>
        <v>1667544</v>
      </c>
      <c r="BR289" s="421">
        <f t="shared" ref="BR289:BR295" si="640">M289+AQ289</f>
        <v>99200</v>
      </c>
      <c r="BS289" s="421">
        <f t="shared" ref="BS289:BT295" si="641">N289+AO289</f>
        <v>64000</v>
      </c>
      <c r="BT289" s="421">
        <f t="shared" si="641"/>
        <v>35200</v>
      </c>
      <c r="BU289" s="421">
        <f t="shared" ref="BU289:BV295" si="642">P289+AU289</f>
        <v>8808824</v>
      </c>
      <c r="BV289" s="421">
        <f t="shared" si="642"/>
        <v>259624</v>
      </c>
      <c r="BW289" s="421">
        <f t="shared" ref="BW289:BW295" si="643">R289+AY289</f>
        <v>440001</v>
      </c>
      <c r="BX289" s="422">
        <f t="shared" ref="BX289:BX295" si="644">S289+BM289</f>
        <v>39.530900000000003</v>
      </c>
      <c r="BY289" s="422">
        <f t="shared" ref="BY289:BZ295" si="645">T289+BK289</f>
        <v>34.554900000000004</v>
      </c>
      <c r="BZ289" s="611">
        <f t="shared" si="645"/>
        <v>4.976</v>
      </c>
      <c r="CA289" s="423"/>
      <c r="CB289" s="418"/>
      <c r="CC289" s="418"/>
      <c r="CD289" s="418"/>
      <c r="CE289" s="418"/>
      <c r="CF289" s="527"/>
    </row>
    <row r="290" spans="1:84" ht="14.1" customHeight="1" x14ac:dyDescent="0.2">
      <c r="A290" s="66">
        <v>59</v>
      </c>
      <c r="B290" s="63">
        <v>2452</v>
      </c>
      <c r="C290" s="64">
        <v>600079660</v>
      </c>
      <c r="D290" s="63">
        <v>70695261</v>
      </c>
      <c r="E290" s="65" t="s">
        <v>654</v>
      </c>
      <c r="F290" s="66">
        <v>3113</v>
      </c>
      <c r="G290" s="43" t="s">
        <v>293</v>
      </c>
      <c r="H290" s="67" t="s">
        <v>271</v>
      </c>
      <c r="I290" s="423">
        <f t="shared" si="576"/>
        <v>1530503</v>
      </c>
      <c r="J290" s="418">
        <f t="shared" si="577"/>
        <v>1135388</v>
      </c>
      <c r="K290" s="418">
        <v>1135388</v>
      </c>
      <c r="L290" s="418">
        <v>0</v>
      </c>
      <c r="M290" s="418">
        <f t="shared" si="592"/>
        <v>0</v>
      </c>
      <c r="N290" s="418">
        <v>0</v>
      </c>
      <c r="O290" s="418">
        <v>0</v>
      </c>
      <c r="P290" s="668">
        <f t="shared" si="593"/>
        <v>383761</v>
      </c>
      <c r="Q290" s="668">
        <f t="shared" si="594"/>
        <v>11354</v>
      </c>
      <c r="R290" s="418">
        <v>0</v>
      </c>
      <c r="S290" s="419">
        <f t="shared" ref="S290" si="646">T290+U290</f>
        <v>3.1389</v>
      </c>
      <c r="T290" s="419">
        <v>3.1389</v>
      </c>
      <c r="U290" s="426">
        <v>0</v>
      </c>
      <c r="V290" s="428">
        <f t="shared" si="580"/>
        <v>0</v>
      </c>
      <c r="W290" s="421">
        <f t="shared" si="581"/>
        <v>0</v>
      </c>
      <c r="X290" s="421">
        <v>0</v>
      </c>
      <c r="Y290" s="421">
        <v>0</v>
      </c>
      <c r="Z290" s="421">
        <v>0</v>
      </c>
      <c r="AA290" s="421">
        <v>0</v>
      </c>
      <c r="AB290" s="421">
        <v>0</v>
      </c>
      <c r="AC290" s="421">
        <v>0</v>
      </c>
      <c r="AD290" s="421">
        <v>0</v>
      </c>
      <c r="AE290" s="421">
        <v>0</v>
      </c>
      <c r="AF290" s="421">
        <f t="shared" si="582"/>
        <v>0</v>
      </c>
      <c r="AG290" s="421">
        <f t="shared" si="583"/>
        <v>0</v>
      </c>
      <c r="AH290" s="421">
        <f t="shared" si="584"/>
        <v>0</v>
      </c>
      <c r="AI290" s="421">
        <v>0</v>
      </c>
      <c r="AJ290" s="421">
        <v>0</v>
      </c>
      <c r="AK290" s="421">
        <v>0</v>
      </c>
      <c r="AL290" s="421">
        <v>0</v>
      </c>
      <c r="AM290" s="421">
        <v>0</v>
      </c>
      <c r="AN290" s="421">
        <v>0</v>
      </c>
      <c r="AO290" s="421">
        <f t="shared" si="585"/>
        <v>0</v>
      </c>
      <c r="AP290" s="421">
        <f t="shared" si="586"/>
        <v>0</v>
      </c>
      <c r="AQ290" s="421">
        <f t="shared" si="587"/>
        <v>0</v>
      </c>
      <c r="AR290" s="421">
        <f t="shared" si="632"/>
        <v>0</v>
      </c>
      <c r="AS290" s="421">
        <f t="shared" si="632"/>
        <v>0</v>
      </c>
      <c r="AT290" s="421">
        <f t="shared" si="588"/>
        <v>0</v>
      </c>
      <c r="AU290" s="68">
        <f t="shared" si="633"/>
        <v>0</v>
      </c>
      <c r="AV290" s="68">
        <f t="shared" si="634"/>
        <v>0</v>
      </c>
      <c r="AW290" s="421">
        <v>0</v>
      </c>
      <c r="AX290" s="421">
        <v>0</v>
      </c>
      <c r="AY290" s="421">
        <f t="shared" si="589"/>
        <v>0</v>
      </c>
      <c r="AZ290" s="421">
        <f t="shared" si="590"/>
        <v>0</v>
      </c>
      <c r="BA290" s="422">
        <v>0</v>
      </c>
      <c r="BB290" s="422">
        <v>0</v>
      </c>
      <c r="BC290" s="422">
        <v>0</v>
      </c>
      <c r="BD290" s="422">
        <v>0</v>
      </c>
      <c r="BE290" s="422">
        <v>0</v>
      </c>
      <c r="BF290" s="422">
        <v>0</v>
      </c>
      <c r="BG290" s="422">
        <v>0</v>
      </c>
      <c r="BH290" s="422">
        <v>0</v>
      </c>
      <c r="BI290" s="422">
        <v>0</v>
      </c>
      <c r="BJ290" s="422">
        <v>0</v>
      </c>
      <c r="BK290" s="422">
        <f t="shared" si="635"/>
        <v>0</v>
      </c>
      <c r="BL290" s="422">
        <f t="shared" si="636"/>
        <v>0</v>
      </c>
      <c r="BM290" s="424">
        <f t="shared" si="591"/>
        <v>0</v>
      </c>
      <c r="BN290" s="427">
        <f t="shared" si="637"/>
        <v>1530503</v>
      </c>
      <c r="BO290" s="421">
        <f t="shared" si="638"/>
        <v>1135388</v>
      </c>
      <c r="BP290" s="421">
        <f t="shared" si="639"/>
        <v>1135388</v>
      </c>
      <c r="BQ290" s="421">
        <f t="shared" si="639"/>
        <v>0</v>
      </c>
      <c r="BR290" s="421">
        <f t="shared" si="640"/>
        <v>0</v>
      </c>
      <c r="BS290" s="421">
        <f t="shared" si="641"/>
        <v>0</v>
      </c>
      <c r="BT290" s="421">
        <f t="shared" si="641"/>
        <v>0</v>
      </c>
      <c r="BU290" s="421">
        <f t="shared" si="642"/>
        <v>383761</v>
      </c>
      <c r="BV290" s="421">
        <f t="shared" si="642"/>
        <v>11354</v>
      </c>
      <c r="BW290" s="421">
        <f t="shared" si="643"/>
        <v>0</v>
      </c>
      <c r="BX290" s="422">
        <f t="shared" si="644"/>
        <v>3.1389</v>
      </c>
      <c r="BY290" s="422">
        <f t="shared" si="645"/>
        <v>3.1389</v>
      </c>
      <c r="BZ290" s="611">
        <f t="shared" si="645"/>
        <v>0</v>
      </c>
      <c r="CA290" s="423"/>
      <c r="CB290" s="418"/>
      <c r="CC290" s="418"/>
      <c r="CD290" s="418"/>
      <c r="CE290" s="418"/>
      <c r="CF290" s="527"/>
    </row>
    <row r="291" spans="1:84" ht="14.1" customHeight="1" x14ac:dyDescent="0.2">
      <c r="A291" s="66">
        <v>59</v>
      </c>
      <c r="B291" s="63">
        <v>2452</v>
      </c>
      <c r="C291" s="64">
        <v>600079660</v>
      </c>
      <c r="D291" s="63">
        <v>70695261</v>
      </c>
      <c r="E291" s="65" t="s">
        <v>654</v>
      </c>
      <c r="F291" s="66">
        <v>3113</v>
      </c>
      <c r="G291" s="77" t="s">
        <v>292</v>
      </c>
      <c r="H291" s="67" t="s">
        <v>272</v>
      </c>
      <c r="I291" s="423">
        <f t="shared" si="576"/>
        <v>0</v>
      </c>
      <c r="J291" s="418">
        <f t="shared" si="577"/>
        <v>0</v>
      </c>
      <c r="K291" s="418">
        <v>0</v>
      </c>
      <c r="L291" s="418">
        <v>0</v>
      </c>
      <c r="M291" s="418">
        <f t="shared" si="592"/>
        <v>0</v>
      </c>
      <c r="N291" s="418">
        <v>0</v>
      </c>
      <c r="O291" s="418">
        <v>0</v>
      </c>
      <c r="P291" s="668">
        <f t="shared" si="593"/>
        <v>0</v>
      </c>
      <c r="Q291" s="668">
        <f t="shared" si="594"/>
        <v>0</v>
      </c>
      <c r="R291" s="418">
        <v>0</v>
      </c>
      <c r="S291" s="419">
        <f t="shared" si="595"/>
        <v>0</v>
      </c>
      <c r="T291" s="420">
        <v>0</v>
      </c>
      <c r="U291" s="426">
        <v>0</v>
      </c>
      <c r="V291" s="428">
        <f t="shared" si="580"/>
        <v>0</v>
      </c>
      <c r="W291" s="421">
        <f t="shared" si="581"/>
        <v>0</v>
      </c>
      <c r="X291" s="16">
        <v>2536318</v>
      </c>
      <c r="Y291" s="16">
        <v>0</v>
      </c>
      <c r="Z291" s="16">
        <v>0</v>
      </c>
      <c r="AA291" s="16">
        <v>0</v>
      </c>
      <c r="AB291" s="421">
        <v>0</v>
      </c>
      <c r="AC291" s="16">
        <v>0</v>
      </c>
      <c r="AD291" s="16">
        <v>0</v>
      </c>
      <c r="AE291" s="16">
        <v>0</v>
      </c>
      <c r="AF291" s="421">
        <f t="shared" si="582"/>
        <v>2536318</v>
      </c>
      <c r="AG291" s="421">
        <f t="shared" si="583"/>
        <v>0</v>
      </c>
      <c r="AH291" s="421">
        <f t="shared" si="584"/>
        <v>2536318</v>
      </c>
      <c r="AI291" s="16">
        <v>0</v>
      </c>
      <c r="AJ291" s="16">
        <v>0</v>
      </c>
      <c r="AK291" s="421">
        <v>0</v>
      </c>
      <c r="AL291" s="16">
        <v>0</v>
      </c>
      <c r="AM291" s="16">
        <v>0</v>
      </c>
      <c r="AN291" s="16">
        <v>0</v>
      </c>
      <c r="AO291" s="421">
        <f t="shared" si="585"/>
        <v>0</v>
      </c>
      <c r="AP291" s="16">
        <v>0</v>
      </c>
      <c r="AQ291" s="421">
        <f t="shared" si="587"/>
        <v>0</v>
      </c>
      <c r="AR291" s="421">
        <f t="shared" si="632"/>
        <v>2536318</v>
      </c>
      <c r="AS291" s="421">
        <f t="shared" si="632"/>
        <v>0</v>
      </c>
      <c r="AT291" s="421">
        <f t="shared" si="588"/>
        <v>2536318</v>
      </c>
      <c r="AU291" s="68">
        <f t="shared" si="633"/>
        <v>857275</v>
      </c>
      <c r="AV291" s="68">
        <f t="shared" si="634"/>
        <v>25363</v>
      </c>
      <c r="AW291" s="16">
        <v>700</v>
      </c>
      <c r="AX291" s="16">
        <v>0</v>
      </c>
      <c r="AY291" s="421">
        <f t="shared" si="589"/>
        <v>700</v>
      </c>
      <c r="AZ291" s="421">
        <f t="shared" si="590"/>
        <v>3419656</v>
      </c>
      <c r="BA291" s="13">
        <v>0</v>
      </c>
      <c r="BB291" s="13">
        <v>0</v>
      </c>
      <c r="BC291" s="13">
        <v>6.65</v>
      </c>
      <c r="BD291" s="422">
        <v>0</v>
      </c>
      <c r="BE291" s="422">
        <v>0</v>
      </c>
      <c r="BF291" s="422">
        <v>0</v>
      </c>
      <c r="BG291" s="422">
        <v>0</v>
      </c>
      <c r="BH291" s="422">
        <v>0</v>
      </c>
      <c r="BI291" s="422">
        <v>0</v>
      </c>
      <c r="BJ291" s="422">
        <v>0</v>
      </c>
      <c r="BK291" s="422">
        <f t="shared" si="635"/>
        <v>6.65</v>
      </c>
      <c r="BL291" s="422">
        <f t="shared" si="636"/>
        <v>0</v>
      </c>
      <c r="BM291" s="424">
        <f t="shared" si="591"/>
        <v>6.65</v>
      </c>
      <c r="BN291" s="427">
        <f t="shared" si="637"/>
        <v>3419656</v>
      </c>
      <c r="BO291" s="421">
        <f t="shared" si="638"/>
        <v>2536318</v>
      </c>
      <c r="BP291" s="421">
        <f t="shared" si="639"/>
        <v>2536318</v>
      </c>
      <c r="BQ291" s="421">
        <f t="shared" si="639"/>
        <v>0</v>
      </c>
      <c r="BR291" s="421">
        <f t="shared" si="640"/>
        <v>0</v>
      </c>
      <c r="BS291" s="421">
        <f t="shared" si="641"/>
        <v>0</v>
      </c>
      <c r="BT291" s="421">
        <f t="shared" si="641"/>
        <v>0</v>
      </c>
      <c r="BU291" s="421">
        <f t="shared" si="642"/>
        <v>857275</v>
      </c>
      <c r="BV291" s="421">
        <f t="shared" si="642"/>
        <v>25363</v>
      </c>
      <c r="BW291" s="421">
        <f t="shared" si="643"/>
        <v>700</v>
      </c>
      <c r="BX291" s="422">
        <f t="shared" si="644"/>
        <v>6.65</v>
      </c>
      <c r="BY291" s="422">
        <f t="shared" si="645"/>
        <v>6.65</v>
      </c>
      <c r="BZ291" s="611">
        <f t="shared" si="645"/>
        <v>0</v>
      </c>
      <c r="CA291" s="423"/>
      <c r="CB291" s="418"/>
      <c r="CC291" s="418"/>
      <c r="CD291" s="418"/>
      <c r="CE291" s="418"/>
      <c r="CF291" s="527"/>
    </row>
    <row r="292" spans="1:84" ht="14.1" customHeight="1" x14ac:dyDescent="0.2">
      <c r="A292" s="66">
        <v>59</v>
      </c>
      <c r="B292" s="63">
        <v>2452</v>
      </c>
      <c r="C292" s="64">
        <v>600079660</v>
      </c>
      <c r="D292" s="63">
        <v>70695261</v>
      </c>
      <c r="E292" s="65" t="s">
        <v>654</v>
      </c>
      <c r="F292" s="66">
        <v>3141</v>
      </c>
      <c r="G292" s="65" t="s">
        <v>295</v>
      </c>
      <c r="H292" s="67" t="s">
        <v>272</v>
      </c>
      <c r="I292" s="423">
        <f t="shared" si="576"/>
        <v>1703537</v>
      </c>
      <c r="J292" s="418">
        <f t="shared" si="577"/>
        <v>1253885</v>
      </c>
      <c r="K292" s="418">
        <v>0</v>
      </c>
      <c r="L292" s="924">
        <v>1253885</v>
      </c>
      <c r="M292" s="418">
        <f>N292+O292</f>
        <v>0</v>
      </c>
      <c r="N292" s="205">
        <v>0</v>
      </c>
      <c r="O292" s="205">
        <v>0</v>
      </c>
      <c r="P292" s="668">
        <f t="shared" si="593"/>
        <v>423813</v>
      </c>
      <c r="Q292" s="668">
        <f t="shared" si="594"/>
        <v>12539</v>
      </c>
      <c r="R292" s="674">
        <v>13300</v>
      </c>
      <c r="S292" s="419">
        <f>T292+U292</f>
        <v>3.76</v>
      </c>
      <c r="T292" s="676">
        <v>0</v>
      </c>
      <c r="U292" s="909">
        <v>3.76</v>
      </c>
      <c r="V292" s="428">
        <f t="shared" si="580"/>
        <v>0</v>
      </c>
      <c r="W292" s="421">
        <f t="shared" si="581"/>
        <v>0</v>
      </c>
      <c r="X292" s="421">
        <v>0</v>
      </c>
      <c r="Y292" s="421">
        <v>0</v>
      </c>
      <c r="Z292" s="421">
        <v>0</v>
      </c>
      <c r="AA292" s="421">
        <v>0</v>
      </c>
      <c r="AB292" s="421">
        <v>0</v>
      </c>
      <c r="AC292" s="421">
        <v>0</v>
      </c>
      <c r="AD292" s="421">
        <v>0</v>
      </c>
      <c r="AE292" s="421">
        <v>0</v>
      </c>
      <c r="AF292" s="421">
        <f t="shared" si="582"/>
        <v>0</v>
      </c>
      <c r="AG292" s="421">
        <f t="shared" si="583"/>
        <v>0</v>
      </c>
      <c r="AH292" s="421">
        <f t="shared" si="584"/>
        <v>0</v>
      </c>
      <c r="AI292" s="421">
        <v>0</v>
      </c>
      <c r="AJ292" s="421">
        <v>0</v>
      </c>
      <c r="AK292" s="421">
        <v>0</v>
      </c>
      <c r="AL292" s="421">
        <v>0</v>
      </c>
      <c r="AM292" s="421">
        <v>0</v>
      </c>
      <c r="AN292" s="421">
        <v>0</v>
      </c>
      <c r="AO292" s="421">
        <f t="shared" si="585"/>
        <v>0</v>
      </c>
      <c r="AP292" s="421">
        <f t="shared" si="586"/>
        <v>0</v>
      </c>
      <c r="AQ292" s="421">
        <f t="shared" si="587"/>
        <v>0</v>
      </c>
      <c r="AR292" s="421">
        <f t="shared" si="632"/>
        <v>0</v>
      </c>
      <c r="AS292" s="421">
        <f t="shared" si="632"/>
        <v>0</v>
      </c>
      <c r="AT292" s="421">
        <f t="shared" si="588"/>
        <v>0</v>
      </c>
      <c r="AU292" s="68">
        <f t="shared" si="633"/>
        <v>0</v>
      </c>
      <c r="AV292" s="68">
        <f t="shared" si="634"/>
        <v>0</v>
      </c>
      <c r="AW292" s="421">
        <v>0</v>
      </c>
      <c r="AX292" s="421">
        <v>0</v>
      </c>
      <c r="AY292" s="421">
        <f t="shared" si="589"/>
        <v>0</v>
      </c>
      <c r="AZ292" s="421">
        <f t="shared" si="590"/>
        <v>0</v>
      </c>
      <c r="BA292" s="422">
        <v>0</v>
      </c>
      <c r="BB292" s="422">
        <v>0</v>
      </c>
      <c r="BC292" s="422">
        <v>0</v>
      </c>
      <c r="BD292" s="422">
        <v>0</v>
      </c>
      <c r="BE292" s="422">
        <v>0</v>
      </c>
      <c r="BF292" s="422">
        <v>0</v>
      </c>
      <c r="BG292" s="422">
        <v>0</v>
      </c>
      <c r="BH292" s="422">
        <v>0</v>
      </c>
      <c r="BI292" s="422">
        <v>0</v>
      </c>
      <c r="BJ292" s="422">
        <v>0</v>
      </c>
      <c r="BK292" s="422">
        <f t="shared" si="635"/>
        <v>0</v>
      </c>
      <c r="BL292" s="422">
        <f t="shared" si="636"/>
        <v>0</v>
      </c>
      <c r="BM292" s="424">
        <f t="shared" si="591"/>
        <v>0</v>
      </c>
      <c r="BN292" s="427">
        <f t="shared" si="637"/>
        <v>1703537</v>
      </c>
      <c r="BO292" s="421">
        <f t="shared" si="638"/>
        <v>1253885</v>
      </c>
      <c r="BP292" s="421">
        <f t="shared" si="639"/>
        <v>0</v>
      </c>
      <c r="BQ292" s="421">
        <f t="shared" si="639"/>
        <v>1253885</v>
      </c>
      <c r="BR292" s="421">
        <f t="shared" si="640"/>
        <v>0</v>
      </c>
      <c r="BS292" s="421">
        <f t="shared" si="641"/>
        <v>0</v>
      </c>
      <c r="BT292" s="421">
        <f t="shared" si="641"/>
        <v>0</v>
      </c>
      <c r="BU292" s="421">
        <f t="shared" si="642"/>
        <v>423813</v>
      </c>
      <c r="BV292" s="421">
        <f t="shared" si="642"/>
        <v>12539</v>
      </c>
      <c r="BW292" s="421">
        <f t="shared" si="643"/>
        <v>13300</v>
      </c>
      <c r="BX292" s="422">
        <f t="shared" si="644"/>
        <v>3.76</v>
      </c>
      <c r="BY292" s="422">
        <f t="shared" si="645"/>
        <v>0</v>
      </c>
      <c r="BZ292" s="611">
        <f t="shared" si="645"/>
        <v>3.76</v>
      </c>
      <c r="CA292" s="423"/>
      <c r="CB292" s="418"/>
      <c r="CC292" s="418"/>
      <c r="CD292" s="418"/>
      <c r="CE292" s="418"/>
      <c r="CF292" s="527"/>
    </row>
    <row r="293" spans="1:84" ht="14.1" customHeight="1" x14ac:dyDescent="0.2">
      <c r="A293" s="66">
        <v>59</v>
      </c>
      <c r="B293" s="63">
        <v>2452</v>
      </c>
      <c r="C293" s="64">
        <v>600079660</v>
      </c>
      <c r="D293" s="63">
        <v>70695261</v>
      </c>
      <c r="E293" s="65" t="s">
        <v>654</v>
      </c>
      <c r="F293" s="66">
        <v>3143</v>
      </c>
      <c r="G293" s="77" t="s">
        <v>596</v>
      </c>
      <c r="H293" s="67" t="s">
        <v>271</v>
      </c>
      <c r="I293" s="423">
        <f t="shared" si="576"/>
        <v>3377052</v>
      </c>
      <c r="J293" s="418">
        <f t="shared" si="577"/>
        <v>2505232</v>
      </c>
      <c r="K293" s="418">
        <v>2505232</v>
      </c>
      <c r="L293" s="418">
        <v>0</v>
      </c>
      <c r="M293" s="418">
        <f t="shared" si="592"/>
        <v>0</v>
      </c>
      <c r="N293" s="418">
        <v>0</v>
      </c>
      <c r="O293" s="418">
        <v>0</v>
      </c>
      <c r="P293" s="668">
        <f t="shared" si="593"/>
        <v>846768</v>
      </c>
      <c r="Q293" s="668">
        <f t="shared" si="594"/>
        <v>25052</v>
      </c>
      <c r="R293" s="418">
        <v>0</v>
      </c>
      <c r="S293" s="419">
        <f t="shared" si="595"/>
        <v>5.5357000000000003</v>
      </c>
      <c r="T293" s="419">
        <v>5.5357000000000003</v>
      </c>
      <c r="U293" s="426">
        <v>0</v>
      </c>
      <c r="V293" s="428">
        <f t="shared" si="580"/>
        <v>0</v>
      </c>
      <c r="W293" s="421">
        <f t="shared" si="581"/>
        <v>0</v>
      </c>
      <c r="X293" s="421">
        <v>0</v>
      </c>
      <c r="Y293" s="421">
        <v>0</v>
      </c>
      <c r="Z293" s="421">
        <v>0</v>
      </c>
      <c r="AA293" s="421">
        <v>0</v>
      </c>
      <c r="AB293" s="421">
        <v>0</v>
      </c>
      <c r="AC293" s="421">
        <v>0</v>
      </c>
      <c r="AD293" s="421">
        <v>0</v>
      </c>
      <c r="AE293" s="421">
        <v>0</v>
      </c>
      <c r="AF293" s="421">
        <f t="shared" si="582"/>
        <v>0</v>
      </c>
      <c r="AG293" s="421">
        <f t="shared" si="583"/>
        <v>0</v>
      </c>
      <c r="AH293" s="421">
        <f t="shared" si="584"/>
        <v>0</v>
      </c>
      <c r="AI293" s="421">
        <v>0</v>
      </c>
      <c r="AJ293" s="421">
        <v>0</v>
      </c>
      <c r="AK293" s="421">
        <v>0</v>
      </c>
      <c r="AL293" s="421">
        <v>0</v>
      </c>
      <c r="AM293" s="421">
        <v>0</v>
      </c>
      <c r="AN293" s="421">
        <v>0</v>
      </c>
      <c r="AO293" s="421">
        <f t="shared" si="585"/>
        <v>0</v>
      </c>
      <c r="AP293" s="421">
        <f t="shared" si="586"/>
        <v>0</v>
      </c>
      <c r="AQ293" s="421">
        <f t="shared" si="587"/>
        <v>0</v>
      </c>
      <c r="AR293" s="421">
        <f t="shared" si="632"/>
        <v>0</v>
      </c>
      <c r="AS293" s="421">
        <f t="shared" si="632"/>
        <v>0</v>
      </c>
      <c r="AT293" s="421">
        <f t="shared" si="588"/>
        <v>0</v>
      </c>
      <c r="AU293" s="68">
        <f t="shared" si="633"/>
        <v>0</v>
      </c>
      <c r="AV293" s="68">
        <f t="shared" si="634"/>
        <v>0</v>
      </c>
      <c r="AW293" s="421">
        <v>0</v>
      </c>
      <c r="AX293" s="421">
        <v>0</v>
      </c>
      <c r="AY293" s="421">
        <f t="shared" si="589"/>
        <v>0</v>
      </c>
      <c r="AZ293" s="421">
        <f t="shared" si="590"/>
        <v>0</v>
      </c>
      <c r="BA293" s="422">
        <v>0</v>
      </c>
      <c r="BB293" s="422">
        <v>0</v>
      </c>
      <c r="BC293" s="422">
        <v>0</v>
      </c>
      <c r="BD293" s="422">
        <v>0</v>
      </c>
      <c r="BE293" s="422">
        <v>0</v>
      </c>
      <c r="BF293" s="422">
        <v>0</v>
      </c>
      <c r="BG293" s="422">
        <v>0</v>
      </c>
      <c r="BH293" s="422">
        <v>0</v>
      </c>
      <c r="BI293" s="422">
        <v>0</v>
      </c>
      <c r="BJ293" s="422">
        <v>0</v>
      </c>
      <c r="BK293" s="422">
        <f t="shared" si="635"/>
        <v>0</v>
      </c>
      <c r="BL293" s="422">
        <f t="shared" si="636"/>
        <v>0</v>
      </c>
      <c r="BM293" s="424">
        <f t="shared" si="591"/>
        <v>0</v>
      </c>
      <c r="BN293" s="427">
        <f t="shared" si="637"/>
        <v>3377052</v>
      </c>
      <c r="BO293" s="421">
        <f t="shared" si="638"/>
        <v>2505232</v>
      </c>
      <c r="BP293" s="421">
        <f t="shared" si="639"/>
        <v>2505232</v>
      </c>
      <c r="BQ293" s="421">
        <f t="shared" si="639"/>
        <v>0</v>
      </c>
      <c r="BR293" s="421">
        <f t="shared" si="640"/>
        <v>0</v>
      </c>
      <c r="BS293" s="421">
        <f t="shared" si="641"/>
        <v>0</v>
      </c>
      <c r="BT293" s="421">
        <f t="shared" si="641"/>
        <v>0</v>
      </c>
      <c r="BU293" s="421">
        <f t="shared" si="642"/>
        <v>846768</v>
      </c>
      <c r="BV293" s="421">
        <f t="shared" si="642"/>
        <v>25052</v>
      </c>
      <c r="BW293" s="421">
        <f t="shared" si="643"/>
        <v>0</v>
      </c>
      <c r="BX293" s="422">
        <f t="shared" si="644"/>
        <v>5.5357000000000003</v>
      </c>
      <c r="BY293" s="422">
        <f t="shared" si="645"/>
        <v>5.5357000000000003</v>
      </c>
      <c r="BZ293" s="611">
        <f t="shared" si="645"/>
        <v>0</v>
      </c>
      <c r="CA293" s="423"/>
      <c r="CB293" s="418"/>
      <c r="CC293" s="418"/>
      <c r="CD293" s="418"/>
      <c r="CE293" s="418"/>
      <c r="CF293" s="527"/>
    </row>
    <row r="294" spans="1:84" ht="14.1" customHeight="1" x14ac:dyDescent="0.2">
      <c r="A294" s="66">
        <v>59</v>
      </c>
      <c r="B294" s="63">
        <v>2452</v>
      </c>
      <c r="C294" s="64">
        <v>600079660</v>
      </c>
      <c r="D294" s="63">
        <v>70695261</v>
      </c>
      <c r="E294" s="65" t="s">
        <v>654</v>
      </c>
      <c r="F294" s="66">
        <v>3143</v>
      </c>
      <c r="G294" s="77" t="s">
        <v>297</v>
      </c>
      <c r="H294" s="67" t="s">
        <v>272</v>
      </c>
      <c r="I294" s="423">
        <f t="shared" si="576"/>
        <v>660360</v>
      </c>
      <c r="J294" s="418">
        <f t="shared" si="577"/>
        <v>489258</v>
      </c>
      <c r="K294" s="418">
        <v>463597</v>
      </c>
      <c r="L294" s="418">
        <v>25661</v>
      </c>
      <c r="M294" s="418">
        <f t="shared" si="592"/>
        <v>0</v>
      </c>
      <c r="N294" s="418">
        <v>0</v>
      </c>
      <c r="O294" s="418">
        <v>0</v>
      </c>
      <c r="P294" s="668">
        <f t="shared" si="593"/>
        <v>165369</v>
      </c>
      <c r="Q294" s="668">
        <f t="shared" si="594"/>
        <v>4893</v>
      </c>
      <c r="R294" s="418">
        <v>840</v>
      </c>
      <c r="S294" s="419">
        <f t="shared" si="595"/>
        <v>1.02</v>
      </c>
      <c r="T294" s="420">
        <v>0.92</v>
      </c>
      <c r="U294" s="426">
        <v>0.1</v>
      </c>
      <c r="V294" s="428">
        <f t="shared" si="580"/>
        <v>0</v>
      </c>
      <c r="W294" s="421">
        <f t="shared" si="581"/>
        <v>0</v>
      </c>
      <c r="X294" s="421">
        <v>0</v>
      </c>
      <c r="Y294" s="421">
        <v>0</v>
      </c>
      <c r="Z294" s="421">
        <v>0</v>
      </c>
      <c r="AA294" s="421">
        <v>0</v>
      </c>
      <c r="AB294" s="421">
        <v>0</v>
      </c>
      <c r="AC294" s="421">
        <v>0</v>
      </c>
      <c r="AD294" s="421">
        <v>0</v>
      </c>
      <c r="AE294" s="421">
        <v>0</v>
      </c>
      <c r="AF294" s="421">
        <f t="shared" si="582"/>
        <v>0</v>
      </c>
      <c r="AG294" s="421">
        <f t="shared" si="583"/>
        <v>0</v>
      </c>
      <c r="AH294" s="421">
        <f t="shared" si="584"/>
        <v>0</v>
      </c>
      <c r="AI294" s="421">
        <v>0</v>
      </c>
      <c r="AJ294" s="421">
        <v>0</v>
      </c>
      <c r="AK294" s="421">
        <v>0</v>
      </c>
      <c r="AL294" s="421">
        <v>0</v>
      </c>
      <c r="AM294" s="421">
        <v>0</v>
      </c>
      <c r="AN294" s="421">
        <v>0</v>
      </c>
      <c r="AO294" s="421">
        <f t="shared" si="585"/>
        <v>0</v>
      </c>
      <c r="AP294" s="421">
        <f t="shared" si="586"/>
        <v>0</v>
      </c>
      <c r="AQ294" s="421">
        <f t="shared" si="587"/>
        <v>0</v>
      </c>
      <c r="AR294" s="421">
        <f t="shared" si="632"/>
        <v>0</v>
      </c>
      <c r="AS294" s="421">
        <f t="shared" si="632"/>
        <v>0</v>
      </c>
      <c r="AT294" s="421">
        <f t="shared" si="588"/>
        <v>0</v>
      </c>
      <c r="AU294" s="68">
        <f t="shared" si="633"/>
        <v>0</v>
      </c>
      <c r="AV294" s="68">
        <f t="shared" si="634"/>
        <v>0</v>
      </c>
      <c r="AW294" s="421">
        <v>0</v>
      </c>
      <c r="AX294" s="421">
        <v>0</v>
      </c>
      <c r="AY294" s="421">
        <f t="shared" si="589"/>
        <v>0</v>
      </c>
      <c r="AZ294" s="421">
        <f t="shared" si="590"/>
        <v>0</v>
      </c>
      <c r="BA294" s="422">
        <v>0</v>
      </c>
      <c r="BB294" s="422">
        <v>0</v>
      </c>
      <c r="BC294" s="422">
        <v>0</v>
      </c>
      <c r="BD294" s="422">
        <v>0</v>
      </c>
      <c r="BE294" s="422">
        <v>0</v>
      </c>
      <c r="BF294" s="422">
        <v>0</v>
      </c>
      <c r="BG294" s="422">
        <v>0</v>
      </c>
      <c r="BH294" s="422">
        <v>0</v>
      </c>
      <c r="BI294" s="422">
        <v>0</v>
      </c>
      <c r="BJ294" s="422">
        <v>0</v>
      </c>
      <c r="BK294" s="422">
        <f t="shared" si="635"/>
        <v>0</v>
      </c>
      <c r="BL294" s="422">
        <f t="shared" si="636"/>
        <v>0</v>
      </c>
      <c r="BM294" s="424">
        <f t="shared" si="591"/>
        <v>0</v>
      </c>
      <c r="BN294" s="427">
        <f t="shared" si="637"/>
        <v>660360</v>
      </c>
      <c r="BO294" s="421">
        <f t="shared" si="638"/>
        <v>489258</v>
      </c>
      <c r="BP294" s="421">
        <f t="shared" si="639"/>
        <v>463597</v>
      </c>
      <c r="BQ294" s="421">
        <f t="shared" si="639"/>
        <v>25661</v>
      </c>
      <c r="BR294" s="421">
        <f t="shared" si="640"/>
        <v>0</v>
      </c>
      <c r="BS294" s="421">
        <f t="shared" si="641"/>
        <v>0</v>
      </c>
      <c r="BT294" s="421">
        <f t="shared" si="641"/>
        <v>0</v>
      </c>
      <c r="BU294" s="421">
        <f t="shared" si="642"/>
        <v>165369</v>
      </c>
      <c r="BV294" s="421">
        <f t="shared" si="642"/>
        <v>4893</v>
      </c>
      <c r="BW294" s="421">
        <f t="shared" si="643"/>
        <v>840</v>
      </c>
      <c r="BX294" s="422">
        <f t="shared" si="644"/>
        <v>1.02</v>
      </c>
      <c r="BY294" s="422">
        <f t="shared" si="645"/>
        <v>0.92</v>
      </c>
      <c r="BZ294" s="611">
        <f t="shared" si="645"/>
        <v>0.1</v>
      </c>
      <c r="CA294" s="423"/>
      <c r="CB294" s="418"/>
      <c r="CC294" s="418"/>
      <c r="CD294" s="418"/>
      <c r="CE294" s="418"/>
      <c r="CF294" s="527"/>
    </row>
    <row r="295" spans="1:84" ht="14.1" customHeight="1" x14ac:dyDescent="0.2">
      <c r="A295" s="66">
        <v>59</v>
      </c>
      <c r="B295" s="63">
        <v>2452</v>
      </c>
      <c r="C295" s="64">
        <v>600079660</v>
      </c>
      <c r="D295" s="63">
        <v>70695261</v>
      </c>
      <c r="E295" s="65" t="s">
        <v>654</v>
      </c>
      <c r="F295" s="66">
        <v>3143</v>
      </c>
      <c r="G295" s="77" t="s">
        <v>597</v>
      </c>
      <c r="H295" s="67" t="s">
        <v>272</v>
      </c>
      <c r="I295" s="423">
        <f t="shared" si="576"/>
        <v>80957</v>
      </c>
      <c r="J295" s="418">
        <f t="shared" si="577"/>
        <v>57948</v>
      </c>
      <c r="K295" s="418">
        <v>0</v>
      </c>
      <c r="L295" s="674">
        <v>57948</v>
      </c>
      <c r="M295" s="418">
        <f t="shared" si="592"/>
        <v>0</v>
      </c>
      <c r="N295" s="418">
        <v>0</v>
      </c>
      <c r="O295" s="418">
        <v>0</v>
      </c>
      <c r="P295" s="668">
        <f t="shared" si="593"/>
        <v>19586</v>
      </c>
      <c r="Q295" s="668">
        <f t="shared" si="594"/>
        <v>579</v>
      </c>
      <c r="R295" s="674">
        <v>2844</v>
      </c>
      <c r="S295" s="419">
        <f t="shared" si="595"/>
        <v>0.2195</v>
      </c>
      <c r="T295" s="676">
        <v>0</v>
      </c>
      <c r="U295" s="909">
        <v>0.2195</v>
      </c>
      <c r="V295" s="428">
        <f t="shared" si="580"/>
        <v>0</v>
      </c>
      <c r="W295" s="421">
        <f t="shared" si="581"/>
        <v>0</v>
      </c>
      <c r="X295" s="421">
        <v>0</v>
      </c>
      <c r="Y295" s="421">
        <v>0</v>
      </c>
      <c r="Z295" s="421">
        <v>0</v>
      </c>
      <c r="AA295" s="421">
        <v>0</v>
      </c>
      <c r="AB295" s="421">
        <v>0</v>
      </c>
      <c r="AC295" s="421">
        <v>0</v>
      </c>
      <c r="AD295" s="421">
        <v>0</v>
      </c>
      <c r="AE295" s="421">
        <v>0</v>
      </c>
      <c r="AF295" s="421">
        <f t="shared" si="582"/>
        <v>0</v>
      </c>
      <c r="AG295" s="421">
        <f t="shared" si="583"/>
        <v>0</v>
      </c>
      <c r="AH295" s="421">
        <f t="shared" si="584"/>
        <v>0</v>
      </c>
      <c r="AI295" s="421">
        <v>0</v>
      </c>
      <c r="AJ295" s="421">
        <v>0</v>
      </c>
      <c r="AK295" s="421">
        <v>0</v>
      </c>
      <c r="AL295" s="421">
        <v>0</v>
      </c>
      <c r="AM295" s="421">
        <v>0</v>
      </c>
      <c r="AN295" s="421">
        <v>0</v>
      </c>
      <c r="AO295" s="421">
        <f t="shared" si="585"/>
        <v>0</v>
      </c>
      <c r="AP295" s="421">
        <f t="shared" si="586"/>
        <v>0</v>
      </c>
      <c r="AQ295" s="421">
        <f t="shared" si="587"/>
        <v>0</v>
      </c>
      <c r="AR295" s="421">
        <f t="shared" si="632"/>
        <v>0</v>
      </c>
      <c r="AS295" s="421">
        <f t="shared" si="632"/>
        <v>0</v>
      </c>
      <c r="AT295" s="421">
        <f t="shared" si="588"/>
        <v>0</v>
      </c>
      <c r="AU295" s="68">
        <f t="shared" si="633"/>
        <v>0</v>
      </c>
      <c r="AV295" s="68">
        <f t="shared" si="634"/>
        <v>0</v>
      </c>
      <c r="AW295" s="421">
        <v>0</v>
      </c>
      <c r="AX295" s="421">
        <v>0</v>
      </c>
      <c r="AY295" s="421">
        <f t="shared" si="589"/>
        <v>0</v>
      </c>
      <c r="AZ295" s="421">
        <f t="shared" si="590"/>
        <v>0</v>
      </c>
      <c r="BA295" s="422">
        <v>0</v>
      </c>
      <c r="BB295" s="422">
        <v>0</v>
      </c>
      <c r="BC295" s="422">
        <v>0</v>
      </c>
      <c r="BD295" s="422">
        <v>0</v>
      </c>
      <c r="BE295" s="422">
        <v>0</v>
      </c>
      <c r="BF295" s="422">
        <v>0</v>
      </c>
      <c r="BG295" s="422">
        <v>0</v>
      </c>
      <c r="BH295" s="422">
        <v>0</v>
      </c>
      <c r="BI295" s="422">
        <v>0</v>
      </c>
      <c r="BJ295" s="422">
        <v>0</v>
      </c>
      <c r="BK295" s="422">
        <f t="shared" si="635"/>
        <v>0</v>
      </c>
      <c r="BL295" s="422">
        <f t="shared" si="636"/>
        <v>0</v>
      </c>
      <c r="BM295" s="424">
        <f t="shared" si="591"/>
        <v>0</v>
      </c>
      <c r="BN295" s="427">
        <f t="shared" si="637"/>
        <v>80957</v>
      </c>
      <c r="BO295" s="421">
        <f t="shared" si="638"/>
        <v>57948</v>
      </c>
      <c r="BP295" s="421">
        <f t="shared" si="639"/>
        <v>0</v>
      </c>
      <c r="BQ295" s="421">
        <f t="shared" si="639"/>
        <v>57948</v>
      </c>
      <c r="BR295" s="421">
        <f t="shared" si="640"/>
        <v>0</v>
      </c>
      <c r="BS295" s="421">
        <f t="shared" si="641"/>
        <v>0</v>
      </c>
      <c r="BT295" s="421">
        <f t="shared" si="641"/>
        <v>0</v>
      </c>
      <c r="BU295" s="421">
        <f t="shared" si="642"/>
        <v>19586</v>
      </c>
      <c r="BV295" s="421">
        <f t="shared" si="642"/>
        <v>579</v>
      </c>
      <c r="BW295" s="421">
        <f t="shared" si="643"/>
        <v>2844</v>
      </c>
      <c r="BX295" s="422">
        <f t="shared" si="644"/>
        <v>0.2195</v>
      </c>
      <c r="BY295" s="422">
        <f t="shared" si="645"/>
        <v>0</v>
      </c>
      <c r="BZ295" s="611">
        <f t="shared" si="645"/>
        <v>0.2195</v>
      </c>
      <c r="CA295" s="423"/>
      <c r="CB295" s="418"/>
      <c r="CC295" s="418"/>
      <c r="CD295" s="418"/>
      <c r="CE295" s="418"/>
      <c r="CF295" s="527"/>
    </row>
    <row r="296" spans="1:84" ht="14.1" customHeight="1" x14ac:dyDescent="0.2">
      <c r="A296" s="72">
        <v>59</v>
      </c>
      <c r="B296" s="69">
        <v>2452</v>
      </c>
      <c r="C296" s="70">
        <v>600079660</v>
      </c>
      <c r="D296" s="69">
        <v>70695261</v>
      </c>
      <c r="E296" s="71" t="s">
        <v>655</v>
      </c>
      <c r="F296" s="72"/>
      <c r="G296" s="71"/>
      <c r="H296" s="73"/>
      <c r="I296" s="538">
        <f t="shared" ref="I296:BU296" si="647">SUM(I289:I295)</f>
        <v>42744984</v>
      </c>
      <c r="J296" s="74">
        <f t="shared" si="647"/>
        <v>31370920</v>
      </c>
      <c r="K296" s="74">
        <f>SUM(K289:K295)</f>
        <v>28330682</v>
      </c>
      <c r="L296" s="74">
        <f>SUM(L289:L295)</f>
        <v>3040238</v>
      </c>
      <c r="M296" s="74">
        <f>SUM(M289:M295)</f>
        <v>0</v>
      </c>
      <c r="N296" s="74">
        <f>SUM(N289:N295)</f>
        <v>0</v>
      </c>
      <c r="O296" s="74">
        <f>SUM(O289:O295)</f>
        <v>0</v>
      </c>
      <c r="P296" s="74">
        <f t="shared" ref="P296:Q296" si="648">SUM(P289:P295)</f>
        <v>10603370</v>
      </c>
      <c r="Q296" s="74">
        <f t="shared" si="648"/>
        <v>313709</v>
      </c>
      <c r="R296" s="74">
        <f>SUM(R289:R295)</f>
        <v>456985</v>
      </c>
      <c r="S296" s="75">
        <f>SUM(S289:S295)</f>
        <v>53.214999999999996</v>
      </c>
      <c r="T296" s="75">
        <f>SUM(T289:T295)</f>
        <v>44.049500000000002</v>
      </c>
      <c r="U296" s="753">
        <f>SUM(U289:U295)</f>
        <v>9.1654999999999998</v>
      </c>
      <c r="V296" s="538">
        <f t="shared" si="647"/>
        <v>-64000</v>
      </c>
      <c r="W296" s="74">
        <f t="shared" si="647"/>
        <v>-35200</v>
      </c>
      <c r="X296" s="74">
        <f t="shared" si="647"/>
        <v>2536318</v>
      </c>
      <c r="Y296" s="74">
        <f t="shared" si="647"/>
        <v>0</v>
      </c>
      <c r="Z296" s="74">
        <f t="shared" si="647"/>
        <v>0</v>
      </c>
      <c r="AA296" s="74">
        <f t="shared" si="647"/>
        <v>132400</v>
      </c>
      <c r="AB296" s="74">
        <f t="shared" si="647"/>
        <v>0</v>
      </c>
      <c r="AC296" s="74">
        <f t="shared" si="647"/>
        <v>0</v>
      </c>
      <c r="AD296" s="74">
        <f t="shared" si="647"/>
        <v>0</v>
      </c>
      <c r="AE296" s="74">
        <f t="shared" si="647"/>
        <v>0</v>
      </c>
      <c r="AF296" s="74">
        <f t="shared" si="647"/>
        <v>2604718</v>
      </c>
      <c r="AG296" s="74">
        <f t="shared" si="647"/>
        <v>-35200</v>
      </c>
      <c r="AH296" s="74">
        <f t="shared" si="647"/>
        <v>2569518</v>
      </c>
      <c r="AI296" s="74">
        <f t="shared" si="647"/>
        <v>64000</v>
      </c>
      <c r="AJ296" s="74">
        <f t="shared" si="647"/>
        <v>35200</v>
      </c>
      <c r="AK296" s="74">
        <f t="shared" si="647"/>
        <v>0</v>
      </c>
      <c r="AL296" s="74">
        <f t="shared" si="647"/>
        <v>0</v>
      </c>
      <c r="AM296" s="74">
        <f t="shared" si="647"/>
        <v>0</v>
      </c>
      <c r="AN296" s="74">
        <f t="shared" si="647"/>
        <v>0</v>
      </c>
      <c r="AO296" s="74">
        <f t="shared" si="647"/>
        <v>64000</v>
      </c>
      <c r="AP296" s="74">
        <f t="shared" si="647"/>
        <v>35200</v>
      </c>
      <c r="AQ296" s="74">
        <f t="shared" si="647"/>
        <v>99200</v>
      </c>
      <c r="AR296" s="74">
        <f t="shared" si="647"/>
        <v>2668718</v>
      </c>
      <c r="AS296" s="74">
        <f t="shared" si="647"/>
        <v>0</v>
      </c>
      <c r="AT296" s="74">
        <f t="shared" si="647"/>
        <v>2668718</v>
      </c>
      <c r="AU296" s="74">
        <f t="shared" si="647"/>
        <v>902026</v>
      </c>
      <c r="AV296" s="74">
        <f t="shared" si="647"/>
        <v>25695</v>
      </c>
      <c r="AW296" s="74">
        <f t="shared" si="647"/>
        <v>700</v>
      </c>
      <c r="AX296" s="74">
        <f t="shared" si="647"/>
        <v>0</v>
      </c>
      <c r="AY296" s="74">
        <f t="shared" si="647"/>
        <v>700</v>
      </c>
      <c r="AZ296" s="74">
        <f t="shared" si="647"/>
        <v>3597139</v>
      </c>
      <c r="BA296" s="75">
        <f t="shared" si="647"/>
        <v>-0.09</v>
      </c>
      <c r="BB296" s="75">
        <f t="shared" si="647"/>
        <v>-0.11</v>
      </c>
      <c r="BC296" s="75">
        <f t="shared" si="647"/>
        <v>6.65</v>
      </c>
      <c r="BD296" s="75">
        <f t="shared" si="647"/>
        <v>0</v>
      </c>
      <c r="BE296" s="75">
        <f t="shared" si="647"/>
        <v>0</v>
      </c>
      <c r="BF296" s="75">
        <f t="shared" si="647"/>
        <v>0</v>
      </c>
      <c r="BG296" s="75">
        <f t="shared" si="647"/>
        <v>0</v>
      </c>
      <c r="BH296" s="75">
        <f t="shared" si="647"/>
        <v>0.19</v>
      </c>
      <c r="BI296" s="75">
        <f t="shared" si="647"/>
        <v>0</v>
      </c>
      <c r="BJ296" s="75">
        <f t="shared" si="647"/>
        <v>0</v>
      </c>
      <c r="BK296" s="75">
        <f t="shared" si="647"/>
        <v>6.75</v>
      </c>
      <c r="BL296" s="75">
        <f t="shared" si="647"/>
        <v>-0.11</v>
      </c>
      <c r="BM296" s="76">
        <f t="shared" si="647"/>
        <v>6.6400000000000006</v>
      </c>
      <c r="BN296" s="549">
        <f t="shared" si="647"/>
        <v>46342123</v>
      </c>
      <c r="BO296" s="74">
        <f t="shared" si="647"/>
        <v>33940438</v>
      </c>
      <c r="BP296" s="74">
        <f t="shared" si="647"/>
        <v>30935400</v>
      </c>
      <c r="BQ296" s="74">
        <f t="shared" si="647"/>
        <v>3005038</v>
      </c>
      <c r="BR296" s="74">
        <f t="shared" si="647"/>
        <v>99200</v>
      </c>
      <c r="BS296" s="74">
        <f t="shared" si="647"/>
        <v>64000</v>
      </c>
      <c r="BT296" s="74">
        <f t="shared" si="647"/>
        <v>35200</v>
      </c>
      <c r="BU296" s="74">
        <f t="shared" si="647"/>
        <v>11505396</v>
      </c>
      <c r="BV296" s="74">
        <f t="shared" ref="BV296:CF296" si="649">SUM(BV289:BV295)</f>
        <v>339404</v>
      </c>
      <c r="BW296" s="74">
        <f t="shared" si="649"/>
        <v>457685</v>
      </c>
      <c r="BX296" s="75">
        <f t="shared" si="649"/>
        <v>59.854999999999997</v>
      </c>
      <c r="BY296" s="75">
        <f t="shared" si="649"/>
        <v>50.799500000000002</v>
      </c>
      <c r="BZ296" s="753">
        <f t="shared" si="649"/>
        <v>9.0555000000000003</v>
      </c>
      <c r="CA296" s="796">
        <f t="shared" si="649"/>
        <v>0</v>
      </c>
      <c r="CB296" s="789">
        <f t="shared" si="649"/>
        <v>0</v>
      </c>
      <c r="CC296" s="789">
        <f t="shared" si="649"/>
        <v>0</v>
      </c>
      <c r="CD296" s="789">
        <f t="shared" si="649"/>
        <v>0</v>
      </c>
      <c r="CE296" s="789">
        <f t="shared" si="649"/>
        <v>0</v>
      </c>
      <c r="CF296" s="793">
        <f t="shared" si="649"/>
        <v>0</v>
      </c>
    </row>
    <row r="297" spans="1:84" ht="14.1" customHeight="1" x14ac:dyDescent="0.2">
      <c r="A297" s="66">
        <v>60</v>
      </c>
      <c r="B297" s="63">
        <v>2319</v>
      </c>
      <c r="C297" s="64">
        <v>600080218</v>
      </c>
      <c r="D297" s="63">
        <v>70695245</v>
      </c>
      <c r="E297" s="65" t="s">
        <v>656</v>
      </c>
      <c r="F297" s="66">
        <v>3231</v>
      </c>
      <c r="G297" s="65" t="s">
        <v>296</v>
      </c>
      <c r="H297" s="67" t="s">
        <v>271</v>
      </c>
      <c r="I297" s="423">
        <f t="shared" si="576"/>
        <v>7848216</v>
      </c>
      <c r="J297" s="418">
        <f t="shared" si="577"/>
        <v>5811486</v>
      </c>
      <c r="K297" s="418">
        <v>5606147</v>
      </c>
      <c r="L297" s="418">
        <v>205339</v>
      </c>
      <c r="M297" s="418">
        <f t="shared" si="592"/>
        <v>0</v>
      </c>
      <c r="N297" s="418">
        <v>0</v>
      </c>
      <c r="O297" s="418">
        <v>0</v>
      </c>
      <c r="P297" s="668">
        <f t="shared" si="593"/>
        <v>1964282</v>
      </c>
      <c r="Q297" s="668">
        <f t="shared" si="594"/>
        <v>58115</v>
      </c>
      <c r="R297" s="418">
        <v>14333</v>
      </c>
      <c r="S297" s="419">
        <f t="shared" si="595"/>
        <v>9.39</v>
      </c>
      <c r="T297" s="419">
        <v>8.81</v>
      </c>
      <c r="U297" s="426">
        <v>0.57999999999999996</v>
      </c>
      <c r="V297" s="428">
        <f t="shared" si="580"/>
        <v>0</v>
      </c>
      <c r="W297" s="421">
        <f t="shared" si="581"/>
        <v>0</v>
      </c>
      <c r="X297" s="421">
        <v>0</v>
      </c>
      <c r="Y297" s="421">
        <v>0</v>
      </c>
      <c r="Z297" s="421">
        <v>0</v>
      </c>
      <c r="AA297" s="421">
        <v>0</v>
      </c>
      <c r="AB297" s="421">
        <v>0</v>
      </c>
      <c r="AC297" s="421">
        <v>0</v>
      </c>
      <c r="AD297" s="421">
        <v>0</v>
      </c>
      <c r="AE297" s="421">
        <v>0</v>
      </c>
      <c r="AF297" s="421">
        <f t="shared" si="582"/>
        <v>0</v>
      </c>
      <c r="AG297" s="421">
        <f t="shared" si="583"/>
        <v>0</v>
      </c>
      <c r="AH297" s="421">
        <f t="shared" si="584"/>
        <v>0</v>
      </c>
      <c r="AI297" s="421">
        <v>0</v>
      </c>
      <c r="AJ297" s="421">
        <v>0</v>
      </c>
      <c r="AK297" s="421">
        <v>0</v>
      </c>
      <c r="AL297" s="421">
        <v>0</v>
      </c>
      <c r="AM297" s="421">
        <v>0</v>
      </c>
      <c r="AN297" s="421">
        <v>0</v>
      </c>
      <c r="AO297" s="421">
        <f t="shared" si="585"/>
        <v>0</v>
      </c>
      <c r="AP297" s="421">
        <f t="shared" si="586"/>
        <v>0</v>
      </c>
      <c r="AQ297" s="421">
        <f t="shared" si="587"/>
        <v>0</v>
      </c>
      <c r="AR297" s="421">
        <f>AF297+AO297</f>
        <v>0</v>
      </c>
      <c r="AS297" s="421">
        <f>AG297+AP297</f>
        <v>0</v>
      </c>
      <c r="AT297" s="421">
        <f t="shared" si="588"/>
        <v>0</v>
      </c>
      <c r="AU297" s="68">
        <f>ROUND((AH297+AI297+AJ297+AK297+AL297)*33.8%,0)</f>
        <v>0</v>
      </c>
      <c r="AV297" s="68">
        <f>ROUND(AH297*1%,0)</f>
        <v>0</v>
      </c>
      <c r="AW297" s="421">
        <v>0</v>
      </c>
      <c r="AX297" s="421">
        <v>0</v>
      </c>
      <c r="AY297" s="421">
        <f t="shared" si="589"/>
        <v>0</v>
      </c>
      <c r="AZ297" s="421">
        <f t="shared" si="590"/>
        <v>0</v>
      </c>
      <c r="BA297" s="422">
        <v>0</v>
      </c>
      <c r="BB297" s="422">
        <v>0</v>
      </c>
      <c r="BC297" s="422">
        <v>0</v>
      </c>
      <c r="BD297" s="422">
        <v>0</v>
      </c>
      <c r="BE297" s="422">
        <v>0</v>
      </c>
      <c r="BF297" s="422">
        <v>0</v>
      </c>
      <c r="BG297" s="422">
        <v>0</v>
      </c>
      <c r="BH297" s="422">
        <v>0</v>
      </c>
      <c r="BI297" s="422">
        <v>0</v>
      </c>
      <c r="BJ297" s="422">
        <v>0</v>
      </c>
      <c r="BK297" s="422">
        <f>BA297+BC297+BD297+BF297+BH297+BI297</f>
        <v>0</v>
      </c>
      <c r="BL297" s="422">
        <f>BB297+BE297+BG297+BJ297</f>
        <v>0</v>
      </c>
      <c r="BM297" s="424">
        <f t="shared" si="591"/>
        <v>0</v>
      </c>
      <c r="BN297" s="427">
        <f>I297+AZ297</f>
        <v>7848216</v>
      </c>
      <c r="BO297" s="421">
        <f>J297+AH297</f>
        <v>5811486</v>
      </c>
      <c r="BP297" s="421">
        <f>K297+AF297</f>
        <v>5606147</v>
      </c>
      <c r="BQ297" s="421">
        <f>L297+AG297</f>
        <v>205339</v>
      </c>
      <c r="BR297" s="421">
        <f>M297+AQ297</f>
        <v>0</v>
      </c>
      <c r="BS297" s="421">
        <f>N297+AO297</f>
        <v>0</v>
      </c>
      <c r="BT297" s="421">
        <f>O297+AP297</f>
        <v>0</v>
      </c>
      <c r="BU297" s="421">
        <f>P297+AU297</f>
        <v>1964282</v>
      </c>
      <c r="BV297" s="421">
        <f>Q297+AV297</f>
        <v>58115</v>
      </c>
      <c r="BW297" s="421">
        <f>R297+AY297</f>
        <v>14333</v>
      </c>
      <c r="BX297" s="422">
        <f>S297+BM297</f>
        <v>9.39</v>
      </c>
      <c r="BY297" s="422">
        <f>T297+BK297</f>
        <v>8.81</v>
      </c>
      <c r="BZ297" s="611">
        <f>U297+BL297</f>
        <v>0.57999999999999996</v>
      </c>
      <c r="CA297" s="423"/>
      <c r="CB297" s="418"/>
      <c r="CC297" s="418"/>
      <c r="CD297" s="418"/>
      <c r="CE297" s="418"/>
      <c r="CF297" s="527"/>
    </row>
    <row r="298" spans="1:84" ht="14.1" customHeight="1" x14ac:dyDescent="0.2">
      <c r="A298" s="72">
        <v>60</v>
      </c>
      <c r="B298" s="69">
        <v>2319</v>
      </c>
      <c r="C298" s="70">
        <v>600080218</v>
      </c>
      <c r="D298" s="69">
        <v>70695245</v>
      </c>
      <c r="E298" s="71" t="s">
        <v>657</v>
      </c>
      <c r="F298" s="72"/>
      <c r="G298" s="71"/>
      <c r="H298" s="73"/>
      <c r="I298" s="539">
        <f t="shared" ref="I298:BU298" si="650">SUM(I297)</f>
        <v>7848216</v>
      </c>
      <c r="J298" s="78">
        <f t="shared" si="650"/>
        <v>5811486</v>
      </c>
      <c r="K298" s="78">
        <f t="shared" si="650"/>
        <v>5606147</v>
      </c>
      <c r="L298" s="78">
        <f t="shared" si="650"/>
        <v>205339</v>
      </c>
      <c r="M298" s="78">
        <f t="shared" si="650"/>
        <v>0</v>
      </c>
      <c r="N298" s="78">
        <f t="shared" si="650"/>
        <v>0</v>
      </c>
      <c r="O298" s="78">
        <f t="shared" si="650"/>
        <v>0</v>
      </c>
      <c r="P298" s="78">
        <f t="shared" si="650"/>
        <v>1964282</v>
      </c>
      <c r="Q298" s="78">
        <f t="shared" si="650"/>
        <v>58115</v>
      </c>
      <c r="R298" s="78">
        <f t="shared" si="650"/>
        <v>14333</v>
      </c>
      <c r="S298" s="79">
        <f t="shared" si="650"/>
        <v>9.39</v>
      </c>
      <c r="T298" s="79">
        <f t="shared" si="650"/>
        <v>8.81</v>
      </c>
      <c r="U298" s="754">
        <f t="shared" si="650"/>
        <v>0.57999999999999996</v>
      </c>
      <c r="V298" s="539">
        <f t="shared" si="650"/>
        <v>0</v>
      </c>
      <c r="W298" s="78">
        <f t="shared" si="650"/>
        <v>0</v>
      </c>
      <c r="X298" s="78">
        <f t="shared" si="650"/>
        <v>0</v>
      </c>
      <c r="Y298" s="78">
        <f t="shared" si="650"/>
        <v>0</v>
      </c>
      <c r="Z298" s="78">
        <f t="shared" si="650"/>
        <v>0</v>
      </c>
      <c r="AA298" s="78">
        <f t="shared" si="650"/>
        <v>0</v>
      </c>
      <c r="AB298" s="78">
        <f t="shared" si="650"/>
        <v>0</v>
      </c>
      <c r="AC298" s="78">
        <f t="shared" si="650"/>
        <v>0</v>
      </c>
      <c r="AD298" s="78">
        <f t="shared" si="650"/>
        <v>0</v>
      </c>
      <c r="AE298" s="78">
        <f t="shared" si="650"/>
        <v>0</v>
      </c>
      <c r="AF298" s="78">
        <f t="shared" si="650"/>
        <v>0</v>
      </c>
      <c r="AG298" s="78">
        <f t="shared" si="650"/>
        <v>0</v>
      </c>
      <c r="AH298" s="78">
        <f t="shared" si="650"/>
        <v>0</v>
      </c>
      <c r="AI298" s="78">
        <f t="shared" si="650"/>
        <v>0</v>
      </c>
      <c r="AJ298" s="78">
        <f t="shared" si="650"/>
        <v>0</v>
      </c>
      <c r="AK298" s="78">
        <f t="shared" si="650"/>
        <v>0</v>
      </c>
      <c r="AL298" s="78">
        <f t="shared" si="650"/>
        <v>0</v>
      </c>
      <c r="AM298" s="78">
        <f t="shared" si="650"/>
        <v>0</v>
      </c>
      <c r="AN298" s="78">
        <f t="shared" si="650"/>
        <v>0</v>
      </c>
      <c r="AO298" s="78">
        <f t="shared" si="650"/>
        <v>0</v>
      </c>
      <c r="AP298" s="78">
        <f t="shared" si="650"/>
        <v>0</v>
      </c>
      <c r="AQ298" s="78">
        <f t="shared" si="650"/>
        <v>0</v>
      </c>
      <c r="AR298" s="78">
        <f t="shared" si="650"/>
        <v>0</v>
      </c>
      <c r="AS298" s="78">
        <f t="shared" si="650"/>
        <v>0</v>
      </c>
      <c r="AT298" s="78">
        <f t="shared" si="650"/>
        <v>0</v>
      </c>
      <c r="AU298" s="78">
        <f t="shared" si="650"/>
        <v>0</v>
      </c>
      <c r="AV298" s="78">
        <f t="shared" si="650"/>
        <v>0</v>
      </c>
      <c r="AW298" s="78">
        <f t="shared" si="650"/>
        <v>0</v>
      </c>
      <c r="AX298" s="78">
        <f t="shared" si="650"/>
        <v>0</v>
      </c>
      <c r="AY298" s="78">
        <f t="shared" si="650"/>
        <v>0</v>
      </c>
      <c r="AZ298" s="78">
        <f t="shared" si="650"/>
        <v>0</v>
      </c>
      <c r="BA298" s="79">
        <f t="shared" si="650"/>
        <v>0</v>
      </c>
      <c r="BB298" s="79">
        <f t="shared" si="650"/>
        <v>0</v>
      </c>
      <c r="BC298" s="79">
        <f t="shared" si="650"/>
        <v>0</v>
      </c>
      <c r="BD298" s="79">
        <f t="shared" si="650"/>
        <v>0</v>
      </c>
      <c r="BE298" s="79">
        <f t="shared" si="650"/>
        <v>0</v>
      </c>
      <c r="BF298" s="79">
        <f t="shared" si="650"/>
        <v>0</v>
      </c>
      <c r="BG298" s="79">
        <f t="shared" si="650"/>
        <v>0</v>
      </c>
      <c r="BH298" s="79">
        <f t="shared" si="650"/>
        <v>0</v>
      </c>
      <c r="BI298" s="79">
        <f t="shared" si="650"/>
        <v>0</v>
      </c>
      <c r="BJ298" s="79">
        <f t="shared" si="650"/>
        <v>0</v>
      </c>
      <c r="BK298" s="79">
        <f t="shared" si="650"/>
        <v>0</v>
      </c>
      <c r="BL298" s="79">
        <f t="shared" si="650"/>
        <v>0</v>
      </c>
      <c r="BM298" s="80">
        <f t="shared" si="650"/>
        <v>0</v>
      </c>
      <c r="BN298" s="550">
        <f t="shared" si="650"/>
        <v>7848216</v>
      </c>
      <c r="BO298" s="78">
        <f t="shared" si="650"/>
        <v>5811486</v>
      </c>
      <c r="BP298" s="78">
        <f t="shared" si="650"/>
        <v>5606147</v>
      </c>
      <c r="BQ298" s="78">
        <f t="shared" si="650"/>
        <v>205339</v>
      </c>
      <c r="BR298" s="78">
        <f t="shared" si="650"/>
        <v>0</v>
      </c>
      <c r="BS298" s="78">
        <f t="shared" si="650"/>
        <v>0</v>
      </c>
      <c r="BT298" s="78">
        <f t="shared" si="650"/>
        <v>0</v>
      </c>
      <c r="BU298" s="78">
        <f t="shared" si="650"/>
        <v>1964282</v>
      </c>
      <c r="BV298" s="78">
        <f t="shared" ref="BV298:CF298" si="651">SUM(BV297)</f>
        <v>58115</v>
      </c>
      <c r="BW298" s="78">
        <f t="shared" si="651"/>
        <v>14333</v>
      </c>
      <c r="BX298" s="79">
        <f t="shared" si="651"/>
        <v>9.39</v>
      </c>
      <c r="BY298" s="79">
        <f t="shared" si="651"/>
        <v>8.81</v>
      </c>
      <c r="BZ298" s="754">
        <f t="shared" si="651"/>
        <v>0.57999999999999996</v>
      </c>
      <c r="CA298" s="797">
        <f t="shared" si="651"/>
        <v>0</v>
      </c>
      <c r="CB298" s="790">
        <f t="shared" si="651"/>
        <v>0</v>
      </c>
      <c r="CC298" s="790">
        <f t="shared" si="651"/>
        <v>0</v>
      </c>
      <c r="CD298" s="790">
        <f t="shared" si="651"/>
        <v>0</v>
      </c>
      <c r="CE298" s="790">
        <f t="shared" si="651"/>
        <v>0</v>
      </c>
      <c r="CF298" s="794">
        <f t="shared" si="651"/>
        <v>0</v>
      </c>
    </row>
    <row r="299" spans="1:84" ht="14.1" customHeight="1" x14ac:dyDescent="0.2">
      <c r="A299" s="66">
        <v>61</v>
      </c>
      <c r="B299" s="63">
        <v>2444</v>
      </c>
      <c r="C299" s="64">
        <v>600079848</v>
      </c>
      <c r="D299" s="63">
        <v>72742836</v>
      </c>
      <c r="E299" s="65" t="s">
        <v>658</v>
      </c>
      <c r="F299" s="66">
        <v>3111</v>
      </c>
      <c r="G299" s="65" t="s">
        <v>291</v>
      </c>
      <c r="H299" s="67" t="s">
        <v>271</v>
      </c>
      <c r="I299" s="423">
        <f t="shared" si="576"/>
        <v>4641894</v>
      </c>
      <c r="J299" s="418">
        <f t="shared" si="577"/>
        <v>3433044</v>
      </c>
      <c r="K299" s="418">
        <v>3253332</v>
      </c>
      <c r="L299" s="418">
        <v>179712</v>
      </c>
      <c r="M299" s="418">
        <f>N299+O299</f>
        <v>0</v>
      </c>
      <c r="N299" s="418">
        <v>0</v>
      </c>
      <c r="O299" s="418">
        <v>0</v>
      </c>
      <c r="P299" s="668">
        <f t="shared" si="593"/>
        <v>1160369</v>
      </c>
      <c r="Q299" s="668">
        <f t="shared" si="594"/>
        <v>34330</v>
      </c>
      <c r="R299" s="418">
        <v>14151</v>
      </c>
      <c r="S299" s="419">
        <f t="shared" si="595"/>
        <v>6.62</v>
      </c>
      <c r="T299" s="419">
        <v>5.9</v>
      </c>
      <c r="U299" s="426">
        <v>0.72</v>
      </c>
      <c r="V299" s="428">
        <f t="shared" si="580"/>
        <v>0</v>
      </c>
      <c r="W299" s="421">
        <f t="shared" si="581"/>
        <v>0</v>
      </c>
      <c r="X299" s="421">
        <v>0</v>
      </c>
      <c r="Y299" s="421">
        <v>0</v>
      </c>
      <c r="Z299" s="421">
        <v>0</v>
      </c>
      <c r="AA299" s="421">
        <v>0</v>
      </c>
      <c r="AB299" s="421">
        <v>0</v>
      </c>
      <c r="AC299" s="421">
        <v>0</v>
      </c>
      <c r="AD299" s="421">
        <v>0</v>
      </c>
      <c r="AE299" s="421">
        <v>0</v>
      </c>
      <c r="AF299" s="421">
        <f t="shared" si="582"/>
        <v>0</v>
      </c>
      <c r="AG299" s="421">
        <f t="shared" si="583"/>
        <v>0</v>
      </c>
      <c r="AH299" s="421">
        <f t="shared" si="584"/>
        <v>0</v>
      </c>
      <c r="AI299" s="421">
        <v>0</v>
      </c>
      <c r="AJ299" s="421">
        <v>0</v>
      </c>
      <c r="AK299" s="421">
        <v>0</v>
      </c>
      <c r="AL299" s="421">
        <v>0</v>
      </c>
      <c r="AM299" s="421">
        <v>0</v>
      </c>
      <c r="AN299" s="421">
        <v>0</v>
      </c>
      <c r="AO299" s="421">
        <f t="shared" si="585"/>
        <v>0</v>
      </c>
      <c r="AP299" s="421">
        <f t="shared" si="586"/>
        <v>0</v>
      </c>
      <c r="AQ299" s="421">
        <f t="shared" si="587"/>
        <v>0</v>
      </c>
      <c r="AR299" s="421">
        <f t="shared" ref="AR299:AS304" si="652">AF299+AO299</f>
        <v>0</v>
      </c>
      <c r="AS299" s="421">
        <f t="shared" si="652"/>
        <v>0</v>
      </c>
      <c r="AT299" s="421">
        <f t="shared" si="588"/>
        <v>0</v>
      </c>
      <c r="AU299" s="68">
        <f t="shared" ref="AU299:AU304" si="653">ROUND((AH299+AI299+AJ299+AK299+AL299)*33.8%,0)</f>
        <v>0</v>
      </c>
      <c r="AV299" s="68">
        <f t="shared" ref="AV299:AV304" si="654">ROUND(AH299*1%,0)</f>
        <v>0</v>
      </c>
      <c r="AW299" s="421">
        <v>0</v>
      </c>
      <c r="AX299" s="421">
        <v>0</v>
      </c>
      <c r="AY299" s="421">
        <f t="shared" si="589"/>
        <v>0</v>
      </c>
      <c r="AZ299" s="421">
        <f t="shared" si="590"/>
        <v>0</v>
      </c>
      <c r="BA299" s="422">
        <v>0</v>
      </c>
      <c r="BB299" s="422">
        <v>0</v>
      </c>
      <c r="BC299" s="422">
        <v>0</v>
      </c>
      <c r="BD299" s="422">
        <v>0</v>
      </c>
      <c r="BE299" s="422">
        <v>0</v>
      </c>
      <c r="BF299" s="422">
        <v>0</v>
      </c>
      <c r="BG299" s="422">
        <v>0</v>
      </c>
      <c r="BH299" s="422">
        <v>0</v>
      </c>
      <c r="BI299" s="422">
        <v>0</v>
      </c>
      <c r="BJ299" s="422">
        <v>0</v>
      </c>
      <c r="BK299" s="422">
        <f t="shared" ref="BK299:BK304" si="655">BA299+BC299+BD299+BF299+BH299+BI299</f>
        <v>0</v>
      </c>
      <c r="BL299" s="422">
        <f t="shared" ref="BL299:BL304" si="656">BB299+BE299+BG299+BJ299</f>
        <v>0</v>
      </c>
      <c r="BM299" s="424">
        <f t="shared" si="591"/>
        <v>0</v>
      </c>
      <c r="BN299" s="427">
        <f t="shared" ref="BN299:BN304" si="657">I299+AZ299</f>
        <v>4641894</v>
      </c>
      <c r="BO299" s="421">
        <f t="shared" ref="BO299:BO304" si="658">J299+AH299</f>
        <v>3433044</v>
      </c>
      <c r="BP299" s="421">
        <f t="shared" ref="BP299:BQ304" si="659">K299+AF299</f>
        <v>3253332</v>
      </c>
      <c r="BQ299" s="421">
        <f t="shared" si="659"/>
        <v>179712</v>
      </c>
      <c r="BR299" s="421">
        <f t="shared" ref="BR299:BR304" si="660">M299+AQ299</f>
        <v>0</v>
      </c>
      <c r="BS299" s="421">
        <f t="shared" ref="BS299:BT304" si="661">N299+AO299</f>
        <v>0</v>
      </c>
      <c r="BT299" s="421">
        <f t="shared" si="661"/>
        <v>0</v>
      </c>
      <c r="BU299" s="421">
        <f t="shared" ref="BU299:BV304" si="662">P299+AU299</f>
        <v>1160369</v>
      </c>
      <c r="BV299" s="421">
        <f t="shared" si="662"/>
        <v>34330</v>
      </c>
      <c r="BW299" s="421">
        <f t="shared" ref="BW299:BW304" si="663">R299+AY299</f>
        <v>14151</v>
      </c>
      <c r="BX299" s="422">
        <f t="shared" ref="BX299:BX304" si="664">S299+BM299</f>
        <v>6.62</v>
      </c>
      <c r="BY299" s="422">
        <f t="shared" ref="BY299:BZ304" si="665">T299+BK299</f>
        <v>5.9</v>
      </c>
      <c r="BZ299" s="611">
        <f t="shared" si="665"/>
        <v>0.72</v>
      </c>
      <c r="CA299" s="423"/>
      <c r="CB299" s="418"/>
      <c r="CC299" s="418"/>
      <c r="CD299" s="418"/>
      <c r="CE299" s="418"/>
      <c r="CF299" s="527"/>
    </row>
    <row r="300" spans="1:84" ht="14.1" customHeight="1" x14ac:dyDescent="0.2">
      <c r="A300" s="66">
        <v>61</v>
      </c>
      <c r="B300" s="63">
        <v>2444</v>
      </c>
      <c r="C300" s="64">
        <v>600079848</v>
      </c>
      <c r="D300" s="63">
        <v>72742836</v>
      </c>
      <c r="E300" s="65" t="s">
        <v>658</v>
      </c>
      <c r="F300" s="66">
        <v>3117</v>
      </c>
      <c r="G300" s="81" t="s">
        <v>294</v>
      </c>
      <c r="H300" s="67" t="s">
        <v>271</v>
      </c>
      <c r="I300" s="423">
        <f t="shared" si="576"/>
        <v>4208866</v>
      </c>
      <c r="J300" s="418">
        <f t="shared" si="577"/>
        <v>3069038</v>
      </c>
      <c r="K300" s="418">
        <v>2639159</v>
      </c>
      <c r="L300" s="418">
        <v>429879</v>
      </c>
      <c r="M300" s="418">
        <f>N300+O300</f>
        <v>0</v>
      </c>
      <c r="N300" s="418">
        <v>0</v>
      </c>
      <c r="O300" s="418">
        <v>0</v>
      </c>
      <c r="P300" s="668">
        <f>ROUND(J300*33.8%,0)-1</f>
        <v>1037334</v>
      </c>
      <c r="Q300" s="668">
        <f>ROUND(J300*1%,0)+1</f>
        <v>30691</v>
      </c>
      <c r="R300" s="418">
        <v>71803</v>
      </c>
      <c r="S300" s="419">
        <f>T300+U300</f>
        <v>5.1932</v>
      </c>
      <c r="T300" s="419">
        <v>4</v>
      </c>
      <c r="U300" s="426">
        <v>1.1932</v>
      </c>
      <c r="V300" s="428">
        <f t="shared" si="580"/>
        <v>-13440</v>
      </c>
      <c r="W300" s="421">
        <f t="shared" si="581"/>
        <v>0</v>
      </c>
      <c r="X300" s="421">
        <v>0</v>
      </c>
      <c r="Y300" s="421">
        <v>0</v>
      </c>
      <c r="Z300" s="421">
        <v>0</v>
      </c>
      <c r="AA300" s="421">
        <v>0</v>
      </c>
      <c r="AB300" s="421">
        <v>0</v>
      </c>
      <c r="AC300" s="421">
        <v>0</v>
      </c>
      <c r="AD300" s="421">
        <v>0</v>
      </c>
      <c r="AE300" s="421">
        <v>0</v>
      </c>
      <c r="AF300" s="421">
        <f t="shared" si="582"/>
        <v>-13440</v>
      </c>
      <c r="AG300" s="421">
        <f t="shared" si="583"/>
        <v>0</v>
      </c>
      <c r="AH300" s="421">
        <f t="shared" si="584"/>
        <v>-13440</v>
      </c>
      <c r="AI300" s="421">
        <v>13440</v>
      </c>
      <c r="AJ300" s="421">
        <v>0</v>
      </c>
      <c r="AK300" s="421">
        <v>0</v>
      </c>
      <c r="AL300" s="421">
        <v>0</v>
      </c>
      <c r="AM300" s="421">
        <v>0</v>
      </c>
      <c r="AN300" s="421">
        <v>0</v>
      </c>
      <c r="AO300" s="421">
        <f t="shared" si="585"/>
        <v>13440</v>
      </c>
      <c r="AP300" s="421">
        <f t="shared" si="586"/>
        <v>0</v>
      </c>
      <c r="AQ300" s="421">
        <f t="shared" si="587"/>
        <v>13440</v>
      </c>
      <c r="AR300" s="421">
        <f t="shared" si="652"/>
        <v>0</v>
      </c>
      <c r="AS300" s="421">
        <f t="shared" si="652"/>
        <v>0</v>
      </c>
      <c r="AT300" s="421">
        <f t="shared" si="588"/>
        <v>0</v>
      </c>
      <c r="AU300" s="68">
        <f t="shared" si="653"/>
        <v>0</v>
      </c>
      <c r="AV300" s="68">
        <f t="shared" si="654"/>
        <v>-134</v>
      </c>
      <c r="AW300" s="421">
        <v>0</v>
      </c>
      <c r="AX300" s="421">
        <v>0</v>
      </c>
      <c r="AY300" s="421">
        <f t="shared" si="589"/>
        <v>0</v>
      </c>
      <c r="AZ300" s="421">
        <f t="shared" si="590"/>
        <v>-134</v>
      </c>
      <c r="BA300" s="422">
        <v>-0.02</v>
      </c>
      <c r="BB300" s="422">
        <v>0</v>
      </c>
      <c r="BC300" s="422">
        <v>0</v>
      </c>
      <c r="BD300" s="422">
        <v>0</v>
      </c>
      <c r="BE300" s="422">
        <v>0</v>
      </c>
      <c r="BF300" s="422">
        <v>0</v>
      </c>
      <c r="BG300" s="422">
        <v>0</v>
      </c>
      <c r="BH300" s="422">
        <v>0</v>
      </c>
      <c r="BI300" s="422">
        <v>0</v>
      </c>
      <c r="BJ300" s="422">
        <v>0</v>
      </c>
      <c r="BK300" s="422">
        <f t="shared" si="655"/>
        <v>-0.02</v>
      </c>
      <c r="BL300" s="422">
        <f t="shared" si="656"/>
        <v>0</v>
      </c>
      <c r="BM300" s="424">
        <f t="shared" si="591"/>
        <v>-0.02</v>
      </c>
      <c r="BN300" s="427">
        <f t="shared" si="657"/>
        <v>4208732</v>
      </c>
      <c r="BO300" s="421">
        <f t="shared" si="658"/>
        <v>3055598</v>
      </c>
      <c r="BP300" s="421">
        <f t="shared" si="659"/>
        <v>2625719</v>
      </c>
      <c r="BQ300" s="421">
        <f t="shared" si="659"/>
        <v>429879</v>
      </c>
      <c r="BR300" s="421">
        <f t="shared" si="660"/>
        <v>13440</v>
      </c>
      <c r="BS300" s="421">
        <f t="shared" si="661"/>
        <v>13440</v>
      </c>
      <c r="BT300" s="421">
        <f t="shared" si="661"/>
        <v>0</v>
      </c>
      <c r="BU300" s="421">
        <f t="shared" si="662"/>
        <v>1037334</v>
      </c>
      <c r="BV300" s="421">
        <f t="shared" si="662"/>
        <v>30557</v>
      </c>
      <c r="BW300" s="421">
        <f t="shared" si="663"/>
        <v>71803</v>
      </c>
      <c r="BX300" s="422">
        <f t="shared" si="664"/>
        <v>5.1732000000000005</v>
      </c>
      <c r="BY300" s="422">
        <f t="shared" si="665"/>
        <v>3.98</v>
      </c>
      <c r="BZ300" s="611">
        <f t="shared" si="665"/>
        <v>1.1932</v>
      </c>
      <c r="CA300" s="423"/>
      <c r="CB300" s="418"/>
      <c r="CC300" s="418"/>
      <c r="CD300" s="418"/>
      <c r="CE300" s="418"/>
      <c r="CF300" s="527"/>
    </row>
    <row r="301" spans="1:84" ht="14.1" customHeight="1" x14ac:dyDescent="0.2">
      <c r="A301" s="66">
        <v>61</v>
      </c>
      <c r="B301" s="63">
        <v>2444</v>
      </c>
      <c r="C301" s="64">
        <v>600079848</v>
      </c>
      <c r="D301" s="63">
        <v>72742836</v>
      </c>
      <c r="E301" s="65" t="s">
        <v>658</v>
      </c>
      <c r="F301" s="66">
        <v>3117</v>
      </c>
      <c r="G301" s="77" t="s">
        <v>292</v>
      </c>
      <c r="H301" s="67" t="s">
        <v>272</v>
      </c>
      <c r="I301" s="423">
        <f t="shared" si="576"/>
        <v>0</v>
      </c>
      <c r="J301" s="418">
        <f t="shared" si="577"/>
        <v>0</v>
      </c>
      <c r="K301" s="418">
        <v>0</v>
      </c>
      <c r="L301" s="418">
        <v>0</v>
      </c>
      <c r="M301" s="418">
        <f t="shared" si="592"/>
        <v>0</v>
      </c>
      <c r="N301" s="418">
        <v>0</v>
      </c>
      <c r="O301" s="418">
        <v>0</v>
      </c>
      <c r="P301" s="668">
        <f t="shared" si="593"/>
        <v>0</v>
      </c>
      <c r="Q301" s="668">
        <f t="shared" si="594"/>
        <v>0</v>
      </c>
      <c r="R301" s="418">
        <v>0</v>
      </c>
      <c r="S301" s="419">
        <f t="shared" si="595"/>
        <v>0</v>
      </c>
      <c r="T301" s="420">
        <v>0</v>
      </c>
      <c r="U301" s="426">
        <v>0</v>
      </c>
      <c r="V301" s="428">
        <f t="shared" si="580"/>
        <v>0</v>
      </c>
      <c r="W301" s="421">
        <f t="shared" si="581"/>
        <v>0</v>
      </c>
      <c r="X301" s="16">
        <v>862303</v>
      </c>
      <c r="Y301" s="16">
        <v>0</v>
      </c>
      <c r="Z301" s="16">
        <v>0</v>
      </c>
      <c r="AA301" s="16">
        <v>0</v>
      </c>
      <c r="AB301" s="421">
        <v>0</v>
      </c>
      <c r="AC301" s="16">
        <v>0</v>
      </c>
      <c r="AD301" s="16">
        <v>0</v>
      </c>
      <c r="AE301" s="16">
        <v>0</v>
      </c>
      <c r="AF301" s="421">
        <f t="shared" si="582"/>
        <v>862303</v>
      </c>
      <c r="AG301" s="421">
        <f t="shared" si="583"/>
        <v>0</v>
      </c>
      <c r="AH301" s="421">
        <f t="shared" si="584"/>
        <v>862303</v>
      </c>
      <c r="AI301" s="16">
        <v>0</v>
      </c>
      <c r="AJ301" s="16">
        <v>0</v>
      </c>
      <c r="AK301" s="421">
        <v>0</v>
      </c>
      <c r="AL301" s="16">
        <v>0</v>
      </c>
      <c r="AM301" s="16">
        <v>0</v>
      </c>
      <c r="AN301" s="16">
        <v>0</v>
      </c>
      <c r="AO301" s="421">
        <f t="shared" si="585"/>
        <v>0</v>
      </c>
      <c r="AP301" s="16">
        <v>0</v>
      </c>
      <c r="AQ301" s="421">
        <f t="shared" si="587"/>
        <v>0</v>
      </c>
      <c r="AR301" s="421">
        <f t="shared" si="652"/>
        <v>862303</v>
      </c>
      <c r="AS301" s="421">
        <f t="shared" si="652"/>
        <v>0</v>
      </c>
      <c r="AT301" s="421">
        <f t="shared" si="588"/>
        <v>862303</v>
      </c>
      <c r="AU301" s="68">
        <f t="shared" si="653"/>
        <v>291458</v>
      </c>
      <c r="AV301" s="68">
        <f t="shared" si="654"/>
        <v>8623</v>
      </c>
      <c r="AW301" s="16">
        <v>6500</v>
      </c>
      <c r="AX301" s="16">
        <v>0</v>
      </c>
      <c r="AY301" s="421">
        <f t="shared" si="589"/>
        <v>6500</v>
      </c>
      <c r="AZ301" s="421">
        <f t="shared" si="590"/>
        <v>1168884</v>
      </c>
      <c r="BA301" s="13">
        <v>0</v>
      </c>
      <c r="BB301" s="13">
        <v>0</v>
      </c>
      <c r="BC301" s="13">
        <v>2.5099999999999998</v>
      </c>
      <c r="BD301" s="422">
        <v>0</v>
      </c>
      <c r="BE301" s="422">
        <v>0</v>
      </c>
      <c r="BF301" s="422">
        <v>0</v>
      </c>
      <c r="BG301" s="422">
        <v>0</v>
      </c>
      <c r="BH301" s="422">
        <v>0</v>
      </c>
      <c r="BI301" s="422">
        <v>0</v>
      </c>
      <c r="BJ301" s="422">
        <v>0</v>
      </c>
      <c r="BK301" s="422">
        <f t="shared" si="655"/>
        <v>2.5099999999999998</v>
      </c>
      <c r="BL301" s="422">
        <f t="shared" si="656"/>
        <v>0</v>
      </c>
      <c r="BM301" s="424">
        <f t="shared" si="591"/>
        <v>2.5099999999999998</v>
      </c>
      <c r="BN301" s="427">
        <f t="shared" si="657"/>
        <v>1168884</v>
      </c>
      <c r="BO301" s="421">
        <f t="shared" si="658"/>
        <v>862303</v>
      </c>
      <c r="BP301" s="421">
        <f t="shared" si="659"/>
        <v>862303</v>
      </c>
      <c r="BQ301" s="421">
        <f t="shared" si="659"/>
        <v>0</v>
      </c>
      <c r="BR301" s="421">
        <f t="shared" si="660"/>
        <v>0</v>
      </c>
      <c r="BS301" s="421">
        <f t="shared" si="661"/>
        <v>0</v>
      </c>
      <c r="BT301" s="421">
        <f t="shared" si="661"/>
        <v>0</v>
      </c>
      <c r="BU301" s="421">
        <f t="shared" si="662"/>
        <v>291458</v>
      </c>
      <c r="BV301" s="421">
        <f t="shared" si="662"/>
        <v>8623</v>
      </c>
      <c r="BW301" s="421">
        <f t="shared" si="663"/>
        <v>6500</v>
      </c>
      <c r="BX301" s="422">
        <f t="shared" si="664"/>
        <v>2.5099999999999998</v>
      </c>
      <c r="BY301" s="422">
        <f t="shared" si="665"/>
        <v>2.5099999999999998</v>
      </c>
      <c r="BZ301" s="611">
        <f t="shared" si="665"/>
        <v>0</v>
      </c>
      <c r="CA301" s="423"/>
      <c r="CB301" s="418"/>
      <c r="CC301" s="418"/>
      <c r="CD301" s="418"/>
      <c r="CE301" s="418"/>
      <c r="CF301" s="527"/>
    </row>
    <row r="302" spans="1:84" ht="14.1" customHeight="1" x14ac:dyDescent="0.2">
      <c r="A302" s="66">
        <v>61</v>
      </c>
      <c r="B302" s="63">
        <v>2444</v>
      </c>
      <c r="C302" s="64">
        <v>600079848</v>
      </c>
      <c r="D302" s="63">
        <v>72742836</v>
      </c>
      <c r="E302" s="65" t="s">
        <v>658</v>
      </c>
      <c r="F302" s="66">
        <v>3141</v>
      </c>
      <c r="G302" s="65" t="s">
        <v>295</v>
      </c>
      <c r="H302" s="67" t="s">
        <v>272</v>
      </c>
      <c r="I302" s="423">
        <f t="shared" si="576"/>
        <v>875975</v>
      </c>
      <c r="J302" s="418">
        <f t="shared" si="577"/>
        <v>646951</v>
      </c>
      <c r="K302" s="418">
        <v>0</v>
      </c>
      <c r="L302" s="924">
        <v>646951</v>
      </c>
      <c r="M302" s="418">
        <f>N302+O302</f>
        <v>0</v>
      </c>
      <c r="N302" s="205">
        <v>0</v>
      </c>
      <c r="O302" s="205">
        <v>0</v>
      </c>
      <c r="P302" s="668">
        <f t="shared" si="593"/>
        <v>218669</v>
      </c>
      <c r="Q302" s="668">
        <f t="shared" si="594"/>
        <v>6470</v>
      </c>
      <c r="R302" s="674">
        <v>3885</v>
      </c>
      <c r="S302" s="419">
        <f>T302+U302</f>
        <v>1.94</v>
      </c>
      <c r="T302" s="676">
        <v>0</v>
      </c>
      <c r="U302" s="909">
        <v>1.94</v>
      </c>
      <c r="V302" s="428">
        <f t="shared" si="580"/>
        <v>0</v>
      </c>
      <c r="W302" s="421">
        <f t="shared" si="581"/>
        <v>0</v>
      </c>
      <c r="X302" s="421">
        <v>0</v>
      </c>
      <c r="Y302" s="421">
        <v>0</v>
      </c>
      <c r="Z302" s="421">
        <v>0</v>
      </c>
      <c r="AA302" s="421">
        <v>0</v>
      </c>
      <c r="AB302" s="421">
        <v>0</v>
      </c>
      <c r="AC302" s="421">
        <v>0</v>
      </c>
      <c r="AD302" s="421">
        <v>0</v>
      </c>
      <c r="AE302" s="421">
        <v>0</v>
      </c>
      <c r="AF302" s="421">
        <f t="shared" si="582"/>
        <v>0</v>
      </c>
      <c r="AG302" s="421">
        <f t="shared" si="583"/>
        <v>0</v>
      </c>
      <c r="AH302" s="421">
        <f t="shared" si="584"/>
        <v>0</v>
      </c>
      <c r="AI302" s="421">
        <v>0</v>
      </c>
      <c r="AJ302" s="421">
        <v>0</v>
      </c>
      <c r="AK302" s="421">
        <v>0</v>
      </c>
      <c r="AL302" s="421">
        <v>0</v>
      </c>
      <c r="AM302" s="421">
        <v>0</v>
      </c>
      <c r="AN302" s="421">
        <v>0</v>
      </c>
      <c r="AO302" s="421">
        <f t="shared" si="585"/>
        <v>0</v>
      </c>
      <c r="AP302" s="421">
        <f t="shared" si="586"/>
        <v>0</v>
      </c>
      <c r="AQ302" s="421">
        <f t="shared" si="587"/>
        <v>0</v>
      </c>
      <c r="AR302" s="421">
        <f t="shared" si="652"/>
        <v>0</v>
      </c>
      <c r="AS302" s="421">
        <f t="shared" si="652"/>
        <v>0</v>
      </c>
      <c r="AT302" s="421">
        <f t="shared" si="588"/>
        <v>0</v>
      </c>
      <c r="AU302" s="68">
        <f t="shared" si="653"/>
        <v>0</v>
      </c>
      <c r="AV302" s="68">
        <f t="shared" si="654"/>
        <v>0</v>
      </c>
      <c r="AW302" s="421">
        <v>0</v>
      </c>
      <c r="AX302" s="421">
        <v>0</v>
      </c>
      <c r="AY302" s="421">
        <f t="shared" si="589"/>
        <v>0</v>
      </c>
      <c r="AZ302" s="421">
        <f t="shared" si="590"/>
        <v>0</v>
      </c>
      <c r="BA302" s="422">
        <v>0</v>
      </c>
      <c r="BB302" s="422">
        <v>0</v>
      </c>
      <c r="BC302" s="422">
        <v>0</v>
      </c>
      <c r="BD302" s="422">
        <v>0</v>
      </c>
      <c r="BE302" s="422">
        <v>0</v>
      </c>
      <c r="BF302" s="422">
        <v>0</v>
      </c>
      <c r="BG302" s="422">
        <v>0</v>
      </c>
      <c r="BH302" s="422">
        <v>0</v>
      </c>
      <c r="BI302" s="422">
        <v>0</v>
      </c>
      <c r="BJ302" s="422">
        <v>0</v>
      </c>
      <c r="BK302" s="422">
        <f t="shared" si="655"/>
        <v>0</v>
      </c>
      <c r="BL302" s="422">
        <f t="shared" si="656"/>
        <v>0</v>
      </c>
      <c r="BM302" s="424">
        <f t="shared" si="591"/>
        <v>0</v>
      </c>
      <c r="BN302" s="427">
        <f t="shared" si="657"/>
        <v>875975</v>
      </c>
      <c r="BO302" s="421">
        <f t="shared" si="658"/>
        <v>646951</v>
      </c>
      <c r="BP302" s="421">
        <f t="shared" si="659"/>
        <v>0</v>
      </c>
      <c r="BQ302" s="421">
        <f t="shared" si="659"/>
        <v>646951</v>
      </c>
      <c r="BR302" s="421">
        <f t="shared" si="660"/>
        <v>0</v>
      </c>
      <c r="BS302" s="421">
        <f t="shared" si="661"/>
        <v>0</v>
      </c>
      <c r="BT302" s="421">
        <f t="shared" si="661"/>
        <v>0</v>
      </c>
      <c r="BU302" s="421">
        <f t="shared" si="662"/>
        <v>218669</v>
      </c>
      <c r="BV302" s="421">
        <f t="shared" si="662"/>
        <v>6470</v>
      </c>
      <c r="BW302" s="421">
        <f t="shared" si="663"/>
        <v>3885</v>
      </c>
      <c r="BX302" s="422">
        <f t="shared" si="664"/>
        <v>1.94</v>
      </c>
      <c r="BY302" s="422">
        <f t="shared" si="665"/>
        <v>0</v>
      </c>
      <c r="BZ302" s="611">
        <f t="shared" si="665"/>
        <v>1.94</v>
      </c>
      <c r="CA302" s="423"/>
      <c r="CB302" s="418"/>
      <c r="CC302" s="418"/>
      <c r="CD302" s="418"/>
      <c r="CE302" s="418"/>
      <c r="CF302" s="527"/>
    </row>
    <row r="303" spans="1:84" ht="14.1" customHeight="1" x14ac:dyDescent="0.2">
      <c r="A303" s="66">
        <v>61</v>
      </c>
      <c r="B303" s="63">
        <v>2444</v>
      </c>
      <c r="C303" s="64">
        <v>600079848</v>
      </c>
      <c r="D303" s="63">
        <v>72742836</v>
      </c>
      <c r="E303" s="65" t="s">
        <v>658</v>
      </c>
      <c r="F303" s="66">
        <v>3143</v>
      </c>
      <c r="G303" s="77" t="s">
        <v>596</v>
      </c>
      <c r="H303" s="67" t="s">
        <v>271</v>
      </c>
      <c r="I303" s="423">
        <f t="shared" si="576"/>
        <v>748171</v>
      </c>
      <c r="J303" s="418">
        <f t="shared" si="577"/>
        <v>555023</v>
      </c>
      <c r="K303" s="418">
        <v>555023</v>
      </c>
      <c r="L303" s="418">
        <v>0</v>
      </c>
      <c r="M303" s="418">
        <f t="shared" si="592"/>
        <v>0</v>
      </c>
      <c r="N303" s="418">
        <v>0</v>
      </c>
      <c r="O303" s="418">
        <v>0</v>
      </c>
      <c r="P303" s="668">
        <f t="shared" si="593"/>
        <v>187598</v>
      </c>
      <c r="Q303" s="668">
        <f t="shared" si="594"/>
        <v>5550</v>
      </c>
      <c r="R303" s="418">
        <v>0</v>
      </c>
      <c r="S303" s="419">
        <f t="shared" si="595"/>
        <v>1</v>
      </c>
      <c r="T303" s="419">
        <v>1</v>
      </c>
      <c r="U303" s="426">
        <v>0</v>
      </c>
      <c r="V303" s="428">
        <f t="shared" si="580"/>
        <v>0</v>
      </c>
      <c r="W303" s="421">
        <f t="shared" si="581"/>
        <v>0</v>
      </c>
      <c r="X303" s="421">
        <v>0</v>
      </c>
      <c r="Y303" s="421">
        <v>0</v>
      </c>
      <c r="Z303" s="421">
        <v>0</v>
      </c>
      <c r="AA303" s="421">
        <v>0</v>
      </c>
      <c r="AB303" s="421">
        <v>0</v>
      </c>
      <c r="AC303" s="421">
        <v>0</v>
      </c>
      <c r="AD303" s="421">
        <v>0</v>
      </c>
      <c r="AE303" s="421">
        <v>0</v>
      </c>
      <c r="AF303" s="421">
        <f t="shared" si="582"/>
        <v>0</v>
      </c>
      <c r="AG303" s="421">
        <f t="shared" si="583"/>
        <v>0</v>
      </c>
      <c r="AH303" s="421">
        <f t="shared" si="584"/>
        <v>0</v>
      </c>
      <c r="AI303" s="421">
        <v>0</v>
      </c>
      <c r="AJ303" s="421">
        <v>0</v>
      </c>
      <c r="AK303" s="421">
        <v>0</v>
      </c>
      <c r="AL303" s="421">
        <v>0</v>
      </c>
      <c r="AM303" s="421">
        <v>0</v>
      </c>
      <c r="AN303" s="421">
        <v>0</v>
      </c>
      <c r="AO303" s="421">
        <f t="shared" si="585"/>
        <v>0</v>
      </c>
      <c r="AP303" s="421">
        <f t="shared" si="586"/>
        <v>0</v>
      </c>
      <c r="AQ303" s="421">
        <f t="shared" si="587"/>
        <v>0</v>
      </c>
      <c r="AR303" s="421">
        <f t="shared" si="652"/>
        <v>0</v>
      </c>
      <c r="AS303" s="421">
        <f t="shared" si="652"/>
        <v>0</v>
      </c>
      <c r="AT303" s="421">
        <f t="shared" si="588"/>
        <v>0</v>
      </c>
      <c r="AU303" s="68">
        <f t="shared" si="653"/>
        <v>0</v>
      </c>
      <c r="AV303" s="68">
        <f t="shared" si="654"/>
        <v>0</v>
      </c>
      <c r="AW303" s="421">
        <v>0</v>
      </c>
      <c r="AX303" s="421">
        <v>0</v>
      </c>
      <c r="AY303" s="421">
        <f t="shared" si="589"/>
        <v>0</v>
      </c>
      <c r="AZ303" s="421">
        <f t="shared" si="590"/>
        <v>0</v>
      </c>
      <c r="BA303" s="422">
        <v>0</v>
      </c>
      <c r="BB303" s="422">
        <v>0</v>
      </c>
      <c r="BC303" s="422">
        <v>0</v>
      </c>
      <c r="BD303" s="422">
        <v>0</v>
      </c>
      <c r="BE303" s="422">
        <v>0</v>
      </c>
      <c r="BF303" s="422">
        <v>0</v>
      </c>
      <c r="BG303" s="422">
        <v>0</v>
      </c>
      <c r="BH303" s="422">
        <v>0</v>
      </c>
      <c r="BI303" s="422">
        <v>0</v>
      </c>
      <c r="BJ303" s="422">
        <v>0</v>
      </c>
      <c r="BK303" s="422">
        <f t="shared" si="655"/>
        <v>0</v>
      </c>
      <c r="BL303" s="422">
        <f t="shared" si="656"/>
        <v>0</v>
      </c>
      <c r="BM303" s="424">
        <f t="shared" si="591"/>
        <v>0</v>
      </c>
      <c r="BN303" s="427">
        <f t="shared" si="657"/>
        <v>748171</v>
      </c>
      <c r="BO303" s="421">
        <f t="shared" si="658"/>
        <v>555023</v>
      </c>
      <c r="BP303" s="421">
        <f t="shared" si="659"/>
        <v>555023</v>
      </c>
      <c r="BQ303" s="421">
        <f t="shared" si="659"/>
        <v>0</v>
      </c>
      <c r="BR303" s="421">
        <f t="shared" si="660"/>
        <v>0</v>
      </c>
      <c r="BS303" s="421">
        <f t="shared" si="661"/>
        <v>0</v>
      </c>
      <c r="BT303" s="421">
        <f t="shared" si="661"/>
        <v>0</v>
      </c>
      <c r="BU303" s="421">
        <f t="shared" si="662"/>
        <v>187598</v>
      </c>
      <c r="BV303" s="421">
        <f t="shared" si="662"/>
        <v>5550</v>
      </c>
      <c r="BW303" s="421">
        <f t="shared" si="663"/>
        <v>0</v>
      </c>
      <c r="BX303" s="422">
        <f t="shared" si="664"/>
        <v>1</v>
      </c>
      <c r="BY303" s="422">
        <f t="shared" si="665"/>
        <v>1</v>
      </c>
      <c r="BZ303" s="611">
        <f t="shared" si="665"/>
        <v>0</v>
      </c>
      <c r="CA303" s="423"/>
      <c r="CB303" s="418"/>
      <c r="CC303" s="418"/>
      <c r="CD303" s="418"/>
      <c r="CE303" s="418"/>
      <c r="CF303" s="527"/>
    </row>
    <row r="304" spans="1:84" ht="14.1" customHeight="1" x14ac:dyDescent="0.2">
      <c r="A304" s="66">
        <v>61</v>
      </c>
      <c r="B304" s="63">
        <v>2444</v>
      </c>
      <c r="C304" s="64">
        <v>600079848</v>
      </c>
      <c r="D304" s="63">
        <v>72742836</v>
      </c>
      <c r="E304" s="65" t="s">
        <v>658</v>
      </c>
      <c r="F304" s="66">
        <v>3143</v>
      </c>
      <c r="G304" s="77" t="s">
        <v>597</v>
      </c>
      <c r="H304" s="67" t="s">
        <v>272</v>
      </c>
      <c r="I304" s="423">
        <f t="shared" si="576"/>
        <v>15380</v>
      </c>
      <c r="J304" s="418">
        <f t="shared" si="577"/>
        <v>11009</v>
      </c>
      <c r="K304" s="418">
        <v>0</v>
      </c>
      <c r="L304" s="674">
        <v>11009</v>
      </c>
      <c r="M304" s="418">
        <f t="shared" si="592"/>
        <v>0</v>
      </c>
      <c r="N304" s="418">
        <v>0</v>
      </c>
      <c r="O304" s="418">
        <v>0</v>
      </c>
      <c r="P304" s="668">
        <f t="shared" si="593"/>
        <v>3721</v>
      </c>
      <c r="Q304" s="668">
        <f t="shared" si="594"/>
        <v>110</v>
      </c>
      <c r="R304" s="675">
        <v>540</v>
      </c>
      <c r="S304" s="419">
        <f t="shared" si="595"/>
        <v>4.1700000000000001E-2</v>
      </c>
      <c r="T304" s="679">
        <v>0</v>
      </c>
      <c r="U304" s="909">
        <v>4.1700000000000001E-2</v>
      </c>
      <c r="V304" s="428">
        <f t="shared" si="580"/>
        <v>0</v>
      </c>
      <c r="W304" s="421">
        <f t="shared" si="581"/>
        <v>0</v>
      </c>
      <c r="X304" s="421">
        <v>0</v>
      </c>
      <c r="Y304" s="421">
        <v>0</v>
      </c>
      <c r="Z304" s="421">
        <v>0</v>
      </c>
      <c r="AA304" s="421">
        <v>0</v>
      </c>
      <c r="AB304" s="421">
        <v>0</v>
      </c>
      <c r="AC304" s="421">
        <v>0</v>
      </c>
      <c r="AD304" s="421">
        <v>0</v>
      </c>
      <c r="AE304" s="421">
        <v>0</v>
      </c>
      <c r="AF304" s="421">
        <f t="shared" si="582"/>
        <v>0</v>
      </c>
      <c r="AG304" s="421">
        <f t="shared" si="583"/>
        <v>0</v>
      </c>
      <c r="AH304" s="421">
        <f t="shared" si="584"/>
        <v>0</v>
      </c>
      <c r="AI304" s="421">
        <v>0</v>
      </c>
      <c r="AJ304" s="421">
        <v>0</v>
      </c>
      <c r="AK304" s="421">
        <v>0</v>
      </c>
      <c r="AL304" s="421">
        <v>0</v>
      </c>
      <c r="AM304" s="421">
        <v>0</v>
      </c>
      <c r="AN304" s="421">
        <v>0</v>
      </c>
      <c r="AO304" s="421">
        <f t="shared" si="585"/>
        <v>0</v>
      </c>
      <c r="AP304" s="421">
        <f t="shared" si="586"/>
        <v>0</v>
      </c>
      <c r="AQ304" s="421">
        <f t="shared" si="587"/>
        <v>0</v>
      </c>
      <c r="AR304" s="421">
        <f t="shared" si="652"/>
        <v>0</v>
      </c>
      <c r="AS304" s="421">
        <f t="shared" si="652"/>
        <v>0</v>
      </c>
      <c r="AT304" s="421">
        <f t="shared" si="588"/>
        <v>0</v>
      </c>
      <c r="AU304" s="68">
        <f t="shared" si="653"/>
        <v>0</v>
      </c>
      <c r="AV304" s="68">
        <f t="shared" si="654"/>
        <v>0</v>
      </c>
      <c r="AW304" s="421">
        <v>0</v>
      </c>
      <c r="AX304" s="421">
        <v>0</v>
      </c>
      <c r="AY304" s="421">
        <f t="shared" si="589"/>
        <v>0</v>
      </c>
      <c r="AZ304" s="421">
        <f t="shared" si="590"/>
        <v>0</v>
      </c>
      <c r="BA304" s="422">
        <v>0</v>
      </c>
      <c r="BB304" s="422">
        <v>0</v>
      </c>
      <c r="BC304" s="422">
        <v>0</v>
      </c>
      <c r="BD304" s="422">
        <v>0</v>
      </c>
      <c r="BE304" s="422">
        <v>0</v>
      </c>
      <c r="BF304" s="422">
        <v>0</v>
      </c>
      <c r="BG304" s="422">
        <v>0</v>
      </c>
      <c r="BH304" s="422">
        <v>0</v>
      </c>
      <c r="BI304" s="422">
        <v>0</v>
      </c>
      <c r="BJ304" s="422">
        <v>0</v>
      </c>
      <c r="BK304" s="422">
        <f t="shared" si="655"/>
        <v>0</v>
      </c>
      <c r="BL304" s="422">
        <f t="shared" si="656"/>
        <v>0</v>
      </c>
      <c r="BM304" s="424">
        <f t="shared" si="591"/>
        <v>0</v>
      </c>
      <c r="BN304" s="427">
        <f t="shared" si="657"/>
        <v>15380</v>
      </c>
      <c r="BO304" s="421">
        <f t="shared" si="658"/>
        <v>11009</v>
      </c>
      <c r="BP304" s="421">
        <f t="shared" si="659"/>
        <v>0</v>
      </c>
      <c r="BQ304" s="421">
        <f t="shared" si="659"/>
        <v>11009</v>
      </c>
      <c r="BR304" s="421">
        <f t="shared" si="660"/>
        <v>0</v>
      </c>
      <c r="BS304" s="421">
        <f t="shared" si="661"/>
        <v>0</v>
      </c>
      <c r="BT304" s="421">
        <f t="shared" si="661"/>
        <v>0</v>
      </c>
      <c r="BU304" s="421">
        <f t="shared" si="662"/>
        <v>3721</v>
      </c>
      <c r="BV304" s="421">
        <f t="shared" si="662"/>
        <v>110</v>
      </c>
      <c r="BW304" s="421">
        <f t="shared" si="663"/>
        <v>540</v>
      </c>
      <c r="BX304" s="422">
        <f t="shared" si="664"/>
        <v>4.1700000000000001E-2</v>
      </c>
      <c r="BY304" s="422">
        <f t="shared" si="665"/>
        <v>0</v>
      </c>
      <c r="BZ304" s="611">
        <f t="shared" si="665"/>
        <v>4.1700000000000001E-2</v>
      </c>
      <c r="CA304" s="423"/>
      <c r="CB304" s="418"/>
      <c r="CC304" s="418"/>
      <c r="CD304" s="418"/>
      <c r="CE304" s="418"/>
      <c r="CF304" s="527"/>
    </row>
    <row r="305" spans="1:84" ht="14.1" customHeight="1" x14ac:dyDescent="0.2">
      <c r="A305" s="72">
        <v>61</v>
      </c>
      <c r="B305" s="69">
        <v>2444</v>
      </c>
      <c r="C305" s="70">
        <v>600079848</v>
      </c>
      <c r="D305" s="69">
        <v>72742836</v>
      </c>
      <c r="E305" s="71" t="s">
        <v>659</v>
      </c>
      <c r="F305" s="72"/>
      <c r="G305" s="71"/>
      <c r="H305" s="73"/>
      <c r="I305" s="538">
        <f t="shared" ref="I305:BU305" si="666">SUM(I299:I304)</f>
        <v>10490286</v>
      </c>
      <c r="J305" s="74">
        <f t="shared" si="666"/>
        <v>7715065</v>
      </c>
      <c r="K305" s="74">
        <f t="shared" si="666"/>
        <v>6447514</v>
      </c>
      <c r="L305" s="74">
        <f t="shared" si="666"/>
        <v>1267551</v>
      </c>
      <c r="M305" s="74">
        <f t="shared" si="666"/>
        <v>0</v>
      </c>
      <c r="N305" s="74">
        <f t="shared" si="666"/>
        <v>0</v>
      </c>
      <c r="O305" s="74">
        <f t="shared" si="666"/>
        <v>0</v>
      </c>
      <c r="P305" s="74">
        <f t="shared" si="666"/>
        <v>2607691</v>
      </c>
      <c r="Q305" s="74">
        <f t="shared" si="666"/>
        <v>77151</v>
      </c>
      <c r="R305" s="74">
        <f t="shared" si="666"/>
        <v>90379</v>
      </c>
      <c r="S305" s="75">
        <f t="shared" si="666"/>
        <v>14.7949</v>
      </c>
      <c r="T305" s="75">
        <f t="shared" si="666"/>
        <v>10.9</v>
      </c>
      <c r="U305" s="753">
        <f t="shared" si="666"/>
        <v>3.8949000000000003</v>
      </c>
      <c r="V305" s="538">
        <f t="shared" si="666"/>
        <v>-13440</v>
      </c>
      <c r="W305" s="74">
        <f t="shared" si="666"/>
        <v>0</v>
      </c>
      <c r="X305" s="74">
        <f t="shared" si="666"/>
        <v>862303</v>
      </c>
      <c r="Y305" s="74">
        <f t="shared" si="666"/>
        <v>0</v>
      </c>
      <c r="Z305" s="74">
        <f t="shared" si="666"/>
        <v>0</v>
      </c>
      <c r="AA305" s="74">
        <f t="shared" si="666"/>
        <v>0</v>
      </c>
      <c r="AB305" s="74">
        <f t="shared" si="666"/>
        <v>0</v>
      </c>
      <c r="AC305" s="74">
        <f t="shared" si="666"/>
        <v>0</v>
      </c>
      <c r="AD305" s="74">
        <f t="shared" si="666"/>
        <v>0</v>
      </c>
      <c r="AE305" s="74">
        <f t="shared" si="666"/>
        <v>0</v>
      </c>
      <c r="AF305" s="74">
        <f t="shared" si="666"/>
        <v>848863</v>
      </c>
      <c r="AG305" s="74">
        <f t="shared" si="666"/>
        <v>0</v>
      </c>
      <c r="AH305" s="74">
        <f t="shared" si="666"/>
        <v>848863</v>
      </c>
      <c r="AI305" s="74">
        <f t="shared" si="666"/>
        <v>13440</v>
      </c>
      <c r="AJ305" s="74">
        <f t="shared" si="666"/>
        <v>0</v>
      </c>
      <c r="AK305" s="74">
        <f t="shared" si="666"/>
        <v>0</v>
      </c>
      <c r="AL305" s="74">
        <f t="shared" si="666"/>
        <v>0</v>
      </c>
      <c r="AM305" s="74">
        <f t="shared" si="666"/>
        <v>0</v>
      </c>
      <c r="AN305" s="74">
        <f t="shared" si="666"/>
        <v>0</v>
      </c>
      <c r="AO305" s="74">
        <f t="shared" si="666"/>
        <v>13440</v>
      </c>
      <c r="AP305" s="74">
        <f t="shared" si="666"/>
        <v>0</v>
      </c>
      <c r="AQ305" s="74">
        <f t="shared" si="666"/>
        <v>13440</v>
      </c>
      <c r="AR305" s="74">
        <f t="shared" si="666"/>
        <v>862303</v>
      </c>
      <c r="AS305" s="74">
        <f t="shared" si="666"/>
        <v>0</v>
      </c>
      <c r="AT305" s="74">
        <f t="shared" si="666"/>
        <v>862303</v>
      </c>
      <c r="AU305" s="74">
        <f t="shared" si="666"/>
        <v>291458</v>
      </c>
      <c r="AV305" s="74">
        <f t="shared" si="666"/>
        <v>8489</v>
      </c>
      <c r="AW305" s="74">
        <f t="shared" si="666"/>
        <v>6500</v>
      </c>
      <c r="AX305" s="74">
        <f t="shared" si="666"/>
        <v>0</v>
      </c>
      <c r="AY305" s="74">
        <f t="shared" si="666"/>
        <v>6500</v>
      </c>
      <c r="AZ305" s="74">
        <f t="shared" si="666"/>
        <v>1168750</v>
      </c>
      <c r="BA305" s="75">
        <f t="shared" si="666"/>
        <v>-0.02</v>
      </c>
      <c r="BB305" s="75">
        <f t="shared" si="666"/>
        <v>0</v>
      </c>
      <c r="BC305" s="75">
        <f t="shared" si="666"/>
        <v>2.5099999999999998</v>
      </c>
      <c r="BD305" s="75">
        <f t="shared" si="666"/>
        <v>0</v>
      </c>
      <c r="BE305" s="75">
        <f t="shared" si="666"/>
        <v>0</v>
      </c>
      <c r="BF305" s="75">
        <f t="shared" si="666"/>
        <v>0</v>
      </c>
      <c r="BG305" s="75">
        <f t="shared" si="666"/>
        <v>0</v>
      </c>
      <c r="BH305" s="75">
        <f t="shared" si="666"/>
        <v>0</v>
      </c>
      <c r="BI305" s="75">
        <f t="shared" si="666"/>
        <v>0</v>
      </c>
      <c r="BJ305" s="75">
        <f t="shared" si="666"/>
        <v>0</v>
      </c>
      <c r="BK305" s="75">
        <f t="shared" si="666"/>
        <v>2.4899999999999998</v>
      </c>
      <c r="BL305" s="75">
        <f t="shared" si="666"/>
        <v>0</v>
      </c>
      <c r="BM305" s="76">
        <f t="shared" si="666"/>
        <v>2.4899999999999998</v>
      </c>
      <c r="BN305" s="549">
        <f t="shared" si="666"/>
        <v>11659036</v>
      </c>
      <c r="BO305" s="74">
        <f t="shared" si="666"/>
        <v>8563928</v>
      </c>
      <c r="BP305" s="74">
        <f t="shared" si="666"/>
        <v>7296377</v>
      </c>
      <c r="BQ305" s="74">
        <f t="shared" si="666"/>
        <v>1267551</v>
      </c>
      <c r="BR305" s="74">
        <f t="shared" si="666"/>
        <v>13440</v>
      </c>
      <c r="BS305" s="74">
        <f t="shared" si="666"/>
        <v>13440</v>
      </c>
      <c r="BT305" s="74">
        <f t="shared" si="666"/>
        <v>0</v>
      </c>
      <c r="BU305" s="74">
        <f t="shared" si="666"/>
        <v>2899149</v>
      </c>
      <c r="BV305" s="74">
        <f t="shared" ref="BV305:CF305" si="667">SUM(BV299:BV304)</f>
        <v>85640</v>
      </c>
      <c r="BW305" s="74">
        <f t="shared" si="667"/>
        <v>96879</v>
      </c>
      <c r="BX305" s="75">
        <f t="shared" si="667"/>
        <v>17.2849</v>
      </c>
      <c r="BY305" s="75">
        <f t="shared" si="667"/>
        <v>13.39</v>
      </c>
      <c r="BZ305" s="753">
        <f t="shared" si="667"/>
        <v>3.8949000000000003</v>
      </c>
      <c r="CA305" s="796">
        <f t="shared" si="667"/>
        <v>0</v>
      </c>
      <c r="CB305" s="789">
        <f t="shared" si="667"/>
        <v>0</v>
      </c>
      <c r="CC305" s="789">
        <f t="shared" si="667"/>
        <v>0</v>
      </c>
      <c r="CD305" s="789">
        <f t="shared" si="667"/>
        <v>0</v>
      </c>
      <c r="CE305" s="789">
        <f t="shared" si="667"/>
        <v>0</v>
      </c>
      <c r="CF305" s="793">
        <f t="shared" si="667"/>
        <v>0</v>
      </c>
    </row>
    <row r="306" spans="1:84" ht="14.1" customHeight="1" x14ac:dyDescent="0.2">
      <c r="A306" s="66">
        <v>62</v>
      </c>
      <c r="B306" s="63">
        <v>2457</v>
      </c>
      <c r="C306" s="64">
        <v>650021479</v>
      </c>
      <c r="D306" s="63">
        <v>72742577</v>
      </c>
      <c r="E306" s="65" t="s">
        <v>660</v>
      </c>
      <c r="F306" s="66">
        <v>3111</v>
      </c>
      <c r="G306" s="65" t="s">
        <v>291</v>
      </c>
      <c r="H306" s="67" t="s">
        <v>271</v>
      </c>
      <c r="I306" s="423">
        <f t="shared" si="576"/>
        <v>1440478</v>
      </c>
      <c r="J306" s="418">
        <f t="shared" si="577"/>
        <v>1065237</v>
      </c>
      <c r="K306" s="418">
        <v>1005333</v>
      </c>
      <c r="L306" s="418">
        <v>59904</v>
      </c>
      <c r="M306" s="418">
        <f t="shared" ref="M306:M307" si="668">N306+O306</f>
        <v>0</v>
      </c>
      <c r="N306" s="418">
        <v>0</v>
      </c>
      <c r="O306" s="418">
        <v>0</v>
      </c>
      <c r="P306" s="668">
        <f t="shared" si="593"/>
        <v>360050</v>
      </c>
      <c r="Q306" s="668">
        <f t="shared" si="594"/>
        <v>10652</v>
      </c>
      <c r="R306" s="418">
        <v>4539</v>
      </c>
      <c r="S306" s="419">
        <f t="shared" si="595"/>
        <v>2.1399999999999997</v>
      </c>
      <c r="T306" s="419">
        <v>1.9</v>
      </c>
      <c r="U306" s="426">
        <v>0.24</v>
      </c>
      <c r="V306" s="428">
        <f t="shared" si="580"/>
        <v>0</v>
      </c>
      <c r="W306" s="421">
        <f t="shared" si="581"/>
        <v>0</v>
      </c>
      <c r="X306" s="421">
        <v>0</v>
      </c>
      <c r="Y306" s="421">
        <v>0</v>
      </c>
      <c r="Z306" s="421">
        <v>0</v>
      </c>
      <c r="AA306" s="421">
        <v>0</v>
      </c>
      <c r="AB306" s="421">
        <v>0</v>
      </c>
      <c r="AC306" s="421">
        <v>0</v>
      </c>
      <c r="AD306" s="421">
        <v>0</v>
      </c>
      <c r="AE306" s="421">
        <v>0</v>
      </c>
      <c r="AF306" s="421">
        <f t="shared" si="582"/>
        <v>0</v>
      </c>
      <c r="AG306" s="421">
        <f t="shared" si="583"/>
        <v>0</v>
      </c>
      <c r="AH306" s="421">
        <f t="shared" si="584"/>
        <v>0</v>
      </c>
      <c r="AI306" s="421">
        <v>0</v>
      </c>
      <c r="AJ306" s="421">
        <v>0</v>
      </c>
      <c r="AK306" s="421">
        <v>0</v>
      </c>
      <c r="AL306" s="421">
        <v>0</v>
      </c>
      <c r="AM306" s="421">
        <v>0</v>
      </c>
      <c r="AN306" s="421">
        <v>0</v>
      </c>
      <c r="AO306" s="421">
        <f t="shared" si="585"/>
        <v>0</v>
      </c>
      <c r="AP306" s="421">
        <f t="shared" si="586"/>
        <v>0</v>
      </c>
      <c r="AQ306" s="421">
        <f t="shared" si="587"/>
        <v>0</v>
      </c>
      <c r="AR306" s="421">
        <f t="shared" ref="AR306:AS311" si="669">AF306+AO306</f>
        <v>0</v>
      </c>
      <c r="AS306" s="421">
        <f t="shared" si="669"/>
        <v>0</v>
      </c>
      <c r="AT306" s="421">
        <f t="shared" si="588"/>
        <v>0</v>
      </c>
      <c r="AU306" s="68">
        <f t="shared" ref="AU306:AU311" si="670">ROUND((AH306+AI306+AJ306+AK306+AL306)*33.8%,0)</f>
        <v>0</v>
      </c>
      <c r="AV306" s="68">
        <f t="shared" ref="AV306:AV311" si="671">ROUND(AH306*1%,0)</f>
        <v>0</v>
      </c>
      <c r="AW306" s="421">
        <v>0</v>
      </c>
      <c r="AX306" s="421">
        <v>0</v>
      </c>
      <c r="AY306" s="421">
        <f t="shared" si="589"/>
        <v>0</v>
      </c>
      <c r="AZ306" s="421">
        <f t="shared" si="590"/>
        <v>0</v>
      </c>
      <c r="BA306" s="422">
        <v>0</v>
      </c>
      <c r="BB306" s="422">
        <v>0</v>
      </c>
      <c r="BC306" s="422">
        <v>0</v>
      </c>
      <c r="BD306" s="422">
        <v>0</v>
      </c>
      <c r="BE306" s="422">
        <v>0</v>
      </c>
      <c r="BF306" s="422">
        <v>0</v>
      </c>
      <c r="BG306" s="422">
        <v>0</v>
      </c>
      <c r="BH306" s="422">
        <v>0</v>
      </c>
      <c r="BI306" s="422">
        <v>0</v>
      </c>
      <c r="BJ306" s="422">
        <v>0</v>
      </c>
      <c r="BK306" s="422">
        <f t="shared" ref="BK306:BK311" si="672">BA306+BC306+BD306+BF306+BH306+BI306</f>
        <v>0</v>
      </c>
      <c r="BL306" s="422">
        <f t="shared" ref="BL306:BL311" si="673">BB306+BE306+BG306+BJ306</f>
        <v>0</v>
      </c>
      <c r="BM306" s="424">
        <f t="shared" si="591"/>
        <v>0</v>
      </c>
      <c r="BN306" s="427">
        <f t="shared" ref="BN306:BN311" si="674">I306+AZ306</f>
        <v>1440478</v>
      </c>
      <c r="BO306" s="421">
        <f t="shared" ref="BO306:BO311" si="675">J306+AH306</f>
        <v>1065237</v>
      </c>
      <c r="BP306" s="421">
        <f t="shared" ref="BP306:BQ311" si="676">K306+AF306</f>
        <v>1005333</v>
      </c>
      <c r="BQ306" s="421">
        <f t="shared" si="676"/>
        <v>59904</v>
      </c>
      <c r="BR306" s="421">
        <f t="shared" ref="BR306:BR311" si="677">M306+AQ306</f>
        <v>0</v>
      </c>
      <c r="BS306" s="421">
        <f t="shared" ref="BS306:BT311" si="678">N306+AO306</f>
        <v>0</v>
      </c>
      <c r="BT306" s="421">
        <f t="shared" si="678"/>
        <v>0</v>
      </c>
      <c r="BU306" s="421">
        <f t="shared" ref="BU306:BV311" si="679">P306+AU306</f>
        <v>360050</v>
      </c>
      <c r="BV306" s="421">
        <f t="shared" si="679"/>
        <v>10652</v>
      </c>
      <c r="BW306" s="421">
        <f t="shared" ref="BW306:BW311" si="680">R306+AY306</f>
        <v>4539</v>
      </c>
      <c r="BX306" s="422">
        <f t="shared" ref="BX306:BX311" si="681">S306+BM306</f>
        <v>2.1399999999999997</v>
      </c>
      <c r="BY306" s="422">
        <f t="shared" ref="BY306:BZ311" si="682">T306+BK306</f>
        <v>1.9</v>
      </c>
      <c r="BZ306" s="611">
        <f t="shared" si="682"/>
        <v>0.24</v>
      </c>
      <c r="CA306" s="423"/>
      <c r="CB306" s="418"/>
      <c r="CC306" s="418"/>
      <c r="CD306" s="418"/>
      <c r="CE306" s="418"/>
      <c r="CF306" s="527"/>
    </row>
    <row r="307" spans="1:84" ht="14.1" customHeight="1" x14ac:dyDescent="0.2">
      <c r="A307" s="66">
        <v>62</v>
      </c>
      <c r="B307" s="63">
        <v>2457</v>
      </c>
      <c r="C307" s="64">
        <v>650021479</v>
      </c>
      <c r="D307" s="63">
        <v>72742577</v>
      </c>
      <c r="E307" s="65" t="s">
        <v>660</v>
      </c>
      <c r="F307" s="66">
        <v>3117</v>
      </c>
      <c r="G307" s="81" t="s">
        <v>294</v>
      </c>
      <c r="H307" s="67" t="s">
        <v>271</v>
      </c>
      <c r="I307" s="423">
        <f t="shared" si="576"/>
        <v>1663656</v>
      </c>
      <c r="J307" s="418">
        <f t="shared" si="577"/>
        <v>1217013</v>
      </c>
      <c r="K307" s="418">
        <v>1067728</v>
      </c>
      <c r="L307" s="418">
        <v>149285</v>
      </c>
      <c r="M307" s="418">
        <f t="shared" si="668"/>
        <v>0</v>
      </c>
      <c r="N307" s="418">
        <v>0</v>
      </c>
      <c r="O307" s="418">
        <v>0</v>
      </c>
      <c r="P307" s="668">
        <f t="shared" si="593"/>
        <v>411350</v>
      </c>
      <c r="Q307" s="668">
        <f t="shared" si="594"/>
        <v>12170</v>
      </c>
      <c r="R307" s="418">
        <v>23123</v>
      </c>
      <c r="S307" s="419">
        <f>T307+U307</f>
        <v>1.9588000000000001</v>
      </c>
      <c r="T307" s="419">
        <v>1.5454000000000001</v>
      </c>
      <c r="U307" s="426">
        <v>0.41339999999999999</v>
      </c>
      <c r="V307" s="428">
        <f t="shared" si="580"/>
        <v>0</v>
      </c>
      <c r="W307" s="421">
        <f t="shared" si="581"/>
        <v>0</v>
      </c>
      <c r="X307" s="421">
        <v>0</v>
      </c>
      <c r="Y307" s="421">
        <v>0</v>
      </c>
      <c r="Z307" s="421">
        <v>0</v>
      </c>
      <c r="AA307" s="421">
        <v>0</v>
      </c>
      <c r="AB307" s="421">
        <v>0</v>
      </c>
      <c r="AC307" s="421">
        <v>0</v>
      </c>
      <c r="AD307" s="421">
        <v>0</v>
      </c>
      <c r="AE307" s="421">
        <v>0</v>
      </c>
      <c r="AF307" s="421">
        <f t="shared" si="582"/>
        <v>0</v>
      </c>
      <c r="AG307" s="421">
        <f t="shared" si="583"/>
        <v>0</v>
      </c>
      <c r="AH307" s="421">
        <f t="shared" si="584"/>
        <v>0</v>
      </c>
      <c r="AI307" s="421">
        <v>0</v>
      </c>
      <c r="AJ307" s="421">
        <v>0</v>
      </c>
      <c r="AK307" s="421">
        <v>0</v>
      </c>
      <c r="AL307" s="421">
        <v>0</v>
      </c>
      <c r="AM307" s="421">
        <v>0</v>
      </c>
      <c r="AN307" s="421">
        <v>0</v>
      </c>
      <c r="AO307" s="421">
        <f t="shared" si="585"/>
        <v>0</v>
      </c>
      <c r="AP307" s="421">
        <f t="shared" si="586"/>
        <v>0</v>
      </c>
      <c r="AQ307" s="421">
        <f t="shared" si="587"/>
        <v>0</v>
      </c>
      <c r="AR307" s="421">
        <f t="shared" si="669"/>
        <v>0</v>
      </c>
      <c r="AS307" s="421">
        <f t="shared" si="669"/>
        <v>0</v>
      </c>
      <c r="AT307" s="421">
        <f t="shared" si="588"/>
        <v>0</v>
      </c>
      <c r="AU307" s="68">
        <f t="shared" si="670"/>
        <v>0</v>
      </c>
      <c r="AV307" s="68">
        <f t="shared" si="671"/>
        <v>0</v>
      </c>
      <c r="AW307" s="421">
        <v>0</v>
      </c>
      <c r="AX307" s="421">
        <v>0</v>
      </c>
      <c r="AY307" s="421">
        <f t="shared" si="589"/>
        <v>0</v>
      </c>
      <c r="AZ307" s="421">
        <f t="shared" si="590"/>
        <v>0</v>
      </c>
      <c r="BA307" s="422">
        <v>0</v>
      </c>
      <c r="BB307" s="422">
        <v>0</v>
      </c>
      <c r="BC307" s="422">
        <v>0</v>
      </c>
      <c r="BD307" s="422">
        <v>0</v>
      </c>
      <c r="BE307" s="422">
        <v>0</v>
      </c>
      <c r="BF307" s="422">
        <v>0</v>
      </c>
      <c r="BG307" s="422">
        <v>0</v>
      </c>
      <c r="BH307" s="422">
        <v>0</v>
      </c>
      <c r="BI307" s="422">
        <v>0</v>
      </c>
      <c r="BJ307" s="422">
        <v>0</v>
      </c>
      <c r="BK307" s="422">
        <f t="shared" si="672"/>
        <v>0</v>
      </c>
      <c r="BL307" s="422">
        <f t="shared" si="673"/>
        <v>0</v>
      </c>
      <c r="BM307" s="424">
        <f t="shared" si="591"/>
        <v>0</v>
      </c>
      <c r="BN307" s="427">
        <f t="shared" si="674"/>
        <v>1663656</v>
      </c>
      <c r="BO307" s="421">
        <f t="shared" si="675"/>
        <v>1217013</v>
      </c>
      <c r="BP307" s="421">
        <f t="shared" si="676"/>
        <v>1067728</v>
      </c>
      <c r="BQ307" s="421">
        <f t="shared" si="676"/>
        <v>149285</v>
      </c>
      <c r="BR307" s="421">
        <f t="shared" si="677"/>
        <v>0</v>
      </c>
      <c r="BS307" s="421">
        <f t="shared" si="678"/>
        <v>0</v>
      </c>
      <c r="BT307" s="421">
        <f t="shared" si="678"/>
        <v>0</v>
      </c>
      <c r="BU307" s="421">
        <f t="shared" si="679"/>
        <v>411350</v>
      </c>
      <c r="BV307" s="421">
        <f t="shared" si="679"/>
        <v>12170</v>
      </c>
      <c r="BW307" s="421">
        <f t="shared" si="680"/>
        <v>23123</v>
      </c>
      <c r="BX307" s="422">
        <f t="shared" si="681"/>
        <v>1.9588000000000001</v>
      </c>
      <c r="BY307" s="422">
        <f t="shared" si="682"/>
        <v>1.5454000000000001</v>
      </c>
      <c r="BZ307" s="611">
        <f t="shared" si="682"/>
        <v>0.41339999999999999</v>
      </c>
      <c r="CA307" s="423"/>
      <c r="CB307" s="418"/>
      <c r="CC307" s="418"/>
      <c r="CD307" s="418"/>
      <c r="CE307" s="418"/>
      <c r="CF307" s="527"/>
    </row>
    <row r="308" spans="1:84" ht="14.1" customHeight="1" x14ac:dyDescent="0.2">
      <c r="A308" s="66">
        <v>62</v>
      </c>
      <c r="B308" s="63">
        <v>2457</v>
      </c>
      <c r="C308" s="64">
        <v>650021479</v>
      </c>
      <c r="D308" s="63">
        <v>72742577</v>
      </c>
      <c r="E308" s="65" t="s">
        <v>660</v>
      </c>
      <c r="F308" s="66">
        <v>3117</v>
      </c>
      <c r="G308" s="77" t="s">
        <v>292</v>
      </c>
      <c r="H308" s="67" t="s">
        <v>272</v>
      </c>
      <c r="I308" s="423">
        <f t="shared" si="576"/>
        <v>0</v>
      </c>
      <c r="J308" s="418">
        <f t="shared" si="577"/>
        <v>0</v>
      </c>
      <c r="K308" s="418">
        <v>0</v>
      </c>
      <c r="L308" s="418">
        <v>0</v>
      </c>
      <c r="M308" s="418">
        <f t="shared" si="592"/>
        <v>0</v>
      </c>
      <c r="N308" s="418">
        <v>0</v>
      </c>
      <c r="O308" s="418">
        <v>0</v>
      </c>
      <c r="P308" s="668">
        <f t="shared" si="593"/>
        <v>0</v>
      </c>
      <c r="Q308" s="668">
        <f t="shared" si="594"/>
        <v>0</v>
      </c>
      <c r="R308" s="418">
        <v>0</v>
      </c>
      <c r="S308" s="419">
        <f t="shared" si="595"/>
        <v>0</v>
      </c>
      <c r="T308" s="420">
        <v>0</v>
      </c>
      <c r="U308" s="426">
        <v>0</v>
      </c>
      <c r="V308" s="428">
        <f t="shared" si="580"/>
        <v>0</v>
      </c>
      <c r="W308" s="421">
        <f t="shared" si="581"/>
        <v>0</v>
      </c>
      <c r="X308" s="421">
        <v>0</v>
      </c>
      <c r="Y308" s="421">
        <v>0</v>
      </c>
      <c r="Z308" s="421">
        <v>0</v>
      </c>
      <c r="AA308" s="421">
        <v>0</v>
      </c>
      <c r="AB308" s="421">
        <v>0</v>
      </c>
      <c r="AC308" s="421">
        <v>0</v>
      </c>
      <c r="AD308" s="421">
        <v>0</v>
      </c>
      <c r="AE308" s="421">
        <v>0</v>
      </c>
      <c r="AF308" s="421">
        <f t="shared" si="582"/>
        <v>0</v>
      </c>
      <c r="AG308" s="421">
        <f t="shared" si="583"/>
        <v>0</v>
      </c>
      <c r="AH308" s="421">
        <f t="shared" si="584"/>
        <v>0</v>
      </c>
      <c r="AI308" s="421">
        <v>0</v>
      </c>
      <c r="AJ308" s="421">
        <v>0</v>
      </c>
      <c r="AK308" s="421">
        <v>0</v>
      </c>
      <c r="AL308" s="421">
        <v>0</v>
      </c>
      <c r="AM308" s="421">
        <v>0</v>
      </c>
      <c r="AN308" s="421">
        <v>0</v>
      </c>
      <c r="AO308" s="421">
        <f t="shared" si="585"/>
        <v>0</v>
      </c>
      <c r="AP308" s="421">
        <f t="shared" si="586"/>
        <v>0</v>
      </c>
      <c r="AQ308" s="421">
        <f t="shared" si="587"/>
        <v>0</v>
      </c>
      <c r="AR308" s="421">
        <f t="shared" si="669"/>
        <v>0</v>
      </c>
      <c r="AS308" s="421">
        <f t="shared" si="669"/>
        <v>0</v>
      </c>
      <c r="AT308" s="421">
        <f t="shared" si="588"/>
        <v>0</v>
      </c>
      <c r="AU308" s="68">
        <f t="shared" si="670"/>
        <v>0</v>
      </c>
      <c r="AV308" s="68">
        <f t="shared" si="671"/>
        <v>0</v>
      </c>
      <c r="AW308" s="421">
        <v>0</v>
      </c>
      <c r="AX308" s="421">
        <v>0</v>
      </c>
      <c r="AY308" s="421">
        <f t="shared" si="589"/>
        <v>0</v>
      </c>
      <c r="AZ308" s="421">
        <f t="shared" si="590"/>
        <v>0</v>
      </c>
      <c r="BA308" s="422">
        <v>0</v>
      </c>
      <c r="BB308" s="422">
        <v>0</v>
      </c>
      <c r="BC308" s="422">
        <v>0</v>
      </c>
      <c r="BD308" s="422">
        <v>0</v>
      </c>
      <c r="BE308" s="422">
        <v>0</v>
      </c>
      <c r="BF308" s="422">
        <v>0</v>
      </c>
      <c r="BG308" s="422">
        <v>0</v>
      </c>
      <c r="BH308" s="422">
        <v>0</v>
      </c>
      <c r="BI308" s="422">
        <v>0</v>
      </c>
      <c r="BJ308" s="422">
        <v>0</v>
      </c>
      <c r="BK308" s="422">
        <f t="shared" si="672"/>
        <v>0</v>
      </c>
      <c r="BL308" s="422">
        <f t="shared" si="673"/>
        <v>0</v>
      </c>
      <c r="BM308" s="424">
        <f t="shared" si="591"/>
        <v>0</v>
      </c>
      <c r="BN308" s="427">
        <f t="shared" si="674"/>
        <v>0</v>
      </c>
      <c r="BO308" s="421">
        <f t="shared" si="675"/>
        <v>0</v>
      </c>
      <c r="BP308" s="421">
        <f t="shared" si="676"/>
        <v>0</v>
      </c>
      <c r="BQ308" s="421">
        <f t="shared" si="676"/>
        <v>0</v>
      </c>
      <c r="BR308" s="421">
        <f t="shared" si="677"/>
        <v>0</v>
      </c>
      <c r="BS308" s="421">
        <f t="shared" si="678"/>
        <v>0</v>
      </c>
      <c r="BT308" s="421">
        <f t="shared" si="678"/>
        <v>0</v>
      </c>
      <c r="BU308" s="421">
        <f t="shared" si="679"/>
        <v>0</v>
      </c>
      <c r="BV308" s="421">
        <f t="shared" si="679"/>
        <v>0</v>
      </c>
      <c r="BW308" s="421">
        <f t="shared" si="680"/>
        <v>0</v>
      </c>
      <c r="BX308" s="422">
        <f t="shared" si="681"/>
        <v>0</v>
      </c>
      <c r="BY308" s="422">
        <f t="shared" si="682"/>
        <v>0</v>
      </c>
      <c r="BZ308" s="611">
        <f t="shared" si="682"/>
        <v>0</v>
      </c>
      <c r="CA308" s="423"/>
      <c r="CB308" s="418"/>
      <c r="CC308" s="418"/>
      <c r="CD308" s="418"/>
      <c r="CE308" s="418"/>
      <c r="CF308" s="527"/>
    </row>
    <row r="309" spans="1:84" ht="14.1" customHeight="1" x14ac:dyDescent="0.2">
      <c r="A309" s="66">
        <v>62</v>
      </c>
      <c r="B309" s="63">
        <v>2457</v>
      </c>
      <c r="C309" s="64">
        <v>650021479</v>
      </c>
      <c r="D309" s="63">
        <v>72742577</v>
      </c>
      <c r="E309" s="65" t="s">
        <v>660</v>
      </c>
      <c r="F309" s="66">
        <v>3141</v>
      </c>
      <c r="G309" s="65" t="s">
        <v>295</v>
      </c>
      <c r="H309" s="67" t="s">
        <v>272</v>
      </c>
      <c r="I309" s="423">
        <f t="shared" si="576"/>
        <v>363896</v>
      </c>
      <c r="J309" s="418">
        <f t="shared" si="577"/>
        <v>269018</v>
      </c>
      <c r="K309" s="418">
        <v>0</v>
      </c>
      <c r="L309" s="924">
        <v>269018</v>
      </c>
      <c r="M309" s="418">
        <f>N309+O309</f>
        <v>0</v>
      </c>
      <c r="N309" s="205">
        <v>0</v>
      </c>
      <c r="O309" s="205">
        <v>0</v>
      </c>
      <c r="P309" s="668">
        <f t="shared" si="593"/>
        <v>90928</v>
      </c>
      <c r="Q309" s="668">
        <f t="shared" si="594"/>
        <v>2690</v>
      </c>
      <c r="R309" s="674">
        <v>1260</v>
      </c>
      <c r="S309" s="419">
        <f>T309+U309</f>
        <v>0.80669999999999997</v>
      </c>
      <c r="T309" s="676">
        <v>0</v>
      </c>
      <c r="U309" s="909">
        <v>0.80669999999999997</v>
      </c>
      <c r="V309" s="428">
        <f t="shared" si="580"/>
        <v>0</v>
      </c>
      <c r="W309" s="421">
        <f t="shared" si="581"/>
        <v>-22400</v>
      </c>
      <c r="X309" s="421">
        <v>0</v>
      </c>
      <c r="Y309" s="421">
        <v>0</v>
      </c>
      <c r="Z309" s="421">
        <v>0</v>
      </c>
      <c r="AA309" s="421">
        <v>0</v>
      </c>
      <c r="AB309" s="421">
        <v>0</v>
      </c>
      <c r="AC309" s="421">
        <v>0</v>
      </c>
      <c r="AD309" s="421">
        <v>0</v>
      </c>
      <c r="AE309" s="421">
        <v>0</v>
      </c>
      <c r="AF309" s="421">
        <f t="shared" si="582"/>
        <v>0</v>
      </c>
      <c r="AG309" s="421">
        <f t="shared" si="583"/>
        <v>-22400</v>
      </c>
      <c r="AH309" s="421">
        <f t="shared" si="584"/>
        <v>-22400</v>
      </c>
      <c r="AI309" s="421">
        <v>0</v>
      </c>
      <c r="AJ309" s="421">
        <v>22400</v>
      </c>
      <c r="AK309" s="421">
        <v>0</v>
      </c>
      <c r="AL309" s="421">
        <v>0</v>
      </c>
      <c r="AM309" s="421">
        <v>0</v>
      </c>
      <c r="AN309" s="421">
        <v>0</v>
      </c>
      <c r="AO309" s="421">
        <f t="shared" si="585"/>
        <v>0</v>
      </c>
      <c r="AP309" s="421">
        <f t="shared" si="586"/>
        <v>22400</v>
      </c>
      <c r="AQ309" s="421">
        <f t="shared" si="587"/>
        <v>22400</v>
      </c>
      <c r="AR309" s="421">
        <f t="shared" si="669"/>
        <v>0</v>
      </c>
      <c r="AS309" s="421">
        <f t="shared" si="669"/>
        <v>0</v>
      </c>
      <c r="AT309" s="421">
        <f t="shared" si="588"/>
        <v>0</v>
      </c>
      <c r="AU309" s="68">
        <f t="shared" si="670"/>
        <v>0</v>
      </c>
      <c r="AV309" s="68">
        <f t="shared" si="671"/>
        <v>-224</v>
      </c>
      <c r="AW309" s="421">
        <v>0</v>
      </c>
      <c r="AX309" s="421">
        <v>0</v>
      </c>
      <c r="AY309" s="421">
        <f t="shared" si="589"/>
        <v>0</v>
      </c>
      <c r="AZ309" s="421">
        <f t="shared" si="590"/>
        <v>-224</v>
      </c>
      <c r="BA309" s="422">
        <v>0</v>
      </c>
      <c r="BB309" s="422">
        <v>-7.0000000000000007E-2</v>
      </c>
      <c r="BC309" s="422">
        <v>0</v>
      </c>
      <c r="BD309" s="422">
        <v>0</v>
      </c>
      <c r="BE309" s="422">
        <v>0</v>
      </c>
      <c r="BF309" s="422">
        <v>0</v>
      </c>
      <c r="BG309" s="422">
        <v>0</v>
      </c>
      <c r="BH309" s="422">
        <v>0</v>
      </c>
      <c r="BI309" s="422">
        <v>0</v>
      </c>
      <c r="BJ309" s="422">
        <v>0</v>
      </c>
      <c r="BK309" s="422">
        <f t="shared" si="672"/>
        <v>0</v>
      </c>
      <c r="BL309" s="422">
        <f t="shared" si="673"/>
        <v>-7.0000000000000007E-2</v>
      </c>
      <c r="BM309" s="424">
        <f t="shared" si="591"/>
        <v>-7.0000000000000007E-2</v>
      </c>
      <c r="BN309" s="427">
        <f t="shared" si="674"/>
        <v>363672</v>
      </c>
      <c r="BO309" s="421">
        <f t="shared" si="675"/>
        <v>246618</v>
      </c>
      <c r="BP309" s="421">
        <f t="shared" si="676"/>
        <v>0</v>
      </c>
      <c r="BQ309" s="421">
        <f t="shared" si="676"/>
        <v>246618</v>
      </c>
      <c r="BR309" s="421">
        <f t="shared" si="677"/>
        <v>22400</v>
      </c>
      <c r="BS309" s="421">
        <f t="shared" si="678"/>
        <v>0</v>
      </c>
      <c r="BT309" s="421">
        <f t="shared" si="678"/>
        <v>22400</v>
      </c>
      <c r="BU309" s="421">
        <f t="shared" si="679"/>
        <v>90928</v>
      </c>
      <c r="BV309" s="421">
        <f t="shared" si="679"/>
        <v>2466</v>
      </c>
      <c r="BW309" s="421">
        <f t="shared" si="680"/>
        <v>1260</v>
      </c>
      <c r="BX309" s="422">
        <f t="shared" si="681"/>
        <v>0.73669999999999991</v>
      </c>
      <c r="BY309" s="422">
        <f t="shared" si="682"/>
        <v>0</v>
      </c>
      <c r="BZ309" s="611">
        <f t="shared" si="682"/>
        <v>0.73669999999999991</v>
      </c>
      <c r="CA309" s="423"/>
      <c r="CB309" s="418"/>
      <c r="CC309" s="418"/>
      <c r="CD309" s="418"/>
      <c r="CE309" s="418"/>
      <c r="CF309" s="527"/>
    </row>
    <row r="310" spans="1:84" ht="14.1" customHeight="1" x14ac:dyDescent="0.2">
      <c r="A310" s="66">
        <v>62</v>
      </c>
      <c r="B310" s="63">
        <v>2457</v>
      </c>
      <c r="C310" s="64">
        <v>650021479</v>
      </c>
      <c r="D310" s="63">
        <v>72742577</v>
      </c>
      <c r="E310" s="65" t="s">
        <v>660</v>
      </c>
      <c r="F310" s="66">
        <v>3143</v>
      </c>
      <c r="G310" s="77" t="s">
        <v>596</v>
      </c>
      <c r="H310" s="67" t="s">
        <v>271</v>
      </c>
      <c r="I310" s="423">
        <f t="shared" si="576"/>
        <v>68967</v>
      </c>
      <c r="J310" s="418">
        <f t="shared" si="577"/>
        <v>51162</v>
      </c>
      <c r="K310" s="418">
        <v>51162</v>
      </c>
      <c r="L310" s="418">
        <v>0</v>
      </c>
      <c r="M310" s="418">
        <f t="shared" si="592"/>
        <v>0</v>
      </c>
      <c r="N310" s="418">
        <v>0</v>
      </c>
      <c r="O310" s="418">
        <v>0</v>
      </c>
      <c r="P310" s="668">
        <f t="shared" si="593"/>
        <v>17293</v>
      </c>
      <c r="Q310" s="668">
        <f t="shared" si="594"/>
        <v>512</v>
      </c>
      <c r="R310" s="418">
        <v>0</v>
      </c>
      <c r="S310" s="419">
        <f t="shared" si="595"/>
        <v>0.1</v>
      </c>
      <c r="T310" s="419">
        <v>0.1</v>
      </c>
      <c r="U310" s="426">
        <v>0</v>
      </c>
      <c r="V310" s="428">
        <f t="shared" si="580"/>
        <v>0</v>
      </c>
      <c r="W310" s="421">
        <f t="shared" si="581"/>
        <v>0</v>
      </c>
      <c r="X310" s="421">
        <v>0</v>
      </c>
      <c r="Y310" s="421">
        <v>0</v>
      </c>
      <c r="Z310" s="421">
        <v>0</v>
      </c>
      <c r="AA310" s="421">
        <v>0</v>
      </c>
      <c r="AB310" s="421">
        <v>0</v>
      </c>
      <c r="AC310" s="421">
        <v>0</v>
      </c>
      <c r="AD310" s="421">
        <v>0</v>
      </c>
      <c r="AE310" s="421">
        <v>0</v>
      </c>
      <c r="AF310" s="421">
        <f t="shared" si="582"/>
        <v>0</v>
      </c>
      <c r="AG310" s="421">
        <f t="shared" si="583"/>
        <v>0</v>
      </c>
      <c r="AH310" s="421">
        <f t="shared" si="584"/>
        <v>0</v>
      </c>
      <c r="AI310" s="421">
        <v>0</v>
      </c>
      <c r="AJ310" s="421">
        <v>0</v>
      </c>
      <c r="AK310" s="421">
        <v>0</v>
      </c>
      <c r="AL310" s="421">
        <v>0</v>
      </c>
      <c r="AM310" s="421">
        <v>0</v>
      </c>
      <c r="AN310" s="421">
        <v>0</v>
      </c>
      <c r="AO310" s="421">
        <f t="shared" si="585"/>
        <v>0</v>
      </c>
      <c r="AP310" s="421">
        <f t="shared" si="586"/>
        <v>0</v>
      </c>
      <c r="AQ310" s="421">
        <f t="shared" si="587"/>
        <v>0</v>
      </c>
      <c r="AR310" s="421">
        <f t="shared" si="669"/>
        <v>0</v>
      </c>
      <c r="AS310" s="421">
        <f t="shared" si="669"/>
        <v>0</v>
      </c>
      <c r="AT310" s="421">
        <f t="shared" si="588"/>
        <v>0</v>
      </c>
      <c r="AU310" s="68">
        <f t="shared" si="670"/>
        <v>0</v>
      </c>
      <c r="AV310" s="68">
        <f t="shared" si="671"/>
        <v>0</v>
      </c>
      <c r="AW310" s="421">
        <v>0</v>
      </c>
      <c r="AX310" s="421">
        <v>0</v>
      </c>
      <c r="AY310" s="421">
        <f t="shared" si="589"/>
        <v>0</v>
      </c>
      <c r="AZ310" s="421">
        <f t="shared" si="590"/>
        <v>0</v>
      </c>
      <c r="BA310" s="422">
        <v>0</v>
      </c>
      <c r="BB310" s="422">
        <v>0</v>
      </c>
      <c r="BC310" s="422">
        <v>0</v>
      </c>
      <c r="BD310" s="422">
        <v>0</v>
      </c>
      <c r="BE310" s="422">
        <v>0</v>
      </c>
      <c r="BF310" s="422">
        <v>0</v>
      </c>
      <c r="BG310" s="422">
        <v>0</v>
      </c>
      <c r="BH310" s="422">
        <v>0</v>
      </c>
      <c r="BI310" s="422">
        <v>0</v>
      </c>
      <c r="BJ310" s="422">
        <v>0</v>
      </c>
      <c r="BK310" s="422">
        <f t="shared" si="672"/>
        <v>0</v>
      </c>
      <c r="BL310" s="422">
        <f t="shared" si="673"/>
        <v>0</v>
      </c>
      <c r="BM310" s="424">
        <f t="shared" si="591"/>
        <v>0</v>
      </c>
      <c r="BN310" s="427">
        <f t="shared" si="674"/>
        <v>68967</v>
      </c>
      <c r="BO310" s="421">
        <f t="shared" si="675"/>
        <v>51162</v>
      </c>
      <c r="BP310" s="421">
        <f t="shared" si="676"/>
        <v>51162</v>
      </c>
      <c r="BQ310" s="421">
        <f t="shared" si="676"/>
        <v>0</v>
      </c>
      <c r="BR310" s="421">
        <f t="shared" si="677"/>
        <v>0</v>
      </c>
      <c r="BS310" s="421">
        <f t="shared" si="678"/>
        <v>0</v>
      </c>
      <c r="BT310" s="421">
        <f t="shared" si="678"/>
        <v>0</v>
      </c>
      <c r="BU310" s="421">
        <f t="shared" si="679"/>
        <v>17293</v>
      </c>
      <c r="BV310" s="421">
        <f t="shared" si="679"/>
        <v>512</v>
      </c>
      <c r="BW310" s="421">
        <f t="shared" si="680"/>
        <v>0</v>
      </c>
      <c r="BX310" s="422">
        <f t="shared" si="681"/>
        <v>0.1</v>
      </c>
      <c r="BY310" s="422">
        <f t="shared" si="682"/>
        <v>0.1</v>
      </c>
      <c r="BZ310" s="611">
        <f t="shared" si="682"/>
        <v>0</v>
      </c>
      <c r="CA310" s="423"/>
      <c r="CB310" s="418"/>
      <c r="CC310" s="418"/>
      <c r="CD310" s="418"/>
      <c r="CE310" s="418"/>
      <c r="CF310" s="527"/>
    </row>
    <row r="311" spans="1:84" ht="14.1" customHeight="1" x14ac:dyDescent="0.2">
      <c r="A311" s="66">
        <v>62</v>
      </c>
      <c r="B311" s="63">
        <v>2457</v>
      </c>
      <c r="C311" s="64">
        <v>650021479</v>
      </c>
      <c r="D311" s="63">
        <v>72742577</v>
      </c>
      <c r="E311" s="65" t="s">
        <v>660</v>
      </c>
      <c r="F311" s="66">
        <v>3143</v>
      </c>
      <c r="G311" s="77" t="s">
        <v>597</v>
      </c>
      <c r="H311" s="67" t="s">
        <v>272</v>
      </c>
      <c r="I311" s="423">
        <f t="shared" si="576"/>
        <v>7672</v>
      </c>
      <c r="J311" s="418">
        <f t="shared" si="577"/>
        <v>5491</v>
      </c>
      <c r="K311" s="418">
        <v>0</v>
      </c>
      <c r="L311" s="674">
        <v>5491</v>
      </c>
      <c r="M311" s="418">
        <f t="shared" si="592"/>
        <v>0</v>
      </c>
      <c r="N311" s="418">
        <v>0</v>
      </c>
      <c r="O311" s="418">
        <v>0</v>
      </c>
      <c r="P311" s="668">
        <f t="shared" si="593"/>
        <v>1856</v>
      </c>
      <c r="Q311" s="668">
        <f t="shared" si="594"/>
        <v>55</v>
      </c>
      <c r="R311" s="675">
        <v>270</v>
      </c>
      <c r="S311" s="419">
        <f t="shared" si="595"/>
        <v>2.0799999999999999E-2</v>
      </c>
      <c r="T311" s="679">
        <v>0</v>
      </c>
      <c r="U311" s="909">
        <v>2.0799999999999999E-2</v>
      </c>
      <c r="V311" s="428">
        <f t="shared" si="580"/>
        <v>0</v>
      </c>
      <c r="W311" s="421">
        <f t="shared" si="581"/>
        <v>0</v>
      </c>
      <c r="X311" s="421">
        <v>0</v>
      </c>
      <c r="Y311" s="421">
        <v>0</v>
      </c>
      <c r="Z311" s="421">
        <v>0</v>
      </c>
      <c r="AA311" s="421">
        <v>0</v>
      </c>
      <c r="AB311" s="421">
        <v>0</v>
      </c>
      <c r="AC311" s="421">
        <v>0</v>
      </c>
      <c r="AD311" s="421">
        <v>0</v>
      </c>
      <c r="AE311" s="421">
        <v>0</v>
      </c>
      <c r="AF311" s="421">
        <f t="shared" si="582"/>
        <v>0</v>
      </c>
      <c r="AG311" s="421">
        <f t="shared" si="583"/>
        <v>0</v>
      </c>
      <c r="AH311" s="421">
        <f t="shared" si="584"/>
        <v>0</v>
      </c>
      <c r="AI311" s="421">
        <v>0</v>
      </c>
      <c r="AJ311" s="421">
        <v>0</v>
      </c>
      <c r="AK311" s="421">
        <v>0</v>
      </c>
      <c r="AL311" s="421">
        <v>0</v>
      </c>
      <c r="AM311" s="421">
        <v>0</v>
      </c>
      <c r="AN311" s="421">
        <v>0</v>
      </c>
      <c r="AO311" s="421">
        <f t="shared" si="585"/>
        <v>0</v>
      </c>
      <c r="AP311" s="421">
        <f t="shared" si="586"/>
        <v>0</v>
      </c>
      <c r="AQ311" s="421">
        <f t="shared" si="587"/>
        <v>0</v>
      </c>
      <c r="AR311" s="421">
        <f t="shared" si="669"/>
        <v>0</v>
      </c>
      <c r="AS311" s="421">
        <f t="shared" si="669"/>
        <v>0</v>
      </c>
      <c r="AT311" s="421">
        <f t="shared" si="588"/>
        <v>0</v>
      </c>
      <c r="AU311" s="68">
        <f t="shared" si="670"/>
        <v>0</v>
      </c>
      <c r="AV311" s="68">
        <f t="shared" si="671"/>
        <v>0</v>
      </c>
      <c r="AW311" s="421">
        <v>0</v>
      </c>
      <c r="AX311" s="421">
        <v>0</v>
      </c>
      <c r="AY311" s="421">
        <f t="shared" si="589"/>
        <v>0</v>
      </c>
      <c r="AZ311" s="421">
        <f t="shared" si="590"/>
        <v>0</v>
      </c>
      <c r="BA311" s="422">
        <v>0</v>
      </c>
      <c r="BB311" s="422">
        <v>0</v>
      </c>
      <c r="BC311" s="422">
        <v>0</v>
      </c>
      <c r="BD311" s="422">
        <v>0</v>
      </c>
      <c r="BE311" s="422">
        <v>0</v>
      </c>
      <c r="BF311" s="422">
        <v>0</v>
      </c>
      <c r="BG311" s="422">
        <v>0</v>
      </c>
      <c r="BH311" s="422">
        <v>0</v>
      </c>
      <c r="BI311" s="422">
        <v>0</v>
      </c>
      <c r="BJ311" s="422">
        <v>0</v>
      </c>
      <c r="BK311" s="422">
        <f t="shared" si="672"/>
        <v>0</v>
      </c>
      <c r="BL311" s="422">
        <f t="shared" si="673"/>
        <v>0</v>
      </c>
      <c r="BM311" s="424">
        <f t="shared" si="591"/>
        <v>0</v>
      </c>
      <c r="BN311" s="427">
        <f t="shared" si="674"/>
        <v>7672</v>
      </c>
      <c r="BO311" s="421">
        <f t="shared" si="675"/>
        <v>5491</v>
      </c>
      <c r="BP311" s="421">
        <f t="shared" si="676"/>
        <v>0</v>
      </c>
      <c r="BQ311" s="421">
        <f t="shared" si="676"/>
        <v>5491</v>
      </c>
      <c r="BR311" s="421">
        <f t="shared" si="677"/>
        <v>0</v>
      </c>
      <c r="BS311" s="421">
        <f t="shared" si="678"/>
        <v>0</v>
      </c>
      <c r="BT311" s="421">
        <f t="shared" si="678"/>
        <v>0</v>
      </c>
      <c r="BU311" s="421">
        <f t="shared" si="679"/>
        <v>1856</v>
      </c>
      <c r="BV311" s="421">
        <f t="shared" si="679"/>
        <v>55</v>
      </c>
      <c r="BW311" s="421">
        <f t="shared" si="680"/>
        <v>270</v>
      </c>
      <c r="BX311" s="422">
        <f t="shared" si="681"/>
        <v>2.0799999999999999E-2</v>
      </c>
      <c r="BY311" s="422">
        <f t="shared" si="682"/>
        <v>0</v>
      </c>
      <c r="BZ311" s="611">
        <f t="shared" si="682"/>
        <v>2.0799999999999999E-2</v>
      </c>
      <c r="CA311" s="423"/>
      <c r="CB311" s="418"/>
      <c r="CC311" s="418"/>
      <c r="CD311" s="418"/>
      <c r="CE311" s="418"/>
      <c r="CF311" s="527"/>
    </row>
    <row r="312" spans="1:84" ht="14.1" customHeight="1" x14ac:dyDescent="0.2">
      <c r="A312" s="72">
        <v>62</v>
      </c>
      <c r="B312" s="69">
        <v>2457</v>
      </c>
      <c r="C312" s="70">
        <v>650021479</v>
      </c>
      <c r="D312" s="69">
        <v>72742577</v>
      </c>
      <c r="E312" s="71" t="s">
        <v>661</v>
      </c>
      <c r="F312" s="72"/>
      <c r="G312" s="71"/>
      <c r="H312" s="73"/>
      <c r="I312" s="538">
        <f t="shared" ref="I312:BU312" si="683">SUM(I306:I311)</f>
        <v>3544669</v>
      </c>
      <c r="J312" s="74">
        <f t="shared" si="683"/>
        <v>2607921</v>
      </c>
      <c r="K312" s="74">
        <f t="shared" si="683"/>
        <v>2124223</v>
      </c>
      <c r="L312" s="74">
        <f t="shared" si="683"/>
        <v>483698</v>
      </c>
      <c r="M312" s="74">
        <f t="shared" si="683"/>
        <v>0</v>
      </c>
      <c r="N312" s="74">
        <f t="shared" si="683"/>
        <v>0</v>
      </c>
      <c r="O312" s="74">
        <f t="shared" si="683"/>
        <v>0</v>
      </c>
      <c r="P312" s="74">
        <f t="shared" si="683"/>
        <v>881477</v>
      </c>
      <c r="Q312" s="74">
        <f t="shared" si="683"/>
        <v>26079</v>
      </c>
      <c r="R312" s="74">
        <f t="shared" si="683"/>
        <v>29192</v>
      </c>
      <c r="S312" s="75">
        <f t="shared" si="683"/>
        <v>5.0263</v>
      </c>
      <c r="T312" s="75">
        <f t="shared" si="683"/>
        <v>3.5454000000000003</v>
      </c>
      <c r="U312" s="753">
        <f t="shared" si="683"/>
        <v>1.4808999999999999</v>
      </c>
      <c r="V312" s="538">
        <f t="shared" si="683"/>
        <v>0</v>
      </c>
      <c r="W312" s="74">
        <f t="shared" si="683"/>
        <v>-22400</v>
      </c>
      <c r="X312" s="74">
        <f t="shared" si="683"/>
        <v>0</v>
      </c>
      <c r="Y312" s="74">
        <f t="shared" si="683"/>
        <v>0</v>
      </c>
      <c r="Z312" s="74">
        <f t="shared" si="683"/>
        <v>0</v>
      </c>
      <c r="AA312" s="74">
        <f t="shared" si="683"/>
        <v>0</v>
      </c>
      <c r="AB312" s="74">
        <f t="shared" si="683"/>
        <v>0</v>
      </c>
      <c r="AC312" s="74">
        <f t="shared" si="683"/>
        <v>0</v>
      </c>
      <c r="AD312" s="74">
        <f t="shared" si="683"/>
        <v>0</v>
      </c>
      <c r="AE312" s="74">
        <f t="shared" si="683"/>
        <v>0</v>
      </c>
      <c r="AF312" s="74">
        <f t="shared" si="683"/>
        <v>0</v>
      </c>
      <c r="AG312" s="74">
        <f t="shared" si="683"/>
        <v>-22400</v>
      </c>
      <c r="AH312" s="74">
        <f t="shared" si="683"/>
        <v>-22400</v>
      </c>
      <c r="AI312" s="74">
        <f t="shared" si="683"/>
        <v>0</v>
      </c>
      <c r="AJ312" s="74">
        <f t="shared" si="683"/>
        <v>22400</v>
      </c>
      <c r="AK312" s="74">
        <f t="shared" si="683"/>
        <v>0</v>
      </c>
      <c r="AL312" s="74">
        <f t="shared" si="683"/>
        <v>0</v>
      </c>
      <c r="AM312" s="74">
        <f t="shared" si="683"/>
        <v>0</v>
      </c>
      <c r="AN312" s="74">
        <f t="shared" si="683"/>
        <v>0</v>
      </c>
      <c r="AO312" s="74">
        <f t="shared" si="683"/>
        <v>0</v>
      </c>
      <c r="AP312" s="74">
        <f t="shared" si="683"/>
        <v>22400</v>
      </c>
      <c r="AQ312" s="74">
        <f t="shared" si="683"/>
        <v>22400</v>
      </c>
      <c r="AR312" s="74">
        <f t="shared" si="683"/>
        <v>0</v>
      </c>
      <c r="AS312" s="74">
        <f t="shared" si="683"/>
        <v>0</v>
      </c>
      <c r="AT312" s="74">
        <f t="shared" si="683"/>
        <v>0</v>
      </c>
      <c r="AU312" s="74">
        <f t="shared" si="683"/>
        <v>0</v>
      </c>
      <c r="AV312" s="74">
        <f t="shared" si="683"/>
        <v>-224</v>
      </c>
      <c r="AW312" s="74">
        <f t="shared" si="683"/>
        <v>0</v>
      </c>
      <c r="AX312" s="74">
        <f t="shared" si="683"/>
        <v>0</v>
      </c>
      <c r="AY312" s="74">
        <f t="shared" si="683"/>
        <v>0</v>
      </c>
      <c r="AZ312" s="74">
        <f t="shared" si="683"/>
        <v>-224</v>
      </c>
      <c r="BA312" s="75">
        <f t="shared" si="683"/>
        <v>0</v>
      </c>
      <c r="BB312" s="75">
        <f t="shared" si="683"/>
        <v>-7.0000000000000007E-2</v>
      </c>
      <c r="BC312" s="75">
        <f t="shared" si="683"/>
        <v>0</v>
      </c>
      <c r="BD312" s="75">
        <f t="shared" si="683"/>
        <v>0</v>
      </c>
      <c r="BE312" s="75">
        <f t="shared" si="683"/>
        <v>0</v>
      </c>
      <c r="BF312" s="75">
        <f t="shared" si="683"/>
        <v>0</v>
      </c>
      <c r="BG312" s="75">
        <f t="shared" si="683"/>
        <v>0</v>
      </c>
      <c r="BH312" s="75">
        <f t="shared" si="683"/>
        <v>0</v>
      </c>
      <c r="BI312" s="75">
        <f t="shared" si="683"/>
        <v>0</v>
      </c>
      <c r="BJ312" s="75">
        <f t="shared" si="683"/>
        <v>0</v>
      </c>
      <c r="BK312" s="75">
        <f t="shared" si="683"/>
        <v>0</v>
      </c>
      <c r="BL312" s="75">
        <f t="shared" si="683"/>
        <v>-7.0000000000000007E-2</v>
      </c>
      <c r="BM312" s="76">
        <f t="shared" si="683"/>
        <v>-7.0000000000000007E-2</v>
      </c>
      <c r="BN312" s="549">
        <f t="shared" si="683"/>
        <v>3544445</v>
      </c>
      <c r="BO312" s="74">
        <f t="shared" si="683"/>
        <v>2585521</v>
      </c>
      <c r="BP312" s="74">
        <f t="shared" si="683"/>
        <v>2124223</v>
      </c>
      <c r="BQ312" s="74">
        <f t="shared" si="683"/>
        <v>461298</v>
      </c>
      <c r="BR312" s="74">
        <f t="shared" si="683"/>
        <v>22400</v>
      </c>
      <c r="BS312" s="74">
        <f t="shared" si="683"/>
        <v>0</v>
      </c>
      <c r="BT312" s="74">
        <f t="shared" si="683"/>
        <v>22400</v>
      </c>
      <c r="BU312" s="74">
        <f t="shared" si="683"/>
        <v>881477</v>
      </c>
      <c r="BV312" s="74">
        <f t="shared" ref="BV312:CF312" si="684">SUM(BV306:BV311)</f>
        <v>25855</v>
      </c>
      <c r="BW312" s="74">
        <f t="shared" si="684"/>
        <v>29192</v>
      </c>
      <c r="BX312" s="75">
        <f t="shared" si="684"/>
        <v>4.9562999999999997</v>
      </c>
      <c r="BY312" s="75">
        <f t="shared" si="684"/>
        <v>3.5454000000000003</v>
      </c>
      <c r="BZ312" s="753">
        <f t="shared" si="684"/>
        <v>1.4108999999999998</v>
      </c>
      <c r="CA312" s="796">
        <f t="shared" si="684"/>
        <v>0</v>
      </c>
      <c r="CB312" s="789">
        <f t="shared" si="684"/>
        <v>0</v>
      </c>
      <c r="CC312" s="789">
        <f t="shared" si="684"/>
        <v>0</v>
      </c>
      <c r="CD312" s="789">
        <f t="shared" si="684"/>
        <v>0</v>
      </c>
      <c r="CE312" s="789">
        <f t="shared" si="684"/>
        <v>0</v>
      </c>
      <c r="CF312" s="793">
        <f t="shared" si="684"/>
        <v>0</v>
      </c>
    </row>
    <row r="313" spans="1:84" ht="14.1" customHeight="1" x14ac:dyDescent="0.2">
      <c r="A313" s="66">
        <v>63</v>
      </c>
      <c r="B313" s="63">
        <v>2403</v>
      </c>
      <c r="C313" s="64">
        <v>600078931</v>
      </c>
      <c r="D313" s="63">
        <v>72744324</v>
      </c>
      <c r="E313" s="65" t="s">
        <v>662</v>
      </c>
      <c r="F313" s="66">
        <v>3111</v>
      </c>
      <c r="G313" s="65" t="s">
        <v>291</v>
      </c>
      <c r="H313" s="67" t="s">
        <v>271</v>
      </c>
      <c r="I313" s="423">
        <f t="shared" si="576"/>
        <v>6844502</v>
      </c>
      <c r="J313" s="418">
        <f t="shared" si="577"/>
        <v>5060886</v>
      </c>
      <c r="K313" s="418">
        <v>4590684</v>
      </c>
      <c r="L313" s="418">
        <v>470202</v>
      </c>
      <c r="M313" s="418">
        <f>N313+O313</f>
        <v>0</v>
      </c>
      <c r="N313" s="418">
        <v>0</v>
      </c>
      <c r="O313" s="418">
        <v>0</v>
      </c>
      <c r="P313" s="668">
        <f t="shared" si="593"/>
        <v>1710579</v>
      </c>
      <c r="Q313" s="668">
        <f t="shared" si="594"/>
        <v>50609</v>
      </c>
      <c r="R313" s="418">
        <v>22428</v>
      </c>
      <c r="S313" s="419">
        <f t="shared" si="595"/>
        <v>9.6000999999999994</v>
      </c>
      <c r="T313" s="419">
        <v>8</v>
      </c>
      <c r="U313" s="426">
        <v>1.6000999999999999</v>
      </c>
      <c r="V313" s="428">
        <f t="shared" si="580"/>
        <v>0</v>
      </c>
      <c r="W313" s="421">
        <f t="shared" si="581"/>
        <v>0</v>
      </c>
      <c r="X313" s="421">
        <v>0</v>
      </c>
      <c r="Y313" s="421">
        <v>0</v>
      </c>
      <c r="Z313" s="421">
        <v>0</v>
      </c>
      <c r="AA313" s="421">
        <v>0</v>
      </c>
      <c r="AB313" s="421">
        <v>0</v>
      </c>
      <c r="AC313" s="421">
        <v>0</v>
      </c>
      <c r="AD313" s="421">
        <v>0</v>
      </c>
      <c r="AE313" s="421">
        <v>0</v>
      </c>
      <c r="AF313" s="421">
        <f t="shared" si="582"/>
        <v>0</v>
      </c>
      <c r="AG313" s="421">
        <f t="shared" si="583"/>
        <v>0</v>
      </c>
      <c r="AH313" s="421">
        <f t="shared" si="584"/>
        <v>0</v>
      </c>
      <c r="AI313" s="421">
        <v>0</v>
      </c>
      <c r="AJ313" s="421">
        <v>0</v>
      </c>
      <c r="AK313" s="421">
        <v>0</v>
      </c>
      <c r="AL313" s="421">
        <v>0</v>
      </c>
      <c r="AM313" s="421">
        <v>0</v>
      </c>
      <c r="AN313" s="421">
        <v>0</v>
      </c>
      <c r="AO313" s="421">
        <f t="shared" si="585"/>
        <v>0</v>
      </c>
      <c r="AP313" s="421">
        <f t="shared" si="586"/>
        <v>0</v>
      </c>
      <c r="AQ313" s="421">
        <f t="shared" si="587"/>
        <v>0</v>
      </c>
      <c r="AR313" s="421">
        <f t="shared" ref="AR313:AS315" si="685">AF313+AO313</f>
        <v>0</v>
      </c>
      <c r="AS313" s="421">
        <f t="shared" si="685"/>
        <v>0</v>
      </c>
      <c r="AT313" s="421">
        <f t="shared" si="588"/>
        <v>0</v>
      </c>
      <c r="AU313" s="68">
        <f t="shared" ref="AU313:AU315" si="686">ROUND((AH313+AI313+AJ313+AK313+AL313)*33.8%,0)</f>
        <v>0</v>
      </c>
      <c r="AV313" s="68">
        <f>ROUND(AH313*1%,0)</f>
        <v>0</v>
      </c>
      <c r="AW313" s="421">
        <v>0</v>
      </c>
      <c r="AX313" s="421">
        <v>0</v>
      </c>
      <c r="AY313" s="421">
        <f t="shared" si="589"/>
        <v>0</v>
      </c>
      <c r="AZ313" s="421">
        <f t="shared" si="590"/>
        <v>0</v>
      </c>
      <c r="BA313" s="422">
        <v>0</v>
      </c>
      <c r="BB313" s="422">
        <v>0</v>
      </c>
      <c r="BC313" s="422">
        <v>0</v>
      </c>
      <c r="BD313" s="422">
        <v>0</v>
      </c>
      <c r="BE313" s="422">
        <v>0</v>
      </c>
      <c r="BF313" s="422">
        <v>0</v>
      </c>
      <c r="BG313" s="422">
        <v>0</v>
      </c>
      <c r="BH313" s="422">
        <v>0</v>
      </c>
      <c r="BI313" s="422">
        <v>0</v>
      </c>
      <c r="BJ313" s="422">
        <v>0</v>
      </c>
      <c r="BK313" s="422">
        <f>BA313+BC313+BD313+BF313+BH313+BI313</f>
        <v>0</v>
      </c>
      <c r="BL313" s="422">
        <f>BB313+BE313+BG313+BJ313</f>
        <v>0</v>
      </c>
      <c r="BM313" s="424">
        <f t="shared" si="591"/>
        <v>0</v>
      </c>
      <c r="BN313" s="427">
        <f>I313+AZ313</f>
        <v>6844502</v>
      </c>
      <c r="BO313" s="421">
        <f>J313+AH313</f>
        <v>5060886</v>
      </c>
      <c r="BP313" s="421">
        <f t="shared" ref="BP313:BQ315" si="687">K313+AF313</f>
        <v>4590684</v>
      </c>
      <c r="BQ313" s="421">
        <f t="shared" si="687"/>
        <v>470202</v>
      </c>
      <c r="BR313" s="421">
        <f>M313+AQ313</f>
        <v>0</v>
      </c>
      <c r="BS313" s="421">
        <f t="shared" ref="BS313:BT315" si="688">N313+AO313</f>
        <v>0</v>
      </c>
      <c r="BT313" s="421">
        <f t="shared" si="688"/>
        <v>0</v>
      </c>
      <c r="BU313" s="421">
        <f t="shared" ref="BU313:BV315" si="689">P313+AU313</f>
        <v>1710579</v>
      </c>
      <c r="BV313" s="421">
        <f t="shared" si="689"/>
        <v>50609</v>
      </c>
      <c r="BW313" s="421">
        <f>R313+AY313</f>
        <v>22428</v>
      </c>
      <c r="BX313" s="422">
        <f>S313+BM313</f>
        <v>9.6000999999999994</v>
      </c>
      <c r="BY313" s="422">
        <f t="shared" ref="BY313:BZ315" si="690">T313+BK313</f>
        <v>8</v>
      </c>
      <c r="BZ313" s="611">
        <f t="shared" si="690"/>
        <v>1.6000999999999999</v>
      </c>
      <c r="CA313" s="423"/>
      <c r="CB313" s="418"/>
      <c r="CC313" s="418"/>
      <c r="CD313" s="418"/>
      <c r="CE313" s="418"/>
      <c r="CF313" s="527"/>
    </row>
    <row r="314" spans="1:84" ht="14.1" customHeight="1" x14ac:dyDescent="0.2">
      <c r="A314" s="66">
        <v>63</v>
      </c>
      <c r="B314" s="63">
        <v>2403</v>
      </c>
      <c r="C314" s="64">
        <v>600078931</v>
      </c>
      <c r="D314" s="63">
        <v>72744324</v>
      </c>
      <c r="E314" s="65" t="s">
        <v>662</v>
      </c>
      <c r="F314" s="66">
        <v>3111</v>
      </c>
      <c r="G314" s="77" t="s">
        <v>292</v>
      </c>
      <c r="H314" s="67" t="s">
        <v>272</v>
      </c>
      <c r="I314" s="423">
        <f t="shared" si="576"/>
        <v>0</v>
      </c>
      <c r="J314" s="418">
        <f t="shared" si="577"/>
        <v>0</v>
      </c>
      <c r="K314" s="418">
        <v>0</v>
      </c>
      <c r="L314" s="418">
        <v>0</v>
      </c>
      <c r="M314" s="418">
        <f t="shared" si="592"/>
        <v>0</v>
      </c>
      <c r="N314" s="418">
        <v>0</v>
      </c>
      <c r="O314" s="418">
        <v>0</v>
      </c>
      <c r="P314" s="668">
        <f t="shared" si="593"/>
        <v>0</v>
      </c>
      <c r="Q314" s="668">
        <f t="shared" si="594"/>
        <v>0</v>
      </c>
      <c r="R314" s="418">
        <v>0</v>
      </c>
      <c r="S314" s="419">
        <f t="shared" si="595"/>
        <v>0</v>
      </c>
      <c r="T314" s="420">
        <v>0</v>
      </c>
      <c r="U314" s="426">
        <v>0</v>
      </c>
      <c r="V314" s="428">
        <f t="shared" si="580"/>
        <v>0</v>
      </c>
      <c r="W314" s="421">
        <f t="shared" si="581"/>
        <v>0</v>
      </c>
      <c r="X314" s="16">
        <v>1297804</v>
      </c>
      <c r="Y314" s="16">
        <v>0</v>
      </c>
      <c r="Z314" s="16">
        <v>0</v>
      </c>
      <c r="AA314" s="16">
        <v>0</v>
      </c>
      <c r="AB314" s="421">
        <v>0</v>
      </c>
      <c r="AC314" s="16">
        <v>0</v>
      </c>
      <c r="AD314" s="16">
        <v>0</v>
      </c>
      <c r="AE314" s="16">
        <v>0</v>
      </c>
      <c r="AF314" s="421">
        <f t="shared" si="582"/>
        <v>1297804</v>
      </c>
      <c r="AG314" s="421">
        <f t="shared" si="583"/>
        <v>0</v>
      </c>
      <c r="AH314" s="421">
        <f t="shared" si="584"/>
        <v>1297804</v>
      </c>
      <c r="AI314" s="16">
        <v>0</v>
      </c>
      <c r="AJ314" s="16">
        <v>0</v>
      </c>
      <c r="AK314" s="421">
        <v>0</v>
      </c>
      <c r="AL314" s="16">
        <v>0</v>
      </c>
      <c r="AM314" s="16">
        <v>0</v>
      </c>
      <c r="AN314" s="16">
        <v>0</v>
      </c>
      <c r="AO314" s="421">
        <f t="shared" si="585"/>
        <v>0</v>
      </c>
      <c r="AP314" s="16">
        <v>0</v>
      </c>
      <c r="AQ314" s="421">
        <f t="shared" si="587"/>
        <v>0</v>
      </c>
      <c r="AR314" s="421">
        <f t="shared" si="685"/>
        <v>1297804</v>
      </c>
      <c r="AS314" s="421">
        <f t="shared" si="685"/>
        <v>0</v>
      </c>
      <c r="AT314" s="421">
        <f t="shared" si="588"/>
        <v>1297804</v>
      </c>
      <c r="AU314" s="68">
        <f t="shared" si="686"/>
        <v>438658</v>
      </c>
      <c r="AV314" s="68">
        <f>ROUND(AH314*1%,0)</f>
        <v>12978</v>
      </c>
      <c r="AW314" s="16">
        <v>0</v>
      </c>
      <c r="AX314" s="16">
        <v>0</v>
      </c>
      <c r="AY314" s="421">
        <f t="shared" si="589"/>
        <v>0</v>
      </c>
      <c r="AZ314" s="421">
        <f t="shared" si="590"/>
        <v>1749440</v>
      </c>
      <c r="BA314" s="13">
        <v>0</v>
      </c>
      <c r="BB314" s="13">
        <v>0</v>
      </c>
      <c r="BC314" s="13">
        <v>3.5</v>
      </c>
      <c r="BD314" s="422">
        <v>0</v>
      </c>
      <c r="BE314" s="422">
        <v>0</v>
      </c>
      <c r="BF314" s="422">
        <v>0</v>
      </c>
      <c r="BG314" s="422">
        <v>0</v>
      </c>
      <c r="BH314" s="422">
        <v>0</v>
      </c>
      <c r="BI314" s="422">
        <v>0</v>
      </c>
      <c r="BJ314" s="422">
        <v>0</v>
      </c>
      <c r="BK314" s="422">
        <f>BA314+BC314+BD314+BF314+BH314+BI314</f>
        <v>3.5</v>
      </c>
      <c r="BL314" s="422">
        <f>BB314+BE314+BG314+BJ314</f>
        <v>0</v>
      </c>
      <c r="BM314" s="424">
        <f t="shared" si="591"/>
        <v>3.5</v>
      </c>
      <c r="BN314" s="427">
        <f>I314+AZ314</f>
        <v>1749440</v>
      </c>
      <c r="BO314" s="421">
        <f>J314+AH314</f>
        <v>1297804</v>
      </c>
      <c r="BP314" s="421">
        <f t="shared" si="687"/>
        <v>1297804</v>
      </c>
      <c r="BQ314" s="421">
        <f t="shared" si="687"/>
        <v>0</v>
      </c>
      <c r="BR314" s="421">
        <f>M314+AQ314</f>
        <v>0</v>
      </c>
      <c r="BS314" s="421">
        <f t="shared" si="688"/>
        <v>0</v>
      </c>
      <c r="BT314" s="421">
        <f t="shared" si="688"/>
        <v>0</v>
      </c>
      <c r="BU314" s="421">
        <f t="shared" si="689"/>
        <v>438658</v>
      </c>
      <c r="BV314" s="421">
        <f t="shared" si="689"/>
        <v>12978</v>
      </c>
      <c r="BW314" s="421">
        <f>R314+AY314</f>
        <v>0</v>
      </c>
      <c r="BX314" s="422">
        <f>S314+BM314</f>
        <v>3.5</v>
      </c>
      <c r="BY314" s="422">
        <f t="shared" si="690"/>
        <v>3.5</v>
      </c>
      <c r="BZ314" s="611">
        <f t="shared" si="690"/>
        <v>0</v>
      </c>
      <c r="CA314" s="423"/>
      <c r="CB314" s="418"/>
      <c r="CC314" s="418"/>
      <c r="CD314" s="418"/>
      <c r="CE314" s="418"/>
      <c r="CF314" s="527"/>
    </row>
    <row r="315" spans="1:84" ht="14.1" customHeight="1" x14ac:dyDescent="0.2">
      <c r="A315" s="66">
        <v>63</v>
      </c>
      <c r="B315" s="63">
        <v>2403</v>
      </c>
      <c r="C315" s="64">
        <v>600078931</v>
      </c>
      <c r="D315" s="63">
        <v>72744324</v>
      </c>
      <c r="E315" s="65" t="s">
        <v>662</v>
      </c>
      <c r="F315" s="66">
        <v>3141</v>
      </c>
      <c r="G315" s="65" t="s">
        <v>295</v>
      </c>
      <c r="H315" s="67" t="s">
        <v>272</v>
      </c>
      <c r="I315" s="423">
        <f t="shared" si="576"/>
        <v>659256</v>
      </c>
      <c r="J315" s="418">
        <f t="shared" si="577"/>
        <v>486881</v>
      </c>
      <c r="K315" s="418">
        <v>0</v>
      </c>
      <c r="L315" s="924">
        <v>486881</v>
      </c>
      <c r="M315" s="418">
        <f>N315+O315</f>
        <v>0</v>
      </c>
      <c r="N315" s="205">
        <v>0</v>
      </c>
      <c r="O315" s="205">
        <v>0</v>
      </c>
      <c r="P315" s="668">
        <f t="shared" si="593"/>
        <v>164566</v>
      </c>
      <c r="Q315" s="668">
        <f t="shared" si="594"/>
        <v>4869</v>
      </c>
      <c r="R315" s="674">
        <v>2940</v>
      </c>
      <c r="S315" s="419">
        <f>T315+U315</f>
        <v>1.46</v>
      </c>
      <c r="T315" s="676">
        <v>0</v>
      </c>
      <c r="U315" s="909">
        <v>1.46</v>
      </c>
      <c r="V315" s="428">
        <f t="shared" si="580"/>
        <v>0</v>
      </c>
      <c r="W315" s="421">
        <f t="shared" si="581"/>
        <v>0</v>
      </c>
      <c r="X315" s="421">
        <v>0</v>
      </c>
      <c r="Y315" s="421">
        <v>0</v>
      </c>
      <c r="Z315" s="421">
        <v>0</v>
      </c>
      <c r="AA315" s="421">
        <v>0</v>
      </c>
      <c r="AB315" s="421">
        <v>0</v>
      </c>
      <c r="AC315" s="421">
        <v>0</v>
      </c>
      <c r="AD315" s="421">
        <v>0</v>
      </c>
      <c r="AE315" s="421">
        <v>0</v>
      </c>
      <c r="AF315" s="421">
        <f t="shared" si="582"/>
        <v>0</v>
      </c>
      <c r="AG315" s="421">
        <f t="shared" si="583"/>
        <v>0</v>
      </c>
      <c r="AH315" s="421">
        <f t="shared" si="584"/>
        <v>0</v>
      </c>
      <c r="AI315" s="421">
        <v>0</v>
      </c>
      <c r="AJ315" s="421">
        <v>0</v>
      </c>
      <c r="AK315" s="421">
        <v>0</v>
      </c>
      <c r="AL315" s="421">
        <v>0</v>
      </c>
      <c r="AM315" s="421">
        <v>0</v>
      </c>
      <c r="AN315" s="421">
        <v>0</v>
      </c>
      <c r="AO315" s="421">
        <f t="shared" si="585"/>
        <v>0</v>
      </c>
      <c r="AP315" s="421">
        <f t="shared" si="586"/>
        <v>0</v>
      </c>
      <c r="AQ315" s="421">
        <f t="shared" si="587"/>
        <v>0</v>
      </c>
      <c r="AR315" s="421">
        <f t="shared" si="685"/>
        <v>0</v>
      </c>
      <c r="AS315" s="421">
        <f t="shared" si="685"/>
        <v>0</v>
      </c>
      <c r="AT315" s="421">
        <f t="shared" si="588"/>
        <v>0</v>
      </c>
      <c r="AU315" s="68">
        <f t="shared" si="686"/>
        <v>0</v>
      </c>
      <c r="AV315" s="68">
        <f>ROUND(AH315*1%,0)</f>
        <v>0</v>
      </c>
      <c r="AW315" s="421">
        <v>0</v>
      </c>
      <c r="AX315" s="421">
        <v>0</v>
      </c>
      <c r="AY315" s="421">
        <f t="shared" si="589"/>
        <v>0</v>
      </c>
      <c r="AZ315" s="421">
        <f t="shared" si="590"/>
        <v>0</v>
      </c>
      <c r="BA315" s="422">
        <v>0</v>
      </c>
      <c r="BB315" s="422">
        <v>0</v>
      </c>
      <c r="BC315" s="422">
        <v>0</v>
      </c>
      <c r="BD315" s="422">
        <v>0</v>
      </c>
      <c r="BE315" s="422">
        <v>0</v>
      </c>
      <c r="BF315" s="422">
        <v>0</v>
      </c>
      <c r="BG315" s="422">
        <v>0</v>
      </c>
      <c r="BH315" s="422">
        <v>0</v>
      </c>
      <c r="BI315" s="422">
        <v>0</v>
      </c>
      <c r="BJ315" s="422">
        <v>0</v>
      </c>
      <c r="BK315" s="422">
        <f>BA315+BC315+BD315+BF315+BH315+BI315</f>
        <v>0</v>
      </c>
      <c r="BL315" s="422">
        <f>BB315+BE315+BG315+BJ315</f>
        <v>0</v>
      </c>
      <c r="BM315" s="424">
        <f t="shared" si="591"/>
        <v>0</v>
      </c>
      <c r="BN315" s="427">
        <f>I315+AZ315</f>
        <v>659256</v>
      </c>
      <c r="BO315" s="421">
        <f>J315+AH315</f>
        <v>486881</v>
      </c>
      <c r="BP315" s="421">
        <f t="shared" si="687"/>
        <v>0</v>
      </c>
      <c r="BQ315" s="421">
        <f t="shared" si="687"/>
        <v>486881</v>
      </c>
      <c r="BR315" s="421">
        <f>M315+AQ315</f>
        <v>0</v>
      </c>
      <c r="BS315" s="421">
        <f t="shared" si="688"/>
        <v>0</v>
      </c>
      <c r="BT315" s="421">
        <f t="shared" si="688"/>
        <v>0</v>
      </c>
      <c r="BU315" s="421">
        <f t="shared" si="689"/>
        <v>164566</v>
      </c>
      <c r="BV315" s="421">
        <f t="shared" si="689"/>
        <v>4869</v>
      </c>
      <c r="BW315" s="421">
        <f>R315+AY315</f>
        <v>2940</v>
      </c>
      <c r="BX315" s="422">
        <f>S315+BM315</f>
        <v>1.46</v>
      </c>
      <c r="BY315" s="422">
        <f t="shared" si="690"/>
        <v>0</v>
      </c>
      <c r="BZ315" s="611">
        <f t="shared" si="690"/>
        <v>1.46</v>
      </c>
      <c r="CA315" s="423"/>
      <c r="CB315" s="418"/>
      <c r="CC315" s="418"/>
      <c r="CD315" s="418"/>
      <c r="CE315" s="418"/>
      <c r="CF315" s="527"/>
    </row>
    <row r="316" spans="1:84" ht="14.1" customHeight="1" x14ac:dyDescent="0.2">
      <c r="A316" s="72">
        <v>63</v>
      </c>
      <c r="B316" s="69">
        <v>2403</v>
      </c>
      <c r="C316" s="70">
        <v>600078931</v>
      </c>
      <c r="D316" s="69">
        <v>72744324</v>
      </c>
      <c r="E316" s="71" t="s">
        <v>663</v>
      </c>
      <c r="F316" s="72"/>
      <c r="G316" s="71"/>
      <c r="H316" s="73"/>
      <c r="I316" s="538">
        <f t="shared" ref="I316:BU316" si="691">SUM(I313:I315)</f>
        <v>7503758</v>
      </c>
      <c r="J316" s="74">
        <f t="shared" si="691"/>
        <v>5547767</v>
      </c>
      <c r="K316" s="74">
        <f t="shared" si="691"/>
        <v>4590684</v>
      </c>
      <c r="L316" s="74">
        <f t="shared" si="691"/>
        <v>957083</v>
      </c>
      <c r="M316" s="74">
        <f t="shared" si="691"/>
        <v>0</v>
      </c>
      <c r="N316" s="74">
        <f t="shared" si="691"/>
        <v>0</v>
      </c>
      <c r="O316" s="74">
        <f t="shared" si="691"/>
        <v>0</v>
      </c>
      <c r="P316" s="74">
        <f t="shared" si="691"/>
        <v>1875145</v>
      </c>
      <c r="Q316" s="74">
        <f t="shared" si="691"/>
        <v>55478</v>
      </c>
      <c r="R316" s="74">
        <f t="shared" si="691"/>
        <v>25368</v>
      </c>
      <c r="S316" s="75">
        <f t="shared" si="691"/>
        <v>11.060099999999998</v>
      </c>
      <c r="T316" s="75">
        <f t="shared" si="691"/>
        <v>8</v>
      </c>
      <c r="U316" s="753">
        <f t="shared" si="691"/>
        <v>3.0600999999999998</v>
      </c>
      <c r="V316" s="538">
        <f t="shared" si="691"/>
        <v>0</v>
      </c>
      <c r="W316" s="74">
        <f t="shared" si="691"/>
        <v>0</v>
      </c>
      <c r="X316" s="74">
        <f t="shared" si="691"/>
        <v>1297804</v>
      </c>
      <c r="Y316" s="74">
        <f t="shared" si="691"/>
        <v>0</v>
      </c>
      <c r="Z316" s="74">
        <f t="shared" si="691"/>
        <v>0</v>
      </c>
      <c r="AA316" s="74">
        <f t="shared" si="691"/>
        <v>0</v>
      </c>
      <c r="AB316" s="74">
        <f t="shared" si="691"/>
        <v>0</v>
      </c>
      <c r="AC316" s="74">
        <f t="shared" si="691"/>
        <v>0</v>
      </c>
      <c r="AD316" s="74">
        <f t="shared" si="691"/>
        <v>0</v>
      </c>
      <c r="AE316" s="74">
        <f t="shared" si="691"/>
        <v>0</v>
      </c>
      <c r="AF316" s="74">
        <f t="shared" si="691"/>
        <v>1297804</v>
      </c>
      <c r="AG316" s="74">
        <f t="shared" si="691"/>
        <v>0</v>
      </c>
      <c r="AH316" s="74">
        <f t="shared" si="691"/>
        <v>1297804</v>
      </c>
      <c r="AI316" s="74">
        <f t="shared" si="691"/>
        <v>0</v>
      </c>
      <c r="AJ316" s="74">
        <f t="shared" si="691"/>
        <v>0</v>
      </c>
      <c r="AK316" s="74">
        <f t="shared" si="691"/>
        <v>0</v>
      </c>
      <c r="AL316" s="74">
        <f t="shared" si="691"/>
        <v>0</v>
      </c>
      <c r="AM316" s="74">
        <f t="shared" si="691"/>
        <v>0</v>
      </c>
      <c r="AN316" s="74">
        <f t="shared" si="691"/>
        <v>0</v>
      </c>
      <c r="AO316" s="74">
        <f t="shared" si="691"/>
        <v>0</v>
      </c>
      <c r="AP316" s="74">
        <f t="shared" si="691"/>
        <v>0</v>
      </c>
      <c r="AQ316" s="74">
        <f t="shared" si="691"/>
        <v>0</v>
      </c>
      <c r="AR316" s="74">
        <f t="shared" si="691"/>
        <v>1297804</v>
      </c>
      <c r="AS316" s="74">
        <f t="shared" si="691"/>
        <v>0</v>
      </c>
      <c r="AT316" s="74">
        <f t="shared" si="691"/>
        <v>1297804</v>
      </c>
      <c r="AU316" s="74">
        <f t="shared" si="691"/>
        <v>438658</v>
      </c>
      <c r="AV316" s="74">
        <f t="shared" si="691"/>
        <v>12978</v>
      </c>
      <c r="AW316" s="74">
        <f t="shared" si="691"/>
        <v>0</v>
      </c>
      <c r="AX316" s="74">
        <f t="shared" si="691"/>
        <v>0</v>
      </c>
      <c r="AY316" s="74">
        <f t="shared" si="691"/>
        <v>0</v>
      </c>
      <c r="AZ316" s="74">
        <f t="shared" si="691"/>
        <v>1749440</v>
      </c>
      <c r="BA316" s="75">
        <f t="shared" si="691"/>
        <v>0</v>
      </c>
      <c r="BB316" s="75">
        <f t="shared" si="691"/>
        <v>0</v>
      </c>
      <c r="BC316" s="75">
        <f t="shared" si="691"/>
        <v>3.5</v>
      </c>
      <c r="BD316" s="75">
        <f t="shared" si="691"/>
        <v>0</v>
      </c>
      <c r="BE316" s="75">
        <f t="shared" si="691"/>
        <v>0</v>
      </c>
      <c r="BF316" s="75">
        <f t="shared" si="691"/>
        <v>0</v>
      </c>
      <c r="BG316" s="75">
        <f t="shared" si="691"/>
        <v>0</v>
      </c>
      <c r="BH316" s="75">
        <f t="shared" si="691"/>
        <v>0</v>
      </c>
      <c r="BI316" s="75">
        <f t="shared" si="691"/>
        <v>0</v>
      </c>
      <c r="BJ316" s="75">
        <f t="shared" si="691"/>
        <v>0</v>
      </c>
      <c r="BK316" s="75">
        <f t="shared" si="691"/>
        <v>3.5</v>
      </c>
      <c r="BL316" s="75">
        <f t="shared" si="691"/>
        <v>0</v>
      </c>
      <c r="BM316" s="76">
        <f t="shared" si="691"/>
        <v>3.5</v>
      </c>
      <c r="BN316" s="549">
        <f t="shared" si="691"/>
        <v>9253198</v>
      </c>
      <c r="BO316" s="74">
        <f t="shared" si="691"/>
        <v>6845571</v>
      </c>
      <c r="BP316" s="74">
        <f t="shared" si="691"/>
        <v>5888488</v>
      </c>
      <c r="BQ316" s="74">
        <f t="shared" si="691"/>
        <v>957083</v>
      </c>
      <c r="BR316" s="74">
        <f t="shared" si="691"/>
        <v>0</v>
      </c>
      <c r="BS316" s="74">
        <f t="shared" si="691"/>
        <v>0</v>
      </c>
      <c r="BT316" s="74">
        <f t="shared" si="691"/>
        <v>0</v>
      </c>
      <c r="BU316" s="74">
        <f t="shared" si="691"/>
        <v>2313803</v>
      </c>
      <c r="BV316" s="74">
        <f t="shared" ref="BV316:CF316" si="692">SUM(BV313:BV315)</f>
        <v>68456</v>
      </c>
      <c r="BW316" s="74">
        <f t="shared" si="692"/>
        <v>25368</v>
      </c>
      <c r="BX316" s="75">
        <f t="shared" si="692"/>
        <v>14.560099999999998</v>
      </c>
      <c r="BY316" s="75">
        <f t="shared" si="692"/>
        <v>11.5</v>
      </c>
      <c r="BZ316" s="753">
        <f t="shared" si="692"/>
        <v>3.0600999999999998</v>
      </c>
      <c r="CA316" s="796">
        <f t="shared" si="692"/>
        <v>0</v>
      </c>
      <c r="CB316" s="789">
        <f t="shared" si="692"/>
        <v>0</v>
      </c>
      <c r="CC316" s="789">
        <f t="shared" si="692"/>
        <v>0</v>
      </c>
      <c r="CD316" s="789">
        <f t="shared" si="692"/>
        <v>0</v>
      </c>
      <c r="CE316" s="789">
        <f t="shared" si="692"/>
        <v>0</v>
      </c>
      <c r="CF316" s="793">
        <f t="shared" si="692"/>
        <v>0</v>
      </c>
    </row>
    <row r="317" spans="1:84" ht="14.1" customHeight="1" x14ac:dyDescent="0.2">
      <c r="A317" s="66">
        <v>64</v>
      </c>
      <c r="B317" s="63">
        <v>2458</v>
      </c>
      <c r="C317" s="64">
        <v>600079741</v>
      </c>
      <c r="D317" s="63">
        <v>72744243</v>
      </c>
      <c r="E317" s="65" t="s">
        <v>664</v>
      </c>
      <c r="F317" s="66">
        <v>3113</v>
      </c>
      <c r="G317" s="65" t="s">
        <v>294</v>
      </c>
      <c r="H317" s="67" t="s">
        <v>271</v>
      </c>
      <c r="I317" s="423">
        <f t="shared" si="576"/>
        <v>24577939</v>
      </c>
      <c r="J317" s="418">
        <f t="shared" ref="J317" si="693">K317+L317</f>
        <v>17995872</v>
      </c>
      <c r="K317" s="418">
        <v>16563661</v>
      </c>
      <c r="L317" s="418">
        <v>1432211</v>
      </c>
      <c r="M317" s="418">
        <f>N317+O317</f>
        <v>0</v>
      </c>
      <c r="N317" s="418">
        <v>0</v>
      </c>
      <c r="O317" s="418">
        <v>0</v>
      </c>
      <c r="P317" s="668">
        <f t="shared" si="593"/>
        <v>6082605</v>
      </c>
      <c r="Q317" s="668">
        <f t="shared" si="594"/>
        <v>179959</v>
      </c>
      <c r="R317" s="418">
        <v>319503</v>
      </c>
      <c r="S317" s="419">
        <f>T317+U317</f>
        <v>29.089500000000001</v>
      </c>
      <c r="T317" s="419">
        <v>24.870100000000001</v>
      </c>
      <c r="U317" s="426">
        <v>4.2194000000000003</v>
      </c>
      <c r="V317" s="428">
        <f t="shared" si="580"/>
        <v>-16000</v>
      </c>
      <c r="W317" s="421">
        <f t="shared" si="581"/>
        <v>0</v>
      </c>
      <c r="X317" s="421">
        <v>0</v>
      </c>
      <c r="Y317" s="421">
        <v>0</v>
      </c>
      <c r="Z317" s="421">
        <v>0</v>
      </c>
      <c r="AA317" s="421">
        <v>39720</v>
      </c>
      <c r="AB317" s="421">
        <v>0</v>
      </c>
      <c r="AC317" s="421">
        <v>0</v>
      </c>
      <c r="AD317" s="421">
        <v>0</v>
      </c>
      <c r="AE317" s="421">
        <v>0</v>
      </c>
      <c r="AF317" s="421">
        <f t="shared" si="582"/>
        <v>23720</v>
      </c>
      <c r="AG317" s="421">
        <f t="shared" si="583"/>
        <v>0</v>
      </c>
      <c r="AH317" s="421">
        <f t="shared" si="584"/>
        <v>23720</v>
      </c>
      <c r="AI317" s="421">
        <v>16000</v>
      </c>
      <c r="AJ317" s="421">
        <v>0</v>
      </c>
      <c r="AK317" s="421">
        <v>0</v>
      </c>
      <c r="AL317" s="421">
        <v>0</v>
      </c>
      <c r="AM317" s="421">
        <v>0</v>
      </c>
      <c r="AN317" s="421">
        <v>0</v>
      </c>
      <c r="AO317" s="421">
        <f t="shared" si="585"/>
        <v>16000</v>
      </c>
      <c r="AP317" s="421">
        <f t="shared" si="586"/>
        <v>0</v>
      </c>
      <c r="AQ317" s="421">
        <f t="shared" si="587"/>
        <v>16000</v>
      </c>
      <c r="AR317" s="421">
        <f t="shared" ref="AR317:AS321" si="694">AF317+AO317</f>
        <v>39720</v>
      </c>
      <c r="AS317" s="421">
        <f t="shared" si="694"/>
        <v>0</v>
      </c>
      <c r="AT317" s="421">
        <f t="shared" si="588"/>
        <v>39720</v>
      </c>
      <c r="AU317" s="68">
        <f t="shared" ref="AU317:AU321" si="695">ROUND((AH317+AI317+AJ317+AK317+AL317)*33.8%,0)</f>
        <v>13425</v>
      </c>
      <c r="AV317" s="68">
        <f>ROUND(AH317*1%,0)</f>
        <v>237</v>
      </c>
      <c r="AW317" s="421">
        <v>0</v>
      </c>
      <c r="AX317" s="421">
        <v>0</v>
      </c>
      <c r="AY317" s="421">
        <f t="shared" si="589"/>
        <v>0</v>
      </c>
      <c r="AZ317" s="421">
        <f t="shared" si="590"/>
        <v>53382</v>
      </c>
      <c r="BA317" s="422">
        <v>0</v>
      </c>
      <c r="BB317" s="422">
        <v>0</v>
      </c>
      <c r="BC317" s="422">
        <v>0</v>
      </c>
      <c r="BD317" s="422">
        <v>0</v>
      </c>
      <c r="BE317" s="422">
        <v>0</v>
      </c>
      <c r="BF317" s="422">
        <v>0</v>
      </c>
      <c r="BG317" s="422">
        <v>0</v>
      </c>
      <c r="BH317" s="422">
        <v>0.06</v>
      </c>
      <c r="BI317" s="422">
        <v>0</v>
      </c>
      <c r="BJ317" s="422">
        <v>0</v>
      </c>
      <c r="BK317" s="422">
        <f>BA317+BC317+BD317+BF317+BH317+BI317</f>
        <v>0.06</v>
      </c>
      <c r="BL317" s="422">
        <f>BB317+BE317+BG317+BJ317</f>
        <v>0</v>
      </c>
      <c r="BM317" s="424">
        <f t="shared" si="591"/>
        <v>0.06</v>
      </c>
      <c r="BN317" s="427">
        <f>I317+AZ317</f>
        <v>24631321</v>
      </c>
      <c r="BO317" s="421">
        <f>J317+AH317</f>
        <v>18019592</v>
      </c>
      <c r="BP317" s="421">
        <f t="shared" ref="BP317:BQ321" si="696">K317+AF317</f>
        <v>16587381</v>
      </c>
      <c r="BQ317" s="421">
        <f t="shared" si="696"/>
        <v>1432211</v>
      </c>
      <c r="BR317" s="421">
        <f>M317+AQ317</f>
        <v>16000</v>
      </c>
      <c r="BS317" s="421">
        <f t="shared" ref="BS317:BT321" si="697">N317+AO317</f>
        <v>16000</v>
      </c>
      <c r="BT317" s="421">
        <f t="shared" si="697"/>
        <v>0</v>
      </c>
      <c r="BU317" s="421">
        <f t="shared" ref="BU317:BV321" si="698">P317+AU317</f>
        <v>6096030</v>
      </c>
      <c r="BV317" s="421">
        <f t="shared" si="698"/>
        <v>180196</v>
      </c>
      <c r="BW317" s="421">
        <f>R317+AY317</f>
        <v>319503</v>
      </c>
      <c r="BX317" s="422">
        <f>S317+BM317</f>
        <v>29.1495</v>
      </c>
      <c r="BY317" s="422">
        <f t="shared" ref="BY317:BZ321" si="699">T317+BK317</f>
        <v>24.930099999999999</v>
      </c>
      <c r="BZ317" s="611">
        <f t="shared" si="699"/>
        <v>4.2194000000000003</v>
      </c>
      <c r="CA317" s="423"/>
      <c r="CB317" s="418"/>
      <c r="CC317" s="418"/>
      <c r="CD317" s="418"/>
      <c r="CE317" s="418"/>
      <c r="CF317" s="527"/>
    </row>
    <row r="318" spans="1:84" ht="14.1" customHeight="1" x14ac:dyDescent="0.2">
      <c r="A318" s="66">
        <v>64</v>
      </c>
      <c r="B318" s="63">
        <v>2458</v>
      </c>
      <c r="C318" s="64">
        <v>600079741</v>
      </c>
      <c r="D318" s="63">
        <v>72744243</v>
      </c>
      <c r="E318" s="65" t="s">
        <v>664</v>
      </c>
      <c r="F318" s="66">
        <v>3113</v>
      </c>
      <c r="G318" s="77" t="s">
        <v>292</v>
      </c>
      <c r="H318" s="67" t="s">
        <v>272</v>
      </c>
      <c r="I318" s="423">
        <f t="shared" si="576"/>
        <v>0</v>
      </c>
      <c r="J318" s="418">
        <f t="shared" si="577"/>
        <v>0</v>
      </c>
      <c r="K318" s="418">
        <v>0</v>
      </c>
      <c r="L318" s="418">
        <v>0</v>
      </c>
      <c r="M318" s="418">
        <f t="shared" si="592"/>
        <v>0</v>
      </c>
      <c r="N318" s="418">
        <v>0</v>
      </c>
      <c r="O318" s="418">
        <v>0</v>
      </c>
      <c r="P318" s="668">
        <f t="shared" si="593"/>
        <v>0</v>
      </c>
      <c r="Q318" s="668">
        <f t="shared" si="594"/>
        <v>0</v>
      </c>
      <c r="R318" s="418">
        <v>0</v>
      </c>
      <c r="S318" s="419">
        <f t="shared" si="595"/>
        <v>0</v>
      </c>
      <c r="T318" s="420">
        <v>0</v>
      </c>
      <c r="U318" s="426">
        <v>0</v>
      </c>
      <c r="V318" s="428">
        <f t="shared" si="580"/>
        <v>0</v>
      </c>
      <c r="W318" s="421">
        <f t="shared" si="581"/>
        <v>0</v>
      </c>
      <c r="X318" s="16">
        <v>1195638</v>
      </c>
      <c r="Y318" s="16">
        <v>0</v>
      </c>
      <c r="Z318" s="16">
        <v>0</v>
      </c>
      <c r="AA318" s="16">
        <v>0</v>
      </c>
      <c r="AB318" s="421">
        <v>0</v>
      </c>
      <c r="AC318" s="16">
        <v>0</v>
      </c>
      <c r="AD318" s="16">
        <v>0</v>
      </c>
      <c r="AE318" s="16">
        <v>0</v>
      </c>
      <c r="AF318" s="421">
        <f t="shared" si="582"/>
        <v>1195638</v>
      </c>
      <c r="AG318" s="421">
        <f t="shared" si="583"/>
        <v>0</v>
      </c>
      <c r="AH318" s="421">
        <f t="shared" si="584"/>
        <v>1195638</v>
      </c>
      <c r="AI318" s="16">
        <v>0</v>
      </c>
      <c r="AJ318" s="16">
        <v>0</v>
      </c>
      <c r="AK318" s="421">
        <v>0</v>
      </c>
      <c r="AL318" s="16">
        <v>0</v>
      </c>
      <c r="AM318" s="16">
        <v>0</v>
      </c>
      <c r="AN318" s="16">
        <v>0</v>
      </c>
      <c r="AO318" s="421">
        <f t="shared" si="585"/>
        <v>0</v>
      </c>
      <c r="AP318" s="16">
        <v>0</v>
      </c>
      <c r="AQ318" s="421">
        <f t="shared" si="587"/>
        <v>0</v>
      </c>
      <c r="AR318" s="421">
        <f t="shared" si="694"/>
        <v>1195638</v>
      </c>
      <c r="AS318" s="421">
        <f t="shared" si="694"/>
        <v>0</v>
      </c>
      <c r="AT318" s="421">
        <f t="shared" si="588"/>
        <v>1195638</v>
      </c>
      <c r="AU318" s="68">
        <f t="shared" si="695"/>
        <v>404126</v>
      </c>
      <c r="AV318" s="68">
        <f>ROUND(AH318*1%,0)</f>
        <v>11956</v>
      </c>
      <c r="AW318" s="16">
        <v>0</v>
      </c>
      <c r="AX318" s="16">
        <v>0</v>
      </c>
      <c r="AY318" s="421">
        <f t="shared" si="589"/>
        <v>0</v>
      </c>
      <c r="AZ318" s="421">
        <f t="shared" si="590"/>
        <v>1611720</v>
      </c>
      <c r="BA318" s="13">
        <v>0</v>
      </c>
      <c r="BB318" s="13">
        <v>0</v>
      </c>
      <c r="BC318" s="13">
        <v>3.33</v>
      </c>
      <c r="BD318" s="422">
        <v>0</v>
      </c>
      <c r="BE318" s="422">
        <v>0</v>
      </c>
      <c r="BF318" s="422">
        <v>0</v>
      </c>
      <c r="BG318" s="422">
        <v>0</v>
      </c>
      <c r="BH318" s="422">
        <v>0</v>
      </c>
      <c r="BI318" s="422">
        <v>0</v>
      </c>
      <c r="BJ318" s="422">
        <v>0</v>
      </c>
      <c r="BK318" s="422">
        <f>BA318+BC318+BD318+BF318+BH318+BI318</f>
        <v>3.33</v>
      </c>
      <c r="BL318" s="422">
        <f>BB318+BE318+BG318+BJ318</f>
        <v>0</v>
      </c>
      <c r="BM318" s="424">
        <f t="shared" si="591"/>
        <v>3.33</v>
      </c>
      <c r="BN318" s="427">
        <f>I318+AZ318</f>
        <v>1611720</v>
      </c>
      <c r="BO318" s="421">
        <f>J318+AH318</f>
        <v>1195638</v>
      </c>
      <c r="BP318" s="421">
        <f t="shared" si="696"/>
        <v>1195638</v>
      </c>
      <c r="BQ318" s="421">
        <f t="shared" si="696"/>
        <v>0</v>
      </c>
      <c r="BR318" s="421">
        <f>M318+AQ318</f>
        <v>0</v>
      </c>
      <c r="BS318" s="421">
        <f t="shared" si="697"/>
        <v>0</v>
      </c>
      <c r="BT318" s="421">
        <f t="shared" si="697"/>
        <v>0</v>
      </c>
      <c r="BU318" s="421">
        <f t="shared" si="698"/>
        <v>404126</v>
      </c>
      <c r="BV318" s="421">
        <f t="shared" si="698"/>
        <v>11956</v>
      </c>
      <c r="BW318" s="421">
        <f>R318+AY318</f>
        <v>0</v>
      </c>
      <c r="BX318" s="422">
        <f>S318+BM318</f>
        <v>3.33</v>
      </c>
      <c r="BY318" s="422">
        <f t="shared" si="699"/>
        <v>3.33</v>
      </c>
      <c r="BZ318" s="611">
        <f t="shared" si="699"/>
        <v>0</v>
      </c>
      <c r="CA318" s="423"/>
      <c r="CB318" s="418"/>
      <c r="CC318" s="418"/>
      <c r="CD318" s="418"/>
      <c r="CE318" s="418"/>
      <c r="CF318" s="527"/>
    </row>
    <row r="319" spans="1:84" ht="14.1" customHeight="1" x14ac:dyDescent="0.2">
      <c r="A319" s="66">
        <v>64</v>
      </c>
      <c r="B319" s="63">
        <v>2458</v>
      </c>
      <c r="C319" s="64">
        <v>600079741</v>
      </c>
      <c r="D319" s="63">
        <v>72744243</v>
      </c>
      <c r="E319" s="65" t="s">
        <v>664</v>
      </c>
      <c r="F319" s="66">
        <v>3141</v>
      </c>
      <c r="G319" s="65" t="s">
        <v>295</v>
      </c>
      <c r="H319" s="67" t="s">
        <v>272</v>
      </c>
      <c r="I319" s="423">
        <f t="shared" si="576"/>
        <v>1630129</v>
      </c>
      <c r="J319" s="418">
        <f t="shared" si="577"/>
        <v>1200528</v>
      </c>
      <c r="K319" s="418">
        <v>0</v>
      </c>
      <c r="L319" s="924">
        <v>1200528</v>
      </c>
      <c r="M319" s="418">
        <f>N319+O319</f>
        <v>0</v>
      </c>
      <c r="N319" s="205">
        <v>0</v>
      </c>
      <c r="O319" s="205">
        <v>0</v>
      </c>
      <c r="P319" s="668">
        <f t="shared" si="593"/>
        <v>405778</v>
      </c>
      <c r="Q319" s="668">
        <f t="shared" si="594"/>
        <v>12005</v>
      </c>
      <c r="R319" s="674">
        <v>11818</v>
      </c>
      <c r="S319" s="419">
        <f>T319+U319</f>
        <v>3.6</v>
      </c>
      <c r="T319" s="676">
        <v>0</v>
      </c>
      <c r="U319" s="909">
        <v>3.6</v>
      </c>
      <c r="V319" s="428">
        <f t="shared" si="580"/>
        <v>0</v>
      </c>
      <c r="W319" s="421">
        <f t="shared" si="581"/>
        <v>-9600</v>
      </c>
      <c r="X319" s="421">
        <v>0</v>
      </c>
      <c r="Y319" s="421">
        <v>0</v>
      </c>
      <c r="Z319" s="421">
        <v>0</v>
      </c>
      <c r="AA319" s="421">
        <v>0</v>
      </c>
      <c r="AB319" s="421">
        <v>0</v>
      </c>
      <c r="AC319" s="421">
        <v>0</v>
      </c>
      <c r="AD319" s="421">
        <v>0</v>
      </c>
      <c r="AE319" s="421">
        <v>0</v>
      </c>
      <c r="AF319" s="421">
        <f t="shared" si="582"/>
        <v>0</v>
      </c>
      <c r="AG319" s="421">
        <f t="shared" si="583"/>
        <v>-9600</v>
      </c>
      <c r="AH319" s="421">
        <f t="shared" si="584"/>
        <v>-9600</v>
      </c>
      <c r="AI319" s="421">
        <v>0</v>
      </c>
      <c r="AJ319" s="421">
        <v>9600</v>
      </c>
      <c r="AK319" s="421">
        <v>0</v>
      </c>
      <c r="AL319" s="421">
        <v>0</v>
      </c>
      <c r="AM319" s="421">
        <v>0</v>
      </c>
      <c r="AN319" s="421">
        <v>0</v>
      </c>
      <c r="AO319" s="421">
        <f t="shared" si="585"/>
        <v>0</v>
      </c>
      <c r="AP319" s="421">
        <f t="shared" si="586"/>
        <v>9600</v>
      </c>
      <c r="AQ319" s="421">
        <f t="shared" si="587"/>
        <v>9600</v>
      </c>
      <c r="AR319" s="421">
        <f t="shared" si="694"/>
        <v>0</v>
      </c>
      <c r="AS319" s="421">
        <f t="shared" si="694"/>
        <v>0</v>
      </c>
      <c r="AT319" s="421">
        <f t="shared" si="588"/>
        <v>0</v>
      </c>
      <c r="AU319" s="68">
        <f t="shared" si="695"/>
        <v>0</v>
      </c>
      <c r="AV319" s="68">
        <f>ROUND(AH319*1%,0)</f>
        <v>-96</v>
      </c>
      <c r="AW319" s="421">
        <v>0</v>
      </c>
      <c r="AX319" s="421">
        <v>0</v>
      </c>
      <c r="AY319" s="421">
        <f t="shared" si="589"/>
        <v>0</v>
      </c>
      <c r="AZ319" s="421">
        <f t="shared" si="590"/>
        <v>-96</v>
      </c>
      <c r="BA319" s="422">
        <v>0</v>
      </c>
      <c r="BB319" s="422">
        <v>0</v>
      </c>
      <c r="BC319" s="422">
        <v>0</v>
      </c>
      <c r="BD319" s="422">
        <v>0</v>
      </c>
      <c r="BE319" s="422">
        <v>0</v>
      </c>
      <c r="BF319" s="422">
        <v>0</v>
      </c>
      <c r="BG319" s="422">
        <v>0</v>
      </c>
      <c r="BH319" s="422">
        <v>0</v>
      </c>
      <c r="BI319" s="422">
        <v>0</v>
      </c>
      <c r="BJ319" s="422">
        <v>0</v>
      </c>
      <c r="BK319" s="422">
        <f>BA319+BC319+BD319+BF319+BH319+BI319</f>
        <v>0</v>
      </c>
      <c r="BL319" s="422">
        <f>BB319+BE319+BG319+BJ319</f>
        <v>0</v>
      </c>
      <c r="BM319" s="424">
        <f t="shared" si="591"/>
        <v>0</v>
      </c>
      <c r="BN319" s="427">
        <f>I319+AZ319</f>
        <v>1630033</v>
      </c>
      <c r="BO319" s="421">
        <f>J319+AH319</f>
        <v>1190928</v>
      </c>
      <c r="BP319" s="421">
        <f t="shared" si="696"/>
        <v>0</v>
      </c>
      <c r="BQ319" s="421">
        <f t="shared" si="696"/>
        <v>1190928</v>
      </c>
      <c r="BR319" s="421">
        <f>M319+AQ319</f>
        <v>9600</v>
      </c>
      <c r="BS319" s="421">
        <f t="shared" si="697"/>
        <v>0</v>
      </c>
      <c r="BT319" s="421">
        <f t="shared" si="697"/>
        <v>9600</v>
      </c>
      <c r="BU319" s="421">
        <f t="shared" si="698"/>
        <v>405778</v>
      </c>
      <c r="BV319" s="421">
        <f t="shared" si="698"/>
        <v>11909</v>
      </c>
      <c r="BW319" s="421">
        <f>R319+AY319</f>
        <v>11818</v>
      </c>
      <c r="BX319" s="422">
        <f>S319+BM319</f>
        <v>3.6</v>
      </c>
      <c r="BY319" s="422">
        <f t="shared" si="699"/>
        <v>0</v>
      </c>
      <c r="BZ319" s="611">
        <f t="shared" si="699"/>
        <v>3.6</v>
      </c>
      <c r="CA319" s="423"/>
      <c r="CB319" s="418"/>
      <c r="CC319" s="418"/>
      <c r="CD319" s="418"/>
      <c r="CE319" s="418"/>
      <c r="CF319" s="527"/>
    </row>
    <row r="320" spans="1:84" ht="14.1" customHeight="1" x14ac:dyDescent="0.2">
      <c r="A320" s="66">
        <v>64</v>
      </c>
      <c r="B320" s="63">
        <v>2458</v>
      </c>
      <c r="C320" s="64">
        <v>600079741</v>
      </c>
      <c r="D320" s="63">
        <v>72744243</v>
      </c>
      <c r="E320" s="65" t="s">
        <v>664</v>
      </c>
      <c r="F320" s="66">
        <v>3143</v>
      </c>
      <c r="G320" s="77" t="s">
        <v>596</v>
      </c>
      <c r="H320" s="67" t="s">
        <v>271</v>
      </c>
      <c r="I320" s="423">
        <f t="shared" si="576"/>
        <v>2878945</v>
      </c>
      <c r="J320" s="418">
        <f t="shared" si="577"/>
        <v>2135716</v>
      </c>
      <c r="K320" s="418">
        <v>2135716</v>
      </c>
      <c r="L320" s="418">
        <v>0</v>
      </c>
      <c r="M320" s="418">
        <f t="shared" si="592"/>
        <v>0</v>
      </c>
      <c r="N320" s="418">
        <v>0</v>
      </c>
      <c r="O320" s="418">
        <v>0</v>
      </c>
      <c r="P320" s="668">
        <f t="shared" si="593"/>
        <v>721872</v>
      </c>
      <c r="Q320" s="668">
        <f t="shared" si="594"/>
        <v>21357</v>
      </c>
      <c r="R320" s="418">
        <v>0</v>
      </c>
      <c r="S320" s="419">
        <f t="shared" si="595"/>
        <v>4.4451000000000001</v>
      </c>
      <c r="T320" s="419">
        <v>4.4451000000000001</v>
      </c>
      <c r="U320" s="426">
        <v>0</v>
      </c>
      <c r="V320" s="428">
        <f t="shared" si="580"/>
        <v>0</v>
      </c>
      <c r="W320" s="421">
        <f t="shared" si="581"/>
        <v>0</v>
      </c>
      <c r="X320" s="421">
        <v>0</v>
      </c>
      <c r="Y320" s="421">
        <v>0</v>
      </c>
      <c r="Z320" s="421">
        <v>0</v>
      </c>
      <c r="AA320" s="421">
        <v>0</v>
      </c>
      <c r="AB320" s="421">
        <v>0</v>
      </c>
      <c r="AC320" s="421">
        <v>0</v>
      </c>
      <c r="AD320" s="421">
        <v>0</v>
      </c>
      <c r="AE320" s="421">
        <v>0</v>
      </c>
      <c r="AF320" s="421">
        <f t="shared" si="582"/>
        <v>0</v>
      </c>
      <c r="AG320" s="421">
        <f t="shared" si="583"/>
        <v>0</v>
      </c>
      <c r="AH320" s="421">
        <f t="shared" si="584"/>
        <v>0</v>
      </c>
      <c r="AI320" s="421">
        <v>0</v>
      </c>
      <c r="AJ320" s="421">
        <v>0</v>
      </c>
      <c r="AK320" s="421">
        <v>0</v>
      </c>
      <c r="AL320" s="421">
        <v>0</v>
      </c>
      <c r="AM320" s="421">
        <v>0</v>
      </c>
      <c r="AN320" s="421">
        <v>0</v>
      </c>
      <c r="AO320" s="421">
        <f t="shared" si="585"/>
        <v>0</v>
      </c>
      <c r="AP320" s="421">
        <f t="shared" si="586"/>
        <v>0</v>
      </c>
      <c r="AQ320" s="421">
        <f t="shared" si="587"/>
        <v>0</v>
      </c>
      <c r="AR320" s="421">
        <f t="shared" si="694"/>
        <v>0</v>
      </c>
      <c r="AS320" s="421">
        <f t="shared" si="694"/>
        <v>0</v>
      </c>
      <c r="AT320" s="421">
        <f t="shared" si="588"/>
        <v>0</v>
      </c>
      <c r="AU320" s="68">
        <f t="shared" si="695"/>
        <v>0</v>
      </c>
      <c r="AV320" s="68">
        <f>ROUND(AH320*1%,0)</f>
        <v>0</v>
      </c>
      <c r="AW320" s="421">
        <v>0</v>
      </c>
      <c r="AX320" s="421">
        <v>0</v>
      </c>
      <c r="AY320" s="421">
        <f t="shared" si="589"/>
        <v>0</v>
      </c>
      <c r="AZ320" s="421">
        <f t="shared" si="590"/>
        <v>0</v>
      </c>
      <c r="BA320" s="422">
        <v>0</v>
      </c>
      <c r="BB320" s="422">
        <v>0</v>
      </c>
      <c r="BC320" s="422">
        <v>0</v>
      </c>
      <c r="BD320" s="422">
        <v>0</v>
      </c>
      <c r="BE320" s="422">
        <v>0</v>
      </c>
      <c r="BF320" s="422">
        <v>0</v>
      </c>
      <c r="BG320" s="422">
        <v>0</v>
      </c>
      <c r="BH320" s="422">
        <v>0</v>
      </c>
      <c r="BI320" s="422">
        <v>0</v>
      </c>
      <c r="BJ320" s="422">
        <v>0</v>
      </c>
      <c r="BK320" s="422">
        <f>BA320+BC320+BD320+BF320+BH320+BI320</f>
        <v>0</v>
      </c>
      <c r="BL320" s="422">
        <f>BB320+BE320+BG320+BJ320</f>
        <v>0</v>
      </c>
      <c r="BM320" s="424">
        <f t="shared" si="591"/>
        <v>0</v>
      </c>
      <c r="BN320" s="427">
        <f>I320+AZ320</f>
        <v>2878945</v>
      </c>
      <c r="BO320" s="421">
        <f>J320+AH320</f>
        <v>2135716</v>
      </c>
      <c r="BP320" s="421">
        <f t="shared" si="696"/>
        <v>2135716</v>
      </c>
      <c r="BQ320" s="421">
        <f t="shared" si="696"/>
        <v>0</v>
      </c>
      <c r="BR320" s="421">
        <f>M320+AQ320</f>
        <v>0</v>
      </c>
      <c r="BS320" s="421">
        <f t="shared" si="697"/>
        <v>0</v>
      </c>
      <c r="BT320" s="421">
        <f t="shared" si="697"/>
        <v>0</v>
      </c>
      <c r="BU320" s="421">
        <f t="shared" si="698"/>
        <v>721872</v>
      </c>
      <c r="BV320" s="421">
        <f t="shared" si="698"/>
        <v>21357</v>
      </c>
      <c r="BW320" s="421">
        <f>R320+AY320</f>
        <v>0</v>
      </c>
      <c r="BX320" s="422">
        <f>S320+BM320</f>
        <v>4.4451000000000001</v>
      </c>
      <c r="BY320" s="422">
        <f t="shared" si="699"/>
        <v>4.4451000000000001</v>
      </c>
      <c r="BZ320" s="611">
        <f t="shared" si="699"/>
        <v>0</v>
      </c>
      <c r="CA320" s="423"/>
      <c r="CB320" s="418"/>
      <c r="CC320" s="418"/>
      <c r="CD320" s="418"/>
      <c r="CE320" s="418"/>
      <c r="CF320" s="527"/>
    </row>
    <row r="321" spans="1:84" ht="14.1" customHeight="1" x14ac:dyDescent="0.2">
      <c r="A321" s="66">
        <v>64</v>
      </c>
      <c r="B321" s="63">
        <v>2458</v>
      </c>
      <c r="C321" s="64">
        <v>600079741</v>
      </c>
      <c r="D321" s="63">
        <v>72744243</v>
      </c>
      <c r="E321" s="65" t="s">
        <v>664</v>
      </c>
      <c r="F321" s="66">
        <v>3143</v>
      </c>
      <c r="G321" s="77" t="s">
        <v>597</v>
      </c>
      <c r="H321" s="67" t="s">
        <v>272</v>
      </c>
      <c r="I321" s="423">
        <f t="shared" si="576"/>
        <v>64546</v>
      </c>
      <c r="J321" s="418">
        <f t="shared" si="577"/>
        <v>46200</v>
      </c>
      <c r="K321" s="418">
        <v>0</v>
      </c>
      <c r="L321" s="674">
        <v>46200</v>
      </c>
      <c r="M321" s="418">
        <f t="shared" si="592"/>
        <v>0</v>
      </c>
      <c r="N321" s="418">
        <v>0</v>
      </c>
      <c r="O321" s="418">
        <v>0</v>
      </c>
      <c r="P321" s="668">
        <f t="shared" si="593"/>
        <v>15616</v>
      </c>
      <c r="Q321" s="668">
        <f t="shared" si="594"/>
        <v>462</v>
      </c>
      <c r="R321" s="675">
        <v>2268</v>
      </c>
      <c r="S321" s="419">
        <f t="shared" si="595"/>
        <v>0.17499999999999999</v>
      </c>
      <c r="T321" s="679">
        <v>0</v>
      </c>
      <c r="U321" s="909">
        <v>0.17499999999999999</v>
      </c>
      <c r="V321" s="428">
        <f t="shared" si="580"/>
        <v>0</v>
      </c>
      <c r="W321" s="421">
        <f t="shared" si="581"/>
        <v>0</v>
      </c>
      <c r="X321" s="421">
        <v>0</v>
      </c>
      <c r="Y321" s="421">
        <v>0</v>
      </c>
      <c r="Z321" s="421">
        <v>0</v>
      </c>
      <c r="AA321" s="421">
        <v>0</v>
      </c>
      <c r="AB321" s="421">
        <v>0</v>
      </c>
      <c r="AC321" s="421">
        <v>0</v>
      </c>
      <c r="AD321" s="421">
        <v>0</v>
      </c>
      <c r="AE321" s="421">
        <v>0</v>
      </c>
      <c r="AF321" s="421">
        <f t="shared" si="582"/>
        <v>0</v>
      </c>
      <c r="AG321" s="421">
        <f t="shared" si="583"/>
        <v>0</v>
      </c>
      <c r="AH321" s="421">
        <f t="shared" si="584"/>
        <v>0</v>
      </c>
      <c r="AI321" s="421">
        <v>0</v>
      </c>
      <c r="AJ321" s="421">
        <v>0</v>
      </c>
      <c r="AK321" s="421">
        <v>0</v>
      </c>
      <c r="AL321" s="421">
        <v>0</v>
      </c>
      <c r="AM321" s="421">
        <v>0</v>
      </c>
      <c r="AN321" s="421">
        <v>0</v>
      </c>
      <c r="AO321" s="421">
        <f t="shared" si="585"/>
        <v>0</v>
      </c>
      <c r="AP321" s="421">
        <f t="shared" si="586"/>
        <v>0</v>
      </c>
      <c r="AQ321" s="421">
        <f t="shared" si="587"/>
        <v>0</v>
      </c>
      <c r="AR321" s="421">
        <f t="shared" si="694"/>
        <v>0</v>
      </c>
      <c r="AS321" s="421">
        <f t="shared" si="694"/>
        <v>0</v>
      </c>
      <c r="AT321" s="421">
        <f t="shared" si="588"/>
        <v>0</v>
      </c>
      <c r="AU321" s="68">
        <f t="shared" si="695"/>
        <v>0</v>
      </c>
      <c r="AV321" s="68">
        <f>ROUND(AH321*1%,0)</f>
        <v>0</v>
      </c>
      <c r="AW321" s="421">
        <v>0</v>
      </c>
      <c r="AX321" s="421">
        <v>0</v>
      </c>
      <c r="AY321" s="421">
        <f t="shared" si="589"/>
        <v>0</v>
      </c>
      <c r="AZ321" s="421">
        <f t="shared" si="590"/>
        <v>0</v>
      </c>
      <c r="BA321" s="422">
        <v>0</v>
      </c>
      <c r="BB321" s="422">
        <v>0</v>
      </c>
      <c r="BC321" s="422">
        <v>0</v>
      </c>
      <c r="BD321" s="422">
        <v>0</v>
      </c>
      <c r="BE321" s="422">
        <v>0</v>
      </c>
      <c r="BF321" s="422">
        <v>0</v>
      </c>
      <c r="BG321" s="422">
        <v>0</v>
      </c>
      <c r="BH321" s="422">
        <v>0</v>
      </c>
      <c r="BI321" s="422">
        <v>0</v>
      </c>
      <c r="BJ321" s="422">
        <v>0</v>
      </c>
      <c r="BK321" s="422">
        <f>BA321+BC321+BD321+BF321+BH321+BI321</f>
        <v>0</v>
      </c>
      <c r="BL321" s="422">
        <f>BB321+BE321+BG321+BJ321</f>
        <v>0</v>
      </c>
      <c r="BM321" s="424">
        <f t="shared" si="591"/>
        <v>0</v>
      </c>
      <c r="BN321" s="427">
        <f>I321+AZ321</f>
        <v>64546</v>
      </c>
      <c r="BO321" s="421">
        <f>J321+AH321</f>
        <v>46200</v>
      </c>
      <c r="BP321" s="421">
        <f t="shared" si="696"/>
        <v>0</v>
      </c>
      <c r="BQ321" s="421">
        <f t="shared" si="696"/>
        <v>46200</v>
      </c>
      <c r="BR321" s="421">
        <f>M321+AQ321</f>
        <v>0</v>
      </c>
      <c r="BS321" s="421">
        <f t="shared" si="697"/>
        <v>0</v>
      </c>
      <c r="BT321" s="421">
        <f t="shared" si="697"/>
        <v>0</v>
      </c>
      <c r="BU321" s="421">
        <f t="shared" si="698"/>
        <v>15616</v>
      </c>
      <c r="BV321" s="421">
        <f t="shared" si="698"/>
        <v>462</v>
      </c>
      <c r="BW321" s="421">
        <f>R321+AY321</f>
        <v>2268</v>
      </c>
      <c r="BX321" s="422">
        <f>S321+BM321</f>
        <v>0.17499999999999999</v>
      </c>
      <c r="BY321" s="422">
        <f t="shared" si="699"/>
        <v>0</v>
      </c>
      <c r="BZ321" s="611">
        <f t="shared" si="699"/>
        <v>0.17499999999999999</v>
      </c>
      <c r="CA321" s="423"/>
      <c r="CB321" s="418"/>
      <c r="CC321" s="418"/>
      <c r="CD321" s="418"/>
      <c r="CE321" s="418"/>
      <c r="CF321" s="527"/>
    </row>
    <row r="322" spans="1:84" ht="14.1" customHeight="1" x14ac:dyDescent="0.2">
      <c r="A322" s="72">
        <v>64</v>
      </c>
      <c r="B322" s="69">
        <v>2458</v>
      </c>
      <c r="C322" s="70">
        <v>600079741</v>
      </c>
      <c r="D322" s="69">
        <v>72744243</v>
      </c>
      <c r="E322" s="71" t="s">
        <v>665</v>
      </c>
      <c r="F322" s="72"/>
      <c r="G322" s="71"/>
      <c r="H322" s="73"/>
      <c r="I322" s="538">
        <f t="shared" ref="I322:BU322" si="700">SUM(I317:I321)</f>
        <v>29151559</v>
      </c>
      <c r="J322" s="74">
        <f t="shared" si="700"/>
        <v>21378316</v>
      </c>
      <c r="K322" s="74">
        <f>SUM(K317:K321)</f>
        <v>18699377</v>
      </c>
      <c r="L322" s="74">
        <f>SUM(L317:L321)</f>
        <v>2678939</v>
      </c>
      <c r="M322" s="74">
        <f>SUM(M317:M321)</f>
        <v>0</v>
      </c>
      <c r="N322" s="74">
        <f>SUM(N317:N321)</f>
        <v>0</v>
      </c>
      <c r="O322" s="74">
        <f>SUM(O317:O321)</f>
        <v>0</v>
      </c>
      <c r="P322" s="74">
        <f t="shared" ref="P322:Q322" si="701">SUM(P317:P321)</f>
        <v>7225871</v>
      </c>
      <c r="Q322" s="74">
        <f t="shared" si="701"/>
        <v>213783</v>
      </c>
      <c r="R322" s="74">
        <f>SUM(R317:R321)</f>
        <v>333589</v>
      </c>
      <c r="S322" s="75">
        <f>SUM(S317:S321)</f>
        <v>37.309600000000003</v>
      </c>
      <c r="T322" s="75">
        <f>SUM(T317:T321)</f>
        <v>29.315200000000001</v>
      </c>
      <c r="U322" s="753">
        <f>SUM(U317:U321)</f>
        <v>7.9943999999999997</v>
      </c>
      <c r="V322" s="538">
        <f t="shared" si="700"/>
        <v>-16000</v>
      </c>
      <c r="W322" s="74">
        <f t="shared" si="700"/>
        <v>-9600</v>
      </c>
      <c r="X322" s="74">
        <f t="shared" si="700"/>
        <v>1195638</v>
      </c>
      <c r="Y322" s="74">
        <f t="shared" si="700"/>
        <v>0</v>
      </c>
      <c r="Z322" s="74">
        <f t="shared" si="700"/>
        <v>0</v>
      </c>
      <c r="AA322" s="74">
        <f t="shared" si="700"/>
        <v>39720</v>
      </c>
      <c r="AB322" s="74">
        <f t="shared" si="700"/>
        <v>0</v>
      </c>
      <c r="AC322" s="74">
        <f t="shared" si="700"/>
        <v>0</v>
      </c>
      <c r="AD322" s="74">
        <f t="shared" si="700"/>
        <v>0</v>
      </c>
      <c r="AE322" s="74">
        <f t="shared" si="700"/>
        <v>0</v>
      </c>
      <c r="AF322" s="74">
        <f t="shared" si="700"/>
        <v>1219358</v>
      </c>
      <c r="AG322" s="74">
        <f t="shared" si="700"/>
        <v>-9600</v>
      </c>
      <c r="AH322" s="74">
        <f t="shared" si="700"/>
        <v>1209758</v>
      </c>
      <c r="AI322" s="74">
        <f t="shared" si="700"/>
        <v>16000</v>
      </c>
      <c r="AJ322" s="74">
        <f t="shared" si="700"/>
        <v>9600</v>
      </c>
      <c r="AK322" s="74">
        <f t="shared" si="700"/>
        <v>0</v>
      </c>
      <c r="AL322" s="74">
        <f t="shared" si="700"/>
        <v>0</v>
      </c>
      <c r="AM322" s="74">
        <f t="shared" si="700"/>
        <v>0</v>
      </c>
      <c r="AN322" s="74">
        <f t="shared" si="700"/>
        <v>0</v>
      </c>
      <c r="AO322" s="74">
        <f t="shared" si="700"/>
        <v>16000</v>
      </c>
      <c r="AP322" s="74">
        <f t="shared" si="700"/>
        <v>9600</v>
      </c>
      <c r="AQ322" s="74">
        <f t="shared" si="700"/>
        <v>25600</v>
      </c>
      <c r="AR322" s="74">
        <f t="shared" si="700"/>
        <v>1235358</v>
      </c>
      <c r="AS322" s="74">
        <f t="shared" si="700"/>
        <v>0</v>
      </c>
      <c r="AT322" s="74">
        <f t="shared" si="700"/>
        <v>1235358</v>
      </c>
      <c r="AU322" s="74">
        <f t="shared" si="700"/>
        <v>417551</v>
      </c>
      <c r="AV322" s="74">
        <f t="shared" si="700"/>
        <v>12097</v>
      </c>
      <c r="AW322" s="74">
        <f t="shared" si="700"/>
        <v>0</v>
      </c>
      <c r="AX322" s="74">
        <f t="shared" si="700"/>
        <v>0</v>
      </c>
      <c r="AY322" s="74">
        <f t="shared" si="700"/>
        <v>0</v>
      </c>
      <c r="AZ322" s="74">
        <f t="shared" si="700"/>
        <v>1665006</v>
      </c>
      <c r="BA322" s="75">
        <f t="shared" si="700"/>
        <v>0</v>
      </c>
      <c r="BB322" s="75">
        <f t="shared" si="700"/>
        <v>0</v>
      </c>
      <c r="BC322" s="75">
        <f t="shared" si="700"/>
        <v>3.33</v>
      </c>
      <c r="BD322" s="75">
        <f t="shared" si="700"/>
        <v>0</v>
      </c>
      <c r="BE322" s="75">
        <f t="shared" si="700"/>
        <v>0</v>
      </c>
      <c r="BF322" s="75">
        <f t="shared" si="700"/>
        <v>0</v>
      </c>
      <c r="BG322" s="75">
        <f t="shared" si="700"/>
        <v>0</v>
      </c>
      <c r="BH322" s="75">
        <f t="shared" si="700"/>
        <v>0.06</v>
      </c>
      <c r="BI322" s="75">
        <f t="shared" si="700"/>
        <v>0</v>
      </c>
      <c r="BJ322" s="75">
        <f t="shared" si="700"/>
        <v>0</v>
      </c>
      <c r="BK322" s="75">
        <f t="shared" si="700"/>
        <v>3.39</v>
      </c>
      <c r="BL322" s="75">
        <f t="shared" si="700"/>
        <v>0</v>
      </c>
      <c r="BM322" s="76">
        <f t="shared" si="700"/>
        <v>3.39</v>
      </c>
      <c r="BN322" s="549">
        <f t="shared" si="700"/>
        <v>30816565</v>
      </c>
      <c r="BO322" s="74">
        <f t="shared" si="700"/>
        <v>22588074</v>
      </c>
      <c r="BP322" s="74">
        <f t="shared" si="700"/>
        <v>19918735</v>
      </c>
      <c r="BQ322" s="74">
        <f t="shared" si="700"/>
        <v>2669339</v>
      </c>
      <c r="BR322" s="74">
        <f t="shared" si="700"/>
        <v>25600</v>
      </c>
      <c r="BS322" s="74">
        <f t="shared" si="700"/>
        <v>16000</v>
      </c>
      <c r="BT322" s="74">
        <f t="shared" si="700"/>
        <v>9600</v>
      </c>
      <c r="BU322" s="74">
        <f t="shared" si="700"/>
        <v>7643422</v>
      </c>
      <c r="BV322" s="74">
        <f t="shared" ref="BV322:CF322" si="702">SUM(BV317:BV321)</f>
        <v>225880</v>
      </c>
      <c r="BW322" s="74">
        <f t="shared" si="702"/>
        <v>333589</v>
      </c>
      <c r="BX322" s="75">
        <f t="shared" si="702"/>
        <v>40.699600000000004</v>
      </c>
      <c r="BY322" s="75">
        <f t="shared" si="702"/>
        <v>32.705200000000005</v>
      </c>
      <c r="BZ322" s="753">
        <f t="shared" si="702"/>
        <v>7.9943999999999997</v>
      </c>
      <c r="CA322" s="796">
        <f t="shared" si="702"/>
        <v>0</v>
      </c>
      <c r="CB322" s="789">
        <f t="shared" si="702"/>
        <v>0</v>
      </c>
      <c r="CC322" s="789">
        <f t="shared" si="702"/>
        <v>0</v>
      </c>
      <c r="CD322" s="789">
        <f t="shared" si="702"/>
        <v>0</v>
      </c>
      <c r="CE322" s="789">
        <f t="shared" si="702"/>
        <v>0</v>
      </c>
      <c r="CF322" s="793">
        <f t="shared" si="702"/>
        <v>0</v>
      </c>
    </row>
    <row r="323" spans="1:84" ht="14.1" customHeight="1" x14ac:dyDescent="0.2">
      <c r="A323" s="66">
        <v>65</v>
      </c>
      <c r="B323" s="63">
        <v>2316</v>
      </c>
      <c r="C323" s="64">
        <v>600080439</v>
      </c>
      <c r="D323" s="63">
        <v>70983224</v>
      </c>
      <c r="E323" s="65" t="s">
        <v>666</v>
      </c>
      <c r="F323" s="66">
        <v>3233</v>
      </c>
      <c r="G323" s="65" t="s">
        <v>298</v>
      </c>
      <c r="H323" s="67" t="s">
        <v>272</v>
      </c>
      <c r="I323" s="423">
        <f t="shared" si="576"/>
        <v>2568183</v>
      </c>
      <c r="J323" s="418">
        <f t="shared" si="577"/>
        <v>1903585</v>
      </c>
      <c r="K323" s="418">
        <v>1629006</v>
      </c>
      <c r="L323" s="418">
        <v>274579</v>
      </c>
      <c r="M323" s="418">
        <f t="shared" si="592"/>
        <v>0</v>
      </c>
      <c r="N323" s="418">
        <v>0</v>
      </c>
      <c r="O323" s="418">
        <v>0</v>
      </c>
      <c r="P323" s="668">
        <f t="shared" si="593"/>
        <v>643412</v>
      </c>
      <c r="Q323" s="668">
        <f t="shared" si="594"/>
        <v>19036</v>
      </c>
      <c r="R323" s="418">
        <v>2150</v>
      </c>
      <c r="S323" s="419">
        <f t="shared" si="595"/>
        <v>3.83</v>
      </c>
      <c r="T323" s="420">
        <v>2.95</v>
      </c>
      <c r="U323" s="426">
        <v>0.88</v>
      </c>
      <c r="V323" s="428">
        <f t="shared" si="580"/>
        <v>-25600</v>
      </c>
      <c r="W323" s="421">
        <f t="shared" si="581"/>
        <v>-12800</v>
      </c>
      <c r="X323" s="421">
        <v>0</v>
      </c>
      <c r="Y323" s="421">
        <v>0</v>
      </c>
      <c r="Z323" s="421">
        <v>0</v>
      </c>
      <c r="AA323" s="421">
        <v>0</v>
      </c>
      <c r="AB323" s="421">
        <v>0</v>
      </c>
      <c r="AC323" s="421">
        <v>0</v>
      </c>
      <c r="AD323" s="421">
        <v>0</v>
      </c>
      <c r="AE323" s="421">
        <v>0</v>
      </c>
      <c r="AF323" s="421">
        <f t="shared" si="582"/>
        <v>-25600</v>
      </c>
      <c r="AG323" s="421">
        <f t="shared" si="583"/>
        <v>-12800</v>
      </c>
      <c r="AH323" s="421">
        <f t="shared" si="584"/>
        <v>-38400</v>
      </c>
      <c r="AI323" s="421">
        <v>25600</v>
      </c>
      <c r="AJ323" s="421">
        <v>12800</v>
      </c>
      <c r="AK323" s="421">
        <v>0</v>
      </c>
      <c r="AL323" s="421">
        <v>0</v>
      </c>
      <c r="AM323" s="421">
        <v>0</v>
      </c>
      <c r="AN323" s="421">
        <v>0</v>
      </c>
      <c r="AO323" s="421">
        <f t="shared" si="585"/>
        <v>25600</v>
      </c>
      <c r="AP323" s="421">
        <f t="shared" si="586"/>
        <v>12800</v>
      </c>
      <c r="AQ323" s="421">
        <f t="shared" si="587"/>
        <v>38400</v>
      </c>
      <c r="AR323" s="421">
        <f>AF323+AO323</f>
        <v>0</v>
      </c>
      <c r="AS323" s="421">
        <f>AG323+AP323</f>
        <v>0</v>
      </c>
      <c r="AT323" s="421">
        <f t="shared" si="588"/>
        <v>0</v>
      </c>
      <c r="AU323" s="68">
        <f>ROUND((AH323+AI323+AJ323+AK323+AL323)*33.8%,0)</f>
        <v>0</v>
      </c>
      <c r="AV323" s="68">
        <f>ROUND(AH323*1%,0)</f>
        <v>-384</v>
      </c>
      <c r="AW323" s="421">
        <v>0</v>
      </c>
      <c r="AX323" s="421">
        <v>0</v>
      </c>
      <c r="AY323" s="421">
        <f t="shared" si="589"/>
        <v>0</v>
      </c>
      <c r="AZ323" s="421">
        <f t="shared" si="590"/>
        <v>-384</v>
      </c>
      <c r="BA323" s="422">
        <v>-0.05</v>
      </c>
      <c r="BB323" s="422">
        <v>-0.04</v>
      </c>
      <c r="BC323" s="422">
        <v>0</v>
      </c>
      <c r="BD323" s="422">
        <v>0</v>
      </c>
      <c r="BE323" s="422">
        <v>0</v>
      </c>
      <c r="BF323" s="422">
        <v>0</v>
      </c>
      <c r="BG323" s="422">
        <v>0</v>
      </c>
      <c r="BH323" s="422">
        <v>0</v>
      </c>
      <c r="BI323" s="422">
        <v>0</v>
      </c>
      <c r="BJ323" s="422">
        <v>0</v>
      </c>
      <c r="BK323" s="422">
        <f>BA323+BC323+BD323+BF323+BH323+BI323</f>
        <v>-0.05</v>
      </c>
      <c r="BL323" s="422">
        <f>BB323+BE323+BG323+BJ323</f>
        <v>-0.04</v>
      </c>
      <c r="BM323" s="424">
        <f t="shared" si="591"/>
        <v>-0.09</v>
      </c>
      <c r="BN323" s="427">
        <f>I323+AZ323</f>
        <v>2567799</v>
      </c>
      <c r="BO323" s="421">
        <f>J323+AH323</f>
        <v>1865185</v>
      </c>
      <c r="BP323" s="421">
        <f>K323+AF323</f>
        <v>1603406</v>
      </c>
      <c r="BQ323" s="421">
        <f>L323+AG323</f>
        <v>261779</v>
      </c>
      <c r="BR323" s="421">
        <f>M323+AQ323</f>
        <v>38400</v>
      </c>
      <c r="BS323" s="421">
        <f>N323+AO323</f>
        <v>25600</v>
      </c>
      <c r="BT323" s="421">
        <f>O323+AP323</f>
        <v>12800</v>
      </c>
      <c r="BU323" s="421">
        <f>P323+AU323</f>
        <v>643412</v>
      </c>
      <c r="BV323" s="421">
        <f>Q323+AV323</f>
        <v>18652</v>
      </c>
      <c r="BW323" s="421">
        <f>R323+AY323</f>
        <v>2150</v>
      </c>
      <c r="BX323" s="422">
        <f>S323+BM323</f>
        <v>3.74</v>
      </c>
      <c r="BY323" s="422">
        <f>T323+BK323</f>
        <v>2.9000000000000004</v>
      </c>
      <c r="BZ323" s="611">
        <f>U323+BL323</f>
        <v>0.84</v>
      </c>
      <c r="CA323" s="423"/>
      <c r="CB323" s="418"/>
      <c r="CC323" s="418"/>
      <c r="CD323" s="418"/>
      <c r="CE323" s="418"/>
      <c r="CF323" s="527"/>
    </row>
    <row r="324" spans="1:84" ht="14.1" customHeight="1" x14ac:dyDescent="0.2">
      <c r="A324" s="72">
        <v>65</v>
      </c>
      <c r="B324" s="69">
        <v>2316</v>
      </c>
      <c r="C324" s="70">
        <v>600080439</v>
      </c>
      <c r="D324" s="69">
        <v>70983224</v>
      </c>
      <c r="E324" s="71" t="s">
        <v>667</v>
      </c>
      <c r="F324" s="72"/>
      <c r="G324" s="71"/>
      <c r="H324" s="73"/>
      <c r="I324" s="538">
        <f t="shared" ref="I324:BU324" si="703">SUM(I323)</f>
        <v>2568183</v>
      </c>
      <c r="J324" s="74">
        <f t="shared" si="703"/>
        <v>1903585</v>
      </c>
      <c r="K324" s="74">
        <f t="shared" si="703"/>
        <v>1629006</v>
      </c>
      <c r="L324" s="74">
        <f t="shared" si="703"/>
        <v>274579</v>
      </c>
      <c r="M324" s="74">
        <f t="shared" si="703"/>
        <v>0</v>
      </c>
      <c r="N324" s="74">
        <f t="shared" si="703"/>
        <v>0</v>
      </c>
      <c r="O324" s="74">
        <f t="shared" si="703"/>
        <v>0</v>
      </c>
      <c r="P324" s="74">
        <f t="shared" si="703"/>
        <v>643412</v>
      </c>
      <c r="Q324" s="74">
        <f t="shared" si="703"/>
        <v>19036</v>
      </c>
      <c r="R324" s="74">
        <f t="shared" si="703"/>
        <v>2150</v>
      </c>
      <c r="S324" s="75">
        <f t="shared" si="703"/>
        <v>3.83</v>
      </c>
      <c r="T324" s="75">
        <f t="shared" si="703"/>
        <v>2.95</v>
      </c>
      <c r="U324" s="753">
        <f t="shared" si="703"/>
        <v>0.88</v>
      </c>
      <c r="V324" s="538">
        <f t="shared" si="703"/>
        <v>-25600</v>
      </c>
      <c r="W324" s="74">
        <f t="shared" si="703"/>
        <v>-12800</v>
      </c>
      <c r="X324" s="74">
        <f t="shared" si="703"/>
        <v>0</v>
      </c>
      <c r="Y324" s="74">
        <f t="shared" si="703"/>
        <v>0</v>
      </c>
      <c r="Z324" s="74">
        <f t="shared" si="703"/>
        <v>0</v>
      </c>
      <c r="AA324" s="74">
        <f t="shared" si="703"/>
        <v>0</v>
      </c>
      <c r="AB324" s="74">
        <f t="shared" si="703"/>
        <v>0</v>
      </c>
      <c r="AC324" s="74">
        <f t="shared" si="703"/>
        <v>0</v>
      </c>
      <c r="AD324" s="74">
        <f t="shared" si="703"/>
        <v>0</v>
      </c>
      <c r="AE324" s="74">
        <f t="shared" si="703"/>
        <v>0</v>
      </c>
      <c r="AF324" s="74">
        <f t="shared" si="703"/>
        <v>-25600</v>
      </c>
      <c r="AG324" s="74">
        <f t="shared" si="703"/>
        <v>-12800</v>
      </c>
      <c r="AH324" s="74">
        <f t="shared" si="703"/>
        <v>-38400</v>
      </c>
      <c r="AI324" s="74">
        <f t="shared" si="703"/>
        <v>25600</v>
      </c>
      <c r="AJ324" s="74">
        <f t="shared" si="703"/>
        <v>12800</v>
      </c>
      <c r="AK324" s="74">
        <f t="shared" si="703"/>
        <v>0</v>
      </c>
      <c r="AL324" s="74">
        <f t="shared" si="703"/>
        <v>0</v>
      </c>
      <c r="AM324" s="74">
        <f t="shared" si="703"/>
        <v>0</v>
      </c>
      <c r="AN324" s="74">
        <f t="shared" si="703"/>
        <v>0</v>
      </c>
      <c r="AO324" s="74">
        <f t="shared" si="703"/>
        <v>25600</v>
      </c>
      <c r="AP324" s="74">
        <f t="shared" si="703"/>
        <v>12800</v>
      </c>
      <c r="AQ324" s="74">
        <f t="shared" si="703"/>
        <v>38400</v>
      </c>
      <c r="AR324" s="74">
        <f t="shared" si="703"/>
        <v>0</v>
      </c>
      <c r="AS324" s="74">
        <f t="shared" si="703"/>
        <v>0</v>
      </c>
      <c r="AT324" s="74">
        <f t="shared" si="703"/>
        <v>0</v>
      </c>
      <c r="AU324" s="74">
        <f t="shared" si="703"/>
        <v>0</v>
      </c>
      <c r="AV324" s="74">
        <f t="shared" si="703"/>
        <v>-384</v>
      </c>
      <c r="AW324" s="74">
        <f t="shared" si="703"/>
        <v>0</v>
      </c>
      <c r="AX324" s="74">
        <f t="shared" si="703"/>
        <v>0</v>
      </c>
      <c r="AY324" s="74">
        <f t="shared" si="703"/>
        <v>0</v>
      </c>
      <c r="AZ324" s="74">
        <f t="shared" si="703"/>
        <v>-384</v>
      </c>
      <c r="BA324" s="75">
        <f t="shared" si="703"/>
        <v>-0.05</v>
      </c>
      <c r="BB324" s="75">
        <f t="shared" si="703"/>
        <v>-0.04</v>
      </c>
      <c r="BC324" s="75">
        <f t="shared" si="703"/>
        <v>0</v>
      </c>
      <c r="BD324" s="75">
        <f t="shared" si="703"/>
        <v>0</v>
      </c>
      <c r="BE324" s="75">
        <f t="shared" si="703"/>
        <v>0</v>
      </c>
      <c r="BF324" s="75">
        <f t="shared" si="703"/>
        <v>0</v>
      </c>
      <c r="BG324" s="75">
        <f t="shared" si="703"/>
        <v>0</v>
      </c>
      <c r="BH324" s="75">
        <f t="shared" si="703"/>
        <v>0</v>
      </c>
      <c r="BI324" s="75">
        <f t="shared" si="703"/>
        <v>0</v>
      </c>
      <c r="BJ324" s="75">
        <f t="shared" si="703"/>
        <v>0</v>
      </c>
      <c r="BK324" s="75">
        <f t="shared" si="703"/>
        <v>-0.05</v>
      </c>
      <c r="BL324" s="75">
        <f t="shared" si="703"/>
        <v>-0.04</v>
      </c>
      <c r="BM324" s="76">
        <f t="shared" si="703"/>
        <v>-0.09</v>
      </c>
      <c r="BN324" s="549">
        <f t="shared" si="703"/>
        <v>2567799</v>
      </c>
      <c r="BO324" s="74">
        <f t="shared" si="703"/>
        <v>1865185</v>
      </c>
      <c r="BP324" s="74">
        <f t="shared" si="703"/>
        <v>1603406</v>
      </c>
      <c r="BQ324" s="74">
        <f t="shared" si="703"/>
        <v>261779</v>
      </c>
      <c r="BR324" s="74">
        <f t="shared" si="703"/>
        <v>38400</v>
      </c>
      <c r="BS324" s="74">
        <f t="shared" si="703"/>
        <v>25600</v>
      </c>
      <c r="BT324" s="74">
        <f t="shared" si="703"/>
        <v>12800</v>
      </c>
      <c r="BU324" s="74">
        <f t="shared" si="703"/>
        <v>643412</v>
      </c>
      <c r="BV324" s="74">
        <f t="shared" ref="BV324:CF324" si="704">SUM(BV323)</f>
        <v>18652</v>
      </c>
      <c r="BW324" s="74">
        <f t="shared" si="704"/>
        <v>2150</v>
      </c>
      <c r="BX324" s="75">
        <f t="shared" si="704"/>
        <v>3.74</v>
      </c>
      <c r="BY324" s="75">
        <f t="shared" si="704"/>
        <v>2.9000000000000004</v>
      </c>
      <c r="BZ324" s="753">
        <f t="shared" si="704"/>
        <v>0.84</v>
      </c>
      <c r="CA324" s="796">
        <f t="shared" si="704"/>
        <v>0</v>
      </c>
      <c r="CB324" s="789">
        <f t="shared" si="704"/>
        <v>0</v>
      </c>
      <c r="CC324" s="789">
        <f t="shared" si="704"/>
        <v>0</v>
      </c>
      <c r="CD324" s="789">
        <f t="shared" si="704"/>
        <v>0</v>
      </c>
      <c r="CE324" s="789">
        <f t="shared" si="704"/>
        <v>0</v>
      </c>
      <c r="CF324" s="793">
        <f t="shared" si="704"/>
        <v>0</v>
      </c>
    </row>
    <row r="325" spans="1:84" ht="14.1" customHeight="1" x14ac:dyDescent="0.2">
      <c r="A325" s="66">
        <v>66</v>
      </c>
      <c r="B325" s="63">
        <v>2402</v>
      </c>
      <c r="C325" s="64">
        <v>600078949</v>
      </c>
      <c r="D325" s="63">
        <v>70983208</v>
      </c>
      <c r="E325" s="65" t="s">
        <v>668</v>
      </c>
      <c r="F325" s="66">
        <v>3111</v>
      </c>
      <c r="G325" s="65" t="s">
        <v>291</v>
      </c>
      <c r="H325" s="67" t="s">
        <v>271</v>
      </c>
      <c r="I325" s="423">
        <f t="shared" si="576"/>
        <v>7014787</v>
      </c>
      <c r="J325" s="418">
        <f t="shared" si="577"/>
        <v>5187408</v>
      </c>
      <c r="K325" s="418">
        <v>4669734</v>
      </c>
      <c r="L325" s="418">
        <v>517674</v>
      </c>
      <c r="M325" s="418">
        <f>N325+O325</f>
        <v>0</v>
      </c>
      <c r="N325" s="418">
        <v>0</v>
      </c>
      <c r="O325" s="418">
        <v>0</v>
      </c>
      <c r="P325" s="668">
        <f t="shared" si="593"/>
        <v>1753344</v>
      </c>
      <c r="Q325" s="668">
        <f t="shared" si="594"/>
        <v>51874</v>
      </c>
      <c r="R325" s="418">
        <v>22161</v>
      </c>
      <c r="S325" s="419">
        <f t="shared" si="595"/>
        <v>9.76</v>
      </c>
      <c r="T325" s="419">
        <v>8</v>
      </c>
      <c r="U325" s="426">
        <v>1.76</v>
      </c>
      <c r="V325" s="428">
        <f t="shared" si="580"/>
        <v>0</v>
      </c>
      <c r="W325" s="421">
        <f t="shared" si="581"/>
        <v>0</v>
      </c>
      <c r="X325" s="421">
        <v>0</v>
      </c>
      <c r="Y325" s="421">
        <v>0</v>
      </c>
      <c r="Z325" s="421">
        <v>0</v>
      </c>
      <c r="AA325" s="421">
        <v>0</v>
      </c>
      <c r="AB325" s="421">
        <v>0</v>
      </c>
      <c r="AC325" s="421">
        <v>0</v>
      </c>
      <c r="AD325" s="421">
        <v>0</v>
      </c>
      <c r="AE325" s="421">
        <v>0</v>
      </c>
      <c r="AF325" s="421">
        <f t="shared" si="582"/>
        <v>0</v>
      </c>
      <c r="AG325" s="421">
        <f t="shared" si="583"/>
        <v>0</v>
      </c>
      <c r="AH325" s="421">
        <f t="shared" si="584"/>
        <v>0</v>
      </c>
      <c r="AI325" s="421">
        <v>0</v>
      </c>
      <c r="AJ325" s="421">
        <v>0</v>
      </c>
      <c r="AK325" s="421">
        <v>0</v>
      </c>
      <c r="AL325" s="421">
        <v>0</v>
      </c>
      <c r="AM325" s="421">
        <v>0</v>
      </c>
      <c r="AN325" s="421">
        <v>0</v>
      </c>
      <c r="AO325" s="421">
        <f t="shared" si="585"/>
        <v>0</v>
      </c>
      <c r="AP325" s="421">
        <f t="shared" si="586"/>
        <v>0</v>
      </c>
      <c r="AQ325" s="421">
        <f t="shared" si="587"/>
        <v>0</v>
      </c>
      <c r="AR325" s="421">
        <f t="shared" ref="AR325:AS327" si="705">AF325+AO325</f>
        <v>0</v>
      </c>
      <c r="AS325" s="421">
        <f t="shared" si="705"/>
        <v>0</v>
      </c>
      <c r="AT325" s="421">
        <f t="shared" si="588"/>
        <v>0</v>
      </c>
      <c r="AU325" s="68">
        <f t="shared" ref="AU325:AU327" si="706">ROUND((AH325+AI325+AJ325+AK325+AL325)*33.8%,0)</f>
        <v>0</v>
      </c>
      <c r="AV325" s="68">
        <f>ROUND(AH325*1%,0)</f>
        <v>0</v>
      </c>
      <c r="AW325" s="421">
        <v>0</v>
      </c>
      <c r="AX325" s="421">
        <v>0</v>
      </c>
      <c r="AY325" s="421">
        <f t="shared" si="589"/>
        <v>0</v>
      </c>
      <c r="AZ325" s="421">
        <f t="shared" si="590"/>
        <v>0</v>
      </c>
      <c r="BA325" s="422">
        <v>0</v>
      </c>
      <c r="BB325" s="422">
        <v>0</v>
      </c>
      <c r="BC325" s="422">
        <v>0</v>
      </c>
      <c r="BD325" s="422">
        <v>0</v>
      </c>
      <c r="BE325" s="422">
        <v>0</v>
      </c>
      <c r="BF325" s="422">
        <v>0</v>
      </c>
      <c r="BG325" s="422">
        <v>0</v>
      </c>
      <c r="BH325" s="422">
        <v>0</v>
      </c>
      <c r="BI325" s="422">
        <v>0</v>
      </c>
      <c r="BJ325" s="422">
        <v>0</v>
      </c>
      <c r="BK325" s="422">
        <f>BA325+BC325+BD325+BF325+BH325+BI325</f>
        <v>0</v>
      </c>
      <c r="BL325" s="422">
        <f>BB325+BE325+BG325+BJ325</f>
        <v>0</v>
      </c>
      <c r="BM325" s="424">
        <f t="shared" si="591"/>
        <v>0</v>
      </c>
      <c r="BN325" s="427">
        <f>I325+AZ325</f>
        <v>7014787</v>
      </c>
      <c r="BO325" s="421">
        <f>J325+AH325</f>
        <v>5187408</v>
      </c>
      <c r="BP325" s="421">
        <f t="shared" ref="BP325:BQ327" si="707">K325+AF325</f>
        <v>4669734</v>
      </c>
      <c r="BQ325" s="421">
        <f t="shared" si="707"/>
        <v>517674</v>
      </c>
      <c r="BR325" s="421">
        <f>M325+AQ325</f>
        <v>0</v>
      </c>
      <c r="BS325" s="421">
        <f t="shared" ref="BS325:BT327" si="708">N325+AO325</f>
        <v>0</v>
      </c>
      <c r="BT325" s="421">
        <f t="shared" si="708"/>
        <v>0</v>
      </c>
      <c r="BU325" s="421">
        <f t="shared" ref="BU325:BV327" si="709">P325+AU325</f>
        <v>1753344</v>
      </c>
      <c r="BV325" s="421">
        <f t="shared" si="709"/>
        <v>51874</v>
      </c>
      <c r="BW325" s="421">
        <f>R325+AY325</f>
        <v>22161</v>
      </c>
      <c r="BX325" s="422">
        <f>S325+BM325</f>
        <v>9.76</v>
      </c>
      <c r="BY325" s="422">
        <f t="shared" ref="BY325:BZ327" si="710">T325+BK325</f>
        <v>8</v>
      </c>
      <c r="BZ325" s="611">
        <f t="shared" si="710"/>
        <v>1.76</v>
      </c>
      <c r="CA325" s="423"/>
      <c r="CB325" s="418"/>
      <c r="CC325" s="418"/>
      <c r="CD325" s="418"/>
      <c r="CE325" s="418"/>
      <c r="CF325" s="527"/>
    </row>
    <row r="326" spans="1:84" ht="14.1" customHeight="1" x14ac:dyDescent="0.2">
      <c r="A326" s="66">
        <v>66</v>
      </c>
      <c r="B326" s="63">
        <v>2402</v>
      </c>
      <c r="C326" s="64">
        <v>600078949</v>
      </c>
      <c r="D326" s="63">
        <v>70983208</v>
      </c>
      <c r="E326" s="65" t="s">
        <v>668</v>
      </c>
      <c r="F326" s="66">
        <v>3111</v>
      </c>
      <c r="G326" s="65" t="s">
        <v>292</v>
      </c>
      <c r="H326" s="67" t="s">
        <v>272</v>
      </c>
      <c r="I326" s="423">
        <f t="shared" si="576"/>
        <v>0</v>
      </c>
      <c r="J326" s="418">
        <f t="shared" si="577"/>
        <v>0</v>
      </c>
      <c r="K326" s="418">
        <v>0</v>
      </c>
      <c r="L326" s="418">
        <v>0</v>
      </c>
      <c r="M326" s="418">
        <f t="shared" si="592"/>
        <v>0</v>
      </c>
      <c r="N326" s="418">
        <v>0</v>
      </c>
      <c r="O326" s="418">
        <v>0</v>
      </c>
      <c r="P326" s="668">
        <f t="shared" si="593"/>
        <v>0</v>
      </c>
      <c r="Q326" s="668">
        <f t="shared" si="594"/>
        <v>0</v>
      </c>
      <c r="R326" s="418">
        <v>0</v>
      </c>
      <c r="S326" s="419">
        <f t="shared" si="595"/>
        <v>0</v>
      </c>
      <c r="T326" s="420">
        <v>0</v>
      </c>
      <c r="U326" s="426">
        <v>0</v>
      </c>
      <c r="V326" s="428">
        <f t="shared" si="580"/>
        <v>0</v>
      </c>
      <c r="W326" s="421">
        <f t="shared" si="581"/>
        <v>0</v>
      </c>
      <c r="X326" s="16">
        <v>407882</v>
      </c>
      <c r="Y326" s="16">
        <v>0</v>
      </c>
      <c r="Z326" s="16">
        <v>0</v>
      </c>
      <c r="AA326" s="16">
        <v>0</v>
      </c>
      <c r="AB326" s="421">
        <v>0</v>
      </c>
      <c r="AC326" s="16">
        <v>0</v>
      </c>
      <c r="AD326" s="16">
        <v>0</v>
      </c>
      <c r="AE326" s="16">
        <v>0</v>
      </c>
      <c r="AF326" s="421">
        <f t="shared" si="582"/>
        <v>407882</v>
      </c>
      <c r="AG326" s="421">
        <f t="shared" si="583"/>
        <v>0</v>
      </c>
      <c r="AH326" s="421">
        <f t="shared" si="584"/>
        <v>407882</v>
      </c>
      <c r="AI326" s="16">
        <v>0</v>
      </c>
      <c r="AJ326" s="16">
        <v>0</v>
      </c>
      <c r="AK326" s="421">
        <v>0</v>
      </c>
      <c r="AL326" s="16">
        <v>0</v>
      </c>
      <c r="AM326" s="16">
        <v>0</v>
      </c>
      <c r="AN326" s="16">
        <v>0</v>
      </c>
      <c r="AO326" s="421">
        <f t="shared" si="585"/>
        <v>0</v>
      </c>
      <c r="AP326" s="16">
        <v>0</v>
      </c>
      <c r="AQ326" s="421">
        <f t="shared" si="587"/>
        <v>0</v>
      </c>
      <c r="AR326" s="421">
        <f t="shared" si="705"/>
        <v>407882</v>
      </c>
      <c r="AS326" s="421">
        <f t="shared" si="705"/>
        <v>0</v>
      </c>
      <c r="AT326" s="421">
        <f t="shared" si="588"/>
        <v>407882</v>
      </c>
      <c r="AU326" s="68">
        <f t="shared" si="706"/>
        <v>137864</v>
      </c>
      <c r="AV326" s="68">
        <f>ROUND(AH326*1%,0)</f>
        <v>4079</v>
      </c>
      <c r="AW326" s="16">
        <v>0</v>
      </c>
      <c r="AX326" s="16">
        <v>0</v>
      </c>
      <c r="AY326" s="421">
        <f t="shared" si="589"/>
        <v>0</v>
      </c>
      <c r="AZ326" s="421">
        <f t="shared" si="590"/>
        <v>549825</v>
      </c>
      <c r="BA326" s="13">
        <v>0</v>
      </c>
      <c r="BB326" s="13">
        <v>0</v>
      </c>
      <c r="BC326" s="13">
        <v>1.5</v>
      </c>
      <c r="BD326" s="422">
        <v>0</v>
      </c>
      <c r="BE326" s="422">
        <v>0</v>
      </c>
      <c r="BF326" s="422">
        <v>0</v>
      </c>
      <c r="BG326" s="422">
        <v>0</v>
      </c>
      <c r="BH326" s="422">
        <v>0</v>
      </c>
      <c r="BI326" s="422">
        <v>0</v>
      </c>
      <c r="BJ326" s="422">
        <v>0</v>
      </c>
      <c r="BK326" s="422">
        <f>BA326+BC326+BD326+BF326+BH326+BI326</f>
        <v>1.5</v>
      </c>
      <c r="BL326" s="422">
        <f>BB326+BE326+BG326+BJ326</f>
        <v>0</v>
      </c>
      <c r="BM326" s="424">
        <f t="shared" si="591"/>
        <v>1.5</v>
      </c>
      <c r="BN326" s="427">
        <f>I326+AZ326</f>
        <v>549825</v>
      </c>
      <c r="BO326" s="421">
        <f>J326+AH326</f>
        <v>407882</v>
      </c>
      <c r="BP326" s="421">
        <f t="shared" si="707"/>
        <v>407882</v>
      </c>
      <c r="BQ326" s="421">
        <f t="shared" si="707"/>
        <v>0</v>
      </c>
      <c r="BR326" s="421">
        <f>M326+AQ326</f>
        <v>0</v>
      </c>
      <c r="BS326" s="421">
        <f t="shared" si="708"/>
        <v>0</v>
      </c>
      <c r="BT326" s="421">
        <f t="shared" si="708"/>
        <v>0</v>
      </c>
      <c r="BU326" s="421">
        <f t="shared" si="709"/>
        <v>137864</v>
      </c>
      <c r="BV326" s="421">
        <f t="shared" si="709"/>
        <v>4079</v>
      </c>
      <c r="BW326" s="421">
        <f>R326+AY326</f>
        <v>0</v>
      </c>
      <c r="BX326" s="422">
        <f>S326+BM326</f>
        <v>1.5</v>
      </c>
      <c r="BY326" s="422">
        <f t="shared" si="710"/>
        <v>1.5</v>
      </c>
      <c r="BZ326" s="611">
        <f t="shared" si="710"/>
        <v>0</v>
      </c>
      <c r="CA326" s="423"/>
      <c r="CB326" s="418"/>
      <c r="CC326" s="418"/>
      <c r="CD326" s="418"/>
      <c r="CE326" s="418"/>
      <c r="CF326" s="527"/>
    </row>
    <row r="327" spans="1:84" ht="14.1" customHeight="1" x14ac:dyDescent="0.2">
      <c r="A327" s="66">
        <v>66</v>
      </c>
      <c r="B327" s="63">
        <v>2402</v>
      </c>
      <c r="C327" s="64">
        <v>600078949</v>
      </c>
      <c r="D327" s="63">
        <v>70983208</v>
      </c>
      <c r="E327" s="65" t="s">
        <v>668</v>
      </c>
      <c r="F327" s="66">
        <v>3141</v>
      </c>
      <c r="G327" s="65" t="s">
        <v>295</v>
      </c>
      <c r="H327" s="67" t="s">
        <v>272</v>
      </c>
      <c r="I327" s="423">
        <f t="shared" si="576"/>
        <v>779354</v>
      </c>
      <c r="J327" s="418">
        <f t="shared" si="577"/>
        <v>575820</v>
      </c>
      <c r="K327" s="418">
        <v>0</v>
      </c>
      <c r="L327" s="924">
        <v>575820</v>
      </c>
      <c r="M327" s="418">
        <f>N327+O327</f>
        <v>0</v>
      </c>
      <c r="N327" s="205">
        <v>0</v>
      </c>
      <c r="O327" s="205">
        <v>0</v>
      </c>
      <c r="P327" s="668">
        <f t="shared" si="593"/>
        <v>194627</v>
      </c>
      <c r="Q327" s="668">
        <f t="shared" si="594"/>
        <v>5758</v>
      </c>
      <c r="R327" s="674">
        <v>3149</v>
      </c>
      <c r="S327" s="419">
        <f>T327+U327</f>
        <v>1.7266999999999999</v>
      </c>
      <c r="T327" s="676">
        <v>0</v>
      </c>
      <c r="U327" s="909">
        <v>1.7266999999999999</v>
      </c>
      <c r="V327" s="428">
        <f t="shared" si="580"/>
        <v>0</v>
      </c>
      <c r="W327" s="421">
        <f t="shared" si="581"/>
        <v>0</v>
      </c>
      <c r="X327" s="421">
        <v>0</v>
      </c>
      <c r="Y327" s="421">
        <v>0</v>
      </c>
      <c r="Z327" s="421">
        <v>0</v>
      </c>
      <c r="AA327" s="421">
        <v>0</v>
      </c>
      <c r="AB327" s="421">
        <v>0</v>
      </c>
      <c r="AC327" s="421">
        <v>0</v>
      </c>
      <c r="AD327" s="421">
        <v>0</v>
      </c>
      <c r="AE327" s="421">
        <v>0</v>
      </c>
      <c r="AF327" s="421">
        <f t="shared" si="582"/>
        <v>0</v>
      </c>
      <c r="AG327" s="421">
        <f t="shared" si="583"/>
        <v>0</v>
      </c>
      <c r="AH327" s="421">
        <f t="shared" si="584"/>
        <v>0</v>
      </c>
      <c r="AI327" s="421">
        <v>0</v>
      </c>
      <c r="AJ327" s="421">
        <v>0</v>
      </c>
      <c r="AK327" s="421">
        <v>0</v>
      </c>
      <c r="AL327" s="421">
        <v>0</v>
      </c>
      <c r="AM327" s="421">
        <v>0</v>
      </c>
      <c r="AN327" s="421">
        <v>0</v>
      </c>
      <c r="AO327" s="421">
        <f t="shared" si="585"/>
        <v>0</v>
      </c>
      <c r="AP327" s="421">
        <f t="shared" si="586"/>
        <v>0</v>
      </c>
      <c r="AQ327" s="421">
        <f t="shared" si="587"/>
        <v>0</v>
      </c>
      <c r="AR327" s="421">
        <f t="shared" si="705"/>
        <v>0</v>
      </c>
      <c r="AS327" s="421">
        <f t="shared" si="705"/>
        <v>0</v>
      </c>
      <c r="AT327" s="421">
        <f t="shared" si="588"/>
        <v>0</v>
      </c>
      <c r="AU327" s="68">
        <f t="shared" si="706"/>
        <v>0</v>
      </c>
      <c r="AV327" s="68">
        <f>ROUND(AH327*1%,0)</f>
        <v>0</v>
      </c>
      <c r="AW327" s="421">
        <v>0</v>
      </c>
      <c r="AX327" s="421">
        <v>0</v>
      </c>
      <c r="AY327" s="421">
        <f t="shared" si="589"/>
        <v>0</v>
      </c>
      <c r="AZ327" s="421">
        <f t="shared" si="590"/>
        <v>0</v>
      </c>
      <c r="BA327" s="422">
        <v>0</v>
      </c>
      <c r="BB327" s="422">
        <v>0</v>
      </c>
      <c r="BC327" s="422">
        <v>0</v>
      </c>
      <c r="BD327" s="422">
        <v>0</v>
      </c>
      <c r="BE327" s="422">
        <v>0</v>
      </c>
      <c r="BF327" s="422">
        <v>0</v>
      </c>
      <c r="BG327" s="422">
        <v>0</v>
      </c>
      <c r="BH327" s="422">
        <v>0</v>
      </c>
      <c r="BI327" s="422">
        <v>0</v>
      </c>
      <c r="BJ327" s="422">
        <v>0</v>
      </c>
      <c r="BK327" s="422">
        <f>BA327+BC327+BD327+BF327+BH327+BI327</f>
        <v>0</v>
      </c>
      <c r="BL327" s="422">
        <f>BB327+BE327+BG327+BJ327</f>
        <v>0</v>
      </c>
      <c r="BM327" s="424">
        <f t="shared" si="591"/>
        <v>0</v>
      </c>
      <c r="BN327" s="427">
        <f>I327+AZ327</f>
        <v>779354</v>
      </c>
      <c r="BO327" s="421">
        <f>J327+AH327</f>
        <v>575820</v>
      </c>
      <c r="BP327" s="421">
        <f t="shared" si="707"/>
        <v>0</v>
      </c>
      <c r="BQ327" s="421">
        <f t="shared" si="707"/>
        <v>575820</v>
      </c>
      <c r="BR327" s="421">
        <f>M327+AQ327</f>
        <v>0</v>
      </c>
      <c r="BS327" s="421">
        <f t="shared" si="708"/>
        <v>0</v>
      </c>
      <c r="BT327" s="421">
        <f t="shared" si="708"/>
        <v>0</v>
      </c>
      <c r="BU327" s="421">
        <f t="shared" si="709"/>
        <v>194627</v>
      </c>
      <c r="BV327" s="421">
        <f t="shared" si="709"/>
        <v>5758</v>
      </c>
      <c r="BW327" s="421">
        <f>R327+AY327</f>
        <v>3149</v>
      </c>
      <c r="BX327" s="422">
        <f>S327+BM327</f>
        <v>1.7266999999999999</v>
      </c>
      <c r="BY327" s="422">
        <f t="shared" si="710"/>
        <v>0</v>
      </c>
      <c r="BZ327" s="611">
        <f t="shared" si="710"/>
        <v>1.7266999999999999</v>
      </c>
      <c r="CA327" s="423"/>
      <c r="CB327" s="418"/>
      <c r="CC327" s="418"/>
      <c r="CD327" s="418"/>
      <c r="CE327" s="418"/>
      <c r="CF327" s="527"/>
    </row>
    <row r="328" spans="1:84" ht="14.1" customHeight="1" x14ac:dyDescent="0.2">
      <c r="A328" s="72">
        <v>66</v>
      </c>
      <c r="B328" s="69">
        <v>2402</v>
      </c>
      <c r="C328" s="70">
        <v>600078949</v>
      </c>
      <c r="D328" s="69">
        <v>70983208</v>
      </c>
      <c r="E328" s="71" t="s">
        <v>669</v>
      </c>
      <c r="F328" s="72"/>
      <c r="G328" s="71"/>
      <c r="H328" s="73"/>
      <c r="I328" s="538">
        <f t="shared" ref="I328:BU328" si="711">SUM(I325:I327)</f>
        <v>7794141</v>
      </c>
      <c r="J328" s="74">
        <f t="shared" si="711"/>
        <v>5763228</v>
      </c>
      <c r="K328" s="74">
        <f t="shared" si="711"/>
        <v>4669734</v>
      </c>
      <c r="L328" s="74">
        <f t="shared" si="711"/>
        <v>1093494</v>
      </c>
      <c r="M328" s="74">
        <f t="shared" si="711"/>
        <v>0</v>
      </c>
      <c r="N328" s="74">
        <f t="shared" si="711"/>
        <v>0</v>
      </c>
      <c r="O328" s="74">
        <f t="shared" si="711"/>
        <v>0</v>
      </c>
      <c r="P328" s="74">
        <f t="shared" si="711"/>
        <v>1947971</v>
      </c>
      <c r="Q328" s="74">
        <f t="shared" si="711"/>
        <v>57632</v>
      </c>
      <c r="R328" s="74">
        <f t="shared" si="711"/>
        <v>25310</v>
      </c>
      <c r="S328" s="75">
        <f t="shared" si="711"/>
        <v>11.486699999999999</v>
      </c>
      <c r="T328" s="75">
        <f t="shared" si="711"/>
        <v>8</v>
      </c>
      <c r="U328" s="753">
        <f t="shared" si="711"/>
        <v>3.4866999999999999</v>
      </c>
      <c r="V328" s="538">
        <f t="shared" si="711"/>
        <v>0</v>
      </c>
      <c r="W328" s="74">
        <f t="shared" si="711"/>
        <v>0</v>
      </c>
      <c r="X328" s="74">
        <f t="shared" si="711"/>
        <v>407882</v>
      </c>
      <c r="Y328" s="74">
        <f t="shared" si="711"/>
        <v>0</v>
      </c>
      <c r="Z328" s="74">
        <f t="shared" si="711"/>
        <v>0</v>
      </c>
      <c r="AA328" s="74">
        <f t="shared" si="711"/>
        <v>0</v>
      </c>
      <c r="AB328" s="74">
        <f t="shared" si="711"/>
        <v>0</v>
      </c>
      <c r="AC328" s="74">
        <f t="shared" si="711"/>
        <v>0</v>
      </c>
      <c r="AD328" s="74">
        <f t="shared" si="711"/>
        <v>0</v>
      </c>
      <c r="AE328" s="74">
        <f t="shared" si="711"/>
        <v>0</v>
      </c>
      <c r="AF328" s="74">
        <f t="shared" si="711"/>
        <v>407882</v>
      </c>
      <c r="AG328" s="74">
        <f t="shared" si="711"/>
        <v>0</v>
      </c>
      <c r="AH328" s="74">
        <f t="shared" si="711"/>
        <v>407882</v>
      </c>
      <c r="AI328" s="74">
        <f t="shared" si="711"/>
        <v>0</v>
      </c>
      <c r="AJ328" s="74">
        <f t="shared" si="711"/>
        <v>0</v>
      </c>
      <c r="AK328" s="74">
        <f t="shared" si="711"/>
        <v>0</v>
      </c>
      <c r="AL328" s="74">
        <f t="shared" si="711"/>
        <v>0</v>
      </c>
      <c r="AM328" s="74">
        <f t="shared" si="711"/>
        <v>0</v>
      </c>
      <c r="AN328" s="74">
        <f t="shared" si="711"/>
        <v>0</v>
      </c>
      <c r="AO328" s="74">
        <f t="shared" si="711"/>
        <v>0</v>
      </c>
      <c r="AP328" s="74">
        <f t="shared" si="711"/>
        <v>0</v>
      </c>
      <c r="AQ328" s="74">
        <f t="shared" si="711"/>
        <v>0</v>
      </c>
      <c r="AR328" s="74">
        <f t="shared" si="711"/>
        <v>407882</v>
      </c>
      <c r="AS328" s="74">
        <f t="shared" si="711"/>
        <v>0</v>
      </c>
      <c r="AT328" s="74">
        <f t="shared" si="711"/>
        <v>407882</v>
      </c>
      <c r="AU328" s="74">
        <f t="shared" si="711"/>
        <v>137864</v>
      </c>
      <c r="AV328" s="74">
        <f t="shared" si="711"/>
        <v>4079</v>
      </c>
      <c r="AW328" s="74">
        <f t="shared" si="711"/>
        <v>0</v>
      </c>
      <c r="AX328" s="74">
        <f t="shared" si="711"/>
        <v>0</v>
      </c>
      <c r="AY328" s="74">
        <f t="shared" si="711"/>
        <v>0</v>
      </c>
      <c r="AZ328" s="74">
        <f t="shared" si="711"/>
        <v>549825</v>
      </c>
      <c r="BA328" s="75">
        <f t="shared" si="711"/>
        <v>0</v>
      </c>
      <c r="BB328" s="75">
        <f t="shared" si="711"/>
        <v>0</v>
      </c>
      <c r="BC328" s="75">
        <f t="shared" si="711"/>
        <v>1.5</v>
      </c>
      <c r="BD328" s="75">
        <f t="shared" si="711"/>
        <v>0</v>
      </c>
      <c r="BE328" s="75">
        <f t="shared" si="711"/>
        <v>0</v>
      </c>
      <c r="BF328" s="75">
        <f t="shared" si="711"/>
        <v>0</v>
      </c>
      <c r="BG328" s="75">
        <f t="shared" si="711"/>
        <v>0</v>
      </c>
      <c r="BH328" s="75">
        <f t="shared" si="711"/>
        <v>0</v>
      </c>
      <c r="BI328" s="75">
        <f t="shared" si="711"/>
        <v>0</v>
      </c>
      <c r="BJ328" s="75">
        <f t="shared" si="711"/>
        <v>0</v>
      </c>
      <c r="BK328" s="75">
        <f t="shared" si="711"/>
        <v>1.5</v>
      </c>
      <c r="BL328" s="75">
        <f t="shared" si="711"/>
        <v>0</v>
      </c>
      <c r="BM328" s="76">
        <f t="shared" si="711"/>
        <v>1.5</v>
      </c>
      <c r="BN328" s="549">
        <f t="shared" si="711"/>
        <v>8343966</v>
      </c>
      <c r="BO328" s="74">
        <f t="shared" si="711"/>
        <v>6171110</v>
      </c>
      <c r="BP328" s="74">
        <f t="shared" si="711"/>
        <v>5077616</v>
      </c>
      <c r="BQ328" s="74">
        <f t="shared" si="711"/>
        <v>1093494</v>
      </c>
      <c r="BR328" s="74">
        <f t="shared" si="711"/>
        <v>0</v>
      </c>
      <c r="BS328" s="74">
        <f t="shared" si="711"/>
        <v>0</v>
      </c>
      <c r="BT328" s="74">
        <f t="shared" si="711"/>
        <v>0</v>
      </c>
      <c r="BU328" s="74">
        <f t="shared" si="711"/>
        <v>2085835</v>
      </c>
      <c r="BV328" s="74">
        <f t="shared" ref="BV328:CF328" si="712">SUM(BV325:BV327)</f>
        <v>61711</v>
      </c>
      <c r="BW328" s="74">
        <f t="shared" si="712"/>
        <v>25310</v>
      </c>
      <c r="BX328" s="75">
        <f t="shared" si="712"/>
        <v>12.986699999999999</v>
      </c>
      <c r="BY328" s="75">
        <f t="shared" si="712"/>
        <v>9.5</v>
      </c>
      <c r="BZ328" s="753">
        <f t="shared" si="712"/>
        <v>3.4866999999999999</v>
      </c>
      <c r="CA328" s="796">
        <f t="shared" si="712"/>
        <v>0</v>
      </c>
      <c r="CB328" s="789">
        <f t="shared" si="712"/>
        <v>0</v>
      </c>
      <c r="CC328" s="789">
        <f t="shared" si="712"/>
        <v>0</v>
      </c>
      <c r="CD328" s="789">
        <f t="shared" si="712"/>
        <v>0</v>
      </c>
      <c r="CE328" s="789">
        <f t="shared" si="712"/>
        <v>0</v>
      </c>
      <c r="CF328" s="793">
        <f t="shared" si="712"/>
        <v>0</v>
      </c>
    </row>
    <row r="329" spans="1:84" ht="14.1" customHeight="1" x14ac:dyDescent="0.2">
      <c r="A329" s="66">
        <v>67</v>
      </c>
      <c r="B329" s="63">
        <v>2404</v>
      </c>
      <c r="C329" s="64">
        <v>600078957</v>
      </c>
      <c r="D329" s="63">
        <v>70983135</v>
      </c>
      <c r="E329" s="65" t="s">
        <v>670</v>
      </c>
      <c r="F329" s="66">
        <v>3111</v>
      </c>
      <c r="G329" s="65" t="s">
        <v>291</v>
      </c>
      <c r="H329" s="67" t="s">
        <v>271</v>
      </c>
      <c r="I329" s="423">
        <f t="shared" si="576"/>
        <v>5300968</v>
      </c>
      <c r="J329" s="418">
        <f t="shared" si="577"/>
        <v>3919396</v>
      </c>
      <c r="K329" s="418">
        <v>3566735</v>
      </c>
      <c r="L329" s="418">
        <v>352661</v>
      </c>
      <c r="M329" s="418">
        <f>N329+O329</f>
        <v>0</v>
      </c>
      <c r="N329" s="418">
        <v>0</v>
      </c>
      <c r="O329" s="418">
        <v>0</v>
      </c>
      <c r="P329" s="668">
        <f t="shared" si="593"/>
        <v>1324756</v>
      </c>
      <c r="Q329" s="668">
        <f t="shared" si="594"/>
        <v>39194</v>
      </c>
      <c r="R329" s="418">
        <v>17622</v>
      </c>
      <c r="S329" s="419">
        <f t="shared" si="595"/>
        <v>7.2000999999999999</v>
      </c>
      <c r="T329" s="419">
        <v>6</v>
      </c>
      <c r="U329" s="426">
        <v>1.2000999999999999</v>
      </c>
      <c r="V329" s="428">
        <f t="shared" si="580"/>
        <v>0</v>
      </c>
      <c r="W329" s="421">
        <f t="shared" si="581"/>
        <v>0</v>
      </c>
      <c r="X329" s="421">
        <v>0</v>
      </c>
      <c r="Y329" s="421">
        <v>0</v>
      </c>
      <c r="Z329" s="421">
        <v>0</v>
      </c>
      <c r="AA329" s="421">
        <v>0</v>
      </c>
      <c r="AB329" s="421">
        <v>0</v>
      </c>
      <c r="AC329" s="421">
        <v>0</v>
      </c>
      <c r="AD329" s="421">
        <v>0</v>
      </c>
      <c r="AE329" s="421">
        <v>0</v>
      </c>
      <c r="AF329" s="421">
        <f t="shared" si="582"/>
        <v>0</v>
      </c>
      <c r="AG329" s="421">
        <f t="shared" si="583"/>
        <v>0</v>
      </c>
      <c r="AH329" s="421">
        <f t="shared" si="584"/>
        <v>0</v>
      </c>
      <c r="AI329" s="421">
        <v>0</v>
      </c>
      <c r="AJ329" s="421">
        <v>0</v>
      </c>
      <c r="AK329" s="421">
        <v>0</v>
      </c>
      <c r="AL329" s="421">
        <v>0</v>
      </c>
      <c r="AM329" s="421">
        <v>0</v>
      </c>
      <c r="AN329" s="421">
        <v>0</v>
      </c>
      <c r="AO329" s="421">
        <f t="shared" si="585"/>
        <v>0</v>
      </c>
      <c r="AP329" s="421">
        <f t="shared" si="586"/>
        <v>0</v>
      </c>
      <c r="AQ329" s="421">
        <f t="shared" si="587"/>
        <v>0</v>
      </c>
      <c r="AR329" s="421">
        <f t="shared" ref="AR329:AS331" si="713">AF329+AO329</f>
        <v>0</v>
      </c>
      <c r="AS329" s="421">
        <f t="shared" si="713"/>
        <v>0</v>
      </c>
      <c r="AT329" s="421">
        <f t="shared" si="588"/>
        <v>0</v>
      </c>
      <c r="AU329" s="68">
        <f t="shared" ref="AU329:AU331" si="714">ROUND((AH329+AI329+AJ329+AK329+AL329)*33.8%,0)</f>
        <v>0</v>
      </c>
      <c r="AV329" s="68">
        <f>ROUND(AH329*1%,0)</f>
        <v>0</v>
      </c>
      <c r="AW329" s="421">
        <v>0</v>
      </c>
      <c r="AX329" s="421">
        <v>0</v>
      </c>
      <c r="AY329" s="421">
        <f t="shared" si="589"/>
        <v>0</v>
      </c>
      <c r="AZ329" s="421">
        <f t="shared" si="590"/>
        <v>0</v>
      </c>
      <c r="BA329" s="422">
        <v>0</v>
      </c>
      <c r="BB329" s="422">
        <v>0</v>
      </c>
      <c r="BC329" s="422">
        <v>0</v>
      </c>
      <c r="BD329" s="422">
        <v>0</v>
      </c>
      <c r="BE329" s="422">
        <v>0</v>
      </c>
      <c r="BF329" s="422">
        <v>0</v>
      </c>
      <c r="BG329" s="422">
        <v>0</v>
      </c>
      <c r="BH329" s="422">
        <v>0</v>
      </c>
      <c r="BI329" s="422">
        <v>0</v>
      </c>
      <c r="BJ329" s="422">
        <v>0</v>
      </c>
      <c r="BK329" s="422">
        <f>BA329+BC329+BD329+BF329+BH329+BI329</f>
        <v>0</v>
      </c>
      <c r="BL329" s="422">
        <f>BB329+BE329+BG329+BJ329</f>
        <v>0</v>
      </c>
      <c r="BM329" s="424">
        <f t="shared" si="591"/>
        <v>0</v>
      </c>
      <c r="BN329" s="427">
        <f>I329+AZ329</f>
        <v>5300968</v>
      </c>
      <c r="BO329" s="421">
        <f>J329+AH329</f>
        <v>3919396</v>
      </c>
      <c r="BP329" s="421">
        <f t="shared" ref="BP329:BQ331" si="715">K329+AF329</f>
        <v>3566735</v>
      </c>
      <c r="BQ329" s="421">
        <f t="shared" si="715"/>
        <v>352661</v>
      </c>
      <c r="BR329" s="421">
        <f>M329+AQ329</f>
        <v>0</v>
      </c>
      <c r="BS329" s="421">
        <f t="shared" ref="BS329:BT331" si="716">N329+AO329</f>
        <v>0</v>
      </c>
      <c r="BT329" s="421">
        <f t="shared" si="716"/>
        <v>0</v>
      </c>
      <c r="BU329" s="421">
        <f t="shared" ref="BU329:BV331" si="717">P329+AU329</f>
        <v>1324756</v>
      </c>
      <c r="BV329" s="421">
        <f t="shared" si="717"/>
        <v>39194</v>
      </c>
      <c r="BW329" s="421">
        <f>R329+AY329</f>
        <v>17622</v>
      </c>
      <c r="BX329" s="422">
        <f>S329+BM329</f>
        <v>7.2000999999999999</v>
      </c>
      <c r="BY329" s="422">
        <f t="shared" ref="BY329:BZ331" si="718">T329+BK329</f>
        <v>6</v>
      </c>
      <c r="BZ329" s="611">
        <f t="shared" si="718"/>
        <v>1.2000999999999999</v>
      </c>
      <c r="CA329" s="423"/>
      <c r="CB329" s="418"/>
      <c r="CC329" s="418"/>
      <c r="CD329" s="418"/>
      <c r="CE329" s="418"/>
      <c r="CF329" s="527"/>
    </row>
    <row r="330" spans="1:84" ht="14.1" customHeight="1" x14ac:dyDescent="0.2">
      <c r="A330" s="66">
        <v>67</v>
      </c>
      <c r="B330" s="63">
        <v>2404</v>
      </c>
      <c r="C330" s="64">
        <v>600078957</v>
      </c>
      <c r="D330" s="63">
        <v>70983135</v>
      </c>
      <c r="E330" s="65" t="s">
        <v>670</v>
      </c>
      <c r="F330" s="66">
        <v>3111</v>
      </c>
      <c r="G330" s="77" t="s">
        <v>292</v>
      </c>
      <c r="H330" s="67" t="s">
        <v>272</v>
      </c>
      <c r="I330" s="423">
        <f t="shared" si="576"/>
        <v>0</v>
      </c>
      <c r="J330" s="418">
        <f t="shared" si="577"/>
        <v>0</v>
      </c>
      <c r="K330" s="418">
        <v>0</v>
      </c>
      <c r="L330" s="418">
        <v>0</v>
      </c>
      <c r="M330" s="418">
        <f t="shared" si="592"/>
        <v>0</v>
      </c>
      <c r="N330" s="418">
        <v>0</v>
      </c>
      <c r="O330" s="418">
        <v>0</v>
      </c>
      <c r="P330" s="668">
        <f t="shared" si="593"/>
        <v>0</v>
      </c>
      <c r="Q330" s="668">
        <f t="shared" si="594"/>
        <v>0</v>
      </c>
      <c r="R330" s="418">
        <v>0</v>
      </c>
      <c r="S330" s="419">
        <f t="shared" si="595"/>
        <v>0</v>
      </c>
      <c r="T330" s="420">
        <v>0</v>
      </c>
      <c r="U330" s="426">
        <v>0</v>
      </c>
      <c r="V330" s="428">
        <f t="shared" si="580"/>
        <v>0</v>
      </c>
      <c r="W330" s="421">
        <f t="shared" si="581"/>
        <v>0</v>
      </c>
      <c r="X330" s="16">
        <v>1112403</v>
      </c>
      <c r="Y330" s="16">
        <v>0</v>
      </c>
      <c r="Z330" s="16">
        <v>0</v>
      </c>
      <c r="AA330" s="16">
        <v>0</v>
      </c>
      <c r="AB330" s="421">
        <v>0</v>
      </c>
      <c r="AC330" s="16">
        <v>0</v>
      </c>
      <c r="AD330" s="16">
        <v>0</v>
      </c>
      <c r="AE330" s="16">
        <v>0</v>
      </c>
      <c r="AF330" s="421">
        <f t="shared" si="582"/>
        <v>1112403</v>
      </c>
      <c r="AG330" s="421">
        <f t="shared" si="583"/>
        <v>0</v>
      </c>
      <c r="AH330" s="421">
        <f t="shared" si="584"/>
        <v>1112403</v>
      </c>
      <c r="AI330" s="16">
        <v>0</v>
      </c>
      <c r="AJ330" s="16">
        <v>0</v>
      </c>
      <c r="AK330" s="421">
        <v>0</v>
      </c>
      <c r="AL330" s="16">
        <v>0</v>
      </c>
      <c r="AM330" s="16">
        <v>0</v>
      </c>
      <c r="AN330" s="16">
        <v>0</v>
      </c>
      <c r="AO330" s="421">
        <f t="shared" si="585"/>
        <v>0</v>
      </c>
      <c r="AP330" s="16">
        <v>0</v>
      </c>
      <c r="AQ330" s="421">
        <f t="shared" si="587"/>
        <v>0</v>
      </c>
      <c r="AR330" s="421">
        <f t="shared" si="713"/>
        <v>1112403</v>
      </c>
      <c r="AS330" s="421">
        <f t="shared" si="713"/>
        <v>0</v>
      </c>
      <c r="AT330" s="421">
        <f t="shared" si="588"/>
        <v>1112403</v>
      </c>
      <c r="AU330" s="68">
        <f t="shared" si="714"/>
        <v>375992</v>
      </c>
      <c r="AV330" s="68">
        <f>ROUND(AH330*1%,0)</f>
        <v>11124</v>
      </c>
      <c r="AW330" s="16">
        <v>0</v>
      </c>
      <c r="AX330" s="16">
        <v>0</v>
      </c>
      <c r="AY330" s="421">
        <f t="shared" si="589"/>
        <v>0</v>
      </c>
      <c r="AZ330" s="421">
        <f t="shared" si="590"/>
        <v>1499519</v>
      </c>
      <c r="BA330" s="13">
        <v>0</v>
      </c>
      <c r="BB330" s="13">
        <v>0</v>
      </c>
      <c r="BC330" s="13">
        <v>3</v>
      </c>
      <c r="BD330" s="422">
        <v>0</v>
      </c>
      <c r="BE330" s="422">
        <v>0</v>
      </c>
      <c r="BF330" s="422">
        <v>0</v>
      </c>
      <c r="BG330" s="422">
        <v>0</v>
      </c>
      <c r="BH330" s="422">
        <v>0</v>
      </c>
      <c r="BI330" s="422">
        <v>0</v>
      </c>
      <c r="BJ330" s="422">
        <v>0</v>
      </c>
      <c r="BK330" s="422">
        <f>BA330+BC330+BD330+BF330+BH330+BI330</f>
        <v>3</v>
      </c>
      <c r="BL330" s="422">
        <f>BB330+BE330+BG330+BJ330</f>
        <v>0</v>
      </c>
      <c r="BM330" s="424">
        <f t="shared" si="591"/>
        <v>3</v>
      </c>
      <c r="BN330" s="427">
        <f>I330+AZ330</f>
        <v>1499519</v>
      </c>
      <c r="BO330" s="421">
        <f>J330+AH330</f>
        <v>1112403</v>
      </c>
      <c r="BP330" s="421">
        <f t="shared" si="715"/>
        <v>1112403</v>
      </c>
      <c r="BQ330" s="421">
        <f t="shared" si="715"/>
        <v>0</v>
      </c>
      <c r="BR330" s="421">
        <f>M330+AQ330</f>
        <v>0</v>
      </c>
      <c r="BS330" s="421">
        <f t="shared" si="716"/>
        <v>0</v>
      </c>
      <c r="BT330" s="421">
        <f t="shared" si="716"/>
        <v>0</v>
      </c>
      <c r="BU330" s="421">
        <f t="shared" si="717"/>
        <v>375992</v>
      </c>
      <c r="BV330" s="421">
        <f t="shared" si="717"/>
        <v>11124</v>
      </c>
      <c r="BW330" s="421">
        <f>R330+AY330</f>
        <v>0</v>
      </c>
      <c r="BX330" s="422">
        <f>S330+BM330</f>
        <v>3</v>
      </c>
      <c r="BY330" s="422">
        <f t="shared" si="718"/>
        <v>3</v>
      </c>
      <c r="BZ330" s="611">
        <f t="shared" si="718"/>
        <v>0</v>
      </c>
      <c r="CA330" s="423"/>
      <c r="CB330" s="418"/>
      <c r="CC330" s="418"/>
      <c r="CD330" s="418"/>
      <c r="CE330" s="418"/>
      <c r="CF330" s="527"/>
    </row>
    <row r="331" spans="1:84" ht="14.1" customHeight="1" x14ac:dyDescent="0.2">
      <c r="A331" s="66">
        <v>67</v>
      </c>
      <c r="B331" s="63">
        <v>2404</v>
      </c>
      <c r="C331" s="64">
        <v>600078957</v>
      </c>
      <c r="D331" s="63">
        <v>70983135</v>
      </c>
      <c r="E331" s="65" t="s">
        <v>670</v>
      </c>
      <c r="F331" s="66">
        <v>3141</v>
      </c>
      <c r="G331" s="65" t="s">
        <v>295</v>
      </c>
      <c r="H331" s="67" t="s">
        <v>272</v>
      </c>
      <c r="I331" s="423">
        <f t="shared" si="576"/>
        <v>559728</v>
      </c>
      <c r="J331" s="418">
        <f t="shared" si="577"/>
        <v>413515</v>
      </c>
      <c r="K331" s="418">
        <v>0</v>
      </c>
      <c r="L331" s="924">
        <v>413515</v>
      </c>
      <c r="M331" s="418">
        <f>N331+O331</f>
        <v>0</v>
      </c>
      <c r="N331" s="205">
        <v>0</v>
      </c>
      <c r="O331" s="205">
        <v>0</v>
      </c>
      <c r="P331" s="668">
        <f t="shared" si="593"/>
        <v>139768</v>
      </c>
      <c r="Q331" s="668">
        <f t="shared" si="594"/>
        <v>4135</v>
      </c>
      <c r="R331" s="674">
        <v>2310</v>
      </c>
      <c r="S331" s="419">
        <f>T331+U331</f>
        <v>1.24</v>
      </c>
      <c r="T331" s="676">
        <v>0</v>
      </c>
      <c r="U331" s="909">
        <v>1.24</v>
      </c>
      <c r="V331" s="428">
        <f t="shared" si="580"/>
        <v>0</v>
      </c>
      <c r="W331" s="421">
        <f t="shared" si="581"/>
        <v>0</v>
      </c>
      <c r="X331" s="421">
        <v>0</v>
      </c>
      <c r="Y331" s="421">
        <v>0</v>
      </c>
      <c r="Z331" s="421">
        <v>0</v>
      </c>
      <c r="AA331" s="421">
        <v>0</v>
      </c>
      <c r="AB331" s="421">
        <v>0</v>
      </c>
      <c r="AC331" s="421">
        <v>0</v>
      </c>
      <c r="AD331" s="421">
        <v>0</v>
      </c>
      <c r="AE331" s="421">
        <v>0</v>
      </c>
      <c r="AF331" s="421">
        <f t="shared" si="582"/>
        <v>0</v>
      </c>
      <c r="AG331" s="421">
        <f t="shared" si="583"/>
        <v>0</v>
      </c>
      <c r="AH331" s="421">
        <f t="shared" si="584"/>
        <v>0</v>
      </c>
      <c r="AI331" s="421">
        <v>0</v>
      </c>
      <c r="AJ331" s="421">
        <v>0</v>
      </c>
      <c r="AK331" s="421">
        <v>0</v>
      </c>
      <c r="AL331" s="421">
        <v>0</v>
      </c>
      <c r="AM331" s="421">
        <v>0</v>
      </c>
      <c r="AN331" s="421">
        <v>0</v>
      </c>
      <c r="AO331" s="421">
        <f t="shared" si="585"/>
        <v>0</v>
      </c>
      <c r="AP331" s="421">
        <f t="shared" si="586"/>
        <v>0</v>
      </c>
      <c r="AQ331" s="421">
        <f t="shared" si="587"/>
        <v>0</v>
      </c>
      <c r="AR331" s="421">
        <f t="shared" si="713"/>
        <v>0</v>
      </c>
      <c r="AS331" s="421">
        <f t="shared" si="713"/>
        <v>0</v>
      </c>
      <c r="AT331" s="421">
        <f t="shared" si="588"/>
        <v>0</v>
      </c>
      <c r="AU331" s="68">
        <f t="shared" si="714"/>
        <v>0</v>
      </c>
      <c r="AV331" s="68">
        <f>ROUND(AH331*1%,0)</f>
        <v>0</v>
      </c>
      <c r="AW331" s="421">
        <v>0</v>
      </c>
      <c r="AX331" s="421">
        <v>0</v>
      </c>
      <c r="AY331" s="421">
        <f t="shared" si="589"/>
        <v>0</v>
      </c>
      <c r="AZ331" s="421">
        <f t="shared" si="590"/>
        <v>0</v>
      </c>
      <c r="BA331" s="422">
        <v>0</v>
      </c>
      <c r="BB331" s="422">
        <v>0</v>
      </c>
      <c r="BC331" s="422">
        <v>0</v>
      </c>
      <c r="BD331" s="422">
        <v>0</v>
      </c>
      <c r="BE331" s="422">
        <v>0</v>
      </c>
      <c r="BF331" s="422">
        <v>0</v>
      </c>
      <c r="BG331" s="422">
        <v>0</v>
      </c>
      <c r="BH331" s="422">
        <v>0</v>
      </c>
      <c r="BI331" s="422">
        <v>0</v>
      </c>
      <c r="BJ331" s="422">
        <v>0</v>
      </c>
      <c r="BK331" s="422">
        <f>BA331+BC331+BD331+BF331+BH331+BI331</f>
        <v>0</v>
      </c>
      <c r="BL331" s="422">
        <f>BB331+BE331+BG331+BJ331</f>
        <v>0</v>
      </c>
      <c r="BM331" s="424">
        <f t="shared" si="591"/>
        <v>0</v>
      </c>
      <c r="BN331" s="427">
        <f>I331+AZ331</f>
        <v>559728</v>
      </c>
      <c r="BO331" s="421">
        <f>J331+AH331</f>
        <v>413515</v>
      </c>
      <c r="BP331" s="421">
        <f t="shared" si="715"/>
        <v>0</v>
      </c>
      <c r="BQ331" s="421">
        <f t="shared" si="715"/>
        <v>413515</v>
      </c>
      <c r="BR331" s="421">
        <f>M331+AQ331</f>
        <v>0</v>
      </c>
      <c r="BS331" s="421">
        <f t="shared" si="716"/>
        <v>0</v>
      </c>
      <c r="BT331" s="421">
        <f t="shared" si="716"/>
        <v>0</v>
      </c>
      <c r="BU331" s="421">
        <f t="shared" si="717"/>
        <v>139768</v>
      </c>
      <c r="BV331" s="421">
        <f t="shared" si="717"/>
        <v>4135</v>
      </c>
      <c r="BW331" s="421">
        <f>R331+AY331</f>
        <v>2310</v>
      </c>
      <c r="BX331" s="422">
        <f>S331+BM331</f>
        <v>1.24</v>
      </c>
      <c r="BY331" s="422">
        <f t="shared" si="718"/>
        <v>0</v>
      </c>
      <c r="BZ331" s="611">
        <f t="shared" si="718"/>
        <v>1.24</v>
      </c>
      <c r="CA331" s="423"/>
      <c r="CB331" s="418"/>
      <c r="CC331" s="418"/>
      <c r="CD331" s="418"/>
      <c r="CE331" s="418"/>
      <c r="CF331" s="527"/>
    </row>
    <row r="332" spans="1:84" ht="14.1" customHeight="1" x14ac:dyDescent="0.2">
      <c r="A332" s="72">
        <v>67</v>
      </c>
      <c r="B332" s="69">
        <v>2404</v>
      </c>
      <c r="C332" s="70">
        <v>600078957</v>
      </c>
      <c r="D332" s="69">
        <v>70983135</v>
      </c>
      <c r="E332" s="71" t="s">
        <v>671</v>
      </c>
      <c r="F332" s="72"/>
      <c r="G332" s="71"/>
      <c r="H332" s="73"/>
      <c r="I332" s="538">
        <f t="shared" ref="I332:BU332" si="719">SUM(I329:I331)</f>
        <v>5860696</v>
      </c>
      <c r="J332" s="74">
        <f t="shared" si="719"/>
        <v>4332911</v>
      </c>
      <c r="K332" s="74">
        <f t="shared" si="719"/>
        <v>3566735</v>
      </c>
      <c r="L332" s="74">
        <f t="shared" si="719"/>
        <v>766176</v>
      </c>
      <c r="M332" s="74">
        <f t="shared" si="719"/>
        <v>0</v>
      </c>
      <c r="N332" s="74">
        <f t="shared" si="719"/>
        <v>0</v>
      </c>
      <c r="O332" s="74">
        <f t="shared" si="719"/>
        <v>0</v>
      </c>
      <c r="P332" s="74">
        <f t="shared" si="719"/>
        <v>1464524</v>
      </c>
      <c r="Q332" s="74">
        <f t="shared" si="719"/>
        <v>43329</v>
      </c>
      <c r="R332" s="74">
        <f t="shared" si="719"/>
        <v>19932</v>
      </c>
      <c r="S332" s="75">
        <f t="shared" si="719"/>
        <v>8.4400999999999993</v>
      </c>
      <c r="T332" s="75">
        <f t="shared" si="719"/>
        <v>6</v>
      </c>
      <c r="U332" s="753">
        <f t="shared" si="719"/>
        <v>2.4401000000000002</v>
      </c>
      <c r="V332" s="538">
        <f t="shared" si="719"/>
        <v>0</v>
      </c>
      <c r="W332" s="74">
        <f t="shared" si="719"/>
        <v>0</v>
      </c>
      <c r="X332" s="74">
        <f t="shared" si="719"/>
        <v>1112403</v>
      </c>
      <c r="Y332" s="74">
        <f t="shared" si="719"/>
        <v>0</v>
      </c>
      <c r="Z332" s="74">
        <f t="shared" si="719"/>
        <v>0</v>
      </c>
      <c r="AA332" s="74">
        <f t="shared" si="719"/>
        <v>0</v>
      </c>
      <c r="AB332" s="74">
        <f t="shared" si="719"/>
        <v>0</v>
      </c>
      <c r="AC332" s="74">
        <f t="shared" si="719"/>
        <v>0</v>
      </c>
      <c r="AD332" s="74">
        <f t="shared" si="719"/>
        <v>0</v>
      </c>
      <c r="AE332" s="74">
        <f t="shared" si="719"/>
        <v>0</v>
      </c>
      <c r="AF332" s="74">
        <f t="shared" si="719"/>
        <v>1112403</v>
      </c>
      <c r="AG332" s="74">
        <f t="shared" si="719"/>
        <v>0</v>
      </c>
      <c r="AH332" s="74">
        <f t="shared" si="719"/>
        <v>1112403</v>
      </c>
      <c r="AI332" s="74">
        <f t="shared" si="719"/>
        <v>0</v>
      </c>
      <c r="AJ332" s="74">
        <f t="shared" si="719"/>
        <v>0</v>
      </c>
      <c r="AK332" s="74">
        <f t="shared" si="719"/>
        <v>0</v>
      </c>
      <c r="AL332" s="74">
        <f t="shared" si="719"/>
        <v>0</v>
      </c>
      <c r="AM332" s="74">
        <f t="shared" si="719"/>
        <v>0</v>
      </c>
      <c r="AN332" s="74">
        <f t="shared" si="719"/>
        <v>0</v>
      </c>
      <c r="AO332" s="74">
        <f t="shared" si="719"/>
        <v>0</v>
      </c>
      <c r="AP332" s="74">
        <f t="shared" si="719"/>
        <v>0</v>
      </c>
      <c r="AQ332" s="74">
        <f t="shared" si="719"/>
        <v>0</v>
      </c>
      <c r="AR332" s="74">
        <f t="shared" si="719"/>
        <v>1112403</v>
      </c>
      <c r="AS332" s="74">
        <f t="shared" si="719"/>
        <v>0</v>
      </c>
      <c r="AT332" s="74">
        <f t="shared" si="719"/>
        <v>1112403</v>
      </c>
      <c r="AU332" s="74">
        <f t="shared" si="719"/>
        <v>375992</v>
      </c>
      <c r="AV332" s="74">
        <f t="shared" si="719"/>
        <v>11124</v>
      </c>
      <c r="AW332" s="74">
        <f t="shared" si="719"/>
        <v>0</v>
      </c>
      <c r="AX332" s="74">
        <f t="shared" si="719"/>
        <v>0</v>
      </c>
      <c r="AY332" s="74">
        <f t="shared" si="719"/>
        <v>0</v>
      </c>
      <c r="AZ332" s="74">
        <f t="shared" si="719"/>
        <v>1499519</v>
      </c>
      <c r="BA332" s="75">
        <f t="shared" si="719"/>
        <v>0</v>
      </c>
      <c r="BB332" s="75">
        <f t="shared" si="719"/>
        <v>0</v>
      </c>
      <c r="BC332" s="75">
        <f t="shared" si="719"/>
        <v>3</v>
      </c>
      <c r="BD332" s="75">
        <f t="shared" si="719"/>
        <v>0</v>
      </c>
      <c r="BE332" s="75">
        <f t="shared" si="719"/>
        <v>0</v>
      </c>
      <c r="BF332" s="75">
        <f t="shared" si="719"/>
        <v>0</v>
      </c>
      <c r="BG332" s="75">
        <f t="shared" si="719"/>
        <v>0</v>
      </c>
      <c r="BH332" s="75">
        <f t="shared" si="719"/>
        <v>0</v>
      </c>
      <c r="BI332" s="75">
        <f t="shared" si="719"/>
        <v>0</v>
      </c>
      <c r="BJ332" s="75">
        <f t="shared" si="719"/>
        <v>0</v>
      </c>
      <c r="BK332" s="75">
        <f t="shared" si="719"/>
        <v>3</v>
      </c>
      <c r="BL332" s="75">
        <f t="shared" si="719"/>
        <v>0</v>
      </c>
      <c r="BM332" s="76">
        <f t="shared" si="719"/>
        <v>3</v>
      </c>
      <c r="BN332" s="549">
        <f t="shared" si="719"/>
        <v>7360215</v>
      </c>
      <c r="BO332" s="74">
        <f t="shared" si="719"/>
        <v>5445314</v>
      </c>
      <c r="BP332" s="74">
        <f t="shared" si="719"/>
        <v>4679138</v>
      </c>
      <c r="BQ332" s="74">
        <f t="shared" si="719"/>
        <v>766176</v>
      </c>
      <c r="BR332" s="74">
        <f t="shared" si="719"/>
        <v>0</v>
      </c>
      <c r="BS332" s="74">
        <f t="shared" si="719"/>
        <v>0</v>
      </c>
      <c r="BT332" s="74">
        <f t="shared" si="719"/>
        <v>0</v>
      </c>
      <c r="BU332" s="74">
        <f t="shared" si="719"/>
        <v>1840516</v>
      </c>
      <c r="BV332" s="74">
        <f t="shared" ref="BV332:CF332" si="720">SUM(BV329:BV331)</f>
        <v>54453</v>
      </c>
      <c r="BW332" s="74">
        <f t="shared" si="720"/>
        <v>19932</v>
      </c>
      <c r="BX332" s="75">
        <f t="shared" si="720"/>
        <v>11.440099999999999</v>
      </c>
      <c r="BY332" s="75">
        <f t="shared" si="720"/>
        <v>9</v>
      </c>
      <c r="BZ332" s="753">
        <f t="shared" si="720"/>
        <v>2.4401000000000002</v>
      </c>
      <c r="CA332" s="796">
        <f t="shared" si="720"/>
        <v>0</v>
      </c>
      <c r="CB332" s="789">
        <f t="shared" si="720"/>
        <v>0</v>
      </c>
      <c r="CC332" s="789">
        <f t="shared" si="720"/>
        <v>0</v>
      </c>
      <c r="CD332" s="789">
        <f t="shared" si="720"/>
        <v>0</v>
      </c>
      <c r="CE332" s="789">
        <f t="shared" si="720"/>
        <v>0</v>
      </c>
      <c r="CF332" s="793">
        <f t="shared" si="720"/>
        <v>0</v>
      </c>
    </row>
    <row r="333" spans="1:84" ht="14.1" customHeight="1" x14ac:dyDescent="0.2">
      <c r="A333" s="66">
        <v>68</v>
      </c>
      <c r="B333" s="63">
        <v>2439</v>
      </c>
      <c r="C333" s="64">
        <v>600078965</v>
      </c>
      <c r="D333" s="63">
        <v>70983143</v>
      </c>
      <c r="E333" s="65" t="s">
        <v>672</v>
      </c>
      <c r="F333" s="66">
        <v>3111</v>
      </c>
      <c r="G333" s="65" t="s">
        <v>291</v>
      </c>
      <c r="H333" s="67" t="s">
        <v>271</v>
      </c>
      <c r="I333" s="423">
        <f t="shared" ref="I333:I396" si="721">J333+M333+P333+Q333+R333</f>
        <v>3304487</v>
      </c>
      <c r="J333" s="418">
        <f t="shared" ref="J333:J396" si="722">K333+L333</f>
        <v>2443675</v>
      </c>
      <c r="K333" s="418">
        <v>2221883</v>
      </c>
      <c r="L333" s="418">
        <v>221792</v>
      </c>
      <c r="M333" s="418">
        <f>N333+O333</f>
        <v>0</v>
      </c>
      <c r="N333" s="418">
        <v>0</v>
      </c>
      <c r="O333" s="418">
        <v>0</v>
      </c>
      <c r="P333" s="668">
        <f t="shared" ref="P333:P396" si="723">ROUND(J333*33.8%,0)</f>
        <v>825962</v>
      </c>
      <c r="Q333" s="668">
        <f t="shared" ref="Q333:Q396" si="724">ROUND(J333*1%,0)</f>
        <v>24437</v>
      </c>
      <c r="R333" s="418">
        <v>10413</v>
      </c>
      <c r="S333" s="419">
        <f t="shared" ref="S333:S395" si="725">T333+U333</f>
        <v>4.7466999999999997</v>
      </c>
      <c r="T333" s="419">
        <v>4</v>
      </c>
      <c r="U333" s="426">
        <v>0.74669999999999992</v>
      </c>
      <c r="V333" s="428">
        <f t="shared" ref="V333:V396" si="726">AI333*-1</f>
        <v>0</v>
      </c>
      <c r="W333" s="421">
        <f t="shared" ref="W333:W396" si="727">AJ333*-1</f>
        <v>0</v>
      </c>
      <c r="X333" s="421">
        <v>0</v>
      </c>
      <c r="Y333" s="421">
        <v>0</v>
      </c>
      <c r="Z333" s="421">
        <v>0</v>
      </c>
      <c r="AA333" s="421">
        <v>0</v>
      </c>
      <c r="AB333" s="421">
        <v>0</v>
      </c>
      <c r="AC333" s="421">
        <v>0</v>
      </c>
      <c r="AD333" s="421">
        <v>0</v>
      </c>
      <c r="AE333" s="421">
        <v>0</v>
      </c>
      <c r="AF333" s="421">
        <f t="shared" ref="AF333:AF396" si="728">V333+X333+Y333+AA333+AB333+AD333</f>
        <v>0</v>
      </c>
      <c r="AG333" s="421">
        <f t="shared" ref="AG333:AG396" si="729">W333+Z333+AC333+AE333</f>
        <v>0</v>
      </c>
      <c r="AH333" s="421">
        <f t="shared" ref="AH333:AH396" si="730">SUM(AF333:AG333)</f>
        <v>0</v>
      </c>
      <c r="AI333" s="421">
        <v>0</v>
      </c>
      <c r="AJ333" s="421">
        <v>0</v>
      </c>
      <c r="AK333" s="421">
        <v>0</v>
      </c>
      <c r="AL333" s="421">
        <v>0</v>
      </c>
      <c r="AM333" s="421">
        <v>0</v>
      </c>
      <c r="AN333" s="421">
        <v>0</v>
      </c>
      <c r="AO333" s="421">
        <f t="shared" ref="AO333:AO396" si="731">AI333+AL333+AK333+AM333</f>
        <v>0</v>
      </c>
      <c r="AP333" s="421">
        <f t="shared" ref="AP333:AP396" si="732">AJ333+AN333</f>
        <v>0</v>
      </c>
      <c r="AQ333" s="421">
        <f t="shared" ref="AQ333:AQ396" si="733">SUM(AO333:AP333)</f>
        <v>0</v>
      </c>
      <c r="AR333" s="421">
        <f t="shared" ref="AR333:AS335" si="734">AF333+AO333</f>
        <v>0</v>
      </c>
      <c r="AS333" s="421">
        <f t="shared" si="734"/>
        <v>0</v>
      </c>
      <c r="AT333" s="421">
        <f t="shared" ref="AT333:AT396" si="735">SUM(AR333:AS333)</f>
        <v>0</v>
      </c>
      <c r="AU333" s="68">
        <f t="shared" ref="AU333:AU335" si="736">ROUND((AH333+AI333+AJ333+AK333+AL333)*33.8%,0)</f>
        <v>0</v>
      </c>
      <c r="AV333" s="68">
        <f>ROUND(AH333*1%,0)</f>
        <v>0</v>
      </c>
      <c r="AW333" s="421">
        <v>0</v>
      </c>
      <c r="AX333" s="421">
        <v>0</v>
      </c>
      <c r="AY333" s="421">
        <f t="shared" ref="AY333:AY396" si="737">AW333+AX333</f>
        <v>0</v>
      </c>
      <c r="AZ333" s="421">
        <f t="shared" ref="AZ333:AZ396" si="738">AT333+AU333+AV333+AY333</f>
        <v>0</v>
      </c>
      <c r="BA333" s="422">
        <v>0</v>
      </c>
      <c r="BB333" s="422">
        <v>0</v>
      </c>
      <c r="BC333" s="422">
        <v>0</v>
      </c>
      <c r="BD333" s="422">
        <v>0</v>
      </c>
      <c r="BE333" s="422">
        <v>0</v>
      </c>
      <c r="BF333" s="422">
        <v>0</v>
      </c>
      <c r="BG333" s="422">
        <v>0</v>
      </c>
      <c r="BH333" s="422">
        <v>0</v>
      </c>
      <c r="BI333" s="422">
        <v>0</v>
      </c>
      <c r="BJ333" s="422">
        <v>0</v>
      </c>
      <c r="BK333" s="422">
        <f>BA333+BC333+BD333+BF333+BH333+BI333</f>
        <v>0</v>
      </c>
      <c r="BL333" s="422">
        <f>BB333+BE333+BG333+BJ333</f>
        <v>0</v>
      </c>
      <c r="BM333" s="424">
        <f t="shared" ref="BM333:BM396" si="739">SUM(BK333:BL333)</f>
        <v>0</v>
      </c>
      <c r="BN333" s="427">
        <f>I333+AZ333</f>
        <v>3304487</v>
      </c>
      <c r="BO333" s="421">
        <f>J333+AH333</f>
        <v>2443675</v>
      </c>
      <c r="BP333" s="421">
        <f t="shared" ref="BP333:BQ335" si="740">K333+AF333</f>
        <v>2221883</v>
      </c>
      <c r="BQ333" s="421">
        <f t="shared" si="740"/>
        <v>221792</v>
      </c>
      <c r="BR333" s="421">
        <f>M333+AQ333</f>
        <v>0</v>
      </c>
      <c r="BS333" s="421">
        <f t="shared" ref="BS333:BT335" si="741">N333+AO333</f>
        <v>0</v>
      </c>
      <c r="BT333" s="421">
        <f t="shared" si="741"/>
        <v>0</v>
      </c>
      <c r="BU333" s="421">
        <f t="shared" ref="BU333:BV335" si="742">P333+AU333</f>
        <v>825962</v>
      </c>
      <c r="BV333" s="421">
        <f t="shared" si="742"/>
        <v>24437</v>
      </c>
      <c r="BW333" s="421">
        <f>R333+AY333</f>
        <v>10413</v>
      </c>
      <c r="BX333" s="422">
        <f>S333+BM333</f>
        <v>4.7466999999999997</v>
      </c>
      <c r="BY333" s="422">
        <f t="shared" ref="BY333:BZ335" si="743">T333+BK333</f>
        <v>4</v>
      </c>
      <c r="BZ333" s="611">
        <f t="shared" si="743"/>
        <v>0.74669999999999992</v>
      </c>
      <c r="CA333" s="423"/>
      <c r="CB333" s="418"/>
      <c r="CC333" s="418"/>
      <c r="CD333" s="418"/>
      <c r="CE333" s="418"/>
      <c r="CF333" s="527"/>
    </row>
    <row r="334" spans="1:84" ht="14.1" customHeight="1" x14ac:dyDescent="0.2">
      <c r="A334" s="66">
        <v>68</v>
      </c>
      <c r="B334" s="63">
        <v>2439</v>
      </c>
      <c r="C334" s="64">
        <v>600078965</v>
      </c>
      <c r="D334" s="63">
        <v>70983143</v>
      </c>
      <c r="E334" s="65" t="s">
        <v>672</v>
      </c>
      <c r="F334" s="66">
        <v>3111</v>
      </c>
      <c r="G334" s="65" t="s">
        <v>292</v>
      </c>
      <c r="H334" s="67" t="s">
        <v>272</v>
      </c>
      <c r="I334" s="423">
        <f t="shared" si="721"/>
        <v>0</v>
      </c>
      <c r="J334" s="418">
        <f t="shared" si="722"/>
        <v>0</v>
      </c>
      <c r="K334" s="418">
        <v>0</v>
      </c>
      <c r="L334" s="418">
        <v>0</v>
      </c>
      <c r="M334" s="418">
        <f t="shared" ref="M334:M395" si="744">N334+O334</f>
        <v>0</v>
      </c>
      <c r="N334" s="418">
        <v>0</v>
      </c>
      <c r="O334" s="418">
        <v>0</v>
      </c>
      <c r="P334" s="668">
        <f t="shared" si="723"/>
        <v>0</v>
      </c>
      <c r="Q334" s="668">
        <f t="shared" si="724"/>
        <v>0</v>
      </c>
      <c r="R334" s="418">
        <v>0</v>
      </c>
      <c r="S334" s="419">
        <f t="shared" si="725"/>
        <v>0</v>
      </c>
      <c r="T334" s="420">
        <v>0</v>
      </c>
      <c r="U334" s="426">
        <v>0</v>
      </c>
      <c r="V334" s="428">
        <f t="shared" si="726"/>
        <v>0</v>
      </c>
      <c r="W334" s="421">
        <f t="shared" si="727"/>
        <v>0</v>
      </c>
      <c r="X334" s="16">
        <v>271921</v>
      </c>
      <c r="Y334" s="16">
        <v>0</v>
      </c>
      <c r="Z334" s="16">
        <v>0</v>
      </c>
      <c r="AA334" s="16">
        <v>0</v>
      </c>
      <c r="AB334" s="421">
        <v>0</v>
      </c>
      <c r="AC334" s="16">
        <v>0</v>
      </c>
      <c r="AD334" s="16">
        <v>0</v>
      </c>
      <c r="AE334" s="16">
        <v>0</v>
      </c>
      <c r="AF334" s="421">
        <f t="shared" si="728"/>
        <v>271921</v>
      </c>
      <c r="AG334" s="421">
        <f t="shared" si="729"/>
        <v>0</v>
      </c>
      <c r="AH334" s="421">
        <f t="shared" si="730"/>
        <v>271921</v>
      </c>
      <c r="AI334" s="16">
        <v>0</v>
      </c>
      <c r="AJ334" s="16">
        <v>0</v>
      </c>
      <c r="AK334" s="421">
        <v>0</v>
      </c>
      <c r="AL334" s="16">
        <v>0</v>
      </c>
      <c r="AM334" s="16">
        <v>0</v>
      </c>
      <c r="AN334" s="16">
        <v>0</v>
      </c>
      <c r="AO334" s="421">
        <f t="shared" si="731"/>
        <v>0</v>
      </c>
      <c r="AP334" s="16">
        <v>0</v>
      </c>
      <c r="AQ334" s="421">
        <f t="shared" si="733"/>
        <v>0</v>
      </c>
      <c r="AR334" s="421">
        <f t="shared" si="734"/>
        <v>271921</v>
      </c>
      <c r="AS334" s="421">
        <f t="shared" si="734"/>
        <v>0</v>
      </c>
      <c r="AT334" s="421">
        <f t="shared" si="735"/>
        <v>271921</v>
      </c>
      <c r="AU334" s="68">
        <f t="shared" si="736"/>
        <v>91909</v>
      </c>
      <c r="AV334" s="68">
        <f>ROUND(AH334*1%,0)</f>
        <v>2719</v>
      </c>
      <c r="AW334" s="16">
        <v>0</v>
      </c>
      <c r="AX334" s="16">
        <v>0</v>
      </c>
      <c r="AY334" s="421">
        <f t="shared" si="737"/>
        <v>0</v>
      </c>
      <c r="AZ334" s="421">
        <f t="shared" si="738"/>
        <v>366549</v>
      </c>
      <c r="BA334" s="13">
        <v>0</v>
      </c>
      <c r="BB334" s="13">
        <v>0</v>
      </c>
      <c r="BC334" s="13">
        <v>1</v>
      </c>
      <c r="BD334" s="422">
        <v>0</v>
      </c>
      <c r="BE334" s="422">
        <v>0</v>
      </c>
      <c r="BF334" s="422">
        <v>0</v>
      </c>
      <c r="BG334" s="422">
        <v>0</v>
      </c>
      <c r="BH334" s="422">
        <v>0</v>
      </c>
      <c r="BI334" s="422">
        <v>0</v>
      </c>
      <c r="BJ334" s="422">
        <v>0</v>
      </c>
      <c r="BK334" s="422">
        <f>BA334+BC334+BD334+BF334+BH334+BI334</f>
        <v>1</v>
      </c>
      <c r="BL334" s="422">
        <f>BB334+BE334+BG334+BJ334</f>
        <v>0</v>
      </c>
      <c r="BM334" s="424">
        <f t="shared" si="739"/>
        <v>1</v>
      </c>
      <c r="BN334" s="427">
        <f>I334+AZ334</f>
        <v>366549</v>
      </c>
      <c r="BO334" s="421">
        <f>J334+AH334</f>
        <v>271921</v>
      </c>
      <c r="BP334" s="421">
        <f t="shared" si="740"/>
        <v>271921</v>
      </c>
      <c r="BQ334" s="421">
        <f t="shared" si="740"/>
        <v>0</v>
      </c>
      <c r="BR334" s="421">
        <f>M334+AQ334</f>
        <v>0</v>
      </c>
      <c r="BS334" s="421">
        <f t="shared" si="741"/>
        <v>0</v>
      </c>
      <c r="BT334" s="421">
        <f t="shared" si="741"/>
        <v>0</v>
      </c>
      <c r="BU334" s="421">
        <f t="shared" si="742"/>
        <v>91909</v>
      </c>
      <c r="BV334" s="421">
        <f t="shared" si="742"/>
        <v>2719</v>
      </c>
      <c r="BW334" s="421">
        <f>R334+AY334</f>
        <v>0</v>
      </c>
      <c r="BX334" s="422">
        <f>S334+BM334</f>
        <v>1</v>
      </c>
      <c r="BY334" s="422">
        <f t="shared" si="743"/>
        <v>1</v>
      </c>
      <c r="BZ334" s="611">
        <f t="shared" si="743"/>
        <v>0</v>
      </c>
      <c r="CA334" s="423"/>
      <c r="CB334" s="418"/>
      <c r="CC334" s="418"/>
      <c r="CD334" s="418"/>
      <c r="CE334" s="418"/>
      <c r="CF334" s="527"/>
    </row>
    <row r="335" spans="1:84" ht="14.1" customHeight="1" x14ac:dyDescent="0.2">
      <c r="A335" s="66">
        <v>68</v>
      </c>
      <c r="B335" s="63">
        <v>2439</v>
      </c>
      <c r="C335" s="64">
        <v>600078965</v>
      </c>
      <c r="D335" s="63">
        <v>70983143</v>
      </c>
      <c r="E335" s="65" t="s">
        <v>672</v>
      </c>
      <c r="F335" s="66">
        <v>3141</v>
      </c>
      <c r="G335" s="65" t="s">
        <v>295</v>
      </c>
      <c r="H335" s="67" t="s">
        <v>272</v>
      </c>
      <c r="I335" s="423">
        <f t="shared" si="721"/>
        <v>396987</v>
      </c>
      <c r="J335" s="418">
        <f t="shared" si="722"/>
        <v>293462</v>
      </c>
      <c r="K335" s="418">
        <v>0</v>
      </c>
      <c r="L335" s="924">
        <v>293462</v>
      </c>
      <c r="M335" s="418">
        <f>N335+O335</f>
        <v>0</v>
      </c>
      <c r="N335" s="205">
        <v>0</v>
      </c>
      <c r="O335" s="205">
        <v>0</v>
      </c>
      <c r="P335" s="668">
        <f t="shared" si="723"/>
        <v>99190</v>
      </c>
      <c r="Q335" s="668">
        <f t="shared" si="724"/>
        <v>2935</v>
      </c>
      <c r="R335" s="674">
        <v>1400</v>
      </c>
      <c r="S335" s="419">
        <f>T335+U335</f>
        <v>0.88</v>
      </c>
      <c r="T335" s="676">
        <v>0</v>
      </c>
      <c r="U335" s="909">
        <v>0.88</v>
      </c>
      <c r="V335" s="428">
        <f t="shared" si="726"/>
        <v>0</v>
      </c>
      <c r="W335" s="421">
        <f t="shared" si="727"/>
        <v>0</v>
      </c>
      <c r="X335" s="421">
        <v>0</v>
      </c>
      <c r="Y335" s="421">
        <v>0</v>
      </c>
      <c r="Z335" s="421">
        <v>0</v>
      </c>
      <c r="AA335" s="421">
        <v>0</v>
      </c>
      <c r="AB335" s="421">
        <v>0</v>
      </c>
      <c r="AC335" s="421">
        <v>0</v>
      </c>
      <c r="AD335" s="421">
        <v>0</v>
      </c>
      <c r="AE335" s="421">
        <v>0</v>
      </c>
      <c r="AF335" s="421">
        <f t="shared" si="728"/>
        <v>0</v>
      </c>
      <c r="AG335" s="421">
        <f t="shared" si="729"/>
        <v>0</v>
      </c>
      <c r="AH335" s="421">
        <f t="shared" si="730"/>
        <v>0</v>
      </c>
      <c r="AI335" s="421">
        <v>0</v>
      </c>
      <c r="AJ335" s="421">
        <v>0</v>
      </c>
      <c r="AK335" s="421">
        <v>0</v>
      </c>
      <c r="AL335" s="421">
        <v>0</v>
      </c>
      <c r="AM335" s="421">
        <v>0</v>
      </c>
      <c r="AN335" s="421">
        <v>0</v>
      </c>
      <c r="AO335" s="421">
        <f t="shared" si="731"/>
        <v>0</v>
      </c>
      <c r="AP335" s="421">
        <f t="shared" si="732"/>
        <v>0</v>
      </c>
      <c r="AQ335" s="421">
        <f t="shared" si="733"/>
        <v>0</v>
      </c>
      <c r="AR335" s="421">
        <f t="shared" si="734"/>
        <v>0</v>
      </c>
      <c r="AS335" s="421">
        <f t="shared" si="734"/>
        <v>0</v>
      </c>
      <c r="AT335" s="421">
        <f t="shared" si="735"/>
        <v>0</v>
      </c>
      <c r="AU335" s="68">
        <f t="shared" si="736"/>
        <v>0</v>
      </c>
      <c r="AV335" s="68">
        <f>ROUND(AH335*1%,0)</f>
        <v>0</v>
      </c>
      <c r="AW335" s="421">
        <v>0</v>
      </c>
      <c r="AX335" s="421">
        <v>0</v>
      </c>
      <c r="AY335" s="421">
        <f t="shared" si="737"/>
        <v>0</v>
      </c>
      <c r="AZ335" s="421">
        <f t="shared" si="738"/>
        <v>0</v>
      </c>
      <c r="BA335" s="422">
        <v>0</v>
      </c>
      <c r="BB335" s="422">
        <v>0</v>
      </c>
      <c r="BC335" s="422">
        <v>0</v>
      </c>
      <c r="BD335" s="422">
        <v>0</v>
      </c>
      <c r="BE335" s="422">
        <v>0</v>
      </c>
      <c r="BF335" s="422">
        <v>0</v>
      </c>
      <c r="BG335" s="422">
        <v>0</v>
      </c>
      <c r="BH335" s="422">
        <v>0</v>
      </c>
      <c r="BI335" s="422">
        <v>0</v>
      </c>
      <c r="BJ335" s="422">
        <v>0</v>
      </c>
      <c r="BK335" s="422">
        <f>BA335+BC335+BD335+BF335+BH335+BI335</f>
        <v>0</v>
      </c>
      <c r="BL335" s="422">
        <f>BB335+BE335+BG335+BJ335</f>
        <v>0</v>
      </c>
      <c r="BM335" s="424">
        <f t="shared" si="739"/>
        <v>0</v>
      </c>
      <c r="BN335" s="427">
        <f>I335+AZ335</f>
        <v>396987</v>
      </c>
      <c r="BO335" s="421">
        <f>J335+AH335</f>
        <v>293462</v>
      </c>
      <c r="BP335" s="421">
        <f t="shared" si="740"/>
        <v>0</v>
      </c>
      <c r="BQ335" s="421">
        <f t="shared" si="740"/>
        <v>293462</v>
      </c>
      <c r="BR335" s="421">
        <f>M335+AQ335</f>
        <v>0</v>
      </c>
      <c r="BS335" s="421">
        <f t="shared" si="741"/>
        <v>0</v>
      </c>
      <c r="BT335" s="421">
        <f t="shared" si="741"/>
        <v>0</v>
      </c>
      <c r="BU335" s="421">
        <f t="shared" si="742"/>
        <v>99190</v>
      </c>
      <c r="BV335" s="421">
        <f t="shared" si="742"/>
        <v>2935</v>
      </c>
      <c r="BW335" s="421">
        <f>R335+AY335</f>
        <v>1400</v>
      </c>
      <c r="BX335" s="422">
        <f>S335+BM335</f>
        <v>0.88</v>
      </c>
      <c r="BY335" s="422">
        <f t="shared" si="743"/>
        <v>0</v>
      </c>
      <c r="BZ335" s="611">
        <f t="shared" si="743"/>
        <v>0.88</v>
      </c>
      <c r="CA335" s="423"/>
      <c r="CB335" s="418"/>
      <c r="CC335" s="418"/>
      <c r="CD335" s="418"/>
      <c r="CE335" s="418"/>
      <c r="CF335" s="527"/>
    </row>
    <row r="336" spans="1:84" ht="14.1" customHeight="1" x14ac:dyDescent="0.2">
      <c r="A336" s="72">
        <v>68</v>
      </c>
      <c r="B336" s="69">
        <v>2439</v>
      </c>
      <c r="C336" s="70">
        <v>600078965</v>
      </c>
      <c r="D336" s="69">
        <v>70983143</v>
      </c>
      <c r="E336" s="71" t="s">
        <v>673</v>
      </c>
      <c r="F336" s="72"/>
      <c r="G336" s="71"/>
      <c r="H336" s="73"/>
      <c r="I336" s="538">
        <f t="shared" ref="I336:BU336" si="745">SUM(I333:I335)</f>
        <v>3701474</v>
      </c>
      <c r="J336" s="74">
        <f t="shared" si="745"/>
        <v>2737137</v>
      </c>
      <c r="K336" s="74">
        <f t="shared" si="745"/>
        <v>2221883</v>
      </c>
      <c r="L336" s="74">
        <f t="shared" si="745"/>
        <v>515254</v>
      </c>
      <c r="M336" s="74">
        <f t="shared" si="745"/>
        <v>0</v>
      </c>
      <c r="N336" s="74">
        <f t="shared" si="745"/>
        <v>0</v>
      </c>
      <c r="O336" s="74">
        <f t="shared" si="745"/>
        <v>0</v>
      </c>
      <c r="P336" s="74">
        <f t="shared" si="745"/>
        <v>925152</v>
      </c>
      <c r="Q336" s="74">
        <f t="shared" si="745"/>
        <v>27372</v>
      </c>
      <c r="R336" s="74">
        <f t="shared" si="745"/>
        <v>11813</v>
      </c>
      <c r="S336" s="75">
        <f t="shared" si="745"/>
        <v>5.6266999999999996</v>
      </c>
      <c r="T336" s="75">
        <f t="shared" si="745"/>
        <v>4</v>
      </c>
      <c r="U336" s="753">
        <f t="shared" si="745"/>
        <v>1.6267</v>
      </c>
      <c r="V336" s="538">
        <f t="shared" si="745"/>
        <v>0</v>
      </c>
      <c r="W336" s="74">
        <f t="shared" si="745"/>
        <v>0</v>
      </c>
      <c r="X336" s="74">
        <f t="shared" si="745"/>
        <v>271921</v>
      </c>
      <c r="Y336" s="74">
        <f t="shared" si="745"/>
        <v>0</v>
      </c>
      <c r="Z336" s="74">
        <f t="shared" si="745"/>
        <v>0</v>
      </c>
      <c r="AA336" s="74">
        <f t="shared" si="745"/>
        <v>0</v>
      </c>
      <c r="AB336" s="74">
        <f t="shared" si="745"/>
        <v>0</v>
      </c>
      <c r="AC336" s="74">
        <f t="shared" si="745"/>
        <v>0</v>
      </c>
      <c r="AD336" s="74">
        <f t="shared" si="745"/>
        <v>0</v>
      </c>
      <c r="AE336" s="74">
        <f t="shared" si="745"/>
        <v>0</v>
      </c>
      <c r="AF336" s="74">
        <f t="shared" si="745"/>
        <v>271921</v>
      </c>
      <c r="AG336" s="74">
        <f t="shared" si="745"/>
        <v>0</v>
      </c>
      <c r="AH336" s="74">
        <f t="shared" si="745"/>
        <v>271921</v>
      </c>
      <c r="AI336" s="74">
        <f t="shared" si="745"/>
        <v>0</v>
      </c>
      <c r="AJ336" s="74">
        <f t="shared" si="745"/>
        <v>0</v>
      </c>
      <c r="AK336" s="74">
        <f t="shared" si="745"/>
        <v>0</v>
      </c>
      <c r="AL336" s="74">
        <f t="shared" si="745"/>
        <v>0</v>
      </c>
      <c r="AM336" s="74">
        <f t="shared" si="745"/>
        <v>0</v>
      </c>
      <c r="AN336" s="74">
        <f t="shared" si="745"/>
        <v>0</v>
      </c>
      <c r="AO336" s="74">
        <f t="shared" si="745"/>
        <v>0</v>
      </c>
      <c r="AP336" s="74">
        <f t="shared" si="745"/>
        <v>0</v>
      </c>
      <c r="AQ336" s="74">
        <f t="shared" si="745"/>
        <v>0</v>
      </c>
      <c r="AR336" s="74">
        <f t="shared" si="745"/>
        <v>271921</v>
      </c>
      <c r="AS336" s="74">
        <f t="shared" si="745"/>
        <v>0</v>
      </c>
      <c r="AT336" s="74">
        <f t="shared" si="745"/>
        <v>271921</v>
      </c>
      <c r="AU336" s="74">
        <f t="shared" si="745"/>
        <v>91909</v>
      </c>
      <c r="AV336" s="74">
        <f t="shared" si="745"/>
        <v>2719</v>
      </c>
      <c r="AW336" s="74">
        <f t="shared" si="745"/>
        <v>0</v>
      </c>
      <c r="AX336" s="74">
        <f t="shared" si="745"/>
        <v>0</v>
      </c>
      <c r="AY336" s="74">
        <f t="shared" si="745"/>
        <v>0</v>
      </c>
      <c r="AZ336" s="74">
        <f t="shared" si="745"/>
        <v>366549</v>
      </c>
      <c r="BA336" s="75">
        <f t="shared" si="745"/>
        <v>0</v>
      </c>
      <c r="BB336" s="75">
        <f t="shared" si="745"/>
        <v>0</v>
      </c>
      <c r="BC336" s="75">
        <f t="shared" si="745"/>
        <v>1</v>
      </c>
      <c r="BD336" s="75">
        <f t="shared" si="745"/>
        <v>0</v>
      </c>
      <c r="BE336" s="75">
        <f t="shared" si="745"/>
        <v>0</v>
      </c>
      <c r="BF336" s="75">
        <f t="shared" si="745"/>
        <v>0</v>
      </c>
      <c r="BG336" s="75">
        <f t="shared" si="745"/>
        <v>0</v>
      </c>
      <c r="BH336" s="75">
        <f t="shared" si="745"/>
        <v>0</v>
      </c>
      <c r="BI336" s="75">
        <f t="shared" si="745"/>
        <v>0</v>
      </c>
      <c r="BJ336" s="75">
        <f t="shared" si="745"/>
        <v>0</v>
      </c>
      <c r="BK336" s="75">
        <f t="shared" si="745"/>
        <v>1</v>
      </c>
      <c r="BL336" s="75">
        <f t="shared" si="745"/>
        <v>0</v>
      </c>
      <c r="BM336" s="76">
        <f t="shared" si="745"/>
        <v>1</v>
      </c>
      <c r="BN336" s="549">
        <f t="shared" si="745"/>
        <v>4068023</v>
      </c>
      <c r="BO336" s="74">
        <f t="shared" si="745"/>
        <v>3009058</v>
      </c>
      <c r="BP336" s="74">
        <f t="shared" si="745"/>
        <v>2493804</v>
      </c>
      <c r="BQ336" s="74">
        <f t="shared" si="745"/>
        <v>515254</v>
      </c>
      <c r="BR336" s="74">
        <f t="shared" si="745"/>
        <v>0</v>
      </c>
      <c r="BS336" s="74">
        <f t="shared" si="745"/>
        <v>0</v>
      </c>
      <c r="BT336" s="74">
        <f t="shared" si="745"/>
        <v>0</v>
      </c>
      <c r="BU336" s="74">
        <f t="shared" si="745"/>
        <v>1017061</v>
      </c>
      <c r="BV336" s="74">
        <f t="shared" ref="BV336:CF336" si="746">SUM(BV333:BV335)</f>
        <v>30091</v>
      </c>
      <c r="BW336" s="74">
        <f t="shared" si="746"/>
        <v>11813</v>
      </c>
      <c r="BX336" s="75">
        <f t="shared" si="746"/>
        <v>6.6266999999999996</v>
      </c>
      <c r="BY336" s="75">
        <f t="shared" si="746"/>
        <v>5</v>
      </c>
      <c r="BZ336" s="753">
        <f t="shared" si="746"/>
        <v>1.6267</v>
      </c>
      <c r="CA336" s="796">
        <f t="shared" si="746"/>
        <v>0</v>
      </c>
      <c r="CB336" s="789">
        <f t="shared" si="746"/>
        <v>0</v>
      </c>
      <c r="CC336" s="789">
        <f t="shared" si="746"/>
        <v>0</v>
      </c>
      <c r="CD336" s="789">
        <f t="shared" si="746"/>
        <v>0</v>
      </c>
      <c r="CE336" s="789">
        <f t="shared" si="746"/>
        <v>0</v>
      </c>
      <c r="CF336" s="793">
        <f t="shared" si="746"/>
        <v>0</v>
      </c>
    </row>
    <row r="337" spans="1:84" ht="14.1" customHeight="1" x14ac:dyDescent="0.2">
      <c r="A337" s="66">
        <v>69</v>
      </c>
      <c r="B337" s="63">
        <v>2302</v>
      </c>
      <c r="C337" s="64">
        <v>600080366</v>
      </c>
      <c r="D337" s="63">
        <v>70983127</v>
      </c>
      <c r="E337" s="65" t="s">
        <v>674</v>
      </c>
      <c r="F337" s="66">
        <v>3111</v>
      </c>
      <c r="G337" s="65" t="s">
        <v>291</v>
      </c>
      <c r="H337" s="67" t="s">
        <v>271</v>
      </c>
      <c r="I337" s="423">
        <f t="shared" si="721"/>
        <v>5996656</v>
      </c>
      <c r="J337" s="418">
        <f t="shared" si="722"/>
        <v>4432360</v>
      </c>
      <c r="K337" s="418">
        <v>4181088</v>
      </c>
      <c r="L337" s="418">
        <v>251272</v>
      </c>
      <c r="M337" s="418">
        <f>N337+O337</f>
        <v>0</v>
      </c>
      <c r="N337" s="418">
        <v>0</v>
      </c>
      <c r="O337" s="418">
        <v>0</v>
      </c>
      <c r="P337" s="668">
        <f t="shared" si="723"/>
        <v>1498138</v>
      </c>
      <c r="Q337" s="668">
        <f t="shared" si="724"/>
        <v>44324</v>
      </c>
      <c r="R337" s="418">
        <v>21834</v>
      </c>
      <c r="S337" s="419">
        <f t="shared" si="725"/>
        <v>8.6456</v>
      </c>
      <c r="T337" s="419">
        <v>7.6388999999999996</v>
      </c>
      <c r="U337" s="426">
        <v>1.0066999999999999</v>
      </c>
      <c r="V337" s="428">
        <f t="shared" si="726"/>
        <v>0</v>
      </c>
      <c r="W337" s="421">
        <f t="shared" si="727"/>
        <v>0</v>
      </c>
      <c r="X337" s="421">
        <v>0</v>
      </c>
      <c r="Y337" s="421">
        <v>0</v>
      </c>
      <c r="Z337" s="421">
        <v>0</v>
      </c>
      <c r="AA337" s="421">
        <v>0</v>
      </c>
      <c r="AB337" s="421">
        <v>0</v>
      </c>
      <c r="AC337" s="421">
        <v>0</v>
      </c>
      <c r="AD337" s="421">
        <v>0</v>
      </c>
      <c r="AE337" s="421">
        <v>0</v>
      </c>
      <c r="AF337" s="421">
        <f t="shared" si="728"/>
        <v>0</v>
      </c>
      <c r="AG337" s="421">
        <f t="shared" si="729"/>
        <v>0</v>
      </c>
      <c r="AH337" s="421">
        <f t="shared" si="730"/>
        <v>0</v>
      </c>
      <c r="AI337" s="421">
        <v>0</v>
      </c>
      <c r="AJ337" s="421">
        <v>0</v>
      </c>
      <c r="AK337" s="421">
        <v>0</v>
      </c>
      <c r="AL337" s="421">
        <v>0</v>
      </c>
      <c r="AM337" s="421">
        <v>0</v>
      </c>
      <c r="AN337" s="421">
        <v>0</v>
      </c>
      <c r="AO337" s="421">
        <f t="shared" si="731"/>
        <v>0</v>
      </c>
      <c r="AP337" s="421">
        <f t="shared" si="732"/>
        <v>0</v>
      </c>
      <c r="AQ337" s="421">
        <f t="shared" si="733"/>
        <v>0</v>
      </c>
      <c r="AR337" s="421">
        <f t="shared" ref="AR337:AS344" si="747">AF337+AO337</f>
        <v>0</v>
      </c>
      <c r="AS337" s="421">
        <f t="shared" si="747"/>
        <v>0</v>
      </c>
      <c r="AT337" s="421">
        <f t="shared" si="735"/>
        <v>0</v>
      </c>
      <c r="AU337" s="68">
        <f t="shared" ref="AU337:AU344" si="748">ROUND((AH337+AI337+AJ337+AK337+AL337)*33.8%,0)</f>
        <v>0</v>
      </c>
      <c r="AV337" s="68">
        <f t="shared" ref="AV337:AV344" si="749">ROUND(AH337*1%,0)</f>
        <v>0</v>
      </c>
      <c r="AW337" s="421">
        <v>0</v>
      </c>
      <c r="AX337" s="421">
        <v>0</v>
      </c>
      <c r="AY337" s="421">
        <f t="shared" si="737"/>
        <v>0</v>
      </c>
      <c r="AZ337" s="421">
        <f t="shared" si="738"/>
        <v>0</v>
      </c>
      <c r="BA337" s="422">
        <v>0</v>
      </c>
      <c r="BB337" s="422">
        <v>0</v>
      </c>
      <c r="BC337" s="422">
        <v>0</v>
      </c>
      <c r="BD337" s="422">
        <v>0</v>
      </c>
      <c r="BE337" s="422">
        <v>0</v>
      </c>
      <c r="BF337" s="422">
        <v>0</v>
      </c>
      <c r="BG337" s="422">
        <v>0</v>
      </c>
      <c r="BH337" s="422">
        <v>0</v>
      </c>
      <c r="BI337" s="422">
        <v>0</v>
      </c>
      <c r="BJ337" s="422">
        <v>0</v>
      </c>
      <c r="BK337" s="422">
        <f t="shared" ref="BK337:BK344" si="750">BA337+BC337+BD337+BF337+BH337+BI337</f>
        <v>0</v>
      </c>
      <c r="BL337" s="422">
        <f t="shared" ref="BL337:BL344" si="751">BB337+BE337+BG337+BJ337</f>
        <v>0</v>
      </c>
      <c r="BM337" s="424">
        <f t="shared" si="739"/>
        <v>0</v>
      </c>
      <c r="BN337" s="427">
        <f t="shared" ref="BN337:BN344" si="752">I337+AZ337</f>
        <v>5996656</v>
      </c>
      <c r="BO337" s="421">
        <f t="shared" ref="BO337:BO344" si="753">J337+AH337</f>
        <v>4432360</v>
      </c>
      <c r="BP337" s="421">
        <f t="shared" ref="BP337:BQ344" si="754">K337+AF337</f>
        <v>4181088</v>
      </c>
      <c r="BQ337" s="421">
        <f t="shared" si="754"/>
        <v>251272</v>
      </c>
      <c r="BR337" s="421">
        <f t="shared" ref="BR337:BR344" si="755">M337+AQ337</f>
        <v>0</v>
      </c>
      <c r="BS337" s="421">
        <f t="shared" ref="BS337:BT344" si="756">N337+AO337</f>
        <v>0</v>
      </c>
      <c r="BT337" s="421">
        <f t="shared" si="756"/>
        <v>0</v>
      </c>
      <c r="BU337" s="421">
        <f t="shared" ref="BU337:BV344" si="757">P337+AU337</f>
        <v>1498138</v>
      </c>
      <c r="BV337" s="421">
        <f t="shared" si="757"/>
        <v>44324</v>
      </c>
      <c r="BW337" s="421">
        <f t="shared" ref="BW337:BW344" si="758">R337+AY337</f>
        <v>21834</v>
      </c>
      <c r="BX337" s="422">
        <f t="shared" ref="BX337:BX344" si="759">S337+BM337</f>
        <v>8.6456</v>
      </c>
      <c r="BY337" s="422">
        <f t="shared" ref="BY337:BZ344" si="760">T337+BK337</f>
        <v>7.6388999999999996</v>
      </c>
      <c r="BZ337" s="611">
        <f t="shared" si="760"/>
        <v>1.0066999999999999</v>
      </c>
      <c r="CA337" s="423"/>
      <c r="CB337" s="418"/>
      <c r="CC337" s="418"/>
      <c r="CD337" s="418"/>
      <c r="CE337" s="418"/>
      <c r="CF337" s="527"/>
    </row>
    <row r="338" spans="1:84" ht="14.1" customHeight="1" x14ac:dyDescent="0.2">
      <c r="A338" s="66">
        <v>69</v>
      </c>
      <c r="B338" s="63">
        <v>2302</v>
      </c>
      <c r="C338" s="64">
        <v>600080366</v>
      </c>
      <c r="D338" s="63">
        <v>70983127</v>
      </c>
      <c r="E338" s="65" t="s">
        <v>674</v>
      </c>
      <c r="F338" s="66">
        <v>3111</v>
      </c>
      <c r="G338" s="43" t="s">
        <v>293</v>
      </c>
      <c r="H338" s="67" t="s">
        <v>271</v>
      </c>
      <c r="I338" s="423">
        <f t="shared" si="721"/>
        <v>601586</v>
      </c>
      <c r="J338" s="418">
        <f t="shared" si="722"/>
        <v>446280</v>
      </c>
      <c r="K338" s="418">
        <v>446280</v>
      </c>
      <c r="L338" s="418">
        <v>0</v>
      </c>
      <c r="M338" s="418">
        <f t="shared" si="744"/>
        <v>0</v>
      </c>
      <c r="N338" s="418">
        <v>0</v>
      </c>
      <c r="O338" s="418">
        <v>0</v>
      </c>
      <c r="P338" s="668">
        <f t="shared" si="723"/>
        <v>150843</v>
      </c>
      <c r="Q338" s="668">
        <f t="shared" si="724"/>
        <v>4463</v>
      </c>
      <c r="R338" s="418">
        <v>0</v>
      </c>
      <c r="S338" s="419">
        <f t="shared" si="725"/>
        <v>1</v>
      </c>
      <c r="T338" s="419">
        <v>1</v>
      </c>
      <c r="U338" s="426">
        <v>0</v>
      </c>
      <c r="V338" s="428">
        <f t="shared" si="726"/>
        <v>0</v>
      </c>
      <c r="W338" s="421">
        <f t="shared" si="727"/>
        <v>0</v>
      </c>
      <c r="X338" s="421">
        <v>0</v>
      </c>
      <c r="Y338" s="421">
        <v>0</v>
      </c>
      <c r="Z338" s="421">
        <v>0</v>
      </c>
      <c r="AA338" s="421">
        <v>0</v>
      </c>
      <c r="AB338" s="421">
        <v>0</v>
      </c>
      <c r="AC338" s="421">
        <v>0</v>
      </c>
      <c r="AD338" s="421">
        <v>0</v>
      </c>
      <c r="AE338" s="421">
        <v>0</v>
      </c>
      <c r="AF338" s="421">
        <f t="shared" si="728"/>
        <v>0</v>
      </c>
      <c r="AG338" s="421">
        <f t="shared" si="729"/>
        <v>0</v>
      </c>
      <c r="AH338" s="421">
        <f t="shared" si="730"/>
        <v>0</v>
      </c>
      <c r="AI338" s="421">
        <v>0</v>
      </c>
      <c r="AJ338" s="421">
        <v>0</v>
      </c>
      <c r="AK338" s="421">
        <v>0</v>
      </c>
      <c r="AL338" s="421">
        <v>0</v>
      </c>
      <c r="AM338" s="421">
        <v>0</v>
      </c>
      <c r="AN338" s="421">
        <v>0</v>
      </c>
      <c r="AO338" s="421">
        <f t="shared" si="731"/>
        <v>0</v>
      </c>
      <c r="AP338" s="421">
        <f t="shared" si="732"/>
        <v>0</v>
      </c>
      <c r="AQ338" s="421">
        <f t="shared" si="733"/>
        <v>0</v>
      </c>
      <c r="AR338" s="421">
        <f t="shared" si="747"/>
        <v>0</v>
      </c>
      <c r="AS338" s="421">
        <f t="shared" si="747"/>
        <v>0</v>
      </c>
      <c r="AT338" s="421">
        <f t="shared" si="735"/>
        <v>0</v>
      </c>
      <c r="AU338" s="68">
        <f t="shared" si="748"/>
        <v>0</v>
      </c>
      <c r="AV338" s="68">
        <f t="shared" si="749"/>
        <v>0</v>
      </c>
      <c r="AW338" s="421">
        <v>0</v>
      </c>
      <c r="AX338" s="421">
        <v>0</v>
      </c>
      <c r="AY338" s="421">
        <f t="shared" si="737"/>
        <v>0</v>
      </c>
      <c r="AZ338" s="421">
        <f t="shared" si="738"/>
        <v>0</v>
      </c>
      <c r="BA338" s="422">
        <v>0</v>
      </c>
      <c r="BB338" s="422">
        <v>0</v>
      </c>
      <c r="BC338" s="422">
        <v>0</v>
      </c>
      <c r="BD338" s="422">
        <v>0</v>
      </c>
      <c r="BE338" s="422">
        <v>0</v>
      </c>
      <c r="BF338" s="422">
        <v>0</v>
      </c>
      <c r="BG338" s="422">
        <v>0</v>
      </c>
      <c r="BH338" s="422">
        <v>0</v>
      </c>
      <c r="BI338" s="422">
        <v>0</v>
      </c>
      <c r="BJ338" s="422">
        <v>0</v>
      </c>
      <c r="BK338" s="422">
        <f t="shared" si="750"/>
        <v>0</v>
      </c>
      <c r="BL338" s="422">
        <f t="shared" si="751"/>
        <v>0</v>
      </c>
      <c r="BM338" s="424">
        <f t="shared" si="739"/>
        <v>0</v>
      </c>
      <c r="BN338" s="427">
        <f t="shared" si="752"/>
        <v>601586</v>
      </c>
      <c r="BO338" s="421">
        <f t="shared" si="753"/>
        <v>446280</v>
      </c>
      <c r="BP338" s="421">
        <f t="shared" si="754"/>
        <v>446280</v>
      </c>
      <c r="BQ338" s="421">
        <f t="shared" si="754"/>
        <v>0</v>
      </c>
      <c r="BR338" s="421">
        <f t="shared" si="755"/>
        <v>0</v>
      </c>
      <c r="BS338" s="421">
        <f t="shared" si="756"/>
        <v>0</v>
      </c>
      <c r="BT338" s="421">
        <f t="shared" si="756"/>
        <v>0</v>
      </c>
      <c r="BU338" s="421">
        <f t="shared" si="757"/>
        <v>150843</v>
      </c>
      <c r="BV338" s="421">
        <f t="shared" si="757"/>
        <v>4463</v>
      </c>
      <c r="BW338" s="421">
        <f t="shared" si="758"/>
        <v>0</v>
      </c>
      <c r="BX338" s="422">
        <f t="shared" si="759"/>
        <v>1</v>
      </c>
      <c r="BY338" s="422">
        <f t="shared" si="760"/>
        <v>1</v>
      </c>
      <c r="BZ338" s="611">
        <f t="shared" si="760"/>
        <v>0</v>
      </c>
      <c r="CA338" s="423"/>
      <c r="CB338" s="418"/>
      <c r="CC338" s="418"/>
      <c r="CD338" s="418"/>
      <c r="CE338" s="418"/>
      <c r="CF338" s="527"/>
    </row>
    <row r="339" spans="1:84" ht="14.1" customHeight="1" x14ac:dyDescent="0.2">
      <c r="A339" s="66">
        <v>69</v>
      </c>
      <c r="B339" s="63">
        <v>2302</v>
      </c>
      <c r="C339" s="64">
        <v>600080366</v>
      </c>
      <c r="D339" s="63">
        <v>70983127</v>
      </c>
      <c r="E339" s="65" t="s">
        <v>674</v>
      </c>
      <c r="F339" s="66">
        <v>3114</v>
      </c>
      <c r="G339" s="165" t="s">
        <v>526</v>
      </c>
      <c r="H339" s="67" t="s">
        <v>271</v>
      </c>
      <c r="I339" s="423">
        <f t="shared" si="721"/>
        <v>9596192</v>
      </c>
      <c r="J339" s="418">
        <f t="shared" si="722"/>
        <v>7078059</v>
      </c>
      <c r="K339" s="418">
        <v>6377685</v>
      </c>
      <c r="L339" s="418">
        <v>700374</v>
      </c>
      <c r="M339" s="418">
        <f>N339+O339</f>
        <v>0</v>
      </c>
      <c r="N339" s="418">
        <v>0</v>
      </c>
      <c r="O339" s="418">
        <v>0</v>
      </c>
      <c r="P339" s="668">
        <f>ROUND(J339*33.8%,0)-1</f>
        <v>2392383</v>
      </c>
      <c r="Q339" s="668">
        <f>ROUND(J339*1%,0)-2</f>
        <v>70779</v>
      </c>
      <c r="R339" s="418">
        <v>54971</v>
      </c>
      <c r="S339" s="419">
        <f>T339+U339</f>
        <v>10.661800000000001</v>
      </c>
      <c r="T339" s="419">
        <v>8.6818000000000008</v>
      </c>
      <c r="U339" s="426">
        <v>1.98</v>
      </c>
      <c r="V339" s="428">
        <f t="shared" si="726"/>
        <v>0</v>
      </c>
      <c r="W339" s="421">
        <f t="shared" si="727"/>
        <v>-51200</v>
      </c>
      <c r="X339" s="421">
        <v>0</v>
      </c>
      <c r="Y339" s="421">
        <v>0</v>
      </c>
      <c r="Z339" s="421">
        <v>0</v>
      </c>
      <c r="AA339" s="421">
        <v>0</v>
      </c>
      <c r="AB339" s="421">
        <v>0</v>
      </c>
      <c r="AC339" s="421">
        <v>0</v>
      </c>
      <c r="AD339" s="421">
        <v>0</v>
      </c>
      <c r="AE339" s="421">
        <v>0</v>
      </c>
      <c r="AF339" s="421">
        <f t="shared" si="728"/>
        <v>0</v>
      </c>
      <c r="AG339" s="421">
        <f t="shared" si="729"/>
        <v>-51200</v>
      </c>
      <c r="AH339" s="421">
        <f t="shared" si="730"/>
        <v>-51200</v>
      </c>
      <c r="AI339" s="421">
        <v>0</v>
      </c>
      <c r="AJ339" s="421">
        <v>51200</v>
      </c>
      <c r="AK339" s="421">
        <v>0</v>
      </c>
      <c r="AL339" s="421">
        <v>0</v>
      </c>
      <c r="AM339" s="421">
        <v>0</v>
      </c>
      <c r="AN339" s="421">
        <v>0</v>
      </c>
      <c r="AO339" s="421">
        <f t="shared" si="731"/>
        <v>0</v>
      </c>
      <c r="AP339" s="421">
        <f t="shared" si="732"/>
        <v>51200</v>
      </c>
      <c r="AQ339" s="421">
        <f t="shared" si="733"/>
        <v>51200</v>
      </c>
      <c r="AR339" s="421">
        <f t="shared" si="747"/>
        <v>0</v>
      </c>
      <c r="AS339" s="421">
        <f t="shared" si="747"/>
        <v>0</v>
      </c>
      <c r="AT339" s="421">
        <f t="shared" si="735"/>
        <v>0</v>
      </c>
      <c r="AU339" s="68">
        <f t="shared" si="748"/>
        <v>0</v>
      </c>
      <c r="AV339" s="68">
        <f t="shared" si="749"/>
        <v>-512</v>
      </c>
      <c r="AW339" s="421">
        <v>0</v>
      </c>
      <c r="AX339" s="421">
        <v>0</v>
      </c>
      <c r="AY339" s="421">
        <f t="shared" si="737"/>
        <v>0</v>
      </c>
      <c r="AZ339" s="421">
        <f t="shared" si="738"/>
        <v>-512</v>
      </c>
      <c r="BA339" s="422">
        <v>0</v>
      </c>
      <c r="BB339" s="422">
        <v>0</v>
      </c>
      <c r="BC339" s="422">
        <v>0</v>
      </c>
      <c r="BD339" s="422">
        <v>0</v>
      </c>
      <c r="BE339" s="422">
        <v>0</v>
      </c>
      <c r="BF339" s="422">
        <v>0</v>
      </c>
      <c r="BG339" s="422">
        <v>0</v>
      </c>
      <c r="BH339" s="422">
        <v>0</v>
      </c>
      <c r="BI339" s="422">
        <v>0</v>
      </c>
      <c r="BJ339" s="422">
        <v>0</v>
      </c>
      <c r="BK339" s="422">
        <f t="shared" si="750"/>
        <v>0</v>
      </c>
      <c r="BL339" s="422">
        <f t="shared" si="751"/>
        <v>0</v>
      </c>
      <c r="BM339" s="424">
        <f t="shared" si="739"/>
        <v>0</v>
      </c>
      <c r="BN339" s="427">
        <f t="shared" si="752"/>
        <v>9595680</v>
      </c>
      <c r="BO339" s="421">
        <f t="shared" si="753"/>
        <v>7026859</v>
      </c>
      <c r="BP339" s="421">
        <f t="shared" si="754"/>
        <v>6377685</v>
      </c>
      <c r="BQ339" s="421">
        <f t="shared" si="754"/>
        <v>649174</v>
      </c>
      <c r="BR339" s="421">
        <f t="shared" si="755"/>
        <v>51200</v>
      </c>
      <c r="BS339" s="421">
        <f t="shared" si="756"/>
        <v>0</v>
      </c>
      <c r="BT339" s="421">
        <f t="shared" si="756"/>
        <v>51200</v>
      </c>
      <c r="BU339" s="421">
        <f t="shared" si="757"/>
        <v>2392383</v>
      </c>
      <c r="BV339" s="421">
        <f t="shared" si="757"/>
        <v>70267</v>
      </c>
      <c r="BW339" s="421">
        <f t="shared" si="758"/>
        <v>54971</v>
      </c>
      <c r="BX339" s="422">
        <f t="shared" si="759"/>
        <v>10.661800000000001</v>
      </c>
      <c r="BY339" s="422">
        <f t="shared" si="760"/>
        <v>8.6818000000000008</v>
      </c>
      <c r="BZ339" s="611">
        <f t="shared" si="760"/>
        <v>1.98</v>
      </c>
      <c r="CA339" s="423"/>
      <c r="CB339" s="418"/>
      <c r="CC339" s="418"/>
      <c r="CD339" s="418"/>
      <c r="CE339" s="418"/>
      <c r="CF339" s="527"/>
    </row>
    <row r="340" spans="1:84" ht="14.1" customHeight="1" x14ac:dyDescent="0.2">
      <c r="A340" s="66">
        <v>69</v>
      </c>
      <c r="B340" s="63">
        <v>2302</v>
      </c>
      <c r="C340" s="64">
        <v>600080366</v>
      </c>
      <c r="D340" s="63">
        <v>70983127</v>
      </c>
      <c r="E340" s="65" t="s">
        <v>674</v>
      </c>
      <c r="F340" s="66">
        <v>3114</v>
      </c>
      <c r="G340" s="43" t="s">
        <v>293</v>
      </c>
      <c r="H340" s="67" t="s">
        <v>271</v>
      </c>
      <c r="I340" s="423">
        <f t="shared" si="721"/>
        <v>2867140</v>
      </c>
      <c r="J340" s="418">
        <f t="shared" si="722"/>
        <v>2126958</v>
      </c>
      <c r="K340" s="418">
        <v>2126958</v>
      </c>
      <c r="L340" s="418">
        <v>0</v>
      </c>
      <c r="M340" s="418">
        <f t="shared" si="744"/>
        <v>0</v>
      </c>
      <c r="N340" s="418">
        <v>0</v>
      </c>
      <c r="O340" s="418">
        <v>0</v>
      </c>
      <c r="P340" s="668">
        <f t="shared" si="723"/>
        <v>718912</v>
      </c>
      <c r="Q340" s="668">
        <f t="shared" si="724"/>
        <v>21270</v>
      </c>
      <c r="R340" s="418">
        <v>0</v>
      </c>
      <c r="S340" s="419">
        <f t="shared" ref="S340" si="761">T340+U340</f>
        <v>5.4116999999999997</v>
      </c>
      <c r="T340" s="419">
        <v>5.4116999999999997</v>
      </c>
      <c r="U340" s="426">
        <v>0</v>
      </c>
      <c r="V340" s="428">
        <f t="shared" si="726"/>
        <v>0</v>
      </c>
      <c r="W340" s="421">
        <f t="shared" si="727"/>
        <v>0</v>
      </c>
      <c r="X340" s="421">
        <v>0</v>
      </c>
      <c r="Y340" s="421">
        <v>0</v>
      </c>
      <c r="Z340" s="421">
        <v>0</v>
      </c>
      <c r="AA340" s="421">
        <v>0</v>
      </c>
      <c r="AB340" s="421">
        <v>0</v>
      </c>
      <c r="AC340" s="421">
        <v>0</v>
      </c>
      <c r="AD340" s="421">
        <v>0</v>
      </c>
      <c r="AE340" s="421">
        <v>0</v>
      </c>
      <c r="AF340" s="421">
        <f t="shared" si="728"/>
        <v>0</v>
      </c>
      <c r="AG340" s="421">
        <f t="shared" si="729"/>
        <v>0</v>
      </c>
      <c r="AH340" s="421">
        <f t="shared" si="730"/>
        <v>0</v>
      </c>
      <c r="AI340" s="421">
        <v>0</v>
      </c>
      <c r="AJ340" s="421">
        <v>0</v>
      </c>
      <c r="AK340" s="421">
        <v>0</v>
      </c>
      <c r="AL340" s="421">
        <v>0</v>
      </c>
      <c r="AM340" s="421">
        <v>0</v>
      </c>
      <c r="AN340" s="421">
        <v>0</v>
      </c>
      <c r="AO340" s="421">
        <f t="shared" si="731"/>
        <v>0</v>
      </c>
      <c r="AP340" s="421">
        <f t="shared" si="732"/>
        <v>0</v>
      </c>
      <c r="AQ340" s="421">
        <f t="shared" si="733"/>
        <v>0</v>
      </c>
      <c r="AR340" s="421">
        <f t="shared" si="747"/>
        <v>0</v>
      </c>
      <c r="AS340" s="421">
        <f t="shared" si="747"/>
        <v>0</v>
      </c>
      <c r="AT340" s="421">
        <f t="shared" si="735"/>
        <v>0</v>
      </c>
      <c r="AU340" s="68">
        <f t="shared" si="748"/>
        <v>0</v>
      </c>
      <c r="AV340" s="68">
        <f t="shared" si="749"/>
        <v>0</v>
      </c>
      <c r="AW340" s="421">
        <v>0</v>
      </c>
      <c r="AX340" s="421">
        <v>0</v>
      </c>
      <c r="AY340" s="421">
        <f t="shared" si="737"/>
        <v>0</v>
      </c>
      <c r="AZ340" s="421">
        <f t="shared" si="738"/>
        <v>0</v>
      </c>
      <c r="BA340" s="422">
        <v>0</v>
      </c>
      <c r="BB340" s="422">
        <v>0</v>
      </c>
      <c r="BC340" s="422">
        <v>0</v>
      </c>
      <c r="BD340" s="422">
        <v>0</v>
      </c>
      <c r="BE340" s="422">
        <v>0</v>
      </c>
      <c r="BF340" s="422">
        <v>0</v>
      </c>
      <c r="BG340" s="422">
        <v>0</v>
      </c>
      <c r="BH340" s="422">
        <v>0</v>
      </c>
      <c r="BI340" s="422">
        <v>0</v>
      </c>
      <c r="BJ340" s="422">
        <v>0</v>
      </c>
      <c r="BK340" s="422">
        <f t="shared" si="750"/>
        <v>0</v>
      </c>
      <c r="BL340" s="422">
        <f t="shared" si="751"/>
        <v>0</v>
      </c>
      <c r="BM340" s="424">
        <f t="shared" si="739"/>
        <v>0</v>
      </c>
      <c r="BN340" s="427">
        <f t="shared" si="752"/>
        <v>2867140</v>
      </c>
      <c r="BO340" s="421">
        <f t="shared" si="753"/>
        <v>2126958</v>
      </c>
      <c r="BP340" s="421">
        <f t="shared" si="754"/>
        <v>2126958</v>
      </c>
      <c r="BQ340" s="421">
        <f t="shared" si="754"/>
        <v>0</v>
      </c>
      <c r="BR340" s="421">
        <f t="shared" si="755"/>
        <v>0</v>
      </c>
      <c r="BS340" s="421">
        <f t="shared" si="756"/>
        <v>0</v>
      </c>
      <c r="BT340" s="421">
        <f t="shared" si="756"/>
        <v>0</v>
      </c>
      <c r="BU340" s="421">
        <f t="shared" si="757"/>
        <v>718912</v>
      </c>
      <c r="BV340" s="421">
        <f t="shared" si="757"/>
        <v>21270</v>
      </c>
      <c r="BW340" s="421">
        <f t="shared" si="758"/>
        <v>0</v>
      </c>
      <c r="BX340" s="422">
        <f t="shared" si="759"/>
        <v>5.4116999999999997</v>
      </c>
      <c r="BY340" s="422">
        <f t="shared" si="760"/>
        <v>5.4116999999999997</v>
      </c>
      <c r="BZ340" s="611">
        <f t="shared" si="760"/>
        <v>0</v>
      </c>
      <c r="CA340" s="423"/>
      <c r="CB340" s="418"/>
      <c r="CC340" s="418"/>
      <c r="CD340" s="418"/>
      <c r="CE340" s="418"/>
      <c r="CF340" s="527"/>
    </row>
    <row r="341" spans="1:84" ht="14.1" customHeight="1" x14ac:dyDescent="0.2">
      <c r="A341" s="66">
        <v>69</v>
      </c>
      <c r="B341" s="63">
        <v>2302</v>
      </c>
      <c r="C341" s="64">
        <v>600080366</v>
      </c>
      <c r="D341" s="63">
        <v>70983127</v>
      </c>
      <c r="E341" s="65" t="s">
        <v>674</v>
      </c>
      <c r="F341" s="66">
        <v>3114</v>
      </c>
      <c r="G341" s="77" t="s">
        <v>292</v>
      </c>
      <c r="H341" s="67" t="s">
        <v>272</v>
      </c>
      <c r="I341" s="423">
        <f t="shared" si="721"/>
        <v>0</v>
      </c>
      <c r="J341" s="418">
        <f t="shared" si="722"/>
        <v>0</v>
      </c>
      <c r="K341" s="418">
        <v>0</v>
      </c>
      <c r="L341" s="418">
        <v>0</v>
      </c>
      <c r="M341" s="418">
        <f t="shared" si="744"/>
        <v>0</v>
      </c>
      <c r="N341" s="418">
        <v>0</v>
      </c>
      <c r="O341" s="418">
        <v>0</v>
      </c>
      <c r="P341" s="668">
        <f t="shared" si="723"/>
        <v>0</v>
      </c>
      <c r="Q341" s="668">
        <f t="shared" si="724"/>
        <v>0</v>
      </c>
      <c r="R341" s="418">
        <v>0</v>
      </c>
      <c r="S341" s="419">
        <f t="shared" si="725"/>
        <v>0</v>
      </c>
      <c r="T341" s="420">
        <v>0</v>
      </c>
      <c r="U341" s="426">
        <v>0</v>
      </c>
      <c r="V341" s="428">
        <f t="shared" si="726"/>
        <v>0</v>
      </c>
      <c r="W341" s="421">
        <f t="shared" si="727"/>
        <v>0</v>
      </c>
      <c r="X341" s="16">
        <v>1483204</v>
      </c>
      <c r="Y341" s="16">
        <v>0</v>
      </c>
      <c r="Z341" s="16">
        <v>0</v>
      </c>
      <c r="AA341" s="16">
        <v>0</v>
      </c>
      <c r="AB341" s="421">
        <v>0</v>
      </c>
      <c r="AC341" s="16">
        <v>0</v>
      </c>
      <c r="AD341" s="16">
        <v>0</v>
      </c>
      <c r="AE341" s="16">
        <v>0</v>
      </c>
      <c r="AF341" s="421">
        <f t="shared" si="728"/>
        <v>1483204</v>
      </c>
      <c r="AG341" s="421">
        <f t="shared" si="729"/>
        <v>0</v>
      </c>
      <c r="AH341" s="421">
        <f t="shared" si="730"/>
        <v>1483204</v>
      </c>
      <c r="AI341" s="16">
        <v>0</v>
      </c>
      <c r="AJ341" s="16">
        <v>0</v>
      </c>
      <c r="AK341" s="421">
        <v>0</v>
      </c>
      <c r="AL341" s="16">
        <v>0</v>
      </c>
      <c r="AM341" s="16">
        <v>0</v>
      </c>
      <c r="AN341" s="16">
        <v>0</v>
      </c>
      <c r="AO341" s="421">
        <f t="shared" si="731"/>
        <v>0</v>
      </c>
      <c r="AP341" s="16">
        <v>0</v>
      </c>
      <c r="AQ341" s="421">
        <f t="shared" si="733"/>
        <v>0</v>
      </c>
      <c r="AR341" s="421">
        <f t="shared" si="747"/>
        <v>1483204</v>
      </c>
      <c r="AS341" s="421">
        <f t="shared" si="747"/>
        <v>0</v>
      </c>
      <c r="AT341" s="421">
        <f t="shared" si="735"/>
        <v>1483204</v>
      </c>
      <c r="AU341" s="68">
        <f t="shared" si="748"/>
        <v>501323</v>
      </c>
      <c r="AV341" s="68">
        <f t="shared" si="749"/>
        <v>14832</v>
      </c>
      <c r="AW341" s="16">
        <v>0</v>
      </c>
      <c r="AX341" s="16">
        <v>0</v>
      </c>
      <c r="AY341" s="421">
        <f t="shared" si="737"/>
        <v>0</v>
      </c>
      <c r="AZ341" s="421">
        <f t="shared" si="738"/>
        <v>1999359</v>
      </c>
      <c r="BA341" s="13">
        <v>0</v>
      </c>
      <c r="BB341" s="13">
        <v>0</v>
      </c>
      <c r="BC341" s="13">
        <v>4</v>
      </c>
      <c r="BD341" s="422">
        <v>0</v>
      </c>
      <c r="BE341" s="422">
        <v>0</v>
      </c>
      <c r="BF341" s="422">
        <v>0</v>
      </c>
      <c r="BG341" s="422">
        <v>0</v>
      </c>
      <c r="BH341" s="422">
        <v>0</v>
      </c>
      <c r="BI341" s="422">
        <v>0</v>
      </c>
      <c r="BJ341" s="422">
        <v>0</v>
      </c>
      <c r="BK341" s="422">
        <f t="shared" si="750"/>
        <v>4</v>
      </c>
      <c r="BL341" s="422">
        <f t="shared" si="751"/>
        <v>0</v>
      </c>
      <c r="BM341" s="424">
        <f t="shared" si="739"/>
        <v>4</v>
      </c>
      <c r="BN341" s="427">
        <f t="shared" si="752"/>
        <v>1999359</v>
      </c>
      <c r="BO341" s="421">
        <f t="shared" si="753"/>
        <v>1483204</v>
      </c>
      <c r="BP341" s="421">
        <f t="shared" si="754"/>
        <v>1483204</v>
      </c>
      <c r="BQ341" s="421">
        <f t="shared" si="754"/>
        <v>0</v>
      </c>
      <c r="BR341" s="421">
        <f t="shared" si="755"/>
        <v>0</v>
      </c>
      <c r="BS341" s="421">
        <f t="shared" si="756"/>
        <v>0</v>
      </c>
      <c r="BT341" s="421">
        <f t="shared" si="756"/>
        <v>0</v>
      </c>
      <c r="BU341" s="421">
        <f t="shared" si="757"/>
        <v>501323</v>
      </c>
      <c r="BV341" s="421">
        <f t="shared" si="757"/>
        <v>14832</v>
      </c>
      <c r="BW341" s="421">
        <f t="shared" si="758"/>
        <v>0</v>
      </c>
      <c r="BX341" s="422">
        <f t="shared" si="759"/>
        <v>4</v>
      </c>
      <c r="BY341" s="422">
        <f t="shared" si="760"/>
        <v>4</v>
      </c>
      <c r="BZ341" s="611">
        <f t="shared" si="760"/>
        <v>0</v>
      </c>
      <c r="CA341" s="423"/>
      <c r="CB341" s="418"/>
      <c r="CC341" s="418"/>
      <c r="CD341" s="418"/>
      <c r="CE341" s="418"/>
      <c r="CF341" s="527"/>
    </row>
    <row r="342" spans="1:84" ht="14.1" customHeight="1" x14ac:dyDescent="0.2">
      <c r="A342" s="66">
        <v>69</v>
      </c>
      <c r="B342" s="63">
        <v>2302</v>
      </c>
      <c r="C342" s="64">
        <v>600080366</v>
      </c>
      <c r="D342" s="63">
        <v>70983127</v>
      </c>
      <c r="E342" s="65" t="s">
        <v>674</v>
      </c>
      <c r="F342" s="66">
        <v>3141</v>
      </c>
      <c r="G342" s="65" t="s">
        <v>295</v>
      </c>
      <c r="H342" s="67" t="s">
        <v>272</v>
      </c>
      <c r="I342" s="423">
        <f t="shared" si="721"/>
        <v>319868</v>
      </c>
      <c r="J342" s="418">
        <f t="shared" si="722"/>
        <v>235670</v>
      </c>
      <c r="K342" s="418">
        <v>0</v>
      </c>
      <c r="L342" s="924">
        <v>235670</v>
      </c>
      <c r="M342" s="418">
        <f>N342+O342</f>
        <v>0</v>
      </c>
      <c r="N342" s="205">
        <v>0</v>
      </c>
      <c r="O342" s="205">
        <v>0</v>
      </c>
      <c r="P342" s="668">
        <f t="shared" si="723"/>
        <v>79656</v>
      </c>
      <c r="Q342" s="668">
        <f t="shared" si="724"/>
        <v>2357</v>
      </c>
      <c r="R342" s="674">
        <v>2185</v>
      </c>
      <c r="S342" s="419">
        <f>T342+U342</f>
        <v>0.70669999999999999</v>
      </c>
      <c r="T342" s="676">
        <v>0</v>
      </c>
      <c r="U342" s="909">
        <v>0.70669999999999999</v>
      </c>
      <c r="V342" s="428">
        <f t="shared" si="726"/>
        <v>0</v>
      </c>
      <c r="W342" s="421">
        <f t="shared" si="727"/>
        <v>0</v>
      </c>
      <c r="X342" s="421">
        <v>0</v>
      </c>
      <c r="Y342" s="421">
        <v>0</v>
      </c>
      <c r="Z342" s="421">
        <v>0</v>
      </c>
      <c r="AA342" s="421">
        <v>0</v>
      </c>
      <c r="AB342" s="421">
        <v>0</v>
      </c>
      <c r="AC342" s="421">
        <v>0</v>
      </c>
      <c r="AD342" s="421">
        <v>0</v>
      </c>
      <c r="AE342" s="421">
        <v>0</v>
      </c>
      <c r="AF342" s="421">
        <f t="shared" si="728"/>
        <v>0</v>
      </c>
      <c r="AG342" s="421">
        <f t="shared" si="729"/>
        <v>0</v>
      </c>
      <c r="AH342" s="421">
        <f t="shared" si="730"/>
        <v>0</v>
      </c>
      <c r="AI342" s="421">
        <v>0</v>
      </c>
      <c r="AJ342" s="421">
        <v>0</v>
      </c>
      <c r="AK342" s="421">
        <v>0</v>
      </c>
      <c r="AL342" s="421">
        <v>0</v>
      </c>
      <c r="AM342" s="421">
        <v>0</v>
      </c>
      <c r="AN342" s="421">
        <v>0</v>
      </c>
      <c r="AO342" s="421">
        <f t="shared" si="731"/>
        <v>0</v>
      </c>
      <c r="AP342" s="421">
        <f t="shared" si="732"/>
        <v>0</v>
      </c>
      <c r="AQ342" s="421">
        <f t="shared" si="733"/>
        <v>0</v>
      </c>
      <c r="AR342" s="421">
        <f t="shared" si="747"/>
        <v>0</v>
      </c>
      <c r="AS342" s="421">
        <f t="shared" si="747"/>
        <v>0</v>
      </c>
      <c r="AT342" s="421">
        <f t="shared" si="735"/>
        <v>0</v>
      </c>
      <c r="AU342" s="68">
        <f t="shared" si="748"/>
        <v>0</v>
      </c>
      <c r="AV342" s="68">
        <f t="shared" si="749"/>
        <v>0</v>
      </c>
      <c r="AW342" s="421">
        <v>0</v>
      </c>
      <c r="AX342" s="421">
        <v>0</v>
      </c>
      <c r="AY342" s="421">
        <f t="shared" si="737"/>
        <v>0</v>
      </c>
      <c r="AZ342" s="421">
        <f t="shared" si="738"/>
        <v>0</v>
      </c>
      <c r="BA342" s="422">
        <v>0</v>
      </c>
      <c r="BB342" s="422">
        <v>0</v>
      </c>
      <c r="BC342" s="422">
        <v>0</v>
      </c>
      <c r="BD342" s="422">
        <v>0</v>
      </c>
      <c r="BE342" s="422">
        <v>0</v>
      </c>
      <c r="BF342" s="422">
        <v>0</v>
      </c>
      <c r="BG342" s="422">
        <v>0</v>
      </c>
      <c r="BH342" s="422">
        <v>0</v>
      </c>
      <c r="BI342" s="422">
        <v>0</v>
      </c>
      <c r="BJ342" s="422">
        <v>0</v>
      </c>
      <c r="BK342" s="422">
        <f t="shared" si="750"/>
        <v>0</v>
      </c>
      <c r="BL342" s="422">
        <f t="shared" si="751"/>
        <v>0</v>
      </c>
      <c r="BM342" s="424">
        <f t="shared" si="739"/>
        <v>0</v>
      </c>
      <c r="BN342" s="427">
        <f t="shared" si="752"/>
        <v>319868</v>
      </c>
      <c r="BO342" s="421">
        <f t="shared" si="753"/>
        <v>235670</v>
      </c>
      <c r="BP342" s="421">
        <f t="shared" si="754"/>
        <v>0</v>
      </c>
      <c r="BQ342" s="421">
        <f t="shared" si="754"/>
        <v>235670</v>
      </c>
      <c r="BR342" s="421">
        <f t="shared" si="755"/>
        <v>0</v>
      </c>
      <c r="BS342" s="421">
        <f t="shared" si="756"/>
        <v>0</v>
      </c>
      <c r="BT342" s="421">
        <f t="shared" si="756"/>
        <v>0</v>
      </c>
      <c r="BU342" s="421">
        <f t="shared" si="757"/>
        <v>79656</v>
      </c>
      <c r="BV342" s="421">
        <f t="shared" si="757"/>
        <v>2357</v>
      </c>
      <c r="BW342" s="421">
        <f t="shared" si="758"/>
        <v>2185</v>
      </c>
      <c r="BX342" s="422">
        <f t="shared" si="759"/>
        <v>0.70669999999999999</v>
      </c>
      <c r="BY342" s="422">
        <f t="shared" si="760"/>
        <v>0</v>
      </c>
      <c r="BZ342" s="611">
        <f t="shared" si="760"/>
        <v>0.70669999999999999</v>
      </c>
      <c r="CA342" s="423"/>
      <c r="CB342" s="418"/>
      <c r="CC342" s="418"/>
      <c r="CD342" s="418"/>
      <c r="CE342" s="418"/>
      <c r="CF342" s="527"/>
    </row>
    <row r="343" spans="1:84" ht="14.1" customHeight="1" x14ac:dyDescent="0.2">
      <c r="A343" s="66">
        <v>69</v>
      </c>
      <c r="B343" s="63">
        <v>2302</v>
      </c>
      <c r="C343" s="64">
        <v>600080366</v>
      </c>
      <c r="D343" s="63">
        <v>70983127</v>
      </c>
      <c r="E343" s="65" t="s">
        <v>674</v>
      </c>
      <c r="F343" s="66">
        <v>3143</v>
      </c>
      <c r="G343" s="77" t="s">
        <v>596</v>
      </c>
      <c r="H343" s="67" t="s">
        <v>271</v>
      </c>
      <c r="I343" s="423">
        <f t="shared" si="721"/>
        <v>599979</v>
      </c>
      <c r="J343" s="418">
        <f t="shared" si="722"/>
        <v>445088</v>
      </c>
      <c r="K343" s="418">
        <v>445088</v>
      </c>
      <c r="L343" s="418">
        <v>0</v>
      </c>
      <c r="M343" s="418">
        <f t="shared" si="744"/>
        <v>0</v>
      </c>
      <c r="N343" s="418">
        <v>0</v>
      </c>
      <c r="O343" s="418">
        <v>0</v>
      </c>
      <c r="P343" s="668">
        <f t="shared" si="723"/>
        <v>150440</v>
      </c>
      <c r="Q343" s="668">
        <f t="shared" si="724"/>
        <v>4451</v>
      </c>
      <c r="R343" s="418">
        <v>0</v>
      </c>
      <c r="S343" s="419">
        <f t="shared" si="725"/>
        <v>1</v>
      </c>
      <c r="T343" s="419">
        <v>1</v>
      </c>
      <c r="U343" s="426">
        <v>0</v>
      </c>
      <c r="V343" s="428">
        <f t="shared" si="726"/>
        <v>0</v>
      </c>
      <c r="W343" s="421">
        <f t="shared" si="727"/>
        <v>0</v>
      </c>
      <c r="X343" s="421">
        <v>0</v>
      </c>
      <c r="Y343" s="421">
        <v>0</v>
      </c>
      <c r="Z343" s="421">
        <v>0</v>
      </c>
      <c r="AA343" s="421">
        <v>0</v>
      </c>
      <c r="AB343" s="421">
        <v>0</v>
      </c>
      <c r="AC343" s="421">
        <v>0</v>
      </c>
      <c r="AD343" s="421">
        <v>0</v>
      </c>
      <c r="AE343" s="421">
        <v>0</v>
      </c>
      <c r="AF343" s="421">
        <f t="shared" si="728"/>
        <v>0</v>
      </c>
      <c r="AG343" s="421">
        <f t="shared" si="729"/>
        <v>0</v>
      </c>
      <c r="AH343" s="421">
        <f t="shared" si="730"/>
        <v>0</v>
      </c>
      <c r="AI343" s="421">
        <v>0</v>
      </c>
      <c r="AJ343" s="421">
        <v>0</v>
      </c>
      <c r="AK343" s="421">
        <v>0</v>
      </c>
      <c r="AL343" s="421">
        <v>0</v>
      </c>
      <c r="AM343" s="421">
        <v>0</v>
      </c>
      <c r="AN343" s="421">
        <v>0</v>
      </c>
      <c r="AO343" s="421">
        <f t="shared" si="731"/>
        <v>0</v>
      </c>
      <c r="AP343" s="421">
        <f t="shared" si="732"/>
        <v>0</v>
      </c>
      <c r="AQ343" s="421">
        <f t="shared" si="733"/>
        <v>0</v>
      </c>
      <c r="AR343" s="421">
        <f t="shared" si="747"/>
        <v>0</v>
      </c>
      <c r="AS343" s="421">
        <f t="shared" si="747"/>
        <v>0</v>
      </c>
      <c r="AT343" s="421">
        <f t="shared" si="735"/>
        <v>0</v>
      </c>
      <c r="AU343" s="68">
        <f t="shared" si="748"/>
        <v>0</v>
      </c>
      <c r="AV343" s="68">
        <f t="shared" si="749"/>
        <v>0</v>
      </c>
      <c r="AW343" s="421">
        <v>0</v>
      </c>
      <c r="AX343" s="421">
        <v>0</v>
      </c>
      <c r="AY343" s="421">
        <f t="shared" si="737"/>
        <v>0</v>
      </c>
      <c r="AZ343" s="421">
        <f t="shared" si="738"/>
        <v>0</v>
      </c>
      <c r="BA343" s="422">
        <v>0</v>
      </c>
      <c r="BB343" s="422">
        <v>0</v>
      </c>
      <c r="BC343" s="422">
        <v>0</v>
      </c>
      <c r="BD343" s="422">
        <v>0</v>
      </c>
      <c r="BE343" s="422">
        <v>0</v>
      </c>
      <c r="BF343" s="422">
        <v>0</v>
      </c>
      <c r="BG343" s="422">
        <v>0</v>
      </c>
      <c r="BH343" s="422">
        <v>0</v>
      </c>
      <c r="BI343" s="422">
        <v>0</v>
      </c>
      <c r="BJ343" s="422">
        <v>0</v>
      </c>
      <c r="BK343" s="422">
        <f t="shared" si="750"/>
        <v>0</v>
      </c>
      <c r="BL343" s="422">
        <f t="shared" si="751"/>
        <v>0</v>
      </c>
      <c r="BM343" s="424">
        <f t="shared" si="739"/>
        <v>0</v>
      </c>
      <c r="BN343" s="427">
        <f t="shared" si="752"/>
        <v>599979</v>
      </c>
      <c r="BO343" s="421">
        <f t="shared" si="753"/>
        <v>445088</v>
      </c>
      <c r="BP343" s="421">
        <f t="shared" si="754"/>
        <v>445088</v>
      </c>
      <c r="BQ343" s="421">
        <f t="shared" si="754"/>
        <v>0</v>
      </c>
      <c r="BR343" s="421">
        <f t="shared" si="755"/>
        <v>0</v>
      </c>
      <c r="BS343" s="421">
        <f t="shared" si="756"/>
        <v>0</v>
      </c>
      <c r="BT343" s="421">
        <f t="shared" si="756"/>
        <v>0</v>
      </c>
      <c r="BU343" s="421">
        <f t="shared" si="757"/>
        <v>150440</v>
      </c>
      <c r="BV343" s="421">
        <f t="shared" si="757"/>
        <v>4451</v>
      </c>
      <c r="BW343" s="421">
        <f t="shared" si="758"/>
        <v>0</v>
      </c>
      <c r="BX343" s="422">
        <f t="shared" si="759"/>
        <v>1</v>
      </c>
      <c r="BY343" s="422">
        <f t="shared" si="760"/>
        <v>1</v>
      </c>
      <c r="BZ343" s="611">
        <f t="shared" si="760"/>
        <v>0</v>
      </c>
      <c r="CA343" s="423"/>
      <c r="CB343" s="418"/>
      <c r="CC343" s="418"/>
      <c r="CD343" s="418"/>
      <c r="CE343" s="418"/>
      <c r="CF343" s="527"/>
    </row>
    <row r="344" spans="1:84" ht="14.1" customHeight="1" x14ac:dyDescent="0.2">
      <c r="A344" s="66">
        <v>69</v>
      </c>
      <c r="B344" s="63">
        <v>2302</v>
      </c>
      <c r="C344" s="64">
        <v>600080366</v>
      </c>
      <c r="D344" s="63">
        <v>70983127</v>
      </c>
      <c r="E344" s="65" t="s">
        <v>674</v>
      </c>
      <c r="F344" s="66">
        <v>3143</v>
      </c>
      <c r="G344" s="77" t="s">
        <v>597</v>
      </c>
      <c r="H344" s="67" t="s">
        <v>272</v>
      </c>
      <c r="I344" s="423">
        <f t="shared" si="721"/>
        <v>7672</v>
      </c>
      <c r="J344" s="418">
        <f t="shared" si="722"/>
        <v>5491</v>
      </c>
      <c r="K344" s="418">
        <v>0</v>
      </c>
      <c r="L344" s="674">
        <v>5491</v>
      </c>
      <c r="M344" s="418">
        <f t="shared" si="744"/>
        <v>0</v>
      </c>
      <c r="N344" s="418">
        <v>0</v>
      </c>
      <c r="O344" s="418">
        <v>0</v>
      </c>
      <c r="P344" s="668">
        <f t="shared" si="723"/>
        <v>1856</v>
      </c>
      <c r="Q344" s="668">
        <f t="shared" si="724"/>
        <v>55</v>
      </c>
      <c r="R344" s="675">
        <v>270</v>
      </c>
      <c r="S344" s="419">
        <f t="shared" si="725"/>
        <v>2.0799999999999999E-2</v>
      </c>
      <c r="T344" s="679">
        <v>0</v>
      </c>
      <c r="U344" s="909">
        <v>2.0799999999999999E-2</v>
      </c>
      <c r="V344" s="428">
        <f t="shared" si="726"/>
        <v>0</v>
      </c>
      <c r="W344" s="421">
        <f t="shared" si="727"/>
        <v>0</v>
      </c>
      <c r="X344" s="421">
        <v>0</v>
      </c>
      <c r="Y344" s="421">
        <v>0</v>
      </c>
      <c r="Z344" s="421">
        <v>0</v>
      </c>
      <c r="AA344" s="421">
        <v>0</v>
      </c>
      <c r="AB344" s="421">
        <v>0</v>
      </c>
      <c r="AC344" s="421">
        <v>0</v>
      </c>
      <c r="AD344" s="421">
        <v>0</v>
      </c>
      <c r="AE344" s="421">
        <v>0</v>
      </c>
      <c r="AF344" s="421">
        <f t="shared" si="728"/>
        <v>0</v>
      </c>
      <c r="AG344" s="421">
        <f t="shared" si="729"/>
        <v>0</v>
      </c>
      <c r="AH344" s="421">
        <f t="shared" si="730"/>
        <v>0</v>
      </c>
      <c r="AI344" s="421">
        <v>0</v>
      </c>
      <c r="AJ344" s="421">
        <v>0</v>
      </c>
      <c r="AK344" s="421">
        <v>0</v>
      </c>
      <c r="AL344" s="421">
        <v>0</v>
      </c>
      <c r="AM344" s="421">
        <v>0</v>
      </c>
      <c r="AN344" s="421">
        <v>0</v>
      </c>
      <c r="AO344" s="421">
        <f t="shared" si="731"/>
        <v>0</v>
      </c>
      <c r="AP344" s="421">
        <f t="shared" si="732"/>
        <v>0</v>
      </c>
      <c r="AQ344" s="421">
        <f t="shared" si="733"/>
        <v>0</v>
      </c>
      <c r="AR344" s="421">
        <f t="shared" si="747"/>
        <v>0</v>
      </c>
      <c r="AS344" s="421">
        <f t="shared" si="747"/>
        <v>0</v>
      </c>
      <c r="AT344" s="421">
        <f t="shared" si="735"/>
        <v>0</v>
      </c>
      <c r="AU344" s="68">
        <f t="shared" si="748"/>
        <v>0</v>
      </c>
      <c r="AV344" s="68">
        <f t="shared" si="749"/>
        <v>0</v>
      </c>
      <c r="AW344" s="421">
        <v>0</v>
      </c>
      <c r="AX344" s="421">
        <v>0</v>
      </c>
      <c r="AY344" s="421">
        <f t="shared" si="737"/>
        <v>0</v>
      </c>
      <c r="AZ344" s="421">
        <f t="shared" si="738"/>
        <v>0</v>
      </c>
      <c r="BA344" s="422">
        <v>0</v>
      </c>
      <c r="BB344" s="422">
        <v>0</v>
      </c>
      <c r="BC344" s="422">
        <v>0</v>
      </c>
      <c r="BD344" s="422">
        <v>0</v>
      </c>
      <c r="BE344" s="422">
        <v>0</v>
      </c>
      <c r="BF344" s="422">
        <v>0</v>
      </c>
      <c r="BG344" s="422">
        <v>0</v>
      </c>
      <c r="BH344" s="422">
        <v>0</v>
      </c>
      <c r="BI344" s="422">
        <v>0</v>
      </c>
      <c r="BJ344" s="422">
        <v>0</v>
      </c>
      <c r="BK344" s="422">
        <f t="shared" si="750"/>
        <v>0</v>
      </c>
      <c r="BL344" s="422">
        <f t="shared" si="751"/>
        <v>0</v>
      </c>
      <c r="BM344" s="424">
        <f t="shared" si="739"/>
        <v>0</v>
      </c>
      <c r="BN344" s="427">
        <f t="shared" si="752"/>
        <v>7672</v>
      </c>
      <c r="BO344" s="421">
        <f t="shared" si="753"/>
        <v>5491</v>
      </c>
      <c r="BP344" s="421">
        <f t="shared" si="754"/>
        <v>0</v>
      </c>
      <c r="BQ344" s="421">
        <f t="shared" si="754"/>
        <v>5491</v>
      </c>
      <c r="BR344" s="421">
        <f t="shared" si="755"/>
        <v>0</v>
      </c>
      <c r="BS344" s="421">
        <f t="shared" si="756"/>
        <v>0</v>
      </c>
      <c r="BT344" s="421">
        <f t="shared" si="756"/>
        <v>0</v>
      </c>
      <c r="BU344" s="421">
        <f t="shared" si="757"/>
        <v>1856</v>
      </c>
      <c r="BV344" s="421">
        <f t="shared" si="757"/>
        <v>55</v>
      </c>
      <c r="BW344" s="421">
        <f t="shared" si="758"/>
        <v>270</v>
      </c>
      <c r="BX344" s="422">
        <f t="shared" si="759"/>
        <v>2.0799999999999999E-2</v>
      </c>
      <c r="BY344" s="422">
        <f t="shared" si="760"/>
        <v>0</v>
      </c>
      <c r="BZ344" s="611">
        <f t="shared" si="760"/>
        <v>2.0799999999999999E-2</v>
      </c>
      <c r="CA344" s="423"/>
      <c r="CB344" s="418"/>
      <c r="CC344" s="418"/>
      <c r="CD344" s="418"/>
      <c r="CE344" s="418"/>
      <c r="CF344" s="527"/>
    </row>
    <row r="345" spans="1:84" ht="14.1" customHeight="1" x14ac:dyDescent="0.2">
      <c r="A345" s="72">
        <v>69</v>
      </c>
      <c r="B345" s="69">
        <v>2302</v>
      </c>
      <c r="C345" s="70">
        <v>600080366</v>
      </c>
      <c r="D345" s="69">
        <v>70983127</v>
      </c>
      <c r="E345" s="71" t="s">
        <v>675</v>
      </c>
      <c r="F345" s="72"/>
      <c r="G345" s="71"/>
      <c r="H345" s="73"/>
      <c r="I345" s="538">
        <f t="shared" ref="I345:BU345" si="762">SUM(I337:I344)</f>
        <v>19989093</v>
      </c>
      <c r="J345" s="74">
        <f t="shared" si="762"/>
        <v>14769906</v>
      </c>
      <c r="K345" s="74">
        <f t="shared" si="762"/>
        <v>13577099</v>
      </c>
      <c r="L345" s="74">
        <f t="shared" si="762"/>
        <v>1192807</v>
      </c>
      <c r="M345" s="74">
        <f t="shared" si="762"/>
        <v>0</v>
      </c>
      <c r="N345" s="74">
        <f t="shared" si="762"/>
        <v>0</v>
      </c>
      <c r="O345" s="74">
        <f t="shared" si="762"/>
        <v>0</v>
      </c>
      <c r="P345" s="74">
        <f t="shared" si="762"/>
        <v>4992228</v>
      </c>
      <c r="Q345" s="74">
        <f t="shared" si="762"/>
        <v>147699</v>
      </c>
      <c r="R345" s="74">
        <f t="shared" si="762"/>
        <v>79260</v>
      </c>
      <c r="S345" s="75">
        <f t="shared" si="762"/>
        <v>27.446600000000004</v>
      </c>
      <c r="T345" s="75">
        <f t="shared" si="762"/>
        <v>23.732400000000002</v>
      </c>
      <c r="U345" s="753">
        <f t="shared" si="762"/>
        <v>3.7141999999999999</v>
      </c>
      <c r="V345" s="538">
        <f t="shared" si="762"/>
        <v>0</v>
      </c>
      <c r="W345" s="74">
        <f t="shared" si="762"/>
        <v>-51200</v>
      </c>
      <c r="X345" s="74">
        <f t="shared" si="762"/>
        <v>1483204</v>
      </c>
      <c r="Y345" s="74">
        <f t="shared" si="762"/>
        <v>0</v>
      </c>
      <c r="Z345" s="74">
        <f t="shared" si="762"/>
        <v>0</v>
      </c>
      <c r="AA345" s="74">
        <f t="shared" si="762"/>
        <v>0</v>
      </c>
      <c r="AB345" s="74">
        <f t="shared" si="762"/>
        <v>0</v>
      </c>
      <c r="AC345" s="74">
        <f t="shared" si="762"/>
        <v>0</v>
      </c>
      <c r="AD345" s="74">
        <f t="shared" si="762"/>
        <v>0</v>
      </c>
      <c r="AE345" s="74">
        <f t="shared" si="762"/>
        <v>0</v>
      </c>
      <c r="AF345" s="74">
        <f t="shared" si="762"/>
        <v>1483204</v>
      </c>
      <c r="AG345" s="74">
        <f t="shared" si="762"/>
        <v>-51200</v>
      </c>
      <c r="AH345" s="74">
        <f t="shared" si="762"/>
        <v>1432004</v>
      </c>
      <c r="AI345" s="74">
        <f t="shared" si="762"/>
        <v>0</v>
      </c>
      <c r="AJ345" s="74">
        <f t="shared" si="762"/>
        <v>51200</v>
      </c>
      <c r="AK345" s="74">
        <f t="shared" si="762"/>
        <v>0</v>
      </c>
      <c r="AL345" s="74">
        <f t="shared" si="762"/>
        <v>0</v>
      </c>
      <c r="AM345" s="74">
        <f t="shared" si="762"/>
        <v>0</v>
      </c>
      <c r="AN345" s="74">
        <f t="shared" si="762"/>
        <v>0</v>
      </c>
      <c r="AO345" s="74">
        <f t="shared" si="762"/>
        <v>0</v>
      </c>
      <c r="AP345" s="74">
        <f t="shared" si="762"/>
        <v>51200</v>
      </c>
      <c r="AQ345" s="74">
        <f t="shared" si="762"/>
        <v>51200</v>
      </c>
      <c r="AR345" s="74">
        <f t="shared" si="762"/>
        <v>1483204</v>
      </c>
      <c r="AS345" s="74">
        <f t="shared" si="762"/>
        <v>0</v>
      </c>
      <c r="AT345" s="74">
        <f t="shared" si="762"/>
        <v>1483204</v>
      </c>
      <c r="AU345" s="74">
        <f t="shared" si="762"/>
        <v>501323</v>
      </c>
      <c r="AV345" s="74">
        <f t="shared" si="762"/>
        <v>14320</v>
      </c>
      <c r="AW345" s="74">
        <f t="shared" si="762"/>
        <v>0</v>
      </c>
      <c r="AX345" s="74">
        <f t="shared" si="762"/>
        <v>0</v>
      </c>
      <c r="AY345" s="74">
        <f t="shared" si="762"/>
        <v>0</v>
      </c>
      <c r="AZ345" s="74">
        <f t="shared" si="762"/>
        <v>1998847</v>
      </c>
      <c r="BA345" s="75">
        <f t="shared" si="762"/>
        <v>0</v>
      </c>
      <c r="BB345" s="75">
        <f t="shared" si="762"/>
        <v>0</v>
      </c>
      <c r="BC345" s="75">
        <f t="shared" si="762"/>
        <v>4</v>
      </c>
      <c r="BD345" s="75">
        <f t="shared" si="762"/>
        <v>0</v>
      </c>
      <c r="BE345" s="75">
        <f t="shared" si="762"/>
        <v>0</v>
      </c>
      <c r="BF345" s="75">
        <f t="shared" si="762"/>
        <v>0</v>
      </c>
      <c r="BG345" s="75">
        <f t="shared" si="762"/>
        <v>0</v>
      </c>
      <c r="BH345" s="75">
        <f t="shared" si="762"/>
        <v>0</v>
      </c>
      <c r="BI345" s="75">
        <f t="shared" si="762"/>
        <v>0</v>
      </c>
      <c r="BJ345" s="75">
        <f t="shared" si="762"/>
        <v>0</v>
      </c>
      <c r="BK345" s="75">
        <f t="shared" si="762"/>
        <v>4</v>
      </c>
      <c r="BL345" s="75">
        <f t="shared" si="762"/>
        <v>0</v>
      </c>
      <c r="BM345" s="76">
        <f t="shared" si="762"/>
        <v>4</v>
      </c>
      <c r="BN345" s="549">
        <f t="shared" si="762"/>
        <v>21987940</v>
      </c>
      <c r="BO345" s="74">
        <f t="shared" si="762"/>
        <v>16201910</v>
      </c>
      <c r="BP345" s="74">
        <f t="shared" si="762"/>
        <v>15060303</v>
      </c>
      <c r="BQ345" s="74">
        <f t="shared" si="762"/>
        <v>1141607</v>
      </c>
      <c r="BR345" s="74">
        <f t="shared" si="762"/>
        <v>51200</v>
      </c>
      <c r="BS345" s="74">
        <f t="shared" si="762"/>
        <v>0</v>
      </c>
      <c r="BT345" s="74">
        <f t="shared" si="762"/>
        <v>51200</v>
      </c>
      <c r="BU345" s="74">
        <f t="shared" si="762"/>
        <v>5493551</v>
      </c>
      <c r="BV345" s="74">
        <f t="shared" ref="BV345:CF345" si="763">SUM(BV337:BV344)</f>
        <v>162019</v>
      </c>
      <c r="BW345" s="74">
        <f t="shared" si="763"/>
        <v>79260</v>
      </c>
      <c r="BX345" s="75">
        <f t="shared" si="763"/>
        <v>31.446600000000004</v>
      </c>
      <c r="BY345" s="75">
        <f t="shared" si="763"/>
        <v>27.732400000000002</v>
      </c>
      <c r="BZ345" s="753">
        <f t="shared" si="763"/>
        <v>3.7141999999999999</v>
      </c>
      <c r="CA345" s="796">
        <f t="shared" si="763"/>
        <v>0</v>
      </c>
      <c r="CB345" s="789">
        <f t="shared" si="763"/>
        <v>0</v>
      </c>
      <c r="CC345" s="789">
        <f t="shared" si="763"/>
        <v>0</v>
      </c>
      <c r="CD345" s="789">
        <f t="shared" si="763"/>
        <v>0</v>
      </c>
      <c r="CE345" s="789">
        <f t="shared" si="763"/>
        <v>0</v>
      </c>
      <c r="CF345" s="793">
        <f t="shared" si="763"/>
        <v>0</v>
      </c>
    </row>
    <row r="346" spans="1:84" ht="14.1" customHeight="1" x14ac:dyDescent="0.2">
      <c r="A346" s="66">
        <v>70</v>
      </c>
      <c r="B346" s="63">
        <v>2454</v>
      </c>
      <c r="C346" s="64">
        <v>600079759</v>
      </c>
      <c r="D346" s="63">
        <v>70983119</v>
      </c>
      <c r="E346" s="65" t="s">
        <v>676</v>
      </c>
      <c r="F346" s="66">
        <v>3117</v>
      </c>
      <c r="G346" s="65" t="s">
        <v>294</v>
      </c>
      <c r="H346" s="67" t="s">
        <v>271</v>
      </c>
      <c r="I346" s="423">
        <f t="shared" si="721"/>
        <v>6552632</v>
      </c>
      <c r="J346" s="418">
        <f t="shared" ref="J346" si="764">K346+L346</f>
        <v>4779749</v>
      </c>
      <c r="K346" s="418">
        <v>4288463</v>
      </c>
      <c r="L346" s="418">
        <v>491286</v>
      </c>
      <c r="M346" s="418">
        <f>N346+O346</f>
        <v>0</v>
      </c>
      <c r="N346" s="418">
        <v>0</v>
      </c>
      <c r="O346" s="418">
        <v>0</v>
      </c>
      <c r="P346" s="668">
        <f t="shared" si="723"/>
        <v>1615555</v>
      </c>
      <c r="Q346" s="668">
        <f>ROUND(J346*1%,0)+1</f>
        <v>47798</v>
      </c>
      <c r="R346" s="418">
        <v>109530</v>
      </c>
      <c r="S346" s="419">
        <f>T346+U346</f>
        <v>8.0098000000000003</v>
      </c>
      <c r="T346" s="419">
        <v>6.61</v>
      </c>
      <c r="U346" s="426">
        <v>1.3997999999999999</v>
      </c>
      <c r="V346" s="428">
        <f t="shared" si="726"/>
        <v>-12800</v>
      </c>
      <c r="W346" s="421">
        <f t="shared" si="727"/>
        <v>-25600</v>
      </c>
      <c r="X346" s="421">
        <v>0</v>
      </c>
      <c r="Y346" s="421">
        <v>0</v>
      </c>
      <c r="Z346" s="421">
        <v>0</v>
      </c>
      <c r="AA346" s="421">
        <v>0</v>
      </c>
      <c r="AB346" s="421">
        <v>0</v>
      </c>
      <c r="AC346" s="421">
        <v>0</v>
      </c>
      <c r="AD346" s="421">
        <v>0</v>
      </c>
      <c r="AE346" s="421">
        <v>0</v>
      </c>
      <c r="AF346" s="421">
        <f t="shared" si="728"/>
        <v>-12800</v>
      </c>
      <c r="AG346" s="421">
        <f t="shared" si="729"/>
        <v>-25600</v>
      </c>
      <c r="AH346" s="421">
        <f t="shared" si="730"/>
        <v>-38400</v>
      </c>
      <c r="AI346" s="421">
        <v>12800</v>
      </c>
      <c r="AJ346" s="421">
        <v>25600</v>
      </c>
      <c r="AK346" s="421">
        <v>0</v>
      </c>
      <c r="AL346" s="421">
        <v>0</v>
      </c>
      <c r="AM346" s="421">
        <v>0</v>
      </c>
      <c r="AN346" s="421">
        <v>0</v>
      </c>
      <c r="AO346" s="421">
        <f t="shared" si="731"/>
        <v>12800</v>
      </c>
      <c r="AP346" s="421">
        <f t="shared" si="732"/>
        <v>25600</v>
      </c>
      <c r="AQ346" s="421">
        <f t="shared" si="733"/>
        <v>38400</v>
      </c>
      <c r="AR346" s="421">
        <f t="shared" ref="AR346:AS350" si="765">AF346+AO346</f>
        <v>0</v>
      </c>
      <c r="AS346" s="421">
        <f t="shared" si="765"/>
        <v>0</v>
      </c>
      <c r="AT346" s="421">
        <f t="shared" si="735"/>
        <v>0</v>
      </c>
      <c r="AU346" s="68">
        <f t="shared" ref="AU346:AU350" si="766">ROUND((AH346+AI346+AJ346+AK346+AL346)*33.8%,0)</f>
        <v>0</v>
      </c>
      <c r="AV346" s="68">
        <f>ROUND(AH346*1%,0)</f>
        <v>-384</v>
      </c>
      <c r="AW346" s="421">
        <v>0</v>
      </c>
      <c r="AX346" s="421">
        <v>0</v>
      </c>
      <c r="AY346" s="421">
        <f t="shared" si="737"/>
        <v>0</v>
      </c>
      <c r="AZ346" s="421">
        <f t="shared" si="738"/>
        <v>-384</v>
      </c>
      <c r="BA346" s="422">
        <v>0</v>
      </c>
      <c r="BB346" s="422">
        <v>-0.08</v>
      </c>
      <c r="BC346" s="422">
        <v>0</v>
      </c>
      <c r="BD346" s="422">
        <v>0</v>
      </c>
      <c r="BE346" s="422">
        <v>0</v>
      </c>
      <c r="BF346" s="422">
        <v>0</v>
      </c>
      <c r="BG346" s="422">
        <v>0</v>
      </c>
      <c r="BH346" s="422">
        <v>0</v>
      </c>
      <c r="BI346" s="422">
        <v>0</v>
      </c>
      <c r="BJ346" s="422">
        <v>0</v>
      </c>
      <c r="BK346" s="422">
        <f>BA346+BC346+BD346+BF346+BH346+BI346</f>
        <v>0</v>
      </c>
      <c r="BL346" s="422">
        <f>BB346+BE346+BG346+BJ346</f>
        <v>-0.08</v>
      </c>
      <c r="BM346" s="424">
        <f t="shared" si="739"/>
        <v>-0.08</v>
      </c>
      <c r="BN346" s="427">
        <f>I346+AZ346</f>
        <v>6552248</v>
      </c>
      <c r="BO346" s="421">
        <f>J346+AH346</f>
        <v>4741349</v>
      </c>
      <c r="BP346" s="421">
        <f t="shared" ref="BP346:BQ350" si="767">K346+AF346</f>
        <v>4275663</v>
      </c>
      <c r="BQ346" s="421">
        <f t="shared" si="767"/>
        <v>465686</v>
      </c>
      <c r="BR346" s="421">
        <f>M346+AQ346</f>
        <v>38400</v>
      </c>
      <c r="BS346" s="421">
        <f t="shared" ref="BS346:BT350" si="768">N346+AO346</f>
        <v>12800</v>
      </c>
      <c r="BT346" s="421">
        <f t="shared" si="768"/>
        <v>25600</v>
      </c>
      <c r="BU346" s="421">
        <f t="shared" ref="BU346:BV350" si="769">P346+AU346</f>
        <v>1615555</v>
      </c>
      <c r="BV346" s="421">
        <f t="shared" si="769"/>
        <v>47414</v>
      </c>
      <c r="BW346" s="421">
        <f>R346+AY346</f>
        <v>109530</v>
      </c>
      <c r="BX346" s="422">
        <f>S346+BM346</f>
        <v>7.9298000000000002</v>
      </c>
      <c r="BY346" s="422">
        <f t="shared" ref="BY346:BZ350" si="770">T346+BK346</f>
        <v>6.61</v>
      </c>
      <c r="BZ346" s="611">
        <f t="shared" si="770"/>
        <v>1.3197999999999999</v>
      </c>
      <c r="CA346" s="423"/>
      <c r="CB346" s="418"/>
      <c r="CC346" s="418"/>
      <c r="CD346" s="418"/>
      <c r="CE346" s="418"/>
      <c r="CF346" s="527"/>
    </row>
    <row r="347" spans="1:84" ht="14.1" customHeight="1" x14ac:dyDescent="0.2">
      <c r="A347" s="66">
        <v>70</v>
      </c>
      <c r="B347" s="63">
        <v>2454</v>
      </c>
      <c r="C347" s="64">
        <v>600079759</v>
      </c>
      <c r="D347" s="63">
        <v>70983119</v>
      </c>
      <c r="E347" s="65" t="s">
        <v>676</v>
      </c>
      <c r="F347" s="66">
        <v>3117</v>
      </c>
      <c r="G347" s="77" t="s">
        <v>292</v>
      </c>
      <c r="H347" s="67" t="s">
        <v>272</v>
      </c>
      <c r="I347" s="423">
        <f t="shared" si="721"/>
        <v>0</v>
      </c>
      <c r="J347" s="418">
        <f t="shared" si="722"/>
        <v>0</v>
      </c>
      <c r="K347" s="418">
        <v>0</v>
      </c>
      <c r="L347" s="418">
        <v>0</v>
      </c>
      <c r="M347" s="418">
        <f t="shared" si="744"/>
        <v>0</v>
      </c>
      <c r="N347" s="418">
        <v>0</v>
      </c>
      <c r="O347" s="418">
        <v>0</v>
      </c>
      <c r="P347" s="668">
        <f t="shared" si="723"/>
        <v>0</v>
      </c>
      <c r="Q347" s="668">
        <f t="shared" si="724"/>
        <v>0</v>
      </c>
      <c r="R347" s="418">
        <v>0</v>
      </c>
      <c r="S347" s="419">
        <f t="shared" si="725"/>
        <v>0</v>
      </c>
      <c r="T347" s="420">
        <v>0</v>
      </c>
      <c r="U347" s="426">
        <v>0</v>
      </c>
      <c r="V347" s="428">
        <f t="shared" si="726"/>
        <v>0</v>
      </c>
      <c r="W347" s="421">
        <f t="shared" si="727"/>
        <v>0</v>
      </c>
      <c r="X347" s="16">
        <v>1442207</v>
      </c>
      <c r="Y347" s="16">
        <v>0</v>
      </c>
      <c r="Z347" s="16">
        <v>0</v>
      </c>
      <c r="AA347" s="16">
        <v>0</v>
      </c>
      <c r="AB347" s="421">
        <v>0</v>
      </c>
      <c r="AC347" s="16">
        <v>0</v>
      </c>
      <c r="AD347" s="16">
        <v>0</v>
      </c>
      <c r="AE347" s="16">
        <v>0</v>
      </c>
      <c r="AF347" s="421">
        <f t="shared" si="728"/>
        <v>1442207</v>
      </c>
      <c r="AG347" s="421">
        <f t="shared" si="729"/>
        <v>0</v>
      </c>
      <c r="AH347" s="421">
        <f t="shared" si="730"/>
        <v>1442207</v>
      </c>
      <c r="AI347" s="16">
        <v>0</v>
      </c>
      <c r="AJ347" s="16">
        <v>0</v>
      </c>
      <c r="AK347" s="421">
        <v>0</v>
      </c>
      <c r="AL347" s="16">
        <v>0</v>
      </c>
      <c r="AM347" s="16">
        <v>0</v>
      </c>
      <c r="AN347" s="16">
        <v>0</v>
      </c>
      <c r="AO347" s="421">
        <f t="shared" si="731"/>
        <v>0</v>
      </c>
      <c r="AP347" s="16">
        <v>0</v>
      </c>
      <c r="AQ347" s="421">
        <f t="shared" si="733"/>
        <v>0</v>
      </c>
      <c r="AR347" s="421">
        <f t="shared" si="765"/>
        <v>1442207</v>
      </c>
      <c r="AS347" s="421">
        <f t="shared" si="765"/>
        <v>0</v>
      </c>
      <c r="AT347" s="421">
        <f t="shared" si="735"/>
        <v>1442207</v>
      </c>
      <c r="AU347" s="68">
        <f t="shared" si="766"/>
        <v>487466</v>
      </c>
      <c r="AV347" s="68">
        <f>ROUND(AH347*1%,0)</f>
        <v>14422</v>
      </c>
      <c r="AW347" s="16">
        <v>4000</v>
      </c>
      <c r="AX347" s="16">
        <v>0</v>
      </c>
      <c r="AY347" s="421">
        <f t="shared" si="737"/>
        <v>4000</v>
      </c>
      <c r="AZ347" s="421">
        <f t="shared" si="738"/>
        <v>1948095</v>
      </c>
      <c r="BA347" s="13">
        <v>0</v>
      </c>
      <c r="BB347" s="13">
        <v>0</v>
      </c>
      <c r="BC347" s="13">
        <v>3.81</v>
      </c>
      <c r="BD347" s="422">
        <v>0</v>
      </c>
      <c r="BE347" s="422">
        <v>0</v>
      </c>
      <c r="BF347" s="422">
        <v>0</v>
      </c>
      <c r="BG347" s="422">
        <v>0</v>
      </c>
      <c r="BH347" s="422">
        <v>0</v>
      </c>
      <c r="BI347" s="422">
        <v>0</v>
      </c>
      <c r="BJ347" s="422">
        <v>0</v>
      </c>
      <c r="BK347" s="422">
        <f>BA347+BC347+BD347+BF347+BH347+BI347</f>
        <v>3.81</v>
      </c>
      <c r="BL347" s="422">
        <f>BB347+BE347+BG347+BJ347</f>
        <v>0</v>
      </c>
      <c r="BM347" s="424">
        <f t="shared" si="739"/>
        <v>3.81</v>
      </c>
      <c r="BN347" s="427">
        <f>I347+AZ347</f>
        <v>1948095</v>
      </c>
      <c r="BO347" s="421">
        <f>J347+AH347</f>
        <v>1442207</v>
      </c>
      <c r="BP347" s="421">
        <f t="shared" si="767"/>
        <v>1442207</v>
      </c>
      <c r="BQ347" s="421">
        <f t="shared" si="767"/>
        <v>0</v>
      </c>
      <c r="BR347" s="421">
        <f>M347+AQ347</f>
        <v>0</v>
      </c>
      <c r="BS347" s="421">
        <f t="shared" si="768"/>
        <v>0</v>
      </c>
      <c r="BT347" s="421">
        <f t="shared" si="768"/>
        <v>0</v>
      </c>
      <c r="BU347" s="421">
        <f t="shared" si="769"/>
        <v>487466</v>
      </c>
      <c r="BV347" s="421">
        <f t="shared" si="769"/>
        <v>14422</v>
      </c>
      <c r="BW347" s="421">
        <f>R347+AY347</f>
        <v>4000</v>
      </c>
      <c r="BX347" s="422">
        <f>S347+BM347</f>
        <v>3.81</v>
      </c>
      <c r="BY347" s="422">
        <f t="shared" si="770"/>
        <v>3.81</v>
      </c>
      <c r="BZ347" s="611">
        <f t="shared" si="770"/>
        <v>0</v>
      </c>
      <c r="CA347" s="423"/>
      <c r="CB347" s="418"/>
      <c r="CC347" s="418"/>
      <c r="CD347" s="418"/>
      <c r="CE347" s="418"/>
      <c r="CF347" s="527"/>
    </row>
    <row r="348" spans="1:84" ht="14.1" customHeight="1" x14ac:dyDescent="0.2">
      <c r="A348" s="66">
        <v>70</v>
      </c>
      <c r="B348" s="63">
        <v>2454</v>
      </c>
      <c r="C348" s="64">
        <v>600079759</v>
      </c>
      <c r="D348" s="63">
        <v>70983119</v>
      </c>
      <c r="E348" s="65" t="s">
        <v>676</v>
      </c>
      <c r="F348" s="66">
        <v>3141</v>
      </c>
      <c r="G348" s="65" t="s">
        <v>295</v>
      </c>
      <c r="H348" s="67" t="s">
        <v>272</v>
      </c>
      <c r="I348" s="423">
        <f t="shared" si="721"/>
        <v>202670</v>
      </c>
      <c r="J348" s="418">
        <f t="shared" si="722"/>
        <v>148966</v>
      </c>
      <c r="K348" s="418">
        <v>0</v>
      </c>
      <c r="L348" s="924">
        <v>148966</v>
      </c>
      <c r="M348" s="418">
        <f>N348+O348</f>
        <v>0</v>
      </c>
      <c r="N348" s="205">
        <v>0</v>
      </c>
      <c r="O348" s="205">
        <v>0</v>
      </c>
      <c r="P348" s="668">
        <f t="shared" si="723"/>
        <v>50351</v>
      </c>
      <c r="Q348" s="668">
        <f t="shared" si="724"/>
        <v>1490</v>
      </c>
      <c r="R348" s="674">
        <v>1863</v>
      </c>
      <c r="S348" s="419">
        <f>T348+U348</f>
        <v>0.44669999999999999</v>
      </c>
      <c r="T348" s="676">
        <v>0</v>
      </c>
      <c r="U348" s="909">
        <v>0.44669999999999999</v>
      </c>
      <c r="V348" s="428">
        <f t="shared" si="726"/>
        <v>0</v>
      </c>
      <c r="W348" s="421">
        <f t="shared" si="727"/>
        <v>0</v>
      </c>
      <c r="X348" s="421">
        <v>0</v>
      </c>
      <c r="Y348" s="421">
        <v>0</v>
      </c>
      <c r="Z348" s="421">
        <v>0</v>
      </c>
      <c r="AA348" s="421">
        <v>0</v>
      </c>
      <c r="AB348" s="421">
        <v>0</v>
      </c>
      <c r="AC348" s="421">
        <v>0</v>
      </c>
      <c r="AD348" s="421">
        <v>0</v>
      </c>
      <c r="AE348" s="421">
        <v>0</v>
      </c>
      <c r="AF348" s="421">
        <f t="shared" si="728"/>
        <v>0</v>
      </c>
      <c r="AG348" s="421">
        <f t="shared" si="729"/>
        <v>0</v>
      </c>
      <c r="AH348" s="421">
        <f t="shared" si="730"/>
        <v>0</v>
      </c>
      <c r="AI348" s="421">
        <v>0</v>
      </c>
      <c r="AJ348" s="421">
        <v>0</v>
      </c>
      <c r="AK348" s="421">
        <v>0</v>
      </c>
      <c r="AL348" s="421">
        <v>0</v>
      </c>
      <c r="AM348" s="421">
        <v>0</v>
      </c>
      <c r="AN348" s="421">
        <v>0</v>
      </c>
      <c r="AO348" s="421">
        <f t="shared" si="731"/>
        <v>0</v>
      </c>
      <c r="AP348" s="421">
        <f t="shared" si="732"/>
        <v>0</v>
      </c>
      <c r="AQ348" s="421">
        <f t="shared" si="733"/>
        <v>0</v>
      </c>
      <c r="AR348" s="421">
        <f t="shared" si="765"/>
        <v>0</v>
      </c>
      <c r="AS348" s="421">
        <f t="shared" si="765"/>
        <v>0</v>
      </c>
      <c r="AT348" s="421">
        <f t="shared" si="735"/>
        <v>0</v>
      </c>
      <c r="AU348" s="68">
        <f t="shared" si="766"/>
        <v>0</v>
      </c>
      <c r="AV348" s="68">
        <f>ROUND(AH348*1%,0)</f>
        <v>0</v>
      </c>
      <c r="AW348" s="421">
        <v>0</v>
      </c>
      <c r="AX348" s="421">
        <v>0</v>
      </c>
      <c r="AY348" s="421">
        <f t="shared" si="737"/>
        <v>0</v>
      </c>
      <c r="AZ348" s="421">
        <f t="shared" si="738"/>
        <v>0</v>
      </c>
      <c r="BA348" s="422">
        <v>0</v>
      </c>
      <c r="BB348" s="422">
        <v>0</v>
      </c>
      <c r="BC348" s="422">
        <v>0</v>
      </c>
      <c r="BD348" s="422">
        <v>0</v>
      </c>
      <c r="BE348" s="422">
        <v>0</v>
      </c>
      <c r="BF348" s="422">
        <v>0</v>
      </c>
      <c r="BG348" s="422">
        <v>0</v>
      </c>
      <c r="BH348" s="422">
        <v>0</v>
      </c>
      <c r="BI348" s="422">
        <v>0</v>
      </c>
      <c r="BJ348" s="422">
        <v>0</v>
      </c>
      <c r="BK348" s="422">
        <f>BA348+BC348+BD348+BF348+BH348+BI348</f>
        <v>0</v>
      </c>
      <c r="BL348" s="422">
        <f>BB348+BE348+BG348+BJ348</f>
        <v>0</v>
      </c>
      <c r="BM348" s="424">
        <f t="shared" si="739"/>
        <v>0</v>
      </c>
      <c r="BN348" s="427">
        <f>I348+AZ348</f>
        <v>202670</v>
      </c>
      <c r="BO348" s="421">
        <f>J348+AH348</f>
        <v>148966</v>
      </c>
      <c r="BP348" s="421">
        <f t="shared" si="767"/>
        <v>0</v>
      </c>
      <c r="BQ348" s="421">
        <f t="shared" si="767"/>
        <v>148966</v>
      </c>
      <c r="BR348" s="421">
        <f>M348+AQ348</f>
        <v>0</v>
      </c>
      <c r="BS348" s="421">
        <f t="shared" si="768"/>
        <v>0</v>
      </c>
      <c r="BT348" s="421">
        <f t="shared" si="768"/>
        <v>0</v>
      </c>
      <c r="BU348" s="421">
        <f t="shared" si="769"/>
        <v>50351</v>
      </c>
      <c r="BV348" s="421">
        <f t="shared" si="769"/>
        <v>1490</v>
      </c>
      <c r="BW348" s="421">
        <f>R348+AY348</f>
        <v>1863</v>
      </c>
      <c r="BX348" s="422">
        <f>S348+BM348</f>
        <v>0.44669999999999999</v>
      </c>
      <c r="BY348" s="422">
        <f t="shared" si="770"/>
        <v>0</v>
      </c>
      <c r="BZ348" s="611">
        <f t="shared" si="770"/>
        <v>0.44669999999999999</v>
      </c>
      <c r="CA348" s="423"/>
      <c r="CB348" s="418"/>
      <c r="CC348" s="418"/>
      <c r="CD348" s="418"/>
      <c r="CE348" s="418"/>
      <c r="CF348" s="527"/>
    </row>
    <row r="349" spans="1:84" ht="14.1" customHeight="1" x14ac:dyDescent="0.2">
      <c r="A349" s="66">
        <v>70</v>
      </c>
      <c r="B349" s="63">
        <v>2454</v>
      </c>
      <c r="C349" s="64">
        <v>600079759</v>
      </c>
      <c r="D349" s="63">
        <v>70983119</v>
      </c>
      <c r="E349" s="65" t="s">
        <v>676</v>
      </c>
      <c r="F349" s="66">
        <v>3143</v>
      </c>
      <c r="G349" s="77" t="s">
        <v>596</v>
      </c>
      <c r="H349" s="67" t="s">
        <v>271</v>
      </c>
      <c r="I349" s="423">
        <f t="shared" si="721"/>
        <v>952428</v>
      </c>
      <c r="J349" s="418">
        <f t="shared" si="722"/>
        <v>706549</v>
      </c>
      <c r="K349" s="418">
        <v>706549</v>
      </c>
      <c r="L349" s="418">
        <v>0</v>
      </c>
      <c r="M349" s="418">
        <f t="shared" si="744"/>
        <v>0</v>
      </c>
      <c r="N349" s="418">
        <v>0</v>
      </c>
      <c r="O349" s="418">
        <v>0</v>
      </c>
      <c r="P349" s="668">
        <f t="shared" si="723"/>
        <v>238814</v>
      </c>
      <c r="Q349" s="668">
        <f t="shared" si="724"/>
        <v>7065</v>
      </c>
      <c r="R349" s="418">
        <v>0</v>
      </c>
      <c r="S349" s="419">
        <f t="shared" si="725"/>
        <v>1.45</v>
      </c>
      <c r="T349" s="419">
        <v>1.45</v>
      </c>
      <c r="U349" s="426">
        <v>0</v>
      </c>
      <c r="V349" s="428">
        <f t="shared" si="726"/>
        <v>0</v>
      </c>
      <c r="W349" s="421">
        <f t="shared" si="727"/>
        <v>0</v>
      </c>
      <c r="X349" s="421">
        <v>0</v>
      </c>
      <c r="Y349" s="421">
        <v>0</v>
      </c>
      <c r="Z349" s="421">
        <v>0</v>
      </c>
      <c r="AA349" s="421">
        <v>0</v>
      </c>
      <c r="AB349" s="421">
        <v>0</v>
      </c>
      <c r="AC349" s="421">
        <v>0</v>
      </c>
      <c r="AD349" s="421">
        <v>0</v>
      </c>
      <c r="AE349" s="421">
        <v>0</v>
      </c>
      <c r="AF349" s="421">
        <f t="shared" si="728"/>
        <v>0</v>
      </c>
      <c r="AG349" s="421">
        <f t="shared" si="729"/>
        <v>0</v>
      </c>
      <c r="AH349" s="421">
        <f t="shared" si="730"/>
        <v>0</v>
      </c>
      <c r="AI349" s="421">
        <v>0</v>
      </c>
      <c r="AJ349" s="421">
        <v>0</v>
      </c>
      <c r="AK349" s="421">
        <v>0</v>
      </c>
      <c r="AL349" s="421">
        <v>0</v>
      </c>
      <c r="AM349" s="421">
        <v>0</v>
      </c>
      <c r="AN349" s="421">
        <v>0</v>
      </c>
      <c r="AO349" s="421">
        <f t="shared" si="731"/>
        <v>0</v>
      </c>
      <c r="AP349" s="421">
        <f t="shared" si="732"/>
        <v>0</v>
      </c>
      <c r="AQ349" s="421">
        <f t="shared" si="733"/>
        <v>0</v>
      </c>
      <c r="AR349" s="421">
        <f t="shared" si="765"/>
        <v>0</v>
      </c>
      <c r="AS349" s="421">
        <f t="shared" si="765"/>
        <v>0</v>
      </c>
      <c r="AT349" s="421">
        <f t="shared" si="735"/>
        <v>0</v>
      </c>
      <c r="AU349" s="68">
        <f t="shared" si="766"/>
        <v>0</v>
      </c>
      <c r="AV349" s="68">
        <f>ROUND(AH349*1%,0)</f>
        <v>0</v>
      </c>
      <c r="AW349" s="421">
        <v>0</v>
      </c>
      <c r="AX349" s="421">
        <v>0</v>
      </c>
      <c r="AY349" s="421">
        <f t="shared" si="737"/>
        <v>0</v>
      </c>
      <c r="AZ349" s="421">
        <f t="shared" si="738"/>
        <v>0</v>
      </c>
      <c r="BA349" s="422">
        <v>0</v>
      </c>
      <c r="BB349" s="422">
        <v>0</v>
      </c>
      <c r="BC349" s="422">
        <v>0</v>
      </c>
      <c r="BD349" s="422">
        <v>0</v>
      </c>
      <c r="BE349" s="422">
        <v>0</v>
      </c>
      <c r="BF349" s="422">
        <v>0</v>
      </c>
      <c r="BG349" s="422">
        <v>0</v>
      </c>
      <c r="BH349" s="422">
        <v>0</v>
      </c>
      <c r="BI349" s="422">
        <v>0</v>
      </c>
      <c r="BJ349" s="422">
        <v>0</v>
      </c>
      <c r="BK349" s="422">
        <f>BA349+BC349+BD349+BF349+BH349+BI349</f>
        <v>0</v>
      </c>
      <c r="BL349" s="422">
        <f>BB349+BE349+BG349+BJ349</f>
        <v>0</v>
      </c>
      <c r="BM349" s="424">
        <f t="shared" si="739"/>
        <v>0</v>
      </c>
      <c r="BN349" s="427">
        <f>I349+AZ349</f>
        <v>952428</v>
      </c>
      <c r="BO349" s="421">
        <f>J349+AH349</f>
        <v>706549</v>
      </c>
      <c r="BP349" s="421">
        <f t="shared" si="767"/>
        <v>706549</v>
      </c>
      <c r="BQ349" s="421">
        <f t="shared" si="767"/>
        <v>0</v>
      </c>
      <c r="BR349" s="421">
        <f>M349+AQ349</f>
        <v>0</v>
      </c>
      <c r="BS349" s="421">
        <f t="shared" si="768"/>
        <v>0</v>
      </c>
      <c r="BT349" s="421">
        <f t="shared" si="768"/>
        <v>0</v>
      </c>
      <c r="BU349" s="421">
        <f t="shared" si="769"/>
        <v>238814</v>
      </c>
      <c r="BV349" s="421">
        <f t="shared" si="769"/>
        <v>7065</v>
      </c>
      <c r="BW349" s="421">
        <f>R349+AY349</f>
        <v>0</v>
      </c>
      <c r="BX349" s="422">
        <f>S349+BM349</f>
        <v>1.45</v>
      </c>
      <c r="BY349" s="422">
        <f t="shared" si="770"/>
        <v>1.45</v>
      </c>
      <c r="BZ349" s="611">
        <f t="shared" si="770"/>
        <v>0</v>
      </c>
      <c r="CA349" s="423"/>
      <c r="CB349" s="418"/>
      <c r="CC349" s="418"/>
      <c r="CD349" s="418"/>
      <c r="CE349" s="418"/>
      <c r="CF349" s="527"/>
    </row>
    <row r="350" spans="1:84" ht="14.1" customHeight="1" x14ac:dyDescent="0.2">
      <c r="A350" s="66">
        <v>70</v>
      </c>
      <c r="B350" s="63">
        <v>2454</v>
      </c>
      <c r="C350" s="64">
        <v>600079759</v>
      </c>
      <c r="D350" s="63">
        <v>70983119</v>
      </c>
      <c r="E350" s="65" t="s">
        <v>676</v>
      </c>
      <c r="F350" s="66">
        <v>3143</v>
      </c>
      <c r="G350" s="77" t="s">
        <v>597</v>
      </c>
      <c r="H350" s="67" t="s">
        <v>272</v>
      </c>
      <c r="I350" s="423">
        <f t="shared" si="721"/>
        <v>25598</v>
      </c>
      <c r="J350" s="418">
        <f t="shared" si="722"/>
        <v>18322</v>
      </c>
      <c r="K350" s="418">
        <v>0</v>
      </c>
      <c r="L350" s="674">
        <v>18322</v>
      </c>
      <c r="M350" s="418">
        <f t="shared" si="744"/>
        <v>0</v>
      </c>
      <c r="N350" s="418">
        <v>0</v>
      </c>
      <c r="O350" s="418">
        <v>0</v>
      </c>
      <c r="P350" s="668">
        <f t="shared" si="723"/>
        <v>6193</v>
      </c>
      <c r="Q350" s="668">
        <f t="shared" si="724"/>
        <v>183</v>
      </c>
      <c r="R350" s="675">
        <v>900</v>
      </c>
      <c r="S350" s="419">
        <f t="shared" si="725"/>
        <v>6.9400000000000003E-2</v>
      </c>
      <c r="T350" s="679">
        <v>0</v>
      </c>
      <c r="U350" s="909">
        <v>6.9400000000000003E-2</v>
      </c>
      <c r="V350" s="428">
        <f t="shared" si="726"/>
        <v>0</v>
      </c>
      <c r="W350" s="421">
        <f t="shared" si="727"/>
        <v>0</v>
      </c>
      <c r="X350" s="421">
        <v>0</v>
      </c>
      <c r="Y350" s="421">
        <v>0</v>
      </c>
      <c r="Z350" s="421">
        <v>0</v>
      </c>
      <c r="AA350" s="421">
        <v>0</v>
      </c>
      <c r="AB350" s="421">
        <v>0</v>
      </c>
      <c r="AC350" s="421">
        <v>0</v>
      </c>
      <c r="AD350" s="421">
        <v>0</v>
      </c>
      <c r="AE350" s="421">
        <v>0</v>
      </c>
      <c r="AF350" s="421">
        <f t="shared" si="728"/>
        <v>0</v>
      </c>
      <c r="AG350" s="421">
        <f t="shared" si="729"/>
        <v>0</v>
      </c>
      <c r="AH350" s="421">
        <f t="shared" si="730"/>
        <v>0</v>
      </c>
      <c r="AI350" s="421">
        <v>0</v>
      </c>
      <c r="AJ350" s="421">
        <v>0</v>
      </c>
      <c r="AK350" s="421">
        <v>0</v>
      </c>
      <c r="AL350" s="421">
        <v>0</v>
      </c>
      <c r="AM350" s="421">
        <v>0</v>
      </c>
      <c r="AN350" s="421">
        <v>0</v>
      </c>
      <c r="AO350" s="421">
        <f t="shared" si="731"/>
        <v>0</v>
      </c>
      <c r="AP350" s="421">
        <f t="shared" si="732"/>
        <v>0</v>
      </c>
      <c r="AQ350" s="421">
        <f t="shared" si="733"/>
        <v>0</v>
      </c>
      <c r="AR350" s="421">
        <f t="shared" si="765"/>
        <v>0</v>
      </c>
      <c r="AS350" s="421">
        <f t="shared" si="765"/>
        <v>0</v>
      </c>
      <c r="AT350" s="421">
        <f t="shared" si="735"/>
        <v>0</v>
      </c>
      <c r="AU350" s="68">
        <f t="shared" si="766"/>
        <v>0</v>
      </c>
      <c r="AV350" s="68">
        <f>ROUND(AH350*1%,0)</f>
        <v>0</v>
      </c>
      <c r="AW350" s="421">
        <v>0</v>
      </c>
      <c r="AX350" s="421">
        <v>0</v>
      </c>
      <c r="AY350" s="421">
        <f t="shared" si="737"/>
        <v>0</v>
      </c>
      <c r="AZ350" s="421">
        <f t="shared" si="738"/>
        <v>0</v>
      </c>
      <c r="BA350" s="422">
        <v>0</v>
      </c>
      <c r="BB350" s="422">
        <v>0</v>
      </c>
      <c r="BC350" s="422">
        <v>0</v>
      </c>
      <c r="BD350" s="422">
        <v>0</v>
      </c>
      <c r="BE350" s="422">
        <v>0</v>
      </c>
      <c r="BF350" s="422">
        <v>0</v>
      </c>
      <c r="BG350" s="422">
        <v>0</v>
      </c>
      <c r="BH350" s="422">
        <v>0</v>
      </c>
      <c r="BI350" s="422">
        <v>0</v>
      </c>
      <c r="BJ350" s="422">
        <v>0</v>
      </c>
      <c r="BK350" s="422">
        <f>BA350+BC350+BD350+BF350+BH350+BI350</f>
        <v>0</v>
      </c>
      <c r="BL350" s="422">
        <f>BB350+BE350+BG350+BJ350</f>
        <v>0</v>
      </c>
      <c r="BM350" s="424">
        <f t="shared" si="739"/>
        <v>0</v>
      </c>
      <c r="BN350" s="427">
        <f>I350+AZ350</f>
        <v>25598</v>
      </c>
      <c r="BO350" s="421">
        <f>J350+AH350</f>
        <v>18322</v>
      </c>
      <c r="BP350" s="421">
        <f t="shared" si="767"/>
        <v>0</v>
      </c>
      <c r="BQ350" s="421">
        <f t="shared" si="767"/>
        <v>18322</v>
      </c>
      <c r="BR350" s="421">
        <f>M350+AQ350</f>
        <v>0</v>
      </c>
      <c r="BS350" s="421">
        <f t="shared" si="768"/>
        <v>0</v>
      </c>
      <c r="BT350" s="421">
        <f t="shared" si="768"/>
        <v>0</v>
      </c>
      <c r="BU350" s="421">
        <f t="shared" si="769"/>
        <v>6193</v>
      </c>
      <c r="BV350" s="421">
        <f t="shared" si="769"/>
        <v>183</v>
      </c>
      <c r="BW350" s="421">
        <f>R350+AY350</f>
        <v>900</v>
      </c>
      <c r="BX350" s="422">
        <f>S350+BM350</f>
        <v>6.9400000000000003E-2</v>
      </c>
      <c r="BY350" s="422">
        <f t="shared" si="770"/>
        <v>0</v>
      </c>
      <c r="BZ350" s="611">
        <f t="shared" si="770"/>
        <v>6.9400000000000003E-2</v>
      </c>
      <c r="CA350" s="423"/>
      <c r="CB350" s="418"/>
      <c r="CC350" s="418"/>
      <c r="CD350" s="418"/>
      <c r="CE350" s="418"/>
      <c r="CF350" s="527"/>
    </row>
    <row r="351" spans="1:84" ht="14.1" customHeight="1" x14ac:dyDescent="0.2">
      <c r="A351" s="72">
        <v>70</v>
      </c>
      <c r="B351" s="69">
        <v>2454</v>
      </c>
      <c r="C351" s="70">
        <v>600079759</v>
      </c>
      <c r="D351" s="69">
        <v>70983119</v>
      </c>
      <c r="E351" s="71" t="s">
        <v>677</v>
      </c>
      <c r="F351" s="72"/>
      <c r="G351" s="71"/>
      <c r="H351" s="73"/>
      <c r="I351" s="538">
        <f t="shared" ref="I351:BU351" si="771">SUM(I346:I350)</f>
        <v>7733328</v>
      </c>
      <c r="J351" s="74">
        <f t="shared" si="771"/>
        <v>5653586</v>
      </c>
      <c r="K351" s="74">
        <f>SUM(K346:K350)</f>
        <v>4995012</v>
      </c>
      <c r="L351" s="74">
        <f>SUM(L346:L350)</f>
        <v>658574</v>
      </c>
      <c r="M351" s="74">
        <f>SUM(M346:M350)</f>
        <v>0</v>
      </c>
      <c r="N351" s="74">
        <f>SUM(N346:N350)</f>
        <v>0</v>
      </c>
      <c r="O351" s="74">
        <f>SUM(O346:O350)</f>
        <v>0</v>
      </c>
      <c r="P351" s="74">
        <f t="shared" ref="P351:Q351" si="772">SUM(P346:P350)</f>
        <v>1910913</v>
      </c>
      <c r="Q351" s="74">
        <f t="shared" si="772"/>
        <v>56536</v>
      </c>
      <c r="R351" s="74">
        <f>SUM(R346:R350)</f>
        <v>112293</v>
      </c>
      <c r="S351" s="75">
        <f>SUM(S346:S350)</f>
        <v>9.9758999999999993</v>
      </c>
      <c r="T351" s="75">
        <f>SUM(T346:T350)</f>
        <v>8.06</v>
      </c>
      <c r="U351" s="753">
        <f>SUM(U346:U350)</f>
        <v>1.9158999999999997</v>
      </c>
      <c r="V351" s="538">
        <f t="shared" si="771"/>
        <v>-12800</v>
      </c>
      <c r="W351" s="74">
        <f t="shared" si="771"/>
        <v>-25600</v>
      </c>
      <c r="X351" s="74">
        <f t="shared" si="771"/>
        <v>1442207</v>
      </c>
      <c r="Y351" s="74">
        <f t="shared" si="771"/>
        <v>0</v>
      </c>
      <c r="Z351" s="74">
        <f t="shared" si="771"/>
        <v>0</v>
      </c>
      <c r="AA351" s="74">
        <f t="shared" si="771"/>
        <v>0</v>
      </c>
      <c r="AB351" s="74">
        <f t="shared" si="771"/>
        <v>0</v>
      </c>
      <c r="AC351" s="74">
        <f t="shared" si="771"/>
        <v>0</v>
      </c>
      <c r="AD351" s="74">
        <f t="shared" si="771"/>
        <v>0</v>
      </c>
      <c r="AE351" s="74">
        <f t="shared" si="771"/>
        <v>0</v>
      </c>
      <c r="AF351" s="74">
        <f t="shared" si="771"/>
        <v>1429407</v>
      </c>
      <c r="AG351" s="74">
        <f t="shared" si="771"/>
        <v>-25600</v>
      </c>
      <c r="AH351" s="74">
        <f t="shared" si="771"/>
        <v>1403807</v>
      </c>
      <c r="AI351" s="74">
        <f t="shared" si="771"/>
        <v>12800</v>
      </c>
      <c r="AJ351" s="74">
        <f t="shared" si="771"/>
        <v>25600</v>
      </c>
      <c r="AK351" s="74">
        <f t="shared" si="771"/>
        <v>0</v>
      </c>
      <c r="AL351" s="74">
        <f t="shared" si="771"/>
        <v>0</v>
      </c>
      <c r="AM351" s="74">
        <f t="shared" si="771"/>
        <v>0</v>
      </c>
      <c r="AN351" s="74">
        <f t="shared" si="771"/>
        <v>0</v>
      </c>
      <c r="AO351" s="74">
        <f t="shared" si="771"/>
        <v>12800</v>
      </c>
      <c r="AP351" s="74">
        <f t="shared" si="771"/>
        <v>25600</v>
      </c>
      <c r="AQ351" s="74">
        <f t="shared" si="771"/>
        <v>38400</v>
      </c>
      <c r="AR351" s="74">
        <f t="shared" si="771"/>
        <v>1442207</v>
      </c>
      <c r="AS351" s="74">
        <f t="shared" si="771"/>
        <v>0</v>
      </c>
      <c r="AT351" s="74">
        <f t="shared" si="771"/>
        <v>1442207</v>
      </c>
      <c r="AU351" s="74">
        <f t="shared" si="771"/>
        <v>487466</v>
      </c>
      <c r="AV351" s="74">
        <f t="shared" si="771"/>
        <v>14038</v>
      </c>
      <c r="AW351" s="74">
        <f t="shared" si="771"/>
        <v>4000</v>
      </c>
      <c r="AX351" s="74">
        <f t="shared" si="771"/>
        <v>0</v>
      </c>
      <c r="AY351" s="74">
        <f t="shared" si="771"/>
        <v>4000</v>
      </c>
      <c r="AZ351" s="74">
        <f t="shared" si="771"/>
        <v>1947711</v>
      </c>
      <c r="BA351" s="75">
        <f t="shared" si="771"/>
        <v>0</v>
      </c>
      <c r="BB351" s="75">
        <f t="shared" si="771"/>
        <v>-0.08</v>
      </c>
      <c r="BC351" s="75">
        <f t="shared" si="771"/>
        <v>3.81</v>
      </c>
      <c r="BD351" s="75">
        <f t="shared" si="771"/>
        <v>0</v>
      </c>
      <c r="BE351" s="75">
        <f t="shared" si="771"/>
        <v>0</v>
      </c>
      <c r="BF351" s="75">
        <f t="shared" si="771"/>
        <v>0</v>
      </c>
      <c r="BG351" s="75">
        <f t="shared" si="771"/>
        <v>0</v>
      </c>
      <c r="BH351" s="75">
        <f t="shared" si="771"/>
        <v>0</v>
      </c>
      <c r="BI351" s="75">
        <f t="shared" si="771"/>
        <v>0</v>
      </c>
      <c r="BJ351" s="75">
        <f t="shared" si="771"/>
        <v>0</v>
      </c>
      <c r="BK351" s="75">
        <f t="shared" si="771"/>
        <v>3.81</v>
      </c>
      <c r="BL351" s="75">
        <f t="shared" si="771"/>
        <v>-0.08</v>
      </c>
      <c r="BM351" s="76">
        <f t="shared" si="771"/>
        <v>3.73</v>
      </c>
      <c r="BN351" s="549">
        <f t="shared" si="771"/>
        <v>9681039</v>
      </c>
      <c r="BO351" s="74">
        <f t="shared" si="771"/>
        <v>7057393</v>
      </c>
      <c r="BP351" s="74">
        <f t="shared" si="771"/>
        <v>6424419</v>
      </c>
      <c r="BQ351" s="74">
        <f t="shared" si="771"/>
        <v>632974</v>
      </c>
      <c r="BR351" s="74">
        <f t="shared" si="771"/>
        <v>38400</v>
      </c>
      <c r="BS351" s="74">
        <f t="shared" si="771"/>
        <v>12800</v>
      </c>
      <c r="BT351" s="74">
        <f t="shared" si="771"/>
        <v>25600</v>
      </c>
      <c r="BU351" s="74">
        <f t="shared" si="771"/>
        <v>2398379</v>
      </c>
      <c r="BV351" s="74">
        <f t="shared" ref="BV351:CF351" si="773">SUM(BV346:BV350)</f>
        <v>70574</v>
      </c>
      <c r="BW351" s="74">
        <f t="shared" si="773"/>
        <v>116293</v>
      </c>
      <c r="BX351" s="75">
        <f t="shared" si="773"/>
        <v>13.7059</v>
      </c>
      <c r="BY351" s="75">
        <f t="shared" si="773"/>
        <v>11.87</v>
      </c>
      <c r="BZ351" s="753">
        <f t="shared" si="773"/>
        <v>1.8358999999999996</v>
      </c>
      <c r="CA351" s="796">
        <f t="shared" si="773"/>
        <v>0</v>
      </c>
      <c r="CB351" s="789">
        <f t="shared" si="773"/>
        <v>0</v>
      </c>
      <c r="CC351" s="789">
        <f t="shared" si="773"/>
        <v>0</v>
      </c>
      <c r="CD351" s="789">
        <f t="shared" si="773"/>
        <v>0</v>
      </c>
      <c r="CE351" s="789">
        <f t="shared" si="773"/>
        <v>0</v>
      </c>
      <c r="CF351" s="793">
        <f t="shared" si="773"/>
        <v>0</v>
      </c>
    </row>
    <row r="352" spans="1:84" ht="14.1" customHeight="1" x14ac:dyDescent="0.2">
      <c r="A352" s="66">
        <v>71</v>
      </c>
      <c r="B352" s="63">
        <v>2492</v>
      </c>
      <c r="C352" s="64">
        <v>600079767</v>
      </c>
      <c r="D352" s="63">
        <v>70983011</v>
      </c>
      <c r="E352" s="65" t="s">
        <v>765</v>
      </c>
      <c r="F352" s="66">
        <v>3113</v>
      </c>
      <c r="G352" s="65" t="s">
        <v>294</v>
      </c>
      <c r="H352" s="67" t="s">
        <v>271</v>
      </c>
      <c r="I352" s="423">
        <f t="shared" si="721"/>
        <v>25690376</v>
      </c>
      <c r="J352" s="418">
        <f t="shared" ref="J352" si="774">K352+L352</f>
        <v>18826706</v>
      </c>
      <c r="K352" s="418">
        <v>17448987</v>
      </c>
      <c r="L352" s="418">
        <v>1377719</v>
      </c>
      <c r="M352" s="418">
        <f>N352+O352</f>
        <v>0</v>
      </c>
      <c r="N352" s="418">
        <v>0</v>
      </c>
      <c r="O352" s="418">
        <v>0</v>
      </c>
      <c r="P352" s="668">
        <f>ROUND(J352*33.8%,0)-1</f>
        <v>6363426</v>
      </c>
      <c r="Q352" s="668">
        <f t="shared" si="724"/>
        <v>188267</v>
      </c>
      <c r="R352" s="418">
        <v>311977</v>
      </c>
      <c r="S352" s="419">
        <f>T352+U352</f>
        <v>29.955400000000001</v>
      </c>
      <c r="T352" s="419">
        <v>25.909300000000002</v>
      </c>
      <c r="U352" s="426">
        <v>4.0461</v>
      </c>
      <c r="V352" s="428">
        <f t="shared" si="726"/>
        <v>0</v>
      </c>
      <c r="W352" s="421">
        <f t="shared" si="727"/>
        <v>0</v>
      </c>
      <c r="X352" s="421">
        <v>0</v>
      </c>
      <c r="Y352" s="421">
        <v>0</v>
      </c>
      <c r="Z352" s="421">
        <v>0</v>
      </c>
      <c r="AA352" s="421">
        <v>13240</v>
      </c>
      <c r="AB352" s="421">
        <v>0</v>
      </c>
      <c r="AC352" s="421">
        <v>0</v>
      </c>
      <c r="AD352" s="421">
        <v>0</v>
      </c>
      <c r="AE352" s="421">
        <v>0</v>
      </c>
      <c r="AF352" s="421">
        <f t="shared" si="728"/>
        <v>13240</v>
      </c>
      <c r="AG352" s="421">
        <f t="shared" si="729"/>
        <v>0</v>
      </c>
      <c r="AH352" s="421">
        <f t="shared" si="730"/>
        <v>13240</v>
      </c>
      <c r="AI352" s="421">
        <v>0</v>
      </c>
      <c r="AJ352" s="421">
        <v>0</v>
      </c>
      <c r="AK352" s="421">
        <v>0</v>
      </c>
      <c r="AL352" s="421">
        <v>0</v>
      </c>
      <c r="AM352" s="421">
        <v>0</v>
      </c>
      <c r="AN352" s="421">
        <v>0</v>
      </c>
      <c r="AO352" s="421">
        <f t="shared" si="731"/>
        <v>0</v>
      </c>
      <c r="AP352" s="421">
        <f t="shared" si="732"/>
        <v>0</v>
      </c>
      <c r="AQ352" s="421">
        <f t="shared" si="733"/>
        <v>0</v>
      </c>
      <c r="AR352" s="421">
        <f t="shared" ref="AR352:AS357" si="775">AF352+AO352</f>
        <v>13240</v>
      </c>
      <c r="AS352" s="421">
        <f t="shared" si="775"/>
        <v>0</v>
      </c>
      <c r="AT352" s="421">
        <f t="shared" si="735"/>
        <v>13240</v>
      </c>
      <c r="AU352" s="68">
        <f t="shared" ref="AU352:AU357" si="776">ROUND((AH352+AI352+AJ352+AK352+AL352)*33.8%,0)</f>
        <v>4475</v>
      </c>
      <c r="AV352" s="68">
        <f t="shared" ref="AV352:AV357" si="777">ROUND(AH352*1%,0)</f>
        <v>132</v>
      </c>
      <c r="AW352" s="421">
        <v>0</v>
      </c>
      <c r="AX352" s="421">
        <v>0</v>
      </c>
      <c r="AY352" s="421">
        <f t="shared" si="737"/>
        <v>0</v>
      </c>
      <c r="AZ352" s="421">
        <f t="shared" si="738"/>
        <v>17847</v>
      </c>
      <c r="BA352" s="422">
        <v>0</v>
      </c>
      <c r="BB352" s="422">
        <v>0</v>
      </c>
      <c r="BC352" s="422">
        <v>0</v>
      </c>
      <c r="BD352" s="422">
        <v>0</v>
      </c>
      <c r="BE352" s="422">
        <v>0</v>
      </c>
      <c r="BF352" s="422">
        <v>0</v>
      </c>
      <c r="BG352" s="422">
        <v>0</v>
      </c>
      <c r="BH352" s="422">
        <v>0.02</v>
      </c>
      <c r="BI352" s="422">
        <v>0</v>
      </c>
      <c r="BJ352" s="422">
        <v>0</v>
      </c>
      <c r="BK352" s="422">
        <f t="shared" ref="BK352:BK357" si="778">BA352+BC352+BD352+BF352+BH352+BI352</f>
        <v>0.02</v>
      </c>
      <c r="BL352" s="422">
        <f t="shared" ref="BL352:BL357" si="779">BB352+BE352+BG352+BJ352</f>
        <v>0</v>
      </c>
      <c r="BM352" s="424">
        <f t="shared" si="739"/>
        <v>0.02</v>
      </c>
      <c r="BN352" s="427">
        <f t="shared" ref="BN352:BN357" si="780">I352+AZ352</f>
        <v>25708223</v>
      </c>
      <c r="BO352" s="421">
        <f t="shared" ref="BO352:BO357" si="781">J352+AH352</f>
        <v>18839946</v>
      </c>
      <c r="BP352" s="421">
        <f t="shared" ref="BP352:BQ357" si="782">K352+AF352</f>
        <v>17462227</v>
      </c>
      <c r="BQ352" s="421">
        <f t="shared" si="782"/>
        <v>1377719</v>
      </c>
      <c r="BR352" s="421">
        <f t="shared" ref="BR352:BR357" si="783">M352+AQ352</f>
        <v>0</v>
      </c>
      <c r="BS352" s="421">
        <f t="shared" ref="BS352:BT357" si="784">N352+AO352</f>
        <v>0</v>
      </c>
      <c r="BT352" s="421">
        <f t="shared" si="784"/>
        <v>0</v>
      </c>
      <c r="BU352" s="421">
        <f t="shared" ref="BU352:BV357" si="785">P352+AU352</f>
        <v>6367901</v>
      </c>
      <c r="BV352" s="421">
        <f t="shared" si="785"/>
        <v>188399</v>
      </c>
      <c r="BW352" s="421">
        <f t="shared" ref="BW352:BW357" si="786">R352+AY352</f>
        <v>311977</v>
      </c>
      <c r="BX352" s="422">
        <f t="shared" ref="BX352:BX357" si="787">S352+BM352</f>
        <v>29.9754</v>
      </c>
      <c r="BY352" s="422">
        <f t="shared" ref="BY352:BZ357" si="788">T352+BK352</f>
        <v>25.929300000000001</v>
      </c>
      <c r="BZ352" s="611">
        <f t="shared" si="788"/>
        <v>4.0461</v>
      </c>
      <c r="CA352" s="423"/>
      <c r="CB352" s="418"/>
      <c r="CC352" s="418"/>
      <c r="CD352" s="418"/>
      <c r="CE352" s="418"/>
      <c r="CF352" s="527"/>
    </row>
    <row r="353" spans="1:84" ht="14.1" customHeight="1" x14ac:dyDescent="0.2">
      <c r="A353" s="66">
        <v>71</v>
      </c>
      <c r="B353" s="63">
        <v>2492</v>
      </c>
      <c r="C353" s="64">
        <v>600079767</v>
      </c>
      <c r="D353" s="63">
        <v>70983011</v>
      </c>
      <c r="E353" s="65" t="s">
        <v>765</v>
      </c>
      <c r="F353" s="66">
        <v>3113</v>
      </c>
      <c r="G353" s="77" t="s">
        <v>292</v>
      </c>
      <c r="H353" s="67" t="s">
        <v>272</v>
      </c>
      <c r="I353" s="423">
        <f t="shared" si="721"/>
        <v>0</v>
      </c>
      <c r="J353" s="418">
        <f t="shared" si="722"/>
        <v>0</v>
      </c>
      <c r="K353" s="418">
        <v>0</v>
      </c>
      <c r="L353" s="418">
        <v>0</v>
      </c>
      <c r="M353" s="418">
        <f t="shared" si="744"/>
        <v>0</v>
      </c>
      <c r="N353" s="418">
        <v>0</v>
      </c>
      <c r="O353" s="418">
        <v>0</v>
      </c>
      <c r="P353" s="668">
        <f t="shared" si="723"/>
        <v>0</v>
      </c>
      <c r="Q353" s="668">
        <f t="shared" si="724"/>
        <v>0</v>
      </c>
      <c r="R353" s="418">
        <v>0</v>
      </c>
      <c r="S353" s="419">
        <f t="shared" si="725"/>
        <v>0</v>
      </c>
      <c r="T353" s="420">
        <v>0</v>
      </c>
      <c r="U353" s="426">
        <v>0</v>
      </c>
      <c r="V353" s="428">
        <f t="shared" si="726"/>
        <v>0</v>
      </c>
      <c r="W353" s="421">
        <f t="shared" si="727"/>
        <v>0</v>
      </c>
      <c r="X353" s="16">
        <v>1992239</v>
      </c>
      <c r="Y353" s="16">
        <v>0</v>
      </c>
      <c r="Z353" s="16">
        <v>0</v>
      </c>
      <c r="AA353" s="16">
        <v>0</v>
      </c>
      <c r="AB353" s="421">
        <v>0</v>
      </c>
      <c r="AC353" s="16">
        <v>0</v>
      </c>
      <c r="AD353" s="16">
        <v>0</v>
      </c>
      <c r="AE353" s="16">
        <v>0</v>
      </c>
      <c r="AF353" s="421">
        <f t="shared" si="728"/>
        <v>1992239</v>
      </c>
      <c r="AG353" s="421">
        <f t="shared" si="729"/>
        <v>0</v>
      </c>
      <c r="AH353" s="421">
        <f t="shared" si="730"/>
        <v>1992239</v>
      </c>
      <c r="AI353" s="16">
        <v>0</v>
      </c>
      <c r="AJ353" s="16">
        <v>0</v>
      </c>
      <c r="AK353" s="421">
        <v>0</v>
      </c>
      <c r="AL353" s="16">
        <v>0</v>
      </c>
      <c r="AM353" s="16">
        <v>0</v>
      </c>
      <c r="AN353" s="16">
        <v>0</v>
      </c>
      <c r="AO353" s="421">
        <f t="shared" si="731"/>
        <v>0</v>
      </c>
      <c r="AP353" s="16">
        <v>0</v>
      </c>
      <c r="AQ353" s="421">
        <f t="shared" si="733"/>
        <v>0</v>
      </c>
      <c r="AR353" s="421">
        <f t="shared" si="775"/>
        <v>1992239</v>
      </c>
      <c r="AS353" s="421">
        <f t="shared" si="775"/>
        <v>0</v>
      </c>
      <c r="AT353" s="421">
        <f t="shared" si="735"/>
        <v>1992239</v>
      </c>
      <c r="AU353" s="68">
        <f t="shared" si="776"/>
        <v>673377</v>
      </c>
      <c r="AV353" s="68">
        <f t="shared" si="777"/>
        <v>19922</v>
      </c>
      <c r="AW353" s="16">
        <v>0</v>
      </c>
      <c r="AX353" s="16">
        <v>0</v>
      </c>
      <c r="AY353" s="421">
        <f t="shared" si="737"/>
        <v>0</v>
      </c>
      <c r="AZ353" s="421">
        <f t="shared" si="738"/>
        <v>2685538</v>
      </c>
      <c r="BA353" s="13">
        <v>0</v>
      </c>
      <c r="BB353" s="13">
        <v>0</v>
      </c>
      <c r="BC353" s="13">
        <v>5.0199999999999996</v>
      </c>
      <c r="BD353" s="422">
        <v>0</v>
      </c>
      <c r="BE353" s="422">
        <v>0</v>
      </c>
      <c r="BF353" s="422">
        <v>0</v>
      </c>
      <c r="BG353" s="422">
        <v>0</v>
      </c>
      <c r="BH353" s="422">
        <v>0</v>
      </c>
      <c r="BI353" s="422">
        <v>0</v>
      </c>
      <c r="BJ353" s="422">
        <v>0</v>
      </c>
      <c r="BK353" s="422">
        <f t="shared" si="778"/>
        <v>5.0199999999999996</v>
      </c>
      <c r="BL353" s="422">
        <f t="shared" si="779"/>
        <v>0</v>
      </c>
      <c r="BM353" s="424">
        <f t="shared" si="739"/>
        <v>5.0199999999999996</v>
      </c>
      <c r="BN353" s="427">
        <f t="shared" si="780"/>
        <v>2685538</v>
      </c>
      <c r="BO353" s="421">
        <f t="shared" si="781"/>
        <v>1992239</v>
      </c>
      <c r="BP353" s="421">
        <f t="shared" si="782"/>
        <v>1992239</v>
      </c>
      <c r="BQ353" s="421">
        <f t="shared" si="782"/>
        <v>0</v>
      </c>
      <c r="BR353" s="421">
        <f t="shared" si="783"/>
        <v>0</v>
      </c>
      <c r="BS353" s="421">
        <f t="shared" si="784"/>
        <v>0</v>
      </c>
      <c r="BT353" s="421">
        <f t="shared" si="784"/>
        <v>0</v>
      </c>
      <c r="BU353" s="421">
        <f t="shared" si="785"/>
        <v>673377</v>
      </c>
      <c r="BV353" s="421">
        <f t="shared" si="785"/>
        <v>19922</v>
      </c>
      <c r="BW353" s="421">
        <f t="shared" si="786"/>
        <v>0</v>
      </c>
      <c r="BX353" s="422">
        <f t="shared" si="787"/>
        <v>5.0199999999999996</v>
      </c>
      <c r="BY353" s="422">
        <f t="shared" si="788"/>
        <v>5.0199999999999996</v>
      </c>
      <c r="BZ353" s="611">
        <f t="shared" si="788"/>
        <v>0</v>
      </c>
      <c r="CA353" s="423"/>
      <c r="CB353" s="418"/>
      <c r="CC353" s="418"/>
      <c r="CD353" s="418"/>
      <c r="CE353" s="418"/>
      <c r="CF353" s="527"/>
    </row>
    <row r="354" spans="1:84" ht="14.1" customHeight="1" x14ac:dyDescent="0.2">
      <c r="A354" s="66">
        <v>71</v>
      </c>
      <c r="B354" s="63">
        <v>2492</v>
      </c>
      <c r="C354" s="64">
        <v>600079767</v>
      </c>
      <c r="D354" s="63">
        <v>70983011</v>
      </c>
      <c r="E354" s="65" t="s">
        <v>765</v>
      </c>
      <c r="F354" s="66">
        <v>3141</v>
      </c>
      <c r="G354" s="65" t="s">
        <v>295</v>
      </c>
      <c r="H354" s="67" t="s">
        <v>272</v>
      </c>
      <c r="I354" s="423">
        <f t="shared" si="721"/>
        <v>2908237</v>
      </c>
      <c r="J354" s="418">
        <f t="shared" si="722"/>
        <v>2140942</v>
      </c>
      <c r="K354" s="418">
        <v>0</v>
      </c>
      <c r="L354" s="924">
        <v>2140942</v>
      </c>
      <c r="M354" s="418">
        <f>N354+O354</f>
        <v>0</v>
      </c>
      <c r="N354" s="205">
        <v>0</v>
      </c>
      <c r="O354" s="205">
        <v>0</v>
      </c>
      <c r="P354" s="668">
        <f t="shared" si="723"/>
        <v>723638</v>
      </c>
      <c r="Q354" s="668">
        <f t="shared" si="724"/>
        <v>21409</v>
      </c>
      <c r="R354" s="674">
        <v>22248</v>
      </c>
      <c r="S354" s="419">
        <f>T354+U354</f>
        <v>6.42</v>
      </c>
      <c r="T354" s="676">
        <v>0</v>
      </c>
      <c r="U354" s="909">
        <v>6.42</v>
      </c>
      <c r="V354" s="428">
        <f t="shared" si="726"/>
        <v>0</v>
      </c>
      <c r="W354" s="421">
        <f t="shared" si="727"/>
        <v>-2304</v>
      </c>
      <c r="X354" s="421">
        <v>0</v>
      </c>
      <c r="Y354" s="421">
        <v>0</v>
      </c>
      <c r="Z354" s="421">
        <v>0</v>
      </c>
      <c r="AA354" s="421">
        <v>0</v>
      </c>
      <c r="AB354" s="421">
        <v>0</v>
      </c>
      <c r="AC354" s="421">
        <v>0</v>
      </c>
      <c r="AD354" s="421">
        <v>0</v>
      </c>
      <c r="AE354" s="421">
        <v>0</v>
      </c>
      <c r="AF354" s="421">
        <f t="shared" si="728"/>
        <v>0</v>
      </c>
      <c r="AG354" s="421">
        <f t="shared" si="729"/>
        <v>-2304</v>
      </c>
      <c r="AH354" s="421">
        <f t="shared" si="730"/>
        <v>-2304</v>
      </c>
      <c r="AI354" s="421">
        <v>0</v>
      </c>
      <c r="AJ354" s="421">
        <v>2304</v>
      </c>
      <c r="AK354" s="421">
        <v>0</v>
      </c>
      <c r="AL354" s="421">
        <v>0</v>
      </c>
      <c r="AM354" s="421">
        <v>0</v>
      </c>
      <c r="AN354" s="421">
        <v>0</v>
      </c>
      <c r="AO354" s="421">
        <f t="shared" si="731"/>
        <v>0</v>
      </c>
      <c r="AP354" s="421">
        <f t="shared" si="732"/>
        <v>2304</v>
      </c>
      <c r="AQ354" s="421">
        <f t="shared" si="733"/>
        <v>2304</v>
      </c>
      <c r="AR354" s="421">
        <f t="shared" si="775"/>
        <v>0</v>
      </c>
      <c r="AS354" s="421">
        <f t="shared" si="775"/>
        <v>0</v>
      </c>
      <c r="AT354" s="421">
        <f t="shared" si="735"/>
        <v>0</v>
      </c>
      <c r="AU354" s="68">
        <f t="shared" si="776"/>
        <v>0</v>
      </c>
      <c r="AV354" s="68">
        <f t="shared" si="777"/>
        <v>-23</v>
      </c>
      <c r="AW354" s="421">
        <v>0</v>
      </c>
      <c r="AX354" s="421">
        <v>0</v>
      </c>
      <c r="AY354" s="421">
        <f t="shared" si="737"/>
        <v>0</v>
      </c>
      <c r="AZ354" s="421">
        <f t="shared" si="738"/>
        <v>-23</v>
      </c>
      <c r="BA354" s="422">
        <v>0</v>
      </c>
      <c r="BB354" s="422">
        <v>-0.01</v>
      </c>
      <c r="BC354" s="422">
        <v>0</v>
      </c>
      <c r="BD354" s="422">
        <v>0</v>
      </c>
      <c r="BE354" s="422">
        <v>0</v>
      </c>
      <c r="BF354" s="422">
        <v>0</v>
      </c>
      <c r="BG354" s="422">
        <v>0</v>
      </c>
      <c r="BH354" s="422">
        <v>0</v>
      </c>
      <c r="BI354" s="422">
        <v>0</v>
      </c>
      <c r="BJ354" s="422">
        <v>0</v>
      </c>
      <c r="BK354" s="422">
        <f t="shared" si="778"/>
        <v>0</v>
      </c>
      <c r="BL354" s="422">
        <f t="shared" si="779"/>
        <v>-0.01</v>
      </c>
      <c r="BM354" s="424">
        <f t="shared" si="739"/>
        <v>-0.01</v>
      </c>
      <c r="BN354" s="427">
        <f t="shared" si="780"/>
        <v>2908214</v>
      </c>
      <c r="BO354" s="421">
        <f t="shared" si="781"/>
        <v>2138638</v>
      </c>
      <c r="BP354" s="421">
        <f t="shared" si="782"/>
        <v>0</v>
      </c>
      <c r="BQ354" s="421">
        <f t="shared" si="782"/>
        <v>2138638</v>
      </c>
      <c r="BR354" s="421">
        <f t="shared" si="783"/>
        <v>2304</v>
      </c>
      <c r="BS354" s="421">
        <f t="shared" si="784"/>
        <v>0</v>
      </c>
      <c r="BT354" s="421">
        <f t="shared" si="784"/>
        <v>2304</v>
      </c>
      <c r="BU354" s="421">
        <f t="shared" si="785"/>
        <v>723638</v>
      </c>
      <c r="BV354" s="421">
        <f t="shared" si="785"/>
        <v>21386</v>
      </c>
      <c r="BW354" s="421">
        <f t="shared" si="786"/>
        <v>22248</v>
      </c>
      <c r="BX354" s="422">
        <f t="shared" si="787"/>
        <v>6.41</v>
      </c>
      <c r="BY354" s="422">
        <f t="shared" si="788"/>
        <v>0</v>
      </c>
      <c r="BZ354" s="611">
        <f t="shared" si="788"/>
        <v>6.41</v>
      </c>
      <c r="CA354" s="423"/>
      <c r="CB354" s="418"/>
      <c r="CC354" s="418"/>
      <c r="CD354" s="418"/>
      <c r="CE354" s="418"/>
      <c r="CF354" s="527"/>
    </row>
    <row r="355" spans="1:84" ht="14.1" customHeight="1" x14ac:dyDescent="0.2">
      <c r="A355" s="66">
        <v>71</v>
      </c>
      <c r="B355" s="63">
        <v>2492</v>
      </c>
      <c r="C355" s="64">
        <v>600079767</v>
      </c>
      <c r="D355" s="63">
        <v>70983011</v>
      </c>
      <c r="E355" s="65" t="s">
        <v>765</v>
      </c>
      <c r="F355" s="66">
        <v>3143</v>
      </c>
      <c r="G355" s="77" t="s">
        <v>596</v>
      </c>
      <c r="H355" s="67" t="s">
        <v>271</v>
      </c>
      <c r="I355" s="423">
        <f t="shared" si="721"/>
        <v>1732330</v>
      </c>
      <c r="J355" s="418">
        <f t="shared" si="722"/>
        <v>1285111</v>
      </c>
      <c r="K355" s="418">
        <v>1285111</v>
      </c>
      <c r="L355" s="418">
        <v>0</v>
      </c>
      <c r="M355" s="418">
        <f t="shared" si="744"/>
        <v>0</v>
      </c>
      <c r="N355" s="418">
        <v>0</v>
      </c>
      <c r="O355" s="418">
        <v>0</v>
      </c>
      <c r="P355" s="668">
        <f t="shared" si="723"/>
        <v>434368</v>
      </c>
      <c r="Q355" s="668">
        <f t="shared" si="724"/>
        <v>12851</v>
      </c>
      <c r="R355" s="418">
        <v>0</v>
      </c>
      <c r="S355" s="419">
        <f t="shared" si="725"/>
        <v>2.5</v>
      </c>
      <c r="T355" s="419">
        <v>2.5</v>
      </c>
      <c r="U355" s="426">
        <v>0</v>
      </c>
      <c r="V355" s="428">
        <f t="shared" si="726"/>
        <v>0</v>
      </c>
      <c r="W355" s="421">
        <f t="shared" si="727"/>
        <v>0</v>
      </c>
      <c r="X355" s="421">
        <v>0</v>
      </c>
      <c r="Y355" s="421">
        <v>0</v>
      </c>
      <c r="Z355" s="421">
        <v>0</v>
      </c>
      <c r="AA355" s="421">
        <v>0</v>
      </c>
      <c r="AB355" s="421">
        <v>0</v>
      </c>
      <c r="AC355" s="421">
        <v>0</v>
      </c>
      <c r="AD355" s="421">
        <v>0</v>
      </c>
      <c r="AE355" s="421">
        <v>0</v>
      </c>
      <c r="AF355" s="421">
        <f t="shared" si="728"/>
        <v>0</v>
      </c>
      <c r="AG355" s="421">
        <f t="shared" si="729"/>
        <v>0</v>
      </c>
      <c r="AH355" s="421">
        <f t="shared" si="730"/>
        <v>0</v>
      </c>
      <c r="AI355" s="421">
        <v>0</v>
      </c>
      <c r="AJ355" s="421">
        <v>0</v>
      </c>
      <c r="AK355" s="421">
        <v>0</v>
      </c>
      <c r="AL355" s="421">
        <v>0</v>
      </c>
      <c r="AM355" s="421">
        <v>0</v>
      </c>
      <c r="AN355" s="421">
        <v>0</v>
      </c>
      <c r="AO355" s="421">
        <f t="shared" si="731"/>
        <v>0</v>
      </c>
      <c r="AP355" s="421">
        <f t="shared" si="732"/>
        <v>0</v>
      </c>
      <c r="AQ355" s="421">
        <f t="shared" si="733"/>
        <v>0</v>
      </c>
      <c r="AR355" s="421">
        <f t="shared" si="775"/>
        <v>0</v>
      </c>
      <c r="AS355" s="421">
        <f t="shared" si="775"/>
        <v>0</v>
      </c>
      <c r="AT355" s="421">
        <f t="shared" si="735"/>
        <v>0</v>
      </c>
      <c r="AU355" s="68">
        <f t="shared" si="776"/>
        <v>0</v>
      </c>
      <c r="AV355" s="68">
        <f t="shared" si="777"/>
        <v>0</v>
      </c>
      <c r="AW355" s="421">
        <v>0</v>
      </c>
      <c r="AX355" s="421">
        <v>0</v>
      </c>
      <c r="AY355" s="421">
        <f t="shared" si="737"/>
        <v>0</v>
      </c>
      <c r="AZ355" s="421">
        <f t="shared" si="738"/>
        <v>0</v>
      </c>
      <c r="BA355" s="422">
        <v>0</v>
      </c>
      <c r="BB355" s="422">
        <v>0</v>
      </c>
      <c r="BC355" s="422">
        <v>0</v>
      </c>
      <c r="BD355" s="422">
        <v>0</v>
      </c>
      <c r="BE355" s="422">
        <v>0</v>
      </c>
      <c r="BF355" s="422">
        <v>0</v>
      </c>
      <c r="BG355" s="422">
        <v>0</v>
      </c>
      <c r="BH355" s="422">
        <v>0</v>
      </c>
      <c r="BI355" s="422">
        <v>0</v>
      </c>
      <c r="BJ355" s="422">
        <v>0</v>
      </c>
      <c r="BK355" s="422">
        <f t="shared" si="778"/>
        <v>0</v>
      </c>
      <c r="BL355" s="422">
        <f t="shared" si="779"/>
        <v>0</v>
      </c>
      <c r="BM355" s="424">
        <f t="shared" si="739"/>
        <v>0</v>
      </c>
      <c r="BN355" s="427">
        <f t="shared" si="780"/>
        <v>1732330</v>
      </c>
      <c r="BO355" s="421">
        <f t="shared" si="781"/>
        <v>1285111</v>
      </c>
      <c r="BP355" s="421">
        <f t="shared" si="782"/>
        <v>1285111</v>
      </c>
      <c r="BQ355" s="421">
        <f t="shared" si="782"/>
        <v>0</v>
      </c>
      <c r="BR355" s="421">
        <f t="shared" si="783"/>
        <v>0</v>
      </c>
      <c r="BS355" s="421">
        <f t="shared" si="784"/>
        <v>0</v>
      </c>
      <c r="BT355" s="421">
        <f t="shared" si="784"/>
        <v>0</v>
      </c>
      <c r="BU355" s="421">
        <f t="shared" si="785"/>
        <v>434368</v>
      </c>
      <c r="BV355" s="421">
        <f t="shared" si="785"/>
        <v>12851</v>
      </c>
      <c r="BW355" s="421">
        <f t="shared" si="786"/>
        <v>0</v>
      </c>
      <c r="BX355" s="422">
        <f t="shared" si="787"/>
        <v>2.5</v>
      </c>
      <c r="BY355" s="422">
        <f t="shared" si="788"/>
        <v>2.5</v>
      </c>
      <c r="BZ355" s="611">
        <f t="shared" si="788"/>
        <v>0</v>
      </c>
      <c r="CA355" s="423"/>
      <c r="CB355" s="418"/>
      <c r="CC355" s="418"/>
      <c r="CD355" s="418"/>
      <c r="CE355" s="418"/>
      <c r="CF355" s="527"/>
    </row>
    <row r="356" spans="1:84" ht="14.1" customHeight="1" x14ac:dyDescent="0.2">
      <c r="A356" s="66">
        <v>71</v>
      </c>
      <c r="B356" s="63">
        <v>2492</v>
      </c>
      <c r="C356" s="64">
        <v>600079767</v>
      </c>
      <c r="D356" s="63">
        <v>70983011</v>
      </c>
      <c r="E356" s="65" t="s">
        <v>765</v>
      </c>
      <c r="F356" s="66">
        <v>3143</v>
      </c>
      <c r="G356" s="77" t="s">
        <v>597</v>
      </c>
      <c r="H356" s="67" t="s">
        <v>272</v>
      </c>
      <c r="I356" s="423">
        <f t="shared" si="721"/>
        <v>36883</v>
      </c>
      <c r="J356" s="418">
        <f t="shared" si="722"/>
        <v>26400</v>
      </c>
      <c r="K356" s="418">
        <v>0</v>
      </c>
      <c r="L356" s="674">
        <v>26400</v>
      </c>
      <c r="M356" s="418">
        <f t="shared" si="744"/>
        <v>0</v>
      </c>
      <c r="N356" s="418">
        <v>0</v>
      </c>
      <c r="O356" s="418">
        <v>0</v>
      </c>
      <c r="P356" s="668">
        <f t="shared" si="723"/>
        <v>8923</v>
      </c>
      <c r="Q356" s="668">
        <f t="shared" si="724"/>
        <v>264</v>
      </c>
      <c r="R356" s="675">
        <v>1296</v>
      </c>
      <c r="S356" s="419">
        <f t="shared" si="725"/>
        <v>0.1</v>
      </c>
      <c r="T356" s="679">
        <v>0</v>
      </c>
      <c r="U356" s="909">
        <v>0.1</v>
      </c>
      <c r="V356" s="428">
        <f t="shared" si="726"/>
        <v>0</v>
      </c>
      <c r="W356" s="421">
        <f t="shared" si="727"/>
        <v>0</v>
      </c>
      <c r="X356" s="421">
        <v>0</v>
      </c>
      <c r="Y356" s="421">
        <v>0</v>
      </c>
      <c r="Z356" s="421">
        <v>0</v>
      </c>
      <c r="AA356" s="421">
        <v>0</v>
      </c>
      <c r="AB356" s="421">
        <v>0</v>
      </c>
      <c r="AC356" s="421">
        <v>0</v>
      </c>
      <c r="AD356" s="421">
        <v>0</v>
      </c>
      <c r="AE356" s="421">
        <v>0</v>
      </c>
      <c r="AF356" s="421">
        <f t="shared" si="728"/>
        <v>0</v>
      </c>
      <c r="AG356" s="421">
        <f t="shared" si="729"/>
        <v>0</v>
      </c>
      <c r="AH356" s="421">
        <f t="shared" si="730"/>
        <v>0</v>
      </c>
      <c r="AI356" s="421">
        <v>0</v>
      </c>
      <c r="AJ356" s="421">
        <v>0</v>
      </c>
      <c r="AK356" s="421">
        <v>0</v>
      </c>
      <c r="AL356" s="421">
        <v>0</v>
      </c>
      <c r="AM356" s="421">
        <v>0</v>
      </c>
      <c r="AN356" s="421">
        <v>0</v>
      </c>
      <c r="AO356" s="421">
        <f t="shared" si="731"/>
        <v>0</v>
      </c>
      <c r="AP356" s="421">
        <f t="shared" si="732"/>
        <v>0</v>
      </c>
      <c r="AQ356" s="421">
        <f t="shared" si="733"/>
        <v>0</v>
      </c>
      <c r="AR356" s="421">
        <f t="shared" si="775"/>
        <v>0</v>
      </c>
      <c r="AS356" s="421">
        <f t="shared" si="775"/>
        <v>0</v>
      </c>
      <c r="AT356" s="421">
        <f t="shared" si="735"/>
        <v>0</v>
      </c>
      <c r="AU356" s="68">
        <f t="shared" si="776"/>
        <v>0</v>
      </c>
      <c r="AV356" s="68">
        <f t="shared" si="777"/>
        <v>0</v>
      </c>
      <c r="AW356" s="421">
        <v>0</v>
      </c>
      <c r="AX356" s="421">
        <v>0</v>
      </c>
      <c r="AY356" s="421">
        <f t="shared" si="737"/>
        <v>0</v>
      </c>
      <c r="AZ356" s="421">
        <f t="shared" si="738"/>
        <v>0</v>
      </c>
      <c r="BA356" s="422">
        <v>0</v>
      </c>
      <c r="BB356" s="422">
        <v>0</v>
      </c>
      <c r="BC356" s="422">
        <v>0</v>
      </c>
      <c r="BD356" s="422">
        <v>0</v>
      </c>
      <c r="BE356" s="422">
        <v>0</v>
      </c>
      <c r="BF356" s="422">
        <v>0</v>
      </c>
      <c r="BG356" s="422">
        <v>0</v>
      </c>
      <c r="BH356" s="422">
        <v>0</v>
      </c>
      <c r="BI356" s="422">
        <v>0</v>
      </c>
      <c r="BJ356" s="422">
        <v>0</v>
      </c>
      <c r="BK356" s="422">
        <f t="shared" si="778"/>
        <v>0</v>
      </c>
      <c r="BL356" s="422">
        <f t="shared" si="779"/>
        <v>0</v>
      </c>
      <c r="BM356" s="424">
        <f t="shared" si="739"/>
        <v>0</v>
      </c>
      <c r="BN356" s="427">
        <f t="shared" si="780"/>
        <v>36883</v>
      </c>
      <c r="BO356" s="421">
        <f t="shared" si="781"/>
        <v>26400</v>
      </c>
      <c r="BP356" s="421">
        <f t="shared" si="782"/>
        <v>0</v>
      </c>
      <c r="BQ356" s="421">
        <f t="shared" si="782"/>
        <v>26400</v>
      </c>
      <c r="BR356" s="421">
        <f t="shared" si="783"/>
        <v>0</v>
      </c>
      <c r="BS356" s="421">
        <f t="shared" si="784"/>
        <v>0</v>
      </c>
      <c r="BT356" s="421">
        <f t="shared" si="784"/>
        <v>0</v>
      </c>
      <c r="BU356" s="421">
        <f t="shared" si="785"/>
        <v>8923</v>
      </c>
      <c r="BV356" s="421">
        <f t="shared" si="785"/>
        <v>264</v>
      </c>
      <c r="BW356" s="421">
        <f t="shared" si="786"/>
        <v>1296</v>
      </c>
      <c r="BX356" s="422">
        <f t="shared" si="787"/>
        <v>0.1</v>
      </c>
      <c r="BY356" s="422">
        <f t="shared" si="788"/>
        <v>0</v>
      </c>
      <c r="BZ356" s="611">
        <f t="shared" si="788"/>
        <v>0.1</v>
      </c>
      <c r="CA356" s="423"/>
      <c r="CB356" s="418"/>
      <c r="CC356" s="418"/>
      <c r="CD356" s="418"/>
      <c r="CE356" s="418"/>
      <c r="CF356" s="527"/>
    </row>
    <row r="357" spans="1:84" ht="14.1" customHeight="1" x14ac:dyDescent="0.2">
      <c r="A357" s="66">
        <v>71</v>
      </c>
      <c r="B357" s="63">
        <v>2492</v>
      </c>
      <c r="C357" s="64">
        <v>600079767</v>
      </c>
      <c r="D357" s="63">
        <v>70983011</v>
      </c>
      <c r="E357" s="65" t="s">
        <v>765</v>
      </c>
      <c r="F357" s="66">
        <v>3231</v>
      </c>
      <c r="G357" s="77" t="s">
        <v>296</v>
      </c>
      <c r="H357" s="67" t="s">
        <v>271</v>
      </c>
      <c r="I357" s="423">
        <f t="shared" si="721"/>
        <v>3067347</v>
      </c>
      <c r="J357" s="418">
        <f t="shared" si="722"/>
        <v>2272950</v>
      </c>
      <c r="K357" s="418">
        <v>2191803</v>
      </c>
      <c r="L357" s="418">
        <v>81147</v>
      </c>
      <c r="M357" s="418">
        <f t="shared" si="744"/>
        <v>0</v>
      </c>
      <c r="N357" s="418">
        <v>0</v>
      </c>
      <c r="O357" s="418">
        <v>0</v>
      </c>
      <c r="P357" s="668">
        <f t="shared" si="723"/>
        <v>768257</v>
      </c>
      <c r="Q357" s="668">
        <f t="shared" si="724"/>
        <v>22730</v>
      </c>
      <c r="R357" s="418">
        <v>3410</v>
      </c>
      <c r="S357" s="419">
        <f t="shared" si="725"/>
        <v>3.7</v>
      </c>
      <c r="T357" s="419">
        <v>3.47</v>
      </c>
      <c r="U357" s="426">
        <v>0.23</v>
      </c>
      <c r="V357" s="428">
        <f t="shared" si="726"/>
        <v>0</v>
      </c>
      <c r="W357" s="421">
        <f t="shared" si="727"/>
        <v>0</v>
      </c>
      <c r="X357" s="421">
        <v>0</v>
      </c>
      <c r="Y357" s="421">
        <v>0</v>
      </c>
      <c r="Z357" s="421">
        <v>0</v>
      </c>
      <c r="AA357" s="421">
        <v>0</v>
      </c>
      <c r="AB357" s="421">
        <v>0</v>
      </c>
      <c r="AC357" s="421">
        <v>0</v>
      </c>
      <c r="AD357" s="421">
        <v>0</v>
      </c>
      <c r="AE357" s="421">
        <v>0</v>
      </c>
      <c r="AF357" s="421">
        <f t="shared" si="728"/>
        <v>0</v>
      </c>
      <c r="AG357" s="421">
        <f t="shared" si="729"/>
        <v>0</v>
      </c>
      <c r="AH357" s="421">
        <f t="shared" si="730"/>
        <v>0</v>
      </c>
      <c r="AI357" s="421">
        <v>0</v>
      </c>
      <c r="AJ357" s="421">
        <v>0</v>
      </c>
      <c r="AK357" s="421">
        <v>0</v>
      </c>
      <c r="AL357" s="421">
        <v>0</v>
      </c>
      <c r="AM357" s="421">
        <v>0</v>
      </c>
      <c r="AN357" s="421">
        <v>0</v>
      </c>
      <c r="AO357" s="421">
        <f t="shared" si="731"/>
        <v>0</v>
      </c>
      <c r="AP357" s="421">
        <f t="shared" si="732"/>
        <v>0</v>
      </c>
      <c r="AQ357" s="421">
        <f t="shared" si="733"/>
        <v>0</v>
      </c>
      <c r="AR357" s="421">
        <f t="shared" si="775"/>
        <v>0</v>
      </c>
      <c r="AS357" s="421">
        <f t="shared" si="775"/>
        <v>0</v>
      </c>
      <c r="AT357" s="421">
        <f t="shared" si="735"/>
        <v>0</v>
      </c>
      <c r="AU357" s="68">
        <f t="shared" si="776"/>
        <v>0</v>
      </c>
      <c r="AV357" s="68">
        <f t="shared" si="777"/>
        <v>0</v>
      </c>
      <c r="AW357" s="421">
        <v>0</v>
      </c>
      <c r="AX357" s="421">
        <v>0</v>
      </c>
      <c r="AY357" s="421">
        <f t="shared" si="737"/>
        <v>0</v>
      </c>
      <c r="AZ357" s="421">
        <f t="shared" si="738"/>
        <v>0</v>
      </c>
      <c r="BA357" s="422">
        <v>0</v>
      </c>
      <c r="BB357" s="422">
        <v>0</v>
      </c>
      <c r="BC357" s="422">
        <v>0</v>
      </c>
      <c r="BD357" s="422">
        <v>0</v>
      </c>
      <c r="BE357" s="422">
        <v>0</v>
      </c>
      <c r="BF357" s="422">
        <v>0</v>
      </c>
      <c r="BG357" s="422">
        <v>0</v>
      </c>
      <c r="BH357" s="422">
        <v>0</v>
      </c>
      <c r="BI357" s="422">
        <v>0</v>
      </c>
      <c r="BJ357" s="422">
        <v>0</v>
      </c>
      <c r="BK357" s="422">
        <f t="shared" si="778"/>
        <v>0</v>
      </c>
      <c r="BL357" s="422">
        <f t="shared" si="779"/>
        <v>0</v>
      </c>
      <c r="BM357" s="424">
        <f t="shared" si="739"/>
        <v>0</v>
      </c>
      <c r="BN357" s="427">
        <f t="shared" si="780"/>
        <v>3067347</v>
      </c>
      <c r="BO357" s="421">
        <f t="shared" si="781"/>
        <v>2272950</v>
      </c>
      <c r="BP357" s="421">
        <f t="shared" si="782"/>
        <v>2191803</v>
      </c>
      <c r="BQ357" s="421">
        <f t="shared" si="782"/>
        <v>81147</v>
      </c>
      <c r="BR357" s="421">
        <f t="shared" si="783"/>
        <v>0</v>
      </c>
      <c r="BS357" s="421">
        <f t="shared" si="784"/>
        <v>0</v>
      </c>
      <c r="BT357" s="421">
        <f t="shared" si="784"/>
        <v>0</v>
      </c>
      <c r="BU357" s="421">
        <f t="shared" si="785"/>
        <v>768257</v>
      </c>
      <c r="BV357" s="421">
        <f t="shared" si="785"/>
        <v>22730</v>
      </c>
      <c r="BW357" s="421">
        <f t="shared" si="786"/>
        <v>3410</v>
      </c>
      <c r="BX357" s="422">
        <f t="shared" si="787"/>
        <v>3.7</v>
      </c>
      <c r="BY357" s="422">
        <f t="shared" si="788"/>
        <v>3.47</v>
      </c>
      <c r="BZ357" s="611">
        <f t="shared" si="788"/>
        <v>0.23</v>
      </c>
      <c r="CA357" s="423"/>
      <c r="CB357" s="418"/>
      <c r="CC357" s="418"/>
      <c r="CD357" s="418"/>
      <c r="CE357" s="418"/>
      <c r="CF357" s="527"/>
    </row>
    <row r="358" spans="1:84" ht="14.1" customHeight="1" x14ac:dyDescent="0.2">
      <c r="A358" s="72">
        <v>71</v>
      </c>
      <c r="B358" s="69">
        <v>2492</v>
      </c>
      <c r="C358" s="70">
        <v>600079767</v>
      </c>
      <c r="D358" s="69">
        <v>70983011</v>
      </c>
      <c r="E358" s="71" t="s">
        <v>766</v>
      </c>
      <c r="F358" s="72"/>
      <c r="G358" s="71"/>
      <c r="H358" s="73"/>
      <c r="I358" s="538">
        <f t="shared" ref="I358:BU358" si="789">SUM(I352:I357)</f>
        <v>33435173</v>
      </c>
      <c r="J358" s="74">
        <f t="shared" si="789"/>
        <v>24552109</v>
      </c>
      <c r="K358" s="74">
        <f>SUM(K352:K357)</f>
        <v>20925901</v>
      </c>
      <c r="L358" s="74">
        <f>SUM(L352:L357)</f>
        <v>3626208</v>
      </c>
      <c r="M358" s="74">
        <f>SUM(M352:M357)</f>
        <v>0</v>
      </c>
      <c r="N358" s="74">
        <f>SUM(N352:N357)</f>
        <v>0</v>
      </c>
      <c r="O358" s="74">
        <f>SUM(O352:O357)</f>
        <v>0</v>
      </c>
      <c r="P358" s="74">
        <f t="shared" ref="P358:Q358" si="790">SUM(P352:P357)</f>
        <v>8298612</v>
      </c>
      <c r="Q358" s="74">
        <f t="shared" si="790"/>
        <v>245521</v>
      </c>
      <c r="R358" s="74">
        <f>SUM(R352:R357)</f>
        <v>338931</v>
      </c>
      <c r="S358" s="75">
        <f>SUM(S352:S357)</f>
        <v>42.675400000000003</v>
      </c>
      <c r="T358" s="75">
        <f>SUM(T352:T357)</f>
        <v>31.879300000000001</v>
      </c>
      <c r="U358" s="753">
        <f>SUM(U352:U357)</f>
        <v>10.796100000000001</v>
      </c>
      <c r="V358" s="538">
        <f t="shared" si="789"/>
        <v>0</v>
      </c>
      <c r="W358" s="74">
        <f t="shared" si="789"/>
        <v>-2304</v>
      </c>
      <c r="X358" s="74">
        <f t="shared" si="789"/>
        <v>1992239</v>
      </c>
      <c r="Y358" s="74">
        <f t="shared" si="789"/>
        <v>0</v>
      </c>
      <c r="Z358" s="74">
        <f t="shared" si="789"/>
        <v>0</v>
      </c>
      <c r="AA358" s="74">
        <f t="shared" si="789"/>
        <v>13240</v>
      </c>
      <c r="AB358" s="74">
        <f t="shared" si="789"/>
        <v>0</v>
      </c>
      <c r="AC358" s="74">
        <f t="shared" si="789"/>
        <v>0</v>
      </c>
      <c r="AD358" s="74">
        <f t="shared" si="789"/>
        <v>0</v>
      </c>
      <c r="AE358" s="74">
        <f t="shared" si="789"/>
        <v>0</v>
      </c>
      <c r="AF358" s="74">
        <f t="shared" si="789"/>
        <v>2005479</v>
      </c>
      <c r="AG358" s="74">
        <f t="shared" si="789"/>
        <v>-2304</v>
      </c>
      <c r="AH358" s="74">
        <f t="shared" si="789"/>
        <v>2003175</v>
      </c>
      <c r="AI358" s="74">
        <f t="shared" si="789"/>
        <v>0</v>
      </c>
      <c r="AJ358" s="74">
        <f t="shared" si="789"/>
        <v>2304</v>
      </c>
      <c r="AK358" s="74">
        <f t="shared" si="789"/>
        <v>0</v>
      </c>
      <c r="AL358" s="74">
        <f t="shared" si="789"/>
        <v>0</v>
      </c>
      <c r="AM358" s="74">
        <f t="shared" si="789"/>
        <v>0</v>
      </c>
      <c r="AN358" s="74">
        <f t="shared" si="789"/>
        <v>0</v>
      </c>
      <c r="AO358" s="74">
        <f t="shared" si="789"/>
        <v>0</v>
      </c>
      <c r="AP358" s="74">
        <f t="shared" si="789"/>
        <v>2304</v>
      </c>
      <c r="AQ358" s="74">
        <f t="shared" si="789"/>
        <v>2304</v>
      </c>
      <c r="AR358" s="74">
        <f t="shared" si="789"/>
        <v>2005479</v>
      </c>
      <c r="AS358" s="74">
        <f t="shared" si="789"/>
        <v>0</v>
      </c>
      <c r="AT358" s="74">
        <f t="shared" si="789"/>
        <v>2005479</v>
      </c>
      <c r="AU358" s="74">
        <f t="shared" si="789"/>
        <v>677852</v>
      </c>
      <c r="AV358" s="74">
        <f t="shared" si="789"/>
        <v>20031</v>
      </c>
      <c r="AW358" s="74">
        <f t="shared" si="789"/>
        <v>0</v>
      </c>
      <c r="AX358" s="74">
        <f t="shared" si="789"/>
        <v>0</v>
      </c>
      <c r="AY358" s="74">
        <f t="shared" si="789"/>
        <v>0</v>
      </c>
      <c r="AZ358" s="74">
        <f t="shared" si="789"/>
        <v>2703362</v>
      </c>
      <c r="BA358" s="75">
        <f t="shared" si="789"/>
        <v>0</v>
      </c>
      <c r="BB358" s="75">
        <f t="shared" si="789"/>
        <v>-0.01</v>
      </c>
      <c r="BC358" s="75">
        <f t="shared" si="789"/>
        <v>5.0199999999999996</v>
      </c>
      <c r="BD358" s="75">
        <f t="shared" si="789"/>
        <v>0</v>
      </c>
      <c r="BE358" s="75">
        <f t="shared" si="789"/>
        <v>0</v>
      </c>
      <c r="BF358" s="75">
        <f t="shared" si="789"/>
        <v>0</v>
      </c>
      <c r="BG358" s="75">
        <f t="shared" si="789"/>
        <v>0</v>
      </c>
      <c r="BH358" s="75">
        <f t="shared" si="789"/>
        <v>0.02</v>
      </c>
      <c r="BI358" s="75">
        <f t="shared" si="789"/>
        <v>0</v>
      </c>
      <c r="BJ358" s="75">
        <f t="shared" si="789"/>
        <v>0</v>
      </c>
      <c r="BK358" s="75">
        <f t="shared" si="789"/>
        <v>5.0399999999999991</v>
      </c>
      <c r="BL358" s="75">
        <f t="shared" si="789"/>
        <v>-0.01</v>
      </c>
      <c r="BM358" s="76">
        <f t="shared" si="789"/>
        <v>5.0299999999999994</v>
      </c>
      <c r="BN358" s="549">
        <f t="shared" si="789"/>
        <v>36138535</v>
      </c>
      <c r="BO358" s="74">
        <f t="shared" si="789"/>
        <v>26555284</v>
      </c>
      <c r="BP358" s="74">
        <f t="shared" si="789"/>
        <v>22931380</v>
      </c>
      <c r="BQ358" s="74">
        <f t="shared" si="789"/>
        <v>3623904</v>
      </c>
      <c r="BR358" s="74">
        <f t="shared" si="789"/>
        <v>2304</v>
      </c>
      <c r="BS358" s="74">
        <f t="shared" si="789"/>
        <v>0</v>
      </c>
      <c r="BT358" s="74">
        <f t="shared" si="789"/>
        <v>2304</v>
      </c>
      <c r="BU358" s="74">
        <f t="shared" si="789"/>
        <v>8976464</v>
      </c>
      <c r="BV358" s="74">
        <f t="shared" ref="BV358:CF358" si="791">SUM(BV352:BV357)</f>
        <v>265552</v>
      </c>
      <c r="BW358" s="74">
        <f t="shared" si="791"/>
        <v>338931</v>
      </c>
      <c r="BX358" s="75">
        <f t="shared" si="791"/>
        <v>47.705400000000004</v>
      </c>
      <c r="BY358" s="75">
        <f t="shared" si="791"/>
        <v>36.9193</v>
      </c>
      <c r="BZ358" s="753">
        <f t="shared" si="791"/>
        <v>10.786099999999999</v>
      </c>
      <c r="CA358" s="796">
        <f t="shared" si="791"/>
        <v>0</v>
      </c>
      <c r="CB358" s="789">
        <f t="shared" si="791"/>
        <v>0</v>
      </c>
      <c r="CC358" s="789">
        <f t="shared" si="791"/>
        <v>0</v>
      </c>
      <c r="CD358" s="789">
        <f t="shared" si="791"/>
        <v>0</v>
      </c>
      <c r="CE358" s="789">
        <f t="shared" si="791"/>
        <v>0</v>
      </c>
      <c r="CF358" s="793">
        <f t="shared" si="791"/>
        <v>0</v>
      </c>
    </row>
    <row r="359" spans="1:84" ht="14.1" customHeight="1" x14ac:dyDescent="0.2">
      <c r="A359" s="66">
        <v>72</v>
      </c>
      <c r="B359" s="63">
        <v>2491</v>
      </c>
      <c r="C359" s="64">
        <v>600079775</v>
      </c>
      <c r="D359" s="63">
        <v>70983003</v>
      </c>
      <c r="E359" s="65" t="s">
        <v>678</v>
      </c>
      <c r="F359" s="66">
        <v>3113</v>
      </c>
      <c r="G359" s="65" t="s">
        <v>294</v>
      </c>
      <c r="H359" s="67" t="s">
        <v>271</v>
      </c>
      <c r="I359" s="423">
        <f t="shared" si="721"/>
        <v>27549347</v>
      </c>
      <c r="J359" s="418">
        <f t="shared" ref="J359" si="792">K359+L359</f>
        <v>20180659</v>
      </c>
      <c r="K359" s="418">
        <v>18802940</v>
      </c>
      <c r="L359" s="418">
        <v>1377719</v>
      </c>
      <c r="M359" s="418">
        <f>N359+O359</f>
        <v>0</v>
      </c>
      <c r="N359" s="418">
        <v>0</v>
      </c>
      <c r="O359" s="418">
        <v>0</v>
      </c>
      <c r="P359" s="668">
        <f>ROUND(J359*33.8%,0)-1</f>
        <v>6821062</v>
      </c>
      <c r="Q359" s="668">
        <f t="shared" si="724"/>
        <v>201807</v>
      </c>
      <c r="R359" s="418">
        <v>345819</v>
      </c>
      <c r="S359" s="419">
        <f>T359+U359</f>
        <v>31.455099999999998</v>
      </c>
      <c r="T359" s="419">
        <v>27.408999999999999</v>
      </c>
      <c r="U359" s="426">
        <v>4.0461</v>
      </c>
      <c r="V359" s="428">
        <f t="shared" si="726"/>
        <v>0</v>
      </c>
      <c r="W359" s="421">
        <f t="shared" si="727"/>
        <v>0</v>
      </c>
      <c r="X359" s="421">
        <v>0</v>
      </c>
      <c r="Y359" s="421">
        <v>0</v>
      </c>
      <c r="Z359" s="421">
        <v>0</v>
      </c>
      <c r="AA359" s="421">
        <v>0</v>
      </c>
      <c r="AB359" s="421">
        <v>0</v>
      </c>
      <c r="AC359" s="421">
        <v>0</v>
      </c>
      <c r="AD359" s="421">
        <v>0</v>
      </c>
      <c r="AE359" s="421">
        <v>0</v>
      </c>
      <c r="AF359" s="421">
        <f t="shared" si="728"/>
        <v>0</v>
      </c>
      <c r="AG359" s="421">
        <f t="shared" si="729"/>
        <v>0</v>
      </c>
      <c r="AH359" s="421">
        <f t="shared" si="730"/>
        <v>0</v>
      </c>
      <c r="AI359" s="421">
        <v>0</v>
      </c>
      <c r="AJ359" s="421">
        <v>0</v>
      </c>
      <c r="AK359" s="421">
        <v>0</v>
      </c>
      <c r="AL359" s="421">
        <v>0</v>
      </c>
      <c r="AM359" s="421">
        <v>0</v>
      </c>
      <c r="AN359" s="421">
        <v>0</v>
      </c>
      <c r="AO359" s="421">
        <f t="shared" si="731"/>
        <v>0</v>
      </c>
      <c r="AP359" s="421">
        <f t="shared" si="732"/>
        <v>0</v>
      </c>
      <c r="AQ359" s="421">
        <f t="shared" si="733"/>
        <v>0</v>
      </c>
      <c r="AR359" s="421">
        <f t="shared" ref="AR359:AS362" si="793">AF359+AO359</f>
        <v>0</v>
      </c>
      <c r="AS359" s="421">
        <f t="shared" si="793"/>
        <v>0</v>
      </c>
      <c r="AT359" s="421">
        <f t="shared" si="735"/>
        <v>0</v>
      </c>
      <c r="AU359" s="68">
        <f t="shared" ref="AU359:AU362" si="794">ROUND((AH359+AI359+AJ359+AK359+AL359)*33.8%,0)</f>
        <v>0</v>
      </c>
      <c r="AV359" s="68">
        <f>ROUND(AH359*1%,0)</f>
        <v>0</v>
      </c>
      <c r="AW359" s="421">
        <v>0</v>
      </c>
      <c r="AX359" s="421">
        <v>0</v>
      </c>
      <c r="AY359" s="421">
        <f t="shared" si="737"/>
        <v>0</v>
      </c>
      <c r="AZ359" s="421">
        <f t="shared" si="738"/>
        <v>0</v>
      </c>
      <c r="BA359" s="422">
        <v>0</v>
      </c>
      <c r="BB359" s="422">
        <v>0</v>
      </c>
      <c r="BC359" s="422">
        <v>0</v>
      </c>
      <c r="BD359" s="422">
        <v>0</v>
      </c>
      <c r="BE359" s="422">
        <v>0</v>
      </c>
      <c r="BF359" s="422">
        <v>0</v>
      </c>
      <c r="BG359" s="422">
        <v>0</v>
      </c>
      <c r="BH359" s="422">
        <v>0</v>
      </c>
      <c r="BI359" s="422">
        <v>0</v>
      </c>
      <c r="BJ359" s="422">
        <v>0</v>
      </c>
      <c r="BK359" s="422">
        <f>BA359+BC359+BD359+BF359+BH359+BI359</f>
        <v>0</v>
      </c>
      <c r="BL359" s="422">
        <f>BB359+BE359+BG359+BJ359</f>
        <v>0</v>
      </c>
      <c r="BM359" s="424">
        <f t="shared" si="739"/>
        <v>0</v>
      </c>
      <c r="BN359" s="427">
        <f>I359+AZ359</f>
        <v>27549347</v>
      </c>
      <c r="BO359" s="421">
        <f>J359+AH359</f>
        <v>20180659</v>
      </c>
      <c r="BP359" s="421">
        <f t="shared" ref="BP359:BQ362" si="795">K359+AF359</f>
        <v>18802940</v>
      </c>
      <c r="BQ359" s="421">
        <f t="shared" si="795"/>
        <v>1377719</v>
      </c>
      <c r="BR359" s="421">
        <f>M359+AQ359</f>
        <v>0</v>
      </c>
      <c r="BS359" s="421">
        <f t="shared" ref="BS359:BT362" si="796">N359+AO359</f>
        <v>0</v>
      </c>
      <c r="BT359" s="421">
        <f t="shared" si="796"/>
        <v>0</v>
      </c>
      <c r="BU359" s="421">
        <f t="shared" ref="BU359:BV362" si="797">P359+AU359</f>
        <v>6821062</v>
      </c>
      <c r="BV359" s="421">
        <f t="shared" si="797"/>
        <v>201807</v>
      </c>
      <c r="BW359" s="421">
        <f>R359+AY359</f>
        <v>345819</v>
      </c>
      <c r="BX359" s="422">
        <f>S359+BM359</f>
        <v>31.455099999999998</v>
      </c>
      <c r="BY359" s="422">
        <f t="shared" ref="BY359:BZ362" si="798">T359+BK359</f>
        <v>27.408999999999999</v>
      </c>
      <c r="BZ359" s="611">
        <f t="shared" si="798"/>
        <v>4.0461</v>
      </c>
      <c r="CA359" s="423"/>
      <c r="CB359" s="418"/>
      <c r="CC359" s="418"/>
      <c r="CD359" s="418"/>
      <c r="CE359" s="418"/>
      <c r="CF359" s="527"/>
    </row>
    <row r="360" spans="1:84" ht="14.1" customHeight="1" x14ac:dyDescent="0.2">
      <c r="A360" s="66">
        <v>72</v>
      </c>
      <c r="B360" s="63">
        <v>2491</v>
      </c>
      <c r="C360" s="64">
        <v>600079775</v>
      </c>
      <c r="D360" s="63">
        <v>70983003</v>
      </c>
      <c r="E360" s="65" t="s">
        <v>678</v>
      </c>
      <c r="F360" s="66">
        <v>3113</v>
      </c>
      <c r="G360" s="77" t="s">
        <v>292</v>
      </c>
      <c r="H360" s="67" t="s">
        <v>272</v>
      </c>
      <c r="I360" s="423">
        <f t="shared" si="721"/>
        <v>0</v>
      </c>
      <c r="J360" s="418">
        <f t="shared" si="722"/>
        <v>0</v>
      </c>
      <c r="K360" s="418">
        <v>0</v>
      </c>
      <c r="L360" s="418">
        <v>0</v>
      </c>
      <c r="M360" s="418">
        <f t="shared" si="744"/>
        <v>0</v>
      </c>
      <c r="N360" s="418">
        <v>0</v>
      </c>
      <c r="O360" s="418">
        <v>0</v>
      </c>
      <c r="P360" s="668">
        <f t="shared" si="723"/>
        <v>0</v>
      </c>
      <c r="Q360" s="668">
        <f t="shared" si="724"/>
        <v>0</v>
      </c>
      <c r="R360" s="418">
        <v>0</v>
      </c>
      <c r="S360" s="419">
        <f t="shared" si="725"/>
        <v>0</v>
      </c>
      <c r="T360" s="420">
        <v>0</v>
      </c>
      <c r="U360" s="426">
        <v>0</v>
      </c>
      <c r="V360" s="428">
        <f t="shared" si="726"/>
        <v>0</v>
      </c>
      <c r="W360" s="421">
        <f t="shared" si="727"/>
        <v>0</v>
      </c>
      <c r="X360" s="16">
        <v>1827485</v>
      </c>
      <c r="Y360" s="16">
        <v>0</v>
      </c>
      <c r="Z360" s="16">
        <v>0</v>
      </c>
      <c r="AA360" s="16">
        <v>0</v>
      </c>
      <c r="AB360" s="421">
        <v>0</v>
      </c>
      <c r="AC360" s="16">
        <v>0</v>
      </c>
      <c r="AD360" s="16">
        <v>0</v>
      </c>
      <c r="AE360" s="16">
        <v>0</v>
      </c>
      <c r="AF360" s="421">
        <f t="shared" si="728"/>
        <v>1827485</v>
      </c>
      <c r="AG360" s="421">
        <f t="shared" si="729"/>
        <v>0</v>
      </c>
      <c r="AH360" s="421">
        <f t="shared" si="730"/>
        <v>1827485</v>
      </c>
      <c r="AI360" s="16">
        <v>0</v>
      </c>
      <c r="AJ360" s="16">
        <v>0</v>
      </c>
      <c r="AK360" s="421">
        <v>0</v>
      </c>
      <c r="AL360" s="16">
        <v>0</v>
      </c>
      <c r="AM360" s="16">
        <v>0</v>
      </c>
      <c r="AN360" s="16">
        <v>0</v>
      </c>
      <c r="AO360" s="421">
        <f t="shared" si="731"/>
        <v>0</v>
      </c>
      <c r="AP360" s="16">
        <v>0</v>
      </c>
      <c r="AQ360" s="421">
        <f t="shared" si="733"/>
        <v>0</v>
      </c>
      <c r="AR360" s="421">
        <f t="shared" si="793"/>
        <v>1827485</v>
      </c>
      <c r="AS360" s="421">
        <f t="shared" si="793"/>
        <v>0</v>
      </c>
      <c r="AT360" s="421">
        <f t="shared" si="735"/>
        <v>1827485</v>
      </c>
      <c r="AU360" s="68">
        <f t="shared" si="794"/>
        <v>617690</v>
      </c>
      <c r="AV360" s="68">
        <f>ROUND(AH360*1%,0)</f>
        <v>18275</v>
      </c>
      <c r="AW360" s="16">
        <v>1500</v>
      </c>
      <c r="AX360" s="16">
        <v>0</v>
      </c>
      <c r="AY360" s="421">
        <f t="shared" si="737"/>
        <v>1500</v>
      </c>
      <c r="AZ360" s="421">
        <f t="shared" si="738"/>
        <v>2464950</v>
      </c>
      <c r="BA360" s="13">
        <v>0</v>
      </c>
      <c r="BB360" s="13">
        <v>0</v>
      </c>
      <c r="BC360" s="13">
        <v>4.76</v>
      </c>
      <c r="BD360" s="422">
        <v>0</v>
      </c>
      <c r="BE360" s="422">
        <v>0</v>
      </c>
      <c r="BF360" s="422">
        <v>0</v>
      </c>
      <c r="BG360" s="422">
        <v>0</v>
      </c>
      <c r="BH360" s="422">
        <v>0</v>
      </c>
      <c r="BI360" s="422">
        <v>0</v>
      </c>
      <c r="BJ360" s="422">
        <v>0</v>
      </c>
      <c r="BK360" s="422">
        <f>BA360+BC360+BD360+BF360+BH360+BI360</f>
        <v>4.76</v>
      </c>
      <c r="BL360" s="422">
        <f>BB360+BE360+BG360+BJ360</f>
        <v>0</v>
      </c>
      <c r="BM360" s="424">
        <f t="shared" si="739"/>
        <v>4.76</v>
      </c>
      <c r="BN360" s="427">
        <f>I360+AZ360</f>
        <v>2464950</v>
      </c>
      <c r="BO360" s="421">
        <f>J360+AH360</f>
        <v>1827485</v>
      </c>
      <c r="BP360" s="421">
        <f t="shared" si="795"/>
        <v>1827485</v>
      </c>
      <c r="BQ360" s="421">
        <f t="shared" si="795"/>
        <v>0</v>
      </c>
      <c r="BR360" s="421">
        <f>M360+AQ360</f>
        <v>0</v>
      </c>
      <c r="BS360" s="421">
        <f t="shared" si="796"/>
        <v>0</v>
      </c>
      <c r="BT360" s="421">
        <f t="shared" si="796"/>
        <v>0</v>
      </c>
      <c r="BU360" s="421">
        <f t="shared" si="797"/>
        <v>617690</v>
      </c>
      <c r="BV360" s="421">
        <f t="shared" si="797"/>
        <v>18275</v>
      </c>
      <c r="BW360" s="421">
        <f>R360+AY360</f>
        <v>1500</v>
      </c>
      <c r="BX360" s="422">
        <f>S360+BM360</f>
        <v>4.76</v>
      </c>
      <c r="BY360" s="422">
        <f t="shared" si="798"/>
        <v>4.76</v>
      </c>
      <c r="BZ360" s="611">
        <f t="shared" si="798"/>
        <v>0</v>
      </c>
      <c r="CA360" s="423"/>
      <c r="CB360" s="418"/>
      <c r="CC360" s="418"/>
      <c r="CD360" s="418"/>
      <c r="CE360" s="418"/>
      <c r="CF360" s="527"/>
    </row>
    <row r="361" spans="1:84" ht="14.1" customHeight="1" x14ac:dyDescent="0.2">
      <c r="A361" s="66">
        <v>72</v>
      </c>
      <c r="B361" s="63">
        <v>2491</v>
      </c>
      <c r="C361" s="64">
        <v>600079775</v>
      </c>
      <c r="D361" s="63">
        <v>70983003</v>
      </c>
      <c r="E361" s="65" t="s">
        <v>678</v>
      </c>
      <c r="F361" s="66">
        <v>3143</v>
      </c>
      <c r="G361" s="77" t="s">
        <v>596</v>
      </c>
      <c r="H361" s="67" t="s">
        <v>271</v>
      </c>
      <c r="I361" s="423">
        <f t="shared" si="721"/>
        <v>2406051</v>
      </c>
      <c r="J361" s="418">
        <f t="shared" si="722"/>
        <v>1784904</v>
      </c>
      <c r="K361" s="418">
        <v>1784904</v>
      </c>
      <c r="L361" s="418">
        <v>0</v>
      </c>
      <c r="M361" s="418">
        <f t="shared" si="744"/>
        <v>0</v>
      </c>
      <c r="N361" s="418">
        <v>0</v>
      </c>
      <c r="O361" s="418">
        <v>0</v>
      </c>
      <c r="P361" s="668">
        <f t="shared" si="723"/>
        <v>603298</v>
      </c>
      <c r="Q361" s="668">
        <f t="shared" si="724"/>
        <v>17849</v>
      </c>
      <c r="R361" s="418">
        <v>0</v>
      </c>
      <c r="S361" s="419">
        <f t="shared" si="725"/>
        <v>3.5714000000000001</v>
      </c>
      <c r="T361" s="419">
        <v>3.5714000000000001</v>
      </c>
      <c r="U361" s="426">
        <v>0</v>
      </c>
      <c r="V361" s="428">
        <f t="shared" si="726"/>
        <v>0</v>
      </c>
      <c r="W361" s="421">
        <f t="shared" si="727"/>
        <v>0</v>
      </c>
      <c r="X361" s="421">
        <v>0</v>
      </c>
      <c r="Y361" s="421">
        <v>0</v>
      </c>
      <c r="Z361" s="421">
        <v>0</v>
      </c>
      <c r="AA361" s="421">
        <v>0</v>
      </c>
      <c r="AB361" s="421">
        <v>0</v>
      </c>
      <c r="AC361" s="421">
        <v>0</v>
      </c>
      <c r="AD361" s="421">
        <v>0</v>
      </c>
      <c r="AE361" s="421">
        <v>0</v>
      </c>
      <c r="AF361" s="421">
        <f t="shared" si="728"/>
        <v>0</v>
      </c>
      <c r="AG361" s="421">
        <f t="shared" si="729"/>
        <v>0</v>
      </c>
      <c r="AH361" s="421">
        <f t="shared" si="730"/>
        <v>0</v>
      </c>
      <c r="AI361" s="421">
        <v>0</v>
      </c>
      <c r="AJ361" s="421">
        <v>0</v>
      </c>
      <c r="AK361" s="421">
        <v>0</v>
      </c>
      <c r="AL361" s="421">
        <v>0</v>
      </c>
      <c r="AM361" s="421">
        <v>0</v>
      </c>
      <c r="AN361" s="421">
        <v>0</v>
      </c>
      <c r="AO361" s="421">
        <f t="shared" si="731"/>
        <v>0</v>
      </c>
      <c r="AP361" s="421">
        <f t="shared" si="732"/>
        <v>0</v>
      </c>
      <c r="AQ361" s="421">
        <f t="shared" si="733"/>
        <v>0</v>
      </c>
      <c r="AR361" s="421">
        <f t="shared" si="793"/>
        <v>0</v>
      </c>
      <c r="AS361" s="421">
        <f t="shared" si="793"/>
        <v>0</v>
      </c>
      <c r="AT361" s="421">
        <f t="shared" si="735"/>
        <v>0</v>
      </c>
      <c r="AU361" s="68">
        <f t="shared" si="794"/>
        <v>0</v>
      </c>
      <c r="AV361" s="68">
        <f>ROUND(AH361*1%,0)</f>
        <v>0</v>
      </c>
      <c r="AW361" s="421">
        <v>0</v>
      </c>
      <c r="AX361" s="421">
        <v>0</v>
      </c>
      <c r="AY361" s="421">
        <f t="shared" si="737"/>
        <v>0</v>
      </c>
      <c r="AZ361" s="421">
        <f t="shared" si="738"/>
        <v>0</v>
      </c>
      <c r="BA361" s="422">
        <v>0</v>
      </c>
      <c r="BB361" s="422">
        <v>0</v>
      </c>
      <c r="BC361" s="422">
        <v>0</v>
      </c>
      <c r="BD361" s="422">
        <v>0</v>
      </c>
      <c r="BE361" s="422">
        <v>0</v>
      </c>
      <c r="BF361" s="422">
        <v>0</v>
      </c>
      <c r="BG361" s="422">
        <v>0</v>
      </c>
      <c r="BH361" s="422">
        <v>0</v>
      </c>
      <c r="BI361" s="422">
        <v>0</v>
      </c>
      <c r="BJ361" s="422">
        <v>0</v>
      </c>
      <c r="BK361" s="422">
        <f>BA361+BC361+BD361+BF361+BH361+BI361</f>
        <v>0</v>
      </c>
      <c r="BL361" s="422">
        <f>BB361+BE361+BG361+BJ361</f>
        <v>0</v>
      </c>
      <c r="BM361" s="424">
        <f t="shared" si="739"/>
        <v>0</v>
      </c>
      <c r="BN361" s="427">
        <f>I361+AZ361</f>
        <v>2406051</v>
      </c>
      <c r="BO361" s="421">
        <f>J361+AH361</f>
        <v>1784904</v>
      </c>
      <c r="BP361" s="421">
        <f t="shared" si="795"/>
        <v>1784904</v>
      </c>
      <c r="BQ361" s="421">
        <f t="shared" si="795"/>
        <v>0</v>
      </c>
      <c r="BR361" s="421">
        <f>M361+AQ361</f>
        <v>0</v>
      </c>
      <c r="BS361" s="421">
        <f t="shared" si="796"/>
        <v>0</v>
      </c>
      <c r="BT361" s="421">
        <f t="shared" si="796"/>
        <v>0</v>
      </c>
      <c r="BU361" s="421">
        <f t="shared" si="797"/>
        <v>603298</v>
      </c>
      <c r="BV361" s="421">
        <f t="shared" si="797"/>
        <v>17849</v>
      </c>
      <c r="BW361" s="421">
        <f>R361+AY361</f>
        <v>0</v>
      </c>
      <c r="BX361" s="422">
        <f>S361+BM361</f>
        <v>3.5714000000000001</v>
      </c>
      <c r="BY361" s="422">
        <f t="shared" si="798"/>
        <v>3.5714000000000001</v>
      </c>
      <c r="BZ361" s="611">
        <f t="shared" si="798"/>
        <v>0</v>
      </c>
      <c r="CA361" s="423"/>
      <c r="CB361" s="418"/>
      <c r="CC361" s="418"/>
      <c r="CD361" s="418"/>
      <c r="CE361" s="418"/>
      <c r="CF361" s="527"/>
    </row>
    <row r="362" spans="1:84" ht="14.1" customHeight="1" x14ac:dyDescent="0.2">
      <c r="A362" s="66">
        <v>72</v>
      </c>
      <c r="B362" s="63">
        <v>2491</v>
      </c>
      <c r="C362" s="64">
        <v>600079775</v>
      </c>
      <c r="D362" s="63">
        <v>70983003</v>
      </c>
      <c r="E362" s="65" t="s">
        <v>678</v>
      </c>
      <c r="F362" s="66">
        <v>3143</v>
      </c>
      <c r="G362" s="77" t="s">
        <v>597</v>
      </c>
      <c r="H362" s="67" t="s">
        <v>272</v>
      </c>
      <c r="I362" s="423">
        <f t="shared" si="721"/>
        <v>46104</v>
      </c>
      <c r="J362" s="418">
        <f t="shared" si="722"/>
        <v>33000</v>
      </c>
      <c r="K362" s="418">
        <v>0</v>
      </c>
      <c r="L362" s="674">
        <v>33000</v>
      </c>
      <c r="M362" s="418">
        <f t="shared" si="744"/>
        <v>0</v>
      </c>
      <c r="N362" s="418">
        <v>0</v>
      </c>
      <c r="O362" s="418">
        <v>0</v>
      </c>
      <c r="P362" s="668">
        <f t="shared" si="723"/>
        <v>11154</v>
      </c>
      <c r="Q362" s="668">
        <f t="shared" si="724"/>
        <v>330</v>
      </c>
      <c r="R362" s="675">
        <v>1620</v>
      </c>
      <c r="S362" s="419">
        <f t="shared" si="725"/>
        <v>0.125</v>
      </c>
      <c r="T362" s="679">
        <v>0</v>
      </c>
      <c r="U362" s="909">
        <v>0.125</v>
      </c>
      <c r="V362" s="428">
        <f t="shared" si="726"/>
        <v>0</v>
      </c>
      <c r="W362" s="421">
        <f t="shared" si="727"/>
        <v>0</v>
      </c>
      <c r="X362" s="421">
        <v>0</v>
      </c>
      <c r="Y362" s="421">
        <v>0</v>
      </c>
      <c r="Z362" s="421">
        <v>0</v>
      </c>
      <c r="AA362" s="421">
        <v>0</v>
      </c>
      <c r="AB362" s="421">
        <v>0</v>
      </c>
      <c r="AC362" s="421">
        <v>0</v>
      </c>
      <c r="AD362" s="421">
        <v>0</v>
      </c>
      <c r="AE362" s="421">
        <v>0</v>
      </c>
      <c r="AF362" s="421">
        <f t="shared" si="728"/>
        <v>0</v>
      </c>
      <c r="AG362" s="421">
        <f t="shared" si="729"/>
        <v>0</v>
      </c>
      <c r="AH362" s="421">
        <f t="shared" si="730"/>
        <v>0</v>
      </c>
      <c r="AI362" s="421">
        <v>0</v>
      </c>
      <c r="AJ362" s="421">
        <v>0</v>
      </c>
      <c r="AK362" s="421">
        <v>0</v>
      </c>
      <c r="AL362" s="421">
        <v>0</v>
      </c>
      <c r="AM362" s="421">
        <v>0</v>
      </c>
      <c r="AN362" s="421">
        <v>0</v>
      </c>
      <c r="AO362" s="421">
        <f t="shared" si="731"/>
        <v>0</v>
      </c>
      <c r="AP362" s="421">
        <f t="shared" si="732"/>
        <v>0</v>
      </c>
      <c r="AQ362" s="421">
        <f t="shared" si="733"/>
        <v>0</v>
      </c>
      <c r="AR362" s="421">
        <f t="shared" si="793"/>
        <v>0</v>
      </c>
      <c r="AS362" s="421">
        <f t="shared" si="793"/>
        <v>0</v>
      </c>
      <c r="AT362" s="421">
        <f t="shared" si="735"/>
        <v>0</v>
      </c>
      <c r="AU362" s="68">
        <f t="shared" si="794"/>
        <v>0</v>
      </c>
      <c r="AV362" s="68">
        <f>ROUND(AH362*1%,0)</f>
        <v>0</v>
      </c>
      <c r="AW362" s="421">
        <v>0</v>
      </c>
      <c r="AX362" s="421">
        <v>0</v>
      </c>
      <c r="AY362" s="421">
        <f t="shared" si="737"/>
        <v>0</v>
      </c>
      <c r="AZ362" s="421">
        <f t="shared" si="738"/>
        <v>0</v>
      </c>
      <c r="BA362" s="422">
        <v>0</v>
      </c>
      <c r="BB362" s="422">
        <v>0</v>
      </c>
      <c r="BC362" s="422">
        <v>0</v>
      </c>
      <c r="BD362" s="422">
        <v>0</v>
      </c>
      <c r="BE362" s="422">
        <v>0</v>
      </c>
      <c r="BF362" s="422">
        <v>0</v>
      </c>
      <c r="BG362" s="422">
        <v>0</v>
      </c>
      <c r="BH362" s="422">
        <v>0</v>
      </c>
      <c r="BI362" s="422">
        <v>0</v>
      </c>
      <c r="BJ362" s="422">
        <v>0</v>
      </c>
      <c r="BK362" s="422">
        <f>BA362+BC362+BD362+BF362+BH362+BI362</f>
        <v>0</v>
      </c>
      <c r="BL362" s="422">
        <f>BB362+BE362+BG362+BJ362</f>
        <v>0</v>
      </c>
      <c r="BM362" s="424">
        <f t="shared" si="739"/>
        <v>0</v>
      </c>
      <c r="BN362" s="427">
        <f>I362+AZ362</f>
        <v>46104</v>
      </c>
      <c r="BO362" s="421">
        <f>J362+AH362</f>
        <v>33000</v>
      </c>
      <c r="BP362" s="421">
        <f t="shared" si="795"/>
        <v>0</v>
      </c>
      <c r="BQ362" s="421">
        <f t="shared" si="795"/>
        <v>33000</v>
      </c>
      <c r="BR362" s="421">
        <f>M362+AQ362</f>
        <v>0</v>
      </c>
      <c r="BS362" s="421">
        <f t="shared" si="796"/>
        <v>0</v>
      </c>
      <c r="BT362" s="421">
        <f t="shared" si="796"/>
        <v>0</v>
      </c>
      <c r="BU362" s="421">
        <f t="shared" si="797"/>
        <v>11154</v>
      </c>
      <c r="BV362" s="421">
        <f t="shared" si="797"/>
        <v>330</v>
      </c>
      <c r="BW362" s="421">
        <f>R362+AY362</f>
        <v>1620</v>
      </c>
      <c r="BX362" s="422">
        <f>S362+BM362</f>
        <v>0.125</v>
      </c>
      <c r="BY362" s="422">
        <f t="shared" si="798"/>
        <v>0</v>
      </c>
      <c r="BZ362" s="611">
        <f t="shared" si="798"/>
        <v>0.125</v>
      </c>
      <c r="CA362" s="423"/>
      <c r="CB362" s="418"/>
      <c r="CC362" s="418"/>
      <c r="CD362" s="418"/>
      <c r="CE362" s="418"/>
      <c r="CF362" s="527"/>
    </row>
    <row r="363" spans="1:84" ht="14.1" customHeight="1" x14ac:dyDescent="0.2">
      <c r="A363" s="72">
        <v>72</v>
      </c>
      <c r="B363" s="69">
        <v>2491</v>
      </c>
      <c r="C363" s="70">
        <v>600079775</v>
      </c>
      <c r="D363" s="69">
        <v>70983003</v>
      </c>
      <c r="E363" s="71" t="s">
        <v>679</v>
      </c>
      <c r="F363" s="72"/>
      <c r="G363" s="71"/>
      <c r="H363" s="73"/>
      <c r="I363" s="538">
        <f t="shared" ref="I363:BU363" si="799">SUM(I359:I362)</f>
        <v>30001502</v>
      </c>
      <c r="J363" s="74">
        <f t="shared" si="799"/>
        <v>21998563</v>
      </c>
      <c r="K363" s="74">
        <f>SUM(K359:K362)</f>
        <v>20587844</v>
      </c>
      <c r="L363" s="74">
        <f>SUM(L359:L362)</f>
        <v>1410719</v>
      </c>
      <c r="M363" s="74">
        <f>SUM(M359:M362)</f>
        <v>0</v>
      </c>
      <c r="N363" s="74">
        <f>SUM(N359:N362)</f>
        <v>0</v>
      </c>
      <c r="O363" s="74">
        <f>SUM(O359:O362)</f>
        <v>0</v>
      </c>
      <c r="P363" s="74">
        <f t="shared" ref="P363:Q363" si="800">SUM(P359:P362)</f>
        <v>7435514</v>
      </c>
      <c r="Q363" s="74">
        <f t="shared" si="800"/>
        <v>219986</v>
      </c>
      <c r="R363" s="74">
        <f>SUM(R359:R362)</f>
        <v>347439</v>
      </c>
      <c r="S363" s="75">
        <f>SUM(S359:S362)</f>
        <v>35.151499999999999</v>
      </c>
      <c r="T363" s="75">
        <f>SUM(T359:T362)</f>
        <v>30.980399999999999</v>
      </c>
      <c r="U363" s="753">
        <f>SUM(U359:U362)</f>
        <v>4.1711</v>
      </c>
      <c r="V363" s="538">
        <f t="shared" si="799"/>
        <v>0</v>
      </c>
      <c r="W363" s="74">
        <f t="shared" si="799"/>
        <v>0</v>
      </c>
      <c r="X363" s="74">
        <f t="shared" si="799"/>
        <v>1827485</v>
      </c>
      <c r="Y363" s="74">
        <f t="shared" si="799"/>
        <v>0</v>
      </c>
      <c r="Z363" s="74">
        <f t="shared" si="799"/>
        <v>0</v>
      </c>
      <c r="AA363" s="74">
        <f t="shared" si="799"/>
        <v>0</v>
      </c>
      <c r="AB363" s="74">
        <f t="shared" si="799"/>
        <v>0</v>
      </c>
      <c r="AC363" s="74">
        <f t="shared" si="799"/>
        <v>0</v>
      </c>
      <c r="AD363" s="74">
        <f t="shared" si="799"/>
        <v>0</v>
      </c>
      <c r="AE363" s="74">
        <f t="shared" si="799"/>
        <v>0</v>
      </c>
      <c r="AF363" s="74">
        <f t="shared" si="799"/>
        <v>1827485</v>
      </c>
      <c r="AG363" s="74">
        <f t="shared" si="799"/>
        <v>0</v>
      </c>
      <c r="AH363" s="74">
        <f t="shared" si="799"/>
        <v>1827485</v>
      </c>
      <c r="AI363" s="74">
        <f t="shared" si="799"/>
        <v>0</v>
      </c>
      <c r="AJ363" s="74">
        <f t="shared" si="799"/>
        <v>0</v>
      </c>
      <c r="AK363" s="74">
        <f t="shared" si="799"/>
        <v>0</v>
      </c>
      <c r="AL363" s="74">
        <f t="shared" si="799"/>
        <v>0</v>
      </c>
      <c r="AM363" s="74">
        <f t="shared" si="799"/>
        <v>0</v>
      </c>
      <c r="AN363" s="74">
        <f t="shared" si="799"/>
        <v>0</v>
      </c>
      <c r="AO363" s="74">
        <f t="shared" si="799"/>
        <v>0</v>
      </c>
      <c r="AP363" s="74">
        <f t="shared" si="799"/>
        <v>0</v>
      </c>
      <c r="AQ363" s="74">
        <f t="shared" si="799"/>
        <v>0</v>
      </c>
      <c r="AR363" s="74">
        <f t="shared" si="799"/>
        <v>1827485</v>
      </c>
      <c r="AS363" s="74">
        <f t="shared" si="799"/>
        <v>0</v>
      </c>
      <c r="AT363" s="74">
        <f t="shared" si="799"/>
        <v>1827485</v>
      </c>
      <c r="AU363" s="74">
        <f t="shared" si="799"/>
        <v>617690</v>
      </c>
      <c r="AV363" s="74">
        <f t="shared" si="799"/>
        <v>18275</v>
      </c>
      <c r="AW363" s="74">
        <f t="shared" si="799"/>
        <v>1500</v>
      </c>
      <c r="AX363" s="74">
        <f t="shared" si="799"/>
        <v>0</v>
      </c>
      <c r="AY363" s="74">
        <f t="shared" si="799"/>
        <v>1500</v>
      </c>
      <c r="AZ363" s="74">
        <f t="shared" si="799"/>
        <v>2464950</v>
      </c>
      <c r="BA363" s="75">
        <f t="shared" si="799"/>
        <v>0</v>
      </c>
      <c r="BB363" s="75">
        <f t="shared" si="799"/>
        <v>0</v>
      </c>
      <c r="BC363" s="75">
        <f t="shared" si="799"/>
        <v>4.76</v>
      </c>
      <c r="BD363" s="75">
        <f t="shared" si="799"/>
        <v>0</v>
      </c>
      <c r="BE363" s="75">
        <f t="shared" si="799"/>
        <v>0</v>
      </c>
      <c r="BF363" s="75">
        <f t="shared" si="799"/>
        <v>0</v>
      </c>
      <c r="BG363" s="75">
        <f t="shared" si="799"/>
        <v>0</v>
      </c>
      <c r="BH363" s="75">
        <f t="shared" si="799"/>
        <v>0</v>
      </c>
      <c r="BI363" s="75">
        <f t="shared" si="799"/>
        <v>0</v>
      </c>
      <c r="BJ363" s="75">
        <f t="shared" si="799"/>
        <v>0</v>
      </c>
      <c r="BK363" s="75">
        <f t="shared" si="799"/>
        <v>4.76</v>
      </c>
      <c r="BL363" s="75">
        <f t="shared" si="799"/>
        <v>0</v>
      </c>
      <c r="BM363" s="76">
        <f t="shared" si="799"/>
        <v>4.76</v>
      </c>
      <c r="BN363" s="549">
        <f t="shared" si="799"/>
        <v>32466452</v>
      </c>
      <c r="BO363" s="74">
        <f t="shared" si="799"/>
        <v>23826048</v>
      </c>
      <c r="BP363" s="74">
        <f t="shared" si="799"/>
        <v>22415329</v>
      </c>
      <c r="BQ363" s="74">
        <f t="shared" si="799"/>
        <v>1410719</v>
      </c>
      <c r="BR363" s="74">
        <f t="shared" si="799"/>
        <v>0</v>
      </c>
      <c r="BS363" s="74">
        <f t="shared" si="799"/>
        <v>0</v>
      </c>
      <c r="BT363" s="74">
        <f t="shared" si="799"/>
        <v>0</v>
      </c>
      <c r="BU363" s="74">
        <f t="shared" si="799"/>
        <v>8053204</v>
      </c>
      <c r="BV363" s="74">
        <f t="shared" ref="BV363:CF363" si="801">SUM(BV359:BV362)</f>
        <v>238261</v>
      </c>
      <c r="BW363" s="74">
        <f t="shared" si="801"/>
        <v>348939</v>
      </c>
      <c r="BX363" s="75">
        <f t="shared" si="801"/>
        <v>39.911499999999997</v>
      </c>
      <c r="BY363" s="75">
        <f t="shared" si="801"/>
        <v>35.740399999999994</v>
      </c>
      <c r="BZ363" s="753">
        <f t="shared" si="801"/>
        <v>4.1711</v>
      </c>
      <c r="CA363" s="796">
        <f t="shared" si="801"/>
        <v>0</v>
      </c>
      <c r="CB363" s="789">
        <f t="shared" si="801"/>
        <v>0</v>
      </c>
      <c r="CC363" s="789">
        <f t="shared" si="801"/>
        <v>0</v>
      </c>
      <c r="CD363" s="789">
        <f t="shared" si="801"/>
        <v>0</v>
      </c>
      <c r="CE363" s="789">
        <f t="shared" si="801"/>
        <v>0</v>
      </c>
      <c r="CF363" s="793">
        <f t="shared" si="801"/>
        <v>0</v>
      </c>
    </row>
    <row r="364" spans="1:84" ht="14.1" customHeight="1" x14ac:dyDescent="0.2">
      <c r="A364" s="66">
        <v>73</v>
      </c>
      <c r="B364" s="63">
        <v>2459</v>
      </c>
      <c r="C364" s="64">
        <v>650030583</v>
      </c>
      <c r="D364" s="63">
        <v>72744707</v>
      </c>
      <c r="E364" s="65" t="s">
        <v>680</v>
      </c>
      <c r="F364" s="66">
        <v>3111</v>
      </c>
      <c r="G364" s="65" t="s">
        <v>291</v>
      </c>
      <c r="H364" s="67" t="s">
        <v>271</v>
      </c>
      <c r="I364" s="423">
        <f t="shared" si="721"/>
        <v>3346602</v>
      </c>
      <c r="J364" s="418">
        <f t="shared" si="722"/>
        <v>2474522</v>
      </c>
      <c r="K364" s="418">
        <v>2354714</v>
      </c>
      <c r="L364" s="418">
        <v>119808</v>
      </c>
      <c r="M364" s="418">
        <f t="shared" ref="M364:M365" si="802">N364+O364</f>
        <v>0</v>
      </c>
      <c r="N364" s="418">
        <v>0</v>
      </c>
      <c r="O364" s="418">
        <v>0</v>
      </c>
      <c r="P364" s="668">
        <f t="shared" si="723"/>
        <v>836388</v>
      </c>
      <c r="Q364" s="668">
        <f t="shared" si="724"/>
        <v>24745</v>
      </c>
      <c r="R364" s="418">
        <v>10947</v>
      </c>
      <c r="S364" s="419">
        <f t="shared" si="725"/>
        <v>4.4800000000000004</v>
      </c>
      <c r="T364" s="419">
        <v>4</v>
      </c>
      <c r="U364" s="426">
        <v>0.48</v>
      </c>
      <c r="V364" s="428">
        <f t="shared" si="726"/>
        <v>0</v>
      </c>
      <c r="W364" s="421">
        <f t="shared" si="727"/>
        <v>0</v>
      </c>
      <c r="X364" s="421">
        <v>0</v>
      </c>
      <c r="Y364" s="421">
        <v>0</v>
      </c>
      <c r="Z364" s="421">
        <v>0</v>
      </c>
      <c r="AA364" s="421">
        <v>0</v>
      </c>
      <c r="AB364" s="421">
        <v>0</v>
      </c>
      <c r="AC364" s="421">
        <v>0</v>
      </c>
      <c r="AD364" s="421">
        <v>0</v>
      </c>
      <c r="AE364" s="421">
        <v>0</v>
      </c>
      <c r="AF364" s="421">
        <f t="shared" si="728"/>
        <v>0</v>
      </c>
      <c r="AG364" s="421">
        <f t="shared" si="729"/>
        <v>0</v>
      </c>
      <c r="AH364" s="421">
        <f t="shared" si="730"/>
        <v>0</v>
      </c>
      <c r="AI364" s="421">
        <v>0</v>
      </c>
      <c r="AJ364" s="421">
        <v>0</v>
      </c>
      <c r="AK364" s="421">
        <v>0</v>
      </c>
      <c r="AL364" s="421">
        <v>0</v>
      </c>
      <c r="AM364" s="421">
        <v>0</v>
      </c>
      <c r="AN364" s="421">
        <v>0</v>
      </c>
      <c r="AO364" s="421">
        <f t="shared" si="731"/>
        <v>0</v>
      </c>
      <c r="AP364" s="421">
        <f t="shared" si="732"/>
        <v>0</v>
      </c>
      <c r="AQ364" s="421">
        <f t="shared" si="733"/>
        <v>0</v>
      </c>
      <c r="AR364" s="421">
        <f t="shared" ref="AR364:AS369" si="803">AF364+AO364</f>
        <v>0</v>
      </c>
      <c r="AS364" s="421">
        <f t="shared" si="803"/>
        <v>0</v>
      </c>
      <c r="AT364" s="421">
        <f t="shared" si="735"/>
        <v>0</v>
      </c>
      <c r="AU364" s="68">
        <f t="shared" ref="AU364:AU369" si="804">ROUND((AH364+AI364+AJ364+AK364+AL364)*33.8%,0)</f>
        <v>0</v>
      </c>
      <c r="AV364" s="68">
        <f t="shared" ref="AV364:AV369" si="805">ROUND(AH364*1%,0)</f>
        <v>0</v>
      </c>
      <c r="AW364" s="421">
        <v>0</v>
      </c>
      <c r="AX364" s="421">
        <v>0</v>
      </c>
      <c r="AY364" s="421">
        <f t="shared" si="737"/>
        <v>0</v>
      </c>
      <c r="AZ364" s="421">
        <f t="shared" si="738"/>
        <v>0</v>
      </c>
      <c r="BA364" s="422">
        <v>0</v>
      </c>
      <c r="BB364" s="422">
        <v>0</v>
      </c>
      <c r="BC364" s="422">
        <v>0</v>
      </c>
      <c r="BD364" s="422">
        <v>0</v>
      </c>
      <c r="BE364" s="422">
        <v>0</v>
      </c>
      <c r="BF364" s="422">
        <v>0</v>
      </c>
      <c r="BG364" s="422">
        <v>0</v>
      </c>
      <c r="BH364" s="422">
        <v>0</v>
      </c>
      <c r="BI364" s="422">
        <v>0</v>
      </c>
      <c r="BJ364" s="422">
        <v>0</v>
      </c>
      <c r="BK364" s="422">
        <f t="shared" ref="BK364:BK369" si="806">BA364+BC364+BD364+BF364+BH364+BI364</f>
        <v>0</v>
      </c>
      <c r="BL364" s="422">
        <f t="shared" ref="BL364:BL369" si="807">BB364+BE364+BG364+BJ364</f>
        <v>0</v>
      </c>
      <c r="BM364" s="424">
        <f t="shared" si="739"/>
        <v>0</v>
      </c>
      <c r="BN364" s="427">
        <f t="shared" ref="BN364:BN369" si="808">I364+AZ364</f>
        <v>3346602</v>
      </c>
      <c r="BO364" s="421">
        <f t="shared" ref="BO364:BO369" si="809">J364+AH364</f>
        <v>2474522</v>
      </c>
      <c r="BP364" s="421">
        <f t="shared" ref="BP364:BQ369" si="810">K364+AF364</f>
        <v>2354714</v>
      </c>
      <c r="BQ364" s="421">
        <f t="shared" si="810"/>
        <v>119808</v>
      </c>
      <c r="BR364" s="421">
        <f t="shared" ref="BR364:BR369" si="811">M364+AQ364</f>
        <v>0</v>
      </c>
      <c r="BS364" s="421">
        <f t="shared" ref="BS364:BT369" si="812">N364+AO364</f>
        <v>0</v>
      </c>
      <c r="BT364" s="421">
        <f t="shared" si="812"/>
        <v>0</v>
      </c>
      <c r="BU364" s="421">
        <f t="shared" ref="BU364:BV369" si="813">P364+AU364</f>
        <v>836388</v>
      </c>
      <c r="BV364" s="421">
        <f t="shared" si="813"/>
        <v>24745</v>
      </c>
      <c r="BW364" s="421">
        <f t="shared" ref="BW364:BW369" si="814">R364+AY364</f>
        <v>10947</v>
      </c>
      <c r="BX364" s="422">
        <f t="shared" ref="BX364:BX369" si="815">S364+BM364</f>
        <v>4.4800000000000004</v>
      </c>
      <c r="BY364" s="422">
        <f t="shared" ref="BY364:BZ369" si="816">T364+BK364</f>
        <v>4</v>
      </c>
      <c r="BZ364" s="611">
        <f t="shared" si="816"/>
        <v>0.48</v>
      </c>
      <c r="CA364" s="423"/>
      <c r="CB364" s="418"/>
      <c r="CC364" s="418"/>
      <c r="CD364" s="418"/>
      <c r="CE364" s="418"/>
      <c r="CF364" s="527"/>
    </row>
    <row r="365" spans="1:84" ht="14.1" customHeight="1" x14ac:dyDescent="0.2">
      <c r="A365" s="66">
        <v>73</v>
      </c>
      <c r="B365" s="63">
        <v>2459</v>
      </c>
      <c r="C365" s="64">
        <v>650030583</v>
      </c>
      <c r="D365" s="63">
        <v>72744707</v>
      </c>
      <c r="E365" s="65" t="s">
        <v>680</v>
      </c>
      <c r="F365" s="66">
        <v>3117</v>
      </c>
      <c r="G365" s="65" t="s">
        <v>294</v>
      </c>
      <c r="H365" s="67" t="s">
        <v>271</v>
      </c>
      <c r="I365" s="423">
        <f t="shared" si="721"/>
        <v>5796441</v>
      </c>
      <c r="J365" s="418">
        <f t="shared" si="722"/>
        <v>4244958</v>
      </c>
      <c r="K365" s="418">
        <v>3726931</v>
      </c>
      <c r="L365" s="418">
        <v>518027</v>
      </c>
      <c r="M365" s="418">
        <f t="shared" si="802"/>
        <v>0</v>
      </c>
      <c r="N365" s="418">
        <v>0</v>
      </c>
      <c r="O365" s="418">
        <v>0</v>
      </c>
      <c r="P365" s="668">
        <f t="shared" si="723"/>
        <v>1434796</v>
      </c>
      <c r="Q365" s="668">
        <f t="shared" si="724"/>
        <v>42450</v>
      </c>
      <c r="R365" s="418">
        <v>74237</v>
      </c>
      <c r="S365" s="419">
        <f>T365+U365</f>
        <v>6.8632</v>
      </c>
      <c r="T365" s="419">
        <v>5.4545000000000003</v>
      </c>
      <c r="U365" s="426">
        <v>1.4086999999999998</v>
      </c>
      <c r="V365" s="428">
        <f t="shared" si="726"/>
        <v>0</v>
      </c>
      <c r="W365" s="421">
        <f t="shared" si="727"/>
        <v>0</v>
      </c>
      <c r="X365" s="421">
        <v>0</v>
      </c>
      <c r="Y365" s="421">
        <v>0</v>
      </c>
      <c r="Z365" s="421">
        <v>0</v>
      </c>
      <c r="AA365" s="421">
        <v>0</v>
      </c>
      <c r="AB365" s="421">
        <v>0</v>
      </c>
      <c r="AC365" s="421">
        <v>0</v>
      </c>
      <c r="AD365" s="421">
        <v>0</v>
      </c>
      <c r="AE365" s="421">
        <v>0</v>
      </c>
      <c r="AF365" s="421">
        <f t="shared" si="728"/>
        <v>0</v>
      </c>
      <c r="AG365" s="421">
        <f t="shared" si="729"/>
        <v>0</v>
      </c>
      <c r="AH365" s="421">
        <f t="shared" si="730"/>
        <v>0</v>
      </c>
      <c r="AI365" s="421">
        <v>0</v>
      </c>
      <c r="AJ365" s="421">
        <v>0</v>
      </c>
      <c r="AK365" s="421">
        <v>0</v>
      </c>
      <c r="AL365" s="421">
        <v>0</v>
      </c>
      <c r="AM365" s="421">
        <v>0</v>
      </c>
      <c r="AN365" s="421">
        <v>0</v>
      </c>
      <c r="AO365" s="421">
        <f t="shared" si="731"/>
        <v>0</v>
      </c>
      <c r="AP365" s="421">
        <f t="shared" si="732"/>
        <v>0</v>
      </c>
      <c r="AQ365" s="421">
        <f t="shared" si="733"/>
        <v>0</v>
      </c>
      <c r="AR365" s="421">
        <f t="shared" si="803"/>
        <v>0</v>
      </c>
      <c r="AS365" s="421">
        <f t="shared" si="803"/>
        <v>0</v>
      </c>
      <c r="AT365" s="421">
        <f t="shared" si="735"/>
        <v>0</v>
      </c>
      <c r="AU365" s="68">
        <f t="shared" si="804"/>
        <v>0</v>
      </c>
      <c r="AV365" s="68">
        <f t="shared" si="805"/>
        <v>0</v>
      </c>
      <c r="AW365" s="421">
        <v>0</v>
      </c>
      <c r="AX365" s="421">
        <v>0</v>
      </c>
      <c r="AY365" s="421">
        <f t="shared" si="737"/>
        <v>0</v>
      </c>
      <c r="AZ365" s="421">
        <f t="shared" si="738"/>
        <v>0</v>
      </c>
      <c r="BA365" s="422">
        <v>0</v>
      </c>
      <c r="BB365" s="422">
        <v>0</v>
      </c>
      <c r="BC365" s="422">
        <v>0</v>
      </c>
      <c r="BD365" s="422">
        <v>0</v>
      </c>
      <c r="BE365" s="422">
        <v>0</v>
      </c>
      <c r="BF365" s="422">
        <v>0</v>
      </c>
      <c r="BG365" s="422">
        <v>0</v>
      </c>
      <c r="BH365" s="422">
        <v>0</v>
      </c>
      <c r="BI365" s="422">
        <v>0</v>
      </c>
      <c r="BJ365" s="422">
        <v>0</v>
      </c>
      <c r="BK365" s="422">
        <f t="shared" si="806"/>
        <v>0</v>
      </c>
      <c r="BL365" s="422">
        <f t="shared" si="807"/>
        <v>0</v>
      </c>
      <c r="BM365" s="424">
        <f t="shared" si="739"/>
        <v>0</v>
      </c>
      <c r="BN365" s="427">
        <f t="shared" si="808"/>
        <v>5796441</v>
      </c>
      <c r="BO365" s="421">
        <f t="shared" si="809"/>
        <v>4244958</v>
      </c>
      <c r="BP365" s="421">
        <f t="shared" si="810"/>
        <v>3726931</v>
      </c>
      <c r="BQ365" s="421">
        <f t="shared" si="810"/>
        <v>518027</v>
      </c>
      <c r="BR365" s="421">
        <f t="shared" si="811"/>
        <v>0</v>
      </c>
      <c r="BS365" s="421">
        <f t="shared" si="812"/>
        <v>0</v>
      </c>
      <c r="BT365" s="421">
        <f t="shared" si="812"/>
        <v>0</v>
      </c>
      <c r="BU365" s="421">
        <f t="shared" si="813"/>
        <v>1434796</v>
      </c>
      <c r="BV365" s="421">
        <f t="shared" si="813"/>
        <v>42450</v>
      </c>
      <c r="BW365" s="421">
        <f t="shared" si="814"/>
        <v>74237</v>
      </c>
      <c r="BX365" s="422">
        <f t="shared" si="815"/>
        <v>6.8632</v>
      </c>
      <c r="BY365" s="422">
        <f t="shared" si="816"/>
        <v>5.4545000000000003</v>
      </c>
      <c r="BZ365" s="611">
        <f t="shared" si="816"/>
        <v>1.4086999999999998</v>
      </c>
      <c r="CA365" s="423"/>
      <c r="CB365" s="418"/>
      <c r="CC365" s="418"/>
      <c r="CD365" s="418"/>
      <c r="CE365" s="418"/>
      <c r="CF365" s="527"/>
    </row>
    <row r="366" spans="1:84" ht="14.1" customHeight="1" x14ac:dyDescent="0.2">
      <c r="A366" s="66">
        <v>73</v>
      </c>
      <c r="B366" s="63">
        <v>2459</v>
      </c>
      <c r="C366" s="64">
        <v>650030583</v>
      </c>
      <c r="D366" s="63">
        <v>72744707</v>
      </c>
      <c r="E366" s="65" t="s">
        <v>680</v>
      </c>
      <c r="F366" s="66">
        <v>3117</v>
      </c>
      <c r="G366" s="77" t="s">
        <v>292</v>
      </c>
      <c r="H366" s="67" t="s">
        <v>272</v>
      </c>
      <c r="I366" s="423">
        <f t="shared" si="721"/>
        <v>0</v>
      </c>
      <c r="J366" s="418">
        <f t="shared" si="722"/>
        <v>0</v>
      </c>
      <c r="K366" s="418">
        <v>0</v>
      </c>
      <c r="L366" s="418">
        <v>0</v>
      </c>
      <c r="M366" s="418">
        <f t="shared" si="744"/>
        <v>0</v>
      </c>
      <c r="N366" s="418">
        <v>0</v>
      </c>
      <c r="O366" s="418">
        <v>0</v>
      </c>
      <c r="P366" s="668">
        <f t="shared" si="723"/>
        <v>0</v>
      </c>
      <c r="Q366" s="668">
        <f t="shared" si="724"/>
        <v>0</v>
      </c>
      <c r="R366" s="418">
        <v>0</v>
      </c>
      <c r="S366" s="419">
        <f t="shared" si="725"/>
        <v>0</v>
      </c>
      <c r="T366" s="420">
        <v>0</v>
      </c>
      <c r="U366" s="426">
        <v>0</v>
      </c>
      <c r="V366" s="428">
        <f t="shared" si="726"/>
        <v>0</v>
      </c>
      <c r="W366" s="421">
        <f t="shared" si="727"/>
        <v>0</v>
      </c>
      <c r="X366" s="16">
        <v>657220</v>
      </c>
      <c r="Y366" s="16">
        <v>0</v>
      </c>
      <c r="Z366" s="16">
        <v>0</v>
      </c>
      <c r="AA366" s="16">
        <v>0</v>
      </c>
      <c r="AB366" s="421">
        <v>0</v>
      </c>
      <c r="AC366" s="16">
        <v>0</v>
      </c>
      <c r="AD366" s="16">
        <v>0</v>
      </c>
      <c r="AE366" s="16">
        <v>0</v>
      </c>
      <c r="AF366" s="421">
        <f t="shared" si="728"/>
        <v>657220</v>
      </c>
      <c r="AG366" s="421">
        <f t="shared" si="729"/>
        <v>0</v>
      </c>
      <c r="AH366" s="421">
        <f t="shared" si="730"/>
        <v>657220</v>
      </c>
      <c r="AI366" s="16">
        <v>0</v>
      </c>
      <c r="AJ366" s="16">
        <v>0</v>
      </c>
      <c r="AK366" s="421">
        <v>0</v>
      </c>
      <c r="AL366" s="16">
        <v>0</v>
      </c>
      <c r="AM366" s="16">
        <v>0</v>
      </c>
      <c r="AN366" s="16">
        <v>0</v>
      </c>
      <c r="AO366" s="421">
        <f t="shared" si="731"/>
        <v>0</v>
      </c>
      <c r="AP366" s="16">
        <v>0</v>
      </c>
      <c r="AQ366" s="421">
        <f t="shared" si="733"/>
        <v>0</v>
      </c>
      <c r="AR366" s="421">
        <f t="shared" si="803"/>
        <v>657220</v>
      </c>
      <c r="AS366" s="421">
        <f t="shared" si="803"/>
        <v>0</v>
      </c>
      <c r="AT366" s="421">
        <f t="shared" si="735"/>
        <v>657220</v>
      </c>
      <c r="AU366" s="68">
        <f t="shared" si="804"/>
        <v>222140</v>
      </c>
      <c r="AV366" s="68">
        <f t="shared" si="805"/>
        <v>6572</v>
      </c>
      <c r="AW366" s="16">
        <v>0</v>
      </c>
      <c r="AX366" s="16">
        <v>0</v>
      </c>
      <c r="AY366" s="421">
        <f t="shared" si="737"/>
        <v>0</v>
      </c>
      <c r="AZ366" s="421">
        <f t="shared" si="738"/>
        <v>885932</v>
      </c>
      <c r="BA366" s="13">
        <v>0</v>
      </c>
      <c r="BB366" s="13">
        <v>0</v>
      </c>
      <c r="BC366" s="13">
        <v>1.7400000000000002</v>
      </c>
      <c r="BD366" s="422">
        <v>0</v>
      </c>
      <c r="BE366" s="422">
        <v>0</v>
      </c>
      <c r="BF366" s="422">
        <v>0</v>
      </c>
      <c r="BG366" s="422">
        <v>0</v>
      </c>
      <c r="BH366" s="422">
        <v>0</v>
      </c>
      <c r="BI366" s="422">
        <v>0</v>
      </c>
      <c r="BJ366" s="422">
        <v>0</v>
      </c>
      <c r="BK366" s="422">
        <f t="shared" si="806"/>
        <v>1.7400000000000002</v>
      </c>
      <c r="BL366" s="422">
        <f t="shared" si="807"/>
        <v>0</v>
      </c>
      <c r="BM366" s="424">
        <f t="shared" si="739"/>
        <v>1.7400000000000002</v>
      </c>
      <c r="BN366" s="427">
        <f t="shared" si="808"/>
        <v>885932</v>
      </c>
      <c r="BO366" s="421">
        <f t="shared" si="809"/>
        <v>657220</v>
      </c>
      <c r="BP366" s="421">
        <f t="shared" si="810"/>
        <v>657220</v>
      </c>
      <c r="BQ366" s="421">
        <f t="shared" si="810"/>
        <v>0</v>
      </c>
      <c r="BR366" s="421">
        <f t="shared" si="811"/>
        <v>0</v>
      </c>
      <c r="BS366" s="421">
        <f t="shared" si="812"/>
        <v>0</v>
      </c>
      <c r="BT366" s="421">
        <f t="shared" si="812"/>
        <v>0</v>
      </c>
      <c r="BU366" s="421">
        <f t="shared" si="813"/>
        <v>222140</v>
      </c>
      <c r="BV366" s="421">
        <f t="shared" si="813"/>
        <v>6572</v>
      </c>
      <c r="BW366" s="421">
        <f t="shared" si="814"/>
        <v>0</v>
      </c>
      <c r="BX366" s="422">
        <f t="shared" si="815"/>
        <v>1.7400000000000002</v>
      </c>
      <c r="BY366" s="422">
        <f t="shared" si="816"/>
        <v>1.7400000000000002</v>
      </c>
      <c r="BZ366" s="611">
        <f t="shared" si="816"/>
        <v>0</v>
      </c>
      <c r="CA366" s="423"/>
      <c r="CB366" s="418"/>
      <c r="CC366" s="418"/>
      <c r="CD366" s="418"/>
      <c r="CE366" s="418"/>
      <c r="CF366" s="527"/>
    </row>
    <row r="367" spans="1:84" ht="14.1" customHeight="1" x14ac:dyDescent="0.2">
      <c r="A367" s="66">
        <v>73</v>
      </c>
      <c r="B367" s="63">
        <v>2459</v>
      </c>
      <c r="C367" s="64">
        <v>650030583</v>
      </c>
      <c r="D367" s="63">
        <v>72744707</v>
      </c>
      <c r="E367" s="65" t="s">
        <v>680</v>
      </c>
      <c r="F367" s="66">
        <v>3141</v>
      </c>
      <c r="G367" s="65" t="s">
        <v>295</v>
      </c>
      <c r="H367" s="67" t="s">
        <v>272</v>
      </c>
      <c r="I367" s="423">
        <f t="shared" si="721"/>
        <v>755350</v>
      </c>
      <c r="J367" s="418">
        <f t="shared" si="722"/>
        <v>558012</v>
      </c>
      <c r="K367" s="418">
        <v>0</v>
      </c>
      <c r="L367" s="924">
        <v>558012</v>
      </c>
      <c r="M367" s="418">
        <f>N367+O367</f>
        <v>0</v>
      </c>
      <c r="N367" s="205">
        <v>0</v>
      </c>
      <c r="O367" s="205">
        <v>0</v>
      </c>
      <c r="P367" s="668">
        <f t="shared" si="723"/>
        <v>188608</v>
      </c>
      <c r="Q367" s="668">
        <f t="shared" si="724"/>
        <v>5580</v>
      </c>
      <c r="R367" s="674">
        <v>3150</v>
      </c>
      <c r="S367" s="419">
        <f>T367+U367</f>
        <v>1.6733</v>
      </c>
      <c r="T367" s="676">
        <v>0</v>
      </c>
      <c r="U367" s="909">
        <v>1.6733</v>
      </c>
      <c r="V367" s="428">
        <f t="shared" si="726"/>
        <v>0</v>
      </c>
      <c r="W367" s="421">
        <f t="shared" si="727"/>
        <v>0</v>
      </c>
      <c r="X367" s="421">
        <v>0</v>
      </c>
      <c r="Y367" s="421">
        <v>0</v>
      </c>
      <c r="Z367" s="421">
        <v>0</v>
      </c>
      <c r="AA367" s="421">
        <v>0</v>
      </c>
      <c r="AB367" s="421">
        <v>0</v>
      </c>
      <c r="AC367" s="421">
        <v>0</v>
      </c>
      <c r="AD367" s="421">
        <v>0</v>
      </c>
      <c r="AE367" s="421">
        <v>0</v>
      </c>
      <c r="AF367" s="421">
        <f t="shared" si="728"/>
        <v>0</v>
      </c>
      <c r="AG367" s="421">
        <f t="shared" si="729"/>
        <v>0</v>
      </c>
      <c r="AH367" s="421">
        <f t="shared" si="730"/>
        <v>0</v>
      </c>
      <c r="AI367" s="421">
        <v>0</v>
      </c>
      <c r="AJ367" s="421">
        <v>0</v>
      </c>
      <c r="AK367" s="421">
        <v>0</v>
      </c>
      <c r="AL367" s="421">
        <v>0</v>
      </c>
      <c r="AM367" s="421">
        <v>0</v>
      </c>
      <c r="AN367" s="421">
        <v>0</v>
      </c>
      <c r="AO367" s="421">
        <f t="shared" si="731"/>
        <v>0</v>
      </c>
      <c r="AP367" s="421">
        <f t="shared" si="732"/>
        <v>0</v>
      </c>
      <c r="AQ367" s="421">
        <f t="shared" si="733"/>
        <v>0</v>
      </c>
      <c r="AR367" s="421">
        <f t="shared" si="803"/>
        <v>0</v>
      </c>
      <c r="AS367" s="421">
        <f t="shared" si="803"/>
        <v>0</v>
      </c>
      <c r="AT367" s="421">
        <f t="shared" si="735"/>
        <v>0</v>
      </c>
      <c r="AU367" s="68">
        <f t="shared" si="804"/>
        <v>0</v>
      </c>
      <c r="AV367" s="68">
        <f t="shared" si="805"/>
        <v>0</v>
      </c>
      <c r="AW367" s="421">
        <v>0</v>
      </c>
      <c r="AX367" s="421">
        <v>0</v>
      </c>
      <c r="AY367" s="421">
        <f t="shared" si="737"/>
        <v>0</v>
      </c>
      <c r="AZ367" s="421">
        <f t="shared" si="738"/>
        <v>0</v>
      </c>
      <c r="BA367" s="422">
        <v>0</v>
      </c>
      <c r="BB367" s="422">
        <v>0</v>
      </c>
      <c r="BC367" s="422">
        <v>0</v>
      </c>
      <c r="BD367" s="422">
        <v>0</v>
      </c>
      <c r="BE367" s="422">
        <v>0</v>
      </c>
      <c r="BF367" s="422">
        <v>0</v>
      </c>
      <c r="BG367" s="422">
        <v>0</v>
      </c>
      <c r="BH367" s="422">
        <v>0</v>
      </c>
      <c r="BI367" s="422">
        <v>0</v>
      </c>
      <c r="BJ367" s="422">
        <v>0</v>
      </c>
      <c r="BK367" s="422">
        <f t="shared" si="806"/>
        <v>0</v>
      </c>
      <c r="BL367" s="422">
        <f t="shared" si="807"/>
        <v>0</v>
      </c>
      <c r="BM367" s="424">
        <f t="shared" si="739"/>
        <v>0</v>
      </c>
      <c r="BN367" s="427">
        <f t="shared" si="808"/>
        <v>755350</v>
      </c>
      <c r="BO367" s="421">
        <f t="shared" si="809"/>
        <v>558012</v>
      </c>
      <c r="BP367" s="421">
        <f t="shared" si="810"/>
        <v>0</v>
      </c>
      <c r="BQ367" s="421">
        <f t="shared" si="810"/>
        <v>558012</v>
      </c>
      <c r="BR367" s="421">
        <f t="shared" si="811"/>
        <v>0</v>
      </c>
      <c r="BS367" s="421">
        <f t="shared" si="812"/>
        <v>0</v>
      </c>
      <c r="BT367" s="421">
        <f t="shared" si="812"/>
        <v>0</v>
      </c>
      <c r="BU367" s="421">
        <f t="shared" si="813"/>
        <v>188608</v>
      </c>
      <c r="BV367" s="421">
        <f t="shared" si="813"/>
        <v>5580</v>
      </c>
      <c r="BW367" s="421">
        <f t="shared" si="814"/>
        <v>3150</v>
      </c>
      <c r="BX367" s="422">
        <f t="shared" si="815"/>
        <v>1.6733</v>
      </c>
      <c r="BY367" s="422">
        <f t="shared" si="816"/>
        <v>0</v>
      </c>
      <c r="BZ367" s="611">
        <f t="shared" si="816"/>
        <v>1.6733</v>
      </c>
      <c r="CA367" s="423"/>
      <c r="CB367" s="418"/>
      <c r="CC367" s="418"/>
      <c r="CD367" s="418"/>
      <c r="CE367" s="418"/>
      <c r="CF367" s="527"/>
    </row>
    <row r="368" spans="1:84" ht="14.1" customHeight="1" x14ac:dyDescent="0.2">
      <c r="A368" s="66">
        <v>73</v>
      </c>
      <c r="B368" s="63">
        <v>2459</v>
      </c>
      <c r="C368" s="64">
        <v>650030583</v>
      </c>
      <c r="D368" s="63">
        <v>72744707</v>
      </c>
      <c r="E368" s="65" t="s">
        <v>680</v>
      </c>
      <c r="F368" s="66">
        <v>3143</v>
      </c>
      <c r="G368" s="77" t="s">
        <v>596</v>
      </c>
      <c r="H368" s="67" t="s">
        <v>271</v>
      </c>
      <c r="I368" s="423">
        <f t="shared" si="721"/>
        <v>441130</v>
      </c>
      <c r="J368" s="418">
        <f t="shared" si="722"/>
        <v>327248</v>
      </c>
      <c r="K368" s="418">
        <v>327248</v>
      </c>
      <c r="L368" s="418">
        <v>0</v>
      </c>
      <c r="M368" s="418">
        <f t="shared" si="744"/>
        <v>0</v>
      </c>
      <c r="N368" s="418">
        <v>0</v>
      </c>
      <c r="O368" s="418">
        <v>0</v>
      </c>
      <c r="P368" s="668">
        <f t="shared" si="723"/>
        <v>110610</v>
      </c>
      <c r="Q368" s="668">
        <f t="shared" si="724"/>
        <v>3272</v>
      </c>
      <c r="R368" s="418">
        <v>0</v>
      </c>
      <c r="S368" s="419">
        <f t="shared" si="725"/>
        <v>0.66</v>
      </c>
      <c r="T368" s="419">
        <v>0.66</v>
      </c>
      <c r="U368" s="426">
        <v>0</v>
      </c>
      <c r="V368" s="428">
        <f t="shared" si="726"/>
        <v>0</v>
      </c>
      <c r="W368" s="421">
        <f t="shared" si="727"/>
        <v>0</v>
      </c>
      <c r="X368" s="421">
        <v>0</v>
      </c>
      <c r="Y368" s="421">
        <v>0</v>
      </c>
      <c r="Z368" s="421">
        <v>0</v>
      </c>
      <c r="AA368" s="421">
        <v>0</v>
      </c>
      <c r="AB368" s="421">
        <v>0</v>
      </c>
      <c r="AC368" s="421">
        <v>0</v>
      </c>
      <c r="AD368" s="421">
        <v>0</v>
      </c>
      <c r="AE368" s="421">
        <v>0</v>
      </c>
      <c r="AF368" s="421">
        <f t="shared" si="728"/>
        <v>0</v>
      </c>
      <c r="AG368" s="421">
        <f t="shared" si="729"/>
        <v>0</v>
      </c>
      <c r="AH368" s="421">
        <f t="shared" si="730"/>
        <v>0</v>
      </c>
      <c r="AI368" s="421">
        <v>0</v>
      </c>
      <c r="AJ368" s="421">
        <v>0</v>
      </c>
      <c r="AK368" s="421">
        <v>0</v>
      </c>
      <c r="AL368" s="421">
        <v>0</v>
      </c>
      <c r="AM368" s="421">
        <v>0</v>
      </c>
      <c r="AN368" s="421">
        <v>0</v>
      </c>
      <c r="AO368" s="421">
        <f t="shared" si="731"/>
        <v>0</v>
      </c>
      <c r="AP368" s="421">
        <f t="shared" si="732"/>
        <v>0</v>
      </c>
      <c r="AQ368" s="421">
        <f t="shared" si="733"/>
        <v>0</v>
      </c>
      <c r="AR368" s="421">
        <f t="shared" si="803"/>
        <v>0</v>
      </c>
      <c r="AS368" s="421">
        <f t="shared" si="803"/>
        <v>0</v>
      </c>
      <c r="AT368" s="421">
        <f t="shared" si="735"/>
        <v>0</v>
      </c>
      <c r="AU368" s="68">
        <f t="shared" si="804"/>
        <v>0</v>
      </c>
      <c r="AV368" s="68">
        <f t="shared" si="805"/>
        <v>0</v>
      </c>
      <c r="AW368" s="421">
        <v>0</v>
      </c>
      <c r="AX368" s="421">
        <v>0</v>
      </c>
      <c r="AY368" s="421">
        <f t="shared" si="737"/>
        <v>0</v>
      </c>
      <c r="AZ368" s="421">
        <f t="shared" si="738"/>
        <v>0</v>
      </c>
      <c r="BA368" s="422">
        <v>0</v>
      </c>
      <c r="BB368" s="422">
        <v>0</v>
      </c>
      <c r="BC368" s="422">
        <v>0</v>
      </c>
      <c r="BD368" s="422">
        <v>0</v>
      </c>
      <c r="BE368" s="422">
        <v>0</v>
      </c>
      <c r="BF368" s="422">
        <v>0</v>
      </c>
      <c r="BG368" s="422">
        <v>0</v>
      </c>
      <c r="BH368" s="422">
        <v>0</v>
      </c>
      <c r="BI368" s="422">
        <v>0</v>
      </c>
      <c r="BJ368" s="422">
        <v>0</v>
      </c>
      <c r="BK368" s="422">
        <f t="shared" si="806"/>
        <v>0</v>
      </c>
      <c r="BL368" s="422">
        <f t="shared" si="807"/>
        <v>0</v>
      </c>
      <c r="BM368" s="424">
        <f t="shared" si="739"/>
        <v>0</v>
      </c>
      <c r="BN368" s="427">
        <f t="shared" si="808"/>
        <v>441130</v>
      </c>
      <c r="BO368" s="421">
        <f t="shared" si="809"/>
        <v>327248</v>
      </c>
      <c r="BP368" s="421">
        <f t="shared" si="810"/>
        <v>327248</v>
      </c>
      <c r="BQ368" s="421">
        <f t="shared" si="810"/>
        <v>0</v>
      </c>
      <c r="BR368" s="421">
        <f t="shared" si="811"/>
        <v>0</v>
      </c>
      <c r="BS368" s="421">
        <f t="shared" si="812"/>
        <v>0</v>
      </c>
      <c r="BT368" s="421">
        <f t="shared" si="812"/>
        <v>0</v>
      </c>
      <c r="BU368" s="421">
        <f t="shared" si="813"/>
        <v>110610</v>
      </c>
      <c r="BV368" s="421">
        <f t="shared" si="813"/>
        <v>3272</v>
      </c>
      <c r="BW368" s="421">
        <f t="shared" si="814"/>
        <v>0</v>
      </c>
      <c r="BX368" s="422">
        <f t="shared" si="815"/>
        <v>0.66</v>
      </c>
      <c r="BY368" s="422">
        <f t="shared" si="816"/>
        <v>0.66</v>
      </c>
      <c r="BZ368" s="611">
        <f t="shared" si="816"/>
        <v>0</v>
      </c>
      <c r="CA368" s="423"/>
      <c r="CB368" s="418"/>
      <c r="CC368" s="418"/>
      <c r="CD368" s="418"/>
      <c r="CE368" s="418"/>
      <c r="CF368" s="527"/>
    </row>
    <row r="369" spans="1:84" ht="14.1" customHeight="1" x14ac:dyDescent="0.2">
      <c r="A369" s="66">
        <v>73</v>
      </c>
      <c r="B369" s="63">
        <v>2459</v>
      </c>
      <c r="C369" s="64">
        <v>650030583</v>
      </c>
      <c r="D369" s="63">
        <v>72744707</v>
      </c>
      <c r="E369" s="65" t="s">
        <v>680</v>
      </c>
      <c r="F369" s="66">
        <v>3143</v>
      </c>
      <c r="G369" s="77" t="s">
        <v>597</v>
      </c>
      <c r="H369" s="67" t="s">
        <v>272</v>
      </c>
      <c r="I369" s="423">
        <f t="shared" si="721"/>
        <v>13831</v>
      </c>
      <c r="J369" s="418">
        <f t="shared" si="722"/>
        <v>9900</v>
      </c>
      <c r="K369" s="418">
        <v>0</v>
      </c>
      <c r="L369" s="674">
        <v>9900</v>
      </c>
      <c r="M369" s="418">
        <f t="shared" si="744"/>
        <v>0</v>
      </c>
      <c r="N369" s="418">
        <v>0</v>
      </c>
      <c r="O369" s="418">
        <v>0</v>
      </c>
      <c r="P369" s="668">
        <f t="shared" si="723"/>
        <v>3346</v>
      </c>
      <c r="Q369" s="668">
        <f t="shared" si="724"/>
        <v>99</v>
      </c>
      <c r="R369" s="675">
        <v>486</v>
      </c>
      <c r="S369" s="419">
        <f t="shared" si="725"/>
        <v>3.7499999999999999E-2</v>
      </c>
      <c r="T369" s="679">
        <v>0</v>
      </c>
      <c r="U369" s="909">
        <v>3.7499999999999999E-2</v>
      </c>
      <c r="V369" s="428">
        <f t="shared" si="726"/>
        <v>0</v>
      </c>
      <c r="W369" s="421">
        <f t="shared" si="727"/>
        <v>0</v>
      </c>
      <c r="X369" s="421">
        <v>0</v>
      </c>
      <c r="Y369" s="421">
        <v>0</v>
      </c>
      <c r="Z369" s="421">
        <v>0</v>
      </c>
      <c r="AA369" s="421">
        <v>0</v>
      </c>
      <c r="AB369" s="421">
        <v>0</v>
      </c>
      <c r="AC369" s="421">
        <v>0</v>
      </c>
      <c r="AD369" s="421">
        <v>0</v>
      </c>
      <c r="AE369" s="421">
        <v>0</v>
      </c>
      <c r="AF369" s="421">
        <f t="shared" si="728"/>
        <v>0</v>
      </c>
      <c r="AG369" s="421">
        <f t="shared" si="729"/>
        <v>0</v>
      </c>
      <c r="AH369" s="421">
        <f t="shared" si="730"/>
        <v>0</v>
      </c>
      <c r="AI369" s="421">
        <v>0</v>
      </c>
      <c r="AJ369" s="421">
        <v>0</v>
      </c>
      <c r="AK369" s="421">
        <v>0</v>
      </c>
      <c r="AL369" s="421">
        <v>0</v>
      </c>
      <c r="AM369" s="421">
        <v>0</v>
      </c>
      <c r="AN369" s="421">
        <v>0</v>
      </c>
      <c r="AO369" s="421">
        <f t="shared" si="731"/>
        <v>0</v>
      </c>
      <c r="AP369" s="421">
        <f t="shared" si="732"/>
        <v>0</v>
      </c>
      <c r="AQ369" s="421">
        <f t="shared" si="733"/>
        <v>0</v>
      </c>
      <c r="AR369" s="421">
        <f t="shared" si="803"/>
        <v>0</v>
      </c>
      <c r="AS369" s="421">
        <f t="shared" si="803"/>
        <v>0</v>
      </c>
      <c r="AT369" s="421">
        <f t="shared" si="735"/>
        <v>0</v>
      </c>
      <c r="AU369" s="68">
        <f t="shared" si="804"/>
        <v>0</v>
      </c>
      <c r="AV369" s="68">
        <f t="shared" si="805"/>
        <v>0</v>
      </c>
      <c r="AW369" s="421">
        <v>0</v>
      </c>
      <c r="AX369" s="421">
        <v>0</v>
      </c>
      <c r="AY369" s="421">
        <f t="shared" si="737"/>
        <v>0</v>
      </c>
      <c r="AZ369" s="421">
        <f t="shared" si="738"/>
        <v>0</v>
      </c>
      <c r="BA369" s="422">
        <v>0</v>
      </c>
      <c r="BB369" s="422">
        <v>0</v>
      </c>
      <c r="BC369" s="422">
        <v>0</v>
      </c>
      <c r="BD369" s="422">
        <v>0</v>
      </c>
      <c r="BE369" s="422">
        <v>0</v>
      </c>
      <c r="BF369" s="422">
        <v>0</v>
      </c>
      <c r="BG369" s="422">
        <v>0</v>
      </c>
      <c r="BH369" s="422">
        <v>0</v>
      </c>
      <c r="BI369" s="422">
        <v>0</v>
      </c>
      <c r="BJ369" s="422">
        <v>0</v>
      </c>
      <c r="BK369" s="422">
        <f t="shared" si="806"/>
        <v>0</v>
      </c>
      <c r="BL369" s="422">
        <f t="shared" si="807"/>
        <v>0</v>
      </c>
      <c r="BM369" s="424">
        <f t="shared" si="739"/>
        <v>0</v>
      </c>
      <c r="BN369" s="427">
        <f t="shared" si="808"/>
        <v>13831</v>
      </c>
      <c r="BO369" s="421">
        <f t="shared" si="809"/>
        <v>9900</v>
      </c>
      <c r="BP369" s="421">
        <f t="shared" si="810"/>
        <v>0</v>
      </c>
      <c r="BQ369" s="421">
        <f t="shared" si="810"/>
        <v>9900</v>
      </c>
      <c r="BR369" s="421">
        <f t="shared" si="811"/>
        <v>0</v>
      </c>
      <c r="BS369" s="421">
        <f t="shared" si="812"/>
        <v>0</v>
      </c>
      <c r="BT369" s="421">
        <f t="shared" si="812"/>
        <v>0</v>
      </c>
      <c r="BU369" s="421">
        <f t="shared" si="813"/>
        <v>3346</v>
      </c>
      <c r="BV369" s="421">
        <f t="shared" si="813"/>
        <v>99</v>
      </c>
      <c r="BW369" s="421">
        <f t="shared" si="814"/>
        <v>486</v>
      </c>
      <c r="BX369" s="422">
        <f t="shared" si="815"/>
        <v>3.7499999999999999E-2</v>
      </c>
      <c r="BY369" s="422">
        <f t="shared" si="816"/>
        <v>0</v>
      </c>
      <c r="BZ369" s="611">
        <f t="shared" si="816"/>
        <v>3.7499999999999999E-2</v>
      </c>
      <c r="CA369" s="423"/>
      <c r="CB369" s="418"/>
      <c r="CC369" s="418"/>
      <c r="CD369" s="418"/>
      <c r="CE369" s="418"/>
      <c r="CF369" s="527"/>
    </row>
    <row r="370" spans="1:84" ht="14.1" customHeight="1" x14ac:dyDescent="0.2">
      <c r="A370" s="72">
        <v>73</v>
      </c>
      <c r="B370" s="69">
        <v>2459</v>
      </c>
      <c r="C370" s="70">
        <v>650030583</v>
      </c>
      <c r="D370" s="69">
        <v>72744707</v>
      </c>
      <c r="E370" s="71" t="s">
        <v>681</v>
      </c>
      <c r="F370" s="72"/>
      <c r="G370" s="71"/>
      <c r="H370" s="73"/>
      <c r="I370" s="538">
        <f t="shared" ref="I370:BU370" si="817">SUM(I364:I369)</f>
        <v>10353354</v>
      </c>
      <c r="J370" s="74">
        <f t="shared" si="817"/>
        <v>7614640</v>
      </c>
      <c r="K370" s="74">
        <f t="shared" si="817"/>
        <v>6408893</v>
      </c>
      <c r="L370" s="74">
        <f t="shared" si="817"/>
        <v>1205747</v>
      </c>
      <c r="M370" s="74">
        <f t="shared" si="817"/>
        <v>0</v>
      </c>
      <c r="N370" s="74">
        <f t="shared" si="817"/>
        <v>0</v>
      </c>
      <c r="O370" s="74">
        <f t="shared" si="817"/>
        <v>0</v>
      </c>
      <c r="P370" s="74">
        <f t="shared" si="817"/>
        <v>2573748</v>
      </c>
      <c r="Q370" s="74">
        <f t="shared" si="817"/>
        <v>76146</v>
      </c>
      <c r="R370" s="74">
        <f t="shared" si="817"/>
        <v>88820</v>
      </c>
      <c r="S370" s="75">
        <f t="shared" si="817"/>
        <v>13.713999999999999</v>
      </c>
      <c r="T370" s="75">
        <f t="shared" si="817"/>
        <v>10.1145</v>
      </c>
      <c r="U370" s="753">
        <f t="shared" si="817"/>
        <v>3.5994999999999999</v>
      </c>
      <c r="V370" s="538">
        <f t="shared" si="817"/>
        <v>0</v>
      </c>
      <c r="W370" s="74">
        <f t="shared" si="817"/>
        <v>0</v>
      </c>
      <c r="X370" s="74">
        <f t="shared" si="817"/>
        <v>657220</v>
      </c>
      <c r="Y370" s="74">
        <f t="shared" si="817"/>
        <v>0</v>
      </c>
      <c r="Z370" s="74">
        <f t="shared" si="817"/>
        <v>0</v>
      </c>
      <c r="AA370" s="74">
        <f t="shared" si="817"/>
        <v>0</v>
      </c>
      <c r="AB370" s="74">
        <f t="shared" si="817"/>
        <v>0</v>
      </c>
      <c r="AC370" s="74">
        <f t="shared" si="817"/>
        <v>0</v>
      </c>
      <c r="AD370" s="74">
        <f t="shared" si="817"/>
        <v>0</v>
      </c>
      <c r="AE370" s="74">
        <f t="shared" si="817"/>
        <v>0</v>
      </c>
      <c r="AF370" s="74">
        <f t="shared" si="817"/>
        <v>657220</v>
      </c>
      <c r="AG370" s="74">
        <f t="shared" si="817"/>
        <v>0</v>
      </c>
      <c r="AH370" s="74">
        <f t="shared" si="817"/>
        <v>657220</v>
      </c>
      <c r="AI370" s="74">
        <f t="shared" si="817"/>
        <v>0</v>
      </c>
      <c r="AJ370" s="74">
        <f t="shared" si="817"/>
        <v>0</v>
      </c>
      <c r="AK370" s="74">
        <f t="shared" si="817"/>
        <v>0</v>
      </c>
      <c r="AL370" s="74">
        <f t="shared" si="817"/>
        <v>0</v>
      </c>
      <c r="AM370" s="74">
        <f t="shared" si="817"/>
        <v>0</v>
      </c>
      <c r="AN370" s="74">
        <f t="shared" si="817"/>
        <v>0</v>
      </c>
      <c r="AO370" s="74">
        <f t="shared" si="817"/>
        <v>0</v>
      </c>
      <c r="AP370" s="74">
        <f t="shared" si="817"/>
        <v>0</v>
      </c>
      <c r="AQ370" s="74">
        <f t="shared" si="817"/>
        <v>0</v>
      </c>
      <c r="AR370" s="74">
        <f t="shared" si="817"/>
        <v>657220</v>
      </c>
      <c r="AS370" s="74">
        <f t="shared" si="817"/>
        <v>0</v>
      </c>
      <c r="AT370" s="74">
        <f t="shared" si="817"/>
        <v>657220</v>
      </c>
      <c r="AU370" s="74">
        <f t="shared" si="817"/>
        <v>222140</v>
      </c>
      <c r="AV370" s="74">
        <f t="shared" si="817"/>
        <v>6572</v>
      </c>
      <c r="AW370" s="74">
        <f t="shared" si="817"/>
        <v>0</v>
      </c>
      <c r="AX370" s="74">
        <f t="shared" si="817"/>
        <v>0</v>
      </c>
      <c r="AY370" s="74">
        <f t="shared" si="817"/>
        <v>0</v>
      </c>
      <c r="AZ370" s="74">
        <f t="shared" si="817"/>
        <v>885932</v>
      </c>
      <c r="BA370" s="75">
        <f t="shared" si="817"/>
        <v>0</v>
      </c>
      <c r="BB370" s="75">
        <f t="shared" si="817"/>
        <v>0</v>
      </c>
      <c r="BC370" s="75">
        <f t="shared" si="817"/>
        <v>1.7400000000000002</v>
      </c>
      <c r="BD370" s="75">
        <f t="shared" si="817"/>
        <v>0</v>
      </c>
      <c r="BE370" s="75">
        <f t="shared" si="817"/>
        <v>0</v>
      </c>
      <c r="BF370" s="75">
        <f t="shared" si="817"/>
        <v>0</v>
      </c>
      <c r="BG370" s="75">
        <f t="shared" si="817"/>
        <v>0</v>
      </c>
      <c r="BH370" s="75">
        <f t="shared" si="817"/>
        <v>0</v>
      </c>
      <c r="BI370" s="75">
        <f t="shared" si="817"/>
        <v>0</v>
      </c>
      <c r="BJ370" s="75">
        <f t="shared" si="817"/>
        <v>0</v>
      </c>
      <c r="BK370" s="75">
        <f t="shared" si="817"/>
        <v>1.7400000000000002</v>
      </c>
      <c r="BL370" s="75">
        <f t="shared" si="817"/>
        <v>0</v>
      </c>
      <c r="BM370" s="76">
        <f t="shared" si="817"/>
        <v>1.7400000000000002</v>
      </c>
      <c r="BN370" s="549">
        <f t="shared" si="817"/>
        <v>11239286</v>
      </c>
      <c r="BO370" s="74">
        <f t="shared" si="817"/>
        <v>8271860</v>
      </c>
      <c r="BP370" s="74">
        <f t="shared" si="817"/>
        <v>7066113</v>
      </c>
      <c r="BQ370" s="74">
        <f t="shared" si="817"/>
        <v>1205747</v>
      </c>
      <c r="BR370" s="74">
        <f t="shared" si="817"/>
        <v>0</v>
      </c>
      <c r="BS370" s="74">
        <f t="shared" si="817"/>
        <v>0</v>
      </c>
      <c r="BT370" s="74">
        <f t="shared" si="817"/>
        <v>0</v>
      </c>
      <c r="BU370" s="74">
        <f t="shared" si="817"/>
        <v>2795888</v>
      </c>
      <c r="BV370" s="74">
        <f t="shared" ref="BV370:CF370" si="818">SUM(BV364:BV369)</f>
        <v>82718</v>
      </c>
      <c r="BW370" s="74">
        <f t="shared" si="818"/>
        <v>88820</v>
      </c>
      <c r="BX370" s="75">
        <f t="shared" si="818"/>
        <v>15.453999999999999</v>
      </c>
      <c r="BY370" s="75">
        <f t="shared" si="818"/>
        <v>11.8545</v>
      </c>
      <c r="BZ370" s="753">
        <f t="shared" si="818"/>
        <v>3.5994999999999999</v>
      </c>
      <c r="CA370" s="796">
        <f t="shared" si="818"/>
        <v>0</v>
      </c>
      <c r="CB370" s="789">
        <f t="shared" si="818"/>
        <v>0</v>
      </c>
      <c r="CC370" s="789">
        <f t="shared" si="818"/>
        <v>0</v>
      </c>
      <c r="CD370" s="789">
        <f t="shared" si="818"/>
        <v>0</v>
      </c>
      <c r="CE370" s="789">
        <f t="shared" si="818"/>
        <v>0</v>
      </c>
      <c r="CF370" s="793">
        <f t="shared" si="818"/>
        <v>0</v>
      </c>
    </row>
    <row r="371" spans="1:84" ht="14.1" customHeight="1" x14ac:dyDescent="0.2">
      <c r="A371" s="66">
        <v>74</v>
      </c>
      <c r="B371" s="63">
        <v>2405</v>
      </c>
      <c r="C371" s="64">
        <v>600079023</v>
      </c>
      <c r="D371" s="63">
        <v>72741881</v>
      </c>
      <c r="E371" s="65" t="s">
        <v>682</v>
      </c>
      <c r="F371" s="66">
        <v>3111</v>
      </c>
      <c r="G371" s="65" t="s">
        <v>291</v>
      </c>
      <c r="H371" s="67" t="s">
        <v>271</v>
      </c>
      <c r="I371" s="423">
        <f t="shared" si="721"/>
        <v>14463328</v>
      </c>
      <c r="J371" s="418">
        <f t="shared" si="722"/>
        <v>10694168</v>
      </c>
      <c r="K371" s="418">
        <v>9719965</v>
      </c>
      <c r="L371" s="418">
        <v>974203</v>
      </c>
      <c r="M371" s="418">
        <f>N371+O371</f>
        <v>0</v>
      </c>
      <c r="N371" s="418">
        <v>0</v>
      </c>
      <c r="O371" s="418">
        <v>0</v>
      </c>
      <c r="P371" s="668">
        <f t="shared" si="723"/>
        <v>3614629</v>
      </c>
      <c r="Q371" s="668">
        <f t="shared" si="724"/>
        <v>106942</v>
      </c>
      <c r="R371" s="418">
        <v>47589</v>
      </c>
      <c r="S371" s="419">
        <f t="shared" si="725"/>
        <v>20.069800000000001</v>
      </c>
      <c r="T371" s="419">
        <v>16.709700000000002</v>
      </c>
      <c r="U371" s="426">
        <v>3.3600999999999996</v>
      </c>
      <c r="V371" s="428">
        <f t="shared" si="726"/>
        <v>0</v>
      </c>
      <c r="W371" s="421">
        <f t="shared" si="727"/>
        <v>0</v>
      </c>
      <c r="X371" s="421">
        <v>0</v>
      </c>
      <c r="Y371" s="421">
        <v>0</v>
      </c>
      <c r="Z371" s="421">
        <v>0</v>
      </c>
      <c r="AA371" s="421">
        <v>0</v>
      </c>
      <c r="AB371" s="421">
        <v>0</v>
      </c>
      <c r="AC371" s="421">
        <v>0</v>
      </c>
      <c r="AD371" s="421">
        <v>0</v>
      </c>
      <c r="AE371" s="421">
        <v>0</v>
      </c>
      <c r="AF371" s="421">
        <f t="shared" si="728"/>
        <v>0</v>
      </c>
      <c r="AG371" s="421">
        <f t="shared" si="729"/>
        <v>0</v>
      </c>
      <c r="AH371" s="421">
        <f t="shared" si="730"/>
        <v>0</v>
      </c>
      <c r="AI371" s="421">
        <v>0</v>
      </c>
      <c r="AJ371" s="421">
        <v>0</v>
      </c>
      <c r="AK371" s="421">
        <v>0</v>
      </c>
      <c r="AL371" s="421">
        <v>0</v>
      </c>
      <c r="AM371" s="421">
        <v>0</v>
      </c>
      <c r="AN371" s="421">
        <v>0</v>
      </c>
      <c r="AO371" s="421">
        <f t="shared" si="731"/>
        <v>0</v>
      </c>
      <c r="AP371" s="421">
        <f t="shared" si="732"/>
        <v>0</v>
      </c>
      <c r="AQ371" s="421">
        <f t="shared" si="733"/>
        <v>0</v>
      </c>
      <c r="AR371" s="421">
        <f t="shared" ref="AR371:AS373" si="819">AF371+AO371</f>
        <v>0</v>
      </c>
      <c r="AS371" s="421">
        <f t="shared" si="819"/>
        <v>0</v>
      </c>
      <c r="AT371" s="421">
        <f t="shared" si="735"/>
        <v>0</v>
      </c>
      <c r="AU371" s="68">
        <f t="shared" ref="AU371:AU373" si="820">ROUND((AH371+AI371+AJ371+AK371+AL371)*33.8%,0)</f>
        <v>0</v>
      </c>
      <c r="AV371" s="68">
        <f>ROUND(AH371*1%,0)</f>
        <v>0</v>
      </c>
      <c r="AW371" s="421">
        <v>0</v>
      </c>
      <c r="AX371" s="421">
        <v>0</v>
      </c>
      <c r="AY371" s="421">
        <f t="shared" si="737"/>
        <v>0</v>
      </c>
      <c r="AZ371" s="421">
        <f t="shared" si="738"/>
        <v>0</v>
      </c>
      <c r="BA371" s="422">
        <v>0</v>
      </c>
      <c r="BB371" s="422">
        <v>0</v>
      </c>
      <c r="BC371" s="422">
        <v>0</v>
      </c>
      <c r="BD371" s="422">
        <v>0</v>
      </c>
      <c r="BE371" s="422">
        <v>0</v>
      </c>
      <c r="BF371" s="422">
        <v>0</v>
      </c>
      <c r="BG371" s="422">
        <v>0</v>
      </c>
      <c r="BH371" s="422">
        <v>0</v>
      </c>
      <c r="BI371" s="422">
        <v>0</v>
      </c>
      <c r="BJ371" s="422">
        <v>0</v>
      </c>
      <c r="BK371" s="422">
        <f>BA371+BC371+BD371+BF371+BH371+BI371</f>
        <v>0</v>
      </c>
      <c r="BL371" s="422">
        <f>BB371+BE371+BG371+BJ371</f>
        <v>0</v>
      </c>
      <c r="BM371" s="424">
        <f t="shared" si="739"/>
        <v>0</v>
      </c>
      <c r="BN371" s="427">
        <f>I371+AZ371</f>
        <v>14463328</v>
      </c>
      <c r="BO371" s="421">
        <f>J371+AH371</f>
        <v>10694168</v>
      </c>
      <c r="BP371" s="421">
        <f t="shared" ref="BP371:BQ373" si="821">K371+AF371</f>
        <v>9719965</v>
      </c>
      <c r="BQ371" s="421">
        <f t="shared" si="821"/>
        <v>974203</v>
      </c>
      <c r="BR371" s="421">
        <f>M371+AQ371</f>
        <v>0</v>
      </c>
      <c r="BS371" s="421">
        <f t="shared" ref="BS371:BT373" si="822">N371+AO371</f>
        <v>0</v>
      </c>
      <c r="BT371" s="421">
        <f t="shared" si="822"/>
        <v>0</v>
      </c>
      <c r="BU371" s="421">
        <f t="shared" ref="BU371:BV373" si="823">P371+AU371</f>
        <v>3614629</v>
      </c>
      <c r="BV371" s="421">
        <f t="shared" si="823"/>
        <v>106942</v>
      </c>
      <c r="BW371" s="421">
        <f>R371+AY371</f>
        <v>47589</v>
      </c>
      <c r="BX371" s="422">
        <f>S371+BM371</f>
        <v>20.069800000000001</v>
      </c>
      <c r="BY371" s="422">
        <f t="shared" ref="BY371:BZ373" si="824">T371+BK371</f>
        <v>16.709700000000002</v>
      </c>
      <c r="BZ371" s="611">
        <f t="shared" si="824"/>
        <v>3.3600999999999996</v>
      </c>
      <c r="CA371" s="423"/>
      <c r="CB371" s="418"/>
      <c r="CC371" s="418"/>
      <c r="CD371" s="418"/>
      <c r="CE371" s="418"/>
      <c r="CF371" s="527"/>
    </row>
    <row r="372" spans="1:84" ht="14.1" customHeight="1" x14ac:dyDescent="0.2">
      <c r="A372" s="66">
        <v>74</v>
      </c>
      <c r="B372" s="63">
        <v>2405</v>
      </c>
      <c r="C372" s="64">
        <v>600079023</v>
      </c>
      <c r="D372" s="63">
        <v>72741881</v>
      </c>
      <c r="E372" s="65" t="s">
        <v>682</v>
      </c>
      <c r="F372" s="66">
        <v>3111</v>
      </c>
      <c r="G372" s="77" t="s">
        <v>292</v>
      </c>
      <c r="H372" s="67" t="s">
        <v>272</v>
      </c>
      <c r="I372" s="423">
        <f t="shared" si="721"/>
        <v>0</v>
      </c>
      <c r="J372" s="418">
        <f t="shared" si="722"/>
        <v>0</v>
      </c>
      <c r="K372" s="418">
        <v>0</v>
      </c>
      <c r="L372" s="418">
        <v>0</v>
      </c>
      <c r="M372" s="418">
        <f t="shared" si="744"/>
        <v>0</v>
      </c>
      <c r="N372" s="418">
        <v>0</v>
      </c>
      <c r="O372" s="418">
        <v>0</v>
      </c>
      <c r="P372" s="668">
        <f t="shared" si="723"/>
        <v>0</v>
      </c>
      <c r="Q372" s="668">
        <f t="shared" si="724"/>
        <v>0</v>
      </c>
      <c r="R372" s="418">
        <v>0</v>
      </c>
      <c r="S372" s="419">
        <f t="shared" si="725"/>
        <v>0</v>
      </c>
      <c r="T372" s="420">
        <v>0</v>
      </c>
      <c r="U372" s="426">
        <v>0</v>
      </c>
      <c r="V372" s="428">
        <f t="shared" si="726"/>
        <v>0</v>
      </c>
      <c r="W372" s="421">
        <f t="shared" si="727"/>
        <v>0</v>
      </c>
      <c r="X372" s="16">
        <v>217163</v>
      </c>
      <c r="Y372" s="16">
        <v>0</v>
      </c>
      <c r="Z372" s="16">
        <v>0</v>
      </c>
      <c r="AA372" s="16">
        <v>0</v>
      </c>
      <c r="AB372" s="421">
        <v>0</v>
      </c>
      <c r="AC372" s="16">
        <v>0</v>
      </c>
      <c r="AD372" s="16">
        <v>0</v>
      </c>
      <c r="AE372" s="16">
        <v>0</v>
      </c>
      <c r="AF372" s="421">
        <f t="shared" si="728"/>
        <v>217163</v>
      </c>
      <c r="AG372" s="421">
        <f t="shared" si="729"/>
        <v>0</v>
      </c>
      <c r="AH372" s="421">
        <f t="shared" si="730"/>
        <v>217163</v>
      </c>
      <c r="AI372" s="16">
        <v>0</v>
      </c>
      <c r="AJ372" s="16">
        <v>0</v>
      </c>
      <c r="AK372" s="421">
        <v>0</v>
      </c>
      <c r="AL372" s="16">
        <v>0</v>
      </c>
      <c r="AM372" s="16">
        <v>0</v>
      </c>
      <c r="AN372" s="16">
        <v>0</v>
      </c>
      <c r="AO372" s="421">
        <f t="shared" si="731"/>
        <v>0</v>
      </c>
      <c r="AP372" s="16">
        <v>0</v>
      </c>
      <c r="AQ372" s="421">
        <f t="shared" si="733"/>
        <v>0</v>
      </c>
      <c r="AR372" s="421">
        <f t="shared" si="819"/>
        <v>217163</v>
      </c>
      <c r="AS372" s="421">
        <f t="shared" si="819"/>
        <v>0</v>
      </c>
      <c r="AT372" s="421">
        <f t="shared" si="735"/>
        <v>217163</v>
      </c>
      <c r="AU372" s="68">
        <f t="shared" si="820"/>
        <v>73401</v>
      </c>
      <c r="AV372" s="68">
        <f>ROUND(AH372*1%,0)</f>
        <v>2172</v>
      </c>
      <c r="AW372" s="16">
        <v>3000</v>
      </c>
      <c r="AX372" s="16">
        <v>0</v>
      </c>
      <c r="AY372" s="421">
        <f t="shared" si="737"/>
        <v>3000</v>
      </c>
      <c r="AZ372" s="421">
        <f t="shared" si="738"/>
        <v>295736</v>
      </c>
      <c r="BA372" s="13">
        <v>0</v>
      </c>
      <c r="BB372" s="13">
        <v>0</v>
      </c>
      <c r="BC372" s="13">
        <v>0.59</v>
      </c>
      <c r="BD372" s="422">
        <v>0</v>
      </c>
      <c r="BE372" s="422">
        <v>0</v>
      </c>
      <c r="BF372" s="422">
        <v>0</v>
      </c>
      <c r="BG372" s="422">
        <v>0</v>
      </c>
      <c r="BH372" s="422">
        <v>0</v>
      </c>
      <c r="BI372" s="422">
        <v>0</v>
      </c>
      <c r="BJ372" s="422">
        <v>0</v>
      </c>
      <c r="BK372" s="422">
        <f>BA372+BC372+BD372+BF372+BH372+BI372</f>
        <v>0.59</v>
      </c>
      <c r="BL372" s="422">
        <f>BB372+BE372+BG372+BJ372</f>
        <v>0</v>
      </c>
      <c r="BM372" s="424">
        <f t="shared" si="739"/>
        <v>0.59</v>
      </c>
      <c r="BN372" s="427">
        <f>I372+AZ372</f>
        <v>295736</v>
      </c>
      <c r="BO372" s="421">
        <f>J372+AH372</f>
        <v>217163</v>
      </c>
      <c r="BP372" s="421">
        <f t="shared" si="821"/>
        <v>217163</v>
      </c>
      <c r="BQ372" s="421">
        <f t="shared" si="821"/>
        <v>0</v>
      </c>
      <c r="BR372" s="421">
        <f>M372+AQ372</f>
        <v>0</v>
      </c>
      <c r="BS372" s="421">
        <f t="shared" si="822"/>
        <v>0</v>
      </c>
      <c r="BT372" s="421">
        <f t="shared" si="822"/>
        <v>0</v>
      </c>
      <c r="BU372" s="421">
        <f t="shared" si="823"/>
        <v>73401</v>
      </c>
      <c r="BV372" s="421">
        <f t="shared" si="823"/>
        <v>2172</v>
      </c>
      <c r="BW372" s="421">
        <f>R372+AY372</f>
        <v>3000</v>
      </c>
      <c r="BX372" s="422">
        <f>S372+BM372</f>
        <v>0.59</v>
      </c>
      <c r="BY372" s="422">
        <f t="shared" si="824"/>
        <v>0.59</v>
      </c>
      <c r="BZ372" s="611">
        <f t="shared" si="824"/>
        <v>0</v>
      </c>
      <c r="CA372" s="423"/>
      <c r="CB372" s="418"/>
      <c r="CC372" s="418"/>
      <c r="CD372" s="418"/>
      <c r="CE372" s="418"/>
      <c r="CF372" s="527"/>
    </row>
    <row r="373" spans="1:84" ht="14.1" customHeight="1" x14ac:dyDescent="0.2">
      <c r="A373" s="66">
        <v>74</v>
      </c>
      <c r="B373" s="63">
        <v>2405</v>
      </c>
      <c r="C373" s="64">
        <v>600079023</v>
      </c>
      <c r="D373" s="63">
        <v>72741881</v>
      </c>
      <c r="E373" s="65" t="s">
        <v>682</v>
      </c>
      <c r="F373" s="66">
        <v>3141</v>
      </c>
      <c r="G373" s="65" t="s">
        <v>295</v>
      </c>
      <c r="H373" s="67" t="s">
        <v>272</v>
      </c>
      <c r="I373" s="423">
        <f t="shared" si="721"/>
        <v>852453</v>
      </c>
      <c r="J373" s="418">
        <f t="shared" si="722"/>
        <v>629143</v>
      </c>
      <c r="K373" s="418">
        <v>0</v>
      </c>
      <c r="L373" s="924">
        <v>629143</v>
      </c>
      <c r="M373" s="418">
        <f>N373+O373</f>
        <v>0</v>
      </c>
      <c r="N373" s="205">
        <v>0</v>
      </c>
      <c r="O373" s="205">
        <v>0</v>
      </c>
      <c r="P373" s="668">
        <f t="shared" si="723"/>
        <v>212650</v>
      </c>
      <c r="Q373" s="668">
        <f t="shared" si="724"/>
        <v>6291</v>
      </c>
      <c r="R373" s="674">
        <v>4369</v>
      </c>
      <c r="S373" s="419">
        <f>T373+U373</f>
        <v>1.8866000000000001</v>
      </c>
      <c r="T373" s="676">
        <v>0</v>
      </c>
      <c r="U373" s="909">
        <v>1.8866000000000001</v>
      </c>
      <c r="V373" s="428">
        <f t="shared" si="726"/>
        <v>0</v>
      </c>
      <c r="W373" s="421">
        <f t="shared" si="727"/>
        <v>0</v>
      </c>
      <c r="X373" s="421">
        <v>0</v>
      </c>
      <c r="Y373" s="421">
        <v>0</v>
      </c>
      <c r="Z373" s="421">
        <v>0</v>
      </c>
      <c r="AA373" s="421">
        <v>0</v>
      </c>
      <c r="AB373" s="421">
        <v>0</v>
      </c>
      <c r="AC373" s="421">
        <v>0</v>
      </c>
      <c r="AD373" s="421">
        <v>0</v>
      </c>
      <c r="AE373" s="421">
        <v>0</v>
      </c>
      <c r="AF373" s="421">
        <f t="shared" si="728"/>
        <v>0</v>
      </c>
      <c r="AG373" s="421">
        <f t="shared" si="729"/>
        <v>0</v>
      </c>
      <c r="AH373" s="421">
        <f t="shared" si="730"/>
        <v>0</v>
      </c>
      <c r="AI373" s="421">
        <v>0</v>
      </c>
      <c r="AJ373" s="421">
        <v>0</v>
      </c>
      <c r="AK373" s="421">
        <v>0</v>
      </c>
      <c r="AL373" s="421">
        <v>0</v>
      </c>
      <c r="AM373" s="421">
        <v>0</v>
      </c>
      <c r="AN373" s="421">
        <v>0</v>
      </c>
      <c r="AO373" s="421">
        <f t="shared" si="731"/>
        <v>0</v>
      </c>
      <c r="AP373" s="421">
        <f t="shared" si="732"/>
        <v>0</v>
      </c>
      <c r="AQ373" s="421">
        <f t="shared" si="733"/>
        <v>0</v>
      </c>
      <c r="AR373" s="421">
        <f t="shared" si="819"/>
        <v>0</v>
      </c>
      <c r="AS373" s="421">
        <f t="shared" si="819"/>
        <v>0</v>
      </c>
      <c r="AT373" s="421">
        <f t="shared" si="735"/>
        <v>0</v>
      </c>
      <c r="AU373" s="68">
        <f t="shared" si="820"/>
        <v>0</v>
      </c>
      <c r="AV373" s="68">
        <f>ROUND(AH373*1%,0)</f>
        <v>0</v>
      </c>
      <c r="AW373" s="421">
        <v>0</v>
      </c>
      <c r="AX373" s="421">
        <v>0</v>
      </c>
      <c r="AY373" s="421">
        <f t="shared" si="737"/>
        <v>0</v>
      </c>
      <c r="AZ373" s="421">
        <f t="shared" si="738"/>
        <v>0</v>
      </c>
      <c r="BA373" s="422">
        <v>0</v>
      </c>
      <c r="BB373" s="422">
        <v>0</v>
      </c>
      <c r="BC373" s="422">
        <v>0</v>
      </c>
      <c r="BD373" s="422">
        <v>0</v>
      </c>
      <c r="BE373" s="422">
        <v>0</v>
      </c>
      <c r="BF373" s="422">
        <v>0</v>
      </c>
      <c r="BG373" s="422">
        <v>0</v>
      </c>
      <c r="BH373" s="422">
        <v>0</v>
      </c>
      <c r="BI373" s="422">
        <v>0</v>
      </c>
      <c r="BJ373" s="422">
        <v>0</v>
      </c>
      <c r="BK373" s="422">
        <f>BA373+BC373+BD373+BF373+BH373+BI373</f>
        <v>0</v>
      </c>
      <c r="BL373" s="422">
        <f>BB373+BE373+BG373+BJ373</f>
        <v>0</v>
      </c>
      <c r="BM373" s="424">
        <f t="shared" si="739"/>
        <v>0</v>
      </c>
      <c r="BN373" s="427">
        <f>I373+AZ373</f>
        <v>852453</v>
      </c>
      <c r="BO373" s="421">
        <f>J373+AH373</f>
        <v>629143</v>
      </c>
      <c r="BP373" s="421">
        <f t="shared" si="821"/>
        <v>0</v>
      </c>
      <c r="BQ373" s="421">
        <f t="shared" si="821"/>
        <v>629143</v>
      </c>
      <c r="BR373" s="421">
        <f>M373+AQ373</f>
        <v>0</v>
      </c>
      <c r="BS373" s="421">
        <f t="shared" si="822"/>
        <v>0</v>
      </c>
      <c r="BT373" s="421">
        <f t="shared" si="822"/>
        <v>0</v>
      </c>
      <c r="BU373" s="421">
        <f t="shared" si="823"/>
        <v>212650</v>
      </c>
      <c r="BV373" s="421">
        <f t="shared" si="823"/>
        <v>6291</v>
      </c>
      <c r="BW373" s="421">
        <f>R373+AY373</f>
        <v>4369</v>
      </c>
      <c r="BX373" s="422">
        <f>S373+BM373</f>
        <v>1.8866000000000001</v>
      </c>
      <c r="BY373" s="422">
        <f t="shared" si="824"/>
        <v>0</v>
      </c>
      <c r="BZ373" s="611">
        <f t="shared" si="824"/>
        <v>1.8866000000000001</v>
      </c>
      <c r="CA373" s="423"/>
      <c r="CB373" s="418"/>
      <c r="CC373" s="418"/>
      <c r="CD373" s="418"/>
      <c r="CE373" s="418"/>
      <c r="CF373" s="527"/>
    </row>
    <row r="374" spans="1:84" ht="14.1" customHeight="1" x14ac:dyDescent="0.2">
      <c r="A374" s="72">
        <v>74</v>
      </c>
      <c r="B374" s="69">
        <v>2405</v>
      </c>
      <c r="C374" s="70">
        <v>600079023</v>
      </c>
      <c r="D374" s="69">
        <v>72741881</v>
      </c>
      <c r="E374" s="71" t="s">
        <v>683</v>
      </c>
      <c r="F374" s="72"/>
      <c r="G374" s="71"/>
      <c r="H374" s="73"/>
      <c r="I374" s="538">
        <f t="shared" ref="I374:BU374" si="825">SUM(I371:I373)</f>
        <v>15315781</v>
      </c>
      <c r="J374" s="74">
        <f t="shared" si="825"/>
        <v>11323311</v>
      </c>
      <c r="K374" s="74">
        <f t="shared" si="825"/>
        <v>9719965</v>
      </c>
      <c r="L374" s="74">
        <f t="shared" si="825"/>
        <v>1603346</v>
      </c>
      <c r="M374" s="74">
        <f t="shared" si="825"/>
        <v>0</v>
      </c>
      <c r="N374" s="74">
        <f t="shared" si="825"/>
        <v>0</v>
      </c>
      <c r="O374" s="74">
        <f t="shared" si="825"/>
        <v>0</v>
      </c>
      <c r="P374" s="74">
        <f t="shared" si="825"/>
        <v>3827279</v>
      </c>
      <c r="Q374" s="74">
        <f t="shared" si="825"/>
        <v>113233</v>
      </c>
      <c r="R374" s="74">
        <f t="shared" si="825"/>
        <v>51958</v>
      </c>
      <c r="S374" s="75">
        <f t="shared" si="825"/>
        <v>21.956400000000002</v>
      </c>
      <c r="T374" s="75">
        <f t="shared" si="825"/>
        <v>16.709700000000002</v>
      </c>
      <c r="U374" s="753">
        <f t="shared" si="825"/>
        <v>5.2466999999999997</v>
      </c>
      <c r="V374" s="538">
        <f t="shared" si="825"/>
        <v>0</v>
      </c>
      <c r="W374" s="74">
        <f t="shared" si="825"/>
        <v>0</v>
      </c>
      <c r="X374" s="74">
        <f t="shared" si="825"/>
        <v>217163</v>
      </c>
      <c r="Y374" s="74">
        <f t="shared" si="825"/>
        <v>0</v>
      </c>
      <c r="Z374" s="74">
        <f t="shared" si="825"/>
        <v>0</v>
      </c>
      <c r="AA374" s="74">
        <f t="shared" si="825"/>
        <v>0</v>
      </c>
      <c r="AB374" s="74">
        <f t="shared" si="825"/>
        <v>0</v>
      </c>
      <c r="AC374" s="74">
        <f t="shared" si="825"/>
        <v>0</v>
      </c>
      <c r="AD374" s="74">
        <f t="shared" si="825"/>
        <v>0</v>
      </c>
      <c r="AE374" s="74">
        <f t="shared" si="825"/>
        <v>0</v>
      </c>
      <c r="AF374" s="74">
        <f t="shared" si="825"/>
        <v>217163</v>
      </c>
      <c r="AG374" s="74">
        <f t="shared" si="825"/>
        <v>0</v>
      </c>
      <c r="AH374" s="74">
        <f t="shared" si="825"/>
        <v>217163</v>
      </c>
      <c r="AI374" s="74">
        <f t="shared" si="825"/>
        <v>0</v>
      </c>
      <c r="AJ374" s="74">
        <f t="shared" si="825"/>
        <v>0</v>
      </c>
      <c r="AK374" s="74">
        <f t="shared" si="825"/>
        <v>0</v>
      </c>
      <c r="AL374" s="74">
        <f t="shared" si="825"/>
        <v>0</v>
      </c>
      <c r="AM374" s="74">
        <f t="shared" si="825"/>
        <v>0</v>
      </c>
      <c r="AN374" s="74">
        <f t="shared" si="825"/>
        <v>0</v>
      </c>
      <c r="AO374" s="74">
        <f t="shared" si="825"/>
        <v>0</v>
      </c>
      <c r="AP374" s="74">
        <f t="shared" si="825"/>
        <v>0</v>
      </c>
      <c r="AQ374" s="74">
        <f t="shared" si="825"/>
        <v>0</v>
      </c>
      <c r="AR374" s="74">
        <f t="shared" si="825"/>
        <v>217163</v>
      </c>
      <c r="AS374" s="74">
        <f t="shared" si="825"/>
        <v>0</v>
      </c>
      <c r="AT374" s="74">
        <f t="shared" si="825"/>
        <v>217163</v>
      </c>
      <c r="AU374" s="74">
        <f t="shared" si="825"/>
        <v>73401</v>
      </c>
      <c r="AV374" s="74">
        <f t="shared" si="825"/>
        <v>2172</v>
      </c>
      <c r="AW374" s="74">
        <f t="shared" si="825"/>
        <v>3000</v>
      </c>
      <c r="AX374" s="74">
        <f t="shared" si="825"/>
        <v>0</v>
      </c>
      <c r="AY374" s="74">
        <f t="shared" si="825"/>
        <v>3000</v>
      </c>
      <c r="AZ374" s="74">
        <f t="shared" si="825"/>
        <v>295736</v>
      </c>
      <c r="BA374" s="75">
        <f t="shared" si="825"/>
        <v>0</v>
      </c>
      <c r="BB374" s="75">
        <f t="shared" si="825"/>
        <v>0</v>
      </c>
      <c r="BC374" s="75">
        <f t="shared" si="825"/>
        <v>0.59</v>
      </c>
      <c r="BD374" s="75">
        <f t="shared" si="825"/>
        <v>0</v>
      </c>
      <c r="BE374" s="75">
        <f t="shared" si="825"/>
        <v>0</v>
      </c>
      <c r="BF374" s="75">
        <f t="shared" si="825"/>
        <v>0</v>
      </c>
      <c r="BG374" s="75">
        <f t="shared" si="825"/>
        <v>0</v>
      </c>
      <c r="BH374" s="75">
        <f t="shared" si="825"/>
        <v>0</v>
      </c>
      <c r="BI374" s="75">
        <f t="shared" si="825"/>
        <v>0</v>
      </c>
      <c r="BJ374" s="75">
        <f t="shared" si="825"/>
        <v>0</v>
      </c>
      <c r="BK374" s="75">
        <f t="shared" si="825"/>
        <v>0.59</v>
      </c>
      <c r="BL374" s="75">
        <f t="shared" si="825"/>
        <v>0</v>
      </c>
      <c r="BM374" s="76">
        <f t="shared" si="825"/>
        <v>0.59</v>
      </c>
      <c r="BN374" s="549">
        <f t="shared" si="825"/>
        <v>15611517</v>
      </c>
      <c r="BO374" s="74">
        <f t="shared" si="825"/>
        <v>11540474</v>
      </c>
      <c r="BP374" s="74">
        <f t="shared" si="825"/>
        <v>9937128</v>
      </c>
      <c r="BQ374" s="74">
        <f t="shared" si="825"/>
        <v>1603346</v>
      </c>
      <c r="BR374" s="74">
        <f t="shared" si="825"/>
        <v>0</v>
      </c>
      <c r="BS374" s="74">
        <f t="shared" si="825"/>
        <v>0</v>
      </c>
      <c r="BT374" s="74">
        <f t="shared" si="825"/>
        <v>0</v>
      </c>
      <c r="BU374" s="74">
        <f t="shared" si="825"/>
        <v>3900680</v>
      </c>
      <c r="BV374" s="74">
        <f t="shared" ref="BV374:CF374" si="826">SUM(BV371:BV373)</f>
        <v>115405</v>
      </c>
      <c r="BW374" s="74">
        <f t="shared" si="826"/>
        <v>54958</v>
      </c>
      <c r="BX374" s="75">
        <f t="shared" si="826"/>
        <v>22.546400000000002</v>
      </c>
      <c r="BY374" s="75">
        <f t="shared" si="826"/>
        <v>17.299700000000001</v>
      </c>
      <c r="BZ374" s="753">
        <f t="shared" si="826"/>
        <v>5.2466999999999997</v>
      </c>
      <c r="CA374" s="796">
        <f t="shared" si="826"/>
        <v>0</v>
      </c>
      <c r="CB374" s="789">
        <f t="shared" si="826"/>
        <v>0</v>
      </c>
      <c r="CC374" s="789">
        <f t="shared" si="826"/>
        <v>0</v>
      </c>
      <c r="CD374" s="789">
        <f t="shared" si="826"/>
        <v>0</v>
      </c>
      <c r="CE374" s="789">
        <f t="shared" si="826"/>
        <v>0</v>
      </c>
      <c r="CF374" s="793">
        <f t="shared" si="826"/>
        <v>0</v>
      </c>
    </row>
    <row r="375" spans="1:84" ht="14.1" customHeight="1" x14ac:dyDescent="0.2">
      <c r="A375" s="66">
        <v>75</v>
      </c>
      <c r="B375" s="63">
        <v>2317</v>
      </c>
      <c r="C375" s="64">
        <v>600080501</v>
      </c>
      <c r="D375" s="63">
        <v>69411123</v>
      </c>
      <c r="E375" s="65" t="s">
        <v>684</v>
      </c>
      <c r="F375" s="66">
        <v>3141</v>
      </c>
      <c r="G375" s="65" t="s">
        <v>295</v>
      </c>
      <c r="H375" s="67" t="s">
        <v>272</v>
      </c>
      <c r="I375" s="423">
        <f t="shared" si="721"/>
        <v>2778803</v>
      </c>
      <c r="J375" s="418">
        <f t="shared" si="722"/>
        <v>2045333</v>
      </c>
      <c r="K375" s="418">
        <v>0</v>
      </c>
      <c r="L375" s="924">
        <v>2045333</v>
      </c>
      <c r="M375" s="418">
        <f>N375+O375</f>
        <v>0</v>
      </c>
      <c r="N375" s="205">
        <v>0</v>
      </c>
      <c r="O375" s="205">
        <v>0</v>
      </c>
      <c r="P375" s="668">
        <f t="shared" ref="P375" si="827">ROUND(J375*33.8%,0)</f>
        <v>691323</v>
      </c>
      <c r="Q375" s="668">
        <f t="shared" ref="Q375" si="828">ROUND(J375*1%,0)</f>
        <v>20453</v>
      </c>
      <c r="R375" s="674">
        <v>21694</v>
      </c>
      <c r="S375" s="419">
        <f>T375+U375</f>
        <v>6.1333000000000002</v>
      </c>
      <c r="T375" s="676">
        <v>0</v>
      </c>
      <c r="U375" s="909">
        <v>6.1333000000000002</v>
      </c>
      <c r="V375" s="428">
        <f t="shared" si="726"/>
        <v>0</v>
      </c>
      <c r="W375" s="421">
        <f t="shared" si="727"/>
        <v>0</v>
      </c>
      <c r="X375" s="421">
        <v>0</v>
      </c>
      <c r="Y375" s="421">
        <v>0</v>
      </c>
      <c r="Z375" s="421">
        <v>0</v>
      </c>
      <c r="AA375" s="421">
        <v>0</v>
      </c>
      <c r="AB375" s="421">
        <v>0</v>
      </c>
      <c r="AC375" s="421">
        <v>0</v>
      </c>
      <c r="AD375" s="421">
        <v>0</v>
      </c>
      <c r="AE375" s="421">
        <v>264561</v>
      </c>
      <c r="AF375" s="421">
        <f t="shared" si="728"/>
        <v>0</v>
      </c>
      <c r="AG375" s="421">
        <f t="shared" si="729"/>
        <v>264561</v>
      </c>
      <c r="AH375" s="421">
        <f t="shared" si="730"/>
        <v>264561</v>
      </c>
      <c r="AI375" s="421">
        <v>0</v>
      </c>
      <c r="AJ375" s="421">
        <v>0</v>
      </c>
      <c r="AK375" s="421">
        <v>0</v>
      </c>
      <c r="AL375" s="421">
        <v>0</v>
      </c>
      <c r="AM375" s="421">
        <v>0</v>
      </c>
      <c r="AN375" s="421">
        <v>0</v>
      </c>
      <c r="AO375" s="421">
        <f t="shared" si="731"/>
        <v>0</v>
      </c>
      <c r="AP375" s="421">
        <f t="shared" si="732"/>
        <v>0</v>
      </c>
      <c r="AQ375" s="421">
        <f t="shared" si="733"/>
        <v>0</v>
      </c>
      <c r="AR375" s="421">
        <f>AF375+AO375</f>
        <v>0</v>
      </c>
      <c r="AS375" s="421">
        <f>AG375+AP375</f>
        <v>264561</v>
      </c>
      <c r="AT375" s="421">
        <f t="shared" si="735"/>
        <v>264561</v>
      </c>
      <c r="AU375" s="68">
        <f>ROUND((AH375+AI375+AJ375+AK375+AL375)*33.8%,0)</f>
        <v>89422</v>
      </c>
      <c r="AV375" s="68">
        <f>ROUND(AH375*1%,0)</f>
        <v>2646</v>
      </c>
      <c r="AW375" s="421">
        <v>0</v>
      </c>
      <c r="AX375" s="421">
        <v>0</v>
      </c>
      <c r="AY375" s="421">
        <f t="shared" si="737"/>
        <v>0</v>
      </c>
      <c r="AZ375" s="421">
        <f t="shared" si="738"/>
        <v>356629</v>
      </c>
      <c r="BA375" s="422">
        <v>0</v>
      </c>
      <c r="BB375" s="422">
        <v>0</v>
      </c>
      <c r="BC375" s="422">
        <v>0</v>
      </c>
      <c r="BD375" s="422">
        <v>0</v>
      </c>
      <c r="BE375" s="422">
        <v>0</v>
      </c>
      <c r="BF375" s="422">
        <v>0</v>
      </c>
      <c r="BG375" s="422">
        <v>0</v>
      </c>
      <c r="BH375" s="422">
        <v>0</v>
      </c>
      <c r="BI375" s="422">
        <v>0</v>
      </c>
      <c r="BJ375" s="422">
        <v>0.79</v>
      </c>
      <c r="BK375" s="422">
        <f>BA375+BC375+BD375+BF375+BH375+BI375</f>
        <v>0</v>
      </c>
      <c r="BL375" s="422">
        <f>BB375+BE375+BG375+BJ375</f>
        <v>0.79</v>
      </c>
      <c r="BM375" s="424">
        <f t="shared" si="739"/>
        <v>0.79</v>
      </c>
      <c r="BN375" s="427">
        <f>I375+AZ375</f>
        <v>3135432</v>
      </c>
      <c r="BO375" s="421">
        <f>J375+AH375</f>
        <v>2309894</v>
      </c>
      <c r="BP375" s="421">
        <f>K375+AF375</f>
        <v>0</v>
      </c>
      <c r="BQ375" s="421">
        <f>L375+AG375</f>
        <v>2309894</v>
      </c>
      <c r="BR375" s="421">
        <f>M375+AQ375</f>
        <v>0</v>
      </c>
      <c r="BS375" s="421">
        <f>N375+AO375</f>
        <v>0</v>
      </c>
      <c r="BT375" s="421">
        <f>O375+AP375</f>
        <v>0</v>
      </c>
      <c r="BU375" s="421">
        <f>P375+AU375</f>
        <v>780745</v>
      </c>
      <c r="BV375" s="421">
        <f>Q375+AV375</f>
        <v>23099</v>
      </c>
      <c r="BW375" s="421">
        <f>R375+AY375</f>
        <v>21694</v>
      </c>
      <c r="BX375" s="422">
        <f>S375+BM375</f>
        <v>6.9233000000000002</v>
      </c>
      <c r="BY375" s="422">
        <f>T375+BK375</f>
        <v>0</v>
      </c>
      <c r="BZ375" s="611">
        <f>U375+BL375</f>
        <v>6.9233000000000002</v>
      </c>
      <c r="CA375" s="423"/>
      <c r="CB375" s="418"/>
      <c r="CC375" s="418"/>
      <c r="CD375" s="418"/>
      <c r="CE375" s="418"/>
      <c r="CF375" s="527"/>
    </row>
    <row r="376" spans="1:84" ht="14.1" customHeight="1" x14ac:dyDescent="0.2">
      <c r="A376" s="72">
        <v>75</v>
      </c>
      <c r="B376" s="69">
        <v>2317</v>
      </c>
      <c r="C376" s="70">
        <v>600080501</v>
      </c>
      <c r="D376" s="69">
        <v>69411123</v>
      </c>
      <c r="E376" s="71" t="s">
        <v>685</v>
      </c>
      <c r="F376" s="72"/>
      <c r="G376" s="71"/>
      <c r="H376" s="73"/>
      <c r="I376" s="540">
        <f t="shared" ref="I376:BU376" si="829">SUM(I375)</f>
        <v>2778803</v>
      </c>
      <c r="J376" s="82">
        <f t="shared" si="829"/>
        <v>2045333</v>
      </c>
      <c r="K376" s="82">
        <f t="shared" si="829"/>
        <v>0</v>
      </c>
      <c r="L376" s="82">
        <f t="shared" si="829"/>
        <v>2045333</v>
      </c>
      <c r="M376" s="82">
        <f t="shared" si="829"/>
        <v>0</v>
      </c>
      <c r="N376" s="82">
        <f t="shared" si="829"/>
        <v>0</v>
      </c>
      <c r="O376" s="82">
        <f t="shared" si="829"/>
        <v>0</v>
      </c>
      <c r="P376" s="82">
        <f t="shared" si="829"/>
        <v>691323</v>
      </c>
      <c r="Q376" s="82">
        <f t="shared" si="829"/>
        <v>20453</v>
      </c>
      <c r="R376" s="82">
        <f t="shared" si="829"/>
        <v>21694</v>
      </c>
      <c r="S376" s="83">
        <f t="shared" si="829"/>
        <v>6.1333000000000002</v>
      </c>
      <c r="T376" s="83">
        <f t="shared" si="829"/>
        <v>0</v>
      </c>
      <c r="U376" s="755">
        <f t="shared" si="829"/>
        <v>6.1333000000000002</v>
      </c>
      <c r="V376" s="540">
        <f t="shared" si="829"/>
        <v>0</v>
      </c>
      <c r="W376" s="82">
        <f t="shared" si="829"/>
        <v>0</v>
      </c>
      <c r="X376" s="82">
        <f t="shared" si="829"/>
        <v>0</v>
      </c>
      <c r="Y376" s="82">
        <f t="shared" si="829"/>
        <v>0</v>
      </c>
      <c r="Z376" s="82">
        <f t="shared" si="829"/>
        <v>0</v>
      </c>
      <c r="AA376" s="82">
        <f t="shared" si="829"/>
        <v>0</v>
      </c>
      <c r="AB376" s="82">
        <f t="shared" si="829"/>
        <v>0</v>
      </c>
      <c r="AC376" s="82">
        <f t="shared" si="829"/>
        <v>0</v>
      </c>
      <c r="AD376" s="82">
        <f t="shared" si="829"/>
        <v>0</v>
      </c>
      <c r="AE376" s="82">
        <f t="shared" si="829"/>
        <v>264561</v>
      </c>
      <c r="AF376" s="82">
        <f t="shared" si="829"/>
        <v>0</v>
      </c>
      <c r="AG376" s="82">
        <f t="shared" si="829"/>
        <v>264561</v>
      </c>
      <c r="AH376" s="82">
        <f t="shared" si="829"/>
        <v>264561</v>
      </c>
      <c r="AI376" s="82">
        <f t="shared" si="829"/>
        <v>0</v>
      </c>
      <c r="AJ376" s="82">
        <f t="shared" si="829"/>
        <v>0</v>
      </c>
      <c r="AK376" s="82">
        <f t="shared" si="829"/>
        <v>0</v>
      </c>
      <c r="AL376" s="82">
        <f t="shared" si="829"/>
        <v>0</v>
      </c>
      <c r="AM376" s="82">
        <f t="shared" si="829"/>
        <v>0</v>
      </c>
      <c r="AN376" s="82">
        <f t="shared" si="829"/>
        <v>0</v>
      </c>
      <c r="AO376" s="82">
        <f t="shared" si="829"/>
        <v>0</v>
      </c>
      <c r="AP376" s="82">
        <f t="shared" si="829"/>
        <v>0</v>
      </c>
      <c r="AQ376" s="82">
        <f t="shared" si="829"/>
        <v>0</v>
      </c>
      <c r="AR376" s="82">
        <f t="shared" si="829"/>
        <v>0</v>
      </c>
      <c r="AS376" s="82">
        <f t="shared" si="829"/>
        <v>264561</v>
      </c>
      <c r="AT376" s="82">
        <f t="shared" si="829"/>
        <v>264561</v>
      </c>
      <c r="AU376" s="82">
        <f t="shared" si="829"/>
        <v>89422</v>
      </c>
      <c r="AV376" s="82">
        <f t="shared" si="829"/>
        <v>2646</v>
      </c>
      <c r="AW376" s="82">
        <f t="shared" si="829"/>
        <v>0</v>
      </c>
      <c r="AX376" s="82">
        <f t="shared" si="829"/>
        <v>0</v>
      </c>
      <c r="AY376" s="82">
        <f t="shared" si="829"/>
        <v>0</v>
      </c>
      <c r="AZ376" s="82">
        <f t="shared" si="829"/>
        <v>356629</v>
      </c>
      <c r="BA376" s="83">
        <f t="shared" si="829"/>
        <v>0</v>
      </c>
      <c r="BB376" s="83">
        <f t="shared" si="829"/>
        <v>0</v>
      </c>
      <c r="BC376" s="83">
        <f t="shared" si="829"/>
        <v>0</v>
      </c>
      <c r="BD376" s="83">
        <f t="shared" si="829"/>
        <v>0</v>
      </c>
      <c r="BE376" s="83">
        <f t="shared" si="829"/>
        <v>0</v>
      </c>
      <c r="BF376" s="83">
        <f t="shared" si="829"/>
        <v>0</v>
      </c>
      <c r="BG376" s="83">
        <f t="shared" si="829"/>
        <v>0</v>
      </c>
      <c r="BH376" s="83">
        <f t="shared" si="829"/>
        <v>0</v>
      </c>
      <c r="BI376" s="83">
        <f t="shared" si="829"/>
        <v>0</v>
      </c>
      <c r="BJ376" s="83">
        <f t="shared" si="829"/>
        <v>0.79</v>
      </c>
      <c r="BK376" s="83">
        <f t="shared" si="829"/>
        <v>0</v>
      </c>
      <c r="BL376" s="83">
        <f t="shared" si="829"/>
        <v>0.79</v>
      </c>
      <c r="BM376" s="84">
        <f t="shared" si="829"/>
        <v>0.79</v>
      </c>
      <c r="BN376" s="551">
        <f t="shared" si="829"/>
        <v>3135432</v>
      </c>
      <c r="BO376" s="82">
        <f t="shared" si="829"/>
        <v>2309894</v>
      </c>
      <c r="BP376" s="82">
        <f t="shared" si="829"/>
        <v>0</v>
      </c>
      <c r="BQ376" s="82">
        <f t="shared" si="829"/>
        <v>2309894</v>
      </c>
      <c r="BR376" s="82">
        <f t="shared" si="829"/>
        <v>0</v>
      </c>
      <c r="BS376" s="82">
        <f t="shared" si="829"/>
        <v>0</v>
      </c>
      <c r="BT376" s="82">
        <f t="shared" si="829"/>
        <v>0</v>
      </c>
      <c r="BU376" s="82">
        <f t="shared" si="829"/>
        <v>780745</v>
      </c>
      <c r="BV376" s="82">
        <f t="shared" ref="BV376:CF376" si="830">SUM(BV375)</f>
        <v>23099</v>
      </c>
      <c r="BW376" s="82">
        <f t="shared" si="830"/>
        <v>21694</v>
      </c>
      <c r="BX376" s="83">
        <f t="shared" si="830"/>
        <v>6.9233000000000002</v>
      </c>
      <c r="BY376" s="83">
        <f t="shared" si="830"/>
        <v>0</v>
      </c>
      <c r="BZ376" s="755">
        <f t="shared" si="830"/>
        <v>6.9233000000000002</v>
      </c>
      <c r="CA376" s="798">
        <f t="shared" si="830"/>
        <v>0</v>
      </c>
      <c r="CB376" s="791">
        <f t="shared" si="830"/>
        <v>0</v>
      </c>
      <c r="CC376" s="791">
        <f t="shared" si="830"/>
        <v>0</v>
      </c>
      <c r="CD376" s="791">
        <f t="shared" si="830"/>
        <v>0</v>
      </c>
      <c r="CE376" s="791">
        <f t="shared" si="830"/>
        <v>0</v>
      </c>
      <c r="CF376" s="785">
        <f t="shared" si="830"/>
        <v>0</v>
      </c>
    </row>
    <row r="377" spans="1:84" ht="14.1" customHeight="1" x14ac:dyDescent="0.2">
      <c r="A377" s="66">
        <v>76</v>
      </c>
      <c r="B377" s="63">
        <v>2461</v>
      </c>
      <c r="C377" s="64">
        <v>600079805</v>
      </c>
      <c r="D377" s="63">
        <v>72741724</v>
      </c>
      <c r="E377" s="65" t="s">
        <v>686</v>
      </c>
      <c r="F377" s="66">
        <v>3111</v>
      </c>
      <c r="G377" s="65" t="s">
        <v>291</v>
      </c>
      <c r="H377" s="67" t="s">
        <v>271</v>
      </c>
      <c r="I377" s="423">
        <f t="shared" si="721"/>
        <v>1576973</v>
      </c>
      <c r="J377" s="418">
        <f t="shared" si="722"/>
        <v>1166098</v>
      </c>
      <c r="K377" s="418">
        <v>1106194</v>
      </c>
      <c r="L377" s="418">
        <v>59904</v>
      </c>
      <c r="M377" s="418">
        <f t="shared" ref="M377:M378" si="831">N377+O377</f>
        <v>0</v>
      </c>
      <c r="N377" s="418">
        <v>0</v>
      </c>
      <c r="O377" s="418">
        <v>0</v>
      </c>
      <c r="P377" s="668">
        <f t="shared" si="723"/>
        <v>394141</v>
      </c>
      <c r="Q377" s="668">
        <f t="shared" si="724"/>
        <v>11661</v>
      </c>
      <c r="R377" s="418">
        <v>5073</v>
      </c>
      <c r="S377" s="419">
        <f t="shared" si="725"/>
        <v>2.2561</v>
      </c>
      <c r="T377" s="419">
        <v>2.0160999999999998</v>
      </c>
      <c r="U377" s="426">
        <v>0.24</v>
      </c>
      <c r="V377" s="428">
        <f t="shared" si="726"/>
        <v>0</v>
      </c>
      <c r="W377" s="421">
        <f t="shared" si="727"/>
        <v>0</v>
      </c>
      <c r="X377" s="421">
        <v>0</v>
      </c>
      <c r="Y377" s="421">
        <v>0</v>
      </c>
      <c r="Z377" s="421">
        <v>0</v>
      </c>
      <c r="AA377" s="421">
        <v>0</v>
      </c>
      <c r="AB377" s="421">
        <v>0</v>
      </c>
      <c r="AC377" s="421">
        <v>0</v>
      </c>
      <c r="AD377" s="421">
        <v>0</v>
      </c>
      <c r="AE377" s="421">
        <v>0</v>
      </c>
      <c r="AF377" s="421">
        <f t="shared" si="728"/>
        <v>0</v>
      </c>
      <c r="AG377" s="421">
        <f t="shared" si="729"/>
        <v>0</v>
      </c>
      <c r="AH377" s="421">
        <f t="shared" si="730"/>
        <v>0</v>
      </c>
      <c r="AI377" s="421">
        <v>0</v>
      </c>
      <c r="AJ377" s="421">
        <v>0</v>
      </c>
      <c r="AK377" s="421">
        <v>0</v>
      </c>
      <c r="AL377" s="421">
        <v>0</v>
      </c>
      <c r="AM377" s="421">
        <v>0</v>
      </c>
      <c r="AN377" s="421">
        <v>0</v>
      </c>
      <c r="AO377" s="421">
        <f t="shared" si="731"/>
        <v>0</v>
      </c>
      <c r="AP377" s="421">
        <f t="shared" si="732"/>
        <v>0</v>
      </c>
      <c r="AQ377" s="421">
        <f t="shared" si="733"/>
        <v>0</v>
      </c>
      <c r="AR377" s="421">
        <f t="shared" ref="AR377:AS382" si="832">AF377+AO377</f>
        <v>0</v>
      </c>
      <c r="AS377" s="421">
        <f t="shared" si="832"/>
        <v>0</v>
      </c>
      <c r="AT377" s="421">
        <f t="shared" si="735"/>
        <v>0</v>
      </c>
      <c r="AU377" s="68">
        <f t="shared" ref="AU377:AU382" si="833">ROUND((AH377+AI377+AJ377+AK377+AL377)*33.8%,0)</f>
        <v>0</v>
      </c>
      <c r="AV377" s="68">
        <f t="shared" ref="AV377:AV382" si="834">ROUND(AH377*1%,0)</f>
        <v>0</v>
      </c>
      <c r="AW377" s="421">
        <v>0</v>
      </c>
      <c r="AX377" s="421">
        <v>0</v>
      </c>
      <c r="AY377" s="421">
        <f t="shared" si="737"/>
        <v>0</v>
      </c>
      <c r="AZ377" s="421">
        <f t="shared" si="738"/>
        <v>0</v>
      </c>
      <c r="BA377" s="422">
        <v>0</v>
      </c>
      <c r="BB377" s="422">
        <v>0</v>
      </c>
      <c r="BC377" s="422">
        <v>0</v>
      </c>
      <c r="BD377" s="422">
        <v>0</v>
      </c>
      <c r="BE377" s="422">
        <v>0</v>
      </c>
      <c r="BF377" s="422">
        <v>0</v>
      </c>
      <c r="BG377" s="422">
        <v>0</v>
      </c>
      <c r="BH377" s="422">
        <v>0</v>
      </c>
      <c r="BI377" s="422">
        <v>0</v>
      </c>
      <c r="BJ377" s="422">
        <v>0</v>
      </c>
      <c r="BK377" s="422">
        <f t="shared" ref="BK377:BK382" si="835">BA377+BC377+BD377+BF377+BH377+BI377</f>
        <v>0</v>
      </c>
      <c r="BL377" s="422">
        <f t="shared" ref="BL377:BL382" si="836">BB377+BE377+BG377+BJ377</f>
        <v>0</v>
      </c>
      <c r="BM377" s="424">
        <f t="shared" si="739"/>
        <v>0</v>
      </c>
      <c r="BN377" s="427">
        <f t="shared" ref="BN377:BN382" si="837">I377+AZ377</f>
        <v>1576973</v>
      </c>
      <c r="BO377" s="421">
        <f t="shared" ref="BO377:BO382" si="838">J377+AH377</f>
        <v>1166098</v>
      </c>
      <c r="BP377" s="421">
        <f t="shared" ref="BP377:BQ382" si="839">K377+AF377</f>
        <v>1106194</v>
      </c>
      <c r="BQ377" s="421">
        <f t="shared" si="839"/>
        <v>59904</v>
      </c>
      <c r="BR377" s="421">
        <f t="shared" ref="BR377:BR382" si="840">M377+AQ377</f>
        <v>0</v>
      </c>
      <c r="BS377" s="421">
        <f t="shared" ref="BS377:BT382" si="841">N377+AO377</f>
        <v>0</v>
      </c>
      <c r="BT377" s="421">
        <f t="shared" si="841"/>
        <v>0</v>
      </c>
      <c r="BU377" s="421">
        <f t="shared" ref="BU377:BV382" si="842">P377+AU377</f>
        <v>394141</v>
      </c>
      <c r="BV377" s="421">
        <f t="shared" si="842"/>
        <v>11661</v>
      </c>
      <c r="BW377" s="421">
        <f t="shared" ref="BW377:BW382" si="843">R377+AY377</f>
        <v>5073</v>
      </c>
      <c r="BX377" s="422">
        <f t="shared" ref="BX377:BX382" si="844">S377+BM377</f>
        <v>2.2561</v>
      </c>
      <c r="BY377" s="422">
        <f t="shared" ref="BY377:BZ382" si="845">T377+BK377</f>
        <v>2.0160999999999998</v>
      </c>
      <c r="BZ377" s="611">
        <f t="shared" si="845"/>
        <v>0.24</v>
      </c>
      <c r="CA377" s="423"/>
      <c r="CB377" s="418"/>
      <c r="CC377" s="418"/>
      <c r="CD377" s="418"/>
      <c r="CE377" s="418"/>
      <c r="CF377" s="527"/>
    </row>
    <row r="378" spans="1:84" ht="14.1" customHeight="1" x14ac:dyDescent="0.2">
      <c r="A378" s="66">
        <v>76</v>
      </c>
      <c r="B378" s="63">
        <v>2461</v>
      </c>
      <c r="C378" s="64">
        <v>600079805</v>
      </c>
      <c r="D378" s="63">
        <v>72741724</v>
      </c>
      <c r="E378" s="65" t="s">
        <v>686</v>
      </c>
      <c r="F378" s="66">
        <v>3117</v>
      </c>
      <c r="G378" s="65" t="s">
        <v>294</v>
      </c>
      <c r="H378" s="67" t="s">
        <v>271</v>
      </c>
      <c r="I378" s="423">
        <f t="shared" si="721"/>
        <v>2724880</v>
      </c>
      <c r="J378" s="418">
        <f t="shared" si="722"/>
        <v>1998854</v>
      </c>
      <c r="K378" s="418">
        <v>1793559</v>
      </c>
      <c r="L378" s="418">
        <v>205295</v>
      </c>
      <c r="M378" s="418">
        <f t="shared" si="831"/>
        <v>0</v>
      </c>
      <c r="N378" s="418">
        <v>0</v>
      </c>
      <c r="O378" s="418">
        <v>0</v>
      </c>
      <c r="P378" s="668">
        <f t="shared" si="723"/>
        <v>675613</v>
      </c>
      <c r="Q378" s="668">
        <f>ROUND(J378*1%,0)-1</f>
        <v>19988</v>
      </c>
      <c r="R378" s="418">
        <v>30425</v>
      </c>
      <c r="S378" s="419">
        <f>T378+U378</f>
        <v>3.0787</v>
      </c>
      <c r="T378" s="419">
        <v>2.5455000000000001</v>
      </c>
      <c r="U378" s="426">
        <v>0.53320000000000001</v>
      </c>
      <c r="V378" s="428">
        <f t="shared" si="726"/>
        <v>-64000</v>
      </c>
      <c r="W378" s="421">
        <f t="shared" si="727"/>
        <v>-16000</v>
      </c>
      <c r="X378" s="421">
        <v>0</v>
      </c>
      <c r="Y378" s="421">
        <v>0</v>
      </c>
      <c r="Z378" s="421">
        <v>0</v>
      </c>
      <c r="AA378" s="421">
        <v>0</v>
      </c>
      <c r="AB378" s="421">
        <v>0</v>
      </c>
      <c r="AC378" s="421">
        <v>0</v>
      </c>
      <c r="AD378" s="421">
        <v>0</v>
      </c>
      <c r="AE378" s="421">
        <v>0</v>
      </c>
      <c r="AF378" s="421">
        <f t="shared" si="728"/>
        <v>-64000</v>
      </c>
      <c r="AG378" s="421">
        <f t="shared" si="729"/>
        <v>-16000</v>
      </c>
      <c r="AH378" s="421">
        <f t="shared" si="730"/>
        <v>-80000</v>
      </c>
      <c r="AI378" s="421">
        <v>64000</v>
      </c>
      <c r="AJ378" s="421">
        <v>16000</v>
      </c>
      <c r="AK378" s="421">
        <v>0</v>
      </c>
      <c r="AL378" s="421">
        <v>0</v>
      </c>
      <c r="AM378" s="421">
        <v>0</v>
      </c>
      <c r="AN378" s="421">
        <v>0</v>
      </c>
      <c r="AO378" s="421">
        <f t="shared" si="731"/>
        <v>64000</v>
      </c>
      <c r="AP378" s="421">
        <f t="shared" si="732"/>
        <v>16000</v>
      </c>
      <c r="AQ378" s="421">
        <f t="shared" si="733"/>
        <v>80000</v>
      </c>
      <c r="AR378" s="421">
        <f t="shared" si="832"/>
        <v>0</v>
      </c>
      <c r="AS378" s="421">
        <f t="shared" si="832"/>
        <v>0</v>
      </c>
      <c r="AT378" s="421">
        <f t="shared" si="735"/>
        <v>0</v>
      </c>
      <c r="AU378" s="68">
        <f t="shared" si="833"/>
        <v>0</v>
      </c>
      <c r="AV378" s="68">
        <f t="shared" si="834"/>
        <v>-800</v>
      </c>
      <c r="AW378" s="421">
        <v>0</v>
      </c>
      <c r="AX378" s="421">
        <v>0</v>
      </c>
      <c r="AY378" s="421">
        <f t="shared" si="737"/>
        <v>0</v>
      </c>
      <c r="AZ378" s="421">
        <f t="shared" si="738"/>
        <v>-800</v>
      </c>
      <c r="BA378" s="422">
        <v>-0.09</v>
      </c>
      <c r="BB378" s="422">
        <v>-0.05</v>
      </c>
      <c r="BC378" s="422">
        <v>0</v>
      </c>
      <c r="BD378" s="422">
        <v>0</v>
      </c>
      <c r="BE378" s="422">
        <v>0</v>
      </c>
      <c r="BF378" s="422">
        <v>0</v>
      </c>
      <c r="BG378" s="422">
        <v>0</v>
      </c>
      <c r="BH378" s="422">
        <v>0</v>
      </c>
      <c r="BI378" s="422">
        <v>0</v>
      </c>
      <c r="BJ378" s="422">
        <v>0</v>
      </c>
      <c r="BK378" s="422">
        <f t="shared" si="835"/>
        <v>-0.09</v>
      </c>
      <c r="BL378" s="422">
        <f t="shared" si="836"/>
        <v>-0.05</v>
      </c>
      <c r="BM378" s="424">
        <f t="shared" si="739"/>
        <v>-0.14000000000000001</v>
      </c>
      <c r="BN378" s="427">
        <f t="shared" si="837"/>
        <v>2724080</v>
      </c>
      <c r="BO378" s="421">
        <f t="shared" si="838"/>
        <v>1918854</v>
      </c>
      <c r="BP378" s="421">
        <f t="shared" si="839"/>
        <v>1729559</v>
      </c>
      <c r="BQ378" s="421">
        <f t="shared" si="839"/>
        <v>189295</v>
      </c>
      <c r="BR378" s="421">
        <f t="shared" si="840"/>
        <v>80000</v>
      </c>
      <c r="BS378" s="421">
        <f t="shared" si="841"/>
        <v>64000</v>
      </c>
      <c r="BT378" s="421">
        <f t="shared" si="841"/>
        <v>16000</v>
      </c>
      <c r="BU378" s="421">
        <f t="shared" si="842"/>
        <v>675613</v>
      </c>
      <c r="BV378" s="421">
        <f t="shared" si="842"/>
        <v>19188</v>
      </c>
      <c r="BW378" s="421">
        <f t="shared" si="843"/>
        <v>30425</v>
      </c>
      <c r="BX378" s="422">
        <f t="shared" si="844"/>
        <v>2.9386999999999999</v>
      </c>
      <c r="BY378" s="422">
        <f t="shared" si="845"/>
        <v>2.4555000000000002</v>
      </c>
      <c r="BZ378" s="611">
        <f t="shared" si="845"/>
        <v>0.48320000000000002</v>
      </c>
      <c r="CA378" s="423"/>
      <c r="CB378" s="418"/>
      <c r="CC378" s="418"/>
      <c r="CD378" s="418"/>
      <c r="CE378" s="418"/>
      <c r="CF378" s="527"/>
    </row>
    <row r="379" spans="1:84" ht="14.1" customHeight="1" x14ac:dyDescent="0.2">
      <c r="A379" s="66">
        <v>76</v>
      </c>
      <c r="B379" s="63">
        <v>2461</v>
      </c>
      <c r="C379" s="64">
        <v>600079805</v>
      </c>
      <c r="D379" s="63">
        <v>72741724</v>
      </c>
      <c r="E379" s="65" t="s">
        <v>686</v>
      </c>
      <c r="F379" s="66">
        <v>3117</v>
      </c>
      <c r="G379" s="77" t="s">
        <v>292</v>
      </c>
      <c r="H379" s="67" t="s">
        <v>272</v>
      </c>
      <c r="I379" s="423">
        <f t="shared" si="721"/>
        <v>0</v>
      </c>
      <c r="J379" s="418">
        <f t="shared" si="722"/>
        <v>0</v>
      </c>
      <c r="K379" s="418">
        <v>0</v>
      </c>
      <c r="L379" s="418">
        <v>0</v>
      </c>
      <c r="M379" s="418">
        <f t="shared" si="744"/>
        <v>0</v>
      </c>
      <c r="N379" s="418">
        <v>0</v>
      </c>
      <c r="O379" s="418">
        <v>0</v>
      </c>
      <c r="P379" s="668">
        <f t="shared" si="723"/>
        <v>0</v>
      </c>
      <c r="Q379" s="668">
        <f t="shared" si="724"/>
        <v>0</v>
      </c>
      <c r="R379" s="418">
        <v>0</v>
      </c>
      <c r="S379" s="419">
        <f t="shared" si="725"/>
        <v>0</v>
      </c>
      <c r="T379" s="420">
        <v>0</v>
      </c>
      <c r="U379" s="426">
        <v>0</v>
      </c>
      <c r="V379" s="428">
        <f t="shared" si="726"/>
        <v>0</v>
      </c>
      <c r="W379" s="421">
        <f t="shared" si="727"/>
        <v>0</v>
      </c>
      <c r="X379" s="16">
        <v>894335</v>
      </c>
      <c r="Y379" s="16">
        <v>0</v>
      </c>
      <c r="Z379" s="16">
        <v>0</v>
      </c>
      <c r="AA379" s="16">
        <v>0</v>
      </c>
      <c r="AB379" s="421">
        <v>0</v>
      </c>
      <c r="AC379" s="16">
        <v>0</v>
      </c>
      <c r="AD379" s="16">
        <v>0</v>
      </c>
      <c r="AE379" s="16">
        <v>0</v>
      </c>
      <c r="AF379" s="421">
        <f t="shared" si="728"/>
        <v>894335</v>
      </c>
      <c r="AG379" s="421">
        <f t="shared" si="729"/>
        <v>0</v>
      </c>
      <c r="AH379" s="421">
        <f t="shared" si="730"/>
        <v>894335</v>
      </c>
      <c r="AI379" s="16">
        <v>0</v>
      </c>
      <c r="AJ379" s="16">
        <v>0</v>
      </c>
      <c r="AK379" s="421">
        <v>0</v>
      </c>
      <c r="AL379" s="16">
        <v>0</v>
      </c>
      <c r="AM379" s="16">
        <v>0</v>
      </c>
      <c r="AN379" s="16">
        <v>0</v>
      </c>
      <c r="AO379" s="421">
        <f t="shared" si="731"/>
        <v>0</v>
      </c>
      <c r="AP379" s="16">
        <v>0</v>
      </c>
      <c r="AQ379" s="421">
        <f t="shared" si="733"/>
        <v>0</v>
      </c>
      <c r="AR379" s="421">
        <f t="shared" si="832"/>
        <v>894335</v>
      </c>
      <c r="AS379" s="421">
        <f t="shared" si="832"/>
        <v>0</v>
      </c>
      <c r="AT379" s="421">
        <f t="shared" si="735"/>
        <v>894335</v>
      </c>
      <c r="AU379" s="68">
        <f t="shared" si="833"/>
        <v>302285</v>
      </c>
      <c r="AV379" s="68">
        <f t="shared" si="834"/>
        <v>8943</v>
      </c>
      <c r="AW379" s="16">
        <v>500</v>
      </c>
      <c r="AX379" s="16">
        <v>0</v>
      </c>
      <c r="AY379" s="421">
        <f t="shared" si="737"/>
        <v>500</v>
      </c>
      <c r="AZ379" s="421">
        <f t="shared" si="738"/>
        <v>1206063</v>
      </c>
      <c r="BA379" s="13">
        <v>0</v>
      </c>
      <c r="BB379" s="13">
        <v>0</v>
      </c>
      <c r="BC379" s="13">
        <v>2.2799999999999998</v>
      </c>
      <c r="BD379" s="422">
        <v>0</v>
      </c>
      <c r="BE379" s="422">
        <v>0</v>
      </c>
      <c r="BF379" s="422">
        <v>0</v>
      </c>
      <c r="BG379" s="422">
        <v>0</v>
      </c>
      <c r="BH379" s="422">
        <v>0</v>
      </c>
      <c r="BI379" s="422">
        <v>0</v>
      </c>
      <c r="BJ379" s="422">
        <v>0</v>
      </c>
      <c r="BK379" s="422">
        <f t="shared" si="835"/>
        <v>2.2799999999999998</v>
      </c>
      <c r="BL379" s="422">
        <f t="shared" si="836"/>
        <v>0</v>
      </c>
      <c r="BM379" s="424">
        <f t="shared" si="739"/>
        <v>2.2799999999999998</v>
      </c>
      <c r="BN379" s="427">
        <f t="shared" si="837"/>
        <v>1206063</v>
      </c>
      <c r="BO379" s="421">
        <f t="shared" si="838"/>
        <v>894335</v>
      </c>
      <c r="BP379" s="421">
        <f t="shared" si="839"/>
        <v>894335</v>
      </c>
      <c r="BQ379" s="421">
        <f t="shared" si="839"/>
        <v>0</v>
      </c>
      <c r="BR379" s="421">
        <f t="shared" si="840"/>
        <v>0</v>
      </c>
      <c r="BS379" s="421">
        <f t="shared" si="841"/>
        <v>0</v>
      </c>
      <c r="BT379" s="421">
        <f t="shared" si="841"/>
        <v>0</v>
      </c>
      <c r="BU379" s="421">
        <f t="shared" si="842"/>
        <v>302285</v>
      </c>
      <c r="BV379" s="421">
        <f t="shared" si="842"/>
        <v>8943</v>
      </c>
      <c r="BW379" s="421">
        <f t="shared" si="843"/>
        <v>500</v>
      </c>
      <c r="BX379" s="422">
        <f t="shared" si="844"/>
        <v>2.2799999999999998</v>
      </c>
      <c r="BY379" s="422">
        <f t="shared" si="845"/>
        <v>2.2799999999999998</v>
      </c>
      <c r="BZ379" s="611">
        <f t="shared" si="845"/>
        <v>0</v>
      </c>
      <c r="CA379" s="423"/>
      <c r="CB379" s="418"/>
      <c r="CC379" s="418"/>
      <c r="CD379" s="418"/>
      <c r="CE379" s="418"/>
      <c r="CF379" s="527"/>
    </row>
    <row r="380" spans="1:84" ht="14.1" customHeight="1" x14ac:dyDescent="0.2">
      <c r="A380" s="66">
        <v>76</v>
      </c>
      <c r="B380" s="63">
        <v>2461</v>
      </c>
      <c r="C380" s="64">
        <v>600079805</v>
      </c>
      <c r="D380" s="63">
        <v>72741724</v>
      </c>
      <c r="E380" s="65" t="s">
        <v>686</v>
      </c>
      <c r="F380" s="66">
        <v>3141</v>
      </c>
      <c r="G380" s="65" t="s">
        <v>295</v>
      </c>
      <c r="H380" s="67" t="s">
        <v>272</v>
      </c>
      <c r="I380" s="423">
        <f t="shared" si="721"/>
        <v>430077</v>
      </c>
      <c r="J380" s="418">
        <f t="shared" si="722"/>
        <v>317906</v>
      </c>
      <c r="K380" s="418">
        <v>0</v>
      </c>
      <c r="L380" s="924">
        <v>317906</v>
      </c>
      <c r="M380" s="418">
        <f>N380+O380</f>
        <v>0</v>
      </c>
      <c r="N380" s="205">
        <v>0</v>
      </c>
      <c r="O380" s="205">
        <v>0</v>
      </c>
      <c r="P380" s="668">
        <f t="shared" si="723"/>
        <v>107452</v>
      </c>
      <c r="Q380" s="668">
        <f t="shared" si="724"/>
        <v>3179</v>
      </c>
      <c r="R380" s="674">
        <v>1540</v>
      </c>
      <c r="S380" s="419">
        <f>T380+U380</f>
        <v>0.95330000000000004</v>
      </c>
      <c r="T380" s="676">
        <v>0</v>
      </c>
      <c r="U380" s="909">
        <v>0.95330000000000004</v>
      </c>
      <c r="V380" s="428">
        <f t="shared" si="726"/>
        <v>0</v>
      </c>
      <c r="W380" s="421">
        <f t="shared" si="727"/>
        <v>0</v>
      </c>
      <c r="X380" s="421">
        <v>0</v>
      </c>
      <c r="Y380" s="421">
        <v>0</v>
      </c>
      <c r="Z380" s="421">
        <v>0</v>
      </c>
      <c r="AA380" s="421">
        <v>0</v>
      </c>
      <c r="AB380" s="421">
        <v>0</v>
      </c>
      <c r="AC380" s="421">
        <v>0</v>
      </c>
      <c r="AD380" s="421">
        <v>0</v>
      </c>
      <c r="AE380" s="421">
        <v>0</v>
      </c>
      <c r="AF380" s="421">
        <f t="shared" si="728"/>
        <v>0</v>
      </c>
      <c r="AG380" s="421">
        <f t="shared" si="729"/>
        <v>0</v>
      </c>
      <c r="AH380" s="421">
        <f t="shared" si="730"/>
        <v>0</v>
      </c>
      <c r="AI380" s="421">
        <v>0</v>
      </c>
      <c r="AJ380" s="421">
        <v>0</v>
      </c>
      <c r="AK380" s="421">
        <v>0</v>
      </c>
      <c r="AL380" s="421">
        <v>0</v>
      </c>
      <c r="AM380" s="421">
        <v>0</v>
      </c>
      <c r="AN380" s="421">
        <v>0</v>
      </c>
      <c r="AO380" s="421">
        <f t="shared" si="731"/>
        <v>0</v>
      </c>
      <c r="AP380" s="421">
        <f t="shared" si="732"/>
        <v>0</v>
      </c>
      <c r="AQ380" s="421">
        <f t="shared" si="733"/>
        <v>0</v>
      </c>
      <c r="AR380" s="421">
        <f t="shared" si="832"/>
        <v>0</v>
      </c>
      <c r="AS380" s="421">
        <f t="shared" si="832"/>
        <v>0</v>
      </c>
      <c r="AT380" s="421">
        <f t="shared" si="735"/>
        <v>0</v>
      </c>
      <c r="AU380" s="68">
        <f t="shared" si="833"/>
        <v>0</v>
      </c>
      <c r="AV380" s="68">
        <f t="shared" si="834"/>
        <v>0</v>
      </c>
      <c r="AW380" s="421">
        <v>0</v>
      </c>
      <c r="AX380" s="421">
        <v>0</v>
      </c>
      <c r="AY380" s="421">
        <f t="shared" si="737"/>
        <v>0</v>
      </c>
      <c r="AZ380" s="421">
        <f t="shared" si="738"/>
        <v>0</v>
      </c>
      <c r="BA380" s="422">
        <v>0</v>
      </c>
      <c r="BB380" s="422">
        <v>0</v>
      </c>
      <c r="BC380" s="422">
        <v>0</v>
      </c>
      <c r="BD380" s="422">
        <v>0</v>
      </c>
      <c r="BE380" s="422">
        <v>0</v>
      </c>
      <c r="BF380" s="422">
        <v>0</v>
      </c>
      <c r="BG380" s="422">
        <v>0</v>
      </c>
      <c r="BH380" s="422">
        <v>0</v>
      </c>
      <c r="BI380" s="422">
        <v>0</v>
      </c>
      <c r="BJ380" s="422">
        <v>0</v>
      </c>
      <c r="BK380" s="422">
        <f t="shared" si="835"/>
        <v>0</v>
      </c>
      <c r="BL380" s="422">
        <f t="shared" si="836"/>
        <v>0</v>
      </c>
      <c r="BM380" s="424">
        <f t="shared" si="739"/>
        <v>0</v>
      </c>
      <c r="BN380" s="427">
        <f t="shared" si="837"/>
        <v>430077</v>
      </c>
      <c r="BO380" s="421">
        <f t="shared" si="838"/>
        <v>317906</v>
      </c>
      <c r="BP380" s="421">
        <f t="shared" si="839"/>
        <v>0</v>
      </c>
      <c r="BQ380" s="421">
        <f t="shared" si="839"/>
        <v>317906</v>
      </c>
      <c r="BR380" s="421">
        <f t="shared" si="840"/>
        <v>0</v>
      </c>
      <c r="BS380" s="421">
        <f t="shared" si="841"/>
        <v>0</v>
      </c>
      <c r="BT380" s="421">
        <f t="shared" si="841"/>
        <v>0</v>
      </c>
      <c r="BU380" s="421">
        <f t="shared" si="842"/>
        <v>107452</v>
      </c>
      <c r="BV380" s="421">
        <f t="shared" si="842"/>
        <v>3179</v>
      </c>
      <c r="BW380" s="421">
        <f t="shared" si="843"/>
        <v>1540</v>
      </c>
      <c r="BX380" s="422">
        <f t="shared" si="844"/>
        <v>0.95330000000000004</v>
      </c>
      <c r="BY380" s="422">
        <f t="shared" si="845"/>
        <v>0</v>
      </c>
      <c r="BZ380" s="611">
        <f t="shared" si="845"/>
        <v>0.95330000000000004</v>
      </c>
      <c r="CA380" s="423"/>
      <c r="CB380" s="418"/>
      <c r="CC380" s="418"/>
      <c r="CD380" s="418"/>
      <c r="CE380" s="418"/>
      <c r="CF380" s="527"/>
    </row>
    <row r="381" spans="1:84" ht="14.1" customHeight="1" x14ac:dyDescent="0.2">
      <c r="A381" s="66">
        <v>76</v>
      </c>
      <c r="B381" s="63">
        <v>2461</v>
      </c>
      <c r="C381" s="64">
        <v>600079805</v>
      </c>
      <c r="D381" s="63">
        <v>72741724</v>
      </c>
      <c r="E381" s="65" t="s">
        <v>686</v>
      </c>
      <c r="F381" s="66">
        <v>3143</v>
      </c>
      <c r="G381" s="77" t="s">
        <v>596</v>
      </c>
      <c r="H381" s="67" t="s">
        <v>271</v>
      </c>
      <c r="I381" s="423">
        <f t="shared" si="721"/>
        <v>733815</v>
      </c>
      <c r="J381" s="418">
        <f t="shared" si="722"/>
        <v>544373</v>
      </c>
      <c r="K381" s="418">
        <v>544373</v>
      </c>
      <c r="L381" s="418">
        <v>0</v>
      </c>
      <c r="M381" s="418">
        <f t="shared" si="744"/>
        <v>0</v>
      </c>
      <c r="N381" s="418">
        <v>0</v>
      </c>
      <c r="O381" s="418">
        <v>0</v>
      </c>
      <c r="P381" s="668">
        <f t="shared" si="723"/>
        <v>183998</v>
      </c>
      <c r="Q381" s="668">
        <f t="shared" si="724"/>
        <v>5444</v>
      </c>
      <c r="R381" s="418">
        <v>0</v>
      </c>
      <c r="S381" s="419">
        <f t="shared" si="725"/>
        <v>1.0832999999999999</v>
      </c>
      <c r="T381" s="419">
        <v>1.0832999999999999</v>
      </c>
      <c r="U381" s="426">
        <v>0</v>
      </c>
      <c r="V381" s="428">
        <f t="shared" si="726"/>
        <v>0</v>
      </c>
      <c r="W381" s="421">
        <f t="shared" si="727"/>
        <v>0</v>
      </c>
      <c r="X381" s="421">
        <v>0</v>
      </c>
      <c r="Y381" s="421">
        <v>0</v>
      </c>
      <c r="Z381" s="421">
        <v>0</v>
      </c>
      <c r="AA381" s="421">
        <v>0</v>
      </c>
      <c r="AB381" s="421">
        <v>0</v>
      </c>
      <c r="AC381" s="421">
        <v>0</v>
      </c>
      <c r="AD381" s="421">
        <v>0</v>
      </c>
      <c r="AE381" s="421">
        <v>0</v>
      </c>
      <c r="AF381" s="421">
        <f t="shared" si="728"/>
        <v>0</v>
      </c>
      <c r="AG381" s="421">
        <f t="shared" si="729"/>
        <v>0</v>
      </c>
      <c r="AH381" s="421">
        <f t="shared" si="730"/>
        <v>0</v>
      </c>
      <c r="AI381" s="421">
        <v>0</v>
      </c>
      <c r="AJ381" s="421">
        <v>0</v>
      </c>
      <c r="AK381" s="421">
        <v>0</v>
      </c>
      <c r="AL381" s="421">
        <v>0</v>
      </c>
      <c r="AM381" s="421">
        <v>0</v>
      </c>
      <c r="AN381" s="421">
        <v>0</v>
      </c>
      <c r="AO381" s="421">
        <f t="shared" si="731"/>
        <v>0</v>
      </c>
      <c r="AP381" s="421">
        <f t="shared" si="732"/>
        <v>0</v>
      </c>
      <c r="AQ381" s="421">
        <f t="shared" si="733"/>
        <v>0</v>
      </c>
      <c r="AR381" s="421">
        <f t="shared" si="832"/>
        <v>0</v>
      </c>
      <c r="AS381" s="421">
        <f t="shared" si="832"/>
        <v>0</v>
      </c>
      <c r="AT381" s="421">
        <f t="shared" si="735"/>
        <v>0</v>
      </c>
      <c r="AU381" s="68">
        <f t="shared" si="833"/>
        <v>0</v>
      </c>
      <c r="AV381" s="68">
        <f t="shared" si="834"/>
        <v>0</v>
      </c>
      <c r="AW381" s="421">
        <v>0</v>
      </c>
      <c r="AX381" s="421">
        <v>0</v>
      </c>
      <c r="AY381" s="421">
        <f t="shared" si="737"/>
        <v>0</v>
      </c>
      <c r="AZ381" s="421">
        <f t="shared" si="738"/>
        <v>0</v>
      </c>
      <c r="BA381" s="422">
        <v>0</v>
      </c>
      <c r="BB381" s="422">
        <v>0</v>
      </c>
      <c r="BC381" s="422">
        <v>0</v>
      </c>
      <c r="BD381" s="422">
        <v>0</v>
      </c>
      <c r="BE381" s="422">
        <v>0</v>
      </c>
      <c r="BF381" s="422">
        <v>0</v>
      </c>
      <c r="BG381" s="422">
        <v>0</v>
      </c>
      <c r="BH381" s="422">
        <v>0</v>
      </c>
      <c r="BI381" s="422">
        <v>0</v>
      </c>
      <c r="BJ381" s="422">
        <v>0</v>
      </c>
      <c r="BK381" s="422">
        <f t="shared" si="835"/>
        <v>0</v>
      </c>
      <c r="BL381" s="422">
        <f t="shared" si="836"/>
        <v>0</v>
      </c>
      <c r="BM381" s="424">
        <f t="shared" si="739"/>
        <v>0</v>
      </c>
      <c r="BN381" s="427">
        <f t="shared" si="837"/>
        <v>733815</v>
      </c>
      <c r="BO381" s="421">
        <f t="shared" si="838"/>
        <v>544373</v>
      </c>
      <c r="BP381" s="421">
        <f t="shared" si="839"/>
        <v>544373</v>
      </c>
      <c r="BQ381" s="421">
        <f t="shared" si="839"/>
        <v>0</v>
      </c>
      <c r="BR381" s="421">
        <f t="shared" si="840"/>
        <v>0</v>
      </c>
      <c r="BS381" s="421">
        <f t="shared" si="841"/>
        <v>0</v>
      </c>
      <c r="BT381" s="421">
        <f t="shared" si="841"/>
        <v>0</v>
      </c>
      <c r="BU381" s="421">
        <f t="shared" si="842"/>
        <v>183998</v>
      </c>
      <c r="BV381" s="421">
        <f t="shared" si="842"/>
        <v>5444</v>
      </c>
      <c r="BW381" s="421">
        <f t="shared" si="843"/>
        <v>0</v>
      </c>
      <c r="BX381" s="422">
        <f t="shared" si="844"/>
        <v>1.0832999999999999</v>
      </c>
      <c r="BY381" s="422">
        <f t="shared" si="845"/>
        <v>1.0832999999999999</v>
      </c>
      <c r="BZ381" s="611">
        <f t="shared" si="845"/>
        <v>0</v>
      </c>
      <c r="CA381" s="423"/>
      <c r="CB381" s="418"/>
      <c r="CC381" s="418"/>
      <c r="CD381" s="418"/>
      <c r="CE381" s="418"/>
      <c r="CF381" s="527"/>
    </row>
    <row r="382" spans="1:84" ht="14.1" customHeight="1" x14ac:dyDescent="0.2">
      <c r="A382" s="66">
        <v>76</v>
      </c>
      <c r="B382" s="63">
        <v>2461</v>
      </c>
      <c r="C382" s="64">
        <v>600079805</v>
      </c>
      <c r="D382" s="63">
        <v>72741724</v>
      </c>
      <c r="E382" s="65" t="s">
        <v>686</v>
      </c>
      <c r="F382" s="66">
        <v>3143</v>
      </c>
      <c r="G382" s="77" t="s">
        <v>597</v>
      </c>
      <c r="H382" s="67" t="s">
        <v>272</v>
      </c>
      <c r="I382" s="423">
        <f t="shared" si="721"/>
        <v>13314</v>
      </c>
      <c r="J382" s="418">
        <f t="shared" si="722"/>
        <v>9530</v>
      </c>
      <c r="K382" s="418">
        <v>0</v>
      </c>
      <c r="L382" s="674">
        <v>9530</v>
      </c>
      <c r="M382" s="418">
        <f t="shared" si="744"/>
        <v>0</v>
      </c>
      <c r="N382" s="418">
        <v>0</v>
      </c>
      <c r="O382" s="418">
        <v>0</v>
      </c>
      <c r="P382" s="668">
        <f t="shared" si="723"/>
        <v>3221</v>
      </c>
      <c r="Q382" s="668">
        <f t="shared" si="724"/>
        <v>95</v>
      </c>
      <c r="R382" s="675">
        <v>468</v>
      </c>
      <c r="S382" s="419">
        <f t="shared" si="725"/>
        <v>3.61E-2</v>
      </c>
      <c r="T382" s="679">
        <v>0</v>
      </c>
      <c r="U382" s="909">
        <v>3.61E-2</v>
      </c>
      <c r="V382" s="428">
        <f t="shared" si="726"/>
        <v>0</v>
      </c>
      <c r="W382" s="421">
        <f t="shared" si="727"/>
        <v>0</v>
      </c>
      <c r="X382" s="421">
        <v>0</v>
      </c>
      <c r="Y382" s="421">
        <v>0</v>
      </c>
      <c r="Z382" s="421">
        <v>0</v>
      </c>
      <c r="AA382" s="421">
        <v>0</v>
      </c>
      <c r="AB382" s="421">
        <v>0</v>
      </c>
      <c r="AC382" s="421">
        <v>0</v>
      </c>
      <c r="AD382" s="421">
        <v>0</v>
      </c>
      <c r="AE382" s="421">
        <v>0</v>
      </c>
      <c r="AF382" s="421">
        <f t="shared" si="728"/>
        <v>0</v>
      </c>
      <c r="AG382" s="421">
        <f t="shared" si="729"/>
        <v>0</v>
      </c>
      <c r="AH382" s="421">
        <f t="shared" si="730"/>
        <v>0</v>
      </c>
      <c r="AI382" s="421">
        <v>0</v>
      </c>
      <c r="AJ382" s="421">
        <v>0</v>
      </c>
      <c r="AK382" s="421">
        <v>0</v>
      </c>
      <c r="AL382" s="421">
        <v>0</v>
      </c>
      <c r="AM382" s="421">
        <v>0</v>
      </c>
      <c r="AN382" s="421">
        <v>0</v>
      </c>
      <c r="AO382" s="421">
        <f t="shared" si="731"/>
        <v>0</v>
      </c>
      <c r="AP382" s="421">
        <f t="shared" si="732"/>
        <v>0</v>
      </c>
      <c r="AQ382" s="421">
        <f t="shared" si="733"/>
        <v>0</v>
      </c>
      <c r="AR382" s="421">
        <f t="shared" si="832"/>
        <v>0</v>
      </c>
      <c r="AS382" s="421">
        <f t="shared" si="832"/>
        <v>0</v>
      </c>
      <c r="AT382" s="421">
        <f t="shared" si="735"/>
        <v>0</v>
      </c>
      <c r="AU382" s="68">
        <f t="shared" si="833"/>
        <v>0</v>
      </c>
      <c r="AV382" s="68">
        <f t="shared" si="834"/>
        <v>0</v>
      </c>
      <c r="AW382" s="421">
        <v>0</v>
      </c>
      <c r="AX382" s="421">
        <v>0</v>
      </c>
      <c r="AY382" s="421">
        <f t="shared" si="737"/>
        <v>0</v>
      </c>
      <c r="AZ382" s="421">
        <f t="shared" si="738"/>
        <v>0</v>
      </c>
      <c r="BA382" s="422">
        <v>0</v>
      </c>
      <c r="BB382" s="422">
        <v>0</v>
      </c>
      <c r="BC382" s="422">
        <v>0</v>
      </c>
      <c r="BD382" s="422">
        <v>0</v>
      </c>
      <c r="BE382" s="422">
        <v>0</v>
      </c>
      <c r="BF382" s="422">
        <v>0</v>
      </c>
      <c r="BG382" s="422">
        <v>0</v>
      </c>
      <c r="BH382" s="422">
        <v>0</v>
      </c>
      <c r="BI382" s="422">
        <v>0</v>
      </c>
      <c r="BJ382" s="422">
        <v>0</v>
      </c>
      <c r="BK382" s="422">
        <f t="shared" si="835"/>
        <v>0</v>
      </c>
      <c r="BL382" s="422">
        <f t="shared" si="836"/>
        <v>0</v>
      </c>
      <c r="BM382" s="424">
        <f t="shared" si="739"/>
        <v>0</v>
      </c>
      <c r="BN382" s="427">
        <f t="shared" si="837"/>
        <v>13314</v>
      </c>
      <c r="BO382" s="421">
        <f t="shared" si="838"/>
        <v>9530</v>
      </c>
      <c r="BP382" s="421">
        <f t="shared" si="839"/>
        <v>0</v>
      </c>
      <c r="BQ382" s="421">
        <f t="shared" si="839"/>
        <v>9530</v>
      </c>
      <c r="BR382" s="421">
        <f t="shared" si="840"/>
        <v>0</v>
      </c>
      <c r="BS382" s="421">
        <f t="shared" si="841"/>
        <v>0</v>
      </c>
      <c r="BT382" s="421">
        <f t="shared" si="841"/>
        <v>0</v>
      </c>
      <c r="BU382" s="421">
        <f t="shared" si="842"/>
        <v>3221</v>
      </c>
      <c r="BV382" s="421">
        <f t="shared" si="842"/>
        <v>95</v>
      </c>
      <c r="BW382" s="421">
        <f t="shared" si="843"/>
        <v>468</v>
      </c>
      <c r="BX382" s="422">
        <f t="shared" si="844"/>
        <v>3.61E-2</v>
      </c>
      <c r="BY382" s="422">
        <f t="shared" si="845"/>
        <v>0</v>
      </c>
      <c r="BZ382" s="611">
        <f t="shared" si="845"/>
        <v>3.61E-2</v>
      </c>
      <c r="CA382" s="423"/>
      <c r="CB382" s="418"/>
      <c r="CC382" s="418"/>
      <c r="CD382" s="418"/>
      <c r="CE382" s="418"/>
      <c r="CF382" s="527"/>
    </row>
    <row r="383" spans="1:84" ht="14.1" customHeight="1" x14ac:dyDescent="0.2">
      <c r="A383" s="72">
        <v>76</v>
      </c>
      <c r="B383" s="69">
        <v>2461</v>
      </c>
      <c r="C383" s="70">
        <v>600079805</v>
      </c>
      <c r="D383" s="69">
        <v>72741724</v>
      </c>
      <c r="E383" s="71" t="s">
        <v>687</v>
      </c>
      <c r="F383" s="72"/>
      <c r="G383" s="71"/>
      <c r="H383" s="73"/>
      <c r="I383" s="538">
        <f t="shared" ref="I383:BU383" si="846">SUM(I377:I382)</f>
        <v>5479059</v>
      </c>
      <c r="J383" s="74">
        <f t="shared" si="846"/>
        <v>4036761</v>
      </c>
      <c r="K383" s="74">
        <f t="shared" si="846"/>
        <v>3444126</v>
      </c>
      <c r="L383" s="74">
        <f t="shared" si="846"/>
        <v>592635</v>
      </c>
      <c r="M383" s="74">
        <f t="shared" si="846"/>
        <v>0</v>
      </c>
      <c r="N383" s="74">
        <f t="shared" si="846"/>
        <v>0</v>
      </c>
      <c r="O383" s="74">
        <f t="shared" si="846"/>
        <v>0</v>
      </c>
      <c r="P383" s="74">
        <f t="shared" si="846"/>
        <v>1364425</v>
      </c>
      <c r="Q383" s="74">
        <f t="shared" si="846"/>
        <v>40367</v>
      </c>
      <c r="R383" s="74">
        <f t="shared" si="846"/>
        <v>37506</v>
      </c>
      <c r="S383" s="75">
        <f t="shared" si="846"/>
        <v>7.4074999999999998</v>
      </c>
      <c r="T383" s="75">
        <f t="shared" si="846"/>
        <v>5.6448999999999998</v>
      </c>
      <c r="U383" s="753">
        <f t="shared" si="846"/>
        <v>1.7626000000000002</v>
      </c>
      <c r="V383" s="538">
        <f t="shared" si="846"/>
        <v>-64000</v>
      </c>
      <c r="W383" s="74">
        <f t="shared" si="846"/>
        <v>-16000</v>
      </c>
      <c r="X383" s="74">
        <f t="shared" si="846"/>
        <v>894335</v>
      </c>
      <c r="Y383" s="74">
        <f t="shared" si="846"/>
        <v>0</v>
      </c>
      <c r="Z383" s="74">
        <f t="shared" si="846"/>
        <v>0</v>
      </c>
      <c r="AA383" s="74">
        <f t="shared" si="846"/>
        <v>0</v>
      </c>
      <c r="AB383" s="74">
        <f t="shared" si="846"/>
        <v>0</v>
      </c>
      <c r="AC383" s="74">
        <f t="shared" si="846"/>
        <v>0</v>
      </c>
      <c r="AD383" s="74">
        <f t="shared" si="846"/>
        <v>0</v>
      </c>
      <c r="AE383" s="74">
        <f t="shared" si="846"/>
        <v>0</v>
      </c>
      <c r="AF383" s="74">
        <f t="shared" si="846"/>
        <v>830335</v>
      </c>
      <c r="AG383" s="74">
        <f t="shared" si="846"/>
        <v>-16000</v>
      </c>
      <c r="AH383" s="74">
        <f t="shared" si="846"/>
        <v>814335</v>
      </c>
      <c r="AI383" s="74">
        <f t="shared" si="846"/>
        <v>64000</v>
      </c>
      <c r="AJ383" s="74">
        <f t="shared" si="846"/>
        <v>16000</v>
      </c>
      <c r="AK383" s="74">
        <f t="shared" si="846"/>
        <v>0</v>
      </c>
      <c r="AL383" s="74">
        <f t="shared" si="846"/>
        <v>0</v>
      </c>
      <c r="AM383" s="74">
        <f t="shared" si="846"/>
        <v>0</v>
      </c>
      <c r="AN383" s="74">
        <f t="shared" si="846"/>
        <v>0</v>
      </c>
      <c r="AO383" s="74">
        <f t="shared" si="846"/>
        <v>64000</v>
      </c>
      <c r="AP383" s="74">
        <f t="shared" si="846"/>
        <v>16000</v>
      </c>
      <c r="AQ383" s="74">
        <f t="shared" si="846"/>
        <v>80000</v>
      </c>
      <c r="AR383" s="74">
        <f t="shared" si="846"/>
        <v>894335</v>
      </c>
      <c r="AS383" s="74">
        <f t="shared" si="846"/>
        <v>0</v>
      </c>
      <c r="AT383" s="74">
        <f t="shared" si="846"/>
        <v>894335</v>
      </c>
      <c r="AU383" s="74">
        <f t="shared" si="846"/>
        <v>302285</v>
      </c>
      <c r="AV383" s="74">
        <f t="shared" si="846"/>
        <v>8143</v>
      </c>
      <c r="AW383" s="74">
        <f t="shared" si="846"/>
        <v>500</v>
      </c>
      <c r="AX383" s="74">
        <f t="shared" si="846"/>
        <v>0</v>
      </c>
      <c r="AY383" s="74">
        <f t="shared" si="846"/>
        <v>500</v>
      </c>
      <c r="AZ383" s="74">
        <f t="shared" si="846"/>
        <v>1205263</v>
      </c>
      <c r="BA383" s="75">
        <f t="shared" si="846"/>
        <v>-0.09</v>
      </c>
      <c r="BB383" s="75">
        <f t="shared" si="846"/>
        <v>-0.05</v>
      </c>
      <c r="BC383" s="75">
        <f t="shared" si="846"/>
        <v>2.2799999999999998</v>
      </c>
      <c r="BD383" s="75">
        <f t="shared" si="846"/>
        <v>0</v>
      </c>
      <c r="BE383" s="75">
        <f t="shared" si="846"/>
        <v>0</v>
      </c>
      <c r="BF383" s="75">
        <f t="shared" si="846"/>
        <v>0</v>
      </c>
      <c r="BG383" s="75">
        <f t="shared" si="846"/>
        <v>0</v>
      </c>
      <c r="BH383" s="75">
        <f t="shared" si="846"/>
        <v>0</v>
      </c>
      <c r="BI383" s="75">
        <f t="shared" si="846"/>
        <v>0</v>
      </c>
      <c r="BJ383" s="75">
        <f t="shared" si="846"/>
        <v>0</v>
      </c>
      <c r="BK383" s="75">
        <f t="shared" si="846"/>
        <v>2.19</v>
      </c>
      <c r="BL383" s="75">
        <f t="shared" si="846"/>
        <v>-0.05</v>
      </c>
      <c r="BM383" s="76">
        <f t="shared" si="846"/>
        <v>2.1399999999999997</v>
      </c>
      <c r="BN383" s="549">
        <f t="shared" si="846"/>
        <v>6684322</v>
      </c>
      <c r="BO383" s="74">
        <f t="shared" si="846"/>
        <v>4851096</v>
      </c>
      <c r="BP383" s="74">
        <f t="shared" si="846"/>
        <v>4274461</v>
      </c>
      <c r="BQ383" s="74">
        <f t="shared" si="846"/>
        <v>576635</v>
      </c>
      <c r="BR383" s="74">
        <f t="shared" si="846"/>
        <v>80000</v>
      </c>
      <c r="BS383" s="74">
        <f t="shared" si="846"/>
        <v>64000</v>
      </c>
      <c r="BT383" s="74">
        <f t="shared" si="846"/>
        <v>16000</v>
      </c>
      <c r="BU383" s="74">
        <f t="shared" si="846"/>
        <v>1666710</v>
      </c>
      <c r="BV383" s="74">
        <f t="shared" ref="BV383:CF383" si="847">SUM(BV377:BV382)</f>
        <v>48510</v>
      </c>
      <c r="BW383" s="74">
        <f t="shared" si="847"/>
        <v>38006</v>
      </c>
      <c r="BX383" s="75">
        <f t="shared" si="847"/>
        <v>9.5474999999999994</v>
      </c>
      <c r="BY383" s="75">
        <f t="shared" si="847"/>
        <v>7.8348999999999993</v>
      </c>
      <c r="BZ383" s="753">
        <f t="shared" si="847"/>
        <v>1.7126000000000001</v>
      </c>
      <c r="CA383" s="796">
        <f t="shared" si="847"/>
        <v>0</v>
      </c>
      <c r="CB383" s="789">
        <f t="shared" si="847"/>
        <v>0</v>
      </c>
      <c r="CC383" s="789">
        <f t="shared" si="847"/>
        <v>0</v>
      </c>
      <c r="CD383" s="789">
        <f t="shared" si="847"/>
        <v>0</v>
      </c>
      <c r="CE383" s="789">
        <f t="shared" si="847"/>
        <v>0</v>
      </c>
      <c r="CF383" s="793">
        <f t="shared" si="847"/>
        <v>0</v>
      </c>
    </row>
    <row r="384" spans="1:84" ht="14.1" customHeight="1" x14ac:dyDescent="0.2">
      <c r="A384" s="66">
        <v>77</v>
      </c>
      <c r="B384" s="63">
        <v>2460</v>
      </c>
      <c r="C384" s="64">
        <v>600079783</v>
      </c>
      <c r="D384" s="63">
        <v>72741643</v>
      </c>
      <c r="E384" s="65" t="s">
        <v>688</v>
      </c>
      <c r="F384" s="66">
        <v>3113</v>
      </c>
      <c r="G384" s="65" t="s">
        <v>294</v>
      </c>
      <c r="H384" s="67" t="s">
        <v>271</v>
      </c>
      <c r="I384" s="423">
        <f t="shared" si="721"/>
        <v>44844934</v>
      </c>
      <c r="J384" s="418">
        <f t="shared" ref="J384" si="848">K384+L384</f>
        <v>32810607</v>
      </c>
      <c r="K384" s="418">
        <v>30687869</v>
      </c>
      <c r="L384" s="418">
        <v>2122738</v>
      </c>
      <c r="M384" s="418">
        <f>N384+O384</f>
        <v>0</v>
      </c>
      <c r="N384" s="418">
        <v>0</v>
      </c>
      <c r="O384" s="418">
        <v>0</v>
      </c>
      <c r="P384" s="668">
        <f t="shared" si="723"/>
        <v>11089985</v>
      </c>
      <c r="Q384" s="668">
        <f t="shared" si="724"/>
        <v>328106</v>
      </c>
      <c r="R384" s="418">
        <v>616236</v>
      </c>
      <c r="S384" s="419">
        <f>T384+U384</f>
        <v>49.615100000000005</v>
      </c>
      <c r="T384" s="419">
        <v>43.136000000000003</v>
      </c>
      <c r="U384" s="426">
        <v>6.4790999999999999</v>
      </c>
      <c r="V384" s="428">
        <f t="shared" si="726"/>
        <v>0</v>
      </c>
      <c r="W384" s="421">
        <f t="shared" si="727"/>
        <v>0</v>
      </c>
      <c r="X384" s="421">
        <v>0</v>
      </c>
      <c r="Y384" s="421">
        <v>0</v>
      </c>
      <c r="Z384" s="421">
        <v>0</v>
      </c>
      <c r="AA384" s="421">
        <v>0</v>
      </c>
      <c r="AB384" s="421">
        <v>507600</v>
      </c>
      <c r="AC384" s="421">
        <v>0</v>
      </c>
      <c r="AD384" s="421">
        <v>0</v>
      </c>
      <c r="AE384" s="421">
        <v>0</v>
      </c>
      <c r="AF384" s="421">
        <f t="shared" si="728"/>
        <v>507600</v>
      </c>
      <c r="AG384" s="421">
        <f t="shared" si="729"/>
        <v>0</v>
      </c>
      <c r="AH384" s="421">
        <f t="shared" si="730"/>
        <v>507600</v>
      </c>
      <c r="AI384" s="421">
        <v>0</v>
      </c>
      <c r="AJ384" s="421">
        <v>0</v>
      </c>
      <c r="AK384" s="421">
        <v>0</v>
      </c>
      <c r="AL384" s="421">
        <v>0</v>
      </c>
      <c r="AM384" s="421">
        <v>0</v>
      </c>
      <c r="AN384" s="421">
        <v>0</v>
      </c>
      <c r="AO384" s="421">
        <f t="shared" si="731"/>
        <v>0</v>
      </c>
      <c r="AP384" s="421">
        <f t="shared" si="732"/>
        <v>0</v>
      </c>
      <c r="AQ384" s="421">
        <f t="shared" si="733"/>
        <v>0</v>
      </c>
      <c r="AR384" s="421">
        <f t="shared" ref="AR384:AS388" si="849">AF384+AO384</f>
        <v>507600</v>
      </c>
      <c r="AS384" s="421">
        <f t="shared" si="849"/>
        <v>0</v>
      </c>
      <c r="AT384" s="421">
        <f t="shared" si="735"/>
        <v>507600</v>
      </c>
      <c r="AU384" s="68">
        <f t="shared" ref="AU384:AU388" si="850">ROUND((AH384+AI384+AJ384+AK384+AL384)*33.8%,0)</f>
        <v>171569</v>
      </c>
      <c r="AV384" s="68">
        <f>ROUND(AH384*1%,0)</f>
        <v>5076</v>
      </c>
      <c r="AW384" s="421">
        <v>0</v>
      </c>
      <c r="AX384" s="421">
        <v>0</v>
      </c>
      <c r="AY384" s="421">
        <f t="shared" si="737"/>
        <v>0</v>
      </c>
      <c r="AZ384" s="421">
        <f t="shared" si="738"/>
        <v>684245</v>
      </c>
      <c r="BA384" s="422">
        <v>0</v>
      </c>
      <c r="BB384" s="422">
        <v>0</v>
      </c>
      <c r="BC384" s="422">
        <v>0</v>
      </c>
      <c r="BD384" s="422">
        <v>0.9</v>
      </c>
      <c r="BE384" s="422">
        <v>0</v>
      </c>
      <c r="BF384" s="422">
        <v>0</v>
      </c>
      <c r="BG384" s="422">
        <v>0</v>
      </c>
      <c r="BH384" s="422">
        <v>0</v>
      </c>
      <c r="BI384" s="422">
        <v>0</v>
      </c>
      <c r="BJ384" s="422">
        <v>0</v>
      </c>
      <c r="BK384" s="422">
        <f>BA384+BC384+BD384+BF384+BH384+BI384</f>
        <v>0.9</v>
      </c>
      <c r="BL384" s="422">
        <f>BB384+BE384+BG384+BJ384</f>
        <v>0</v>
      </c>
      <c r="BM384" s="424">
        <f t="shared" si="739"/>
        <v>0.9</v>
      </c>
      <c r="BN384" s="427">
        <f>I384+AZ384</f>
        <v>45529179</v>
      </c>
      <c r="BO384" s="421">
        <f>J384+AH384</f>
        <v>33318207</v>
      </c>
      <c r="BP384" s="421">
        <f t="shared" ref="BP384:BQ388" si="851">K384+AF384</f>
        <v>31195469</v>
      </c>
      <c r="BQ384" s="421">
        <f t="shared" si="851"/>
        <v>2122738</v>
      </c>
      <c r="BR384" s="421">
        <f>M384+AQ384</f>
        <v>0</v>
      </c>
      <c r="BS384" s="421">
        <f t="shared" ref="BS384:BT388" si="852">N384+AO384</f>
        <v>0</v>
      </c>
      <c r="BT384" s="421">
        <f t="shared" si="852"/>
        <v>0</v>
      </c>
      <c r="BU384" s="421">
        <f t="shared" ref="BU384:BV388" si="853">P384+AU384</f>
        <v>11261554</v>
      </c>
      <c r="BV384" s="421">
        <f t="shared" si="853"/>
        <v>333182</v>
      </c>
      <c r="BW384" s="421">
        <f>R384+AY384</f>
        <v>616236</v>
      </c>
      <c r="BX384" s="422">
        <f>S384+BM384</f>
        <v>50.515100000000004</v>
      </c>
      <c r="BY384" s="422">
        <f t="shared" ref="BY384:BZ388" si="854">T384+BK384</f>
        <v>44.036000000000001</v>
      </c>
      <c r="BZ384" s="611">
        <f t="shared" si="854"/>
        <v>6.4790999999999999</v>
      </c>
      <c r="CA384" s="423">
        <v>684245</v>
      </c>
      <c r="CB384" s="418">
        <v>507600</v>
      </c>
      <c r="CC384" s="418">
        <v>0</v>
      </c>
      <c r="CD384" s="418">
        <v>171569</v>
      </c>
      <c r="CE384" s="418">
        <v>5076</v>
      </c>
      <c r="CF384" s="527">
        <v>0.9</v>
      </c>
    </row>
    <row r="385" spans="1:84" ht="14.1" customHeight="1" x14ac:dyDescent="0.2">
      <c r="A385" s="66">
        <v>77</v>
      </c>
      <c r="B385" s="63">
        <v>2460</v>
      </c>
      <c r="C385" s="64">
        <v>600079783</v>
      </c>
      <c r="D385" s="63">
        <v>72741643</v>
      </c>
      <c r="E385" s="65" t="s">
        <v>688</v>
      </c>
      <c r="F385" s="66">
        <v>3113</v>
      </c>
      <c r="G385" s="43" t="s">
        <v>293</v>
      </c>
      <c r="H385" s="67" t="s">
        <v>271</v>
      </c>
      <c r="I385" s="423">
        <f t="shared" si="721"/>
        <v>0</v>
      </c>
      <c r="J385" s="418">
        <f t="shared" si="722"/>
        <v>0</v>
      </c>
      <c r="K385" s="418">
        <v>0</v>
      </c>
      <c r="L385" s="418">
        <v>0</v>
      </c>
      <c r="M385" s="418">
        <f t="shared" si="744"/>
        <v>0</v>
      </c>
      <c r="N385" s="418">
        <v>0</v>
      </c>
      <c r="O385" s="418">
        <v>0</v>
      </c>
      <c r="P385" s="668">
        <f t="shared" si="723"/>
        <v>0</v>
      </c>
      <c r="Q385" s="668">
        <f t="shared" si="724"/>
        <v>0</v>
      </c>
      <c r="R385" s="418">
        <v>0</v>
      </c>
      <c r="S385" s="419">
        <f t="shared" ref="S385" si="855">T385+U385</f>
        <v>0</v>
      </c>
      <c r="T385" s="420">
        <v>0</v>
      </c>
      <c r="U385" s="426">
        <v>0</v>
      </c>
      <c r="V385" s="428">
        <f t="shared" si="726"/>
        <v>0</v>
      </c>
      <c r="W385" s="421">
        <f t="shared" si="727"/>
        <v>0</v>
      </c>
      <c r="X385" s="421">
        <v>0</v>
      </c>
      <c r="Y385" s="421">
        <v>0</v>
      </c>
      <c r="Z385" s="421">
        <v>0</v>
      </c>
      <c r="AA385" s="421">
        <v>0</v>
      </c>
      <c r="AB385" s="421">
        <v>0</v>
      </c>
      <c r="AC385" s="421">
        <v>0</v>
      </c>
      <c r="AD385" s="421">
        <v>0</v>
      </c>
      <c r="AE385" s="421">
        <v>0</v>
      </c>
      <c r="AF385" s="421">
        <f t="shared" si="728"/>
        <v>0</v>
      </c>
      <c r="AG385" s="421">
        <f t="shared" si="729"/>
        <v>0</v>
      </c>
      <c r="AH385" s="421">
        <f t="shared" si="730"/>
        <v>0</v>
      </c>
      <c r="AI385" s="421">
        <v>0</v>
      </c>
      <c r="AJ385" s="421">
        <v>0</v>
      </c>
      <c r="AK385" s="421">
        <v>0</v>
      </c>
      <c r="AL385" s="421">
        <v>0</v>
      </c>
      <c r="AM385" s="421">
        <v>0</v>
      </c>
      <c r="AN385" s="421">
        <v>0</v>
      </c>
      <c r="AO385" s="421">
        <f t="shared" si="731"/>
        <v>0</v>
      </c>
      <c r="AP385" s="421">
        <f t="shared" si="732"/>
        <v>0</v>
      </c>
      <c r="AQ385" s="421">
        <f t="shared" si="733"/>
        <v>0</v>
      </c>
      <c r="AR385" s="421">
        <f t="shared" si="849"/>
        <v>0</v>
      </c>
      <c r="AS385" s="421">
        <f t="shared" si="849"/>
        <v>0</v>
      </c>
      <c r="AT385" s="421">
        <f t="shared" si="735"/>
        <v>0</v>
      </c>
      <c r="AU385" s="68">
        <f t="shared" si="850"/>
        <v>0</v>
      </c>
      <c r="AV385" s="68">
        <f>ROUND(AH385*1%,0)</f>
        <v>0</v>
      </c>
      <c r="AW385" s="421">
        <v>0</v>
      </c>
      <c r="AX385" s="421">
        <v>0</v>
      </c>
      <c r="AY385" s="421">
        <f t="shared" si="737"/>
        <v>0</v>
      </c>
      <c r="AZ385" s="421">
        <f t="shared" si="738"/>
        <v>0</v>
      </c>
      <c r="BA385" s="422">
        <v>0</v>
      </c>
      <c r="BB385" s="422">
        <v>0</v>
      </c>
      <c r="BC385" s="422">
        <v>0</v>
      </c>
      <c r="BD385" s="422">
        <v>0</v>
      </c>
      <c r="BE385" s="422">
        <v>0</v>
      </c>
      <c r="BF385" s="422">
        <v>0</v>
      </c>
      <c r="BG385" s="422">
        <v>0</v>
      </c>
      <c r="BH385" s="422">
        <v>0</v>
      </c>
      <c r="BI385" s="422">
        <v>0</v>
      </c>
      <c r="BJ385" s="422">
        <v>0</v>
      </c>
      <c r="BK385" s="422">
        <f>BA385+BC385+BD385+BF385+BH385+BI385</f>
        <v>0</v>
      </c>
      <c r="BL385" s="422">
        <f>BB385+BE385+BG385+BJ385</f>
        <v>0</v>
      </c>
      <c r="BM385" s="424">
        <f t="shared" si="739"/>
        <v>0</v>
      </c>
      <c r="BN385" s="427">
        <f>I385+AZ385</f>
        <v>0</v>
      </c>
      <c r="BO385" s="421">
        <f>J385+AH385</f>
        <v>0</v>
      </c>
      <c r="BP385" s="421">
        <f t="shared" si="851"/>
        <v>0</v>
      </c>
      <c r="BQ385" s="421">
        <f t="shared" si="851"/>
        <v>0</v>
      </c>
      <c r="BR385" s="421">
        <f>M385+AQ385</f>
        <v>0</v>
      </c>
      <c r="BS385" s="421">
        <f t="shared" si="852"/>
        <v>0</v>
      </c>
      <c r="BT385" s="421">
        <f t="shared" si="852"/>
        <v>0</v>
      </c>
      <c r="BU385" s="421">
        <f t="shared" si="853"/>
        <v>0</v>
      </c>
      <c r="BV385" s="421">
        <f t="shared" si="853"/>
        <v>0</v>
      </c>
      <c r="BW385" s="421">
        <f>R385+AY385</f>
        <v>0</v>
      </c>
      <c r="BX385" s="422">
        <f>S385+BM385</f>
        <v>0</v>
      </c>
      <c r="BY385" s="422">
        <f t="shared" si="854"/>
        <v>0</v>
      </c>
      <c r="BZ385" s="611">
        <f t="shared" si="854"/>
        <v>0</v>
      </c>
      <c r="CA385" s="423"/>
      <c r="CB385" s="418"/>
      <c r="CC385" s="418"/>
      <c r="CD385" s="418"/>
      <c r="CE385" s="418"/>
      <c r="CF385" s="527"/>
    </row>
    <row r="386" spans="1:84" ht="14.1" customHeight="1" x14ac:dyDescent="0.2">
      <c r="A386" s="66">
        <v>77</v>
      </c>
      <c r="B386" s="63">
        <v>2460</v>
      </c>
      <c r="C386" s="64">
        <v>600079783</v>
      </c>
      <c r="D386" s="63">
        <v>72741643</v>
      </c>
      <c r="E386" s="65" t="s">
        <v>688</v>
      </c>
      <c r="F386" s="66">
        <v>3113</v>
      </c>
      <c r="G386" s="77" t="s">
        <v>292</v>
      </c>
      <c r="H386" s="67" t="s">
        <v>272</v>
      </c>
      <c r="I386" s="423">
        <f t="shared" si="721"/>
        <v>0</v>
      </c>
      <c r="J386" s="418">
        <f t="shared" si="722"/>
        <v>0</v>
      </c>
      <c r="K386" s="418">
        <v>0</v>
      </c>
      <c r="L386" s="418">
        <v>0</v>
      </c>
      <c r="M386" s="418">
        <f t="shared" si="744"/>
        <v>0</v>
      </c>
      <c r="N386" s="418">
        <v>0</v>
      </c>
      <c r="O386" s="418">
        <v>0</v>
      </c>
      <c r="P386" s="668">
        <f t="shared" si="723"/>
        <v>0</v>
      </c>
      <c r="Q386" s="668">
        <f t="shared" si="724"/>
        <v>0</v>
      </c>
      <c r="R386" s="418">
        <v>0</v>
      </c>
      <c r="S386" s="419">
        <f t="shared" si="725"/>
        <v>0</v>
      </c>
      <c r="T386" s="420">
        <v>0</v>
      </c>
      <c r="U386" s="426">
        <v>0</v>
      </c>
      <c r="V386" s="428">
        <f t="shared" si="726"/>
        <v>0</v>
      </c>
      <c r="W386" s="421">
        <f t="shared" si="727"/>
        <v>0</v>
      </c>
      <c r="X386" s="16">
        <v>673660</v>
      </c>
      <c r="Y386" s="16">
        <v>0</v>
      </c>
      <c r="Z386" s="16">
        <v>0</v>
      </c>
      <c r="AA386" s="16">
        <v>0</v>
      </c>
      <c r="AB386" s="421">
        <v>0</v>
      </c>
      <c r="AC386" s="16">
        <v>0</v>
      </c>
      <c r="AD386" s="16">
        <v>0</v>
      </c>
      <c r="AE386" s="16">
        <v>0</v>
      </c>
      <c r="AF386" s="421">
        <f t="shared" si="728"/>
        <v>673660</v>
      </c>
      <c r="AG386" s="421">
        <f t="shared" si="729"/>
        <v>0</v>
      </c>
      <c r="AH386" s="421">
        <f t="shared" si="730"/>
        <v>673660</v>
      </c>
      <c r="AI386" s="16">
        <v>0</v>
      </c>
      <c r="AJ386" s="16">
        <v>0</v>
      </c>
      <c r="AK386" s="421">
        <v>0</v>
      </c>
      <c r="AL386" s="16">
        <v>0</v>
      </c>
      <c r="AM386" s="16">
        <v>0</v>
      </c>
      <c r="AN386" s="16">
        <v>0</v>
      </c>
      <c r="AO386" s="421">
        <f t="shared" si="731"/>
        <v>0</v>
      </c>
      <c r="AP386" s="16">
        <v>0</v>
      </c>
      <c r="AQ386" s="421">
        <f t="shared" si="733"/>
        <v>0</v>
      </c>
      <c r="AR386" s="421">
        <f t="shared" si="849"/>
        <v>673660</v>
      </c>
      <c r="AS386" s="421">
        <f t="shared" si="849"/>
        <v>0</v>
      </c>
      <c r="AT386" s="421">
        <f t="shared" si="735"/>
        <v>673660</v>
      </c>
      <c r="AU386" s="68">
        <f t="shared" si="850"/>
        <v>227697</v>
      </c>
      <c r="AV386" s="68">
        <f>ROUND(AH386*1%,0)</f>
        <v>6737</v>
      </c>
      <c r="AW386" s="16">
        <v>4000</v>
      </c>
      <c r="AX386" s="16">
        <v>0</v>
      </c>
      <c r="AY386" s="421">
        <f t="shared" si="737"/>
        <v>4000</v>
      </c>
      <c r="AZ386" s="421">
        <f t="shared" si="738"/>
        <v>912094</v>
      </c>
      <c r="BA386" s="13">
        <v>0</v>
      </c>
      <c r="BB386" s="13">
        <v>0</v>
      </c>
      <c r="BC386" s="13">
        <v>1.8</v>
      </c>
      <c r="BD386" s="422">
        <v>0</v>
      </c>
      <c r="BE386" s="422">
        <v>0</v>
      </c>
      <c r="BF386" s="422">
        <v>0</v>
      </c>
      <c r="BG386" s="422">
        <v>0</v>
      </c>
      <c r="BH386" s="422">
        <v>0</v>
      </c>
      <c r="BI386" s="422">
        <v>0</v>
      </c>
      <c r="BJ386" s="422">
        <v>0</v>
      </c>
      <c r="BK386" s="422">
        <f>BA386+BC386+BD386+BF386+BH386+BI386</f>
        <v>1.8</v>
      </c>
      <c r="BL386" s="422">
        <f>BB386+BE386+BG386+BJ386</f>
        <v>0</v>
      </c>
      <c r="BM386" s="424">
        <f t="shared" si="739"/>
        <v>1.8</v>
      </c>
      <c r="BN386" s="427">
        <f>I386+AZ386</f>
        <v>912094</v>
      </c>
      <c r="BO386" s="421">
        <f>J386+AH386</f>
        <v>673660</v>
      </c>
      <c r="BP386" s="421">
        <f t="shared" si="851"/>
        <v>673660</v>
      </c>
      <c r="BQ386" s="421">
        <f t="shared" si="851"/>
        <v>0</v>
      </c>
      <c r="BR386" s="421">
        <f>M386+AQ386</f>
        <v>0</v>
      </c>
      <c r="BS386" s="421">
        <f t="shared" si="852"/>
        <v>0</v>
      </c>
      <c r="BT386" s="421">
        <f t="shared" si="852"/>
        <v>0</v>
      </c>
      <c r="BU386" s="421">
        <f t="shared" si="853"/>
        <v>227697</v>
      </c>
      <c r="BV386" s="421">
        <f t="shared" si="853"/>
        <v>6737</v>
      </c>
      <c r="BW386" s="421">
        <f>R386+AY386</f>
        <v>4000</v>
      </c>
      <c r="BX386" s="422">
        <f>S386+BM386</f>
        <v>1.8</v>
      </c>
      <c r="BY386" s="422">
        <f t="shared" si="854"/>
        <v>1.8</v>
      </c>
      <c r="BZ386" s="611">
        <f t="shared" si="854"/>
        <v>0</v>
      </c>
      <c r="CA386" s="423"/>
      <c r="CB386" s="418"/>
      <c r="CC386" s="418"/>
      <c r="CD386" s="418"/>
      <c r="CE386" s="418"/>
      <c r="CF386" s="527"/>
    </row>
    <row r="387" spans="1:84" ht="14.1" customHeight="1" x14ac:dyDescent="0.2">
      <c r="A387" s="66">
        <v>77</v>
      </c>
      <c r="B387" s="63">
        <v>2460</v>
      </c>
      <c r="C387" s="64">
        <v>600079783</v>
      </c>
      <c r="D387" s="63">
        <v>72741643</v>
      </c>
      <c r="E387" s="65" t="s">
        <v>688</v>
      </c>
      <c r="F387" s="66">
        <v>3143</v>
      </c>
      <c r="G387" s="77" t="s">
        <v>596</v>
      </c>
      <c r="H387" s="67" t="s">
        <v>271</v>
      </c>
      <c r="I387" s="423">
        <f t="shared" si="721"/>
        <v>2996854</v>
      </c>
      <c r="J387" s="418">
        <f t="shared" si="722"/>
        <v>2223185</v>
      </c>
      <c r="K387" s="418">
        <v>2223185</v>
      </c>
      <c r="L387" s="418">
        <v>0</v>
      </c>
      <c r="M387" s="418">
        <f t="shared" si="744"/>
        <v>0</v>
      </c>
      <c r="N387" s="418">
        <v>0</v>
      </c>
      <c r="O387" s="418">
        <v>0</v>
      </c>
      <c r="P387" s="668">
        <f t="shared" si="723"/>
        <v>751437</v>
      </c>
      <c r="Q387" s="668">
        <f t="shared" si="724"/>
        <v>22232</v>
      </c>
      <c r="R387" s="418">
        <v>0</v>
      </c>
      <c r="S387" s="419">
        <f t="shared" si="725"/>
        <v>4.3213999999999997</v>
      </c>
      <c r="T387" s="419">
        <v>4.3213999999999997</v>
      </c>
      <c r="U387" s="426">
        <v>0</v>
      </c>
      <c r="V387" s="428">
        <f t="shared" si="726"/>
        <v>0</v>
      </c>
      <c r="W387" s="421">
        <f t="shared" si="727"/>
        <v>0</v>
      </c>
      <c r="X387" s="421">
        <v>0</v>
      </c>
      <c r="Y387" s="421">
        <v>0</v>
      </c>
      <c r="Z387" s="421">
        <v>0</v>
      </c>
      <c r="AA387" s="421">
        <v>0</v>
      </c>
      <c r="AB387" s="421">
        <v>0</v>
      </c>
      <c r="AC387" s="421">
        <v>0</v>
      </c>
      <c r="AD387" s="421">
        <v>0</v>
      </c>
      <c r="AE387" s="421">
        <v>0</v>
      </c>
      <c r="AF387" s="421">
        <f t="shared" si="728"/>
        <v>0</v>
      </c>
      <c r="AG387" s="421">
        <f t="shared" si="729"/>
        <v>0</v>
      </c>
      <c r="AH387" s="421">
        <f t="shared" si="730"/>
        <v>0</v>
      </c>
      <c r="AI387" s="421">
        <v>0</v>
      </c>
      <c r="AJ387" s="421">
        <v>0</v>
      </c>
      <c r="AK387" s="421">
        <v>0</v>
      </c>
      <c r="AL387" s="421">
        <v>0</v>
      </c>
      <c r="AM387" s="421">
        <v>0</v>
      </c>
      <c r="AN387" s="421">
        <v>0</v>
      </c>
      <c r="AO387" s="421">
        <f t="shared" si="731"/>
        <v>0</v>
      </c>
      <c r="AP387" s="421">
        <f t="shared" si="732"/>
        <v>0</v>
      </c>
      <c r="AQ387" s="421">
        <f t="shared" si="733"/>
        <v>0</v>
      </c>
      <c r="AR387" s="421">
        <f t="shared" si="849"/>
        <v>0</v>
      </c>
      <c r="AS387" s="421">
        <f t="shared" si="849"/>
        <v>0</v>
      </c>
      <c r="AT387" s="421">
        <f t="shared" si="735"/>
        <v>0</v>
      </c>
      <c r="AU387" s="68">
        <f t="shared" si="850"/>
        <v>0</v>
      </c>
      <c r="AV387" s="68">
        <f>ROUND(AH387*1%,0)</f>
        <v>0</v>
      </c>
      <c r="AW387" s="421">
        <v>0</v>
      </c>
      <c r="AX387" s="421">
        <v>0</v>
      </c>
      <c r="AY387" s="421">
        <f t="shared" si="737"/>
        <v>0</v>
      </c>
      <c r="AZ387" s="421">
        <f t="shared" si="738"/>
        <v>0</v>
      </c>
      <c r="BA387" s="422">
        <v>0</v>
      </c>
      <c r="BB387" s="422">
        <v>0</v>
      </c>
      <c r="BC387" s="422">
        <v>0</v>
      </c>
      <c r="BD387" s="422">
        <v>0</v>
      </c>
      <c r="BE387" s="422">
        <v>0</v>
      </c>
      <c r="BF387" s="422">
        <v>0</v>
      </c>
      <c r="BG387" s="422">
        <v>0</v>
      </c>
      <c r="BH387" s="422">
        <v>0</v>
      </c>
      <c r="BI387" s="422">
        <v>0</v>
      </c>
      <c r="BJ387" s="422">
        <v>0</v>
      </c>
      <c r="BK387" s="422">
        <f>BA387+BC387+BD387+BF387+BH387+BI387</f>
        <v>0</v>
      </c>
      <c r="BL387" s="422">
        <f>BB387+BE387+BG387+BJ387</f>
        <v>0</v>
      </c>
      <c r="BM387" s="424">
        <f t="shared" si="739"/>
        <v>0</v>
      </c>
      <c r="BN387" s="427">
        <f>I387+AZ387</f>
        <v>2996854</v>
      </c>
      <c r="BO387" s="421">
        <f>J387+AH387</f>
        <v>2223185</v>
      </c>
      <c r="BP387" s="421">
        <f t="shared" si="851"/>
        <v>2223185</v>
      </c>
      <c r="BQ387" s="421">
        <f t="shared" si="851"/>
        <v>0</v>
      </c>
      <c r="BR387" s="421">
        <f>M387+AQ387</f>
        <v>0</v>
      </c>
      <c r="BS387" s="421">
        <f t="shared" si="852"/>
        <v>0</v>
      </c>
      <c r="BT387" s="421">
        <f t="shared" si="852"/>
        <v>0</v>
      </c>
      <c r="BU387" s="421">
        <f t="shared" si="853"/>
        <v>751437</v>
      </c>
      <c r="BV387" s="421">
        <f t="shared" si="853"/>
        <v>22232</v>
      </c>
      <c r="BW387" s="421">
        <f>R387+AY387</f>
        <v>0</v>
      </c>
      <c r="BX387" s="422">
        <f>S387+BM387</f>
        <v>4.3213999999999997</v>
      </c>
      <c r="BY387" s="422">
        <f t="shared" si="854"/>
        <v>4.3213999999999997</v>
      </c>
      <c r="BZ387" s="611">
        <f t="shared" si="854"/>
        <v>0</v>
      </c>
      <c r="CA387" s="423"/>
      <c r="CB387" s="418"/>
      <c r="CC387" s="418"/>
      <c r="CD387" s="418"/>
      <c r="CE387" s="418"/>
      <c r="CF387" s="527"/>
    </row>
    <row r="388" spans="1:84" ht="14.1" customHeight="1" x14ac:dyDescent="0.2">
      <c r="A388" s="66">
        <v>77</v>
      </c>
      <c r="B388" s="63">
        <v>2460</v>
      </c>
      <c r="C388" s="64">
        <v>600079783</v>
      </c>
      <c r="D388" s="63">
        <v>72741643</v>
      </c>
      <c r="E388" s="65" t="s">
        <v>688</v>
      </c>
      <c r="F388" s="66">
        <v>3143</v>
      </c>
      <c r="G388" s="77" t="s">
        <v>597</v>
      </c>
      <c r="H388" s="67" t="s">
        <v>272</v>
      </c>
      <c r="I388" s="423">
        <f t="shared" si="721"/>
        <v>70705</v>
      </c>
      <c r="J388" s="418">
        <f t="shared" si="722"/>
        <v>50609</v>
      </c>
      <c r="K388" s="418">
        <v>0</v>
      </c>
      <c r="L388" s="674">
        <v>50609</v>
      </c>
      <c r="M388" s="418">
        <f t="shared" si="744"/>
        <v>0</v>
      </c>
      <c r="N388" s="418">
        <v>0</v>
      </c>
      <c r="O388" s="418">
        <v>0</v>
      </c>
      <c r="P388" s="668">
        <f t="shared" si="723"/>
        <v>17106</v>
      </c>
      <c r="Q388" s="668">
        <f t="shared" si="724"/>
        <v>506</v>
      </c>
      <c r="R388" s="675">
        <v>2484</v>
      </c>
      <c r="S388" s="419">
        <f t="shared" si="725"/>
        <v>0.19170000000000001</v>
      </c>
      <c r="T388" s="679">
        <v>0</v>
      </c>
      <c r="U388" s="909">
        <v>0.19170000000000001</v>
      </c>
      <c r="V388" s="428">
        <f t="shared" si="726"/>
        <v>0</v>
      </c>
      <c r="W388" s="421">
        <f t="shared" si="727"/>
        <v>0</v>
      </c>
      <c r="X388" s="421">
        <v>0</v>
      </c>
      <c r="Y388" s="421">
        <v>0</v>
      </c>
      <c r="Z388" s="421">
        <v>0</v>
      </c>
      <c r="AA388" s="421">
        <v>0</v>
      </c>
      <c r="AB388" s="421">
        <v>0</v>
      </c>
      <c r="AC388" s="421">
        <v>0</v>
      </c>
      <c r="AD388" s="421">
        <v>0</v>
      </c>
      <c r="AE388" s="421">
        <v>0</v>
      </c>
      <c r="AF388" s="421">
        <f t="shared" si="728"/>
        <v>0</v>
      </c>
      <c r="AG388" s="421">
        <f t="shared" si="729"/>
        <v>0</v>
      </c>
      <c r="AH388" s="421">
        <f t="shared" si="730"/>
        <v>0</v>
      </c>
      <c r="AI388" s="421">
        <v>0</v>
      </c>
      <c r="AJ388" s="421">
        <v>0</v>
      </c>
      <c r="AK388" s="421">
        <v>0</v>
      </c>
      <c r="AL388" s="421">
        <v>0</v>
      </c>
      <c r="AM388" s="421">
        <v>0</v>
      </c>
      <c r="AN388" s="421">
        <v>0</v>
      </c>
      <c r="AO388" s="421">
        <f t="shared" si="731"/>
        <v>0</v>
      </c>
      <c r="AP388" s="421">
        <f t="shared" si="732"/>
        <v>0</v>
      </c>
      <c r="AQ388" s="421">
        <f t="shared" si="733"/>
        <v>0</v>
      </c>
      <c r="AR388" s="421">
        <f t="shared" si="849"/>
        <v>0</v>
      </c>
      <c r="AS388" s="421">
        <f t="shared" si="849"/>
        <v>0</v>
      </c>
      <c r="AT388" s="421">
        <f t="shared" si="735"/>
        <v>0</v>
      </c>
      <c r="AU388" s="68">
        <f t="shared" si="850"/>
        <v>0</v>
      </c>
      <c r="AV388" s="68">
        <f>ROUND(AH388*1%,0)</f>
        <v>0</v>
      </c>
      <c r="AW388" s="421">
        <v>0</v>
      </c>
      <c r="AX388" s="421">
        <v>0</v>
      </c>
      <c r="AY388" s="421">
        <f t="shared" si="737"/>
        <v>0</v>
      </c>
      <c r="AZ388" s="421">
        <f t="shared" si="738"/>
        <v>0</v>
      </c>
      <c r="BA388" s="422">
        <v>0</v>
      </c>
      <c r="BB388" s="422">
        <v>0</v>
      </c>
      <c r="BC388" s="422">
        <v>0</v>
      </c>
      <c r="BD388" s="422">
        <v>0</v>
      </c>
      <c r="BE388" s="422">
        <v>0</v>
      </c>
      <c r="BF388" s="422">
        <v>0</v>
      </c>
      <c r="BG388" s="422">
        <v>0</v>
      </c>
      <c r="BH388" s="422">
        <v>0</v>
      </c>
      <c r="BI388" s="422">
        <v>0</v>
      </c>
      <c r="BJ388" s="422">
        <v>0</v>
      </c>
      <c r="BK388" s="422">
        <f>BA388+BC388+BD388+BF388+BH388+BI388</f>
        <v>0</v>
      </c>
      <c r="BL388" s="422">
        <f>BB388+BE388+BG388+BJ388</f>
        <v>0</v>
      </c>
      <c r="BM388" s="424">
        <f t="shared" si="739"/>
        <v>0</v>
      </c>
      <c r="BN388" s="427">
        <f>I388+AZ388</f>
        <v>70705</v>
      </c>
      <c r="BO388" s="421">
        <f>J388+AH388</f>
        <v>50609</v>
      </c>
      <c r="BP388" s="421">
        <f t="shared" si="851"/>
        <v>0</v>
      </c>
      <c r="BQ388" s="421">
        <f t="shared" si="851"/>
        <v>50609</v>
      </c>
      <c r="BR388" s="421">
        <f>M388+AQ388</f>
        <v>0</v>
      </c>
      <c r="BS388" s="421">
        <f t="shared" si="852"/>
        <v>0</v>
      </c>
      <c r="BT388" s="421">
        <f t="shared" si="852"/>
        <v>0</v>
      </c>
      <c r="BU388" s="421">
        <f t="shared" si="853"/>
        <v>17106</v>
      </c>
      <c r="BV388" s="421">
        <f t="shared" si="853"/>
        <v>506</v>
      </c>
      <c r="BW388" s="421">
        <f>R388+AY388</f>
        <v>2484</v>
      </c>
      <c r="BX388" s="422">
        <f>S388+BM388</f>
        <v>0.19170000000000001</v>
      </c>
      <c r="BY388" s="422">
        <f t="shared" si="854"/>
        <v>0</v>
      </c>
      <c r="BZ388" s="611">
        <f t="shared" si="854"/>
        <v>0.19170000000000001</v>
      </c>
      <c r="CA388" s="423"/>
      <c r="CB388" s="418"/>
      <c r="CC388" s="418"/>
      <c r="CD388" s="418"/>
      <c r="CE388" s="418"/>
      <c r="CF388" s="527"/>
    </row>
    <row r="389" spans="1:84" ht="14.1" customHeight="1" x14ac:dyDescent="0.2">
      <c r="A389" s="72">
        <v>77</v>
      </c>
      <c r="B389" s="69">
        <v>2460</v>
      </c>
      <c r="C389" s="70">
        <v>600079783</v>
      </c>
      <c r="D389" s="69">
        <v>72741643</v>
      </c>
      <c r="E389" s="71" t="s">
        <v>689</v>
      </c>
      <c r="F389" s="72"/>
      <c r="G389" s="71"/>
      <c r="H389" s="73"/>
      <c r="I389" s="538">
        <f t="shared" ref="I389:BU389" si="856">SUM(I384:I388)</f>
        <v>47912493</v>
      </c>
      <c r="J389" s="74">
        <f t="shared" si="856"/>
        <v>35084401</v>
      </c>
      <c r="K389" s="74">
        <f>SUM(K384:K388)</f>
        <v>32911054</v>
      </c>
      <c r="L389" s="74">
        <f>SUM(L384:L388)</f>
        <v>2173347</v>
      </c>
      <c r="M389" s="74">
        <f>SUM(M384:M388)</f>
        <v>0</v>
      </c>
      <c r="N389" s="74">
        <f>SUM(N384:N388)</f>
        <v>0</v>
      </c>
      <c r="O389" s="74">
        <f>SUM(O384:O388)</f>
        <v>0</v>
      </c>
      <c r="P389" s="74">
        <f t="shared" ref="P389:Q389" si="857">SUM(P384:P388)</f>
        <v>11858528</v>
      </c>
      <c r="Q389" s="74">
        <f t="shared" si="857"/>
        <v>350844</v>
      </c>
      <c r="R389" s="74">
        <f>SUM(R384:R388)</f>
        <v>618720</v>
      </c>
      <c r="S389" s="75">
        <f>SUM(S384:S388)</f>
        <v>54.1282</v>
      </c>
      <c r="T389" s="75">
        <f>SUM(T384:T388)</f>
        <v>47.4574</v>
      </c>
      <c r="U389" s="753">
        <f>SUM(U384:U388)</f>
        <v>6.6707999999999998</v>
      </c>
      <c r="V389" s="538">
        <f t="shared" si="856"/>
        <v>0</v>
      </c>
      <c r="W389" s="74">
        <f t="shared" si="856"/>
        <v>0</v>
      </c>
      <c r="X389" s="74">
        <f t="shared" si="856"/>
        <v>673660</v>
      </c>
      <c r="Y389" s="74">
        <f t="shared" si="856"/>
        <v>0</v>
      </c>
      <c r="Z389" s="74">
        <f t="shared" si="856"/>
        <v>0</v>
      </c>
      <c r="AA389" s="74">
        <f t="shared" si="856"/>
        <v>0</v>
      </c>
      <c r="AB389" s="74">
        <f t="shared" si="856"/>
        <v>507600</v>
      </c>
      <c r="AC389" s="74">
        <f t="shared" si="856"/>
        <v>0</v>
      </c>
      <c r="AD389" s="74">
        <f t="shared" si="856"/>
        <v>0</v>
      </c>
      <c r="AE389" s="74">
        <f t="shared" si="856"/>
        <v>0</v>
      </c>
      <c r="AF389" s="74">
        <f t="shared" si="856"/>
        <v>1181260</v>
      </c>
      <c r="AG389" s="74">
        <f t="shared" si="856"/>
        <v>0</v>
      </c>
      <c r="AH389" s="74">
        <f t="shared" si="856"/>
        <v>1181260</v>
      </c>
      <c r="AI389" s="74">
        <f t="shared" si="856"/>
        <v>0</v>
      </c>
      <c r="AJ389" s="74">
        <f t="shared" si="856"/>
        <v>0</v>
      </c>
      <c r="AK389" s="74">
        <f t="shared" si="856"/>
        <v>0</v>
      </c>
      <c r="AL389" s="74">
        <f t="shared" si="856"/>
        <v>0</v>
      </c>
      <c r="AM389" s="74">
        <f t="shared" si="856"/>
        <v>0</v>
      </c>
      <c r="AN389" s="74">
        <f t="shared" si="856"/>
        <v>0</v>
      </c>
      <c r="AO389" s="74">
        <f t="shared" si="856"/>
        <v>0</v>
      </c>
      <c r="AP389" s="74">
        <f t="shared" si="856"/>
        <v>0</v>
      </c>
      <c r="AQ389" s="74">
        <f t="shared" si="856"/>
        <v>0</v>
      </c>
      <c r="AR389" s="74">
        <f t="shared" si="856"/>
        <v>1181260</v>
      </c>
      <c r="AS389" s="74">
        <f t="shared" si="856"/>
        <v>0</v>
      </c>
      <c r="AT389" s="74">
        <f t="shared" si="856"/>
        <v>1181260</v>
      </c>
      <c r="AU389" s="74">
        <f t="shared" si="856"/>
        <v>399266</v>
      </c>
      <c r="AV389" s="74">
        <f t="shared" si="856"/>
        <v>11813</v>
      </c>
      <c r="AW389" s="74">
        <f t="shared" si="856"/>
        <v>4000</v>
      </c>
      <c r="AX389" s="74">
        <f t="shared" si="856"/>
        <v>0</v>
      </c>
      <c r="AY389" s="74">
        <f t="shared" si="856"/>
        <v>4000</v>
      </c>
      <c r="AZ389" s="74">
        <f t="shared" si="856"/>
        <v>1596339</v>
      </c>
      <c r="BA389" s="75">
        <f t="shared" si="856"/>
        <v>0</v>
      </c>
      <c r="BB389" s="75">
        <f t="shared" si="856"/>
        <v>0</v>
      </c>
      <c r="BC389" s="75">
        <f t="shared" si="856"/>
        <v>1.8</v>
      </c>
      <c r="BD389" s="75">
        <f t="shared" si="856"/>
        <v>0.9</v>
      </c>
      <c r="BE389" s="75">
        <f t="shared" si="856"/>
        <v>0</v>
      </c>
      <c r="BF389" s="75">
        <f t="shared" si="856"/>
        <v>0</v>
      </c>
      <c r="BG389" s="75">
        <f t="shared" si="856"/>
        <v>0</v>
      </c>
      <c r="BH389" s="75">
        <f t="shared" si="856"/>
        <v>0</v>
      </c>
      <c r="BI389" s="75">
        <f t="shared" si="856"/>
        <v>0</v>
      </c>
      <c r="BJ389" s="75">
        <f t="shared" si="856"/>
        <v>0</v>
      </c>
      <c r="BK389" s="75">
        <f t="shared" si="856"/>
        <v>2.7</v>
      </c>
      <c r="BL389" s="75">
        <f t="shared" si="856"/>
        <v>0</v>
      </c>
      <c r="BM389" s="76">
        <f t="shared" si="856"/>
        <v>2.7</v>
      </c>
      <c r="BN389" s="549">
        <f t="shared" si="856"/>
        <v>49508832</v>
      </c>
      <c r="BO389" s="74">
        <f t="shared" si="856"/>
        <v>36265661</v>
      </c>
      <c r="BP389" s="74">
        <f t="shared" si="856"/>
        <v>34092314</v>
      </c>
      <c r="BQ389" s="74">
        <f t="shared" si="856"/>
        <v>2173347</v>
      </c>
      <c r="BR389" s="74">
        <f t="shared" si="856"/>
        <v>0</v>
      </c>
      <c r="BS389" s="74">
        <f t="shared" si="856"/>
        <v>0</v>
      </c>
      <c r="BT389" s="74">
        <f t="shared" si="856"/>
        <v>0</v>
      </c>
      <c r="BU389" s="74">
        <f t="shared" si="856"/>
        <v>12257794</v>
      </c>
      <c r="BV389" s="74">
        <f t="shared" ref="BV389:CF389" si="858">SUM(BV384:BV388)</f>
        <v>362657</v>
      </c>
      <c r="BW389" s="74">
        <f t="shared" si="858"/>
        <v>622720</v>
      </c>
      <c r="BX389" s="75">
        <f t="shared" si="858"/>
        <v>56.828199999999995</v>
      </c>
      <c r="BY389" s="75">
        <f t="shared" si="858"/>
        <v>50.157399999999996</v>
      </c>
      <c r="BZ389" s="753">
        <f t="shared" si="858"/>
        <v>6.6707999999999998</v>
      </c>
      <c r="CA389" s="796">
        <f t="shared" si="858"/>
        <v>684245</v>
      </c>
      <c r="CB389" s="789">
        <f t="shared" si="858"/>
        <v>507600</v>
      </c>
      <c r="CC389" s="789">
        <f t="shared" si="858"/>
        <v>0</v>
      </c>
      <c r="CD389" s="789">
        <f t="shared" si="858"/>
        <v>171569</v>
      </c>
      <c r="CE389" s="789">
        <f t="shared" si="858"/>
        <v>5076</v>
      </c>
      <c r="CF389" s="793">
        <f t="shared" si="858"/>
        <v>0.9</v>
      </c>
    </row>
    <row r="390" spans="1:84" ht="14.1" customHeight="1" x14ac:dyDescent="0.2">
      <c r="A390" s="66">
        <v>78</v>
      </c>
      <c r="B390" s="63">
        <v>2324</v>
      </c>
      <c r="C390" s="64">
        <v>600074030</v>
      </c>
      <c r="D390" s="63">
        <v>71013083</v>
      </c>
      <c r="E390" s="65" t="s">
        <v>690</v>
      </c>
      <c r="F390" s="66">
        <v>3111</v>
      </c>
      <c r="G390" s="65" t="s">
        <v>291</v>
      </c>
      <c r="H390" s="67" t="s">
        <v>271</v>
      </c>
      <c r="I390" s="423">
        <f t="shared" si="721"/>
        <v>11746377</v>
      </c>
      <c r="J390" s="418">
        <f t="shared" si="722"/>
        <v>8683380</v>
      </c>
      <c r="K390" s="418">
        <v>7871277</v>
      </c>
      <c r="L390" s="418">
        <v>812103</v>
      </c>
      <c r="M390" s="418">
        <f>N390+O390</f>
        <v>0</v>
      </c>
      <c r="N390" s="418">
        <v>0</v>
      </c>
      <c r="O390" s="418">
        <v>0</v>
      </c>
      <c r="P390" s="668">
        <f t="shared" si="723"/>
        <v>2934982</v>
      </c>
      <c r="Q390" s="668">
        <f t="shared" si="724"/>
        <v>86834</v>
      </c>
      <c r="R390" s="418">
        <v>41181</v>
      </c>
      <c r="S390" s="419">
        <f t="shared" si="725"/>
        <v>16.6509</v>
      </c>
      <c r="T390" s="419">
        <v>13.870900000000001</v>
      </c>
      <c r="U390" s="426">
        <v>2.7800000000000002</v>
      </c>
      <c r="V390" s="428">
        <f t="shared" si="726"/>
        <v>-7520</v>
      </c>
      <c r="W390" s="421">
        <f t="shared" si="727"/>
        <v>-7520</v>
      </c>
      <c r="X390" s="421">
        <v>0</v>
      </c>
      <c r="Y390" s="421">
        <v>0</v>
      </c>
      <c r="Z390" s="421">
        <v>0</v>
      </c>
      <c r="AA390" s="421">
        <v>0</v>
      </c>
      <c r="AB390" s="421">
        <v>0</v>
      </c>
      <c r="AC390" s="421">
        <v>0</v>
      </c>
      <c r="AD390" s="421">
        <v>0</v>
      </c>
      <c r="AE390" s="421">
        <v>0</v>
      </c>
      <c r="AF390" s="421">
        <f t="shared" si="728"/>
        <v>-7520</v>
      </c>
      <c r="AG390" s="421">
        <f t="shared" si="729"/>
        <v>-7520</v>
      </c>
      <c r="AH390" s="421">
        <f t="shared" si="730"/>
        <v>-15040</v>
      </c>
      <c r="AI390" s="421">
        <v>7520</v>
      </c>
      <c r="AJ390" s="421">
        <v>7520</v>
      </c>
      <c r="AK390" s="421">
        <v>0</v>
      </c>
      <c r="AL390" s="421">
        <v>0</v>
      </c>
      <c r="AM390" s="421">
        <v>0</v>
      </c>
      <c r="AN390" s="421">
        <v>0</v>
      </c>
      <c r="AO390" s="421">
        <f t="shared" si="731"/>
        <v>7520</v>
      </c>
      <c r="AP390" s="421">
        <f t="shared" si="732"/>
        <v>7520</v>
      </c>
      <c r="AQ390" s="421">
        <f t="shared" si="733"/>
        <v>15040</v>
      </c>
      <c r="AR390" s="421">
        <f t="shared" ref="AR390:AS392" si="859">AF390+AO390</f>
        <v>0</v>
      </c>
      <c r="AS390" s="421">
        <f t="shared" si="859"/>
        <v>0</v>
      </c>
      <c r="AT390" s="421">
        <f t="shared" si="735"/>
        <v>0</v>
      </c>
      <c r="AU390" s="68">
        <f t="shared" ref="AU390:AU392" si="860">ROUND((AH390+AI390+AJ390+AK390+AL390)*33.8%,0)</f>
        <v>0</v>
      </c>
      <c r="AV390" s="68">
        <f>ROUND(AH390*1%,0)</f>
        <v>-150</v>
      </c>
      <c r="AW390" s="421">
        <v>0</v>
      </c>
      <c r="AX390" s="421">
        <v>0</v>
      </c>
      <c r="AY390" s="421">
        <f t="shared" si="737"/>
        <v>0</v>
      </c>
      <c r="AZ390" s="421">
        <f t="shared" si="738"/>
        <v>-150</v>
      </c>
      <c r="BA390" s="422">
        <v>-0.01</v>
      </c>
      <c r="BB390" s="422">
        <v>-0.03</v>
      </c>
      <c r="BC390" s="422">
        <v>0</v>
      </c>
      <c r="BD390" s="422">
        <v>0</v>
      </c>
      <c r="BE390" s="422">
        <v>0</v>
      </c>
      <c r="BF390" s="422">
        <v>0</v>
      </c>
      <c r="BG390" s="422">
        <v>0</v>
      </c>
      <c r="BH390" s="422">
        <v>0</v>
      </c>
      <c r="BI390" s="422">
        <v>0</v>
      </c>
      <c r="BJ390" s="422">
        <v>0</v>
      </c>
      <c r="BK390" s="422">
        <f>BA390+BC390+BD390+BF390+BH390+BI390</f>
        <v>-0.01</v>
      </c>
      <c r="BL390" s="422">
        <f>BB390+BE390+BG390+BJ390</f>
        <v>-0.03</v>
      </c>
      <c r="BM390" s="424">
        <f t="shared" si="739"/>
        <v>-0.04</v>
      </c>
      <c r="BN390" s="427">
        <f>I390+AZ390</f>
        <v>11746227</v>
      </c>
      <c r="BO390" s="421">
        <f>J390+AH390</f>
        <v>8668340</v>
      </c>
      <c r="BP390" s="421">
        <f t="shared" ref="BP390:BQ392" si="861">K390+AF390</f>
        <v>7863757</v>
      </c>
      <c r="BQ390" s="421">
        <f t="shared" si="861"/>
        <v>804583</v>
      </c>
      <c r="BR390" s="421">
        <f>M390+AQ390</f>
        <v>15040</v>
      </c>
      <c r="BS390" s="421">
        <f t="shared" ref="BS390:BT392" si="862">N390+AO390</f>
        <v>7520</v>
      </c>
      <c r="BT390" s="421">
        <f t="shared" si="862"/>
        <v>7520</v>
      </c>
      <c r="BU390" s="421">
        <f t="shared" ref="BU390:BV392" si="863">P390+AU390</f>
        <v>2934982</v>
      </c>
      <c r="BV390" s="421">
        <f t="shared" si="863"/>
        <v>86684</v>
      </c>
      <c r="BW390" s="421">
        <f>R390+AY390</f>
        <v>41181</v>
      </c>
      <c r="BX390" s="422">
        <f>S390+BM390</f>
        <v>16.610900000000001</v>
      </c>
      <c r="BY390" s="422">
        <f t="shared" ref="BY390:BZ392" si="864">T390+BK390</f>
        <v>13.860900000000001</v>
      </c>
      <c r="BZ390" s="611">
        <f t="shared" si="864"/>
        <v>2.7500000000000004</v>
      </c>
      <c r="CA390" s="423"/>
      <c r="CB390" s="418"/>
      <c r="CC390" s="418"/>
      <c r="CD390" s="418"/>
      <c r="CE390" s="418"/>
      <c r="CF390" s="527"/>
    </row>
    <row r="391" spans="1:84" ht="14.1" customHeight="1" x14ac:dyDescent="0.2">
      <c r="A391" s="66">
        <v>78</v>
      </c>
      <c r="B391" s="63">
        <v>2324</v>
      </c>
      <c r="C391" s="64">
        <v>600074030</v>
      </c>
      <c r="D391" s="63">
        <v>71013083</v>
      </c>
      <c r="E391" s="65" t="s">
        <v>690</v>
      </c>
      <c r="F391" s="66">
        <v>3111</v>
      </c>
      <c r="G391" s="77" t="s">
        <v>292</v>
      </c>
      <c r="H391" s="67" t="s">
        <v>272</v>
      </c>
      <c r="I391" s="423">
        <f t="shared" si="721"/>
        <v>0</v>
      </c>
      <c r="J391" s="418">
        <f t="shared" si="722"/>
        <v>0</v>
      </c>
      <c r="K391" s="418">
        <v>0</v>
      </c>
      <c r="L391" s="418">
        <v>0</v>
      </c>
      <c r="M391" s="418">
        <f t="shared" si="744"/>
        <v>0</v>
      </c>
      <c r="N391" s="418">
        <v>0</v>
      </c>
      <c r="O391" s="418">
        <v>0</v>
      </c>
      <c r="P391" s="668">
        <f t="shared" si="723"/>
        <v>0</v>
      </c>
      <c r="Q391" s="668">
        <f t="shared" si="724"/>
        <v>0</v>
      </c>
      <c r="R391" s="418">
        <v>0</v>
      </c>
      <c r="S391" s="419">
        <f t="shared" si="725"/>
        <v>0</v>
      </c>
      <c r="T391" s="420">
        <v>0</v>
      </c>
      <c r="U391" s="426">
        <v>0</v>
      </c>
      <c r="V391" s="428">
        <f t="shared" si="726"/>
        <v>0</v>
      </c>
      <c r="W391" s="421">
        <f t="shared" si="727"/>
        <v>0</v>
      </c>
      <c r="X391" s="16">
        <v>1291624</v>
      </c>
      <c r="Y391" s="16">
        <v>0</v>
      </c>
      <c r="Z391" s="16">
        <v>0</v>
      </c>
      <c r="AA391" s="16">
        <v>0</v>
      </c>
      <c r="AB391" s="421">
        <v>0</v>
      </c>
      <c r="AC391" s="16">
        <v>0</v>
      </c>
      <c r="AD391" s="16">
        <v>0</v>
      </c>
      <c r="AE391" s="16">
        <v>0</v>
      </c>
      <c r="AF391" s="421">
        <f t="shared" si="728"/>
        <v>1291624</v>
      </c>
      <c r="AG391" s="421">
        <f t="shared" si="729"/>
        <v>0</v>
      </c>
      <c r="AH391" s="421">
        <f t="shared" si="730"/>
        <v>1291624</v>
      </c>
      <c r="AI391" s="16">
        <v>0</v>
      </c>
      <c r="AJ391" s="16">
        <v>0</v>
      </c>
      <c r="AK391" s="421">
        <v>0</v>
      </c>
      <c r="AL391" s="16">
        <v>0</v>
      </c>
      <c r="AM391" s="16">
        <v>0</v>
      </c>
      <c r="AN391" s="16">
        <v>0</v>
      </c>
      <c r="AO391" s="421">
        <f t="shared" si="731"/>
        <v>0</v>
      </c>
      <c r="AP391" s="16">
        <v>0</v>
      </c>
      <c r="AQ391" s="421">
        <f t="shared" si="733"/>
        <v>0</v>
      </c>
      <c r="AR391" s="421">
        <f t="shared" si="859"/>
        <v>1291624</v>
      </c>
      <c r="AS391" s="421">
        <f t="shared" si="859"/>
        <v>0</v>
      </c>
      <c r="AT391" s="421">
        <f t="shared" si="735"/>
        <v>1291624</v>
      </c>
      <c r="AU391" s="68">
        <f t="shared" si="860"/>
        <v>436569</v>
      </c>
      <c r="AV391" s="68">
        <f>ROUND(AH391*1%,0)</f>
        <v>12916</v>
      </c>
      <c r="AW391" s="16">
        <v>0</v>
      </c>
      <c r="AX391" s="16">
        <v>0</v>
      </c>
      <c r="AY391" s="421">
        <f t="shared" si="737"/>
        <v>0</v>
      </c>
      <c r="AZ391" s="421">
        <f t="shared" si="738"/>
        <v>1741109</v>
      </c>
      <c r="BA391" s="13">
        <v>0</v>
      </c>
      <c r="BB391" s="13">
        <v>0</v>
      </c>
      <c r="BC391" s="13">
        <v>3.75</v>
      </c>
      <c r="BD391" s="422">
        <v>0</v>
      </c>
      <c r="BE391" s="422">
        <v>0</v>
      </c>
      <c r="BF391" s="422">
        <v>0</v>
      </c>
      <c r="BG391" s="422">
        <v>0</v>
      </c>
      <c r="BH391" s="422">
        <v>0</v>
      </c>
      <c r="BI391" s="422">
        <v>0</v>
      </c>
      <c r="BJ391" s="422">
        <v>0</v>
      </c>
      <c r="BK391" s="422">
        <f>BA391+BC391+BD391+BF391+BH391+BI391</f>
        <v>3.75</v>
      </c>
      <c r="BL391" s="422">
        <f>BB391+BE391+BG391+BJ391</f>
        <v>0</v>
      </c>
      <c r="BM391" s="424">
        <f t="shared" si="739"/>
        <v>3.75</v>
      </c>
      <c r="BN391" s="427">
        <f>I391+AZ391</f>
        <v>1741109</v>
      </c>
      <c r="BO391" s="421">
        <f>J391+AH391</f>
        <v>1291624</v>
      </c>
      <c r="BP391" s="421">
        <f t="shared" si="861"/>
        <v>1291624</v>
      </c>
      <c r="BQ391" s="421">
        <f t="shared" si="861"/>
        <v>0</v>
      </c>
      <c r="BR391" s="421">
        <f>M391+AQ391</f>
        <v>0</v>
      </c>
      <c r="BS391" s="421">
        <f t="shared" si="862"/>
        <v>0</v>
      </c>
      <c r="BT391" s="421">
        <f t="shared" si="862"/>
        <v>0</v>
      </c>
      <c r="BU391" s="421">
        <f t="shared" si="863"/>
        <v>436569</v>
      </c>
      <c r="BV391" s="421">
        <f t="shared" si="863"/>
        <v>12916</v>
      </c>
      <c r="BW391" s="421">
        <f>R391+AY391</f>
        <v>0</v>
      </c>
      <c r="BX391" s="422">
        <f>S391+BM391</f>
        <v>3.75</v>
      </c>
      <c r="BY391" s="422">
        <f t="shared" si="864"/>
        <v>3.75</v>
      </c>
      <c r="BZ391" s="611">
        <f t="shared" si="864"/>
        <v>0</v>
      </c>
      <c r="CA391" s="423"/>
      <c r="CB391" s="418"/>
      <c r="CC391" s="418"/>
      <c r="CD391" s="418"/>
      <c r="CE391" s="418"/>
      <c r="CF391" s="527"/>
    </row>
    <row r="392" spans="1:84" ht="14.1" customHeight="1" x14ac:dyDescent="0.2">
      <c r="A392" s="66">
        <v>78</v>
      </c>
      <c r="B392" s="63">
        <v>2324</v>
      </c>
      <c r="C392" s="64">
        <v>600074030</v>
      </c>
      <c r="D392" s="63">
        <v>71013083</v>
      </c>
      <c r="E392" s="65" t="s">
        <v>690</v>
      </c>
      <c r="F392" s="66">
        <v>3141</v>
      </c>
      <c r="G392" s="65" t="s">
        <v>295</v>
      </c>
      <c r="H392" s="67" t="s">
        <v>272</v>
      </c>
      <c r="I392" s="423">
        <f t="shared" si="721"/>
        <v>783216</v>
      </c>
      <c r="J392" s="418">
        <f t="shared" si="722"/>
        <v>578055</v>
      </c>
      <c r="K392" s="418">
        <v>0</v>
      </c>
      <c r="L392" s="924">
        <v>578055</v>
      </c>
      <c r="M392" s="418">
        <f>N392+O392</f>
        <v>0</v>
      </c>
      <c r="N392" s="205">
        <v>0</v>
      </c>
      <c r="O392" s="205">
        <v>0</v>
      </c>
      <c r="P392" s="668">
        <f t="shared" si="723"/>
        <v>195383</v>
      </c>
      <c r="Q392" s="668">
        <f t="shared" si="724"/>
        <v>5781</v>
      </c>
      <c r="R392" s="674">
        <v>3997</v>
      </c>
      <c r="S392" s="419">
        <f>T392+U392</f>
        <v>1.7334000000000001</v>
      </c>
      <c r="T392" s="676">
        <v>0</v>
      </c>
      <c r="U392" s="909">
        <v>1.7334000000000001</v>
      </c>
      <c r="V392" s="428">
        <f t="shared" si="726"/>
        <v>0</v>
      </c>
      <c r="W392" s="421">
        <f t="shared" si="727"/>
        <v>0</v>
      </c>
      <c r="X392" s="421">
        <v>0</v>
      </c>
      <c r="Y392" s="421">
        <v>0</v>
      </c>
      <c r="Z392" s="421">
        <v>0</v>
      </c>
      <c r="AA392" s="421">
        <v>0</v>
      </c>
      <c r="AB392" s="421">
        <v>0</v>
      </c>
      <c r="AC392" s="421">
        <v>0</v>
      </c>
      <c r="AD392" s="421">
        <v>0</v>
      </c>
      <c r="AE392" s="421">
        <v>0</v>
      </c>
      <c r="AF392" s="421">
        <f t="shared" si="728"/>
        <v>0</v>
      </c>
      <c r="AG392" s="421">
        <f t="shared" si="729"/>
        <v>0</v>
      </c>
      <c r="AH392" s="421">
        <f t="shared" si="730"/>
        <v>0</v>
      </c>
      <c r="AI392" s="421">
        <v>0</v>
      </c>
      <c r="AJ392" s="421">
        <v>0</v>
      </c>
      <c r="AK392" s="421">
        <v>0</v>
      </c>
      <c r="AL392" s="421">
        <v>0</v>
      </c>
      <c r="AM392" s="421">
        <v>0</v>
      </c>
      <c r="AN392" s="421">
        <v>0</v>
      </c>
      <c r="AO392" s="421">
        <f t="shared" si="731"/>
        <v>0</v>
      </c>
      <c r="AP392" s="421">
        <f t="shared" si="732"/>
        <v>0</v>
      </c>
      <c r="AQ392" s="421">
        <f t="shared" si="733"/>
        <v>0</v>
      </c>
      <c r="AR392" s="421">
        <f t="shared" si="859"/>
        <v>0</v>
      </c>
      <c r="AS392" s="421">
        <f t="shared" si="859"/>
        <v>0</v>
      </c>
      <c r="AT392" s="421">
        <f t="shared" si="735"/>
        <v>0</v>
      </c>
      <c r="AU392" s="68">
        <f t="shared" si="860"/>
        <v>0</v>
      </c>
      <c r="AV392" s="68">
        <f>ROUND(AH392*1%,0)</f>
        <v>0</v>
      </c>
      <c r="AW392" s="421">
        <v>0</v>
      </c>
      <c r="AX392" s="421">
        <v>0</v>
      </c>
      <c r="AY392" s="421">
        <f t="shared" si="737"/>
        <v>0</v>
      </c>
      <c r="AZ392" s="421">
        <f t="shared" si="738"/>
        <v>0</v>
      </c>
      <c r="BA392" s="422">
        <v>0</v>
      </c>
      <c r="BB392" s="422">
        <v>0</v>
      </c>
      <c r="BC392" s="422">
        <v>0</v>
      </c>
      <c r="BD392" s="422">
        <v>0</v>
      </c>
      <c r="BE392" s="422">
        <v>0</v>
      </c>
      <c r="BF392" s="422">
        <v>0</v>
      </c>
      <c r="BG392" s="422">
        <v>0</v>
      </c>
      <c r="BH392" s="422">
        <v>0</v>
      </c>
      <c r="BI392" s="422">
        <v>0</v>
      </c>
      <c r="BJ392" s="422">
        <v>0</v>
      </c>
      <c r="BK392" s="422">
        <f>BA392+BC392+BD392+BF392+BH392+BI392</f>
        <v>0</v>
      </c>
      <c r="BL392" s="422">
        <f>BB392+BE392+BG392+BJ392</f>
        <v>0</v>
      </c>
      <c r="BM392" s="424">
        <f t="shared" si="739"/>
        <v>0</v>
      </c>
      <c r="BN392" s="427">
        <f>I392+AZ392</f>
        <v>783216</v>
      </c>
      <c r="BO392" s="421">
        <f>J392+AH392</f>
        <v>578055</v>
      </c>
      <c r="BP392" s="421">
        <f t="shared" si="861"/>
        <v>0</v>
      </c>
      <c r="BQ392" s="421">
        <f t="shared" si="861"/>
        <v>578055</v>
      </c>
      <c r="BR392" s="421">
        <f>M392+AQ392</f>
        <v>0</v>
      </c>
      <c r="BS392" s="421">
        <f t="shared" si="862"/>
        <v>0</v>
      </c>
      <c r="BT392" s="421">
        <f t="shared" si="862"/>
        <v>0</v>
      </c>
      <c r="BU392" s="421">
        <f t="shared" si="863"/>
        <v>195383</v>
      </c>
      <c r="BV392" s="421">
        <f t="shared" si="863"/>
        <v>5781</v>
      </c>
      <c r="BW392" s="421">
        <f>R392+AY392</f>
        <v>3997</v>
      </c>
      <c r="BX392" s="422">
        <f>S392+BM392</f>
        <v>1.7334000000000001</v>
      </c>
      <c r="BY392" s="422">
        <f t="shared" si="864"/>
        <v>0</v>
      </c>
      <c r="BZ392" s="611">
        <f t="shared" si="864"/>
        <v>1.7334000000000001</v>
      </c>
      <c r="CA392" s="423"/>
      <c r="CB392" s="418"/>
      <c r="CC392" s="418"/>
      <c r="CD392" s="418"/>
      <c r="CE392" s="418"/>
      <c r="CF392" s="527"/>
    </row>
    <row r="393" spans="1:84" ht="14.1" customHeight="1" x14ac:dyDescent="0.2">
      <c r="A393" s="72">
        <v>78</v>
      </c>
      <c r="B393" s="69">
        <v>2324</v>
      </c>
      <c r="C393" s="70">
        <v>600074030</v>
      </c>
      <c r="D393" s="69">
        <v>71013083</v>
      </c>
      <c r="E393" s="71" t="s">
        <v>691</v>
      </c>
      <c r="F393" s="72"/>
      <c r="G393" s="71"/>
      <c r="H393" s="73"/>
      <c r="I393" s="538">
        <f t="shared" ref="I393:BU393" si="865">SUM(I390:I392)</f>
        <v>12529593</v>
      </c>
      <c r="J393" s="74">
        <f t="shared" si="865"/>
        <v>9261435</v>
      </c>
      <c r="K393" s="74">
        <f t="shared" si="865"/>
        <v>7871277</v>
      </c>
      <c r="L393" s="74">
        <f t="shared" si="865"/>
        <v>1390158</v>
      </c>
      <c r="M393" s="74">
        <f t="shared" si="865"/>
        <v>0</v>
      </c>
      <c r="N393" s="74">
        <f t="shared" si="865"/>
        <v>0</v>
      </c>
      <c r="O393" s="74">
        <f t="shared" si="865"/>
        <v>0</v>
      </c>
      <c r="P393" s="74">
        <f t="shared" si="865"/>
        <v>3130365</v>
      </c>
      <c r="Q393" s="74">
        <f t="shared" si="865"/>
        <v>92615</v>
      </c>
      <c r="R393" s="74">
        <f t="shared" si="865"/>
        <v>45178</v>
      </c>
      <c r="S393" s="75">
        <f t="shared" si="865"/>
        <v>18.3843</v>
      </c>
      <c r="T393" s="75">
        <f t="shared" si="865"/>
        <v>13.870900000000001</v>
      </c>
      <c r="U393" s="753">
        <f t="shared" si="865"/>
        <v>4.5134000000000007</v>
      </c>
      <c r="V393" s="538">
        <f t="shared" si="865"/>
        <v>-7520</v>
      </c>
      <c r="W393" s="74">
        <f t="shared" si="865"/>
        <v>-7520</v>
      </c>
      <c r="X393" s="74">
        <f t="shared" si="865"/>
        <v>1291624</v>
      </c>
      <c r="Y393" s="74">
        <f t="shared" si="865"/>
        <v>0</v>
      </c>
      <c r="Z393" s="74">
        <f t="shared" si="865"/>
        <v>0</v>
      </c>
      <c r="AA393" s="74">
        <f t="shared" si="865"/>
        <v>0</v>
      </c>
      <c r="AB393" s="74">
        <f t="shared" si="865"/>
        <v>0</v>
      </c>
      <c r="AC393" s="74">
        <f t="shared" si="865"/>
        <v>0</v>
      </c>
      <c r="AD393" s="74">
        <f t="shared" si="865"/>
        <v>0</v>
      </c>
      <c r="AE393" s="74">
        <f t="shared" si="865"/>
        <v>0</v>
      </c>
      <c r="AF393" s="74">
        <f t="shared" si="865"/>
        <v>1284104</v>
      </c>
      <c r="AG393" s="74">
        <f t="shared" si="865"/>
        <v>-7520</v>
      </c>
      <c r="AH393" s="74">
        <f t="shared" si="865"/>
        <v>1276584</v>
      </c>
      <c r="AI393" s="74">
        <f t="shared" si="865"/>
        <v>7520</v>
      </c>
      <c r="AJ393" s="74">
        <f t="shared" si="865"/>
        <v>7520</v>
      </c>
      <c r="AK393" s="74">
        <f t="shared" si="865"/>
        <v>0</v>
      </c>
      <c r="AL393" s="74">
        <f t="shared" si="865"/>
        <v>0</v>
      </c>
      <c r="AM393" s="74">
        <f t="shared" si="865"/>
        <v>0</v>
      </c>
      <c r="AN393" s="74">
        <f t="shared" si="865"/>
        <v>0</v>
      </c>
      <c r="AO393" s="74">
        <f t="shared" si="865"/>
        <v>7520</v>
      </c>
      <c r="AP393" s="74">
        <f t="shared" si="865"/>
        <v>7520</v>
      </c>
      <c r="AQ393" s="74">
        <f t="shared" si="865"/>
        <v>15040</v>
      </c>
      <c r="AR393" s="74">
        <f t="shared" si="865"/>
        <v>1291624</v>
      </c>
      <c r="AS393" s="74">
        <f t="shared" si="865"/>
        <v>0</v>
      </c>
      <c r="AT393" s="74">
        <f t="shared" si="865"/>
        <v>1291624</v>
      </c>
      <c r="AU393" s="74">
        <f t="shared" si="865"/>
        <v>436569</v>
      </c>
      <c r="AV393" s="74">
        <f t="shared" si="865"/>
        <v>12766</v>
      </c>
      <c r="AW393" s="74">
        <f t="shared" si="865"/>
        <v>0</v>
      </c>
      <c r="AX393" s="74">
        <f t="shared" si="865"/>
        <v>0</v>
      </c>
      <c r="AY393" s="74">
        <f t="shared" si="865"/>
        <v>0</v>
      </c>
      <c r="AZ393" s="74">
        <f t="shared" si="865"/>
        <v>1740959</v>
      </c>
      <c r="BA393" s="75">
        <f t="shared" si="865"/>
        <v>-0.01</v>
      </c>
      <c r="BB393" s="75">
        <f t="shared" si="865"/>
        <v>-0.03</v>
      </c>
      <c r="BC393" s="75">
        <f t="shared" si="865"/>
        <v>3.75</v>
      </c>
      <c r="BD393" s="75">
        <f t="shared" si="865"/>
        <v>0</v>
      </c>
      <c r="BE393" s="75">
        <f t="shared" si="865"/>
        <v>0</v>
      </c>
      <c r="BF393" s="75">
        <f t="shared" si="865"/>
        <v>0</v>
      </c>
      <c r="BG393" s="75">
        <f t="shared" si="865"/>
        <v>0</v>
      </c>
      <c r="BH393" s="75">
        <f t="shared" si="865"/>
        <v>0</v>
      </c>
      <c r="BI393" s="75">
        <f t="shared" si="865"/>
        <v>0</v>
      </c>
      <c r="BJ393" s="75">
        <f t="shared" si="865"/>
        <v>0</v>
      </c>
      <c r="BK393" s="75">
        <f t="shared" si="865"/>
        <v>3.74</v>
      </c>
      <c r="BL393" s="75">
        <f t="shared" si="865"/>
        <v>-0.03</v>
      </c>
      <c r="BM393" s="76">
        <f t="shared" si="865"/>
        <v>3.71</v>
      </c>
      <c r="BN393" s="549">
        <f t="shared" si="865"/>
        <v>14270552</v>
      </c>
      <c r="BO393" s="74">
        <f t="shared" si="865"/>
        <v>10538019</v>
      </c>
      <c r="BP393" s="74">
        <f t="shared" si="865"/>
        <v>9155381</v>
      </c>
      <c r="BQ393" s="74">
        <f t="shared" si="865"/>
        <v>1382638</v>
      </c>
      <c r="BR393" s="74">
        <f t="shared" si="865"/>
        <v>15040</v>
      </c>
      <c r="BS393" s="74">
        <f t="shared" si="865"/>
        <v>7520</v>
      </c>
      <c r="BT393" s="74">
        <f t="shared" si="865"/>
        <v>7520</v>
      </c>
      <c r="BU393" s="74">
        <f t="shared" si="865"/>
        <v>3566934</v>
      </c>
      <c r="BV393" s="74">
        <f t="shared" ref="BV393:CF393" si="866">SUM(BV390:BV392)</f>
        <v>105381</v>
      </c>
      <c r="BW393" s="74">
        <f t="shared" si="866"/>
        <v>45178</v>
      </c>
      <c r="BX393" s="75">
        <f t="shared" si="866"/>
        <v>22.0943</v>
      </c>
      <c r="BY393" s="75">
        <f t="shared" si="866"/>
        <v>17.610900000000001</v>
      </c>
      <c r="BZ393" s="753">
        <f t="shared" si="866"/>
        <v>4.4834000000000005</v>
      </c>
      <c r="CA393" s="796">
        <f t="shared" si="866"/>
        <v>0</v>
      </c>
      <c r="CB393" s="789">
        <f t="shared" si="866"/>
        <v>0</v>
      </c>
      <c r="CC393" s="789">
        <f t="shared" si="866"/>
        <v>0</v>
      </c>
      <c r="CD393" s="789">
        <f t="shared" si="866"/>
        <v>0</v>
      </c>
      <c r="CE393" s="789">
        <f t="shared" si="866"/>
        <v>0</v>
      </c>
      <c r="CF393" s="793">
        <f t="shared" si="866"/>
        <v>0</v>
      </c>
    </row>
    <row r="394" spans="1:84" ht="14.1" customHeight="1" x14ac:dyDescent="0.2">
      <c r="A394" s="66">
        <v>79</v>
      </c>
      <c r="B394" s="63">
        <v>2325</v>
      </c>
      <c r="C394" s="64">
        <v>600074561</v>
      </c>
      <c r="D394" s="63">
        <v>46750321</v>
      </c>
      <c r="E394" s="65" t="s">
        <v>692</v>
      </c>
      <c r="F394" s="66">
        <v>3113</v>
      </c>
      <c r="G394" s="65" t="s">
        <v>294</v>
      </c>
      <c r="H394" s="67" t="s">
        <v>271</v>
      </c>
      <c r="I394" s="423">
        <f t="shared" si="721"/>
        <v>29220088</v>
      </c>
      <c r="J394" s="418">
        <f t="shared" ref="J394" si="867">K394+L394</f>
        <v>21386037</v>
      </c>
      <c r="K394" s="418">
        <v>19953826</v>
      </c>
      <c r="L394" s="418">
        <v>1432211</v>
      </c>
      <c r="M394" s="418">
        <f>N394+O394</f>
        <v>0</v>
      </c>
      <c r="N394" s="418">
        <v>0</v>
      </c>
      <c r="O394" s="418">
        <v>0</v>
      </c>
      <c r="P394" s="668">
        <f t="shared" si="723"/>
        <v>7228481</v>
      </c>
      <c r="Q394" s="668">
        <f t="shared" si="724"/>
        <v>213860</v>
      </c>
      <c r="R394" s="418">
        <v>391710</v>
      </c>
      <c r="S394" s="419">
        <f>T394+U394</f>
        <v>32.492100000000001</v>
      </c>
      <c r="T394" s="419">
        <v>28.2727</v>
      </c>
      <c r="U394" s="426">
        <v>4.2194000000000003</v>
      </c>
      <c r="V394" s="428">
        <f t="shared" si="726"/>
        <v>0</v>
      </c>
      <c r="W394" s="421">
        <f t="shared" si="727"/>
        <v>0</v>
      </c>
      <c r="X394" s="421">
        <v>0</v>
      </c>
      <c r="Y394" s="421">
        <v>0</v>
      </c>
      <c r="Z394" s="421">
        <v>0</v>
      </c>
      <c r="AA394" s="421">
        <v>0</v>
      </c>
      <c r="AB394" s="421">
        <v>564000</v>
      </c>
      <c r="AC394" s="421">
        <v>0</v>
      </c>
      <c r="AD394" s="421">
        <v>0</v>
      </c>
      <c r="AE394" s="421">
        <v>0</v>
      </c>
      <c r="AF394" s="421">
        <f t="shared" si="728"/>
        <v>564000</v>
      </c>
      <c r="AG394" s="421">
        <f t="shared" si="729"/>
        <v>0</v>
      </c>
      <c r="AH394" s="421">
        <f t="shared" si="730"/>
        <v>564000</v>
      </c>
      <c r="AI394" s="421">
        <v>0</v>
      </c>
      <c r="AJ394" s="421">
        <v>0</v>
      </c>
      <c r="AK394" s="421">
        <v>0</v>
      </c>
      <c r="AL394" s="421">
        <v>0</v>
      </c>
      <c r="AM394" s="421">
        <v>0</v>
      </c>
      <c r="AN394" s="421">
        <v>0</v>
      </c>
      <c r="AO394" s="421">
        <f t="shared" si="731"/>
        <v>0</v>
      </c>
      <c r="AP394" s="421">
        <f t="shared" si="732"/>
        <v>0</v>
      </c>
      <c r="AQ394" s="421">
        <f t="shared" si="733"/>
        <v>0</v>
      </c>
      <c r="AR394" s="421">
        <f t="shared" ref="AR394:AS399" si="868">AF394+AO394</f>
        <v>564000</v>
      </c>
      <c r="AS394" s="421">
        <f t="shared" si="868"/>
        <v>0</v>
      </c>
      <c r="AT394" s="421">
        <f t="shared" si="735"/>
        <v>564000</v>
      </c>
      <c r="AU394" s="68">
        <f t="shared" ref="AU394:AU399" si="869">ROUND((AH394+AI394+AJ394+AK394+AL394)*33.8%,0)</f>
        <v>190632</v>
      </c>
      <c r="AV394" s="68">
        <f t="shared" ref="AV394:AV399" si="870">ROUND(AH394*1%,0)</f>
        <v>5640</v>
      </c>
      <c r="AW394" s="421">
        <v>0</v>
      </c>
      <c r="AX394" s="421">
        <v>0</v>
      </c>
      <c r="AY394" s="421">
        <f t="shared" si="737"/>
        <v>0</v>
      </c>
      <c r="AZ394" s="421">
        <f t="shared" si="738"/>
        <v>760272</v>
      </c>
      <c r="BA394" s="422">
        <v>0</v>
      </c>
      <c r="BB394" s="422">
        <v>0</v>
      </c>
      <c r="BC394" s="422">
        <v>0</v>
      </c>
      <c r="BD394" s="422">
        <v>1</v>
      </c>
      <c r="BE394" s="422">
        <v>0</v>
      </c>
      <c r="BF394" s="422">
        <v>0</v>
      </c>
      <c r="BG394" s="422">
        <v>0</v>
      </c>
      <c r="BH394" s="422">
        <v>0</v>
      </c>
      <c r="BI394" s="422">
        <v>0</v>
      </c>
      <c r="BJ394" s="422">
        <v>0</v>
      </c>
      <c r="BK394" s="422">
        <f t="shared" ref="BK394:BK399" si="871">BA394+BC394+BD394+BF394+BH394+BI394</f>
        <v>1</v>
      </c>
      <c r="BL394" s="422">
        <f t="shared" ref="BL394:BL399" si="872">BB394+BE394+BG394+BJ394</f>
        <v>0</v>
      </c>
      <c r="BM394" s="424">
        <f t="shared" si="739"/>
        <v>1</v>
      </c>
      <c r="BN394" s="427">
        <f t="shared" ref="BN394:BN399" si="873">I394+AZ394</f>
        <v>29980360</v>
      </c>
      <c r="BO394" s="421">
        <f t="shared" ref="BO394:BO399" si="874">J394+AH394</f>
        <v>21950037</v>
      </c>
      <c r="BP394" s="421">
        <f t="shared" ref="BP394:BQ399" si="875">K394+AF394</f>
        <v>20517826</v>
      </c>
      <c r="BQ394" s="421">
        <f t="shared" si="875"/>
        <v>1432211</v>
      </c>
      <c r="BR394" s="421">
        <f t="shared" ref="BR394:BR399" si="876">M394+AQ394</f>
        <v>0</v>
      </c>
      <c r="BS394" s="421">
        <f t="shared" ref="BS394:BT399" si="877">N394+AO394</f>
        <v>0</v>
      </c>
      <c r="BT394" s="421">
        <f t="shared" si="877"/>
        <v>0</v>
      </c>
      <c r="BU394" s="421">
        <f t="shared" ref="BU394:BV399" si="878">P394+AU394</f>
        <v>7419113</v>
      </c>
      <c r="BV394" s="421">
        <f t="shared" si="878"/>
        <v>219500</v>
      </c>
      <c r="BW394" s="421">
        <f t="shared" ref="BW394:BW399" si="879">R394+AY394</f>
        <v>391710</v>
      </c>
      <c r="BX394" s="422">
        <f t="shared" ref="BX394:BX399" si="880">S394+BM394</f>
        <v>33.492100000000001</v>
      </c>
      <c r="BY394" s="422">
        <f t="shared" ref="BY394:BZ399" si="881">T394+BK394</f>
        <v>29.2727</v>
      </c>
      <c r="BZ394" s="611">
        <f t="shared" si="881"/>
        <v>4.2194000000000003</v>
      </c>
      <c r="CA394" s="423">
        <v>760272</v>
      </c>
      <c r="CB394" s="418">
        <v>564000</v>
      </c>
      <c r="CC394" s="418">
        <v>0</v>
      </c>
      <c r="CD394" s="418">
        <v>190632</v>
      </c>
      <c r="CE394" s="418">
        <v>5640</v>
      </c>
      <c r="CF394" s="527">
        <v>1</v>
      </c>
    </row>
    <row r="395" spans="1:84" ht="14.1" customHeight="1" x14ac:dyDescent="0.2">
      <c r="A395" s="66">
        <v>79</v>
      </c>
      <c r="B395" s="63">
        <v>2325</v>
      </c>
      <c r="C395" s="64">
        <v>600074561</v>
      </c>
      <c r="D395" s="63">
        <v>46750321</v>
      </c>
      <c r="E395" s="65" t="s">
        <v>692</v>
      </c>
      <c r="F395" s="66">
        <v>3113</v>
      </c>
      <c r="G395" s="77" t="s">
        <v>292</v>
      </c>
      <c r="H395" s="67" t="s">
        <v>272</v>
      </c>
      <c r="I395" s="423">
        <f t="shared" si="721"/>
        <v>0</v>
      </c>
      <c r="J395" s="418">
        <f t="shared" si="722"/>
        <v>0</v>
      </c>
      <c r="K395" s="418">
        <v>0</v>
      </c>
      <c r="L395" s="418">
        <v>0</v>
      </c>
      <c r="M395" s="418">
        <f t="shared" si="744"/>
        <v>0</v>
      </c>
      <c r="N395" s="418">
        <v>0</v>
      </c>
      <c r="O395" s="418">
        <v>0</v>
      </c>
      <c r="P395" s="668">
        <f t="shared" si="723"/>
        <v>0</v>
      </c>
      <c r="Q395" s="668">
        <f t="shared" si="724"/>
        <v>0</v>
      </c>
      <c r="R395" s="418">
        <v>0</v>
      </c>
      <c r="S395" s="419">
        <f t="shared" si="725"/>
        <v>0</v>
      </c>
      <c r="T395" s="420">
        <v>0</v>
      </c>
      <c r="U395" s="426">
        <v>0</v>
      </c>
      <c r="V395" s="428">
        <f t="shared" si="726"/>
        <v>0</v>
      </c>
      <c r="W395" s="421">
        <f t="shared" si="727"/>
        <v>0</v>
      </c>
      <c r="X395" s="16">
        <v>3562014</v>
      </c>
      <c r="Y395" s="16">
        <v>0</v>
      </c>
      <c r="Z395" s="16">
        <v>0</v>
      </c>
      <c r="AA395" s="16">
        <v>0</v>
      </c>
      <c r="AB395" s="421">
        <v>0</v>
      </c>
      <c r="AC395" s="16">
        <v>0</v>
      </c>
      <c r="AD395" s="16">
        <v>0</v>
      </c>
      <c r="AE395" s="16">
        <v>0</v>
      </c>
      <c r="AF395" s="421">
        <f t="shared" si="728"/>
        <v>3562014</v>
      </c>
      <c r="AG395" s="421">
        <f t="shared" si="729"/>
        <v>0</v>
      </c>
      <c r="AH395" s="421">
        <f t="shared" si="730"/>
        <v>3562014</v>
      </c>
      <c r="AI395" s="16">
        <v>0</v>
      </c>
      <c r="AJ395" s="16">
        <v>0</v>
      </c>
      <c r="AK395" s="421">
        <v>0</v>
      </c>
      <c r="AL395" s="16">
        <v>0</v>
      </c>
      <c r="AM395" s="16">
        <v>0</v>
      </c>
      <c r="AN395" s="16">
        <v>0</v>
      </c>
      <c r="AO395" s="421">
        <f t="shared" si="731"/>
        <v>0</v>
      </c>
      <c r="AP395" s="16">
        <v>0</v>
      </c>
      <c r="AQ395" s="421">
        <f t="shared" si="733"/>
        <v>0</v>
      </c>
      <c r="AR395" s="421">
        <f t="shared" si="868"/>
        <v>3562014</v>
      </c>
      <c r="AS395" s="421">
        <f t="shared" si="868"/>
        <v>0</v>
      </c>
      <c r="AT395" s="421">
        <f t="shared" si="735"/>
        <v>3562014</v>
      </c>
      <c r="AU395" s="68">
        <f t="shared" si="869"/>
        <v>1203961</v>
      </c>
      <c r="AV395" s="68">
        <f t="shared" si="870"/>
        <v>35620</v>
      </c>
      <c r="AW395" s="16">
        <v>2500</v>
      </c>
      <c r="AX395" s="16">
        <v>0</v>
      </c>
      <c r="AY395" s="421">
        <f t="shared" si="737"/>
        <v>2500</v>
      </c>
      <c r="AZ395" s="421">
        <f t="shared" si="738"/>
        <v>4804095</v>
      </c>
      <c r="BA395" s="13">
        <v>0</v>
      </c>
      <c r="BB395" s="13">
        <v>0</v>
      </c>
      <c r="BC395" s="13">
        <v>9.49</v>
      </c>
      <c r="BD395" s="422">
        <v>0</v>
      </c>
      <c r="BE395" s="422">
        <v>0</v>
      </c>
      <c r="BF395" s="422">
        <v>0</v>
      </c>
      <c r="BG395" s="422">
        <v>0</v>
      </c>
      <c r="BH395" s="422">
        <v>0</v>
      </c>
      <c r="BI395" s="422">
        <v>0</v>
      </c>
      <c r="BJ395" s="422">
        <v>0</v>
      </c>
      <c r="BK395" s="422">
        <f t="shared" si="871"/>
        <v>9.49</v>
      </c>
      <c r="BL395" s="422">
        <f t="shared" si="872"/>
        <v>0</v>
      </c>
      <c r="BM395" s="424">
        <f t="shared" si="739"/>
        <v>9.49</v>
      </c>
      <c r="BN395" s="427">
        <f t="shared" si="873"/>
        <v>4804095</v>
      </c>
      <c r="BO395" s="421">
        <f t="shared" si="874"/>
        <v>3562014</v>
      </c>
      <c r="BP395" s="421">
        <f t="shared" si="875"/>
        <v>3562014</v>
      </c>
      <c r="BQ395" s="421">
        <f t="shared" si="875"/>
        <v>0</v>
      </c>
      <c r="BR395" s="421">
        <f t="shared" si="876"/>
        <v>0</v>
      </c>
      <c r="BS395" s="421">
        <f t="shared" si="877"/>
        <v>0</v>
      </c>
      <c r="BT395" s="421">
        <f t="shared" si="877"/>
        <v>0</v>
      </c>
      <c r="BU395" s="421">
        <f t="shared" si="878"/>
        <v>1203961</v>
      </c>
      <c r="BV395" s="421">
        <f t="shared" si="878"/>
        <v>35620</v>
      </c>
      <c r="BW395" s="421">
        <f t="shared" si="879"/>
        <v>2500</v>
      </c>
      <c r="BX395" s="422">
        <f t="shared" si="880"/>
        <v>9.49</v>
      </c>
      <c r="BY395" s="422">
        <f t="shared" si="881"/>
        <v>9.49</v>
      </c>
      <c r="BZ395" s="611">
        <f t="shared" si="881"/>
        <v>0</v>
      </c>
      <c r="CA395" s="423"/>
      <c r="CB395" s="418"/>
      <c r="CC395" s="418"/>
      <c r="CD395" s="418"/>
      <c r="CE395" s="418"/>
      <c r="CF395" s="527"/>
    </row>
    <row r="396" spans="1:84" ht="14.1" customHeight="1" x14ac:dyDescent="0.2">
      <c r="A396" s="66">
        <v>79</v>
      </c>
      <c r="B396" s="63">
        <v>2325</v>
      </c>
      <c r="C396" s="64">
        <v>600074561</v>
      </c>
      <c r="D396" s="63">
        <v>46750321</v>
      </c>
      <c r="E396" s="65" t="s">
        <v>692</v>
      </c>
      <c r="F396" s="66">
        <v>3141</v>
      </c>
      <c r="G396" s="65" t="s">
        <v>295</v>
      </c>
      <c r="H396" s="67" t="s">
        <v>272</v>
      </c>
      <c r="I396" s="423">
        <f t="shared" si="721"/>
        <v>1843857</v>
      </c>
      <c r="J396" s="418">
        <f t="shared" si="722"/>
        <v>1358364</v>
      </c>
      <c r="K396" s="418">
        <v>0</v>
      </c>
      <c r="L396" s="924">
        <v>1358364</v>
      </c>
      <c r="M396" s="418">
        <f>N396+O396</f>
        <v>0</v>
      </c>
      <c r="N396" s="205">
        <v>0</v>
      </c>
      <c r="O396" s="205">
        <v>0</v>
      </c>
      <c r="P396" s="668">
        <f t="shared" si="723"/>
        <v>459127</v>
      </c>
      <c r="Q396" s="668">
        <f t="shared" si="724"/>
        <v>13584</v>
      </c>
      <c r="R396" s="674">
        <v>12782</v>
      </c>
      <c r="S396" s="419">
        <f>T396+U396</f>
        <v>4.0732999999999997</v>
      </c>
      <c r="T396" s="676">
        <v>0</v>
      </c>
      <c r="U396" s="909">
        <v>4.0732999999999997</v>
      </c>
      <c r="V396" s="428">
        <f t="shared" si="726"/>
        <v>0</v>
      </c>
      <c r="W396" s="421">
        <f t="shared" si="727"/>
        <v>0</v>
      </c>
      <c r="X396" s="421">
        <v>0</v>
      </c>
      <c r="Y396" s="421">
        <v>0</v>
      </c>
      <c r="Z396" s="421">
        <v>0</v>
      </c>
      <c r="AA396" s="421">
        <v>0</v>
      </c>
      <c r="AB396" s="421">
        <v>0</v>
      </c>
      <c r="AC396" s="421">
        <v>0</v>
      </c>
      <c r="AD396" s="421">
        <v>0</v>
      </c>
      <c r="AE396" s="421">
        <v>0</v>
      </c>
      <c r="AF396" s="421">
        <f t="shared" si="728"/>
        <v>0</v>
      </c>
      <c r="AG396" s="421">
        <f t="shared" si="729"/>
        <v>0</v>
      </c>
      <c r="AH396" s="421">
        <f t="shared" si="730"/>
        <v>0</v>
      </c>
      <c r="AI396" s="421">
        <v>0</v>
      </c>
      <c r="AJ396" s="421">
        <v>0</v>
      </c>
      <c r="AK396" s="421">
        <v>0</v>
      </c>
      <c r="AL396" s="421">
        <v>0</v>
      </c>
      <c r="AM396" s="421">
        <v>0</v>
      </c>
      <c r="AN396" s="421">
        <v>0</v>
      </c>
      <c r="AO396" s="421">
        <f t="shared" si="731"/>
        <v>0</v>
      </c>
      <c r="AP396" s="421">
        <f t="shared" si="732"/>
        <v>0</v>
      </c>
      <c r="AQ396" s="421">
        <f t="shared" si="733"/>
        <v>0</v>
      </c>
      <c r="AR396" s="421">
        <f t="shared" si="868"/>
        <v>0</v>
      </c>
      <c r="AS396" s="421">
        <f t="shared" si="868"/>
        <v>0</v>
      </c>
      <c r="AT396" s="421">
        <f t="shared" si="735"/>
        <v>0</v>
      </c>
      <c r="AU396" s="68">
        <f t="shared" si="869"/>
        <v>0</v>
      </c>
      <c r="AV396" s="68">
        <f t="shared" si="870"/>
        <v>0</v>
      </c>
      <c r="AW396" s="421">
        <v>0</v>
      </c>
      <c r="AX396" s="421">
        <v>0</v>
      </c>
      <c r="AY396" s="421">
        <f t="shared" si="737"/>
        <v>0</v>
      </c>
      <c r="AZ396" s="421">
        <f t="shared" si="738"/>
        <v>0</v>
      </c>
      <c r="BA396" s="422">
        <v>0</v>
      </c>
      <c r="BB396" s="422">
        <v>0</v>
      </c>
      <c r="BC396" s="422">
        <v>0</v>
      </c>
      <c r="BD396" s="422">
        <v>0</v>
      </c>
      <c r="BE396" s="422">
        <v>0</v>
      </c>
      <c r="BF396" s="422">
        <v>0</v>
      </c>
      <c r="BG396" s="422">
        <v>0</v>
      </c>
      <c r="BH396" s="422">
        <v>0</v>
      </c>
      <c r="BI396" s="422">
        <v>0</v>
      </c>
      <c r="BJ396" s="422">
        <v>0</v>
      </c>
      <c r="BK396" s="422">
        <f t="shared" si="871"/>
        <v>0</v>
      </c>
      <c r="BL396" s="422">
        <f t="shared" si="872"/>
        <v>0</v>
      </c>
      <c r="BM396" s="424">
        <f t="shared" si="739"/>
        <v>0</v>
      </c>
      <c r="BN396" s="427">
        <f t="shared" si="873"/>
        <v>1843857</v>
      </c>
      <c r="BO396" s="421">
        <f t="shared" si="874"/>
        <v>1358364</v>
      </c>
      <c r="BP396" s="421">
        <f t="shared" si="875"/>
        <v>0</v>
      </c>
      <c r="BQ396" s="421">
        <f t="shared" si="875"/>
        <v>1358364</v>
      </c>
      <c r="BR396" s="421">
        <f t="shared" si="876"/>
        <v>0</v>
      </c>
      <c r="BS396" s="421">
        <f t="shared" si="877"/>
        <v>0</v>
      </c>
      <c r="BT396" s="421">
        <f t="shared" si="877"/>
        <v>0</v>
      </c>
      <c r="BU396" s="421">
        <f t="shared" si="878"/>
        <v>459127</v>
      </c>
      <c r="BV396" s="421">
        <f t="shared" si="878"/>
        <v>13584</v>
      </c>
      <c r="BW396" s="421">
        <f t="shared" si="879"/>
        <v>12782</v>
      </c>
      <c r="BX396" s="422">
        <f t="shared" si="880"/>
        <v>4.0732999999999997</v>
      </c>
      <c r="BY396" s="422">
        <f t="shared" si="881"/>
        <v>0</v>
      </c>
      <c r="BZ396" s="611">
        <f t="shared" si="881"/>
        <v>4.0732999999999997</v>
      </c>
      <c r="CA396" s="423"/>
      <c r="CB396" s="418"/>
      <c r="CC396" s="418"/>
      <c r="CD396" s="418"/>
      <c r="CE396" s="418"/>
      <c r="CF396" s="527"/>
    </row>
    <row r="397" spans="1:84" ht="14.1" customHeight="1" x14ac:dyDescent="0.2">
      <c r="A397" s="66">
        <v>79</v>
      </c>
      <c r="B397" s="63">
        <v>2325</v>
      </c>
      <c r="C397" s="64">
        <v>600074561</v>
      </c>
      <c r="D397" s="63">
        <v>46750321</v>
      </c>
      <c r="E397" s="65" t="s">
        <v>692</v>
      </c>
      <c r="F397" s="66">
        <v>3143</v>
      </c>
      <c r="G397" s="77" t="s">
        <v>596</v>
      </c>
      <c r="H397" s="67" t="s">
        <v>271</v>
      </c>
      <c r="I397" s="423">
        <f t="shared" ref="I397:I460" si="882">J397+M397+P397+Q397+R397</f>
        <v>2242545</v>
      </c>
      <c r="J397" s="418">
        <f t="shared" ref="J397:J460" si="883">K397+L397</f>
        <v>1663609</v>
      </c>
      <c r="K397" s="418">
        <v>1663609</v>
      </c>
      <c r="L397" s="418">
        <v>0</v>
      </c>
      <c r="M397" s="418">
        <f t="shared" ref="M397:M455" si="884">N397+O397</f>
        <v>0</v>
      </c>
      <c r="N397" s="418">
        <v>0</v>
      </c>
      <c r="O397" s="418">
        <v>0</v>
      </c>
      <c r="P397" s="668">
        <f t="shared" ref="P397:P460" si="885">ROUND(J397*33.8%,0)</f>
        <v>562300</v>
      </c>
      <c r="Q397" s="668">
        <f t="shared" ref="Q397:Q460" si="886">ROUND(J397*1%,0)</f>
        <v>16636</v>
      </c>
      <c r="R397" s="418">
        <v>0</v>
      </c>
      <c r="S397" s="419">
        <f t="shared" ref="S397:S460" si="887">T397+U397</f>
        <v>3.5</v>
      </c>
      <c r="T397" s="419">
        <v>3.5</v>
      </c>
      <c r="U397" s="426">
        <v>0</v>
      </c>
      <c r="V397" s="428">
        <f t="shared" ref="V397:V460" si="888">AI397*-1</f>
        <v>-11520</v>
      </c>
      <c r="W397" s="421">
        <f t="shared" ref="W397:W460" si="889">AJ397*-1</f>
        <v>0</v>
      </c>
      <c r="X397" s="421">
        <v>0</v>
      </c>
      <c r="Y397" s="421">
        <v>0</v>
      </c>
      <c r="Z397" s="421">
        <v>0</v>
      </c>
      <c r="AA397" s="421">
        <v>0</v>
      </c>
      <c r="AB397" s="421">
        <v>0</v>
      </c>
      <c r="AC397" s="421">
        <v>0</v>
      </c>
      <c r="AD397" s="421">
        <v>0</v>
      </c>
      <c r="AE397" s="421">
        <v>0</v>
      </c>
      <c r="AF397" s="421">
        <f t="shared" ref="AF397:AF460" si="890">V397+X397+Y397+AA397+AB397+AD397</f>
        <v>-11520</v>
      </c>
      <c r="AG397" s="421">
        <f t="shared" ref="AG397:AG460" si="891">W397+Z397+AC397+AE397</f>
        <v>0</v>
      </c>
      <c r="AH397" s="421">
        <f t="shared" ref="AH397:AH460" si="892">SUM(AF397:AG397)</f>
        <v>-11520</v>
      </c>
      <c r="AI397" s="421">
        <v>11520</v>
      </c>
      <c r="AJ397" s="421">
        <v>0</v>
      </c>
      <c r="AK397" s="421">
        <v>0</v>
      </c>
      <c r="AL397" s="421">
        <v>0</v>
      </c>
      <c r="AM397" s="421">
        <v>0</v>
      </c>
      <c r="AN397" s="421">
        <v>0</v>
      </c>
      <c r="AO397" s="421">
        <f t="shared" ref="AO397:AO460" si="893">AI397+AL397+AK397+AM397</f>
        <v>11520</v>
      </c>
      <c r="AP397" s="421">
        <f t="shared" ref="AP397:AP460" si="894">AJ397+AN397</f>
        <v>0</v>
      </c>
      <c r="AQ397" s="421">
        <f t="shared" ref="AQ397:AQ460" si="895">SUM(AO397:AP397)</f>
        <v>11520</v>
      </c>
      <c r="AR397" s="421">
        <f t="shared" si="868"/>
        <v>0</v>
      </c>
      <c r="AS397" s="421">
        <f t="shared" si="868"/>
        <v>0</v>
      </c>
      <c r="AT397" s="421">
        <f t="shared" ref="AT397:AT460" si="896">SUM(AR397:AS397)</f>
        <v>0</v>
      </c>
      <c r="AU397" s="68">
        <f t="shared" si="869"/>
        <v>0</v>
      </c>
      <c r="AV397" s="68">
        <f t="shared" si="870"/>
        <v>-115</v>
      </c>
      <c r="AW397" s="421">
        <v>0</v>
      </c>
      <c r="AX397" s="421">
        <v>0</v>
      </c>
      <c r="AY397" s="421">
        <f t="shared" ref="AY397:AY460" si="897">AW397+AX397</f>
        <v>0</v>
      </c>
      <c r="AZ397" s="421">
        <f t="shared" ref="AZ397:AZ460" si="898">AT397+AU397+AV397+AY397</f>
        <v>-115</v>
      </c>
      <c r="BA397" s="422">
        <v>0</v>
      </c>
      <c r="BB397" s="422">
        <v>0</v>
      </c>
      <c r="BC397" s="422">
        <v>0</v>
      </c>
      <c r="BD397" s="422">
        <v>0</v>
      </c>
      <c r="BE397" s="422">
        <v>0</v>
      </c>
      <c r="BF397" s="422">
        <v>0</v>
      </c>
      <c r="BG397" s="422">
        <v>0</v>
      </c>
      <c r="BH397" s="422">
        <v>0</v>
      </c>
      <c r="BI397" s="422">
        <v>0</v>
      </c>
      <c r="BJ397" s="422">
        <v>0</v>
      </c>
      <c r="BK397" s="422">
        <f t="shared" si="871"/>
        <v>0</v>
      </c>
      <c r="BL397" s="422">
        <f t="shared" si="872"/>
        <v>0</v>
      </c>
      <c r="BM397" s="424">
        <f t="shared" ref="BM397:BM460" si="899">SUM(BK397:BL397)</f>
        <v>0</v>
      </c>
      <c r="BN397" s="427">
        <f t="shared" si="873"/>
        <v>2242430</v>
      </c>
      <c r="BO397" s="421">
        <f t="shared" si="874"/>
        <v>1652089</v>
      </c>
      <c r="BP397" s="421">
        <f t="shared" si="875"/>
        <v>1652089</v>
      </c>
      <c r="BQ397" s="421">
        <f t="shared" si="875"/>
        <v>0</v>
      </c>
      <c r="BR397" s="421">
        <f t="shared" si="876"/>
        <v>11520</v>
      </c>
      <c r="BS397" s="421">
        <f t="shared" si="877"/>
        <v>11520</v>
      </c>
      <c r="BT397" s="421">
        <f t="shared" si="877"/>
        <v>0</v>
      </c>
      <c r="BU397" s="421">
        <f t="shared" si="878"/>
        <v>562300</v>
      </c>
      <c r="BV397" s="421">
        <f t="shared" si="878"/>
        <v>16521</v>
      </c>
      <c r="BW397" s="421">
        <f t="shared" si="879"/>
        <v>0</v>
      </c>
      <c r="BX397" s="422">
        <f t="shared" si="880"/>
        <v>3.5</v>
      </c>
      <c r="BY397" s="422">
        <f t="shared" si="881"/>
        <v>3.5</v>
      </c>
      <c r="BZ397" s="611">
        <f t="shared" si="881"/>
        <v>0</v>
      </c>
      <c r="CA397" s="423"/>
      <c r="CB397" s="418"/>
      <c r="CC397" s="418"/>
      <c r="CD397" s="418"/>
      <c r="CE397" s="418"/>
      <c r="CF397" s="527"/>
    </row>
    <row r="398" spans="1:84" ht="14.1" customHeight="1" x14ac:dyDescent="0.2">
      <c r="A398" s="66">
        <v>79</v>
      </c>
      <c r="B398" s="63">
        <v>2325</v>
      </c>
      <c r="C398" s="64">
        <v>600074561</v>
      </c>
      <c r="D398" s="63">
        <v>46750321</v>
      </c>
      <c r="E398" s="65" t="s">
        <v>692</v>
      </c>
      <c r="F398" s="66">
        <v>3143</v>
      </c>
      <c r="G398" s="77" t="s">
        <v>597</v>
      </c>
      <c r="H398" s="67" t="s">
        <v>272</v>
      </c>
      <c r="I398" s="423">
        <f t="shared" si="882"/>
        <v>61484</v>
      </c>
      <c r="J398" s="418">
        <f t="shared" si="883"/>
        <v>44009</v>
      </c>
      <c r="K398" s="418">
        <v>0</v>
      </c>
      <c r="L398" s="674">
        <v>44009</v>
      </c>
      <c r="M398" s="418">
        <f t="shared" si="884"/>
        <v>0</v>
      </c>
      <c r="N398" s="418">
        <v>0</v>
      </c>
      <c r="O398" s="418">
        <v>0</v>
      </c>
      <c r="P398" s="668">
        <f t="shared" si="885"/>
        <v>14875</v>
      </c>
      <c r="Q398" s="668">
        <f t="shared" si="886"/>
        <v>440</v>
      </c>
      <c r="R398" s="675">
        <v>2160</v>
      </c>
      <c r="S398" s="419">
        <f t="shared" si="887"/>
        <v>0.16669999999999999</v>
      </c>
      <c r="T398" s="679">
        <v>0</v>
      </c>
      <c r="U398" s="909">
        <v>0.16669999999999999</v>
      </c>
      <c r="V398" s="428">
        <f t="shared" si="888"/>
        <v>0</v>
      </c>
      <c r="W398" s="421">
        <f t="shared" si="889"/>
        <v>0</v>
      </c>
      <c r="X398" s="421">
        <v>0</v>
      </c>
      <c r="Y398" s="421">
        <v>0</v>
      </c>
      <c r="Z398" s="421">
        <v>0</v>
      </c>
      <c r="AA398" s="421">
        <v>0</v>
      </c>
      <c r="AB398" s="421">
        <v>0</v>
      </c>
      <c r="AC398" s="421">
        <v>0</v>
      </c>
      <c r="AD398" s="421">
        <v>0</v>
      </c>
      <c r="AE398" s="421">
        <v>0</v>
      </c>
      <c r="AF398" s="421">
        <f t="shared" si="890"/>
        <v>0</v>
      </c>
      <c r="AG398" s="421">
        <f t="shared" si="891"/>
        <v>0</v>
      </c>
      <c r="AH398" s="421">
        <f t="shared" si="892"/>
        <v>0</v>
      </c>
      <c r="AI398" s="421">
        <v>0</v>
      </c>
      <c r="AJ398" s="421">
        <v>0</v>
      </c>
      <c r="AK398" s="421">
        <v>0</v>
      </c>
      <c r="AL398" s="421">
        <v>0</v>
      </c>
      <c r="AM398" s="421">
        <v>0</v>
      </c>
      <c r="AN398" s="421">
        <v>0</v>
      </c>
      <c r="AO398" s="421">
        <f t="shared" si="893"/>
        <v>0</v>
      </c>
      <c r="AP398" s="421">
        <f t="shared" si="894"/>
        <v>0</v>
      </c>
      <c r="AQ398" s="421">
        <f t="shared" si="895"/>
        <v>0</v>
      </c>
      <c r="AR398" s="421">
        <f t="shared" si="868"/>
        <v>0</v>
      </c>
      <c r="AS398" s="421">
        <f t="shared" si="868"/>
        <v>0</v>
      </c>
      <c r="AT398" s="421">
        <f t="shared" si="896"/>
        <v>0</v>
      </c>
      <c r="AU398" s="68">
        <f t="shared" si="869"/>
        <v>0</v>
      </c>
      <c r="AV398" s="68">
        <f t="shared" si="870"/>
        <v>0</v>
      </c>
      <c r="AW398" s="421">
        <v>0</v>
      </c>
      <c r="AX398" s="421">
        <v>0</v>
      </c>
      <c r="AY398" s="421">
        <f t="shared" si="897"/>
        <v>0</v>
      </c>
      <c r="AZ398" s="421">
        <f t="shared" si="898"/>
        <v>0</v>
      </c>
      <c r="BA398" s="422">
        <v>0</v>
      </c>
      <c r="BB398" s="422">
        <v>0</v>
      </c>
      <c r="BC398" s="422">
        <v>0</v>
      </c>
      <c r="BD398" s="422">
        <v>0</v>
      </c>
      <c r="BE398" s="422">
        <v>0</v>
      </c>
      <c r="BF398" s="422">
        <v>0</v>
      </c>
      <c r="BG398" s="422">
        <v>0</v>
      </c>
      <c r="BH398" s="422">
        <v>0</v>
      </c>
      <c r="BI398" s="422">
        <v>0</v>
      </c>
      <c r="BJ398" s="422">
        <v>0</v>
      </c>
      <c r="BK398" s="422">
        <f t="shared" si="871"/>
        <v>0</v>
      </c>
      <c r="BL398" s="422">
        <f t="shared" si="872"/>
        <v>0</v>
      </c>
      <c r="BM398" s="424">
        <f t="shared" si="899"/>
        <v>0</v>
      </c>
      <c r="BN398" s="427">
        <f t="shared" si="873"/>
        <v>61484</v>
      </c>
      <c r="BO398" s="421">
        <f t="shared" si="874"/>
        <v>44009</v>
      </c>
      <c r="BP398" s="421">
        <f t="shared" si="875"/>
        <v>0</v>
      </c>
      <c r="BQ398" s="421">
        <f t="shared" si="875"/>
        <v>44009</v>
      </c>
      <c r="BR398" s="421">
        <f t="shared" si="876"/>
        <v>0</v>
      </c>
      <c r="BS398" s="421">
        <f t="shared" si="877"/>
        <v>0</v>
      </c>
      <c r="BT398" s="421">
        <f t="shared" si="877"/>
        <v>0</v>
      </c>
      <c r="BU398" s="421">
        <f t="shared" si="878"/>
        <v>14875</v>
      </c>
      <c r="BV398" s="421">
        <f t="shared" si="878"/>
        <v>440</v>
      </c>
      <c r="BW398" s="421">
        <f t="shared" si="879"/>
        <v>2160</v>
      </c>
      <c r="BX398" s="422">
        <f t="shared" si="880"/>
        <v>0.16669999999999999</v>
      </c>
      <c r="BY398" s="422">
        <f t="shared" si="881"/>
        <v>0</v>
      </c>
      <c r="BZ398" s="611">
        <f t="shared" si="881"/>
        <v>0.16669999999999999</v>
      </c>
      <c r="CA398" s="423"/>
      <c r="CB398" s="418"/>
      <c r="CC398" s="418"/>
      <c r="CD398" s="418"/>
      <c r="CE398" s="418"/>
      <c r="CF398" s="527"/>
    </row>
    <row r="399" spans="1:84" ht="14.1" customHeight="1" x14ac:dyDescent="0.2">
      <c r="A399" s="66">
        <v>79</v>
      </c>
      <c r="B399" s="63">
        <v>2325</v>
      </c>
      <c r="C399" s="64">
        <v>600074561</v>
      </c>
      <c r="D399" s="63">
        <v>46750321</v>
      </c>
      <c r="E399" s="65" t="s">
        <v>692</v>
      </c>
      <c r="F399" s="66">
        <v>3231</v>
      </c>
      <c r="G399" s="65" t="s">
        <v>296</v>
      </c>
      <c r="H399" s="67" t="s">
        <v>271</v>
      </c>
      <c r="I399" s="423">
        <f t="shared" si="882"/>
        <v>3844502</v>
      </c>
      <c r="J399" s="418">
        <f t="shared" si="883"/>
        <v>2846498</v>
      </c>
      <c r="K399" s="418">
        <v>2744180</v>
      </c>
      <c r="L399" s="418">
        <v>102318</v>
      </c>
      <c r="M399" s="418">
        <f t="shared" si="884"/>
        <v>0</v>
      </c>
      <c r="N399" s="418">
        <v>0</v>
      </c>
      <c r="O399" s="418">
        <v>0</v>
      </c>
      <c r="P399" s="668">
        <f t="shared" si="885"/>
        <v>962116</v>
      </c>
      <c r="Q399" s="668">
        <f t="shared" si="886"/>
        <v>28465</v>
      </c>
      <c r="R399" s="418">
        <v>7423</v>
      </c>
      <c r="S399" s="419">
        <f t="shared" si="887"/>
        <v>4.5599999999999996</v>
      </c>
      <c r="T399" s="419">
        <v>4.2699999999999996</v>
      </c>
      <c r="U399" s="426">
        <v>0.28999999999999998</v>
      </c>
      <c r="V399" s="428">
        <f t="shared" si="888"/>
        <v>0</v>
      </c>
      <c r="W399" s="421">
        <f t="shared" si="889"/>
        <v>0</v>
      </c>
      <c r="X399" s="421">
        <v>0</v>
      </c>
      <c r="Y399" s="421">
        <v>0</v>
      </c>
      <c r="Z399" s="421">
        <v>0</v>
      </c>
      <c r="AA399" s="421">
        <v>0</v>
      </c>
      <c r="AB399" s="421">
        <v>0</v>
      </c>
      <c r="AC399" s="421">
        <v>0</v>
      </c>
      <c r="AD399" s="421">
        <v>0</v>
      </c>
      <c r="AE399" s="421">
        <v>0</v>
      </c>
      <c r="AF399" s="421">
        <f t="shared" si="890"/>
        <v>0</v>
      </c>
      <c r="AG399" s="421">
        <f t="shared" si="891"/>
        <v>0</v>
      </c>
      <c r="AH399" s="421">
        <f t="shared" si="892"/>
        <v>0</v>
      </c>
      <c r="AI399" s="421">
        <v>0</v>
      </c>
      <c r="AJ399" s="421">
        <v>0</v>
      </c>
      <c r="AK399" s="421">
        <v>0</v>
      </c>
      <c r="AL399" s="421">
        <v>0</v>
      </c>
      <c r="AM399" s="421">
        <v>0</v>
      </c>
      <c r="AN399" s="421">
        <v>0</v>
      </c>
      <c r="AO399" s="421">
        <f t="shared" si="893"/>
        <v>0</v>
      </c>
      <c r="AP399" s="421">
        <f t="shared" si="894"/>
        <v>0</v>
      </c>
      <c r="AQ399" s="421">
        <f t="shared" si="895"/>
        <v>0</v>
      </c>
      <c r="AR399" s="421">
        <f t="shared" si="868"/>
        <v>0</v>
      </c>
      <c r="AS399" s="421">
        <f t="shared" si="868"/>
        <v>0</v>
      </c>
      <c r="AT399" s="421">
        <f t="shared" si="896"/>
        <v>0</v>
      </c>
      <c r="AU399" s="68">
        <f t="shared" si="869"/>
        <v>0</v>
      </c>
      <c r="AV399" s="68">
        <f t="shared" si="870"/>
        <v>0</v>
      </c>
      <c r="AW399" s="421">
        <v>0</v>
      </c>
      <c r="AX399" s="421">
        <v>0</v>
      </c>
      <c r="AY399" s="421">
        <f t="shared" si="897"/>
        <v>0</v>
      </c>
      <c r="AZ399" s="421">
        <f t="shared" si="898"/>
        <v>0</v>
      </c>
      <c r="BA399" s="422">
        <v>0</v>
      </c>
      <c r="BB399" s="422">
        <v>0</v>
      </c>
      <c r="BC399" s="422">
        <v>0</v>
      </c>
      <c r="BD399" s="422">
        <v>0</v>
      </c>
      <c r="BE399" s="422">
        <v>0</v>
      </c>
      <c r="BF399" s="422">
        <v>0</v>
      </c>
      <c r="BG399" s="422">
        <v>0</v>
      </c>
      <c r="BH399" s="422">
        <v>0</v>
      </c>
      <c r="BI399" s="422">
        <v>0</v>
      </c>
      <c r="BJ399" s="422">
        <v>0</v>
      </c>
      <c r="BK399" s="422">
        <f t="shared" si="871"/>
        <v>0</v>
      </c>
      <c r="BL399" s="422">
        <f t="shared" si="872"/>
        <v>0</v>
      </c>
      <c r="BM399" s="424">
        <f t="shared" si="899"/>
        <v>0</v>
      </c>
      <c r="BN399" s="427">
        <f t="shared" si="873"/>
        <v>3844502</v>
      </c>
      <c r="BO399" s="421">
        <f t="shared" si="874"/>
        <v>2846498</v>
      </c>
      <c r="BP399" s="421">
        <f t="shared" si="875"/>
        <v>2744180</v>
      </c>
      <c r="BQ399" s="421">
        <f t="shared" si="875"/>
        <v>102318</v>
      </c>
      <c r="BR399" s="421">
        <f t="shared" si="876"/>
        <v>0</v>
      </c>
      <c r="BS399" s="421">
        <f t="shared" si="877"/>
        <v>0</v>
      </c>
      <c r="BT399" s="421">
        <f t="shared" si="877"/>
        <v>0</v>
      </c>
      <c r="BU399" s="421">
        <f t="shared" si="878"/>
        <v>962116</v>
      </c>
      <c r="BV399" s="421">
        <f t="shared" si="878"/>
        <v>28465</v>
      </c>
      <c r="BW399" s="421">
        <f t="shared" si="879"/>
        <v>7423</v>
      </c>
      <c r="BX399" s="422">
        <f t="shared" si="880"/>
        <v>4.5599999999999996</v>
      </c>
      <c r="BY399" s="422">
        <f t="shared" si="881"/>
        <v>4.2699999999999996</v>
      </c>
      <c r="BZ399" s="611">
        <f t="shared" si="881"/>
        <v>0.28999999999999998</v>
      </c>
      <c r="CA399" s="423"/>
      <c r="CB399" s="418"/>
      <c r="CC399" s="418"/>
      <c r="CD399" s="418"/>
      <c r="CE399" s="418"/>
      <c r="CF399" s="527"/>
    </row>
    <row r="400" spans="1:84" ht="14.1" customHeight="1" x14ac:dyDescent="0.2">
      <c r="A400" s="72">
        <v>79</v>
      </c>
      <c r="B400" s="69">
        <v>2325</v>
      </c>
      <c r="C400" s="70">
        <v>600074561</v>
      </c>
      <c r="D400" s="69">
        <v>46750321</v>
      </c>
      <c r="E400" s="71" t="s">
        <v>693</v>
      </c>
      <c r="F400" s="72"/>
      <c r="G400" s="71"/>
      <c r="H400" s="73"/>
      <c r="I400" s="539">
        <f t="shared" ref="I400:BU400" si="900">SUM(I394:I399)</f>
        <v>37212476</v>
      </c>
      <c r="J400" s="78">
        <f t="shared" si="900"/>
        <v>27298517</v>
      </c>
      <c r="K400" s="78">
        <f>SUM(K394:K399)</f>
        <v>24361615</v>
      </c>
      <c r="L400" s="78">
        <f>SUM(L394:L399)</f>
        <v>2936902</v>
      </c>
      <c r="M400" s="78">
        <f>SUM(M394:M399)</f>
        <v>0</v>
      </c>
      <c r="N400" s="78">
        <f>SUM(N394:N399)</f>
        <v>0</v>
      </c>
      <c r="O400" s="78">
        <f>SUM(O394:O399)</f>
        <v>0</v>
      </c>
      <c r="P400" s="78">
        <f t="shared" ref="P400:Q400" si="901">SUM(P394:P399)</f>
        <v>9226899</v>
      </c>
      <c r="Q400" s="78">
        <f t="shared" si="901"/>
        <v>272985</v>
      </c>
      <c r="R400" s="78">
        <f>SUM(R394:R399)</f>
        <v>414075</v>
      </c>
      <c r="S400" s="79">
        <f>SUM(S394:S399)</f>
        <v>44.792099999999998</v>
      </c>
      <c r="T400" s="79">
        <f>SUM(T394:T399)</f>
        <v>36.042699999999996</v>
      </c>
      <c r="U400" s="754">
        <f>SUM(U394:U399)</f>
        <v>8.7493999999999996</v>
      </c>
      <c r="V400" s="539">
        <f t="shared" si="900"/>
        <v>-11520</v>
      </c>
      <c r="W400" s="78">
        <f t="shared" si="900"/>
        <v>0</v>
      </c>
      <c r="X400" s="78">
        <f t="shared" si="900"/>
        <v>3562014</v>
      </c>
      <c r="Y400" s="78">
        <f t="shared" si="900"/>
        <v>0</v>
      </c>
      <c r="Z400" s="78">
        <f t="shared" si="900"/>
        <v>0</v>
      </c>
      <c r="AA400" s="78">
        <f t="shared" si="900"/>
        <v>0</v>
      </c>
      <c r="AB400" s="78">
        <f t="shared" si="900"/>
        <v>564000</v>
      </c>
      <c r="AC400" s="78">
        <f t="shared" si="900"/>
        <v>0</v>
      </c>
      <c r="AD400" s="78">
        <f t="shared" si="900"/>
        <v>0</v>
      </c>
      <c r="AE400" s="78">
        <f t="shared" si="900"/>
        <v>0</v>
      </c>
      <c r="AF400" s="78">
        <f t="shared" si="900"/>
        <v>4114494</v>
      </c>
      <c r="AG400" s="78">
        <f t="shared" si="900"/>
        <v>0</v>
      </c>
      <c r="AH400" s="78">
        <f t="shared" si="900"/>
        <v>4114494</v>
      </c>
      <c r="AI400" s="78">
        <f t="shared" si="900"/>
        <v>11520</v>
      </c>
      <c r="AJ400" s="78">
        <f t="shared" si="900"/>
        <v>0</v>
      </c>
      <c r="AK400" s="78">
        <f t="shared" si="900"/>
        <v>0</v>
      </c>
      <c r="AL400" s="78">
        <f t="shared" si="900"/>
        <v>0</v>
      </c>
      <c r="AM400" s="78">
        <f t="shared" si="900"/>
        <v>0</v>
      </c>
      <c r="AN400" s="78">
        <f t="shared" si="900"/>
        <v>0</v>
      </c>
      <c r="AO400" s="78">
        <f t="shared" si="900"/>
        <v>11520</v>
      </c>
      <c r="AP400" s="78">
        <f t="shared" si="900"/>
        <v>0</v>
      </c>
      <c r="AQ400" s="78">
        <f t="shared" si="900"/>
        <v>11520</v>
      </c>
      <c r="AR400" s="78">
        <f t="shared" si="900"/>
        <v>4126014</v>
      </c>
      <c r="AS400" s="78">
        <f t="shared" si="900"/>
        <v>0</v>
      </c>
      <c r="AT400" s="78">
        <f t="shared" si="900"/>
        <v>4126014</v>
      </c>
      <c r="AU400" s="78">
        <f t="shared" si="900"/>
        <v>1394593</v>
      </c>
      <c r="AV400" s="78">
        <f t="shared" si="900"/>
        <v>41145</v>
      </c>
      <c r="AW400" s="78">
        <f t="shared" si="900"/>
        <v>2500</v>
      </c>
      <c r="AX400" s="78">
        <f t="shared" si="900"/>
        <v>0</v>
      </c>
      <c r="AY400" s="78">
        <f t="shared" si="900"/>
        <v>2500</v>
      </c>
      <c r="AZ400" s="78">
        <f t="shared" si="900"/>
        <v>5564252</v>
      </c>
      <c r="BA400" s="79">
        <f t="shared" si="900"/>
        <v>0</v>
      </c>
      <c r="BB400" s="79">
        <f t="shared" si="900"/>
        <v>0</v>
      </c>
      <c r="BC400" s="79">
        <f t="shared" si="900"/>
        <v>9.49</v>
      </c>
      <c r="BD400" s="79">
        <f t="shared" si="900"/>
        <v>1</v>
      </c>
      <c r="BE400" s="79">
        <f t="shared" si="900"/>
        <v>0</v>
      </c>
      <c r="BF400" s="79">
        <f t="shared" si="900"/>
        <v>0</v>
      </c>
      <c r="BG400" s="79">
        <f t="shared" si="900"/>
        <v>0</v>
      </c>
      <c r="BH400" s="79">
        <f t="shared" si="900"/>
        <v>0</v>
      </c>
      <c r="BI400" s="79">
        <f t="shared" si="900"/>
        <v>0</v>
      </c>
      <c r="BJ400" s="79">
        <f t="shared" si="900"/>
        <v>0</v>
      </c>
      <c r="BK400" s="79">
        <f t="shared" si="900"/>
        <v>10.49</v>
      </c>
      <c r="BL400" s="79">
        <f t="shared" si="900"/>
        <v>0</v>
      </c>
      <c r="BM400" s="80">
        <f t="shared" si="900"/>
        <v>10.49</v>
      </c>
      <c r="BN400" s="550">
        <f t="shared" si="900"/>
        <v>42776728</v>
      </c>
      <c r="BO400" s="78">
        <f t="shared" si="900"/>
        <v>31413011</v>
      </c>
      <c r="BP400" s="78">
        <f t="shared" si="900"/>
        <v>28476109</v>
      </c>
      <c r="BQ400" s="78">
        <f t="shared" si="900"/>
        <v>2936902</v>
      </c>
      <c r="BR400" s="78">
        <f t="shared" si="900"/>
        <v>11520</v>
      </c>
      <c r="BS400" s="78">
        <f t="shared" si="900"/>
        <v>11520</v>
      </c>
      <c r="BT400" s="78">
        <f t="shared" si="900"/>
        <v>0</v>
      </c>
      <c r="BU400" s="78">
        <f t="shared" si="900"/>
        <v>10621492</v>
      </c>
      <c r="BV400" s="78">
        <f t="shared" ref="BV400:CF400" si="902">SUM(BV394:BV399)</f>
        <v>314130</v>
      </c>
      <c r="BW400" s="78">
        <f t="shared" si="902"/>
        <v>416575</v>
      </c>
      <c r="BX400" s="79">
        <f t="shared" si="902"/>
        <v>55.282100000000007</v>
      </c>
      <c r="BY400" s="79">
        <f t="shared" si="902"/>
        <v>46.532700000000006</v>
      </c>
      <c r="BZ400" s="754">
        <f t="shared" si="902"/>
        <v>8.7493999999999996</v>
      </c>
      <c r="CA400" s="797">
        <f t="shared" si="902"/>
        <v>760272</v>
      </c>
      <c r="CB400" s="790">
        <f t="shared" si="902"/>
        <v>564000</v>
      </c>
      <c r="CC400" s="790">
        <f t="shared" si="902"/>
        <v>0</v>
      </c>
      <c r="CD400" s="790">
        <f t="shared" si="902"/>
        <v>190632</v>
      </c>
      <c r="CE400" s="790">
        <f t="shared" si="902"/>
        <v>5640</v>
      </c>
      <c r="CF400" s="794">
        <f t="shared" si="902"/>
        <v>1</v>
      </c>
    </row>
    <row r="401" spans="1:84" ht="14.1" customHeight="1" x14ac:dyDescent="0.2">
      <c r="A401" s="66">
        <v>80</v>
      </c>
      <c r="B401" s="63">
        <v>2329</v>
      </c>
      <c r="C401" s="64">
        <v>691007331</v>
      </c>
      <c r="D401" s="63">
        <v>71294171</v>
      </c>
      <c r="E401" s="65" t="s">
        <v>763</v>
      </c>
      <c r="F401" s="66">
        <v>3114</v>
      </c>
      <c r="G401" s="165" t="s">
        <v>526</v>
      </c>
      <c r="H401" s="67" t="s">
        <v>271</v>
      </c>
      <c r="I401" s="423">
        <f t="shared" si="882"/>
        <v>7711601</v>
      </c>
      <c r="J401" s="418">
        <f t="shared" ref="J401" si="903">K401+L401</f>
        <v>5683710</v>
      </c>
      <c r="K401" s="418">
        <v>5183594</v>
      </c>
      <c r="L401" s="418">
        <v>500116</v>
      </c>
      <c r="M401" s="418">
        <f>N401+O401</f>
        <v>0</v>
      </c>
      <c r="N401" s="418">
        <v>0</v>
      </c>
      <c r="O401" s="418">
        <v>0</v>
      </c>
      <c r="P401" s="668">
        <f>ROUND(J401*33.8%,0)+1</f>
        <v>1921095</v>
      </c>
      <c r="Q401" s="668">
        <f t="shared" si="886"/>
        <v>56837</v>
      </c>
      <c r="R401" s="418">
        <v>49959</v>
      </c>
      <c r="S401" s="419">
        <f>T401+U401</f>
        <v>8.3878000000000004</v>
      </c>
      <c r="T401" s="419">
        <v>6.9545000000000003</v>
      </c>
      <c r="U401" s="426">
        <v>1.4333</v>
      </c>
      <c r="V401" s="428">
        <f t="shared" si="888"/>
        <v>0</v>
      </c>
      <c r="W401" s="421">
        <f t="shared" si="889"/>
        <v>0</v>
      </c>
      <c r="X401" s="421">
        <v>0</v>
      </c>
      <c r="Y401" s="421">
        <v>0</v>
      </c>
      <c r="Z401" s="421">
        <v>0</v>
      </c>
      <c r="AA401" s="421">
        <v>0</v>
      </c>
      <c r="AB401" s="421">
        <v>0</v>
      </c>
      <c r="AC401" s="421">
        <v>0</v>
      </c>
      <c r="AD401" s="421">
        <v>0</v>
      </c>
      <c r="AE401" s="421">
        <v>0</v>
      </c>
      <c r="AF401" s="421">
        <f t="shared" si="890"/>
        <v>0</v>
      </c>
      <c r="AG401" s="421">
        <f t="shared" si="891"/>
        <v>0</v>
      </c>
      <c r="AH401" s="421">
        <f t="shared" si="892"/>
        <v>0</v>
      </c>
      <c r="AI401" s="421">
        <v>0</v>
      </c>
      <c r="AJ401" s="421">
        <v>0</v>
      </c>
      <c r="AK401" s="421">
        <v>0</v>
      </c>
      <c r="AL401" s="421">
        <v>0</v>
      </c>
      <c r="AM401" s="421">
        <v>0</v>
      </c>
      <c r="AN401" s="421">
        <v>0</v>
      </c>
      <c r="AO401" s="421">
        <f t="shared" si="893"/>
        <v>0</v>
      </c>
      <c r="AP401" s="421">
        <f t="shared" si="894"/>
        <v>0</v>
      </c>
      <c r="AQ401" s="421">
        <f t="shared" si="895"/>
        <v>0</v>
      </c>
      <c r="AR401" s="421">
        <f t="shared" ref="AR401:AS406" si="904">AF401+AO401</f>
        <v>0</v>
      </c>
      <c r="AS401" s="421">
        <f t="shared" si="904"/>
        <v>0</v>
      </c>
      <c r="AT401" s="421">
        <f t="shared" si="896"/>
        <v>0</v>
      </c>
      <c r="AU401" s="68">
        <f t="shared" ref="AU401:AU406" si="905">ROUND((AH401+AI401+AJ401+AK401+AL401)*33.8%,0)</f>
        <v>0</v>
      </c>
      <c r="AV401" s="68">
        <f t="shared" ref="AV401:AV406" si="906">ROUND(AH401*1%,0)</f>
        <v>0</v>
      </c>
      <c r="AW401" s="421">
        <v>0</v>
      </c>
      <c r="AX401" s="421">
        <v>0</v>
      </c>
      <c r="AY401" s="421">
        <f t="shared" si="897"/>
        <v>0</v>
      </c>
      <c r="AZ401" s="421">
        <f t="shared" si="898"/>
        <v>0</v>
      </c>
      <c r="BA401" s="422">
        <v>0</v>
      </c>
      <c r="BB401" s="422">
        <v>0</v>
      </c>
      <c r="BC401" s="422">
        <v>0</v>
      </c>
      <c r="BD401" s="422">
        <v>0</v>
      </c>
      <c r="BE401" s="422">
        <v>0</v>
      </c>
      <c r="BF401" s="422">
        <v>0</v>
      </c>
      <c r="BG401" s="422">
        <v>0</v>
      </c>
      <c r="BH401" s="422">
        <v>0</v>
      </c>
      <c r="BI401" s="422">
        <v>0</v>
      </c>
      <c r="BJ401" s="422">
        <v>0</v>
      </c>
      <c r="BK401" s="422">
        <f t="shared" ref="BK401:BK406" si="907">BA401+BC401+BD401+BF401+BH401+BI401</f>
        <v>0</v>
      </c>
      <c r="BL401" s="422">
        <f t="shared" ref="BL401:BL406" si="908">BB401+BE401+BG401+BJ401</f>
        <v>0</v>
      </c>
      <c r="BM401" s="424">
        <f t="shared" si="899"/>
        <v>0</v>
      </c>
      <c r="BN401" s="427">
        <f t="shared" ref="BN401:BN406" si="909">I401+AZ401</f>
        <v>7711601</v>
      </c>
      <c r="BO401" s="421">
        <f t="shared" ref="BO401:BO406" si="910">J401+AH401</f>
        <v>5683710</v>
      </c>
      <c r="BP401" s="421">
        <f t="shared" ref="BP401:BQ406" si="911">K401+AF401</f>
        <v>5183594</v>
      </c>
      <c r="BQ401" s="421">
        <f t="shared" si="911"/>
        <v>500116</v>
      </c>
      <c r="BR401" s="421">
        <f t="shared" ref="BR401:BR406" si="912">M401+AQ401</f>
        <v>0</v>
      </c>
      <c r="BS401" s="421">
        <f t="shared" ref="BS401:BT406" si="913">N401+AO401</f>
        <v>0</v>
      </c>
      <c r="BT401" s="421">
        <f t="shared" si="913"/>
        <v>0</v>
      </c>
      <c r="BU401" s="421">
        <f t="shared" ref="BU401:BV406" si="914">P401+AU401</f>
        <v>1921095</v>
      </c>
      <c r="BV401" s="421">
        <f t="shared" si="914"/>
        <v>56837</v>
      </c>
      <c r="BW401" s="421">
        <f t="shared" ref="BW401:BW406" si="915">R401+AY401</f>
        <v>49959</v>
      </c>
      <c r="BX401" s="422">
        <f t="shared" ref="BX401:BX406" si="916">S401+BM401</f>
        <v>8.3878000000000004</v>
      </c>
      <c r="BY401" s="422">
        <f t="shared" ref="BY401:BZ406" si="917">T401+BK401</f>
        <v>6.9545000000000003</v>
      </c>
      <c r="BZ401" s="611">
        <f t="shared" si="917"/>
        <v>1.4333</v>
      </c>
      <c r="CA401" s="423"/>
      <c r="CB401" s="418"/>
      <c r="CC401" s="418"/>
      <c r="CD401" s="418"/>
      <c r="CE401" s="418"/>
      <c r="CF401" s="527"/>
    </row>
    <row r="402" spans="1:84" ht="14.1" customHeight="1" x14ac:dyDescent="0.2">
      <c r="A402" s="66">
        <v>80</v>
      </c>
      <c r="B402" s="63">
        <v>2329</v>
      </c>
      <c r="C402" s="64">
        <v>691007331</v>
      </c>
      <c r="D402" s="63">
        <v>71294171</v>
      </c>
      <c r="E402" s="65" t="s">
        <v>763</v>
      </c>
      <c r="F402" s="66">
        <v>3114</v>
      </c>
      <c r="G402" s="43" t="s">
        <v>293</v>
      </c>
      <c r="H402" s="67" t="s">
        <v>271</v>
      </c>
      <c r="I402" s="423">
        <f t="shared" si="882"/>
        <v>1583582</v>
      </c>
      <c r="J402" s="418">
        <f t="shared" si="883"/>
        <v>1174764</v>
      </c>
      <c r="K402" s="418">
        <v>1174764</v>
      </c>
      <c r="L402" s="418">
        <v>0</v>
      </c>
      <c r="M402" s="418">
        <f t="shared" si="884"/>
        <v>0</v>
      </c>
      <c r="N402" s="418">
        <v>0</v>
      </c>
      <c r="O402" s="418">
        <v>0</v>
      </c>
      <c r="P402" s="668">
        <f t="shared" si="885"/>
        <v>397070</v>
      </c>
      <c r="Q402" s="668">
        <f t="shared" si="886"/>
        <v>11748</v>
      </c>
      <c r="R402" s="418">
        <v>0</v>
      </c>
      <c r="S402" s="419">
        <f t="shared" ref="S402" si="918">T402+U402</f>
        <v>2.9167000000000001</v>
      </c>
      <c r="T402" s="419">
        <v>2.9167000000000001</v>
      </c>
      <c r="U402" s="426">
        <v>0</v>
      </c>
      <c r="V402" s="428">
        <f t="shared" si="888"/>
        <v>0</v>
      </c>
      <c r="W402" s="421">
        <f t="shared" si="889"/>
        <v>0</v>
      </c>
      <c r="X402" s="421">
        <v>0</v>
      </c>
      <c r="Y402" s="421">
        <v>0</v>
      </c>
      <c r="Z402" s="421">
        <v>0</v>
      </c>
      <c r="AA402" s="421">
        <v>0</v>
      </c>
      <c r="AB402" s="421">
        <v>0</v>
      </c>
      <c r="AC402" s="421">
        <v>0</v>
      </c>
      <c r="AD402" s="421">
        <v>0</v>
      </c>
      <c r="AE402" s="421">
        <v>0</v>
      </c>
      <c r="AF402" s="421">
        <f t="shared" si="890"/>
        <v>0</v>
      </c>
      <c r="AG402" s="421">
        <f t="shared" si="891"/>
        <v>0</v>
      </c>
      <c r="AH402" s="421">
        <f t="shared" si="892"/>
        <v>0</v>
      </c>
      <c r="AI402" s="421">
        <v>0</v>
      </c>
      <c r="AJ402" s="421">
        <v>0</v>
      </c>
      <c r="AK402" s="421">
        <v>0</v>
      </c>
      <c r="AL402" s="421">
        <v>0</v>
      </c>
      <c r="AM402" s="421">
        <v>0</v>
      </c>
      <c r="AN402" s="421">
        <v>0</v>
      </c>
      <c r="AO402" s="421">
        <f t="shared" si="893"/>
        <v>0</v>
      </c>
      <c r="AP402" s="421">
        <f t="shared" si="894"/>
        <v>0</v>
      </c>
      <c r="AQ402" s="421">
        <f t="shared" si="895"/>
        <v>0</v>
      </c>
      <c r="AR402" s="421">
        <f t="shared" si="904"/>
        <v>0</v>
      </c>
      <c r="AS402" s="421">
        <f t="shared" si="904"/>
        <v>0</v>
      </c>
      <c r="AT402" s="421">
        <f t="shared" si="896"/>
        <v>0</v>
      </c>
      <c r="AU402" s="68">
        <f t="shared" si="905"/>
        <v>0</v>
      </c>
      <c r="AV402" s="68">
        <f t="shared" si="906"/>
        <v>0</v>
      </c>
      <c r="AW402" s="421">
        <v>0</v>
      </c>
      <c r="AX402" s="421">
        <v>0</v>
      </c>
      <c r="AY402" s="421">
        <f t="shared" si="897"/>
        <v>0</v>
      </c>
      <c r="AZ402" s="421">
        <f t="shared" si="898"/>
        <v>0</v>
      </c>
      <c r="BA402" s="422">
        <v>0</v>
      </c>
      <c r="BB402" s="422">
        <v>0</v>
      </c>
      <c r="BC402" s="422">
        <v>0</v>
      </c>
      <c r="BD402" s="422">
        <v>0</v>
      </c>
      <c r="BE402" s="422">
        <v>0</v>
      </c>
      <c r="BF402" s="422">
        <v>0</v>
      </c>
      <c r="BG402" s="422">
        <v>0</v>
      </c>
      <c r="BH402" s="422">
        <v>0</v>
      </c>
      <c r="BI402" s="422">
        <v>0</v>
      </c>
      <c r="BJ402" s="422">
        <v>0</v>
      </c>
      <c r="BK402" s="422">
        <f t="shared" si="907"/>
        <v>0</v>
      </c>
      <c r="BL402" s="422">
        <f t="shared" si="908"/>
        <v>0</v>
      </c>
      <c r="BM402" s="424">
        <f t="shared" si="899"/>
        <v>0</v>
      </c>
      <c r="BN402" s="427">
        <f t="shared" si="909"/>
        <v>1583582</v>
      </c>
      <c r="BO402" s="421">
        <f t="shared" si="910"/>
        <v>1174764</v>
      </c>
      <c r="BP402" s="421">
        <f t="shared" si="911"/>
        <v>1174764</v>
      </c>
      <c r="BQ402" s="421">
        <f t="shared" si="911"/>
        <v>0</v>
      </c>
      <c r="BR402" s="421">
        <f t="shared" si="912"/>
        <v>0</v>
      </c>
      <c r="BS402" s="421">
        <f t="shared" si="913"/>
        <v>0</v>
      </c>
      <c r="BT402" s="421">
        <f t="shared" si="913"/>
        <v>0</v>
      </c>
      <c r="BU402" s="421">
        <f t="shared" si="914"/>
        <v>397070</v>
      </c>
      <c r="BV402" s="421">
        <f t="shared" si="914"/>
        <v>11748</v>
      </c>
      <c r="BW402" s="421">
        <f t="shared" si="915"/>
        <v>0</v>
      </c>
      <c r="BX402" s="422">
        <f t="shared" si="916"/>
        <v>2.9167000000000001</v>
      </c>
      <c r="BY402" s="422">
        <f t="shared" si="917"/>
        <v>2.9167000000000001</v>
      </c>
      <c r="BZ402" s="611">
        <f t="shared" si="917"/>
        <v>0</v>
      </c>
      <c r="CA402" s="423"/>
      <c r="CB402" s="418"/>
      <c r="CC402" s="418"/>
      <c r="CD402" s="418"/>
      <c r="CE402" s="418"/>
      <c r="CF402" s="527"/>
    </row>
    <row r="403" spans="1:84" ht="14.1" customHeight="1" x14ac:dyDescent="0.2">
      <c r="A403" s="66">
        <v>80</v>
      </c>
      <c r="B403" s="63">
        <v>2329</v>
      </c>
      <c r="C403" s="64">
        <v>691007331</v>
      </c>
      <c r="D403" s="63">
        <v>71294171</v>
      </c>
      <c r="E403" s="65" t="s">
        <v>763</v>
      </c>
      <c r="F403" s="66">
        <v>3114</v>
      </c>
      <c r="G403" s="77" t="s">
        <v>292</v>
      </c>
      <c r="H403" s="67" t="s">
        <v>272</v>
      </c>
      <c r="I403" s="423">
        <f t="shared" si="882"/>
        <v>0</v>
      </c>
      <c r="J403" s="418">
        <f t="shared" si="883"/>
        <v>0</v>
      </c>
      <c r="K403" s="418">
        <v>0</v>
      </c>
      <c r="L403" s="418">
        <v>0</v>
      </c>
      <c r="M403" s="418">
        <f t="shared" si="884"/>
        <v>0</v>
      </c>
      <c r="N403" s="418">
        <v>0</v>
      </c>
      <c r="O403" s="418">
        <v>0</v>
      </c>
      <c r="P403" s="668">
        <f t="shared" si="885"/>
        <v>0</v>
      </c>
      <c r="Q403" s="668">
        <f t="shared" si="886"/>
        <v>0</v>
      </c>
      <c r="R403" s="418">
        <v>0</v>
      </c>
      <c r="S403" s="419">
        <f t="shared" si="887"/>
        <v>0</v>
      </c>
      <c r="T403" s="420">
        <v>0</v>
      </c>
      <c r="U403" s="426">
        <v>0</v>
      </c>
      <c r="V403" s="428">
        <f t="shared" si="888"/>
        <v>0</v>
      </c>
      <c r="W403" s="421">
        <f t="shared" si="889"/>
        <v>0</v>
      </c>
      <c r="X403" s="421">
        <v>0</v>
      </c>
      <c r="Y403" s="421">
        <v>0</v>
      </c>
      <c r="Z403" s="421">
        <v>0</v>
      </c>
      <c r="AA403" s="421">
        <v>0</v>
      </c>
      <c r="AB403" s="421">
        <v>0</v>
      </c>
      <c r="AC403" s="421">
        <v>0</v>
      </c>
      <c r="AD403" s="421">
        <v>0</v>
      </c>
      <c r="AE403" s="421">
        <v>0</v>
      </c>
      <c r="AF403" s="421">
        <f t="shared" si="890"/>
        <v>0</v>
      </c>
      <c r="AG403" s="421">
        <f t="shared" si="891"/>
        <v>0</v>
      </c>
      <c r="AH403" s="421">
        <f t="shared" si="892"/>
        <v>0</v>
      </c>
      <c r="AI403" s="421">
        <v>0</v>
      </c>
      <c r="AJ403" s="421">
        <v>0</v>
      </c>
      <c r="AK403" s="421">
        <v>0</v>
      </c>
      <c r="AL403" s="421">
        <v>0</v>
      </c>
      <c r="AM403" s="421">
        <v>0</v>
      </c>
      <c r="AN403" s="421">
        <v>0</v>
      </c>
      <c r="AO403" s="421">
        <f t="shared" si="893"/>
        <v>0</v>
      </c>
      <c r="AP403" s="421">
        <f t="shared" si="894"/>
        <v>0</v>
      </c>
      <c r="AQ403" s="421">
        <f t="shared" si="895"/>
        <v>0</v>
      </c>
      <c r="AR403" s="421">
        <f t="shared" si="904"/>
        <v>0</v>
      </c>
      <c r="AS403" s="421">
        <f t="shared" si="904"/>
        <v>0</v>
      </c>
      <c r="AT403" s="421">
        <f t="shared" si="896"/>
        <v>0</v>
      </c>
      <c r="AU403" s="68">
        <f t="shared" si="905"/>
        <v>0</v>
      </c>
      <c r="AV403" s="68">
        <f t="shared" si="906"/>
        <v>0</v>
      </c>
      <c r="AW403" s="421">
        <v>0</v>
      </c>
      <c r="AX403" s="421">
        <v>0</v>
      </c>
      <c r="AY403" s="421">
        <f t="shared" si="897"/>
        <v>0</v>
      </c>
      <c r="AZ403" s="421">
        <f t="shared" si="898"/>
        <v>0</v>
      </c>
      <c r="BA403" s="422">
        <v>0</v>
      </c>
      <c r="BB403" s="422">
        <v>0</v>
      </c>
      <c r="BC403" s="422">
        <v>0</v>
      </c>
      <c r="BD403" s="422">
        <v>0</v>
      </c>
      <c r="BE403" s="422">
        <v>0</v>
      </c>
      <c r="BF403" s="422">
        <v>0</v>
      </c>
      <c r="BG403" s="422">
        <v>0</v>
      </c>
      <c r="BH403" s="422">
        <v>0</v>
      </c>
      <c r="BI403" s="422">
        <v>0</v>
      </c>
      <c r="BJ403" s="422">
        <v>0</v>
      </c>
      <c r="BK403" s="422">
        <f t="shared" si="907"/>
        <v>0</v>
      </c>
      <c r="BL403" s="422">
        <f t="shared" si="908"/>
        <v>0</v>
      </c>
      <c r="BM403" s="424">
        <f t="shared" si="899"/>
        <v>0</v>
      </c>
      <c r="BN403" s="427">
        <f t="shared" si="909"/>
        <v>0</v>
      </c>
      <c r="BO403" s="421">
        <f t="shared" si="910"/>
        <v>0</v>
      </c>
      <c r="BP403" s="421">
        <f t="shared" si="911"/>
        <v>0</v>
      </c>
      <c r="BQ403" s="421">
        <f t="shared" si="911"/>
        <v>0</v>
      </c>
      <c r="BR403" s="421">
        <f t="shared" si="912"/>
        <v>0</v>
      </c>
      <c r="BS403" s="421">
        <f t="shared" si="913"/>
        <v>0</v>
      </c>
      <c r="BT403" s="421">
        <f t="shared" si="913"/>
        <v>0</v>
      </c>
      <c r="BU403" s="421">
        <f t="shared" si="914"/>
        <v>0</v>
      </c>
      <c r="BV403" s="421">
        <f t="shared" si="914"/>
        <v>0</v>
      </c>
      <c r="BW403" s="421">
        <f t="shared" si="915"/>
        <v>0</v>
      </c>
      <c r="BX403" s="422">
        <f t="shared" si="916"/>
        <v>0</v>
      </c>
      <c r="BY403" s="422">
        <f t="shared" si="917"/>
        <v>0</v>
      </c>
      <c r="BZ403" s="611">
        <f t="shared" si="917"/>
        <v>0</v>
      </c>
      <c r="CA403" s="423"/>
      <c r="CB403" s="418"/>
      <c r="CC403" s="418"/>
      <c r="CD403" s="418"/>
      <c r="CE403" s="418"/>
      <c r="CF403" s="527"/>
    </row>
    <row r="404" spans="1:84" ht="14.1" customHeight="1" x14ac:dyDescent="0.2">
      <c r="A404" s="66">
        <v>80</v>
      </c>
      <c r="B404" s="63">
        <v>2329</v>
      </c>
      <c r="C404" s="64">
        <v>691007331</v>
      </c>
      <c r="D404" s="63">
        <v>71294171</v>
      </c>
      <c r="E404" s="65" t="s">
        <v>763</v>
      </c>
      <c r="F404" s="66">
        <v>3141</v>
      </c>
      <c r="G404" s="65" t="s">
        <v>295</v>
      </c>
      <c r="H404" s="67" t="s">
        <v>272</v>
      </c>
      <c r="I404" s="423">
        <f t="shared" si="882"/>
        <v>75466</v>
      </c>
      <c r="J404" s="418">
        <f t="shared" si="883"/>
        <v>55591</v>
      </c>
      <c r="K404" s="418">
        <v>0</v>
      </c>
      <c r="L404" s="924">
        <v>55591</v>
      </c>
      <c r="M404" s="418">
        <f>N404+O404</f>
        <v>0</v>
      </c>
      <c r="N404" s="205">
        <v>0</v>
      </c>
      <c r="O404" s="205">
        <v>0</v>
      </c>
      <c r="P404" s="668">
        <f t="shared" si="885"/>
        <v>18790</v>
      </c>
      <c r="Q404" s="668">
        <f t="shared" si="886"/>
        <v>556</v>
      </c>
      <c r="R404" s="674">
        <v>529</v>
      </c>
      <c r="S404" s="419">
        <f>T404+U404</f>
        <v>0.16669999999999999</v>
      </c>
      <c r="T404" s="676">
        <v>0</v>
      </c>
      <c r="U404" s="909">
        <v>0.16669999999999999</v>
      </c>
      <c r="V404" s="428">
        <f t="shared" si="888"/>
        <v>0</v>
      </c>
      <c r="W404" s="421">
        <f t="shared" si="889"/>
        <v>0</v>
      </c>
      <c r="X404" s="421">
        <v>0</v>
      </c>
      <c r="Y404" s="421">
        <v>0</v>
      </c>
      <c r="Z404" s="421">
        <v>0</v>
      </c>
      <c r="AA404" s="421">
        <v>0</v>
      </c>
      <c r="AB404" s="421">
        <v>0</v>
      </c>
      <c r="AC404" s="421">
        <v>0</v>
      </c>
      <c r="AD404" s="421">
        <v>0</v>
      </c>
      <c r="AE404" s="421">
        <v>0</v>
      </c>
      <c r="AF404" s="421">
        <f t="shared" si="890"/>
        <v>0</v>
      </c>
      <c r="AG404" s="421">
        <f t="shared" si="891"/>
        <v>0</v>
      </c>
      <c r="AH404" s="421">
        <f t="shared" si="892"/>
        <v>0</v>
      </c>
      <c r="AI404" s="421">
        <v>0</v>
      </c>
      <c r="AJ404" s="421">
        <v>0</v>
      </c>
      <c r="AK404" s="421">
        <v>0</v>
      </c>
      <c r="AL404" s="421">
        <v>0</v>
      </c>
      <c r="AM404" s="421">
        <v>0</v>
      </c>
      <c r="AN404" s="421">
        <v>0</v>
      </c>
      <c r="AO404" s="421">
        <f t="shared" si="893"/>
        <v>0</v>
      </c>
      <c r="AP404" s="421">
        <f t="shared" si="894"/>
        <v>0</v>
      </c>
      <c r="AQ404" s="421">
        <f t="shared" si="895"/>
        <v>0</v>
      </c>
      <c r="AR404" s="421">
        <f t="shared" si="904"/>
        <v>0</v>
      </c>
      <c r="AS404" s="421">
        <f t="shared" si="904"/>
        <v>0</v>
      </c>
      <c r="AT404" s="421">
        <f t="shared" si="896"/>
        <v>0</v>
      </c>
      <c r="AU404" s="68">
        <f t="shared" si="905"/>
        <v>0</v>
      </c>
      <c r="AV404" s="68">
        <f t="shared" si="906"/>
        <v>0</v>
      </c>
      <c r="AW404" s="421">
        <v>0</v>
      </c>
      <c r="AX404" s="421">
        <v>0</v>
      </c>
      <c r="AY404" s="421">
        <f t="shared" si="897"/>
        <v>0</v>
      </c>
      <c r="AZ404" s="421">
        <f t="shared" si="898"/>
        <v>0</v>
      </c>
      <c r="BA404" s="422">
        <v>0</v>
      </c>
      <c r="BB404" s="422">
        <v>0</v>
      </c>
      <c r="BC404" s="422">
        <v>0</v>
      </c>
      <c r="BD404" s="422">
        <v>0</v>
      </c>
      <c r="BE404" s="422">
        <v>0</v>
      </c>
      <c r="BF404" s="422">
        <v>0</v>
      </c>
      <c r="BG404" s="422">
        <v>0</v>
      </c>
      <c r="BH404" s="422">
        <v>0</v>
      </c>
      <c r="BI404" s="422">
        <v>0</v>
      </c>
      <c r="BJ404" s="422">
        <v>0</v>
      </c>
      <c r="BK404" s="422">
        <f t="shared" si="907"/>
        <v>0</v>
      </c>
      <c r="BL404" s="422">
        <f t="shared" si="908"/>
        <v>0</v>
      </c>
      <c r="BM404" s="424">
        <f t="shared" si="899"/>
        <v>0</v>
      </c>
      <c r="BN404" s="427">
        <f t="shared" si="909"/>
        <v>75466</v>
      </c>
      <c r="BO404" s="421">
        <f t="shared" si="910"/>
        <v>55591</v>
      </c>
      <c r="BP404" s="421">
        <f t="shared" si="911"/>
        <v>0</v>
      </c>
      <c r="BQ404" s="421">
        <f t="shared" si="911"/>
        <v>55591</v>
      </c>
      <c r="BR404" s="421">
        <f t="shared" si="912"/>
        <v>0</v>
      </c>
      <c r="BS404" s="421">
        <f t="shared" si="913"/>
        <v>0</v>
      </c>
      <c r="BT404" s="421">
        <f t="shared" si="913"/>
        <v>0</v>
      </c>
      <c r="BU404" s="421">
        <f t="shared" si="914"/>
        <v>18790</v>
      </c>
      <c r="BV404" s="421">
        <f t="shared" si="914"/>
        <v>556</v>
      </c>
      <c r="BW404" s="421">
        <f t="shared" si="915"/>
        <v>529</v>
      </c>
      <c r="BX404" s="422">
        <f t="shared" si="916"/>
        <v>0.16669999999999999</v>
      </c>
      <c r="BY404" s="422">
        <f t="shared" si="917"/>
        <v>0</v>
      </c>
      <c r="BZ404" s="611">
        <f t="shared" si="917"/>
        <v>0.16669999999999999</v>
      </c>
      <c r="CA404" s="423"/>
      <c r="CB404" s="418"/>
      <c r="CC404" s="418"/>
      <c r="CD404" s="418"/>
      <c r="CE404" s="418"/>
      <c r="CF404" s="527"/>
    </row>
    <row r="405" spans="1:84" ht="14.1" customHeight="1" x14ac:dyDescent="0.2">
      <c r="A405" s="66">
        <v>80</v>
      </c>
      <c r="B405" s="63">
        <v>2329</v>
      </c>
      <c r="C405" s="64">
        <v>691007331</v>
      </c>
      <c r="D405" s="63">
        <v>71294171</v>
      </c>
      <c r="E405" s="65" t="s">
        <v>763</v>
      </c>
      <c r="F405" s="66">
        <v>3143</v>
      </c>
      <c r="G405" s="77" t="s">
        <v>596</v>
      </c>
      <c r="H405" s="67" t="s">
        <v>271</v>
      </c>
      <c r="I405" s="423">
        <f t="shared" si="882"/>
        <v>537690</v>
      </c>
      <c r="J405" s="418">
        <f t="shared" si="883"/>
        <v>398880</v>
      </c>
      <c r="K405" s="418">
        <v>398880</v>
      </c>
      <c r="L405" s="418">
        <v>0</v>
      </c>
      <c r="M405" s="418">
        <f t="shared" si="884"/>
        <v>0</v>
      </c>
      <c r="N405" s="418">
        <v>0</v>
      </c>
      <c r="O405" s="418">
        <v>0</v>
      </c>
      <c r="P405" s="668">
        <f t="shared" si="885"/>
        <v>134821</v>
      </c>
      <c r="Q405" s="668">
        <f t="shared" si="886"/>
        <v>3989</v>
      </c>
      <c r="R405" s="418">
        <v>0</v>
      </c>
      <c r="S405" s="419">
        <f t="shared" si="887"/>
        <v>0.75</v>
      </c>
      <c r="T405" s="419">
        <v>0.75</v>
      </c>
      <c r="U405" s="426">
        <v>0</v>
      </c>
      <c r="V405" s="428">
        <f t="shared" si="888"/>
        <v>0</v>
      </c>
      <c r="W405" s="421">
        <f t="shared" si="889"/>
        <v>0</v>
      </c>
      <c r="X405" s="421">
        <v>0</v>
      </c>
      <c r="Y405" s="421">
        <v>0</v>
      </c>
      <c r="Z405" s="421">
        <v>0</v>
      </c>
      <c r="AA405" s="421">
        <v>0</v>
      </c>
      <c r="AB405" s="421">
        <v>0</v>
      </c>
      <c r="AC405" s="421">
        <v>0</v>
      </c>
      <c r="AD405" s="421">
        <v>0</v>
      </c>
      <c r="AE405" s="421">
        <v>0</v>
      </c>
      <c r="AF405" s="421">
        <f t="shared" si="890"/>
        <v>0</v>
      </c>
      <c r="AG405" s="421">
        <f t="shared" si="891"/>
        <v>0</v>
      </c>
      <c r="AH405" s="421">
        <f t="shared" si="892"/>
        <v>0</v>
      </c>
      <c r="AI405" s="421">
        <v>0</v>
      </c>
      <c r="AJ405" s="421">
        <v>0</v>
      </c>
      <c r="AK405" s="421">
        <v>0</v>
      </c>
      <c r="AL405" s="421">
        <v>0</v>
      </c>
      <c r="AM405" s="421">
        <v>0</v>
      </c>
      <c r="AN405" s="421">
        <v>0</v>
      </c>
      <c r="AO405" s="421">
        <f t="shared" si="893"/>
        <v>0</v>
      </c>
      <c r="AP405" s="421">
        <f t="shared" si="894"/>
        <v>0</v>
      </c>
      <c r="AQ405" s="421">
        <f t="shared" si="895"/>
        <v>0</v>
      </c>
      <c r="AR405" s="421">
        <f t="shared" si="904"/>
        <v>0</v>
      </c>
      <c r="AS405" s="421">
        <f t="shared" si="904"/>
        <v>0</v>
      </c>
      <c r="AT405" s="421">
        <f t="shared" si="896"/>
        <v>0</v>
      </c>
      <c r="AU405" s="68">
        <f t="shared" si="905"/>
        <v>0</v>
      </c>
      <c r="AV405" s="68">
        <f t="shared" si="906"/>
        <v>0</v>
      </c>
      <c r="AW405" s="421">
        <v>0</v>
      </c>
      <c r="AX405" s="421">
        <v>0</v>
      </c>
      <c r="AY405" s="421">
        <f t="shared" si="897"/>
        <v>0</v>
      </c>
      <c r="AZ405" s="421">
        <f t="shared" si="898"/>
        <v>0</v>
      </c>
      <c r="BA405" s="422">
        <v>0</v>
      </c>
      <c r="BB405" s="422">
        <v>0</v>
      </c>
      <c r="BC405" s="422">
        <v>0</v>
      </c>
      <c r="BD405" s="422">
        <v>0</v>
      </c>
      <c r="BE405" s="422">
        <v>0</v>
      </c>
      <c r="BF405" s="422">
        <v>0</v>
      </c>
      <c r="BG405" s="422">
        <v>0</v>
      </c>
      <c r="BH405" s="422">
        <v>0</v>
      </c>
      <c r="BI405" s="422">
        <v>0</v>
      </c>
      <c r="BJ405" s="422">
        <v>0</v>
      </c>
      <c r="BK405" s="422">
        <f t="shared" si="907"/>
        <v>0</v>
      </c>
      <c r="BL405" s="422">
        <f t="shared" si="908"/>
        <v>0</v>
      </c>
      <c r="BM405" s="424">
        <f t="shared" si="899"/>
        <v>0</v>
      </c>
      <c r="BN405" s="427">
        <f t="shared" si="909"/>
        <v>537690</v>
      </c>
      <c r="BO405" s="421">
        <f t="shared" si="910"/>
        <v>398880</v>
      </c>
      <c r="BP405" s="421">
        <f t="shared" si="911"/>
        <v>398880</v>
      </c>
      <c r="BQ405" s="421">
        <f t="shared" si="911"/>
        <v>0</v>
      </c>
      <c r="BR405" s="421">
        <f t="shared" si="912"/>
        <v>0</v>
      </c>
      <c r="BS405" s="421">
        <f t="shared" si="913"/>
        <v>0</v>
      </c>
      <c r="BT405" s="421">
        <f t="shared" si="913"/>
        <v>0</v>
      </c>
      <c r="BU405" s="421">
        <f t="shared" si="914"/>
        <v>134821</v>
      </c>
      <c r="BV405" s="421">
        <f t="shared" si="914"/>
        <v>3989</v>
      </c>
      <c r="BW405" s="421">
        <f t="shared" si="915"/>
        <v>0</v>
      </c>
      <c r="BX405" s="422">
        <f t="shared" si="916"/>
        <v>0.75</v>
      </c>
      <c r="BY405" s="422">
        <f t="shared" si="917"/>
        <v>0.75</v>
      </c>
      <c r="BZ405" s="611">
        <f t="shared" si="917"/>
        <v>0</v>
      </c>
      <c r="CA405" s="423"/>
      <c r="CB405" s="418"/>
      <c r="CC405" s="418"/>
      <c r="CD405" s="418"/>
      <c r="CE405" s="418"/>
      <c r="CF405" s="527"/>
    </row>
    <row r="406" spans="1:84" ht="14.1" customHeight="1" x14ac:dyDescent="0.2">
      <c r="A406" s="66">
        <v>80</v>
      </c>
      <c r="B406" s="63">
        <v>2329</v>
      </c>
      <c r="C406" s="64">
        <v>691007331</v>
      </c>
      <c r="D406" s="63">
        <v>71294171</v>
      </c>
      <c r="E406" s="65" t="s">
        <v>763</v>
      </c>
      <c r="F406" s="66">
        <v>3143</v>
      </c>
      <c r="G406" s="77" t="s">
        <v>597</v>
      </c>
      <c r="H406" s="67" t="s">
        <v>272</v>
      </c>
      <c r="I406" s="423">
        <f t="shared" si="882"/>
        <v>7156</v>
      </c>
      <c r="J406" s="418">
        <f t="shared" si="883"/>
        <v>5122</v>
      </c>
      <c r="K406" s="418">
        <v>0</v>
      </c>
      <c r="L406" s="674">
        <v>5122</v>
      </c>
      <c r="M406" s="418">
        <f t="shared" si="884"/>
        <v>0</v>
      </c>
      <c r="N406" s="418">
        <v>0</v>
      </c>
      <c r="O406" s="418">
        <v>0</v>
      </c>
      <c r="P406" s="668">
        <f t="shared" si="885"/>
        <v>1731</v>
      </c>
      <c r="Q406" s="668">
        <f t="shared" si="886"/>
        <v>51</v>
      </c>
      <c r="R406" s="675">
        <v>252</v>
      </c>
      <c r="S406" s="419">
        <f t="shared" si="887"/>
        <v>1.9400000000000001E-2</v>
      </c>
      <c r="T406" s="679">
        <v>0</v>
      </c>
      <c r="U406" s="909">
        <v>1.9400000000000001E-2</v>
      </c>
      <c r="V406" s="428">
        <f t="shared" si="888"/>
        <v>0</v>
      </c>
      <c r="W406" s="421">
        <f t="shared" si="889"/>
        <v>0</v>
      </c>
      <c r="X406" s="421">
        <v>0</v>
      </c>
      <c r="Y406" s="421">
        <v>0</v>
      </c>
      <c r="Z406" s="421">
        <v>0</v>
      </c>
      <c r="AA406" s="421">
        <v>0</v>
      </c>
      <c r="AB406" s="421">
        <v>0</v>
      </c>
      <c r="AC406" s="421">
        <v>0</v>
      </c>
      <c r="AD406" s="421">
        <v>0</v>
      </c>
      <c r="AE406" s="421">
        <v>0</v>
      </c>
      <c r="AF406" s="421">
        <f t="shared" si="890"/>
        <v>0</v>
      </c>
      <c r="AG406" s="421">
        <f t="shared" si="891"/>
        <v>0</v>
      </c>
      <c r="AH406" s="421">
        <f t="shared" si="892"/>
        <v>0</v>
      </c>
      <c r="AI406" s="421">
        <v>0</v>
      </c>
      <c r="AJ406" s="421">
        <v>0</v>
      </c>
      <c r="AK406" s="421">
        <v>0</v>
      </c>
      <c r="AL406" s="421">
        <v>0</v>
      </c>
      <c r="AM406" s="421">
        <v>0</v>
      </c>
      <c r="AN406" s="421">
        <v>0</v>
      </c>
      <c r="AO406" s="421">
        <f t="shared" si="893"/>
        <v>0</v>
      </c>
      <c r="AP406" s="421">
        <f t="shared" si="894"/>
        <v>0</v>
      </c>
      <c r="AQ406" s="421">
        <f t="shared" si="895"/>
        <v>0</v>
      </c>
      <c r="AR406" s="421">
        <f t="shared" si="904"/>
        <v>0</v>
      </c>
      <c r="AS406" s="421">
        <f t="shared" si="904"/>
        <v>0</v>
      </c>
      <c r="AT406" s="421">
        <f t="shared" si="896"/>
        <v>0</v>
      </c>
      <c r="AU406" s="68">
        <f t="shared" si="905"/>
        <v>0</v>
      </c>
      <c r="AV406" s="68">
        <f t="shared" si="906"/>
        <v>0</v>
      </c>
      <c r="AW406" s="421">
        <v>0</v>
      </c>
      <c r="AX406" s="421">
        <v>0</v>
      </c>
      <c r="AY406" s="421">
        <f t="shared" si="897"/>
        <v>0</v>
      </c>
      <c r="AZ406" s="421">
        <f t="shared" si="898"/>
        <v>0</v>
      </c>
      <c r="BA406" s="422">
        <v>0</v>
      </c>
      <c r="BB406" s="422">
        <v>0</v>
      </c>
      <c r="BC406" s="422">
        <v>0</v>
      </c>
      <c r="BD406" s="422">
        <v>0</v>
      </c>
      <c r="BE406" s="422">
        <v>0</v>
      </c>
      <c r="BF406" s="422">
        <v>0</v>
      </c>
      <c r="BG406" s="422">
        <v>0</v>
      </c>
      <c r="BH406" s="422">
        <v>0</v>
      </c>
      <c r="BI406" s="422">
        <v>0</v>
      </c>
      <c r="BJ406" s="422">
        <v>0</v>
      </c>
      <c r="BK406" s="422">
        <f t="shared" si="907"/>
        <v>0</v>
      </c>
      <c r="BL406" s="422">
        <f t="shared" si="908"/>
        <v>0</v>
      </c>
      <c r="BM406" s="424">
        <f t="shared" si="899"/>
        <v>0</v>
      </c>
      <c r="BN406" s="427">
        <f t="shared" si="909"/>
        <v>7156</v>
      </c>
      <c r="BO406" s="421">
        <f t="shared" si="910"/>
        <v>5122</v>
      </c>
      <c r="BP406" s="421">
        <f t="shared" si="911"/>
        <v>0</v>
      </c>
      <c r="BQ406" s="421">
        <f t="shared" si="911"/>
        <v>5122</v>
      </c>
      <c r="BR406" s="421">
        <f t="shared" si="912"/>
        <v>0</v>
      </c>
      <c r="BS406" s="421">
        <f t="shared" si="913"/>
        <v>0</v>
      </c>
      <c r="BT406" s="421">
        <f t="shared" si="913"/>
        <v>0</v>
      </c>
      <c r="BU406" s="421">
        <f t="shared" si="914"/>
        <v>1731</v>
      </c>
      <c r="BV406" s="421">
        <f t="shared" si="914"/>
        <v>51</v>
      </c>
      <c r="BW406" s="421">
        <f t="shared" si="915"/>
        <v>252</v>
      </c>
      <c r="BX406" s="422">
        <f t="shared" si="916"/>
        <v>1.9400000000000001E-2</v>
      </c>
      <c r="BY406" s="422">
        <f t="shared" si="917"/>
        <v>0</v>
      </c>
      <c r="BZ406" s="611">
        <f t="shared" si="917"/>
        <v>1.9400000000000001E-2</v>
      </c>
      <c r="CA406" s="423"/>
      <c r="CB406" s="418"/>
      <c r="CC406" s="418"/>
      <c r="CD406" s="418"/>
      <c r="CE406" s="418"/>
      <c r="CF406" s="527"/>
    </row>
    <row r="407" spans="1:84" ht="14.1" customHeight="1" x14ac:dyDescent="0.2">
      <c r="A407" s="72">
        <v>80</v>
      </c>
      <c r="B407" s="69">
        <v>2329</v>
      </c>
      <c r="C407" s="70">
        <v>691007331</v>
      </c>
      <c r="D407" s="69">
        <v>71294171</v>
      </c>
      <c r="E407" s="71" t="s">
        <v>784</v>
      </c>
      <c r="F407" s="72"/>
      <c r="G407" s="71"/>
      <c r="H407" s="73"/>
      <c r="I407" s="540">
        <f t="shared" ref="I407:BU407" si="919">SUM(I401:I406)</f>
        <v>9915495</v>
      </c>
      <c r="J407" s="82">
        <f t="shared" si="919"/>
        <v>7318067</v>
      </c>
      <c r="K407" s="82">
        <f>SUM(K401:K406)</f>
        <v>6757238</v>
      </c>
      <c r="L407" s="82">
        <f>SUM(L401:L406)</f>
        <v>560829</v>
      </c>
      <c r="M407" s="82">
        <f>SUM(M401:M406)</f>
        <v>0</v>
      </c>
      <c r="N407" s="82">
        <f>SUM(N401:N406)</f>
        <v>0</v>
      </c>
      <c r="O407" s="82">
        <f>SUM(O401:O406)</f>
        <v>0</v>
      </c>
      <c r="P407" s="82">
        <f t="shared" ref="P407:Q407" si="920">SUM(P401:P406)</f>
        <v>2473507</v>
      </c>
      <c r="Q407" s="82">
        <f t="shared" si="920"/>
        <v>73181</v>
      </c>
      <c r="R407" s="82">
        <f>SUM(R401:R406)</f>
        <v>50740</v>
      </c>
      <c r="S407" s="83">
        <f>SUM(S401:S406)</f>
        <v>12.240600000000001</v>
      </c>
      <c r="T407" s="83">
        <f>SUM(T401:T406)</f>
        <v>10.6212</v>
      </c>
      <c r="U407" s="755">
        <f>SUM(U401:U406)</f>
        <v>1.6194000000000002</v>
      </c>
      <c r="V407" s="540">
        <f t="shared" si="919"/>
        <v>0</v>
      </c>
      <c r="W407" s="82">
        <f t="shared" si="919"/>
        <v>0</v>
      </c>
      <c r="X407" s="82">
        <f t="shared" si="919"/>
        <v>0</v>
      </c>
      <c r="Y407" s="82">
        <f t="shared" si="919"/>
        <v>0</v>
      </c>
      <c r="Z407" s="82">
        <f t="shared" si="919"/>
        <v>0</v>
      </c>
      <c r="AA407" s="82">
        <f t="shared" si="919"/>
        <v>0</v>
      </c>
      <c r="AB407" s="82">
        <f t="shared" si="919"/>
        <v>0</v>
      </c>
      <c r="AC407" s="82">
        <f t="shared" si="919"/>
        <v>0</v>
      </c>
      <c r="AD407" s="82">
        <f t="shared" si="919"/>
        <v>0</v>
      </c>
      <c r="AE407" s="82">
        <f t="shared" si="919"/>
        <v>0</v>
      </c>
      <c r="AF407" s="82">
        <f t="shared" si="919"/>
        <v>0</v>
      </c>
      <c r="AG407" s="82">
        <f t="shared" si="919"/>
        <v>0</v>
      </c>
      <c r="AH407" s="82">
        <f t="shared" si="919"/>
        <v>0</v>
      </c>
      <c r="AI407" s="82">
        <f t="shared" si="919"/>
        <v>0</v>
      </c>
      <c r="AJ407" s="82">
        <f t="shared" si="919"/>
        <v>0</v>
      </c>
      <c r="AK407" s="82">
        <f t="shared" si="919"/>
        <v>0</v>
      </c>
      <c r="AL407" s="82">
        <f t="shared" si="919"/>
        <v>0</v>
      </c>
      <c r="AM407" s="82">
        <f t="shared" si="919"/>
        <v>0</v>
      </c>
      <c r="AN407" s="82">
        <f t="shared" si="919"/>
        <v>0</v>
      </c>
      <c r="AO407" s="82">
        <f t="shared" si="919"/>
        <v>0</v>
      </c>
      <c r="AP407" s="82">
        <f t="shared" si="919"/>
        <v>0</v>
      </c>
      <c r="AQ407" s="82">
        <f t="shared" si="919"/>
        <v>0</v>
      </c>
      <c r="AR407" s="82">
        <f t="shared" si="919"/>
        <v>0</v>
      </c>
      <c r="AS407" s="82">
        <f t="shared" si="919"/>
        <v>0</v>
      </c>
      <c r="AT407" s="82">
        <f t="shared" si="919"/>
        <v>0</v>
      </c>
      <c r="AU407" s="82">
        <f t="shared" si="919"/>
        <v>0</v>
      </c>
      <c r="AV407" s="82">
        <f t="shared" si="919"/>
        <v>0</v>
      </c>
      <c r="AW407" s="82">
        <f t="shared" si="919"/>
        <v>0</v>
      </c>
      <c r="AX407" s="82">
        <f t="shared" si="919"/>
        <v>0</v>
      </c>
      <c r="AY407" s="82">
        <f t="shared" si="919"/>
        <v>0</v>
      </c>
      <c r="AZ407" s="82">
        <f t="shared" si="919"/>
        <v>0</v>
      </c>
      <c r="BA407" s="83">
        <f t="shared" si="919"/>
        <v>0</v>
      </c>
      <c r="BB407" s="83">
        <f t="shared" si="919"/>
        <v>0</v>
      </c>
      <c r="BC407" s="83">
        <f t="shared" si="919"/>
        <v>0</v>
      </c>
      <c r="BD407" s="83">
        <f t="shared" si="919"/>
        <v>0</v>
      </c>
      <c r="BE407" s="83">
        <f t="shared" si="919"/>
        <v>0</v>
      </c>
      <c r="BF407" s="83">
        <f t="shared" si="919"/>
        <v>0</v>
      </c>
      <c r="BG407" s="83">
        <f t="shared" si="919"/>
        <v>0</v>
      </c>
      <c r="BH407" s="83">
        <f t="shared" si="919"/>
        <v>0</v>
      </c>
      <c r="BI407" s="83">
        <f t="shared" si="919"/>
        <v>0</v>
      </c>
      <c r="BJ407" s="83">
        <f t="shared" si="919"/>
        <v>0</v>
      </c>
      <c r="BK407" s="83">
        <f t="shared" si="919"/>
        <v>0</v>
      </c>
      <c r="BL407" s="83">
        <f t="shared" si="919"/>
        <v>0</v>
      </c>
      <c r="BM407" s="84">
        <f t="shared" si="919"/>
        <v>0</v>
      </c>
      <c r="BN407" s="551">
        <f t="shared" si="919"/>
        <v>9915495</v>
      </c>
      <c r="BO407" s="82">
        <f t="shared" si="919"/>
        <v>7318067</v>
      </c>
      <c r="BP407" s="82">
        <f t="shared" si="919"/>
        <v>6757238</v>
      </c>
      <c r="BQ407" s="82">
        <f t="shared" si="919"/>
        <v>560829</v>
      </c>
      <c r="BR407" s="82">
        <f t="shared" si="919"/>
        <v>0</v>
      </c>
      <c r="BS407" s="82">
        <f t="shared" si="919"/>
        <v>0</v>
      </c>
      <c r="BT407" s="82">
        <f t="shared" si="919"/>
        <v>0</v>
      </c>
      <c r="BU407" s="82">
        <f t="shared" si="919"/>
        <v>2473507</v>
      </c>
      <c r="BV407" s="82">
        <f t="shared" ref="BV407:CF407" si="921">SUM(BV401:BV406)</f>
        <v>73181</v>
      </c>
      <c r="BW407" s="82">
        <f t="shared" si="921"/>
        <v>50740</v>
      </c>
      <c r="BX407" s="83">
        <f t="shared" si="921"/>
        <v>12.240600000000001</v>
      </c>
      <c r="BY407" s="83">
        <f t="shared" si="921"/>
        <v>10.6212</v>
      </c>
      <c r="BZ407" s="755">
        <f t="shared" si="921"/>
        <v>1.6194000000000002</v>
      </c>
      <c r="CA407" s="798">
        <f t="shared" si="921"/>
        <v>0</v>
      </c>
      <c r="CB407" s="791">
        <f t="shared" si="921"/>
        <v>0</v>
      </c>
      <c r="CC407" s="791">
        <f t="shared" si="921"/>
        <v>0</v>
      </c>
      <c r="CD407" s="791">
        <f t="shared" si="921"/>
        <v>0</v>
      </c>
      <c r="CE407" s="791">
        <f t="shared" si="921"/>
        <v>0</v>
      </c>
      <c r="CF407" s="785">
        <f t="shared" si="921"/>
        <v>0</v>
      </c>
    </row>
    <row r="408" spans="1:84" ht="14.1" customHeight="1" x14ac:dyDescent="0.2">
      <c r="A408" s="66">
        <v>81</v>
      </c>
      <c r="B408" s="63">
        <v>2466</v>
      </c>
      <c r="C408" s="64">
        <v>600079821</v>
      </c>
      <c r="D408" s="63">
        <v>70695083</v>
      </c>
      <c r="E408" s="65" t="s">
        <v>795</v>
      </c>
      <c r="F408" s="66">
        <v>3111</v>
      </c>
      <c r="G408" s="65" t="s">
        <v>291</v>
      </c>
      <c r="H408" s="67" t="s">
        <v>271</v>
      </c>
      <c r="I408" s="423">
        <f t="shared" si="882"/>
        <v>3040189</v>
      </c>
      <c r="J408" s="418">
        <f>K408+L408</f>
        <v>2248995</v>
      </c>
      <c r="K408" s="418">
        <v>2129187</v>
      </c>
      <c r="L408" s="418">
        <v>119808</v>
      </c>
      <c r="M408" s="418">
        <f t="shared" ref="M408:M409" si="922">N408+O408</f>
        <v>0</v>
      </c>
      <c r="N408" s="418">
        <v>0</v>
      </c>
      <c r="O408" s="418">
        <v>0</v>
      </c>
      <c r="P408" s="668">
        <f t="shared" si="885"/>
        <v>760160</v>
      </c>
      <c r="Q408" s="668">
        <f t="shared" si="886"/>
        <v>22490</v>
      </c>
      <c r="R408" s="418">
        <v>8544</v>
      </c>
      <c r="S408" s="419">
        <f t="shared" si="887"/>
        <v>4.4800000000000004</v>
      </c>
      <c r="T408" s="419">
        <v>4</v>
      </c>
      <c r="U408" s="426">
        <v>0.48</v>
      </c>
      <c r="V408" s="428">
        <f t="shared" si="888"/>
        <v>0</v>
      </c>
      <c r="W408" s="421">
        <f t="shared" si="889"/>
        <v>0</v>
      </c>
      <c r="X408" s="421">
        <v>0</v>
      </c>
      <c r="Y408" s="421">
        <v>0</v>
      </c>
      <c r="Z408" s="421">
        <v>0</v>
      </c>
      <c r="AA408" s="421">
        <v>0</v>
      </c>
      <c r="AB408" s="421">
        <v>0</v>
      </c>
      <c r="AC408" s="421">
        <v>0</v>
      </c>
      <c r="AD408" s="421">
        <v>0</v>
      </c>
      <c r="AE408" s="421">
        <v>0</v>
      </c>
      <c r="AF408" s="421">
        <f t="shared" si="890"/>
        <v>0</v>
      </c>
      <c r="AG408" s="421">
        <f t="shared" si="891"/>
        <v>0</v>
      </c>
      <c r="AH408" s="421">
        <f t="shared" si="892"/>
        <v>0</v>
      </c>
      <c r="AI408" s="421">
        <v>0</v>
      </c>
      <c r="AJ408" s="421">
        <v>0</v>
      </c>
      <c r="AK408" s="421">
        <v>0</v>
      </c>
      <c r="AL408" s="421">
        <v>0</v>
      </c>
      <c r="AM408" s="421">
        <v>0</v>
      </c>
      <c r="AN408" s="421">
        <v>0</v>
      </c>
      <c r="AO408" s="421">
        <f t="shared" si="893"/>
        <v>0</v>
      </c>
      <c r="AP408" s="421">
        <f t="shared" si="894"/>
        <v>0</v>
      </c>
      <c r="AQ408" s="421">
        <f t="shared" si="895"/>
        <v>0</v>
      </c>
      <c r="AR408" s="421">
        <f t="shared" ref="AR408:AS413" si="923">AF408+AO408</f>
        <v>0</v>
      </c>
      <c r="AS408" s="421">
        <f t="shared" si="923"/>
        <v>0</v>
      </c>
      <c r="AT408" s="421">
        <f t="shared" si="896"/>
        <v>0</v>
      </c>
      <c r="AU408" s="68">
        <f t="shared" ref="AU408:AU413" si="924">ROUND((AH408+AI408+AJ408+AK408+AL408)*33.8%,0)</f>
        <v>0</v>
      </c>
      <c r="AV408" s="68">
        <f t="shared" ref="AV408:AV413" si="925">ROUND(AH408*1%,0)</f>
        <v>0</v>
      </c>
      <c r="AW408" s="421">
        <v>0</v>
      </c>
      <c r="AX408" s="421">
        <v>0</v>
      </c>
      <c r="AY408" s="421">
        <f t="shared" si="897"/>
        <v>0</v>
      </c>
      <c r="AZ408" s="421">
        <f t="shared" si="898"/>
        <v>0</v>
      </c>
      <c r="BA408" s="422">
        <v>0</v>
      </c>
      <c r="BB408" s="422">
        <v>0</v>
      </c>
      <c r="BC408" s="422">
        <v>0</v>
      </c>
      <c r="BD408" s="422">
        <v>0</v>
      </c>
      <c r="BE408" s="422">
        <v>0</v>
      </c>
      <c r="BF408" s="422">
        <v>0</v>
      </c>
      <c r="BG408" s="422">
        <v>0</v>
      </c>
      <c r="BH408" s="422">
        <v>0</v>
      </c>
      <c r="BI408" s="422">
        <v>0</v>
      </c>
      <c r="BJ408" s="422">
        <v>0</v>
      </c>
      <c r="BK408" s="422">
        <f t="shared" ref="BK408:BK413" si="926">BA408+BC408+BD408+BF408+BH408+BI408</f>
        <v>0</v>
      </c>
      <c r="BL408" s="422">
        <f t="shared" ref="BL408:BL413" si="927">BB408+BE408+BG408+BJ408</f>
        <v>0</v>
      </c>
      <c r="BM408" s="424">
        <f t="shared" si="899"/>
        <v>0</v>
      </c>
      <c r="BN408" s="427">
        <f t="shared" ref="BN408:BN413" si="928">I408+AZ408</f>
        <v>3040189</v>
      </c>
      <c r="BO408" s="421">
        <f t="shared" ref="BO408:BO413" si="929">J408+AH408</f>
        <v>2248995</v>
      </c>
      <c r="BP408" s="421">
        <f t="shared" ref="BP408:BQ413" si="930">K408+AF408</f>
        <v>2129187</v>
      </c>
      <c r="BQ408" s="421">
        <f t="shared" si="930"/>
        <v>119808</v>
      </c>
      <c r="BR408" s="421">
        <f t="shared" ref="BR408:BR413" si="931">M408+AQ408</f>
        <v>0</v>
      </c>
      <c r="BS408" s="421">
        <f t="shared" ref="BS408:BT413" si="932">N408+AO408</f>
        <v>0</v>
      </c>
      <c r="BT408" s="421">
        <f t="shared" si="932"/>
        <v>0</v>
      </c>
      <c r="BU408" s="421">
        <f t="shared" ref="BU408:BV413" si="933">P408+AU408</f>
        <v>760160</v>
      </c>
      <c r="BV408" s="421">
        <f t="shared" si="933"/>
        <v>22490</v>
      </c>
      <c r="BW408" s="421">
        <f t="shared" ref="BW408:BW413" si="934">R408+AY408</f>
        <v>8544</v>
      </c>
      <c r="BX408" s="422">
        <f t="shared" ref="BX408:BX413" si="935">S408+BM408</f>
        <v>4.4800000000000004</v>
      </c>
      <c r="BY408" s="422">
        <f t="shared" ref="BY408:BZ413" si="936">T408+BK408</f>
        <v>4</v>
      </c>
      <c r="BZ408" s="611">
        <f t="shared" si="936"/>
        <v>0.48</v>
      </c>
      <c r="CA408" s="423"/>
      <c r="CB408" s="418"/>
      <c r="CC408" s="418"/>
      <c r="CD408" s="418"/>
      <c r="CE408" s="418"/>
      <c r="CF408" s="527"/>
    </row>
    <row r="409" spans="1:84" ht="14.1" customHeight="1" x14ac:dyDescent="0.2">
      <c r="A409" s="66">
        <v>81</v>
      </c>
      <c r="B409" s="63">
        <v>2466</v>
      </c>
      <c r="C409" s="64">
        <v>600079821</v>
      </c>
      <c r="D409" s="63">
        <v>70695083</v>
      </c>
      <c r="E409" s="65" t="s">
        <v>795</v>
      </c>
      <c r="F409" s="66">
        <v>3113</v>
      </c>
      <c r="G409" s="65" t="s">
        <v>294</v>
      </c>
      <c r="H409" s="67" t="s">
        <v>271</v>
      </c>
      <c r="I409" s="423">
        <f t="shared" si="882"/>
        <v>9164559</v>
      </c>
      <c r="J409" s="418">
        <f t="shared" ref="J409" si="937">K409+L409</f>
        <v>6725612</v>
      </c>
      <c r="K409" s="418">
        <v>5927237</v>
      </c>
      <c r="L409" s="418">
        <v>798375</v>
      </c>
      <c r="M409" s="418">
        <f t="shared" si="922"/>
        <v>0</v>
      </c>
      <c r="N409" s="418">
        <v>0</v>
      </c>
      <c r="O409" s="418">
        <v>0</v>
      </c>
      <c r="P409" s="668">
        <f t="shared" si="885"/>
        <v>2273257</v>
      </c>
      <c r="Q409" s="668">
        <f t="shared" si="886"/>
        <v>67256</v>
      </c>
      <c r="R409" s="418">
        <v>98434</v>
      </c>
      <c r="S409" s="419">
        <f>T409+U409</f>
        <v>11.7972</v>
      </c>
      <c r="T409" s="419">
        <v>9.5907999999999998</v>
      </c>
      <c r="U409" s="426">
        <v>2.2063999999999999</v>
      </c>
      <c r="V409" s="428">
        <f t="shared" si="888"/>
        <v>-32000</v>
      </c>
      <c r="W409" s="421">
        <f t="shared" si="889"/>
        <v>-76800</v>
      </c>
      <c r="X409" s="421">
        <v>0</v>
      </c>
      <c r="Y409" s="421">
        <v>0</v>
      </c>
      <c r="Z409" s="421">
        <v>0</v>
      </c>
      <c r="AA409" s="421">
        <v>0</v>
      </c>
      <c r="AB409" s="421">
        <v>0</v>
      </c>
      <c r="AC409" s="421">
        <v>0</v>
      </c>
      <c r="AD409" s="421">
        <v>0</v>
      </c>
      <c r="AE409" s="421">
        <v>0</v>
      </c>
      <c r="AF409" s="421">
        <f t="shared" si="890"/>
        <v>-32000</v>
      </c>
      <c r="AG409" s="421">
        <f t="shared" si="891"/>
        <v>-76800</v>
      </c>
      <c r="AH409" s="421">
        <f t="shared" si="892"/>
        <v>-108800</v>
      </c>
      <c r="AI409" s="421">
        <v>32000</v>
      </c>
      <c r="AJ409" s="421">
        <v>76800</v>
      </c>
      <c r="AK409" s="421">
        <v>0</v>
      </c>
      <c r="AL409" s="421">
        <v>0</v>
      </c>
      <c r="AM409" s="421">
        <v>0</v>
      </c>
      <c r="AN409" s="421">
        <v>0</v>
      </c>
      <c r="AO409" s="421">
        <f t="shared" si="893"/>
        <v>32000</v>
      </c>
      <c r="AP409" s="421">
        <f t="shared" si="894"/>
        <v>76800</v>
      </c>
      <c r="AQ409" s="421">
        <f t="shared" si="895"/>
        <v>108800</v>
      </c>
      <c r="AR409" s="421">
        <f t="shared" si="923"/>
        <v>0</v>
      </c>
      <c r="AS409" s="421">
        <f t="shared" si="923"/>
        <v>0</v>
      </c>
      <c r="AT409" s="421">
        <f t="shared" si="896"/>
        <v>0</v>
      </c>
      <c r="AU409" s="68">
        <f t="shared" si="924"/>
        <v>0</v>
      </c>
      <c r="AV409" s="68">
        <f t="shared" si="925"/>
        <v>-1088</v>
      </c>
      <c r="AW409" s="421">
        <v>0</v>
      </c>
      <c r="AX409" s="421">
        <v>0</v>
      </c>
      <c r="AY409" s="421">
        <f t="shared" si="897"/>
        <v>0</v>
      </c>
      <c r="AZ409" s="421">
        <f t="shared" si="898"/>
        <v>-1088</v>
      </c>
      <c r="BA409" s="422">
        <v>0</v>
      </c>
      <c r="BB409" s="422">
        <v>-0.23</v>
      </c>
      <c r="BC409" s="422">
        <v>0</v>
      </c>
      <c r="BD409" s="422">
        <v>0</v>
      </c>
      <c r="BE409" s="422">
        <v>0</v>
      </c>
      <c r="BF409" s="422">
        <v>0</v>
      </c>
      <c r="BG409" s="422">
        <v>0</v>
      </c>
      <c r="BH409" s="422">
        <v>0</v>
      </c>
      <c r="BI409" s="422">
        <v>0</v>
      </c>
      <c r="BJ409" s="422">
        <v>0</v>
      </c>
      <c r="BK409" s="422">
        <f t="shared" si="926"/>
        <v>0</v>
      </c>
      <c r="BL409" s="422">
        <f t="shared" si="927"/>
        <v>-0.23</v>
      </c>
      <c r="BM409" s="424">
        <f t="shared" si="899"/>
        <v>-0.23</v>
      </c>
      <c r="BN409" s="427">
        <f t="shared" si="928"/>
        <v>9163471</v>
      </c>
      <c r="BO409" s="421">
        <f t="shared" si="929"/>
        <v>6616812</v>
      </c>
      <c r="BP409" s="421">
        <f t="shared" si="930"/>
        <v>5895237</v>
      </c>
      <c r="BQ409" s="421">
        <f t="shared" si="930"/>
        <v>721575</v>
      </c>
      <c r="BR409" s="421">
        <f t="shared" si="931"/>
        <v>108800</v>
      </c>
      <c r="BS409" s="421">
        <f t="shared" si="932"/>
        <v>32000</v>
      </c>
      <c r="BT409" s="421">
        <f t="shared" si="932"/>
        <v>76800</v>
      </c>
      <c r="BU409" s="421">
        <f t="shared" si="933"/>
        <v>2273257</v>
      </c>
      <c r="BV409" s="421">
        <f t="shared" si="933"/>
        <v>66168</v>
      </c>
      <c r="BW409" s="421">
        <f t="shared" si="934"/>
        <v>98434</v>
      </c>
      <c r="BX409" s="422">
        <f t="shared" si="935"/>
        <v>11.5672</v>
      </c>
      <c r="BY409" s="422">
        <f t="shared" si="936"/>
        <v>9.5907999999999998</v>
      </c>
      <c r="BZ409" s="611">
        <f t="shared" si="936"/>
        <v>1.9763999999999999</v>
      </c>
      <c r="CA409" s="423"/>
      <c r="CB409" s="418"/>
      <c r="CC409" s="418"/>
      <c r="CD409" s="418"/>
      <c r="CE409" s="418"/>
      <c r="CF409" s="527"/>
    </row>
    <row r="410" spans="1:84" ht="14.1" customHeight="1" x14ac:dyDescent="0.2">
      <c r="A410" s="66">
        <v>81</v>
      </c>
      <c r="B410" s="63">
        <v>2466</v>
      </c>
      <c r="C410" s="64">
        <v>600079821</v>
      </c>
      <c r="D410" s="63">
        <v>70695083</v>
      </c>
      <c r="E410" s="65" t="s">
        <v>795</v>
      </c>
      <c r="F410" s="66">
        <v>3113</v>
      </c>
      <c r="G410" s="77" t="s">
        <v>292</v>
      </c>
      <c r="H410" s="67" t="s">
        <v>272</v>
      </c>
      <c r="I410" s="423">
        <f t="shared" si="882"/>
        <v>0</v>
      </c>
      <c r="J410" s="418">
        <f t="shared" si="883"/>
        <v>0</v>
      </c>
      <c r="K410" s="418">
        <v>0</v>
      </c>
      <c r="L410" s="418">
        <v>0</v>
      </c>
      <c r="M410" s="418">
        <f t="shared" si="884"/>
        <v>0</v>
      </c>
      <c r="N410" s="418">
        <v>0</v>
      </c>
      <c r="O410" s="418">
        <v>0</v>
      </c>
      <c r="P410" s="668">
        <f t="shared" si="885"/>
        <v>0</v>
      </c>
      <c r="Q410" s="668">
        <f t="shared" si="886"/>
        <v>0</v>
      </c>
      <c r="R410" s="418">
        <v>0</v>
      </c>
      <c r="S410" s="419">
        <f t="shared" si="887"/>
        <v>0</v>
      </c>
      <c r="T410" s="420">
        <v>0</v>
      </c>
      <c r="U410" s="426">
        <v>0</v>
      </c>
      <c r="V410" s="428">
        <f t="shared" si="888"/>
        <v>0</v>
      </c>
      <c r="W410" s="421">
        <f t="shared" si="889"/>
        <v>0</v>
      </c>
      <c r="X410" s="16">
        <v>1879539</v>
      </c>
      <c r="Y410" s="16">
        <v>0</v>
      </c>
      <c r="Z410" s="16">
        <v>0</v>
      </c>
      <c r="AA410" s="16">
        <v>0</v>
      </c>
      <c r="AB410" s="421">
        <v>0</v>
      </c>
      <c r="AC410" s="16">
        <v>0</v>
      </c>
      <c r="AD410" s="16">
        <v>0</v>
      </c>
      <c r="AE410" s="16">
        <v>0</v>
      </c>
      <c r="AF410" s="421">
        <f t="shared" si="890"/>
        <v>1879539</v>
      </c>
      <c r="AG410" s="421">
        <f t="shared" si="891"/>
        <v>0</v>
      </c>
      <c r="AH410" s="421">
        <f t="shared" si="892"/>
        <v>1879539</v>
      </c>
      <c r="AI410" s="16">
        <v>0</v>
      </c>
      <c r="AJ410" s="16">
        <v>0</v>
      </c>
      <c r="AK410" s="421">
        <v>0</v>
      </c>
      <c r="AL410" s="16">
        <v>0</v>
      </c>
      <c r="AM410" s="16">
        <v>0</v>
      </c>
      <c r="AN410" s="16">
        <v>0</v>
      </c>
      <c r="AO410" s="421">
        <f t="shared" si="893"/>
        <v>0</v>
      </c>
      <c r="AP410" s="16">
        <v>0</v>
      </c>
      <c r="AQ410" s="421">
        <f t="shared" si="895"/>
        <v>0</v>
      </c>
      <c r="AR410" s="421">
        <f t="shared" si="923"/>
        <v>1879539</v>
      </c>
      <c r="AS410" s="421">
        <f t="shared" si="923"/>
        <v>0</v>
      </c>
      <c r="AT410" s="421">
        <f t="shared" si="896"/>
        <v>1879539</v>
      </c>
      <c r="AU410" s="68">
        <f t="shared" si="924"/>
        <v>635284</v>
      </c>
      <c r="AV410" s="68">
        <f t="shared" si="925"/>
        <v>18795</v>
      </c>
      <c r="AW410" s="16">
        <v>0</v>
      </c>
      <c r="AX410" s="16">
        <v>0</v>
      </c>
      <c r="AY410" s="421">
        <f t="shared" si="897"/>
        <v>0</v>
      </c>
      <c r="AZ410" s="421">
        <f t="shared" si="898"/>
        <v>2533618</v>
      </c>
      <c r="BA410" s="13">
        <v>0</v>
      </c>
      <c r="BB410" s="13">
        <v>0</v>
      </c>
      <c r="BC410" s="13">
        <v>5.4599999999999991</v>
      </c>
      <c r="BD410" s="422">
        <v>0</v>
      </c>
      <c r="BE410" s="422">
        <v>0</v>
      </c>
      <c r="BF410" s="422">
        <v>0</v>
      </c>
      <c r="BG410" s="422">
        <v>0</v>
      </c>
      <c r="BH410" s="422">
        <v>0</v>
      </c>
      <c r="BI410" s="422">
        <v>0</v>
      </c>
      <c r="BJ410" s="422">
        <v>0</v>
      </c>
      <c r="BK410" s="422">
        <f t="shared" si="926"/>
        <v>5.4599999999999991</v>
      </c>
      <c r="BL410" s="422">
        <f t="shared" si="927"/>
        <v>0</v>
      </c>
      <c r="BM410" s="424">
        <f t="shared" si="899"/>
        <v>5.4599999999999991</v>
      </c>
      <c r="BN410" s="427">
        <f t="shared" si="928"/>
        <v>2533618</v>
      </c>
      <c r="BO410" s="421">
        <f t="shared" si="929"/>
        <v>1879539</v>
      </c>
      <c r="BP410" s="421">
        <f t="shared" si="930"/>
        <v>1879539</v>
      </c>
      <c r="BQ410" s="421">
        <f t="shared" si="930"/>
        <v>0</v>
      </c>
      <c r="BR410" s="421">
        <f t="shared" si="931"/>
        <v>0</v>
      </c>
      <c r="BS410" s="421">
        <f t="shared" si="932"/>
        <v>0</v>
      </c>
      <c r="BT410" s="421">
        <f t="shared" si="932"/>
        <v>0</v>
      </c>
      <c r="BU410" s="421">
        <f t="shared" si="933"/>
        <v>635284</v>
      </c>
      <c r="BV410" s="421">
        <f t="shared" si="933"/>
        <v>18795</v>
      </c>
      <c r="BW410" s="421">
        <f t="shared" si="934"/>
        <v>0</v>
      </c>
      <c r="BX410" s="422">
        <f t="shared" si="935"/>
        <v>5.4599999999999991</v>
      </c>
      <c r="BY410" s="422">
        <f t="shared" si="936"/>
        <v>5.4599999999999991</v>
      </c>
      <c r="BZ410" s="611">
        <f t="shared" si="936"/>
        <v>0</v>
      </c>
      <c r="CA410" s="423"/>
      <c r="CB410" s="418"/>
      <c r="CC410" s="418"/>
      <c r="CD410" s="418"/>
      <c r="CE410" s="418"/>
      <c r="CF410" s="527"/>
    </row>
    <row r="411" spans="1:84" ht="14.1" customHeight="1" x14ac:dyDescent="0.2">
      <c r="A411" s="66">
        <v>81</v>
      </c>
      <c r="B411" s="63">
        <v>2466</v>
      </c>
      <c r="C411" s="64">
        <v>600079821</v>
      </c>
      <c r="D411" s="63">
        <v>70695083</v>
      </c>
      <c r="E411" s="65" t="s">
        <v>795</v>
      </c>
      <c r="F411" s="66">
        <v>3141</v>
      </c>
      <c r="G411" s="65" t="s">
        <v>295</v>
      </c>
      <c r="H411" s="67" t="s">
        <v>272</v>
      </c>
      <c r="I411" s="423">
        <f t="shared" si="882"/>
        <v>900156</v>
      </c>
      <c r="J411" s="418">
        <f t="shared" si="883"/>
        <v>664759</v>
      </c>
      <c r="K411" s="418">
        <v>0</v>
      </c>
      <c r="L411" s="924">
        <v>664759</v>
      </c>
      <c r="M411" s="418">
        <f>N411+O411</f>
        <v>0</v>
      </c>
      <c r="N411" s="205">
        <v>0</v>
      </c>
      <c r="O411" s="205">
        <v>0</v>
      </c>
      <c r="P411" s="668">
        <f t="shared" si="885"/>
        <v>224689</v>
      </c>
      <c r="Q411" s="668">
        <f t="shared" si="886"/>
        <v>6648</v>
      </c>
      <c r="R411" s="674">
        <v>4060</v>
      </c>
      <c r="S411" s="419">
        <f>T411+U411</f>
        <v>1.9934000000000001</v>
      </c>
      <c r="T411" s="676">
        <v>0</v>
      </c>
      <c r="U411" s="909">
        <v>1.9934000000000001</v>
      </c>
      <c r="V411" s="428">
        <f t="shared" si="888"/>
        <v>0</v>
      </c>
      <c r="W411" s="421">
        <f t="shared" si="889"/>
        <v>0</v>
      </c>
      <c r="X411" s="421">
        <v>0</v>
      </c>
      <c r="Y411" s="421">
        <v>0</v>
      </c>
      <c r="Z411" s="421">
        <v>0</v>
      </c>
      <c r="AA411" s="421">
        <v>0</v>
      </c>
      <c r="AB411" s="421">
        <v>0</v>
      </c>
      <c r="AC411" s="421">
        <v>0</v>
      </c>
      <c r="AD411" s="421">
        <v>0</v>
      </c>
      <c r="AE411" s="421">
        <v>0</v>
      </c>
      <c r="AF411" s="421">
        <f t="shared" si="890"/>
        <v>0</v>
      </c>
      <c r="AG411" s="421">
        <f t="shared" si="891"/>
        <v>0</v>
      </c>
      <c r="AH411" s="421">
        <f t="shared" si="892"/>
        <v>0</v>
      </c>
      <c r="AI411" s="421">
        <v>0</v>
      </c>
      <c r="AJ411" s="421">
        <v>0</v>
      </c>
      <c r="AK411" s="421">
        <v>0</v>
      </c>
      <c r="AL411" s="421">
        <v>0</v>
      </c>
      <c r="AM411" s="421">
        <v>0</v>
      </c>
      <c r="AN411" s="421">
        <v>0</v>
      </c>
      <c r="AO411" s="421">
        <f t="shared" si="893"/>
        <v>0</v>
      </c>
      <c r="AP411" s="421">
        <f t="shared" si="894"/>
        <v>0</v>
      </c>
      <c r="AQ411" s="421">
        <f t="shared" si="895"/>
        <v>0</v>
      </c>
      <c r="AR411" s="421">
        <f t="shared" si="923"/>
        <v>0</v>
      </c>
      <c r="AS411" s="421">
        <f t="shared" si="923"/>
        <v>0</v>
      </c>
      <c r="AT411" s="421">
        <f t="shared" si="896"/>
        <v>0</v>
      </c>
      <c r="AU411" s="68">
        <f t="shared" si="924"/>
        <v>0</v>
      </c>
      <c r="AV411" s="68">
        <f t="shared" si="925"/>
        <v>0</v>
      </c>
      <c r="AW411" s="421">
        <v>0</v>
      </c>
      <c r="AX411" s="421">
        <v>0</v>
      </c>
      <c r="AY411" s="421">
        <f t="shared" si="897"/>
        <v>0</v>
      </c>
      <c r="AZ411" s="421">
        <f t="shared" si="898"/>
        <v>0</v>
      </c>
      <c r="BA411" s="422">
        <v>0</v>
      </c>
      <c r="BB411" s="422">
        <v>0</v>
      </c>
      <c r="BC411" s="422">
        <v>0</v>
      </c>
      <c r="BD411" s="422">
        <v>0</v>
      </c>
      <c r="BE411" s="422">
        <v>0</v>
      </c>
      <c r="BF411" s="422">
        <v>0</v>
      </c>
      <c r="BG411" s="422">
        <v>0</v>
      </c>
      <c r="BH411" s="422">
        <v>0</v>
      </c>
      <c r="BI411" s="422">
        <v>0</v>
      </c>
      <c r="BJ411" s="422">
        <v>0</v>
      </c>
      <c r="BK411" s="422">
        <f t="shared" si="926"/>
        <v>0</v>
      </c>
      <c r="BL411" s="422">
        <f t="shared" si="927"/>
        <v>0</v>
      </c>
      <c r="BM411" s="424">
        <f t="shared" si="899"/>
        <v>0</v>
      </c>
      <c r="BN411" s="427">
        <f t="shared" si="928"/>
        <v>900156</v>
      </c>
      <c r="BO411" s="421">
        <f t="shared" si="929"/>
        <v>664759</v>
      </c>
      <c r="BP411" s="421">
        <f t="shared" si="930"/>
        <v>0</v>
      </c>
      <c r="BQ411" s="421">
        <f t="shared" si="930"/>
        <v>664759</v>
      </c>
      <c r="BR411" s="421">
        <f t="shared" si="931"/>
        <v>0</v>
      </c>
      <c r="BS411" s="421">
        <f t="shared" si="932"/>
        <v>0</v>
      </c>
      <c r="BT411" s="421">
        <f t="shared" si="932"/>
        <v>0</v>
      </c>
      <c r="BU411" s="421">
        <f t="shared" si="933"/>
        <v>224689</v>
      </c>
      <c r="BV411" s="421">
        <f t="shared" si="933"/>
        <v>6648</v>
      </c>
      <c r="BW411" s="421">
        <f t="shared" si="934"/>
        <v>4060</v>
      </c>
      <c r="BX411" s="422">
        <f t="shared" si="935"/>
        <v>1.9934000000000001</v>
      </c>
      <c r="BY411" s="422">
        <f t="shared" si="936"/>
        <v>0</v>
      </c>
      <c r="BZ411" s="611">
        <f t="shared" si="936"/>
        <v>1.9934000000000001</v>
      </c>
      <c r="CA411" s="423"/>
      <c r="CB411" s="418"/>
      <c r="CC411" s="418"/>
      <c r="CD411" s="418"/>
      <c r="CE411" s="418"/>
      <c r="CF411" s="527"/>
    </row>
    <row r="412" spans="1:84" ht="14.1" customHeight="1" x14ac:dyDescent="0.2">
      <c r="A412" s="66">
        <v>81</v>
      </c>
      <c r="B412" s="63">
        <v>2466</v>
      </c>
      <c r="C412" s="64">
        <v>600079821</v>
      </c>
      <c r="D412" s="63">
        <v>70695083</v>
      </c>
      <c r="E412" s="65" t="s">
        <v>795</v>
      </c>
      <c r="F412" s="66">
        <v>3143</v>
      </c>
      <c r="G412" s="77" t="s">
        <v>596</v>
      </c>
      <c r="H412" s="67" t="s">
        <v>271</v>
      </c>
      <c r="I412" s="423">
        <f t="shared" si="882"/>
        <v>703675</v>
      </c>
      <c r="J412" s="418">
        <f t="shared" si="883"/>
        <v>522014</v>
      </c>
      <c r="K412" s="418">
        <v>522014</v>
      </c>
      <c r="L412" s="418">
        <v>0</v>
      </c>
      <c r="M412" s="418">
        <f t="shared" si="884"/>
        <v>0</v>
      </c>
      <c r="N412" s="418">
        <v>0</v>
      </c>
      <c r="O412" s="418">
        <v>0</v>
      </c>
      <c r="P412" s="668">
        <f t="shared" si="885"/>
        <v>176441</v>
      </c>
      <c r="Q412" s="668">
        <f t="shared" si="886"/>
        <v>5220</v>
      </c>
      <c r="R412" s="418">
        <v>0</v>
      </c>
      <c r="S412" s="419">
        <f t="shared" si="887"/>
        <v>1.1608000000000001</v>
      </c>
      <c r="T412" s="419">
        <v>1.1608000000000001</v>
      </c>
      <c r="U412" s="426">
        <v>0</v>
      </c>
      <c r="V412" s="428">
        <f t="shared" si="888"/>
        <v>0</v>
      </c>
      <c r="W412" s="421">
        <f t="shared" si="889"/>
        <v>0</v>
      </c>
      <c r="X412" s="421">
        <v>0</v>
      </c>
      <c r="Y412" s="421">
        <v>0</v>
      </c>
      <c r="Z412" s="421">
        <v>0</v>
      </c>
      <c r="AA412" s="421">
        <v>0</v>
      </c>
      <c r="AB412" s="421">
        <v>0</v>
      </c>
      <c r="AC412" s="421">
        <v>0</v>
      </c>
      <c r="AD412" s="421">
        <v>0</v>
      </c>
      <c r="AE412" s="421">
        <v>0</v>
      </c>
      <c r="AF412" s="421">
        <f t="shared" si="890"/>
        <v>0</v>
      </c>
      <c r="AG412" s="421">
        <f t="shared" si="891"/>
        <v>0</v>
      </c>
      <c r="AH412" s="421">
        <f t="shared" si="892"/>
        <v>0</v>
      </c>
      <c r="AI412" s="421">
        <v>0</v>
      </c>
      <c r="AJ412" s="421">
        <v>0</v>
      </c>
      <c r="AK412" s="421">
        <v>0</v>
      </c>
      <c r="AL412" s="421">
        <v>0</v>
      </c>
      <c r="AM412" s="421">
        <v>0</v>
      </c>
      <c r="AN412" s="421">
        <v>0</v>
      </c>
      <c r="AO412" s="421">
        <f t="shared" si="893"/>
        <v>0</v>
      </c>
      <c r="AP412" s="421">
        <f t="shared" si="894"/>
        <v>0</v>
      </c>
      <c r="AQ412" s="421">
        <f t="shared" si="895"/>
        <v>0</v>
      </c>
      <c r="AR412" s="421">
        <f t="shared" si="923"/>
        <v>0</v>
      </c>
      <c r="AS412" s="421">
        <f t="shared" si="923"/>
        <v>0</v>
      </c>
      <c r="AT412" s="421">
        <f t="shared" si="896"/>
        <v>0</v>
      </c>
      <c r="AU412" s="68">
        <f t="shared" si="924"/>
        <v>0</v>
      </c>
      <c r="AV412" s="68">
        <f t="shared" si="925"/>
        <v>0</v>
      </c>
      <c r="AW412" s="421">
        <v>0</v>
      </c>
      <c r="AX412" s="421">
        <v>0</v>
      </c>
      <c r="AY412" s="421">
        <f t="shared" si="897"/>
        <v>0</v>
      </c>
      <c r="AZ412" s="421">
        <f t="shared" si="898"/>
        <v>0</v>
      </c>
      <c r="BA412" s="422">
        <v>0</v>
      </c>
      <c r="BB412" s="422">
        <v>0</v>
      </c>
      <c r="BC412" s="422">
        <v>0</v>
      </c>
      <c r="BD412" s="422">
        <v>0</v>
      </c>
      <c r="BE412" s="422">
        <v>0</v>
      </c>
      <c r="BF412" s="422">
        <v>0</v>
      </c>
      <c r="BG412" s="422">
        <v>0</v>
      </c>
      <c r="BH412" s="422">
        <v>0</v>
      </c>
      <c r="BI412" s="422">
        <v>0</v>
      </c>
      <c r="BJ412" s="422">
        <v>0</v>
      </c>
      <c r="BK412" s="422">
        <f t="shared" si="926"/>
        <v>0</v>
      </c>
      <c r="BL412" s="422">
        <f t="shared" si="927"/>
        <v>0</v>
      </c>
      <c r="BM412" s="424">
        <f t="shared" si="899"/>
        <v>0</v>
      </c>
      <c r="BN412" s="427">
        <f t="shared" si="928"/>
        <v>703675</v>
      </c>
      <c r="BO412" s="421">
        <f t="shared" si="929"/>
        <v>522014</v>
      </c>
      <c r="BP412" s="421">
        <f t="shared" si="930"/>
        <v>522014</v>
      </c>
      <c r="BQ412" s="421">
        <f t="shared" si="930"/>
        <v>0</v>
      </c>
      <c r="BR412" s="421">
        <f t="shared" si="931"/>
        <v>0</v>
      </c>
      <c r="BS412" s="421">
        <f t="shared" si="932"/>
        <v>0</v>
      </c>
      <c r="BT412" s="421">
        <f t="shared" si="932"/>
        <v>0</v>
      </c>
      <c r="BU412" s="421">
        <f t="shared" si="933"/>
        <v>176441</v>
      </c>
      <c r="BV412" s="421">
        <f t="shared" si="933"/>
        <v>5220</v>
      </c>
      <c r="BW412" s="421">
        <f t="shared" si="934"/>
        <v>0</v>
      </c>
      <c r="BX412" s="422">
        <f t="shared" si="935"/>
        <v>1.1608000000000001</v>
      </c>
      <c r="BY412" s="422">
        <f t="shared" si="936"/>
        <v>1.1608000000000001</v>
      </c>
      <c r="BZ412" s="611">
        <f t="shared" si="936"/>
        <v>0</v>
      </c>
      <c r="CA412" s="423"/>
      <c r="CB412" s="418"/>
      <c r="CC412" s="418"/>
      <c r="CD412" s="418"/>
      <c r="CE412" s="418"/>
      <c r="CF412" s="527"/>
    </row>
    <row r="413" spans="1:84" ht="14.1" customHeight="1" x14ac:dyDescent="0.2">
      <c r="A413" s="66">
        <v>81</v>
      </c>
      <c r="B413" s="63">
        <v>2466</v>
      </c>
      <c r="C413" s="64">
        <v>600079821</v>
      </c>
      <c r="D413" s="63">
        <v>70695083</v>
      </c>
      <c r="E413" s="65" t="s">
        <v>795</v>
      </c>
      <c r="F413" s="66">
        <v>3143</v>
      </c>
      <c r="G413" s="77" t="s">
        <v>597</v>
      </c>
      <c r="H413" s="67" t="s">
        <v>272</v>
      </c>
      <c r="I413" s="423">
        <f t="shared" si="882"/>
        <v>15380</v>
      </c>
      <c r="J413" s="418">
        <f t="shared" si="883"/>
        <v>11009</v>
      </c>
      <c r="K413" s="418">
        <v>0</v>
      </c>
      <c r="L413" s="674">
        <v>11009</v>
      </c>
      <c r="M413" s="418">
        <f t="shared" si="884"/>
        <v>0</v>
      </c>
      <c r="N413" s="418">
        <v>0</v>
      </c>
      <c r="O413" s="418">
        <v>0</v>
      </c>
      <c r="P413" s="668">
        <f t="shared" si="885"/>
        <v>3721</v>
      </c>
      <c r="Q413" s="668">
        <f t="shared" si="886"/>
        <v>110</v>
      </c>
      <c r="R413" s="675">
        <v>540</v>
      </c>
      <c r="S413" s="419">
        <f t="shared" si="887"/>
        <v>4.1700000000000001E-2</v>
      </c>
      <c r="T413" s="679">
        <v>0</v>
      </c>
      <c r="U413" s="909">
        <v>4.1700000000000001E-2</v>
      </c>
      <c r="V413" s="428">
        <f t="shared" si="888"/>
        <v>0</v>
      </c>
      <c r="W413" s="421">
        <f t="shared" si="889"/>
        <v>0</v>
      </c>
      <c r="X413" s="421">
        <v>0</v>
      </c>
      <c r="Y413" s="421">
        <v>0</v>
      </c>
      <c r="Z413" s="421">
        <v>0</v>
      </c>
      <c r="AA413" s="421">
        <v>0</v>
      </c>
      <c r="AB413" s="421">
        <v>0</v>
      </c>
      <c r="AC413" s="421">
        <v>0</v>
      </c>
      <c r="AD413" s="421">
        <v>0</v>
      </c>
      <c r="AE413" s="421">
        <v>0</v>
      </c>
      <c r="AF413" s="421">
        <f t="shared" si="890"/>
        <v>0</v>
      </c>
      <c r="AG413" s="421">
        <f t="shared" si="891"/>
        <v>0</v>
      </c>
      <c r="AH413" s="421">
        <f t="shared" si="892"/>
        <v>0</v>
      </c>
      <c r="AI413" s="421">
        <v>0</v>
      </c>
      <c r="AJ413" s="421">
        <v>0</v>
      </c>
      <c r="AK413" s="421">
        <v>0</v>
      </c>
      <c r="AL413" s="421">
        <v>0</v>
      </c>
      <c r="AM413" s="421">
        <v>0</v>
      </c>
      <c r="AN413" s="421">
        <v>0</v>
      </c>
      <c r="AO413" s="421">
        <f t="shared" si="893"/>
        <v>0</v>
      </c>
      <c r="AP413" s="421">
        <f t="shared" si="894"/>
        <v>0</v>
      </c>
      <c r="AQ413" s="421">
        <f t="shared" si="895"/>
        <v>0</v>
      </c>
      <c r="AR413" s="421">
        <f t="shared" si="923"/>
        <v>0</v>
      </c>
      <c r="AS413" s="421">
        <f t="shared" si="923"/>
        <v>0</v>
      </c>
      <c r="AT413" s="421">
        <f t="shared" si="896"/>
        <v>0</v>
      </c>
      <c r="AU413" s="68">
        <f t="shared" si="924"/>
        <v>0</v>
      </c>
      <c r="AV413" s="68">
        <f t="shared" si="925"/>
        <v>0</v>
      </c>
      <c r="AW413" s="421">
        <v>0</v>
      </c>
      <c r="AX413" s="421">
        <v>0</v>
      </c>
      <c r="AY413" s="421">
        <f t="shared" si="897"/>
        <v>0</v>
      </c>
      <c r="AZ413" s="421">
        <f t="shared" si="898"/>
        <v>0</v>
      </c>
      <c r="BA413" s="422">
        <v>0</v>
      </c>
      <c r="BB413" s="422">
        <v>0</v>
      </c>
      <c r="BC413" s="422">
        <v>0</v>
      </c>
      <c r="BD413" s="422">
        <v>0</v>
      </c>
      <c r="BE413" s="422">
        <v>0</v>
      </c>
      <c r="BF413" s="422">
        <v>0</v>
      </c>
      <c r="BG413" s="422">
        <v>0</v>
      </c>
      <c r="BH413" s="422">
        <v>0</v>
      </c>
      <c r="BI413" s="422">
        <v>0</v>
      </c>
      <c r="BJ413" s="422">
        <v>0</v>
      </c>
      <c r="BK413" s="422">
        <f t="shared" si="926"/>
        <v>0</v>
      </c>
      <c r="BL413" s="422">
        <f t="shared" si="927"/>
        <v>0</v>
      </c>
      <c r="BM413" s="424">
        <f t="shared" si="899"/>
        <v>0</v>
      </c>
      <c r="BN413" s="427">
        <f t="shared" si="928"/>
        <v>15380</v>
      </c>
      <c r="BO413" s="421">
        <f t="shared" si="929"/>
        <v>11009</v>
      </c>
      <c r="BP413" s="421">
        <f t="shared" si="930"/>
        <v>0</v>
      </c>
      <c r="BQ413" s="421">
        <f t="shared" si="930"/>
        <v>11009</v>
      </c>
      <c r="BR413" s="421">
        <f t="shared" si="931"/>
        <v>0</v>
      </c>
      <c r="BS413" s="421">
        <f t="shared" si="932"/>
        <v>0</v>
      </c>
      <c r="BT413" s="421">
        <f t="shared" si="932"/>
        <v>0</v>
      </c>
      <c r="BU413" s="421">
        <f t="shared" si="933"/>
        <v>3721</v>
      </c>
      <c r="BV413" s="421">
        <f t="shared" si="933"/>
        <v>110</v>
      </c>
      <c r="BW413" s="421">
        <f t="shared" si="934"/>
        <v>540</v>
      </c>
      <c r="BX413" s="422">
        <f t="shared" si="935"/>
        <v>4.1700000000000001E-2</v>
      </c>
      <c r="BY413" s="422">
        <f t="shared" si="936"/>
        <v>0</v>
      </c>
      <c r="BZ413" s="611">
        <f t="shared" si="936"/>
        <v>4.1700000000000001E-2</v>
      </c>
      <c r="CA413" s="423"/>
      <c r="CB413" s="418"/>
      <c r="CC413" s="418"/>
      <c r="CD413" s="418"/>
      <c r="CE413" s="418"/>
      <c r="CF413" s="527"/>
    </row>
    <row r="414" spans="1:84" ht="14.1" customHeight="1" x14ac:dyDescent="0.2">
      <c r="A414" s="72">
        <v>81</v>
      </c>
      <c r="B414" s="69">
        <v>2466</v>
      </c>
      <c r="C414" s="70">
        <v>600079821</v>
      </c>
      <c r="D414" s="69">
        <v>70695083</v>
      </c>
      <c r="E414" s="71" t="s">
        <v>796</v>
      </c>
      <c r="F414" s="72"/>
      <c r="G414" s="71"/>
      <c r="H414" s="73"/>
      <c r="I414" s="538">
        <f t="shared" ref="I414:BU414" si="938">SUM(I408:I413)</f>
        <v>13823959</v>
      </c>
      <c r="J414" s="74">
        <f t="shared" si="938"/>
        <v>10172389</v>
      </c>
      <c r="K414" s="74">
        <f>SUM(K408:K413)</f>
        <v>8578438</v>
      </c>
      <c r="L414" s="74">
        <f>SUM(L408:L413)</f>
        <v>1593951</v>
      </c>
      <c r="M414" s="74">
        <f>SUM(M408:M413)</f>
        <v>0</v>
      </c>
      <c r="N414" s="74">
        <f>SUM(N408:N413)</f>
        <v>0</v>
      </c>
      <c r="O414" s="74">
        <f>SUM(O408:O413)</f>
        <v>0</v>
      </c>
      <c r="P414" s="74">
        <f t="shared" ref="P414:Q414" si="939">SUM(P408:P413)</f>
        <v>3438268</v>
      </c>
      <c r="Q414" s="74">
        <f t="shared" si="939"/>
        <v>101724</v>
      </c>
      <c r="R414" s="74">
        <f>SUM(R408:R413)</f>
        <v>111578</v>
      </c>
      <c r="S414" s="75">
        <f>SUM(S408:S413)</f>
        <v>19.473100000000002</v>
      </c>
      <c r="T414" s="75">
        <f>SUM(T408:T413)</f>
        <v>14.7516</v>
      </c>
      <c r="U414" s="753">
        <f>SUM(U408:U413)</f>
        <v>4.7214999999999998</v>
      </c>
      <c r="V414" s="538">
        <f t="shared" si="938"/>
        <v>-32000</v>
      </c>
      <c r="W414" s="74">
        <f t="shared" si="938"/>
        <v>-76800</v>
      </c>
      <c r="X414" s="74">
        <f t="shared" si="938"/>
        <v>1879539</v>
      </c>
      <c r="Y414" s="74">
        <f t="shared" si="938"/>
        <v>0</v>
      </c>
      <c r="Z414" s="74">
        <f t="shared" si="938"/>
        <v>0</v>
      </c>
      <c r="AA414" s="74">
        <f t="shared" si="938"/>
        <v>0</v>
      </c>
      <c r="AB414" s="74">
        <f t="shared" si="938"/>
        <v>0</v>
      </c>
      <c r="AC414" s="74">
        <f t="shared" si="938"/>
        <v>0</v>
      </c>
      <c r="AD414" s="74">
        <f t="shared" si="938"/>
        <v>0</v>
      </c>
      <c r="AE414" s="74">
        <f t="shared" si="938"/>
        <v>0</v>
      </c>
      <c r="AF414" s="74">
        <f t="shared" si="938"/>
        <v>1847539</v>
      </c>
      <c r="AG414" s="74">
        <f t="shared" si="938"/>
        <v>-76800</v>
      </c>
      <c r="AH414" s="74">
        <f t="shared" si="938"/>
        <v>1770739</v>
      </c>
      <c r="AI414" s="74">
        <f t="shared" si="938"/>
        <v>32000</v>
      </c>
      <c r="AJ414" s="74">
        <f t="shared" si="938"/>
        <v>76800</v>
      </c>
      <c r="AK414" s="74">
        <f t="shared" si="938"/>
        <v>0</v>
      </c>
      <c r="AL414" s="74">
        <f t="shared" si="938"/>
        <v>0</v>
      </c>
      <c r="AM414" s="74">
        <f t="shared" si="938"/>
        <v>0</v>
      </c>
      <c r="AN414" s="74">
        <f t="shared" si="938"/>
        <v>0</v>
      </c>
      <c r="AO414" s="74">
        <f t="shared" si="938"/>
        <v>32000</v>
      </c>
      <c r="AP414" s="74">
        <f t="shared" si="938"/>
        <v>76800</v>
      </c>
      <c r="AQ414" s="74">
        <f t="shared" si="938"/>
        <v>108800</v>
      </c>
      <c r="AR414" s="74">
        <f t="shared" si="938"/>
        <v>1879539</v>
      </c>
      <c r="AS414" s="74">
        <f t="shared" si="938"/>
        <v>0</v>
      </c>
      <c r="AT414" s="74">
        <f t="shared" si="938"/>
        <v>1879539</v>
      </c>
      <c r="AU414" s="74">
        <f t="shared" si="938"/>
        <v>635284</v>
      </c>
      <c r="AV414" s="74">
        <f t="shared" si="938"/>
        <v>17707</v>
      </c>
      <c r="AW414" s="74">
        <f t="shared" si="938"/>
        <v>0</v>
      </c>
      <c r="AX414" s="74">
        <f t="shared" si="938"/>
        <v>0</v>
      </c>
      <c r="AY414" s="74">
        <f t="shared" si="938"/>
        <v>0</v>
      </c>
      <c r="AZ414" s="74">
        <f t="shared" si="938"/>
        <v>2532530</v>
      </c>
      <c r="BA414" s="75">
        <f t="shared" si="938"/>
        <v>0</v>
      </c>
      <c r="BB414" s="75">
        <f t="shared" si="938"/>
        <v>-0.23</v>
      </c>
      <c r="BC414" s="75">
        <f t="shared" si="938"/>
        <v>5.4599999999999991</v>
      </c>
      <c r="BD414" s="75">
        <f t="shared" si="938"/>
        <v>0</v>
      </c>
      <c r="BE414" s="75">
        <f t="shared" si="938"/>
        <v>0</v>
      </c>
      <c r="BF414" s="75">
        <f t="shared" si="938"/>
        <v>0</v>
      </c>
      <c r="BG414" s="75">
        <f t="shared" si="938"/>
        <v>0</v>
      </c>
      <c r="BH414" s="75">
        <f t="shared" si="938"/>
        <v>0</v>
      </c>
      <c r="BI414" s="75">
        <f t="shared" si="938"/>
        <v>0</v>
      </c>
      <c r="BJ414" s="75">
        <f t="shared" si="938"/>
        <v>0</v>
      </c>
      <c r="BK414" s="75">
        <f t="shared" si="938"/>
        <v>5.4599999999999991</v>
      </c>
      <c r="BL414" s="75">
        <f t="shared" si="938"/>
        <v>-0.23</v>
      </c>
      <c r="BM414" s="76">
        <f t="shared" si="938"/>
        <v>5.2299999999999986</v>
      </c>
      <c r="BN414" s="549">
        <f t="shared" si="938"/>
        <v>16356489</v>
      </c>
      <c r="BO414" s="74">
        <f t="shared" si="938"/>
        <v>11943128</v>
      </c>
      <c r="BP414" s="74">
        <f t="shared" si="938"/>
        <v>10425977</v>
      </c>
      <c r="BQ414" s="74">
        <f t="shared" si="938"/>
        <v>1517151</v>
      </c>
      <c r="BR414" s="74">
        <f t="shared" si="938"/>
        <v>108800</v>
      </c>
      <c r="BS414" s="74">
        <f t="shared" si="938"/>
        <v>32000</v>
      </c>
      <c r="BT414" s="74">
        <f t="shared" si="938"/>
        <v>76800</v>
      </c>
      <c r="BU414" s="74">
        <f t="shared" si="938"/>
        <v>4073552</v>
      </c>
      <c r="BV414" s="74">
        <f t="shared" ref="BV414:CF414" si="940">SUM(BV408:BV413)</f>
        <v>119431</v>
      </c>
      <c r="BW414" s="74">
        <f t="shared" si="940"/>
        <v>111578</v>
      </c>
      <c r="BX414" s="75">
        <f t="shared" si="940"/>
        <v>24.703099999999999</v>
      </c>
      <c r="BY414" s="75">
        <f t="shared" si="940"/>
        <v>20.211599999999997</v>
      </c>
      <c r="BZ414" s="753">
        <f t="shared" si="940"/>
        <v>4.4914999999999994</v>
      </c>
      <c r="CA414" s="796">
        <f t="shared" si="940"/>
        <v>0</v>
      </c>
      <c r="CB414" s="789">
        <f t="shared" si="940"/>
        <v>0</v>
      </c>
      <c r="CC414" s="789">
        <f t="shared" si="940"/>
        <v>0</v>
      </c>
      <c r="CD414" s="789">
        <f t="shared" si="940"/>
        <v>0</v>
      </c>
      <c r="CE414" s="789">
        <f t="shared" si="940"/>
        <v>0</v>
      </c>
      <c r="CF414" s="793">
        <f t="shared" si="940"/>
        <v>0</v>
      </c>
    </row>
    <row r="415" spans="1:84" ht="14.1" customHeight="1" x14ac:dyDescent="0.2">
      <c r="A415" s="66">
        <v>82</v>
      </c>
      <c r="B415" s="63">
        <v>2493</v>
      </c>
      <c r="C415" s="64">
        <v>600080021</v>
      </c>
      <c r="D415" s="63">
        <v>72742399</v>
      </c>
      <c r="E415" s="65" t="s">
        <v>694</v>
      </c>
      <c r="F415" s="66">
        <v>3111</v>
      </c>
      <c r="G415" s="65" t="s">
        <v>291</v>
      </c>
      <c r="H415" s="67" t="s">
        <v>271</v>
      </c>
      <c r="I415" s="423">
        <f t="shared" si="882"/>
        <v>7811778</v>
      </c>
      <c r="J415" s="418">
        <f t="shared" si="883"/>
        <v>5775478</v>
      </c>
      <c r="K415" s="418">
        <v>5475958</v>
      </c>
      <c r="L415" s="418">
        <v>299520</v>
      </c>
      <c r="M415" s="418">
        <f t="shared" ref="M415:M416" si="941">N415+O415</f>
        <v>0</v>
      </c>
      <c r="N415" s="418">
        <v>0</v>
      </c>
      <c r="O415" s="418">
        <v>0</v>
      </c>
      <c r="P415" s="668">
        <f t="shared" si="885"/>
        <v>1952112</v>
      </c>
      <c r="Q415" s="668">
        <f t="shared" si="886"/>
        <v>57755</v>
      </c>
      <c r="R415" s="418">
        <v>26433</v>
      </c>
      <c r="S415" s="419">
        <f t="shared" si="887"/>
        <v>10.9903</v>
      </c>
      <c r="T415" s="419">
        <v>9.7903000000000002</v>
      </c>
      <c r="U415" s="426">
        <v>1.2</v>
      </c>
      <c r="V415" s="428">
        <f t="shared" si="888"/>
        <v>-3200</v>
      </c>
      <c r="W415" s="421">
        <f t="shared" si="889"/>
        <v>0</v>
      </c>
      <c r="X415" s="421">
        <v>0</v>
      </c>
      <c r="Y415" s="421">
        <v>0</v>
      </c>
      <c r="Z415" s="421">
        <v>0</v>
      </c>
      <c r="AA415" s="421">
        <v>0</v>
      </c>
      <c r="AB415" s="421">
        <v>0</v>
      </c>
      <c r="AC415" s="421">
        <v>0</v>
      </c>
      <c r="AD415" s="421">
        <v>0</v>
      </c>
      <c r="AE415" s="421">
        <v>0</v>
      </c>
      <c r="AF415" s="421">
        <f t="shared" si="890"/>
        <v>-3200</v>
      </c>
      <c r="AG415" s="421">
        <f t="shared" si="891"/>
        <v>0</v>
      </c>
      <c r="AH415" s="421">
        <f t="shared" si="892"/>
        <v>-3200</v>
      </c>
      <c r="AI415" s="421">
        <v>3200</v>
      </c>
      <c r="AJ415" s="421">
        <v>0</v>
      </c>
      <c r="AK415" s="421">
        <v>0</v>
      </c>
      <c r="AL415" s="421">
        <v>0</v>
      </c>
      <c r="AM415" s="421">
        <v>0</v>
      </c>
      <c r="AN415" s="421">
        <v>0</v>
      </c>
      <c r="AO415" s="421">
        <f t="shared" si="893"/>
        <v>3200</v>
      </c>
      <c r="AP415" s="421">
        <f t="shared" si="894"/>
        <v>0</v>
      </c>
      <c r="AQ415" s="421">
        <f t="shared" si="895"/>
        <v>3200</v>
      </c>
      <c r="AR415" s="421">
        <f t="shared" ref="AR415:AS420" si="942">AF415+AO415</f>
        <v>0</v>
      </c>
      <c r="AS415" s="421">
        <f t="shared" si="942"/>
        <v>0</v>
      </c>
      <c r="AT415" s="421">
        <f t="shared" si="896"/>
        <v>0</v>
      </c>
      <c r="AU415" s="68">
        <f t="shared" ref="AU415:AU420" si="943">ROUND((AH415+AI415+AJ415+AK415+AL415)*33.8%,0)</f>
        <v>0</v>
      </c>
      <c r="AV415" s="68">
        <f t="shared" ref="AV415:AV420" si="944">ROUND(AH415*1%,0)</f>
        <v>-32</v>
      </c>
      <c r="AW415" s="421">
        <v>0</v>
      </c>
      <c r="AX415" s="421">
        <v>0</v>
      </c>
      <c r="AY415" s="421">
        <f t="shared" si="897"/>
        <v>0</v>
      </c>
      <c r="AZ415" s="421">
        <f t="shared" si="898"/>
        <v>-32</v>
      </c>
      <c r="BA415" s="422">
        <v>0</v>
      </c>
      <c r="BB415" s="422">
        <v>0</v>
      </c>
      <c r="BC415" s="422">
        <v>0</v>
      </c>
      <c r="BD415" s="422">
        <v>0</v>
      </c>
      <c r="BE415" s="422">
        <v>0</v>
      </c>
      <c r="BF415" s="422">
        <v>0</v>
      </c>
      <c r="BG415" s="422">
        <v>0</v>
      </c>
      <c r="BH415" s="422">
        <v>0</v>
      </c>
      <c r="BI415" s="422">
        <v>0</v>
      </c>
      <c r="BJ415" s="422">
        <v>0</v>
      </c>
      <c r="BK415" s="422">
        <f t="shared" ref="BK415:BK420" si="945">BA415+BC415+BD415+BF415+BH415+BI415</f>
        <v>0</v>
      </c>
      <c r="BL415" s="422">
        <f t="shared" ref="BL415:BL420" si="946">BB415+BE415+BG415+BJ415</f>
        <v>0</v>
      </c>
      <c r="BM415" s="424">
        <f t="shared" si="899"/>
        <v>0</v>
      </c>
      <c r="BN415" s="427">
        <f t="shared" ref="BN415:BN420" si="947">I415+AZ415</f>
        <v>7811746</v>
      </c>
      <c r="BO415" s="421">
        <f t="shared" ref="BO415:BO420" si="948">J415+AH415</f>
        <v>5772278</v>
      </c>
      <c r="BP415" s="421">
        <f t="shared" ref="BP415:BQ420" si="949">K415+AF415</f>
        <v>5472758</v>
      </c>
      <c r="BQ415" s="421">
        <f t="shared" si="949"/>
        <v>299520</v>
      </c>
      <c r="BR415" s="421">
        <f t="shared" ref="BR415:BR420" si="950">M415+AQ415</f>
        <v>3200</v>
      </c>
      <c r="BS415" s="421">
        <f t="shared" ref="BS415:BT420" si="951">N415+AO415</f>
        <v>3200</v>
      </c>
      <c r="BT415" s="421">
        <f t="shared" si="951"/>
        <v>0</v>
      </c>
      <c r="BU415" s="421">
        <f t="shared" ref="BU415:BV420" si="952">P415+AU415</f>
        <v>1952112</v>
      </c>
      <c r="BV415" s="421">
        <f t="shared" si="952"/>
        <v>57723</v>
      </c>
      <c r="BW415" s="421">
        <f t="shared" ref="BW415:BW420" si="953">R415+AY415</f>
        <v>26433</v>
      </c>
      <c r="BX415" s="422">
        <f t="shared" ref="BX415:BX420" si="954">S415+BM415</f>
        <v>10.9903</v>
      </c>
      <c r="BY415" s="422">
        <f t="shared" ref="BY415:BZ420" si="955">T415+BK415</f>
        <v>9.7903000000000002</v>
      </c>
      <c r="BZ415" s="611">
        <f t="shared" si="955"/>
        <v>1.2</v>
      </c>
      <c r="CA415" s="423"/>
      <c r="CB415" s="418"/>
      <c r="CC415" s="418"/>
      <c r="CD415" s="418"/>
      <c r="CE415" s="418"/>
      <c r="CF415" s="527"/>
    </row>
    <row r="416" spans="1:84" ht="14.1" customHeight="1" x14ac:dyDescent="0.2">
      <c r="A416" s="66">
        <v>82</v>
      </c>
      <c r="B416" s="63">
        <v>2493</v>
      </c>
      <c r="C416" s="64">
        <v>600080021</v>
      </c>
      <c r="D416" s="63">
        <v>72742399</v>
      </c>
      <c r="E416" s="65" t="s">
        <v>694</v>
      </c>
      <c r="F416" s="66">
        <v>3113</v>
      </c>
      <c r="G416" s="65" t="s">
        <v>294</v>
      </c>
      <c r="H416" s="67" t="s">
        <v>271</v>
      </c>
      <c r="I416" s="423">
        <f t="shared" si="882"/>
        <v>18403809</v>
      </c>
      <c r="J416" s="418">
        <f t="shared" si="883"/>
        <v>13470100</v>
      </c>
      <c r="K416" s="418">
        <v>12307710</v>
      </c>
      <c r="L416" s="418">
        <v>1162390</v>
      </c>
      <c r="M416" s="418">
        <f t="shared" si="941"/>
        <v>0</v>
      </c>
      <c r="N416" s="418">
        <v>0</v>
      </c>
      <c r="O416" s="418">
        <v>0</v>
      </c>
      <c r="P416" s="668">
        <f>ROUND(J416*33.8%,0)-1</f>
        <v>4552893</v>
      </c>
      <c r="Q416" s="668">
        <f t="shared" si="886"/>
        <v>134701</v>
      </c>
      <c r="R416" s="418">
        <v>246115</v>
      </c>
      <c r="S416" s="419">
        <f>T416+U416</f>
        <v>19.433399999999999</v>
      </c>
      <c r="T416" s="419">
        <v>16</v>
      </c>
      <c r="U416" s="426">
        <v>3.4333999999999998</v>
      </c>
      <c r="V416" s="428">
        <f t="shared" si="888"/>
        <v>-3200</v>
      </c>
      <c r="W416" s="421">
        <f t="shared" si="889"/>
        <v>-19200</v>
      </c>
      <c r="X416" s="421">
        <v>0</v>
      </c>
      <c r="Y416" s="421">
        <v>0</v>
      </c>
      <c r="Z416" s="421">
        <v>0</v>
      </c>
      <c r="AA416" s="421">
        <v>0</v>
      </c>
      <c r="AB416" s="421">
        <v>112800</v>
      </c>
      <c r="AC416" s="421">
        <v>0</v>
      </c>
      <c r="AD416" s="421">
        <v>0</v>
      </c>
      <c r="AE416" s="421">
        <v>0</v>
      </c>
      <c r="AF416" s="421">
        <f t="shared" si="890"/>
        <v>109600</v>
      </c>
      <c r="AG416" s="421">
        <f t="shared" si="891"/>
        <v>-19200</v>
      </c>
      <c r="AH416" s="421">
        <f t="shared" si="892"/>
        <v>90400</v>
      </c>
      <c r="AI416" s="421">
        <v>3200</v>
      </c>
      <c r="AJ416" s="421">
        <v>19200</v>
      </c>
      <c r="AK416" s="421">
        <v>0</v>
      </c>
      <c r="AL416" s="421">
        <v>0</v>
      </c>
      <c r="AM416" s="421">
        <v>0</v>
      </c>
      <c r="AN416" s="421">
        <v>0</v>
      </c>
      <c r="AO416" s="421">
        <f t="shared" si="893"/>
        <v>3200</v>
      </c>
      <c r="AP416" s="421">
        <f t="shared" si="894"/>
        <v>19200</v>
      </c>
      <c r="AQ416" s="421">
        <f t="shared" si="895"/>
        <v>22400</v>
      </c>
      <c r="AR416" s="421">
        <f t="shared" si="942"/>
        <v>112800</v>
      </c>
      <c r="AS416" s="421">
        <f t="shared" si="942"/>
        <v>0</v>
      </c>
      <c r="AT416" s="421">
        <f t="shared" si="896"/>
        <v>112800</v>
      </c>
      <c r="AU416" s="68">
        <f t="shared" si="943"/>
        <v>38126</v>
      </c>
      <c r="AV416" s="68">
        <f t="shared" si="944"/>
        <v>904</v>
      </c>
      <c r="AW416" s="421">
        <v>0</v>
      </c>
      <c r="AX416" s="421">
        <v>0</v>
      </c>
      <c r="AY416" s="421">
        <f t="shared" si="897"/>
        <v>0</v>
      </c>
      <c r="AZ416" s="421">
        <f t="shared" si="898"/>
        <v>151830</v>
      </c>
      <c r="BA416" s="422">
        <v>0</v>
      </c>
      <c r="BB416" s="422">
        <v>0</v>
      </c>
      <c r="BC416" s="422">
        <v>0</v>
      </c>
      <c r="BD416" s="422">
        <v>0.2</v>
      </c>
      <c r="BE416" s="422">
        <v>0</v>
      </c>
      <c r="BF416" s="422">
        <v>0</v>
      </c>
      <c r="BG416" s="422">
        <v>0</v>
      </c>
      <c r="BH416" s="422">
        <v>0</v>
      </c>
      <c r="BI416" s="422">
        <v>0</v>
      </c>
      <c r="BJ416" s="422">
        <v>0</v>
      </c>
      <c r="BK416" s="422">
        <f t="shared" si="945"/>
        <v>0.2</v>
      </c>
      <c r="BL416" s="422">
        <f t="shared" si="946"/>
        <v>0</v>
      </c>
      <c r="BM416" s="424">
        <f t="shared" si="899"/>
        <v>0.2</v>
      </c>
      <c r="BN416" s="427">
        <f t="shared" si="947"/>
        <v>18555639</v>
      </c>
      <c r="BO416" s="421">
        <f t="shared" si="948"/>
        <v>13560500</v>
      </c>
      <c r="BP416" s="421">
        <f t="shared" si="949"/>
        <v>12417310</v>
      </c>
      <c r="BQ416" s="421">
        <f t="shared" si="949"/>
        <v>1143190</v>
      </c>
      <c r="BR416" s="421">
        <f t="shared" si="950"/>
        <v>22400</v>
      </c>
      <c r="BS416" s="421">
        <f t="shared" si="951"/>
        <v>3200</v>
      </c>
      <c r="BT416" s="421">
        <f t="shared" si="951"/>
        <v>19200</v>
      </c>
      <c r="BU416" s="421">
        <f t="shared" si="952"/>
        <v>4591019</v>
      </c>
      <c r="BV416" s="421">
        <f t="shared" si="952"/>
        <v>135605</v>
      </c>
      <c r="BW416" s="421">
        <f t="shared" si="953"/>
        <v>246115</v>
      </c>
      <c r="BX416" s="422">
        <f t="shared" si="954"/>
        <v>19.633399999999998</v>
      </c>
      <c r="BY416" s="422">
        <f t="shared" si="955"/>
        <v>16.2</v>
      </c>
      <c r="BZ416" s="611">
        <f t="shared" si="955"/>
        <v>3.4333999999999998</v>
      </c>
      <c r="CA416" s="423">
        <v>152054</v>
      </c>
      <c r="CB416" s="418">
        <v>112800</v>
      </c>
      <c r="CC416" s="418">
        <v>0</v>
      </c>
      <c r="CD416" s="418">
        <v>38126</v>
      </c>
      <c r="CE416" s="418">
        <v>1128</v>
      </c>
      <c r="CF416" s="527">
        <v>0.2</v>
      </c>
    </row>
    <row r="417" spans="1:84" ht="14.1" customHeight="1" x14ac:dyDescent="0.2">
      <c r="A417" s="66">
        <v>82</v>
      </c>
      <c r="B417" s="63">
        <v>2493</v>
      </c>
      <c r="C417" s="64">
        <v>600080021</v>
      </c>
      <c r="D417" s="63">
        <v>72742399</v>
      </c>
      <c r="E417" s="65" t="s">
        <v>694</v>
      </c>
      <c r="F417" s="66">
        <v>3113</v>
      </c>
      <c r="G417" s="77" t="s">
        <v>292</v>
      </c>
      <c r="H417" s="67" t="s">
        <v>272</v>
      </c>
      <c r="I417" s="423">
        <f t="shared" si="882"/>
        <v>0</v>
      </c>
      <c r="J417" s="418">
        <f t="shared" si="883"/>
        <v>0</v>
      </c>
      <c r="K417" s="418">
        <v>0</v>
      </c>
      <c r="L417" s="418">
        <v>0</v>
      </c>
      <c r="M417" s="418">
        <f t="shared" si="884"/>
        <v>0</v>
      </c>
      <c r="N417" s="418">
        <v>0</v>
      </c>
      <c r="O417" s="418">
        <v>0</v>
      </c>
      <c r="P417" s="668">
        <f t="shared" si="885"/>
        <v>0</v>
      </c>
      <c r="Q417" s="668">
        <f t="shared" si="886"/>
        <v>0</v>
      </c>
      <c r="R417" s="418">
        <v>0</v>
      </c>
      <c r="S417" s="419">
        <f t="shared" si="887"/>
        <v>0</v>
      </c>
      <c r="T417" s="420">
        <v>0</v>
      </c>
      <c r="U417" s="426">
        <v>0</v>
      </c>
      <c r="V417" s="428">
        <f t="shared" si="888"/>
        <v>0</v>
      </c>
      <c r="W417" s="421">
        <f t="shared" si="889"/>
        <v>0</v>
      </c>
      <c r="X417" s="16">
        <v>2520087</v>
      </c>
      <c r="Y417" s="16">
        <v>0</v>
      </c>
      <c r="Z417" s="16">
        <v>0</v>
      </c>
      <c r="AA417" s="16">
        <v>0</v>
      </c>
      <c r="AB417" s="421">
        <v>0</v>
      </c>
      <c r="AC417" s="16">
        <v>0</v>
      </c>
      <c r="AD417" s="16">
        <v>0</v>
      </c>
      <c r="AE417" s="16">
        <v>0</v>
      </c>
      <c r="AF417" s="421">
        <f t="shared" si="890"/>
        <v>2520087</v>
      </c>
      <c r="AG417" s="421">
        <f t="shared" si="891"/>
        <v>0</v>
      </c>
      <c r="AH417" s="421">
        <f t="shared" si="892"/>
        <v>2520087</v>
      </c>
      <c r="AI417" s="16">
        <v>0</v>
      </c>
      <c r="AJ417" s="16">
        <v>0</v>
      </c>
      <c r="AK417" s="421">
        <v>0</v>
      </c>
      <c r="AL417" s="16">
        <v>0</v>
      </c>
      <c r="AM417" s="16">
        <v>0</v>
      </c>
      <c r="AN417" s="16">
        <v>0</v>
      </c>
      <c r="AO417" s="421">
        <f t="shared" si="893"/>
        <v>0</v>
      </c>
      <c r="AP417" s="16">
        <v>0</v>
      </c>
      <c r="AQ417" s="421">
        <f t="shared" si="895"/>
        <v>0</v>
      </c>
      <c r="AR417" s="421">
        <f t="shared" si="942"/>
        <v>2520087</v>
      </c>
      <c r="AS417" s="421">
        <f t="shared" si="942"/>
        <v>0</v>
      </c>
      <c r="AT417" s="421">
        <f t="shared" si="896"/>
        <v>2520087</v>
      </c>
      <c r="AU417" s="68">
        <f t="shared" si="943"/>
        <v>851789</v>
      </c>
      <c r="AV417" s="68">
        <f t="shared" si="944"/>
        <v>25201</v>
      </c>
      <c r="AW417" s="16">
        <v>0</v>
      </c>
      <c r="AX417" s="16">
        <v>0</v>
      </c>
      <c r="AY417" s="421">
        <f t="shared" si="897"/>
        <v>0</v>
      </c>
      <c r="AZ417" s="421">
        <f t="shared" si="898"/>
        <v>3397077</v>
      </c>
      <c r="BA417" s="13">
        <v>0</v>
      </c>
      <c r="BB417" s="13">
        <v>0</v>
      </c>
      <c r="BC417" s="13">
        <v>7.17</v>
      </c>
      <c r="BD417" s="422">
        <v>0</v>
      </c>
      <c r="BE417" s="422">
        <v>0</v>
      </c>
      <c r="BF417" s="422">
        <v>0</v>
      </c>
      <c r="BG417" s="422">
        <v>0</v>
      </c>
      <c r="BH417" s="422">
        <v>0</v>
      </c>
      <c r="BI417" s="422">
        <v>0</v>
      </c>
      <c r="BJ417" s="422">
        <v>0</v>
      </c>
      <c r="BK417" s="422">
        <f t="shared" si="945"/>
        <v>7.17</v>
      </c>
      <c r="BL417" s="422">
        <f t="shared" si="946"/>
        <v>0</v>
      </c>
      <c r="BM417" s="424">
        <f t="shared" si="899"/>
        <v>7.17</v>
      </c>
      <c r="BN417" s="427">
        <f t="shared" si="947"/>
        <v>3397077</v>
      </c>
      <c r="BO417" s="421">
        <f t="shared" si="948"/>
        <v>2520087</v>
      </c>
      <c r="BP417" s="421">
        <f t="shared" si="949"/>
        <v>2520087</v>
      </c>
      <c r="BQ417" s="421">
        <f t="shared" si="949"/>
        <v>0</v>
      </c>
      <c r="BR417" s="421">
        <f t="shared" si="950"/>
        <v>0</v>
      </c>
      <c r="BS417" s="421">
        <f t="shared" si="951"/>
        <v>0</v>
      </c>
      <c r="BT417" s="421">
        <f t="shared" si="951"/>
        <v>0</v>
      </c>
      <c r="BU417" s="421">
        <f t="shared" si="952"/>
        <v>851789</v>
      </c>
      <c r="BV417" s="421">
        <f t="shared" si="952"/>
        <v>25201</v>
      </c>
      <c r="BW417" s="421">
        <f t="shared" si="953"/>
        <v>0</v>
      </c>
      <c r="BX417" s="422">
        <f t="shared" si="954"/>
        <v>7.17</v>
      </c>
      <c r="BY417" s="422">
        <f t="shared" si="955"/>
        <v>7.17</v>
      </c>
      <c r="BZ417" s="611">
        <f t="shared" si="955"/>
        <v>0</v>
      </c>
      <c r="CA417" s="423"/>
      <c r="CB417" s="418"/>
      <c r="CC417" s="418"/>
      <c r="CD417" s="418"/>
      <c r="CE417" s="418"/>
      <c r="CF417" s="527"/>
    </row>
    <row r="418" spans="1:84" ht="14.1" customHeight="1" x14ac:dyDescent="0.2">
      <c r="A418" s="66">
        <v>82</v>
      </c>
      <c r="B418" s="63">
        <v>2493</v>
      </c>
      <c r="C418" s="64">
        <v>600080021</v>
      </c>
      <c r="D418" s="63">
        <v>72742399</v>
      </c>
      <c r="E418" s="65" t="s">
        <v>694</v>
      </c>
      <c r="F418" s="66">
        <v>3141</v>
      </c>
      <c r="G418" s="65" t="s">
        <v>295</v>
      </c>
      <c r="H418" s="67" t="s">
        <v>272</v>
      </c>
      <c r="I418" s="423">
        <f t="shared" si="882"/>
        <v>1890624</v>
      </c>
      <c r="J418" s="418">
        <f t="shared" si="883"/>
        <v>1393946</v>
      </c>
      <c r="K418" s="418">
        <v>0</v>
      </c>
      <c r="L418" s="924">
        <v>1393946</v>
      </c>
      <c r="M418" s="418">
        <f>N418+O418</f>
        <v>0</v>
      </c>
      <c r="N418" s="205">
        <v>0</v>
      </c>
      <c r="O418" s="205">
        <v>0</v>
      </c>
      <c r="P418" s="668">
        <f t="shared" si="885"/>
        <v>471154</v>
      </c>
      <c r="Q418" s="668">
        <f t="shared" si="886"/>
        <v>13939</v>
      </c>
      <c r="R418" s="674">
        <v>11585</v>
      </c>
      <c r="S418" s="419">
        <f>T418+U418</f>
        <v>4.18</v>
      </c>
      <c r="T418" s="676">
        <v>0</v>
      </c>
      <c r="U418" s="909">
        <v>4.18</v>
      </c>
      <c r="V418" s="428">
        <f t="shared" si="888"/>
        <v>0</v>
      </c>
      <c r="W418" s="421">
        <f t="shared" si="889"/>
        <v>0</v>
      </c>
      <c r="X418" s="421">
        <v>0</v>
      </c>
      <c r="Y418" s="421">
        <v>0</v>
      </c>
      <c r="Z418" s="421">
        <v>0</v>
      </c>
      <c r="AA418" s="421">
        <v>0</v>
      </c>
      <c r="AB418" s="421">
        <v>0</v>
      </c>
      <c r="AC418" s="421">
        <v>0</v>
      </c>
      <c r="AD418" s="421">
        <v>0</v>
      </c>
      <c r="AE418" s="421">
        <v>0</v>
      </c>
      <c r="AF418" s="421">
        <f t="shared" si="890"/>
        <v>0</v>
      </c>
      <c r="AG418" s="421">
        <f t="shared" si="891"/>
        <v>0</v>
      </c>
      <c r="AH418" s="421">
        <f t="shared" si="892"/>
        <v>0</v>
      </c>
      <c r="AI418" s="421">
        <v>0</v>
      </c>
      <c r="AJ418" s="421">
        <v>0</v>
      </c>
      <c r="AK418" s="421">
        <v>0</v>
      </c>
      <c r="AL418" s="421">
        <v>0</v>
      </c>
      <c r="AM418" s="421">
        <v>0</v>
      </c>
      <c r="AN418" s="421">
        <v>0</v>
      </c>
      <c r="AO418" s="421">
        <f t="shared" si="893"/>
        <v>0</v>
      </c>
      <c r="AP418" s="421">
        <f t="shared" si="894"/>
        <v>0</v>
      </c>
      <c r="AQ418" s="421">
        <f t="shared" si="895"/>
        <v>0</v>
      </c>
      <c r="AR418" s="421">
        <f t="shared" si="942"/>
        <v>0</v>
      </c>
      <c r="AS418" s="421">
        <f t="shared" si="942"/>
        <v>0</v>
      </c>
      <c r="AT418" s="421">
        <f t="shared" si="896"/>
        <v>0</v>
      </c>
      <c r="AU418" s="68">
        <f t="shared" si="943"/>
        <v>0</v>
      </c>
      <c r="AV418" s="68">
        <f t="shared" si="944"/>
        <v>0</v>
      </c>
      <c r="AW418" s="421">
        <v>0</v>
      </c>
      <c r="AX418" s="421">
        <v>0</v>
      </c>
      <c r="AY418" s="421">
        <f t="shared" si="897"/>
        <v>0</v>
      </c>
      <c r="AZ418" s="421">
        <f t="shared" si="898"/>
        <v>0</v>
      </c>
      <c r="BA418" s="422">
        <v>0</v>
      </c>
      <c r="BB418" s="422">
        <v>0</v>
      </c>
      <c r="BC418" s="422">
        <v>0</v>
      </c>
      <c r="BD418" s="422">
        <v>0</v>
      </c>
      <c r="BE418" s="422">
        <v>0</v>
      </c>
      <c r="BF418" s="422">
        <v>0</v>
      </c>
      <c r="BG418" s="422">
        <v>0</v>
      </c>
      <c r="BH418" s="422">
        <v>0</v>
      </c>
      <c r="BI418" s="422">
        <v>0</v>
      </c>
      <c r="BJ418" s="422">
        <v>0</v>
      </c>
      <c r="BK418" s="422">
        <f t="shared" si="945"/>
        <v>0</v>
      </c>
      <c r="BL418" s="422">
        <f t="shared" si="946"/>
        <v>0</v>
      </c>
      <c r="BM418" s="424">
        <f t="shared" si="899"/>
        <v>0</v>
      </c>
      <c r="BN418" s="427">
        <f t="shared" si="947"/>
        <v>1890624</v>
      </c>
      <c r="BO418" s="421">
        <f t="shared" si="948"/>
        <v>1393946</v>
      </c>
      <c r="BP418" s="421">
        <f t="shared" si="949"/>
        <v>0</v>
      </c>
      <c r="BQ418" s="421">
        <f t="shared" si="949"/>
        <v>1393946</v>
      </c>
      <c r="BR418" s="421">
        <f t="shared" si="950"/>
        <v>0</v>
      </c>
      <c r="BS418" s="421">
        <f t="shared" si="951"/>
        <v>0</v>
      </c>
      <c r="BT418" s="421">
        <f t="shared" si="951"/>
        <v>0</v>
      </c>
      <c r="BU418" s="421">
        <f t="shared" si="952"/>
        <v>471154</v>
      </c>
      <c r="BV418" s="421">
        <f t="shared" si="952"/>
        <v>13939</v>
      </c>
      <c r="BW418" s="421">
        <f t="shared" si="953"/>
        <v>11585</v>
      </c>
      <c r="BX418" s="422">
        <f t="shared" si="954"/>
        <v>4.18</v>
      </c>
      <c r="BY418" s="422">
        <f t="shared" si="955"/>
        <v>0</v>
      </c>
      <c r="BZ418" s="611">
        <f t="shared" si="955"/>
        <v>4.18</v>
      </c>
      <c r="CA418" s="423"/>
      <c r="CB418" s="418"/>
      <c r="CC418" s="418"/>
      <c r="CD418" s="418"/>
      <c r="CE418" s="418"/>
      <c r="CF418" s="527"/>
    </row>
    <row r="419" spans="1:84" ht="14.1" customHeight="1" x14ac:dyDescent="0.2">
      <c r="A419" s="66">
        <v>82</v>
      </c>
      <c r="B419" s="63">
        <v>2493</v>
      </c>
      <c r="C419" s="64">
        <v>600080021</v>
      </c>
      <c r="D419" s="63">
        <v>72742399</v>
      </c>
      <c r="E419" s="65" t="s">
        <v>694</v>
      </c>
      <c r="F419" s="66">
        <v>3143</v>
      </c>
      <c r="G419" s="77" t="s">
        <v>596</v>
      </c>
      <c r="H419" s="67" t="s">
        <v>271</v>
      </c>
      <c r="I419" s="423">
        <f t="shared" si="882"/>
        <v>2026434</v>
      </c>
      <c r="J419" s="418">
        <f t="shared" si="883"/>
        <v>1503289</v>
      </c>
      <c r="K419" s="418">
        <v>1503289</v>
      </c>
      <c r="L419" s="418">
        <v>0</v>
      </c>
      <c r="M419" s="418">
        <f t="shared" si="884"/>
        <v>0</v>
      </c>
      <c r="N419" s="418">
        <v>0</v>
      </c>
      <c r="O419" s="418">
        <v>0</v>
      </c>
      <c r="P419" s="668">
        <f t="shared" si="885"/>
        <v>508112</v>
      </c>
      <c r="Q419" s="668">
        <f t="shared" si="886"/>
        <v>15033</v>
      </c>
      <c r="R419" s="418">
        <v>0</v>
      </c>
      <c r="S419" s="419">
        <f t="shared" si="887"/>
        <v>2.9641999999999999</v>
      </c>
      <c r="T419" s="419">
        <v>2.9641999999999999</v>
      </c>
      <c r="U419" s="426">
        <v>0</v>
      </c>
      <c r="V419" s="428">
        <f t="shared" si="888"/>
        <v>0</v>
      </c>
      <c r="W419" s="421">
        <f t="shared" si="889"/>
        <v>0</v>
      </c>
      <c r="X419" s="421">
        <v>0</v>
      </c>
      <c r="Y419" s="421">
        <v>0</v>
      </c>
      <c r="Z419" s="421">
        <v>0</v>
      </c>
      <c r="AA419" s="421">
        <v>0</v>
      </c>
      <c r="AB419" s="421">
        <v>0</v>
      </c>
      <c r="AC419" s="421">
        <v>0</v>
      </c>
      <c r="AD419" s="421">
        <v>0</v>
      </c>
      <c r="AE419" s="421">
        <v>0</v>
      </c>
      <c r="AF419" s="421">
        <f t="shared" si="890"/>
        <v>0</v>
      </c>
      <c r="AG419" s="421">
        <f t="shared" si="891"/>
        <v>0</v>
      </c>
      <c r="AH419" s="421">
        <f t="shared" si="892"/>
        <v>0</v>
      </c>
      <c r="AI419" s="421">
        <v>0</v>
      </c>
      <c r="AJ419" s="421">
        <v>0</v>
      </c>
      <c r="AK419" s="421">
        <v>0</v>
      </c>
      <c r="AL419" s="421">
        <v>0</v>
      </c>
      <c r="AM419" s="421">
        <v>0</v>
      </c>
      <c r="AN419" s="421">
        <v>0</v>
      </c>
      <c r="AO419" s="421">
        <f t="shared" si="893"/>
        <v>0</v>
      </c>
      <c r="AP419" s="421">
        <f t="shared" si="894"/>
        <v>0</v>
      </c>
      <c r="AQ419" s="421">
        <f t="shared" si="895"/>
        <v>0</v>
      </c>
      <c r="AR419" s="421">
        <f t="shared" si="942"/>
        <v>0</v>
      </c>
      <c r="AS419" s="421">
        <f t="shared" si="942"/>
        <v>0</v>
      </c>
      <c r="AT419" s="421">
        <f t="shared" si="896"/>
        <v>0</v>
      </c>
      <c r="AU419" s="68">
        <f t="shared" si="943"/>
        <v>0</v>
      </c>
      <c r="AV419" s="68">
        <f t="shared" si="944"/>
        <v>0</v>
      </c>
      <c r="AW419" s="421">
        <v>0</v>
      </c>
      <c r="AX419" s="421">
        <v>0</v>
      </c>
      <c r="AY419" s="421">
        <f t="shared" si="897"/>
        <v>0</v>
      </c>
      <c r="AZ419" s="421">
        <f t="shared" si="898"/>
        <v>0</v>
      </c>
      <c r="BA419" s="422">
        <v>0</v>
      </c>
      <c r="BB419" s="422">
        <v>0</v>
      </c>
      <c r="BC419" s="422">
        <v>0</v>
      </c>
      <c r="BD419" s="422">
        <v>0</v>
      </c>
      <c r="BE419" s="422">
        <v>0</v>
      </c>
      <c r="BF419" s="422">
        <v>0</v>
      </c>
      <c r="BG419" s="422">
        <v>0</v>
      </c>
      <c r="BH419" s="422">
        <v>0</v>
      </c>
      <c r="BI419" s="422">
        <v>0</v>
      </c>
      <c r="BJ419" s="422">
        <v>0</v>
      </c>
      <c r="BK419" s="422">
        <f t="shared" si="945"/>
        <v>0</v>
      </c>
      <c r="BL419" s="422">
        <f t="shared" si="946"/>
        <v>0</v>
      </c>
      <c r="BM419" s="424">
        <f t="shared" si="899"/>
        <v>0</v>
      </c>
      <c r="BN419" s="427">
        <f t="shared" si="947"/>
        <v>2026434</v>
      </c>
      <c r="BO419" s="421">
        <f t="shared" si="948"/>
        <v>1503289</v>
      </c>
      <c r="BP419" s="421">
        <f t="shared" si="949"/>
        <v>1503289</v>
      </c>
      <c r="BQ419" s="421">
        <f t="shared" si="949"/>
        <v>0</v>
      </c>
      <c r="BR419" s="421">
        <f t="shared" si="950"/>
        <v>0</v>
      </c>
      <c r="BS419" s="421">
        <f t="shared" si="951"/>
        <v>0</v>
      </c>
      <c r="BT419" s="421">
        <f t="shared" si="951"/>
        <v>0</v>
      </c>
      <c r="BU419" s="421">
        <f t="shared" si="952"/>
        <v>508112</v>
      </c>
      <c r="BV419" s="421">
        <f t="shared" si="952"/>
        <v>15033</v>
      </c>
      <c r="BW419" s="421">
        <f t="shared" si="953"/>
        <v>0</v>
      </c>
      <c r="BX419" s="422">
        <f t="shared" si="954"/>
        <v>2.9641999999999999</v>
      </c>
      <c r="BY419" s="422">
        <f t="shared" si="955"/>
        <v>2.9641999999999999</v>
      </c>
      <c r="BZ419" s="611">
        <f t="shared" si="955"/>
        <v>0</v>
      </c>
      <c r="CA419" s="423"/>
      <c r="CB419" s="418"/>
      <c r="CC419" s="418"/>
      <c r="CD419" s="418"/>
      <c r="CE419" s="418"/>
      <c r="CF419" s="527"/>
    </row>
    <row r="420" spans="1:84" ht="14.1" customHeight="1" x14ac:dyDescent="0.2">
      <c r="A420" s="66">
        <v>82</v>
      </c>
      <c r="B420" s="63">
        <v>2493</v>
      </c>
      <c r="C420" s="64">
        <v>600080021</v>
      </c>
      <c r="D420" s="63">
        <v>72742399</v>
      </c>
      <c r="E420" s="65" t="s">
        <v>694</v>
      </c>
      <c r="F420" s="66">
        <v>3143</v>
      </c>
      <c r="G420" s="77" t="s">
        <v>597</v>
      </c>
      <c r="H420" s="67" t="s">
        <v>272</v>
      </c>
      <c r="I420" s="423">
        <f t="shared" si="882"/>
        <v>38432</v>
      </c>
      <c r="J420" s="418">
        <f t="shared" si="883"/>
        <v>27509</v>
      </c>
      <c r="K420" s="418">
        <v>0</v>
      </c>
      <c r="L420" s="674">
        <v>27509</v>
      </c>
      <c r="M420" s="418">
        <f t="shared" si="884"/>
        <v>0</v>
      </c>
      <c r="N420" s="418">
        <v>0</v>
      </c>
      <c r="O420" s="418">
        <v>0</v>
      </c>
      <c r="P420" s="668">
        <f t="shared" si="885"/>
        <v>9298</v>
      </c>
      <c r="Q420" s="668">
        <f t="shared" si="886"/>
        <v>275</v>
      </c>
      <c r="R420" s="675">
        <v>1350</v>
      </c>
      <c r="S420" s="419">
        <f t="shared" si="887"/>
        <v>0.1042</v>
      </c>
      <c r="T420" s="679">
        <v>0</v>
      </c>
      <c r="U420" s="909">
        <v>0.1042</v>
      </c>
      <c r="V420" s="428">
        <f t="shared" si="888"/>
        <v>0</v>
      </c>
      <c r="W420" s="421">
        <f t="shared" si="889"/>
        <v>0</v>
      </c>
      <c r="X420" s="421">
        <v>0</v>
      </c>
      <c r="Y420" s="421">
        <v>0</v>
      </c>
      <c r="Z420" s="421">
        <v>0</v>
      </c>
      <c r="AA420" s="421">
        <v>0</v>
      </c>
      <c r="AB420" s="421">
        <v>0</v>
      </c>
      <c r="AC420" s="421">
        <v>0</v>
      </c>
      <c r="AD420" s="421">
        <v>0</v>
      </c>
      <c r="AE420" s="421">
        <v>0</v>
      </c>
      <c r="AF420" s="421">
        <f t="shared" si="890"/>
        <v>0</v>
      </c>
      <c r="AG420" s="421">
        <f t="shared" si="891"/>
        <v>0</v>
      </c>
      <c r="AH420" s="421">
        <f t="shared" si="892"/>
        <v>0</v>
      </c>
      <c r="AI420" s="421">
        <v>0</v>
      </c>
      <c r="AJ420" s="421">
        <v>0</v>
      </c>
      <c r="AK420" s="421">
        <v>0</v>
      </c>
      <c r="AL420" s="421">
        <v>0</v>
      </c>
      <c r="AM420" s="421">
        <v>0</v>
      </c>
      <c r="AN420" s="421">
        <v>0</v>
      </c>
      <c r="AO420" s="421">
        <f t="shared" si="893"/>
        <v>0</v>
      </c>
      <c r="AP420" s="421">
        <f t="shared" si="894"/>
        <v>0</v>
      </c>
      <c r="AQ420" s="421">
        <f t="shared" si="895"/>
        <v>0</v>
      </c>
      <c r="AR420" s="421">
        <f t="shared" si="942"/>
        <v>0</v>
      </c>
      <c r="AS420" s="421">
        <f t="shared" si="942"/>
        <v>0</v>
      </c>
      <c r="AT420" s="421">
        <f t="shared" si="896"/>
        <v>0</v>
      </c>
      <c r="AU420" s="68">
        <f t="shared" si="943"/>
        <v>0</v>
      </c>
      <c r="AV420" s="68">
        <f t="shared" si="944"/>
        <v>0</v>
      </c>
      <c r="AW420" s="421">
        <v>0</v>
      </c>
      <c r="AX420" s="421">
        <v>0</v>
      </c>
      <c r="AY420" s="421">
        <f t="shared" si="897"/>
        <v>0</v>
      </c>
      <c r="AZ420" s="421">
        <f t="shared" si="898"/>
        <v>0</v>
      </c>
      <c r="BA420" s="422">
        <v>0</v>
      </c>
      <c r="BB420" s="422">
        <v>0</v>
      </c>
      <c r="BC420" s="422">
        <v>0</v>
      </c>
      <c r="BD420" s="422">
        <v>0</v>
      </c>
      <c r="BE420" s="422">
        <v>0</v>
      </c>
      <c r="BF420" s="422">
        <v>0</v>
      </c>
      <c r="BG420" s="422">
        <v>0</v>
      </c>
      <c r="BH420" s="422">
        <v>0</v>
      </c>
      <c r="BI420" s="422">
        <v>0</v>
      </c>
      <c r="BJ420" s="422">
        <v>0</v>
      </c>
      <c r="BK420" s="422">
        <f t="shared" si="945"/>
        <v>0</v>
      </c>
      <c r="BL420" s="422">
        <f t="shared" si="946"/>
        <v>0</v>
      </c>
      <c r="BM420" s="424">
        <f t="shared" si="899"/>
        <v>0</v>
      </c>
      <c r="BN420" s="427">
        <f t="shared" si="947"/>
        <v>38432</v>
      </c>
      <c r="BO420" s="421">
        <f t="shared" si="948"/>
        <v>27509</v>
      </c>
      <c r="BP420" s="421">
        <f t="shared" si="949"/>
        <v>0</v>
      </c>
      <c r="BQ420" s="421">
        <f t="shared" si="949"/>
        <v>27509</v>
      </c>
      <c r="BR420" s="421">
        <f t="shared" si="950"/>
        <v>0</v>
      </c>
      <c r="BS420" s="421">
        <f t="shared" si="951"/>
        <v>0</v>
      </c>
      <c r="BT420" s="421">
        <f t="shared" si="951"/>
        <v>0</v>
      </c>
      <c r="BU420" s="421">
        <f t="shared" si="952"/>
        <v>9298</v>
      </c>
      <c r="BV420" s="421">
        <f t="shared" si="952"/>
        <v>275</v>
      </c>
      <c r="BW420" s="421">
        <f t="shared" si="953"/>
        <v>1350</v>
      </c>
      <c r="BX420" s="422">
        <f t="shared" si="954"/>
        <v>0.1042</v>
      </c>
      <c r="BY420" s="422">
        <f t="shared" si="955"/>
        <v>0</v>
      </c>
      <c r="BZ420" s="611">
        <f t="shared" si="955"/>
        <v>0.1042</v>
      </c>
      <c r="CA420" s="423"/>
      <c r="CB420" s="418"/>
      <c r="CC420" s="418"/>
      <c r="CD420" s="418"/>
      <c r="CE420" s="418"/>
      <c r="CF420" s="527"/>
    </row>
    <row r="421" spans="1:84" ht="14.1" customHeight="1" x14ac:dyDescent="0.2">
      <c r="A421" s="72">
        <v>82</v>
      </c>
      <c r="B421" s="69">
        <v>2493</v>
      </c>
      <c r="C421" s="70">
        <v>600080021</v>
      </c>
      <c r="D421" s="69">
        <v>72742399</v>
      </c>
      <c r="E421" s="71" t="s">
        <v>695</v>
      </c>
      <c r="F421" s="72"/>
      <c r="G421" s="71"/>
      <c r="H421" s="73"/>
      <c r="I421" s="538">
        <f t="shared" ref="I421:BU421" si="956">SUM(I415:I420)</f>
        <v>30171077</v>
      </c>
      <c r="J421" s="74">
        <f t="shared" si="956"/>
        <v>22170322</v>
      </c>
      <c r="K421" s="74">
        <f t="shared" si="956"/>
        <v>19286957</v>
      </c>
      <c r="L421" s="74">
        <f t="shared" si="956"/>
        <v>2883365</v>
      </c>
      <c r="M421" s="74">
        <f t="shared" si="956"/>
        <v>0</v>
      </c>
      <c r="N421" s="74">
        <f t="shared" si="956"/>
        <v>0</v>
      </c>
      <c r="O421" s="74">
        <f t="shared" si="956"/>
        <v>0</v>
      </c>
      <c r="P421" s="74">
        <f t="shared" si="956"/>
        <v>7493569</v>
      </c>
      <c r="Q421" s="74">
        <f t="shared" si="956"/>
        <v>221703</v>
      </c>
      <c r="R421" s="74">
        <f t="shared" si="956"/>
        <v>285483</v>
      </c>
      <c r="S421" s="75">
        <f t="shared" si="956"/>
        <v>37.672099999999993</v>
      </c>
      <c r="T421" s="75">
        <f t="shared" si="956"/>
        <v>28.7545</v>
      </c>
      <c r="U421" s="753">
        <f t="shared" si="956"/>
        <v>8.9176000000000002</v>
      </c>
      <c r="V421" s="538">
        <f t="shared" si="956"/>
        <v>-6400</v>
      </c>
      <c r="W421" s="74">
        <f t="shared" si="956"/>
        <v>-19200</v>
      </c>
      <c r="X421" s="74">
        <f t="shared" si="956"/>
        <v>2520087</v>
      </c>
      <c r="Y421" s="74">
        <f t="shared" si="956"/>
        <v>0</v>
      </c>
      <c r="Z421" s="74">
        <f t="shared" si="956"/>
        <v>0</v>
      </c>
      <c r="AA421" s="74">
        <f t="shared" si="956"/>
        <v>0</v>
      </c>
      <c r="AB421" s="74">
        <f t="shared" si="956"/>
        <v>112800</v>
      </c>
      <c r="AC421" s="74">
        <f t="shared" si="956"/>
        <v>0</v>
      </c>
      <c r="AD421" s="74">
        <f t="shared" si="956"/>
        <v>0</v>
      </c>
      <c r="AE421" s="74">
        <f t="shared" si="956"/>
        <v>0</v>
      </c>
      <c r="AF421" s="74">
        <f t="shared" si="956"/>
        <v>2626487</v>
      </c>
      <c r="AG421" s="74">
        <f t="shared" si="956"/>
        <v>-19200</v>
      </c>
      <c r="AH421" s="74">
        <f t="shared" si="956"/>
        <v>2607287</v>
      </c>
      <c r="AI421" s="74">
        <f t="shared" si="956"/>
        <v>6400</v>
      </c>
      <c r="AJ421" s="74">
        <f t="shared" si="956"/>
        <v>19200</v>
      </c>
      <c r="AK421" s="74">
        <f t="shared" si="956"/>
        <v>0</v>
      </c>
      <c r="AL421" s="74">
        <f t="shared" si="956"/>
        <v>0</v>
      </c>
      <c r="AM421" s="74">
        <f t="shared" si="956"/>
        <v>0</v>
      </c>
      <c r="AN421" s="74">
        <f t="shared" si="956"/>
        <v>0</v>
      </c>
      <c r="AO421" s="74">
        <f t="shared" si="956"/>
        <v>6400</v>
      </c>
      <c r="AP421" s="74">
        <f t="shared" si="956"/>
        <v>19200</v>
      </c>
      <c r="AQ421" s="74">
        <f t="shared" si="956"/>
        <v>25600</v>
      </c>
      <c r="AR421" s="74">
        <f t="shared" si="956"/>
        <v>2632887</v>
      </c>
      <c r="AS421" s="74">
        <f t="shared" si="956"/>
        <v>0</v>
      </c>
      <c r="AT421" s="74">
        <f t="shared" si="956"/>
        <v>2632887</v>
      </c>
      <c r="AU421" s="74">
        <f t="shared" si="956"/>
        <v>889915</v>
      </c>
      <c r="AV421" s="74">
        <f t="shared" si="956"/>
        <v>26073</v>
      </c>
      <c r="AW421" s="74">
        <f t="shared" si="956"/>
        <v>0</v>
      </c>
      <c r="AX421" s="74">
        <f t="shared" si="956"/>
        <v>0</v>
      </c>
      <c r="AY421" s="74">
        <f t="shared" si="956"/>
        <v>0</v>
      </c>
      <c r="AZ421" s="74">
        <f t="shared" si="956"/>
        <v>3548875</v>
      </c>
      <c r="BA421" s="75">
        <f t="shared" si="956"/>
        <v>0</v>
      </c>
      <c r="BB421" s="75">
        <f t="shared" si="956"/>
        <v>0</v>
      </c>
      <c r="BC421" s="75">
        <f t="shared" si="956"/>
        <v>7.17</v>
      </c>
      <c r="BD421" s="75">
        <f t="shared" si="956"/>
        <v>0.2</v>
      </c>
      <c r="BE421" s="75">
        <f t="shared" si="956"/>
        <v>0</v>
      </c>
      <c r="BF421" s="75">
        <f t="shared" si="956"/>
        <v>0</v>
      </c>
      <c r="BG421" s="75">
        <f t="shared" si="956"/>
        <v>0</v>
      </c>
      <c r="BH421" s="75">
        <f t="shared" si="956"/>
        <v>0</v>
      </c>
      <c r="BI421" s="75">
        <f t="shared" si="956"/>
        <v>0</v>
      </c>
      <c r="BJ421" s="75">
        <f t="shared" si="956"/>
        <v>0</v>
      </c>
      <c r="BK421" s="75">
        <f t="shared" si="956"/>
        <v>7.37</v>
      </c>
      <c r="BL421" s="75">
        <f t="shared" si="956"/>
        <v>0</v>
      </c>
      <c r="BM421" s="76">
        <f t="shared" si="956"/>
        <v>7.37</v>
      </c>
      <c r="BN421" s="549">
        <f t="shared" si="956"/>
        <v>33719952</v>
      </c>
      <c r="BO421" s="74">
        <f t="shared" si="956"/>
        <v>24777609</v>
      </c>
      <c r="BP421" s="74">
        <f t="shared" si="956"/>
        <v>21913444</v>
      </c>
      <c r="BQ421" s="74">
        <f t="shared" si="956"/>
        <v>2864165</v>
      </c>
      <c r="BR421" s="74">
        <f t="shared" si="956"/>
        <v>25600</v>
      </c>
      <c r="BS421" s="74">
        <f t="shared" si="956"/>
        <v>6400</v>
      </c>
      <c r="BT421" s="74">
        <f t="shared" si="956"/>
        <v>19200</v>
      </c>
      <c r="BU421" s="74">
        <f t="shared" si="956"/>
        <v>8383484</v>
      </c>
      <c r="BV421" s="74">
        <f t="shared" ref="BV421:CF421" si="957">SUM(BV415:BV420)</f>
        <v>247776</v>
      </c>
      <c r="BW421" s="74">
        <f t="shared" si="957"/>
        <v>285483</v>
      </c>
      <c r="BX421" s="75">
        <f t="shared" si="957"/>
        <v>45.042099999999998</v>
      </c>
      <c r="BY421" s="75">
        <f t="shared" si="957"/>
        <v>36.124499999999998</v>
      </c>
      <c r="BZ421" s="753">
        <f t="shared" si="957"/>
        <v>8.9176000000000002</v>
      </c>
      <c r="CA421" s="796">
        <f t="shared" si="957"/>
        <v>152054</v>
      </c>
      <c r="CB421" s="789">
        <f t="shared" si="957"/>
        <v>112800</v>
      </c>
      <c r="CC421" s="789">
        <f t="shared" si="957"/>
        <v>0</v>
      </c>
      <c r="CD421" s="789">
        <f t="shared" si="957"/>
        <v>38126</v>
      </c>
      <c r="CE421" s="789">
        <f t="shared" si="957"/>
        <v>1128</v>
      </c>
      <c r="CF421" s="793">
        <f t="shared" si="957"/>
        <v>0.2</v>
      </c>
    </row>
    <row r="422" spans="1:84" ht="14.1" customHeight="1" x14ac:dyDescent="0.2">
      <c r="A422" s="66">
        <v>83</v>
      </c>
      <c r="B422" s="63">
        <v>2445</v>
      </c>
      <c r="C422" s="64">
        <v>600080030</v>
      </c>
      <c r="D422" s="63">
        <v>70695997</v>
      </c>
      <c r="E422" s="65" t="s">
        <v>696</v>
      </c>
      <c r="F422" s="66">
        <v>3111</v>
      </c>
      <c r="G422" s="65" t="s">
        <v>291</v>
      </c>
      <c r="H422" s="67" t="s">
        <v>271</v>
      </c>
      <c r="I422" s="423">
        <f t="shared" si="882"/>
        <v>3123147</v>
      </c>
      <c r="J422" s="418">
        <f t="shared" si="883"/>
        <v>2309744</v>
      </c>
      <c r="K422" s="418">
        <v>2189936</v>
      </c>
      <c r="L422" s="418">
        <v>119808</v>
      </c>
      <c r="M422" s="418">
        <f t="shared" ref="M422:M423" si="958">N422+O422</f>
        <v>0</v>
      </c>
      <c r="N422" s="418">
        <v>0</v>
      </c>
      <c r="O422" s="418">
        <v>0</v>
      </c>
      <c r="P422" s="668">
        <f t="shared" si="885"/>
        <v>780693</v>
      </c>
      <c r="Q422" s="668">
        <f>ROUND(J422*1%,0)+1</f>
        <v>23098</v>
      </c>
      <c r="R422" s="418">
        <v>9612</v>
      </c>
      <c r="S422" s="419">
        <f t="shared" si="887"/>
        <v>4.4800000000000004</v>
      </c>
      <c r="T422" s="419">
        <v>4</v>
      </c>
      <c r="U422" s="426">
        <v>0.48</v>
      </c>
      <c r="V422" s="428">
        <f t="shared" si="888"/>
        <v>0</v>
      </c>
      <c r="W422" s="421">
        <f t="shared" si="889"/>
        <v>0</v>
      </c>
      <c r="X422" s="421">
        <v>0</v>
      </c>
      <c r="Y422" s="421">
        <v>0</v>
      </c>
      <c r="Z422" s="421">
        <v>0</v>
      </c>
      <c r="AA422" s="421">
        <v>0</v>
      </c>
      <c r="AB422" s="421">
        <v>0</v>
      </c>
      <c r="AC422" s="421">
        <v>0</v>
      </c>
      <c r="AD422" s="421">
        <v>0</v>
      </c>
      <c r="AE422" s="421">
        <v>0</v>
      </c>
      <c r="AF422" s="421">
        <f t="shared" si="890"/>
        <v>0</v>
      </c>
      <c r="AG422" s="421">
        <f t="shared" si="891"/>
        <v>0</v>
      </c>
      <c r="AH422" s="421">
        <f t="shared" si="892"/>
        <v>0</v>
      </c>
      <c r="AI422" s="421">
        <v>0</v>
      </c>
      <c r="AJ422" s="421">
        <v>0</v>
      </c>
      <c r="AK422" s="421">
        <v>0</v>
      </c>
      <c r="AL422" s="421">
        <v>0</v>
      </c>
      <c r="AM422" s="421">
        <v>0</v>
      </c>
      <c r="AN422" s="421">
        <v>0</v>
      </c>
      <c r="AO422" s="421">
        <f t="shared" si="893"/>
        <v>0</v>
      </c>
      <c r="AP422" s="421">
        <f t="shared" si="894"/>
        <v>0</v>
      </c>
      <c r="AQ422" s="421">
        <f t="shared" si="895"/>
        <v>0</v>
      </c>
      <c r="AR422" s="421">
        <f t="shared" ref="AR422:AS427" si="959">AF422+AO422</f>
        <v>0</v>
      </c>
      <c r="AS422" s="421">
        <f t="shared" si="959"/>
        <v>0</v>
      </c>
      <c r="AT422" s="421">
        <f t="shared" si="896"/>
        <v>0</v>
      </c>
      <c r="AU422" s="68">
        <f t="shared" ref="AU422:AU427" si="960">ROUND((AH422+AI422+AJ422+AK422+AL422)*33.8%,0)</f>
        <v>0</v>
      </c>
      <c r="AV422" s="68">
        <f t="shared" ref="AV422:AV427" si="961">ROUND(AH422*1%,0)</f>
        <v>0</v>
      </c>
      <c r="AW422" s="421">
        <v>0</v>
      </c>
      <c r="AX422" s="421">
        <v>0</v>
      </c>
      <c r="AY422" s="421">
        <f t="shared" si="897"/>
        <v>0</v>
      </c>
      <c r="AZ422" s="421">
        <f t="shared" si="898"/>
        <v>0</v>
      </c>
      <c r="BA422" s="422">
        <v>0</v>
      </c>
      <c r="BB422" s="422">
        <v>0</v>
      </c>
      <c r="BC422" s="422">
        <v>0</v>
      </c>
      <c r="BD422" s="422">
        <v>0</v>
      </c>
      <c r="BE422" s="422">
        <v>0</v>
      </c>
      <c r="BF422" s="422">
        <v>0</v>
      </c>
      <c r="BG422" s="422">
        <v>0</v>
      </c>
      <c r="BH422" s="422">
        <v>0</v>
      </c>
      <c r="BI422" s="422">
        <v>0</v>
      </c>
      <c r="BJ422" s="422">
        <v>0</v>
      </c>
      <c r="BK422" s="422">
        <f t="shared" ref="BK422:BK427" si="962">BA422+BC422+BD422+BF422+BH422+BI422</f>
        <v>0</v>
      </c>
      <c r="BL422" s="422">
        <f t="shared" ref="BL422:BL427" si="963">BB422+BE422+BG422+BJ422</f>
        <v>0</v>
      </c>
      <c r="BM422" s="424">
        <f t="shared" si="899"/>
        <v>0</v>
      </c>
      <c r="BN422" s="427">
        <f t="shared" ref="BN422:BN427" si="964">I422+AZ422</f>
        <v>3123147</v>
      </c>
      <c r="BO422" s="421">
        <f t="shared" ref="BO422:BO427" si="965">J422+AH422</f>
        <v>2309744</v>
      </c>
      <c r="BP422" s="421">
        <f t="shared" ref="BP422:BQ427" si="966">K422+AF422</f>
        <v>2189936</v>
      </c>
      <c r="BQ422" s="421">
        <f t="shared" si="966"/>
        <v>119808</v>
      </c>
      <c r="BR422" s="421">
        <f t="shared" ref="BR422:BR427" si="967">M422+AQ422</f>
        <v>0</v>
      </c>
      <c r="BS422" s="421">
        <f t="shared" ref="BS422:BT427" si="968">N422+AO422</f>
        <v>0</v>
      </c>
      <c r="BT422" s="421">
        <f t="shared" si="968"/>
        <v>0</v>
      </c>
      <c r="BU422" s="421">
        <f t="shared" ref="BU422:BV427" si="969">P422+AU422</f>
        <v>780693</v>
      </c>
      <c r="BV422" s="421">
        <f t="shared" si="969"/>
        <v>23098</v>
      </c>
      <c r="BW422" s="421">
        <f t="shared" ref="BW422:BW427" si="970">R422+AY422</f>
        <v>9612</v>
      </c>
      <c r="BX422" s="422">
        <f t="shared" ref="BX422:BX427" si="971">S422+BM422</f>
        <v>4.4800000000000004</v>
      </c>
      <c r="BY422" s="422">
        <f t="shared" ref="BY422:BZ427" si="972">T422+BK422</f>
        <v>4</v>
      </c>
      <c r="BZ422" s="611">
        <f t="shared" si="972"/>
        <v>0.48</v>
      </c>
      <c r="CA422" s="423"/>
      <c r="CB422" s="418"/>
      <c r="CC422" s="418"/>
      <c r="CD422" s="418"/>
      <c r="CE422" s="418"/>
      <c r="CF422" s="527"/>
    </row>
    <row r="423" spans="1:84" ht="14.1" customHeight="1" x14ac:dyDescent="0.2">
      <c r="A423" s="66">
        <v>83</v>
      </c>
      <c r="B423" s="63">
        <v>2445</v>
      </c>
      <c r="C423" s="64">
        <v>600080030</v>
      </c>
      <c r="D423" s="63">
        <v>70695997</v>
      </c>
      <c r="E423" s="65" t="s">
        <v>696</v>
      </c>
      <c r="F423" s="66">
        <v>3117</v>
      </c>
      <c r="G423" s="65" t="s">
        <v>294</v>
      </c>
      <c r="H423" s="67" t="s">
        <v>271</v>
      </c>
      <c r="I423" s="423">
        <f t="shared" si="882"/>
        <v>4070508</v>
      </c>
      <c r="J423" s="418">
        <f t="shared" si="883"/>
        <v>2972781</v>
      </c>
      <c r="K423" s="418">
        <v>2537076</v>
      </c>
      <c r="L423" s="418">
        <v>435705</v>
      </c>
      <c r="M423" s="418">
        <f t="shared" si="958"/>
        <v>0</v>
      </c>
      <c r="N423" s="418">
        <v>0</v>
      </c>
      <c r="O423" s="418">
        <v>0</v>
      </c>
      <c r="P423" s="668">
        <f t="shared" si="885"/>
        <v>1004800</v>
      </c>
      <c r="Q423" s="668">
        <f t="shared" si="886"/>
        <v>29728</v>
      </c>
      <c r="R423" s="418">
        <v>63199</v>
      </c>
      <c r="S423" s="419">
        <f>T423+U423</f>
        <v>5.101</v>
      </c>
      <c r="T423" s="419">
        <v>3.9901</v>
      </c>
      <c r="U423" s="426">
        <v>1.1109</v>
      </c>
      <c r="V423" s="428">
        <f t="shared" si="888"/>
        <v>-51200</v>
      </c>
      <c r="W423" s="421">
        <f t="shared" si="889"/>
        <v>0</v>
      </c>
      <c r="X423" s="421">
        <v>0</v>
      </c>
      <c r="Y423" s="421">
        <v>0</v>
      </c>
      <c r="Z423" s="421">
        <v>0</v>
      </c>
      <c r="AA423" s="421">
        <v>0</v>
      </c>
      <c r="AB423" s="421">
        <v>112800</v>
      </c>
      <c r="AC423" s="421">
        <v>0</v>
      </c>
      <c r="AD423" s="421">
        <v>0</v>
      </c>
      <c r="AE423" s="421">
        <v>0</v>
      </c>
      <c r="AF423" s="421">
        <f t="shared" si="890"/>
        <v>61600</v>
      </c>
      <c r="AG423" s="421">
        <f t="shared" si="891"/>
        <v>0</v>
      </c>
      <c r="AH423" s="421">
        <f t="shared" si="892"/>
        <v>61600</v>
      </c>
      <c r="AI423" s="421">
        <v>51200</v>
      </c>
      <c r="AJ423" s="421">
        <v>0</v>
      </c>
      <c r="AK423" s="421">
        <v>0</v>
      </c>
      <c r="AL423" s="421">
        <v>0</v>
      </c>
      <c r="AM423" s="421">
        <v>0</v>
      </c>
      <c r="AN423" s="421">
        <v>0</v>
      </c>
      <c r="AO423" s="421">
        <f t="shared" si="893"/>
        <v>51200</v>
      </c>
      <c r="AP423" s="421">
        <f t="shared" si="894"/>
        <v>0</v>
      </c>
      <c r="AQ423" s="421">
        <f t="shared" si="895"/>
        <v>51200</v>
      </c>
      <c r="AR423" s="421">
        <f t="shared" si="959"/>
        <v>112800</v>
      </c>
      <c r="AS423" s="421">
        <f t="shared" si="959"/>
        <v>0</v>
      </c>
      <c r="AT423" s="421">
        <f t="shared" si="896"/>
        <v>112800</v>
      </c>
      <c r="AU423" s="68">
        <f t="shared" si="960"/>
        <v>38126</v>
      </c>
      <c r="AV423" s="68">
        <f t="shared" si="961"/>
        <v>616</v>
      </c>
      <c r="AW423" s="421">
        <v>0</v>
      </c>
      <c r="AX423" s="421">
        <v>0</v>
      </c>
      <c r="AY423" s="421">
        <f t="shared" si="897"/>
        <v>0</v>
      </c>
      <c r="AZ423" s="421">
        <f t="shared" si="898"/>
        <v>151542</v>
      </c>
      <c r="BA423" s="422">
        <v>-7.0000000000000007E-2</v>
      </c>
      <c r="BB423" s="422">
        <v>0</v>
      </c>
      <c r="BC423" s="422">
        <v>0</v>
      </c>
      <c r="BD423" s="422">
        <v>0.2</v>
      </c>
      <c r="BE423" s="422">
        <v>0</v>
      </c>
      <c r="BF423" s="422">
        <v>0</v>
      </c>
      <c r="BG423" s="422">
        <v>0</v>
      </c>
      <c r="BH423" s="422">
        <v>0</v>
      </c>
      <c r="BI423" s="422">
        <v>0</v>
      </c>
      <c r="BJ423" s="422">
        <v>0</v>
      </c>
      <c r="BK423" s="422">
        <f t="shared" si="962"/>
        <v>0.13</v>
      </c>
      <c r="BL423" s="422">
        <f t="shared" si="963"/>
        <v>0</v>
      </c>
      <c r="BM423" s="424">
        <f t="shared" si="899"/>
        <v>0.13</v>
      </c>
      <c r="BN423" s="427">
        <f t="shared" si="964"/>
        <v>4222050</v>
      </c>
      <c r="BO423" s="421">
        <f t="shared" si="965"/>
        <v>3034381</v>
      </c>
      <c r="BP423" s="421">
        <f t="shared" si="966"/>
        <v>2598676</v>
      </c>
      <c r="BQ423" s="421">
        <f t="shared" si="966"/>
        <v>435705</v>
      </c>
      <c r="BR423" s="421">
        <f t="shared" si="967"/>
        <v>51200</v>
      </c>
      <c r="BS423" s="421">
        <f t="shared" si="968"/>
        <v>51200</v>
      </c>
      <c r="BT423" s="421">
        <f t="shared" si="968"/>
        <v>0</v>
      </c>
      <c r="BU423" s="421">
        <f t="shared" si="969"/>
        <v>1042926</v>
      </c>
      <c r="BV423" s="421">
        <f t="shared" si="969"/>
        <v>30344</v>
      </c>
      <c r="BW423" s="421">
        <f t="shared" si="970"/>
        <v>63199</v>
      </c>
      <c r="BX423" s="422">
        <f t="shared" si="971"/>
        <v>5.2309999999999999</v>
      </c>
      <c r="BY423" s="422">
        <f t="shared" si="972"/>
        <v>4.1200999999999999</v>
      </c>
      <c r="BZ423" s="611">
        <f t="shared" si="972"/>
        <v>1.1109</v>
      </c>
      <c r="CA423" s="423">
        <v>152054</v>
      </c>
      <c r="CB423" s="418">
        <v>112800</v>
      </c>
      <c r="CC423" s="418">
        <v>0</v>
      </c>
      <c r="CD423" s="418">
        <v>38126</v>
      </c>
      <c r="CE423" s="418">
        <v>1128</v>
      </c>
      <c r="CF423" s="527">
        <v>0.2</v>
      </c>
    </row>
    <row r="424" spans="1:84" ht="14.1" customHeight="1" x14ac:dyDescent="0.2">
      <c r="A424" s="66">
        <v>83</v>
      </c>
      <c r="B424" s="63">
        <v>2445</v>
      </c>
      <c r="C424" s="64">
        <v>600080030</v>
      </c>
      <c r="D424" s="63">
        <v>70695997</v>
      </c>
      <c r="E424" s="65" t="s">
        <v>696</v>
      </c>
      <c r="F424" s="66">
        <v>3117</v>
      </c>
      <c r="G424" s="77" t="s">
        <v>292</v>
      </c>
      <c r="H424" s="67" t="s">
        <v>272</v>
      </c>
      <c r="I424" s="423">
        <f t="shared" si="882"/>
        <v>0</v>
      </c>
      <c r="J424" s="418">
        <f t="shared" si="883"/>
        <v>0</v>
      </c>
      <c r="K424" s="418">
        <v>0</v>
      </c>
      <c r="L424" s="418">
        <v>0</v>
      </c>
      <c r="M424" s="418">
        <f t="shared" si="884"/>
        <v>0</v>
      </c>
      <c r="N424" s="418">
        <v>0</v>
      </c>
      <c r="O424" s="418">
        <v>0</v>
      </c>
      <c r="P424" s="668">
        <f t="shared" si="885"/>
        <v>0</v>
      </c>
      <c r="Q424" s="668">
        <f t="shared" si="886"/>
        <v>0</v>
      </c>
      <c r="R424" s="418">
        <v>0</v>
      </c>
      <c r="S424" s="419">
        <f t="shared" si="887"/>
        <v>0</v>
      </c>
      <c r="T424" s="420">
        <v>0</v>
      </c>
      <c r="U424" s="426">
        <v>0</v>
      </c>
      <c r="V424" s="428">
        <f t="shared" si="888"/>
        <v>0</v>
      </c>
      <c r="W424" s="421">
        <f t="shared" si="889"/>
        <v>0</v>
      </c>
      <c r="X424" s="16">
        <v>1372214</v>
      </c>
      <c r="Y424" s="16">
        <v>0</v>
      </c>
      <c r="Z424" s="16">
        <v>0</v>
      </c>
      <c r="AA424" s="16">
        <v>0</v>
      </c>
      <c r="AB424" s="421">
        <v>0</v>
      </c>
      <c r="AC424" s="16">
        <v>0</v>
      </c>
      <c r="AD424" s="16">
        <v>0</v>
      </c>
      <c r="AE424" s="16">
        <v>0</v>
      </c>
      <c r="AF424" s="421">
        <f t="shared" si="890"/>
        <v>1372214</v>
      </c>
      <c r="AG424" s="421">
        <f t="shared" si="891"/>
        <v>0</v>
      </c>
      <c r="AH424" s="421">
        <f t="shared" si="892"/>
        <v>1372214</v>
      </c>
      <c r="AI424" s="16">
        <v>0</v>
      </c>
      <c r="AJ424" s="16">
        <v>0</v>
      </c>
      <c r="AK424" s="421">
        <v>0</v>
      </c>
      <c r="AL424" s="16">
        <v>0</v>
      </c>
      <c r="AM424" s="16">
        <v>0</v>
      </c>
      <c r="AN424" s="16">
        <v>0</v>
      </c>
      <c r="AO424" s="421">
        <f t="shared" si="893"/>
        <v>0</v>
      </c>
      <c r="AP424" s="16">
        <v>0</v>
      </c>
      <c r="AQ424" s="421">
        <f t="shared" si="895"/>
        <v>0</v>
      </c>
      <c r="AR424" s="421">
        <f t="shared" si="959"/>
        <v>1372214</v>
      </c>
      <c r="AS424" s="421">
        <f t="shared" si="959"/>
        <v>0</v>
      </c>
      <c r="AT424" s="421">
        <f t="shared" si="896"/>
        <v>1372214</v>
      </c>
      <c r="AU424" s="68">
        <f t="shared" si="960"/>
        <v>463808</v>
      </c>
      <c r="AV424" s="68">
        <f t="shared" si="961"/>
        <v>13722</v>
      </c>
      <c r="AW424" s="16">
        <v>1500</v>
      </c>
      <c r="AX424" s="16">
        <v>0</v>
      </c>
      <c r="AY424" s="421">
        <f t="shared" si="897"/>
        <v>1500</v>
      </c>
      <c r="AZ424" s="421">
        <f t="shared" si="898"/>
        <v>1851244</v>
      </c>
      <c r="BA424" s="13">
        <v>0</v>
      </c>
      <c r="BB424" s="13">
        <v>0</v>
      </c>
      <c r="BC424" s="13">
        <v>3.59</v>
      </c>
      <c r="BD424" s="422">
        <v>0</v>
      </c>
      <c r="BE424" s="422">
        <v>0</v>
      </c>
      <c r="BF424" s="422">
        <v>0</v>
      </c>
      <c r="BG424" s="422">
        <v>0</v>
      </c>
      <c r="BH424" s="422">
        <v>0</v>
      </c>
      <c r="BI424" s="422">
        <v>0</v>
      </c>
      <c r="BJ424" s="422">
        <v>0</v>
      </c>
      <c r="BK424" s="422">
        <f t="shared" si="962"/>
        <v>3.59</v>
      </c>
      <c r="BL424" s="422">
        <f t="shared" si="963"/>
        <v>0</v>
      </c>
      <c r="BM424" s="424">
        <f t="shared" si="899"/>
        <v>3.59</v>
      </c>
      <c r="BN424" s="427">
        <f t="shared" si="964"/>
        <v>1851244</v>
      </c>
      <c r="BO424" s="421">
        <f t="shared" si="965"/>
        <v>1372214</v>
      </c>
      <c r="BP424" s="421">
        <f t="shared" si="966"/>
        <v>1372214</v>
      </c>
      <c r="BQ424" s="421">
        <f t="shared" si="966"/>
        <v>0</v>
      </c>
      <c r="BR424" s="421">
        <f t="shared" si="967"/>
        <v>0</v>
      </c>
      <c r="BS424" s="421">
        <f t="shared" si="968"/>
        <v>0</v>
      </c>
      <c r="BT424" s="421">
        <f t="shared" si="968"/>
        <v>0</v>
      </c>
      <c r="BU424" s="421">
        <f t="shared" si="969"/>
        <v>463808</v>
      </c>
      <c r="BV424" s="421">
        <f t="shared" si="969"/>
        <v>13722</v>
      </c>
      <c r="BW424" s="421">
        <f t="shared" si="970"/>
        <v>1500</v>
      </c>
      <c r="BX424" s="422">
        <f t="shared" si="971"/>
        <v>3.59</v>
      </c>
      <c r="BY424" s="422">
        <f t="shared" si="972"/>
        <v>3.59</v>
      </c>
      <c r="BZ424" s="611">
        <f t="shared" si="972"/>
        <v>0</v>
      </c>
      <c r="CA424" s="423"/>
      <c r="CB424" s="418"/>
      <c r="CC424" s="418"/>
      <c r="CD424" s="418"/>
      <c r="CE424" s="418"/>
      <c r="CF424" s="527"/>
    </row>
    <row r="425" spans="1:84" ht="14.1" customHeight="1" x14ac:dyDescent="0.2">
      <c r="A425" s="66">
        <v>83</v>
      </c>
      <c r="B425" s="63">
        <v>2445</v>
      </c>
      <c r="C425" s="64">
        <v>600080030</v>
      </c>
      <c r="D425" s="63">
        <v>70695997</v>
      </c>
      <c r="E425" s="65" t="s">
        <v>696</v>
      </c>
      <c r="F425" s="66">
        <v>3141</v>
      </c>
      <c r="G425" s="65" t="s">
        <v>295</v>
      </c>
      <c r="H425" s="67" t="s">
        <v>272</v>
      </c>
      <c r="I425" s="423">
        <f t="shared" si="882"/>
        <v>707185</v>
      </c>
      <c r="J425" s="418">
        <f t="shared" si="883"/>
        <v>522463</v>
      </c>
      <c r="K425" s="418">
        <v>0</v>
      </c>
      <c r="L425" s="924">
        <v>522463</v>
      </c>
      <c r="M425" s="418">
        <f>N425+O425</f>
        <v>0</v>
      </c>
      <c r="N425" s="205">
        <v>0</v>
      </c>
      <c r="O425" s="205">
        <v>0</v>
      </c>
      <c r="P425" s="668">
        <f t="shared" si="885"/>
        <v>176592</v>
      </c>
      <c r="Q425" s="668">
        <f t="shared" si="886"/>
        <v>5225</v>
      </c>
      <c r="R425" s="674">
        <v>2905</v>
      </c>
      <c r="S425" s="419">
        <f>T425+U425</f>
        <v>1.5667</v>
      </c>
      <c r="T425" s="676">
        <v>0</v>
      </c>
      <c r="U425" s="909">
        <v>1.5667</v>
      </c>
      <c r="V425" s="428">
        <f t="shared" si="888"/>
        <v>0</v>
      </c>
      <c r="W425" s="421">
        <f t="shared" si="889"/>
        <v>0</v>
      </c>
      <c r="X425" s="421">
        <v>0</v>
      </c>
      <c r="Y425" s="421">
        <v>0</v>
      </c>
      <c r="Z425" s="421">
        <v>0</v>
      </c>
      <c r="AA425" s="421">
        <v>0</v>
      </c>
      <c r="AB425" s="421">
        <v>0</v>
      </c>
      <c r="AC425" s="421">
        <v>0</v>
      </c>
      <c r="AD425" s="421">
        <v>0</v>
      </c>
      <c r="AE425" s="421">
        <v>0</v>
      </c>
      <c r="AF425" s="421">
        <f t="shared" si="890"/>
        <v>0</v>
      </c>
      <c r="AG425" s="421">
        <f t="shared" si="891"/>
        <v>0</v>
      </c>
      <c r="AH425" s="421">
        <f t="shared" si="892"/>
        <v>0</v>
      </c>
      <c r="AI425" s="421">
        <v>0</v>
      </c>
      <c r="AJ425" s="421">
        <v>0</v>
      </c>
      <c r="AK425" s="421">
        <v>0</v>
      </c>
      <c r="AL425" s="421">
        <v>0</v>
      </c>
      <c r="AM425" s="421">
        <v>0</v>
      </c>
      <c r="AN425" s="421">
        <v>0</v>
      </c>
      <c r="AO425" s="421">
        <f t="shared" si="893"/>
        <v>0</v>
      </c>
      <c r="AP425" s="421">
        <f t="shared" si="894"/>
        <v>0</v>
      </c>
      <c r="AQ425" s="421">
        <f t="shared" si="895"/>
        <v>0</v>
      </c>
      <c r="AR425" s="421">
        <f t="shared" si="959"/>
        <v>0</v>
      </c>
      <c r="AS425" s="421">
        <f t="shared" si="959"/>
        <v>0</v>
      </c>
      <c r="AT425" s="421">
        <f t="shared" si="896"/>
        <v>0</v>
      </c>
      <c r="AU425" s="68">
        <f t="shared" si="960"/>
        <v>0</v>
      </c>
      <c r="AV425" s="68">
        <f t="shared" si="961"/>
        <v>0</v>
      </c>
      <c r="AW425" s="421">
        <v>0</v>
      </c>
      <c r="AX425" s="421">
        <v>0</v>
      </c>
      <c r="AY425" s="421">
        <f t="shared" si="897"/>
        <v>0</v>
      </c>
      <c r="AZ425" s="421">
        <f t="shared" si="898"/>
        <v>0</v>
      </c>
      <c r="BA425" s="422">
        <v>0</v>
      </c>
      <c r="BB425" s="422">
        <v>0</v>
      </c>
      <c r="BC425" s="422">
        <v>0</v>
      </c>
      <c r="BD425" s="422">
        <v>0</v>
      </c>
      <c r="BE425" s="422">
        <v>0</v>
      </c>
      <c r="BF425" s="422">
        <v>0</v>
      </c>
      <c r="BG425" s="422">
        <v>0</v>
      </c>
      <c r="BH425" s="422">
        <v>0</v>
      </c>
      <c r="BI425" s="422">
        <v>0</v>
      </c>
      <c r="BJ425" s="422">
        <v>0</v>
      </c>
      <c r="BK425" s="422">
        <f t="shared" si="962"/>
        <v>0</v>
      </c>
      <c r="BL425" s="422">
        <f t="shared" si="963"/>
        <v>0</v>
      </c>
      <c r="BM425" s="424">
        <f t="shared" si="899"/>
        <v>0</v>
      </c>
      <c r="BN425" s="427">
        <f t="shared" si="964"/>
        <v>707185</v>
      </c>
      <c r="BO425" s="421">
        <f t="shared" si="965"/>
        <v>522463</v>
      </c>
      <c r="BP425" s="421">
        <f t="shared" si="966"/>
        <v>0</v>
      </c>
      <c r="BQ425" s="421">
        <f t="shared" si="966"/>
        <v>522463</v>
      </c>
      <c r="BR425" s="421">
        <f t="shared" si="967"/>
        <v>0</v>
      </c>
      <c r="BS425" s="421">
        <f t="shared" si="968"/>
        <v>0</v>
      </c>
      <c r="BT425" s="421">
        <f t="shared" si="968"/>
        <v>0</v>
      </c>
      <c r="BU425" s="421">
        <f t="shared" si="969"/>
        <v>176592</v>
      </c>
      <c r="BV425" s="421">
        <f t="shared" si="969"/>
        <v>5225</v>
      </c>
      <c r="BW425" s="421">
        <f t="shared" si="970"/>
        <v>2905</v>
      </c>
      <c r="BX425" s="422">
        <f t="shared" si="971"/>
        <v>1.5667</v>
      </c>
      <c r="BY425" s="422">
        <f t="shared" si="972"/>
        <v>0</v>
      </c>
      <c r="BZ425" s="611">
        <f t="shared" si="972"/>
        <v>1.5667</v>
      </c>
      <c r="CA425" s="423"/>
      <c r="CB425" s="418"/>
      <c r="CC425" s="418"/>
      <c r="CD425" s="418"/>
      <c r="CE425" s="418"/>
      <c r="CF425" s="527"/>
    </row>
    <row r="426" spans="1:84" ht="14.1" customHeight="1" x14ac:dyDescent="0.2">
      <c r="A426" s="66">
        <v>83</v>
      </c>
      <c r="B426" s="63">
        <v>2445</v>
      </c>
      <c r="C426" s="64">
        <v>600080030</v>
      </c>
      <c r="D426" s="63">
        <v>70695997</v>
      </c>
      <c r="E426" s="65" t="s">
        <v>696</v>
      </c>
      <c r="F426" s="66">
        <v>3143</v>
      </c>
      <c r="G426" s="77" t="s">
        <v>596</v>
      </c>
      <c r="H426" s="67" t="s">
        <v>271</v>
      </c>
      <c r="I426" s="423">
        <f t="shared" si="882"/>
        <v>1401819</v>
      </c>
      <c r="J426" s="418">
        <f t="shared" si="883"/>
        <v>1039925</v>
      </c>
      <c r="K426" s="418">
        <v>1039925</v>
      </c>
      <c r="L426" s="418">
        <v>0</v>
      </c>
      <c r="M426" s="418">
        <f t="shared" si="884"/>
        <v>0</v>
      </c>
      <c r="N426" s="418">
        <v>0</v>
      </c>
      <c r="O426" s="418">
        <v>0</v>
      </c>
      <c r="P426" s="668">
        <f t="shared" si="885"/>
        <v>351495</v>
      </c>
      <c r="Q426" s="668">
        <f t="shared" si="886"/>
        <v>10399</v>
      </c>
      <c r="R426" s="418">
        <v>0</v>
      </c>
      <c r="S426" s="419">
        <f t="shared" si="887"/>
        <v>2.1432000000000002</v>
      </c>
      <c r="T426" s="419">
        <v>2.1432000000000002</v>
      </c>
      <c r="U426" s="426">
        <v>0</v>
      </c>
      <c r="V426" s="428">
        <f t="shared" si="888"/>
        <v>0</v>
      </c>
      <c r="W426" s="421">
        <f t="shared" si="889"/>
        <v>0</v>
      </c>
      <c r="X426" s="421">
        <v>0</v>
      </c>
      <c r="Y426" s="421">
        <v>0</v>
      </c>
      <c r="Z426" s="421">
        <v>0</v>
      </c>
      <c r="AA426" s="421">
        <v>0</v>
      </c>
      <c r="AB426" s="421">
        <v>0</v>
      </c>
      <c r="AC426" s="421">
        <v>0</v>
      </c>
      <c r="AD426" s="421">
        <v>0</v>
      </c>
      <c r="AE426" s="421">
        <v>0</v>
      </c>
      <c r="AF426" s="421">
        <f t="shared" si="890"/>
        <v>0</v>
      </c>
      <c r="AG426" s="421">
        <f t="shared" si="891"/>
        <v>0</v>
      </c>
      <c r="AH426" s="421">
        <f t="shared" si="892"/>
        <v>0</v>
      </c>
      <c r="AI426" s="421">
        <v>0</v>
      </c>
      <c r="AJ426" s="421">
        <v>0</v>
      </c>
      <c r="AK426" s="421">
        <v>0</v>
      </c>
      <c r="AL426" s="421">
        <v>0</v>
      </c>
      <c r="AM426" s="421">
        <v>0</v>
      </c>
      <c r="AN426" s="421">
        <v>0</v>
      </c>
      <c r="AO426" s="421">
        <f t="shared" si="893"/>
        <v>0</v>
      </c>
      <c r="AP426" s="421">
        <f t="shared" si="894"/>
        <v>0</v>
      </c>
      <c r="AQ426" s="421">
        <f t="shared" si="895"/>
        <v>0</v>
      </c>
      <c r="AR426" s="421">
        <f t="shared" si="959"/>
        <v>0</v>
      </c>
      <c r="AS426" s="421">
        <f t="shared" si="959"/>
        <v>0</v>
      </c>
      <c r="AT426" s="421">
        <f t="shared" si="896"/>
        <v>0</v>
      </c>
      <c r="AU426" s="68">
        <f t="shared" si="960"/>
        <v>0</v>
      </c>
      <c r="AV426" s="68">
        <f t="shared" si="961"/>
        <v>0</v>
      </c>
      <c r="AW426" s="421">
        <v>0</v>
      </c>
      <c r="AX426" s="421">
        <v>0</v>
      </c>
      <c r="AY426" s="421">
        <f t="shared" si="897"/>
        <v>0</v>
      </c>
      <c r="AZ426" s="421">
        <f t="shared" si="898"/>
        <v>0</v>
      </c>
      <c r="BA426" s="422">
        <v>0</v>
      </c>
      <c r="BB426" s="422">
        <v>0</v>
      </c>
      <c r="BC426" s="422">
        <v>0</v>
      </c>
      <c r="BD426" s="422">
        <v>0</v>
      </c>
      <c r="BE426" s="422">
        <v>0</v>
      </c>
      <c r="BF426" s="422">
        <v>0</v>
      </c>
      <c r="BG426" s="422">
        <v>0</v>
      </c>
      <c r="BH426" s="422">
        <v>0</v>
      </c>
      <c r="BI426" s="422">
        <v>0</v>
      </c>
      <c r="BJ426" s="422">
        <v>0</v>
      </c>
      <c r="BK426" s="422">
        <f t="shared" si="962"/>
        <v>0</v>
      </c>
      <c r="BL426" s="422">
        <f t="shared" si="963"/>
        <v>0</v>
      </c>
      <c r="BM426" s="424">
        <f t="shared" si="899"/>
        <v>0</v>
      </c>
      <c r="BN426" s="427">
        <f t="shared" si="964"/>
        <v>1401819</v>
      </c>
      <c r="BO426" s="421">
        <f t="shared" si="965"/>
        <v>1039925</v>
      </c>
      <c r="BP426" s="421">
        <f t="shared" si="966"/>
        <v>1039925</v>
      </c>
      <c r="BQ426" s="421">
        <f t="shared" si="966"/>
        <v>0</v>
      </c>
      <c r="BR426" s="421">
        <f t="shared" si="967"/>
        <v>0</v>
      </c>
      <c r="BS426" s="421">
        <f t="shared" si="968"/>
        <v>0</v>
      </c>
      <c r="BT426" s="421">
        <f t="shared" si="968"/>
        <v>0</v>
      </c>
      <c r="BU426" s="421">
        <f t="shared" si="969"/>
        <v>351495</v>
      </c>
      <c r="BV426" s="421">
        <f t="shared" si="969"/>
        <v>10399</v>
      </c>
      <c r="BW426" s="421">
        <f t="shared" si="970"/>
        <v>0</v>
      </c>
      <c r="BX426" s="422">
        <f t="shared" si="971"/>
        <v>2.1432000000000002</v>
      </c>
      <c r="BY426" s="422">
        <f t="shared" si="972"/>
        <v>2.1432000000000002</v>
      </c>
      <c r="BZ426" s="611">
        <f t="shared" si="972"/>
        <v>0</v>
      </c>
      <c r="CA426" s="423"/>
      <c r="CB426" s="418"/>
      <c r="CC426" s="418"/>
      <c r="CD426" s="418"/>
      <c r="CE426" s="418"/>
      <c r="CF426" s="527"/>
    </row>
    <row r="427" spans="1:84" ht="14.1" customHeight="1" x14ac:dyDescent="0.2">
      <c r="A427" s="66">
        <v>83</v>
      </c>
      <c r="B427" s="63">
        <v>2445</v>
      </c>
      <c r="C427" s="64">
        <v>600080030</v>
      </c>
      <c r="D427" s="63">
        <v>70695997</v>
      </c>
      <c r="E427" s="65" t="s">
        <v>696</v>
      </c>
      <c r="F427" s="66">
        <v>3143</v>
      </c>
      <c r="G427" s="77" t="s">
        <v>597</v>
      </c>
      <c r="H427" s="67" t="s">
        <v>272</v>
      </c>
      <c r="I427" s="423">
        <f t="shared" si="882"/>
        <v>24084</v>
      </c>
      <c r="J427" s="418">
        <f t="shared" si="883"/>
        <v>17239</v>
      </c>
      <c r="K427" s="418">
        <v>0</v>
      </c>
      <c r="L427" s="674">
        <v>17239</v>
      </c>
      <c r="M427" s="418">
        <f t="shared" si="884"/>
        <v>0</v>
      </c>
      <c r="N427" s="418">
        <v>0</v>
      </c>
      <c r="O427" s="418">
        <v>0</v>
      </c>
      <c r="P427" s="668">
        <f t="shared" si="885"/>
        <v>5827</v>
      </c>
      <c r="Q427" s="668">
        <f t="shared" si="886"/>
        <v>172</v>
      </c>
      <c r="R427" s="675">
        <v>846</v>
      </c>
      <c r="S427" s="419">
        <f t="shared" si="887"/>
        <v>6.5299999999999997E-2</v>
      </c>
      <c r="T427" s="679">
        <v>0</v>
      </c>
      <c r="U427" s="909">
        <v>6.5299999999999997E-2</v>
      </c>
      <c r="V427" s="428">
        <f t="shared" si="888"/>
        <v>0</v>
      </c>
      <c r="W427" s="421">
        <f t="shared" si="889"/>
        <v>0</v>
      </c>
      <c r="X427" s="421">
        <v>0</v>
      </c>
      <c r="Y427" s="421">
        <v>0</v>
      </c>
      <c r="Z427" s="421">
        <v>0</v>
      </c>
      <c r="AA427" s="421">
        <v>0</v>
      </c>
      <c r="AB427" s="421">
        <v>0</v>
      </c>
      <c r="AC427" s="421">
        <v>0</v>
      </c>
      <c r="AD427" s="421">
        <v>0</v>
      </c>
      <c r="AE427" s="421">
        <v>0</v>
      </c>
      <c r="AF427" s="421">
        <f t="shared" si="890"/>
        <v>0</v>
      </c>
      <c r="AG427" s="421">
        <f t="shared" si="891"/>
        <v>0</v>
      </c>
      <c r="AH427" s="421">
        <f t="shared" si="892"/>
        <v>0</v>
      </c>
      <c r="AI427" s="421">
        <v>0</v>
      </c>
      <c r="AJ427" s="421">
        <v>0</v>
      </c>
      <c r="AK427" s="421">
        <v>0</v>
      </c>
      <c r="AL427" s="421">
        <v>0</v>
      </c>
      <c r="AM427" s="421">
        <v>0</v>
      </c>
      <c r="AN427" s="421">
        <v>0</v>
      </c>
      <c r="AO427" s="421">
        <f t="shared" si="893"/>
        <v>0</v>
      </c>
      <c r="AP427" s="421">
        <f t="shared" si="894"/>
        <v>0</v>
      </c>
      <c r="AQ427" s="421">
        <f t="shared" si="895"/>
        <v>0</v>
      </c>
      <c r="AR427" s="421">
        <f t="shared" si="959"/>
        <v>0</v>
      </c>
      <c r="AS427" s="421">
        <f t="shared" si="959"/>
        <v>0</v>
      </c>
      <c r="AT427" s="421">
        <f t="shared" si="896"/>
        <v>0</v>
      </c>
      <c r="AU427" s="68">
        <f t="shared" si="960"/>
        <v>0</v>
      </c>
      <c r="AV427" s="68">
        <f t="shared" si="961"/>
        <v>0</v>
      </c>
      <c r="AW427" s="421">
        <v>0</v>
      </c>
      <c r="AX427" s="421">
        <v>0</v>
      </c>
      <c r="AY427" s="421">
        <f t="shared" si="897"/>
        <v>0</v>
      </c>
      <c r="AZ427" s="421">
        <f t="shared" si="898"/>
        <v>0</v>
      </c>
      <c r="BA427" s="422">
        <v>0</v>
      </c>
      <c r="BB427" s="422">
        <v>0</v>
      </c>
      <c r="BC427" s="422">
        <v>0</v>
      </c>
      <c r="BD427" s="422">
        <v>0</v>
      </c>
      <c r="BE427" s="422">
        <v>0</v>
      </c>
      <c r="BF427" s="422">
        <v>0</v>
      </c>
      <c r="BG427" s="422">
        <v>0</v>
      </c>
      <c r="BH427" s="422">
        <v>0</v>
      </c>
      <c r="BI427" s="422">
        <v>0</v>
      </c>
      <c r="BJ427" s="422">
        <v>0</v>
      </c>
      <c r="BK427" s="422">
        <f t="shared" si="962"/>
        <v>0</v>
      </c>
      <c r="BL427" s="422">
        <f t="shared" si="963"/>
        <v>0</v>
      </c>
      <c r="BM427" s="424">
        <f t="shared" si="899"/>
        <v>0</v>
      </c>
      <c r="BN427" s="427">
        <f t="shared" si="964"/>
        <v>24084</v>
      </c>
      <c r="BO427" s="421">
        <f t="shared" si="965"/>
        <v>17239</v>
      </c>
      <c r="BP427" s="421">
        <f t="shared" si="966"/>
        <v>0</v>
      </c>
      <c r="BQ427" s="421">
        <f t="shared" si="966"/>
        <v>17239</v>
      </c>
      <c r="BR427" s="421">
        <f t="shared" si="967"/>
        <v>0</v>
      </c>
      <c r="BS427" s="421">
        <f t="shared" si="968"/>
        <v>0</v>
      </c>
      <c r="BT427" s="421">
        <f t="shared" si="968"/>
        <v>0</v>
      </c>
      <c r="BU427" s="421">
        <f t="shared" si="969"/>
        <v>5827</v>
      </c>
      <c r="BV427" s="421">
        <f t="shared" si="969"/>
        <v>172</v>
      </c>
      <c r="BW427" s="421">
        <f t="shared" si="970"/>
        <v>846</v>
      </c>
      <c r="BX427" s="422">
        <f t="shared" si="971"/>
        <v>6.5299999999999997E-2</v>
      </c>
      <c r="BY427" s="422">
        <f t="shared" si="972"/>
        <v>0</v>
      </c>
      <c r="BZ427" s="611">
        <f t="shared" si="972"/>
        <v>6.5299999999999997E-2</v>
      </c>
      <c r="CA427" s="423"/>
      <c r="CB427" s="418"/>
      <c r="CC427" s="418"/>
      <c r="CD427" s="418"/>
      <c r="CE427" s="418"/>
      <c r="CF427" s="527"/>
    </row>
    <row r="428" spans="1:84" ht="14.1" customHeight="1" x14ac:dyDescent="0.2">
      <c r="A428" s="72">
        <v>83</v>
      </c>
      <c r="B428" s="69">
        <v>2445</v>
      </c>
      <c r="C428" s="70">
        <v>600080030</v>
      </c>
      <c r="D428" s="69">
        <v>70695997</v>
      </c>
      <c r="E428" s="71" t="s">
        <v>697</v>
      </c>
      <c r="F428" s="72"/>
      <c r="G428" s="71"/>
      <c r="H428" s="73"/>
      <c r="I428" s="538">
        <f t="shared" ref="I428:BU428" si="973">SUM(I422:I427)</f>
        <v>9326743</v>
      </c>
      <c r="J428" s="74">
        <f t="shared" si="973"/>
        <v>6862152</v>
      </c>
      <c r="K428" s="74">
        <f t="shared" si="973"/>
        <v>5766937</v>
      </c>
      <c r="L428" s="74">
        <f t="shared" si="973"/>
        <v>1095215</v>
      </c>
      <c r="M428" s="74">
        <f t="shared" si="973"/>
        <v>0</v>
      </c>
      <c r="N428" s="74">
        <f t="shared" si="973"/>
        <v>0</v>
      </c>
      <c r="O428" s="74">
        <f t="shared" si="973"/>
        <v>0</v>
      </c>
      <c r="P428" s="74">
        <f t="shared" si="973"/>
        <v>2319407</v>
      </c>
      <c r="Q428" s="74">
        <f t="shared" si="973"/>
        <v>68622</v>
      </c>
      <c r="R428" s="74">
        <f t="shared" si="973"/>
        <v>76562</v>
      </c>
      <c r="S428" s="75">
        <f t="shared" si="973"/>
        <v>13.356200000000001</v>
      </c>
      <c r="T428" s="75">
        <f t="shared" si="973"/>
        <v>10.1333</v>
      </c>
      <c r="U428" s="753">
        <f t="shared" si="973"/>
        <v>3.2229000000000001</v>
      </c>
      <c r="V428" s="538">
        <f t="shared" si="973"/>
        <v>-51200</v>
      </c>
      <c r="W428" s="74">
        <f t="shared" si="973"/>
        <v>0</v>
      </c>
      <c r="X428" s="74">
        <f t="shared" si="973"/>
        <v>1372214</v>
      </c>
      <c r="Y428" s="74">
        <f t="shared" si="973"/>
        <v>0</v>
      </c>
      <c r="Z428" s="74">
        <f t="shared" si="973"/>
        <v>0</v>
      </c>
      <c r="AA428" s="74">
        <f t="shared" si="973"/>
        <v>0</v>
      </c>
      <c r="AB428" s="74">
        <f t="shared" si="973"/>
        <v>112800</v>
      </c>
      <c r="AC428" s="74">
        <f t="shared" si="973"/>
        <v>0</v>
      </c>
      <c r="AD428" s="74">
        <f t="shared" si="973"/>
        <v>0</v>
      </c>
      <c r="AE428" s="74">
        <f t="shared" si="973"/>
        <v>0</v>
      </c>
      <c r="AF428" s="74">
        <f t="shared" si="973"/>
        <v>1433814</v>
      </c>
      <c r="AG428" s="74">
        <f t="shared" si="973"/>
        <v>0</v>
      </c>
      <c r="AH428" s="74">
        <f t="shared" si="973"/>
        <v>1433814</v>
      </c>
      <c r="AI428" s="74">
        <f t="shared" si="973"/>
        <v>51200</v>
      </c>
      <c r="AJ428" s="74">
        <f t="shared" si="973"/>
        <v>0</v>
      </c>
      <c r="AK428" s="74">
        <f t="shared" si="973"/>
        <v>0</v>
      </c>
      <c r="AL428" s="74">
        <f t="shared" si="973"/>
        <v>0</v>
      </c>
      <c r="AM428" s="74">
        <f t="shared" si="973"/>
        <v>0</v>
      </c>
      <c r="AN428" s="74">
        <f t="shared" si="973"/>
        <v>0</v>
      </c>
      <c r="AO428" s="74">
        <f t="shared" si="973"/>
        <v>51200</v>
      </c>
      <c r="AP428" s="74">
        <f t="shared" si="973"/>
        <v>0</v>
      </c>
      <c r="AQ428" s="74">
        <f t="shared" si="973"/>
        <v>51200</v>
      </c>
      <c r="AR428" s="74">
        <f t="shared" si="973"/>
        <v>1485014</v>
      </c>
      <c r="AS428" s="74">
        <f t="shared" si="973"/>
        <v>0</v>
      </c>
      <c r="AT428" s="74">
        <f t="shared" si="973"/>
        <v>1485014</v>
      </c>
      <c r="AU428" s="74">
        <f t="shared" si="973"/>
        <v>501934</v>
      </c>
      <c r="AV428" s="74">
        <f t="shared" si="973"/>
        <v>14338</v>
      </c>
      <c r="AW428" s="74">
        <f t="shared" si="973"/>
        <v>1500</v>
      </c>
      <c r="AX428" s="74">
        <f t="shared" si="973"/>
        <v>0</v>
      </c>
      <c r="AY428" s="74">
        <f t="shared" si="973"/>
        <v>1500</v>
      </c>
      <c r="AZ428" s="74">
        <f t="shared" si="973"/>
        <v>2002786</v>
      </c>
      <c r="BA428" s="75">
        <f t="shared" si="973"/>
        <v>-7.0000000000000007E-2</v>
      </c>
      <c r="BB428" s="75">
        <f t="shared" si="973"/>
        <v>0</v>
      </c>
      <c r="BC428" s="75">
        <f t="shared" si="973"/>
        <v>3.59</v>
      </c>
      <c r="BD428" s="75">
        <f t="shared" si="973"/>
        <v>0.2</v>
      </c>
      <c r="BE428" s="75">
        <f t="shared" si="973"/>
        <v>0</v>
      </c>
      <c r="BF428" s="75">
        <f t="shared" si="973"/>
        <v>0</v>
      </c>
      <c r="BG428" s="75">
        <f t="shared" si="973"/>
        <v>0</v>
      </c>
      <c r="BH428" s="75">
        <f t="shared" si="973"/>
        <v>0</v>
      </c>
      <c r="BI428" s="75">
        <f t="shared" si="973"/>
        <v>0</v>
      </c>
      <c r="BJ428" s="75">
        <f t="shared" si="973"/>
        <v>0</v>
      </c>
      <c r="BK428" s="75">
        <f t="shared" si="973"/>
        <v>3.7199999999999998</v>
      </c>
      <c r="BL428" s="75">
        <f t="shared" si="973"/>
        <v>0</v>
      </c>
      <c r="BM428" s="76">
        <f t="shared" si="973"/>
        <v>3.7199999999999998</v>
      </c>
      <c r="BN428" s="549">
        <f t="shared" si="973"/>
        <v>11329529</v>
      </c>
      <c r="BO428" s="74">
        <f t="shared" si="973"/>
        <v>8295966</v>
      </c>
      <c r="BP428" s="74">
        <f t="shared" si="973"/>
        <v>7200751</v>
      </c>
      <c r="BQ428" s="74">
        <f t="shared" si="973"/>
        <v>1095215</v>
      </c>
      <c r="BR428" s="74">
        <f t="shared" si="973"/>
        <v>51200</v>
      </c>
      <c r="BS428" s="74">
        <f t="shared" si="973"/>
        <v>51200</v>
      </c>
      <c r="BT428" s="74">
        <f t="shared" si="973"/>
        <v>0</v>
      </c>
      <c r="BU428" s="74">
        <f t="shared" si="973"/>
        <v>2821341</v>
      </c>
      <c r="BV428" s="74">
        <f t="shared" ref="BV428:CF428" si="974">SUM(BV422:BV427)</f>
        <v>82960</v>
      </c>
      <c r="BW428" s="74">
        <f t="shared" si="974"/>
        <v>78062</v>
      </c>
      <c r="BX428" s="75">
        <f t="shared" si="974"/>
        <v>17.0762</v>
      </c>
      <c r="BY428" s="75">
        <f t="shared" si="974"/>
        <v>13.853300000000001</v>
      </c>
      <c r="BZ428" s="753">
        <f t="shared" si="974"/>
        <v>3.2229000000000001</v>
      </c>
      <c r="CA428" s="796">
        <f t="shared" si="974"/>
        <v>152054</v>
      </c>
      <c r="CB428" s="789">
        <f t="shared" si="974"/>
        <v>112800</v>
      </c>
      <c r="CC428" s="789">
        <f t="shared" si="974"/>
        <v>0</v>
      </c>
      <c r="CD428" s="789">
        <f t="shared" si="974"/>
        <v>38126</v>
      </c>
      <c r="CE428" s="789">
        <f t="shared" si="974"/>
        <v>1128</v>
      </c>
      <c r="CF428" s="793">
        <f t="shared" si="974"/>
        <v>0.2</v>
      </c>
    </row>
    <row r="429" spans="1:84" ht="14.1" customHeight="1" x14ac:dyDescent="0.2">
      <c r="A429" s="66">
        <v>84</v>
      </c>
      <c r="B429" s="63">
        <v>2495</v>
      </c>
      <c r="C429" s="64">
        <v>600080196</v>
      </c>
      <c r="D429" s="63">
        <v>70983810</v>
      </c>
      <c r="E429" s="65" t="s">
        <v>698</v>
      </c>
      <c r="F429" s="66">
        <v>3111</v>
      </c>
      <c r="G429" s="65" t="s">
        <v>291</v>
      </c>
      <c r="H429" s="67" t="s">
        <v>271</v>
      </c>
      <c r="I429" s="423">
        <f t="shared" si="882"/>
        <v>4820471</v>
      </c>
      <c r="J429" s="418">
        <f t="shared" si="883"/>
        <v>3560917</v>
      </c>
      <c r="K429" s="418">
        <v>3361213</v>
      </c>
      <c r="L429" s="418">
        <v>199704</v>
      </c>
      <c r="M429" s="418">
        <f>N429+O429</f>
        <v>0</v>
      </c>
      <c r="N429" s="418">
        <v>0</v>
      </c>
      <c r="O429" s="418">
        <v>0</v>
      </c>
      <c r="P429" s="668">
        <f t="shared" si="885"/>
        <v>1203590</v>
      </c>
      <c r="Q429" s="668">
        <f t="shared" si="886"/>
        <v>35609</v>
      </c>
      <c r="R429" s="418">
        <v>20355</v>
      </c>
      <c r="S429" s="419">
        <f t="shared" si="887"/>
        <v>6.6326999999999998</v>
      </c>
      <c r="T429" s="419">
        <v>5.8326000000000002</v>
      </c>
      <c r="U429" s="426">
        <v>0.80010000000000003</v>
      </c>
      <c r="V429" s="428">
        <f t="shared" si="888"/>
        <v>0</v>
      </c>
      <c r="W429" s="421">
        <f t="shared" si="889"/>
        <v>0</v>
      </c>
      <c r="X429" s="421">
        <v>0</v>
      </c>
      <c r="Y429" s="421">
        <v>0</v>
      </c>
      <c r="Z429" s="421">
        <v>0</v>
      </c>
      <c r="AA429" s="421">
        <v>0</v>
      </c>
      <c r="AB429" s="421">
        <v>0</v>
      </c>
      <c r="AC429" s="421">
        <v>0</v>
      </c>
      <c r="AD429" s="421">
        <v>0</v>
      </c>
      <c r="AE429" s="421">
        <v>0</v>
      </c>
      <c r="AF429" s="421">
        <f t="shared" si="890"/>
        <v>0</v>
      </c>
      <c r="AG429" s="421">
        <f t="shared" si="891"/>
        <v>0</v>
      </c>
      <c r="AH429" s="421">
        <f t="shared" si="892"/>
        <v>0</v>
      </c>
      <c r="AI429" s="421">
        <v>0</v>
      </c>
      <c r="AJ429" s="421">
        <v>0</v>
      </c>
      <c r="AK429" s="421">
        <v>0</v>
      </c>
      <c r="AL429" s="421">
        <v>0</v>
      </c>
      <c r="AM429" s="421">
        <v>0</v>
      </c>
      <c r="AN429" s="421">
        <v>0</v>
      </c>
      <c r="AO429" s="421">
        <f t="shared" si="893"/>
        <v>0</v>
      </c>
      <c r="AP429" s="421">
        <f t="shared" si="894"/>
        <v>0</v>
      </c>
      <c r="AQ429" s="421">
        <f t="shared" si="895"/>
        <v>0</v>
      </c>
      <c r="AR429" s="421">
        <f t="shared" ref="AR429:AS434" si="975">AF429+AO429</f>
        <v>0</v>
      </c>
      <c r="AS429" s="421">
        <f t="shared" si="975"/>
        <v>0</v>
      </c>
      <c r="AT429" s="421">
        <f t="shared" si="896"/>
        <v>0</v>
      </c>
      <c r="AU429" s="68">
        <f t="shared" ref="AU429:AU434" si="976">ROUND((AH429+AI429+AJ429+AK429+AL429)*33.8%,0)</f>
        <v>0</v>
      </c>
      <c r="AV429" s="68">
        <f t="shared" ref="AV429:AV434" si="977">ROUND(AH429*1%,0)</f>
        <v>0</v>
      </c>
      <c r="AW429" s="421">
        <v>0</v>
      </c>
      <c r="AX429" s="421">
        <v>0</v>
      </c>
      <c r="AY429" s="421">
        <f t="shared" si="897"/>
        <v>0</v>
      </c>
      <c r="AZ429" s="421">
        <f t="shared" si="898"/>
        <v>0</v>
      </c>
      <c r="BA429" s="422">
        <v>0</v>
      </c>
      <c r="BB429" s="422">
        <v>0</v>
      </c>
      <c r="BC429" s="422">
        <v>0</v>
      </c>
      <c r="BD429" s="422">
        <v>0</v>
      </c>
      <c r="BE429" s="422">
        <v>0</v>
      </c>
      <c r="BF429" s="422">
        <v>0</v>
      </c>
      <c r="BG429" s="422">
        <v>0</v>
      </c>
      <c r="BH429" s="422">
        <v>0</v>
      </c>
      <c r="BI429" s="422">
        <v>0</v>
      </c>
      <c r="BJ429" s="422">
        <v>0</v>
      </c>
      <c r="BK429" s="422">
        <f t="shared" ref="BK429:BK434" si="978">BA429+BC429+BD429+BF429+BH429+BI429</f>
        <v>0</v>
      </c>
      <c r="BL429" s="422">
        <f t="shared" ref="BL429:BL434" si="979">BB429+BE429+BG429+BJ429</f>
        <v>0</v>
      </c>
      <c r="BM429" s="424">
        <f t="shared" si="899"/>
        <v>0</v>
      </c>
      <c r="BN429" s="427">
        <f t="shared" ref="BN429:BN434" si="980">I429+AZ429</f>
        <v>4820471</v>
      </c>
      <c r="BO429" s="421">
        <f t="shared" ref="BO429:BO434" si="981">J429+AH429</f>
        <v>3560917</v>
      </c>
      <c r="BP429" s="421">
        <f t="shared" ref="BP429:BQ434" si="982">K429+AF429</f>
        <v>3361213</v>
      </c>
      <c r="BQ429" s="421">
        <f t="shared" si="982"/>
        <v>199704</v>
      </c>
      <c r="BR429" s="421">
        <f t="shared" ref="BR429:BR434" si="983">M429+AQ429</f>
        <v>0</v>
      </c>
      <c r="BS429" s="421">
        <f t="shared" ref="BS429:BT434" si="984">N429+AO429</f>
        <v>0</v>
      </c>
      <c r="BT429" s="421">
        <f t="shared" si="984"/>
        <v>0</v>
      </c>
      <c r="BU429" s="421">
        <f t="shared" ref="BU429:BV434" si="985">P429+AU429</f>
        <v>1203590</v>
      </c>
      <c r="BV429" s="421">
        <f t="shared" si="985"/>
        <v>35609</v>
      </c>
      <c r="BW429" s="421">
        <f t="shared" ref="BW429:BW434" si="986">R429+AY429</f>
        <v>20355</v>
      </c>
      <c r="BX429" s="422">
        <f t="shared" ref="BX429:BX434" si="987">S429+BM429</f>
        <v>6.6326999999999998</v>
      </c>
      <c r="BY429" s="422">
        <f t="shared" ref="BY429:BZ434" si="988">T429+BK429</f>
        <v>5.8326000000000002</v>
      </c>
      <c r="BZ429" s="611">
        <f t="shared" si="988"/>
        <v>0.80010000000000003</v>
      </c>
      <c r="CA429" s="423"/>
      <c r="CB429" s="418"/>
      <c r="CC429" s="418"/>
      <c r="CD429" s="418"/>
      <c r="CE429" s="418"/>
      <c r="CF429" s="527"/>
    </row>
    <row r="430" spans="1:84" ht="14.1" customHeight="1" x14ac:dyDescent="0.2">
      <c r="A430" s="66">
        <v>84</v>
      </c>
      <c r="B430" s="63">
        <v>2495</v>
      </c>
      <c r="C430" s="64">
        <v>600080196</v>
      </c>
      <c r="D430" s="63">
        <v>70983810</v>
      </c>
      <c r="E430" s="65" t="s">
        <v>698</v>
      </c>
      <c r="F430" s="66">
        <v>3113</v>
      </c>
      <c r="G430" s="65" t="s">
        <v>294</v>
      </c>
      <c r="H430" s="67" t="s">
        <v>271</v>
      </c>
      <c r="I430" s="423">
        <f t="shared" si="882"/>
        <v>15287805</v>
      </c>
      <c r="J430" s="418">
        <f t="shared" si="883"/>
        <v>11188076</v>
      </c>
      <c r="K430" s="418">
        <v>10129360</v>
      </c>
      <c r="L430" s="418">
        <v>1058716</v>
      </c>
      <c r="M430" s="418">
        <f>N430+O430</f>
        <v>0</v>
      </c>
      <c r="N430" s="418">
        <v>0</v>
      </c>
      <c r="O430" s="418">
        <v>0</v>
      </c>
      <c r="P430" s="668">
        <f t="shared" si="885"/>
        <v>3781570</v>
      </c>
      <c r="Q430" s="668">
        <f t="shared" si="886"/>
        <v>111881</v>
      </c>
      <c r="R430" s="418">
        <v>206278</v>
      </c>
      <c r="S430" s="419">
        <f>T430+U430</f>
        <v>16.7654</v>
      </c>
      <c r="T430" s="419">
        <v>13.6388</v>
      </c>
      <c r="U430" s="426">
        <v>3.1266000000000003</v>
      </c>
      <c r="V430" s="428">
        <f t="shared" si="888"/>
        <v>0</v>
      </c>
      <c r="W430" s="421">
        <f t="shared" si="889"/>
        <v>0</v>
      </c>
      <c r="X430" s="421">
        <v>0</v>
      </c>
      <c r="Y430" s="421">
        <v>0</v>
      </c>
      <c r="Z430" s="421">
        <v>0</v>
      </c>
      <c r="AA430" s="421">
        <v>0</v>
      </c>
      <c r="AB430" s="421">
        <v>0</v>
      </c>
      <c r="AC430" s="421">
        <v>0</v>
      </c>
      <c r="AD430" s="421">
        <v>0</v>
      </c>
      <c r="AE430" s="421">
        <v>0</v>
      </c>
      <c r="AF430" s="421">
        <f t="shared" si="890"/>
        <v>0</v>
      </c>
      <c r="AG430" s="421">
        <f t="shared" si="891"/>
        <v>0</v>
      </c>
      <c r="AH430" s="421">
        <f t="shared" si="892"/>
        <v>0</v>
      </c>
      <c r="AI430" s="421">
        <v>0</v>
      </c>
      <c r="AJ430" s="421">
        <v>0</v>
      </c>
      <c r="AK430" s="421">
        <v>0</v>
      </c>
      <c r="AL430" s="421">
        <v>0</v>
      </c>
      <c r="AM430" s="421">
        <v>0</v>
      </c>
      <c r="AN430" s="421">
        <v>0</v>
      </c>
      <c r="AO430" s="421">
        <f t="shared" si="893"/>
        <v>0</v>
      </c>
      <c r="AP430" s="421">
        <f t="shared" si="894"/>
        <v>0</v>
      </c>
      <c r="AQ430" s="421">
        <f t="shared" si="895"/>
        <v>0</v>
      </c>
      <c r="AR430" s="421">
        <f t="shared" si="975"/>
        <v>0</v>
      </c>
      <c r="AS430" s="421">
        <f t="shared" si="975"/>
        <v>0</v>
      </c>
      <c r="AT430" s="421">
        <f t="shared" si="896"/>
        <v>0</v>
      </c>
      <c r="AU430" s="68">
        <f t="shared" si="976"/>
        <v>0</v>
      </c>
      <c r="AV430" s="68">
        <f t="shared" si="977"/>
        <v>0</v>
      </c>
      <c r="AW430" s="421">
        <v>0</v>
      </c>
      <c r="AX430" s="421">
        <v>0</v>
      </c>
      <c r="AY430" s="421">
        <f t="shared" si="897"/>
        <v>0</v>
      </c>
      <c r="AZ430" s="421">
        <f t="shared" si="898"/>
        <v>0</v>
      </c>
      <c r="BA430" s="422">
        <v>0</v>
      </c>
      <c r="BB430" s="422">
        <v>0</v>
      </c>
      <c r="BC430" s="422">
        <v>0</v>
      </c>
      <c r="BD430" s="422">
        <v>0</v>
      </c>
      <c r="BE430" s="422">
        <v>0</v>
      </c>
      <c r="BF430" s="422">
        <v>0</v>
      </c>
      <c r="BG430" s="422">
        <v>0</v>
      </c>
      <c r="BH430" s="422">
        <v>0</v>
      </c>
      <c r="BI430" s="422">
        <v>0</v>
      </c>
      <c r="BJ430" s="422">
        <v>0</v>
      </c>
      <c r="BK430" s="422">
        <f t="shared" si="978"/>
        <v>0</v>
      </c>
      <c r="BL430" s="422">
        <f t="shared" si="979"/>
        <v>0</v>
      </c>
      <c r="BM430" s="424">
        <f t="shared" si="899"/>
        <v>0</v>
      </c>
      <c r="BN430" s="427">
        <f t="shared" si="980"/>
        <v>15287805</v>
      </c>
      <c r="BO430" s="421">
        <f t="shared" si="981"/>
        <v>11188076</v>
      </c>
      <c r="BP430" s="421">
        <f t="shared" si="982"/>
        <v>10129360</v>
      </c>
      <c r="BQ430" s="421">
        <f t="shared" si="982"/>
        <v>1058716</v>
      </c>
      <c r="BR430" s="421">
        <f t="shared" si="983"/>
        <v>0</v>
      </c>
      <c r="BS430" s="421">
        <f t="shared" si="984"/>
        <v>0</v>
      </c>
      <c r="BT430" s="421">
        <f t="shared" si="984"/>
        <v>0</v>
      </c>
      <c r="BU430" s="421">
        <f t="shared" si="985"/>
        <v>3781570</v>
      </c>
      <c r="BV430" s="421">
        <f t="shared" si="985"/>
        <v>111881</v>
      </c>
      <c r="BW430" s="421">
        <f t="shared" si="986"/>
        <v>206278</v>
      </c>
      <c r="BX430" s="422">
        <f t="shared" si="987"/>
        <v>16.7654</v>
      </c>
      <c r="BY430" s="422">
        <f t="shared" si="988"/>
        <v>13.6388</v>
      </c>
      <c r="BZ430" s="611">
        <f t="shared" si="988"/>
        <v>3.1266000000000003</v>
      </c>
      <c r="CA430" s="423"/>
      <c r="CB430" s="418"/>
      <c r="CC430" s="418"/>
      <c r="CD430" s="418"/>
      <c r="CE430" s="418"/>
      <c r="CF430" s="527"/>
    </row>
    <row r="431" spans="1:84" ht="14.1" customHeight="1" x14ac:dyDescent="0.2">
      <c r="A431" s="66">
        <v>84</v>
      </c>
      <c r="B431" s="63">
        <v>2495</v>
      </c>
      <c r="C431" s="64">
        <v>600080196</v>
      </c>
      <c r="D431" s="63">
        <v>70983810</v>
      </c>
      <c r="E431" s="65" t="s">
        <v>698</v>
      </c>
      <c r="F431" s="66">
        <v>3113</v>
      </c>
      <c r="G431" s="77" t="s">
        <v>292</v>
      </c>
      <c r="H431" s="67" t="s">
        <v>272</v>
      </c>
      <c r="I431" s="423">
        <f t="shared" si="882"/>
        <v>0</v>
      </c>
      <c r="J431" s="418">
        <f t="shared" si="883"/>
        <v>0</v>
      </c>
      <c r="K431" s="418">
        <v>0</v>
      </c>
      <c r="L431" s="418">
        <v>0</v>
      </c>
      <c r="M431" s="418">
        <f t="shared" si="884"/>
        <v>0</v>
      </c>
      <c r="N431" s="418">
        <v>0</v>
      </c>
      <c r="O431" s="418">
        <v>0</v>
      </c>
      <c r="P431" s="668">
        <f t="shared" si="885"/>
        <v>0</v>
      </c>
      <c r="Q431" s="668">
        <f t="shared" si="886"/>
        <v>0</v>
      </c>
      <c r="R431" s="418">
        <v>0</v>
      </c>
      <c r="S431" s="419">
        <f t="shared" si="887"/>
        <v>0</v>
      </c>
      <c r="T431" s="420">
        <v>0</v>
      </c>
      <c r="U431" s="426">
        <v>0</v>
      </c>
      <c r="V431" s="428">
        <f t="shared" si="888"/>
        <v>0</v>
      </c>
      <c r="W431" s="421">
        <f t="shared" si="889"/>
        <v>0</v>
      </c>
      <c r="X431" s="16">
        <v>2178916</v>
      </c>
      <c r="Y431" s="16">
        <v>0</v>
      </c>
      <c r="Z431" s="16">
        <v>0</v>
      </c>
      <c r="AA431" s="16">
        <v>0</v>
      </c>
      <c r="AB431" s="421">
        <v>0</v>
      </c>
      <c r="AC431" s="16">
        <v>0</v>
      </c>
      <c r="AD431" s="16">
        <v>0</v>
      </c>
      <c r="AE431" s="16">
        <v>0</v>
      </c>
      <c r="AF431" s="421">
        <f t="shared" si="890"/>
        <v>2178916</v>
      </c>
      <c r="AG431" s="421">
        <f t="shared" si="891"/>
        <v>0</v>
      </c>
      <c r="AH431" s="421">
        <f t="shared" si="892"/>
        <v>2178916</v>
      </c>
      <c r="AI431" s="16">
        <v>0</v>
      </c>
      <c r="AJ431" s="16">
        <v>0</v>
      </c>
      <c r="AK431" s="421">
        <v>0</v>
      </c>
      <c r="AL431" s="16">
        <v>0</v>
      </c>
      <c r="AM431" s="16">
        <v>0</v>
      </c>
      <c r="AN431" s="16">
        <v>0</v>
      </c>
      <c r="AO431" s="421">
        <f t="shared" si="893"/>
        <v>0</v>
      </c>
      <c r="AP431" s="16">
        <v>0</v>
      </c>
      <c r="AQ431" s="421">
        <f t="shared" si="895"/>
        <v>0</v>
      </c>
      <c r="AR431" s="421">
        <f t="shared" si="975"/>
        <v>2178916</v>
      </c>
      <c r="AS431" s="421">
        <f t="shared" si="975"/>
        <v>0</v>
      </c>
      <c r="AT431" s="421">
        <f t="shared" si="896"/>
        <v>2178916</v>
      </c>
      <c r="AU431" s="68">
        <f t="shared" si="976"/>
        <v>736474</v>
      </c>
      <c r="AV431" s="68">
        <f t="shared" si="977"/>
        <v>21789</v>
      </c>
      <c r="AW431" s="16">
        <v>0</v>
      </c>
      <c r="AX431" s="16">
        <v>0</v>
      </c>
      <c r="AY431" s="421">
        <f t="shared" si="897"/>
        <v>0</v>
      </c>
      <c r="AZ431" s="421">
        <f t="shared" si="898"/>
        <v>2937179</v>
      </c>
      <c r="BA431" s="13">
        <v>0</v>
      </c>
      <c r="BB431" s="13">
        <v>0</v>
      </c>
      <c r="BC431" s="13">
        <v>5.5</v>
      </c>
      <c r="BD431" s="422">
        <v>0</v>
      </c>
      <c r="BE431" s="422">
        <v>0</v>
      </c>
      <c r="BF431" s="422">
        <v>0</v>
      </c>
      <c r="BG431" s="422">
        <v>0</v>
      </c>
      <c r="BH431" s="422">
        <v>0</v>
      </c>
      <c r="BI431" s="422">
        <v>0</v>
      </c>
      <c r="BJ431" s="422">
        <v>0</v>
      </c>
      <c r="BK431" s="422">
        <f t="shared" si="978"/>
        <v>5.5</v>
      </c>
      <c r="BL431" s="422">
        <f t="shared" si="979"/>
        <v>0</v>
      </c>
      <c r="BM431" s="424">
        <f t="shared" si="899"/>
        <v>5.5</v>
      </c>
      <c r="BN431" s="427">
        <f t="shared" si="980"/>
        <v>2937179</v>
      </c>
      <c r="BO431" s="421">
        <f t="shared" si="981"/>
        <v>2178916</v>
      </c>
      <c r="BP431" s="421">
        <f t="shared" si="982"/>
        <v>2178916</v>
      </c>
      <c r="BQ431" s="421">
        <f t="shared" si="982"/>
        <v>0</v>
      </c>
      <c r="BR431" s="421">
        <f t="shared" si="983"/>
        <v>0</v>
      </c>
      <c r="BS431" s="421">
        <f t="shared" si="984"/>
        <v>0</v>
      </c>
      <c r="BT431" s="421">
        <f t="shared" si="984"/>
        <v>0</v>
      </c>
      <c r="BU431" s="421">
        <f t="shared" si="985"/>
        <v>736474</v>
      </c>
      <c r="BV431" s="421">
        <f t="shared" si="985"/>
        <v>21789</v>
      </c>
      <c r="BW431" s="421">
        <f t="shared" si="986"/>
        <v>0</v>
      </c>
      <c r="BX431" s="422">
        <f t="shared" si="987"/>
        <v>5.5</v>
      </c>
      <c r="BY431" s="422">
        <f t="shared" si="988"/>
        <v>5.5</v>
      </c>
      <c r="BZ431" s="611">
        <f t="shared" si="988"/>
        <v>0</v>
      </c>
      <c r="CA431" s="423"/>
      <c r="CB431" s="418"/>
      <c r="CC431" s="418"/>
      <c r="CD431" s="418"/>
      <c r="CE431" s="418"/>
      <c r="CF431" s="527"/>
    </row>
    <row r="432" spans="1:84" ht="14.1" customHeight="1" x14ac:dyDescent="0.2">
      <c r="A432" s="66">
        <v>84</v>
      </c>
      <c r="B432" s="63">
        <v>2495</v>
      </c>
      <c r="C432" s="64">
        <v>600080196</v>
      </c>
      <c r="D432" s="63">
        <v>70983810</v>
      </c>
      <c r="E432" s="65" t="s">
        <v>698</v>
      </c>
      <c r="F432" s="66">
        <v>3141</v>
      </c>
      <c r="G432" s="65" t="s">
        <v>295</v>
      </c>
      <c r="H432" s="67" t="s">
        <v>272</v>
      </c>
      <c r="I432" s="423">
        <f t="shared" si="882"/>
        <v>1645403</v>
      </c>
      <c r="J432" s="418">
        <f t="shared" si="883"/>
        <v>1213867</v>
      </c>
      <c r="K432" s="418">
        <v>0</v>
      </c>
      <c r="L432" s="924">
        <v>1213867</v>
      </c>
      <c r="M432" s="418">
        <f>N432+O432</f>
        <v>0</v>
      </c>
      <c r="N432" s="205">
        <v>0</v>
      </c>
      <c r="O432" s="205">
        <v>0</v>
      </c>
      <c r="P432" s="668">
        <f t="shared" si="885"/>
        <v>410287</v>
      </c>
      <c r="Q432" s="668">
        <f t="shared" si="886"/>
        <v>12139</v>
      </c>
      <c r="R432" s="674">
        <v>9110</v>
      </c>
      <c r="S432" s="419">
        <f>T432+U432</f>
        <v>3.6399999999999997</v>
      </c>
      <c r="T432" s="676">
        <v>0</v>
      </c>
      <c r="U432" s="909">
        <v>3.6399999999999997</v>
      </c>
      <c r="V432" s="428">
        <f t="shared" si="888"/>
        <v>0</v>
      </c>
      <c r="W432" s="421">
        <f t="shared" si="889"/>
        <v>0</v>
      </c>
      <c r="X432" s="421">
        <v>0</v>
      </c>
      <c r="Y432" s="421">
        <v>0</v>
      </c>
      <c r="Z432" s="421">
        <v>0</v>
      </c>
      <c r="AA432" s="421">
        <v>0</v>
      </c>
      <c r="AB432" s="421">
        <v>0</v>
      </c>
      <c r="AC432" s="421">
        <v>0</v>
      </c>
      <c r="AD432" s="421">
        <v>0</v>
      </c>
      <c r="AE432" s="421">
        <v>0</v>
      </c>
      <c r="AF432" s="421">
        <f t="shared" si="890"/>
        <v>0</v>
      </c>
      <c r="AG432" s="421">
        <f t="shared" si="891"/>
        <v>0</v>
      </c>
      <c r="AH432" s="421">
        <f t="shared" si="892"/>
        <v>0</v>
      </c>
      <c r="AI432" s="421">
        <v>0</v>
      </c>
      <c r="AJ432" s="421">
        <v>0</v>
      </c>
      <c r="AK432" s="421">
        <v>0</v>
      </c>
      <c r="AL432" s="421">
        <v>0</v>
      </c>
      <c r="AM432" s="421">
        <v>0</v>
      </c>
      <c r="AN432" s="421">
        <v>0</v>
      </c>
      <c r="AO432" s="421">
        <f t="shared" si="893"/>
        <v>0</v>
      </c>
      <c r="AP432" s="421">
        <f t="shared" si="894"/>
        <v>0</v>
      </c>
      <c r="AQ432" s="421">
        <f t="shared" si="895"/>
        <v>0</v>
      </c>
      <c r="AR432" s="421">
        <f t="shared" si="975"/>
        <v>0</v>
      </c>
      <c r="AS432" s="421">
        <f t="shared" si="975"/>
        <v>0</v>
      </c>
      <c r="AT432" s="421">
        <f t="shared" si="896"/>
        <v>0</v>
      </c>
      <c r="AU432" s="68">
        <f t="shared" si="976"/>
        <v>0</v>
      </c>
      <c r="AV432" s="68">
        <f t="shared" si="977"/>
        <v>0</v>
      </c>
      <c r="AW432" s="421">
        <v>0</v>
      </c>
      <c r="AX432" s="421">
        <v>0</v>
      </c>
      <c r="AY432" s="421">
        <f t="shared" si="897"/>
        <v>0</v>
      </c>
      <c r="AZ432" s="421">
        <f t="shared" si="898"/>
        <v>0</v>
      </c>
      <c r="BA432" s="422">
        <v>0</v>
      </c>
      <c r="BB432" s="422">
        <v>0</v>
      </c>
      <c r="BC432" s="422">
        <v>0</v>
      </c>
      <c r="BD432" s="422">
        <v>0</v>
      </c>
      <c r="BE432" s="422">
        <v>0</v>
      </c>
      <c r="BF432" s="422">
        <v>0</v>
      </c>
      <c r="BG432" s="422">
        <v>0</v>
      </c>
      <c r="BH432" s="422">
        <v>0</v>
      </c>
      <c r="BI432" s="422">
        <v>0</v>
      </c>
      <c r="BJ432" s="422">
        <v>0</v>
      </c>
      <c r="BK432" s="422">
        <f t="shared" si="978"/>
        <v>0</v>
      </c>
      <c r="BL432" s="422">
        <f t="shared" si="979"/>
        <v>0</v>
      </c>
      <c r="BM432" s="424">
        <f t="shared" si="899"/>
        <v>0</v>
      </c>
      <c r="BN432" s="427">
        <f t="shared" si="980"/>
        <v>1645403</v>
      </c>
      <c r="BO432" s="421">
        <f t="shared" si="981"/>
        <v>1213867</v>
      </c>
      <c r="BP432" s="421">
        <f t="shared" si="982"/>
        <v>0</v>
      </c>
      <c r="BQ432" s="421">
        <f t="shared" si="982"/>
        <v>1213867</v>
      </c>
      <c r="BR432" s="421">
        <f t="shared" si="983"/>
        <v>0</v>
      </c>
      <c r="BS432" s="421">
        <f t="shared" si="984"/>
        <v>0</v>
      </c>
      <c r="BT432" s="421">
        <f t="shared" si="984"/>
        <v>0</v>
      </c>
      <c r="BU432" s="421">
        <f t="shared" si="985"/>
        <v>410287</v>
      </c>
      <c r="BV432" s="421">
        <f t="shared" si="985"/>
        <v>12139</v>
      </c>
      <c r="BW432" s="421">
        <f t="shared" si="986"/>
        <v>9110</v>
      </c>
      <c r="BX432" s="422">
        <f t="shared" si="987"/>
        <v>3.6399999999999997</v>
      </c>
      <c r="BY432" s="422">
        <f t="shared" si="988"/>
        <v>0</v>
      </c>
      <c r="BZ432" s="611">
        <f t="shared" si="988"/>
        <v>3.6399999999999997</v>
      </c>
      <c r="CA432" s="423"/>
      <c r="CB432" s="418"/>
      <c r="CC432" s="418"/>
      <c r="CD432" s="418"/>
      <c r="CE432" s="418"/>
      <c r="CF432" s="527"/>
    </row>
    <row r="433" spans="1:84" ht="14.1" customHeight="1" x14ac:dyDescent="0.2">
      <c r="A433" s="66">
        <v>84</v>
      </c>
      <c r="B433" s="63">
        <v>2495</v>
      </c>
      <c r="C433" s="64">
        <v>600080196</v>
      </c>
      <c r="D433" s="63">
        <v>70983810</v>
      </c>
      <c r="E433" s="65" t="s">
        <v>698</v>
      </c>
      <c r="F433" s="66">
        <v>3143</v>
      </c>
      <c r="G433" s="77" t="s">
        <v>596</v>
      </c>
      <c r="H433" s="67" t="s">
        <v>271</v>
      </c>
      <c r="I433" s="423">
        <f t="shared" si="882"/>
        <v>2090533</v>
      </c>
      <c r="J433" s="418">
        <f t="shared" si="883"/>
        <v>1550841</v>
      </c>
      <c r="K433" s="418">
        <v>1550841</v>
      </c>
      <c r="L433" s="418">
        <v>0</v>
      </c>
      <c r="M433" s="418">
        <f t="shared" si="884"/>
        <v>0</v>
      </c>
      <c r="N433" s="418">
        <v>0</v>
      </c>
      <c r="O433" s="418">
        <v>0</v>
      </c>
      <c r="P433" s="668">
        <f t="shared" si="885"/>
        <v>524184</v>
      </c>
      <c r="Q433" s="668">
        <f t="shared" si="886"/>
        <v>15508</v>
      </c>
      <c r="R433" s="418">
        <v>0</v>
      </c>
      <c r="S433" s="419">
        <f t="shared" si="887"/>
        <v>2.9630000000000001</v>
      </c>
      <c r="T433" s="419">
        <v>2.9630000000000001</v>
      </c>
      <c r="U433" s="426">
        <v>0</v>
      </c>
      <c r="V433" s="428">
        <f t="shared" si="888"/>
        <v>0</v>
      </c>
      <c r="W433" s="421">
        <f t="shared" si="889"/>
        <v>0</v>
      </c>
      <c r="X433" s="421">
        <v>0</v>
      </c>
      <c r="Y433" s="421">
        <v>0</v>
      </c>
      <c r="Z433" s="421">
        <v>0</v>
      </c>
      <c r="AA433" s="421">
        <v>0</v>
      </c>
      <c r="AB433" s="421">
        <v>0</v>
      </c>
      <c r="AC433" s="421">
        <v>0</v>
      </c>
      <c r="AD433" s="421">
        <v>0</v>
      </c>
      <c r="AE433" s="421">
        <v>0</v>
      </c>
      <c r="AF433" s="421">
        <f t="shared" si="890"/>
        <v>0</v>
      </c>
      <c r="AG433" s="421">
        <f t="shared" si="891"/>
        <v>0</v>
      </c>
      <c r="AH433" s="421">
        <f t="shared" si="892"/>
        <v>0</v>
      </c>
      <c r="AI433" s="421">
        <v>0</v>
      </c>
      <c r="AJ433" s="421">
        <v>0</v>
      </c>
      <c r="AK433" s="421">
        <v>0</v>
      </c>
      <c r="AL433" s="421">
        <v>0</v>
      </c>
      <c r="AM433" s="421">
        <v>0</v>
      </c>
      <c r="AN433" s="421">
        <v>0</v>
      </c>
      <c r="AO433" s="421">
        <f t="shared" si="893"/>
        <v>0</v>
      </c>
      <c r="AP433" s="421">
        <f t="shared" si="894"/>
        <v>0</v>
      </c>
      <c r="AQ433" s="421">
        <f t="shared" si="895"/>
        <v>0</v>
      </c>
      <c r="AR433" s="421">
        <f t="shared" si="975"/>
        <v>0</v>
      </c>
      <c r="AS433" s="421">
        <f t="shared" si="975"/>
        <v>0</v>
      </c>
      <c r="AT433" s="421">
        <f t="shared" si="896"/>
        <v>0</v>
      </c>
      <c r="AU433" s="68">
        <f t="shared" si="976"/>
        <v>0</v>
      </c>
      <c r="AV433" s="68">
        <f t="shared" si="977"/>
        <v>0</v>
      </c>
      <c r="AW433" s="421">
        <v>0</v>
      </c>
      <c r="AX433" s="421">
        <v>0</v>
      </c>
      <c r="AY433" s="421">
        <f t="shared" si="897"/>
        <v>0</v>
      </c>
      <c r="AZ433" s="421">
        <f t="shared" si="898"/>
        <v>0</v>
      </c>
      <c r="BA433" s="422">
        <v>0</v>
      </c>
      <c r="BB433" s="422">
        <v>0</v>
      </c>
      <c r="BC433" s="422">
        <v>0</v>
      </c>
      <c r="BD433" s="422">
        <v>0</v>
      </c>
      <c r="BE433" s="422">
        <v>0</v>
      </c>
      <c r="BF433" s="422">
        <v>0</v>
      </c>
      <c r="BG433" s="422">
        <v>0</v>
      </c>
      <c r="BH433" s="422">
        <v>0</v>
      </c>
      <c r="BI433" s="422">
        <v>0</v>
      </c>
      <c r="BJ433" s="422">
        <v>0</v>
      </c>
      <c r="BK433" s="422">
        <f t="shared" si="978"/>
        <v>0</v>
      </c>
      <c r="BL433" s="422">
        <f t="shared" si="979"/>
        <v>0</v>
      </c>
      <c r="BM433" s="424">
        <f t="shared" si="899"/>
        <v>0</v>
      </c>
      <c r="BN433" s="427">
        <f t="shared" si="980"/>
        <v>2090533</v>
      </c>
      <c r="BO433" s="421">
        <f t="shared" si="981"/>
        <v>1550841</v>
      </c>
      <c r="BP433" s="421">
        <f t="shared" si="982"/>
        <v>1550841</v>
      </c>
      <c r="BQ433" s="421">
        <f t="shared" si="982"/>
        <v>0</v>
      </c>
      <c r="BR433" s="421">
        <f t="shared" si="983"/>
        <v>0</v>
      </c>
      <c r="BS433" s="421">
        <f t="shared" si="984"/>
        <v>0</v>
      </c>
      <c r="BT433" s="421">
        <f t="shared" si="984"/>
        <v>0</v>
      </c>
      <c r="BU433" s="421">
        <f t="shared" si="985"/>
        <v>524184</v>
      </c>
      <c r="BV433" s="421">
        <f t="shared" si="985"/>
        <v>15508</v>
      </c>
      <c r="BW433" s="421">
        <f t="shared" si="986"/>
        <v>0</v>
      </c>
      <c r="BX433" s="422">
        <f t="shared" si="987"/>
        <v>2.9630000000000001</v>
      </c>
      <c r="BY433" s="422">
        <f t="shared" si="988"/>
        <v>2.9630000000000001</v>
      </c>
      <c r="BZ433" s="611">
        <f t="shared" si="988"/>
        <v>0</v>
      </c>
      <c r="CA433" s="423"/>
      <c r="CB433" s="418"/>
      <c r="CC433" s="418"/>
      <c r="CD433" s="418"/>
      <c r="CE433" s="418"/>
      <c r="CF433" s="527"/>
    </row>
    <row r="434" spans="1:84" ht="14.1" customHeight="1" x14ac:dyDescent="0.2">
      <c r="A434" s="66">
        <v>84</v>
      </c>
      <c r="B434" s="63">
        <v>2495</v>
      </c>
      <c r="C434" s="64">
        <v>600080196</v>
      </c>
      <c r="D434" s="63">
        <v>70983810</v>
      </c>
      <c r="E434" s="65" t="s">
        <v>698</v>
      </c>
      <c r="F434" s="66">
        <v>3143</v>
      </c>
      <c r="G434" s="77" t="s">
        <v>597</v>
      </c>
      <c r="H434" s="67" t="s">
        <v>272</v>
      </c>
      <c r="I434" s="423">
        <f t="shared" si="882"/>
        <v>51231</v>
      </c>
      <c r="J434" s="418">
        <f t="shared" si="883"/>
        <v>36670</v>
      </c>
      <c r="K434" s="418">
        <v>0</v>
      </c>
      <c r="L434" s="674">
        <v>36670</v>
      </c>
      <c r="M434" s="418">
        <f t="shared" si="884"/>
        <v>0</v>
      </c>
      <c r="N434" s="418">
        <v>0</v>
      </c>
      <c r="O434" s="418">
        <v>0</v>
      </c>
      <c r="P434" s="668">
        <f t="shared" si="885"/>
        <v>12394</v>
      </c>
      <c r="Q434" s="668">
        <f t="shared" si="886"/>
        <v>367</v>
      </c>
      <c r="R434" s="675">
        <v>1800</v>
      </c>
      <c r="S434" s="419">
        <f t="shared" si="887"/>
        <v>0.1389</v>
      </c>
      <c r="T434" s="679">
        <v>0</v>
      </c>
      <c r="U434" s="909">
        <v>0.1389</v>
      </c>
      <c r="V434" s="428">
        <f t="shared" si="888"/>
        <v>0</v>
      </c>
      <c r="W434" s="421">
        <f t="shared" si="889"/>
        <v>0</v>
      </c>
      <c r="X434" s="421">
        <v>0</v>
      </c>
      <c r="Y434" s="421">
        <v>0</v>
      </c>
      <c r="Z434" s="421">
        <v>0</v>
      </c>
      <c r="AA434" s="421">
        <v>0</v>
      </c>
      <c r="AB434" s="421">
        <v>0</v>
      </c>
      <c r="AC434" s="421">
        <v>0</v>
      </c>
      <c r="AD434" s="421">
        <v>0</v>
      </c>
      <c r="AE434" s="421">
        <v>0</v>
      </c>
      <c r="AF434" s="421">
        <f t="shared" si="890"/>
        <v>0</v>
      </c>
      <c r="AG434" s="421">
        <f t="shared" si="891"/>
        <v>0</v>
      </c>
      <c r="AH434" s="421">
        <f t="shared" si="892"/>
        <v>0</v>
      </c>
      <c r="AI434" s="421">
        <v>0</v>
      </c>
      <c r="AJ434" s="421">
        <v>0</v>
      </c>
      <c r="AK434" s="421">
        <v>0</v>
      </c>
      <c r="AL434" s="421">
        <v>0</v>
      </c>
      <c r="AM434" s="421">
        <v>0</v>
      </c>
      <c r="AN434" s="421">
        <v>0</v>
      </c>
      <c r="AO434" s="421">
        <f t="shared" si="893"/>
        <v>0</v>
      </c>
      <c r="AP434" s="421">
        <f t="shared" si="894"/>
        <v>0</v>
      </c>
      <c r="AQ434" s="421">
        <f t="shared" si="895"/>
        <v>0</v>
      </c>
      <c r="AR434" s="421">
        <f t="shared" si="975"/>
        <v>0</v>
      </c>
      <c r="AS434" s="421">
        <f t="shared" si="975"/>
        <v>0</v>
      </c>
      <c r="AT434" s="421">
        <f t="shared" si="896"/>
        <v>0</v>
      </c>
      <c r="AU434" s="68">
        <f t="shared" si="976"/>
        <v>0</v>
      </c>
      <c r="AV434" s="68">
        <f t="shared" si="977"/>
        <v>0</v>
      </c>
      <c r="AW434" s="421">
        <v>0</v>
      </c>
      <c r="AX434" s="421">
        <v>0</v>
      </c>
      <c r="AY434" s="421">
        <f t="shared" si="897"/>
        <v>0</v>
      </c>
      <c r="AZ434" s="421">
        <f t="shared" si="898"/>
        <v>0</v>
      </c>
      <c r="BA434" s="422">
        <v>0</v>
      </c>
      <c r="BB434" s="422">
        <v>0</v>
      </c>
      <c r="BC434" s="422">
        <v>0</v>
      </c>
      <c r="BD434" s="422">
        <v>0</v>
      </c>
      <c r="BE434" s="422">
        <v>0</v>
      </c>
      <c r="BF434" s="422">
        <v>0</v>
      </c>
      <c r="BG434" s="422">
        <v>0</v>
      </c>
      <c r="BH434" s="422">
        <v>0</v>
      </c>
      <c r="BI434" s="422">
        <v>0</v>
      </c>
      <c r="BJ434" s="422">
        <v>0</v>
      </c>
      <c r="BK434" s="422">
        <f t="shared" si="978"/>
        <v>0</v>
      </c>
      <c r="BL434" s="422">
        <f t="shared" si="979"/>
        <v>0</v>
      </c>
      <c r="BM434" s="424">
        <f t="shared" si="899"/>
        <v>0</v>
      </c>
      <c r="BN434" s="427">
        <f t="shared" si="980"/>
        <v>51231</v>
      </c>
      <c r="BO434" s="421">
        <f t="shared" si="981"/>
        <v>36670</v>
      </c>
      <c r="BP434" s="421">
        <f t="shared" si="982"/>
        <v>0</v>
      </c>
      <c r="BQ434" s="421">
        <f t="shared" si="982"/>
        <v>36670</v>
      </c>
      <c r="BR434" s="421">
        <f t="shared" si="983"/>
        <v>0</v>
      </c>
      <c r="BS434" s="421">
        <f t="shared" si="984"/>
        <v>0</v>
      </c>
      <c r="BT434" s="421">
        <f t="shared" si="984"/>
        <v>0</v>
      </c>
      <c r="BU434" s="421">
        <f t="shared" si="985"/>
        <v>12394</v>
      </c>
      <c r="BV434" s="421">
        <f t="shared" si="985"/>
        <v>367</v>
      </c>
      <c r="BW434" s="421">
        <f t="shared" si="986"/>
        <v>1800</v>
      </c>
      <c r="BX434" s="422">
        <f t="shared" si="987"/>
        <v>0.1389</v>
      </c>
      <c r="BY434" s="422">
        <f t="shared" si="988"/>
        <v>0</v>
      </c>
      <c r="BZ434" s="611">
        <f t="shared" si="988"/>
        <v>0.1389</v>
      </c>
      <c r="CA434" s="423"/>
      <c r="CB434" s="418"/>
      <c r="CC434" s="418"/>
      <c r="CD434" s="418"/>
      <c r="CE434" s="418"/>
      <c r="CF434" s="527"/>
    </row>
    <row r="435" spans="1:84" ht="14.1" customHeight="1" x14ac:dyDescent="0.2">
      <c r="A435" s="72">
        <v>84</v>
      </c>
      <c r="B435" s="69">
        <v>2495</v>
      </c>
      <c r="C435" s="70">
        <v>600080196</v>
      </c>
      <c r="D435" s="69">
        <v>70983810</v>
      </c>
      <c r="E435" s="71" t="s">
        <v>699</v>
      </c>
      <c r="F435" s="72"/>
      <c r="G435" s="71"/>
      <c r="H435" s="73"/>
      <c r="I435" s="538">
        <f t="shared" ref="I435:BU435" si="989">SUM(I429:I434)</f>
        <v>23895443</v>
      </c>
      <c r="J435" s="74">
        <f t="shared" si="989"/>
        <v>17550371</v>
      </c>
      <c r="K435" s="74">
        <f t="shared" si="989"/>
        <v>15041414</v>
      </c>
      <c r="L435" s="74">
        <f t="shared" si="989"/>
        <v>2508957</v>
      </c>
      <c r="M435" s="74">
        <f t="shared" si="989"/>
        <v>0</v>
      </c>
      <c r="N435" s="74">
        <f t="shared" si="989"/>
        <v>0</v>
      </c>
      <c r="O435" s="74">
        <f t="shared" si="989"/>
        <v>0</v>
      </c>
      <c r="P435" s="74">
        <f t="shared" si="989"/>
        <v>5932025</v>
      </c>
      <c r="Q435" s="74">
        <f t="shared" si="989"/>
        <v>175504</v>
      </c>
      <c r="R435" s="74">
        <f t="shared" si="989"/>
        <v>237543</v>
      </c>
      <c r="S435" s="75">
        <f t="shared" si="989"/>
        <v>30.14</v>
      </c>
      <c r="T435" s="75">
        <f t="shared" si="989"/>
        <v>22.4344</v>
      </c>
      <c r="U435" s="753">
        <f t="shared" si="989"/>
        <v>7.7055999999999996</v>
      </c>
      <c r="V435" s="538">
        <f t="shared" si="989"/>
        <v>0</v>
      </c>
      <c r="W435" s="74">
        <f t="shared" si="989"/>
        <v>0</v>
      </c>
      <c r="X435" s="74">
        <f t="shared" si="989"/>
        <v>2178916</v>
      </c>
      <c r="Y435" s="74">
        <f t="shared" si="989"/>
        <v>0</v>
      </c>
      <c r="Z435" s="74">
        <f t="shared" si="989"/>
        <v>0</v>
      </c>
      <c r="AA435" s="74">
        <f t="shared" si="989"/>
        <v>0</v>
      </c>
      <c r="AB435" s="74">
        <f t="shared" si="989"/>
        <v>0</v>
      </c>
      <c r="AC435" s="74">
        <f t="shared" si="989"/>
        <v>0</v>
      </c>
      <c r="AD435" s="74">
        <f t="shared" si="989"/>
        <v>0</v>
      </c>
      <c r="AE435" s="74">
        <f t="shared" si="989"/>
        <v>0</v>
      </c>
      <c r="AF435" s="74">
        <f t="shared" si="989"/>
        <v>2178916</v>
      </c>
      <c r="AG435" s="74">
        <f t="shared" si="989"/>
        <v>0</v>
      </c>
      <c r="AH435" s="74">
        <f t="shared" si="989"/>
        <v>2178916</v>
      </c>
      <c r="AI435" s="74">
        <f t="shared" si="989"/>
        <v>0</v>
      </c>
      <c r="AJ435" s="74">
        <f t="shared" si="989"/>
        <v>0</v>
      </c>
      <c r="AK435" s="74">
        <f t="shared" si="989"/>
        <v>0</v>
      </c>
      <c r="AL435" s="74">
        <f t="shared" si="989"/>
        <v>0</v>
      </c>
      <c r="AM435" s="74">
        <f t="shared" si="989"/>
        <v>0</v>
      </c>
      <c r="AN435" s="74">
        <f t="shared" si="989"/>
        <v>0</v>
      </c>
      <c r="AO435" s="74">
        <f t="shared" si="989"/>
        <v>0</v>
      </c>
      <c r="AP435" s="74">
        <f t="shared" si="989"/>
        <v>0</v>
      </c>
      <c r="AQ435" s="74">
        <f t="shared" si="989"/>
        <v>0</v>
      </c>
      <c r="AR435" s="74">
        <f t="shared" si="989"/>
        <v>2178916</v>
      </c>
      <c r="AS435" s="74">
        <f t="shared" si="989"/>
        <v>0</v>
      </c>
      <c r="AT435" s="74">
        <f t="shared" si="989"/>
        <v>2178916</v>
      </c>
      <c r="AU435" s="74">
        <f t="shared" si="989"/>
        <v>736474</v>
      </c>
      <c r="AV435" s="74">
        <f t="shared" si="989"/>
        <v>21789</v>
      </c>
      <c r="AW435" s="74">
        <f t="shared" si="989"/>
        <v>0</v>
      </c>
      <c r="AX435" s="74">
        <f t="shared" si="989"/>
        <v>0</v>
      </c>
      <c r="AY435" s="74">
        <f t="shared" si="989"/>
        <v>0</v>
      </c>
      <c r="AZ435" s="74">
        <f t="shared" si="989"/>
        <v>2937179</v>
      </c>
      <c r="BA435" s="75">
        <f t="shared" si="989"/>
        <v>0</v>
      </c>
      <c r="BB435" s="75">
        <f t="shared" si="989"/>
        <v>0</v>
      </c>
      <c r="BC435" s="75">
        <f t="shared" si="989"/>
        <v>5.5</v>
      </c>
      <c r="BD435" s="75">
        <f t="shared" si="989"/>
        <v>0</v>
      </c>
      <c r="BE435" s="75">
        <f t="shared" si="989"/>
        <v>0</v>
      </c>
      <c r="BF435" s="75">
        <f t="shared" si="989"/>
        <v>0</v>
      </c>
      <c r="BG435" s="75">
        <f t="shared" si="989"/>
        <v>0</v>
      </c>
      <c r="BH435" s="75">
        <f t="shared" si="989"/>
        <v>0</v>
      </c>
      <c r="BI435" s="75">
        <f t="shared" si="989"/>
        <v>0</v>
      </c>
      <c r="BJ435" s="75">
        <f t="shared" si="989"/>
        <v>0</v>
      </c>
      <c r="BK435" s="75">
        <f t="shared" si="989"/>
        <v>5.5</v>
      </c>
      <c r="BL435" s="75">
        <f t="shared" si="989"/>
        <v>0</v>
      </c>
      <c r="BM435" s="76">
        <f t="shared" si="989"/>
        <v>5.5</v>
      </c>
      <c r="BN435" s="549">
        <f t="shared" si="989"/>
        <v>26832622</v>
      </c>
      <c r="BO435" s="74">
        <f t="shared" si="989"/>
        <v>19729287</v>
      </c>
      <c r="BP435" s="74">
        <f t="shared" si="989"/>
        <v>17220330</v>
      </c>
      <c r="BQ435" s="74">
        <f t="shared" si="989"/>
        <v>2508957</v>
      </c>
      <c r="BR435" s="74">
        <f t="shared" si="989"/>
        <v>0</v>
      </c>
      <c r="BS435" s="74">
        <f t="shared" si="989"/>
        <v>0</v>
      </c>
      <c r="BT435" s="74">
        <f t="shared" si="989"/>
        <v>0</v>
      </c>
      <c r="BU435" s="74">
        <f t="shared" si="989"/>
        <v>6668499</v>
      </c>
      <c r="BV435" s="74">
        <f t="shared" ref="BV435:CF435" si="990">SUM(BV429:BV434)</f>
        <v>197293</v>
      </c>
      <c r="BW435" s="74">
        <f t="shared" si="990"/>
        <v>237543</v>
      </c>
      <c r="BX435" s="75">
        <f t="shared" si="990"/>
        <v>35.64</v>
      </c>
      <c r="BY435" s="75">
        <f t="shared" si="990"/>
        <v>27.9344</v>
      </c>
      <c r="BZ435" s="753">
        <f t="shared" si="990"/>
        <v>7.7055999999999996</v>
      </c>
      <c r="CA435" s="796">
        <f t="shared" si="990"/>
        <v>0</v>
      </c>
      <c r="CB435" s="789">
        <f t="shared" si="990"/>
        <v>0</v>
      </c>
      <c r="CC435" s="789">
        <f t="shared" si="990"/>
        <v>0</v>
      </c>
      <c r="CD435" s="789">
        <f t="shared" si="990"/>
        <v>0</v>
      </c>
      <c r="CE435" s="789">
        <f t="shared" si="990"/>
        <v>0</v>
      </c>
      <c r="CF435" s="793">
        <f t="shared" si="990"/>
        <v>0</v>
      </c>
    </row>
    <row r="436" spans="1:84" ht="14.1" customHeight="1" x14ac:dyDescent="0.2">
      <c r="A436" s="66">
        <v>85</v>
      </c>
      <c r="B436" s="63">
        <v>2305</v>
      </c>
      <c r="C436" s="64">
        <v>650026080</v>
      </c>
      <c r="D436" s="63">
        <v>72741686</v>
      </c>
      <c r="E436" s="65" t="s">
        <v>700</v>
      </c>
      <c r="F436" s="66">
        <v>3111</v>
      </c>
      <c r="G436" s="65" t="s">
        <v>291</v>
      </c>
      <c r="H436" s="67" t="s">
        <v>271</v>
      </c>
      <c r="I436" s="423">
        <f t="shared" si="882"/>
        <v>3180445</v>
      </c>
      <c r="J436" s="418">
        <f t="shared" si="883"/>
        <v>2351061</v>
      </c>
      <c r="K436" s="418">
        <v>2217925</v>
      </c>
      <c r="L436" s="418">
        <v>133136</v>
      </c>
      <c r="M436" s="418">
        <f t="shared" ref="M436:M437" si="991">N436+O436</f>
        <v>0</v>
      </c>
      <c r="N436" s="418">
        <v>0</v>
      </c>
      <c r="O436" s="418">
        <v>0</v>
      </c>
      <c r="P436" s="668">
        <f t="shared" si="885"/>
        <v>794659</v>
      </c>
      <c r="Q436" s="668">
        <f t="shared" si="886"/>
        <v>23511</v>
      </c>
      <c r="R436" s="418">
        <v>11214</v>
      </c>
      <c r="S436" s="419">
        <f t="shared" si="887"/>
        <v>4.4043999999999999</v>
      </c>
      <c r="T436" s="419">
        <v>3.871</v>
      </c>
      <c r="U436" s="426">
        <v>0.53339999999999999</v>
      </c>
      <c r="V436" s="428">
        <f t="shared" si="888"/>
        <v>0</v>
      </c>
      <c r="W436" s="421">
        <f t="shared" si="889"/>
        <v>0</v>
      </c>
      <c r="X436" s="421">
        <v>0</v>
      </c>
      <c r="Y436" s="421">
        <v>0</v>
      </c>
      <c r="Z436" s="421">
        <v>0</v>
      </c>
      <c r="AA436" s="421">
        <v>0</v>
      </c>
      <c r="AB436" s="421">
        <v>0</v>
      </c>
      <c r="AC436" s="421">
        <v>0</v>
      </c>
      <c r="AD436" s="421">
        <v>0</v>
      </c>
      <c r="AE436" s="421">
        <v>0</v>
      </c>
      <c r="AF436" s="421">
        <f t="shared" si="890"/>
        <v>0</v>
      </c>
      <c r="AG436" s="421">
        <f t="shared" si="891"/>
        <v>0</v>
      </c>
      <c r="AH436" s="421">
        <f t="shared" si="892"/>
        <v>0</v>
      </c>
      <c r="AI436" s="421">
        <v>0</v>
      </c>
      <c r="AJ436" s="421">
        <v>0</v>
      </c>
      <c r="AK436" s="421">
        <v>0</v>
      </c>
      <c r="AL436" s="421">
        <v>0</v>
      </c>
      <c r="AM436" s="421">
        <v>0</v>
      </c>
      <c r="AN436" s="421">
        <v>0</v>
      </c>
      <c r="AO436" s="421">
        <f t="shared" si="893"/>
        <v>0</v>
      </c>
      <c r="AP436" s="421">
        <f t="shared" si="894"/>
        <v>0</v>
      </c>
      <c r="AQ436" s="421">
        <f t="shared" si="895"/>
        <v>0</v>
      </c>
      <c r="AR436" s="421">
        <f t="shared" ref="AR436:AS441" si="992">AF436+AO436</f>
        <v>0</v>
      </c>
      <c r="AS436" s="421">
        <f t="shared" si="992"/>
        <v>0</v>
      </c>
      <c r="AT436" s="421">
        <f t="shared" si="896"/>
        <v>0</v>
      </c>
      <c r="AU436" s="68">
        <f t="shared" ref="AU436:AU441" si="993">ROUND((AH436+AI436+AJ436+AK436+AL436)*33.8%,0)</f>
        <v>0</v>
      </c>
      <c r="AV436" s="68">
        <f t="shared" ref="AV436:AV441" si="994">ROUND(AH436*1%,0)</f>
        <v>0</v>
      </c>
      <c r="AW436" s="421">
        <v>0</v>
      </c>
      <c r="AX436" s="421">
        <v>0</v>
      </c>
      <c r="AY436" s="421">
        <f t="shared" si="897"/>
        <v>0</v>
      </c>
      <c r="AZ436" s="421">
        <f t="shared" si="898"/>
        <v>0</v>
      </c>
      <c r="BA436" s="422">
        <v>0</v>
      </c>
      <c r="BB436" s="422">
        <v>0</v>
      </c>
      <c r="BC436" s="422">
        <v>0</v>
      </c>
      <c r="BD436" s="422">
        <v>0</v>
      </c>
      <c r="BE436" s="422">
        <v>0</v>
      </c>
      <c r="BF436" s="422">
        <v>0</v>
      </c>
      <c r="BG436" s="422">
        <v>0</v>
      </c>
      <c r="BH436" s="422">
        <v>0</v>
      </c>
      <c r="BI436" s="422">
        <v>0</v>
      </c>
      <c r="BJ436" s="422">
        <v>0</v>
      </c>
      <c r="BK436" s="422">
        <f t="shared" ref="BK436:BK441" si="995">BA436+BC436+BD436+BF436+BH436+BI436</f>
        <v>0</v>
      </c>
      <c r="BL436" s="422">
        <f t="shared" ref="BL436:BL441" si="996">BB436+BE436+BG436+BJ436</f>
        <v>0</v>
      </c>
      <c r="BM436" s="424">
        <f t="shared" si="899"/>
        <v>0</v>
      </c>
      <c r="BN436" s="427">
        <f t="shared" ref="BN436:BN441" si="997">I436+AZ436</f>
        <v>3180445</v>
      </c>
      <c r="BO436" s="421">
        <f t="shared" ref="BO436:BO441" si="998">J436+AH436</f>
        <v>2351061</v>
      </c>
      <c r="BP436" s="421">
        <f t="shared" ref="BP436:BQ441" si="999">K436+AF436</f>
        <v>2217925</v>
      </c>
      <c r="BQ436" s="421">
        <f t="shared" si="999"/>
        <v>133136</v>
      </c>
      <c r="BR436" s="421">
        <f t="shared" ref="BR436:BR441" si="1000">M436+AQ436</f>
        <v>0</v>
      </c>
      <c r="BS436" s="421">
        <f t="shared" ref="BS436:BT441" si="1001">N436+AO436</f>
        <v>0</v>
      </c>
      <c r="BT436" s="421">
        <f t="shared" si="1001"/>
        <v>0</v>
      </c>
      <c r="BU436" s="421">
        <f t="shared" ref="BU436:BV441" si="1002">P436+AU436</f>
        <v>794659</v>
      </c>
      <c r="BV436" s="421">
        <f t="shared" si="1002"/>
        <v>23511</v>
      </c>
      <c r="BW436" s="421">
        <f t="shared" ref="BW436:BW441" si="1003">R436+AY436</f>
        <v>11214</v>
      </c>
      <c r="BX436" s="422">
        <f t="shared" ref="BX436:BX441" si="1004">S436+BM436</f>
        <v>4.4043999999999999</v>
      </c>
      <c r="BY436" s="422">
        <f t="shared" ref="BY436:BZ441" si="1005">T436+BK436</f>
        <v>3.871</v>
      </c>
      <c r="BZ436" s="611">
        <f t="shared" si="1005"/>
        <v>0.53339999999999999</v>
      </c>
      <c r="CA436" s="423"/>
      <c r="CB436" s="418"/>
      <c r="CC436" s="418"/>
      <c r="CD436" s="418"/>
      <c r="CE436" s="418"/>
      <c r="CF436" s="527"/>
    </row>
    <row r="437" spans="1:84" ht="14.1" customHeight="1" x14ac:dyDescent="0.2">
      <c r="A437" s="66">
        <v>85</v>
      </c>
      <c r="B437" s="63">
        <v>2305</v>
      </c>
      <c r="C437" s="64">
        <v>650026080</v>
      </c>
      <c r="D437" s="63">
        <v>72741686</v>
      </c>
      <c r="E437" s="65" t="s">
        <v>700</v>
      </c>
      <c r="F437" s="66">
        <v>3117</v>
      </c>
      <c r="G437" s="65" t="s">
        <v>294</v>
      </c>
      <c r="H437" s="67" t="s">
        <v>271</v>
      </c>
      <c r="I437" s="423">
        <f t="shared" si="882"/>
        <v>6818020</v>
      </c>
      <c r="J437" s="418">
        <f t="shared" si="883"/>
        <v>4989389</v>
      </c>
      <c r="K437" s="418">
        <v>4401789</v>
      </c>
      <c r="L437" s="418">
        <v>587600</v>
      </c>
      <c r="M437" s="418">
        <f t="shared" si="991"/>
        <v>0</v>
      </c>
      <c r="N437" s="418">
        <v>0</v>
      </c>
      <c r="O437" s="418">
        <v>0</v>
      </c>
      <c r="P437" s="668">
        <f t="shared" si="885"/>
        <v>1686413</v>
      </c>
      <c r="Q437" s="668">
        <f t="shared" si="886"/>
        <v>49894</v>
      </c>
      <c r="R437" s="418">
        <v>92324</v>
      </c>
      <c r="S437" s="419">
        <f>T437+U437</f>
        <v>8.4432000000000009</v>
      </c>
      <c r="T437" s="419">
        <v>6.8544</v>
      </c>
      <c r="U437" s="426">
        <v>1.5888</v>
      </c>
      <c r="V437" s="428">
        <f t="shared" si="888"/>
        <v>-32000</v>
      </c>
      <c r="W437" s="421">
        <f t="shared" si="889"/>
        <v>0</v>
      </c>
      <c r="X437" s="421">
        <v>0</v>
      </c>
      <c r="Y437" s="421">
        <v>0</v>
      </c>
      <c r="Z437" s="421">
        <v>0</v>
      </c>
      <c r="AA437" s="421">
        <v>0</v>
      </c>
      <c r="AB437" s="421">
        <v>0</v>
      </c>
      <c r="AC437" s="421">
        <v>0</v>
      </c>
      <c r="AD437" s="421">
        <v>0</v>
      </c>
      <c r="AE437" s="421">
        <v>0</v>
      </c>
      <c r="AF437" s="421">
        <f t="shared" si="890"/>
        <v>-32000</v>
      </c>
      <c r="AG437" s="421">
        <f t="shared" si="891"/>
        <v>0</v>
      </c>
      <c r="AH437" s="421">
        <f t="shared" si="892"/>
        <v>-32000</v>
      </c>
      <c r="AI437" s="421">
        <v>32000</v>
      </c>
      <c r="AJ437" s="421">
        <v>0</v>
      </c>
      <c r="AK437" s="421">
        <v>0</v>
      </c>
      <c r="AL437" s="421">
        <v>0</v>
      </c>
      <c r="AM437" s="421">
        <v>0</v>
      </c>
      <c r="AN437" s="421">
        <v>0</v>
      </c>
      <c r="AO437" s="421">
        <f t="shared" si="893"/>
        <v>32000</v>
      </c>
      <c r="AP437" s="421">
        <f t="shared" si="894"/>
        <v>0</v>
      </c>
      <c r="AQ437" s="421">
        <f t="shared" si="895"/>
        <v>32000</v>
      </c>
      <c r="AR437" s="421">
        <f t="shared" si="992"/>
        <v>0</v>
      </c>
      <c r="AS437" s="421">
        <f t="shared" si="992"/>
        <v>0</v>
      </c>
      <c r="AT437" s="421">
        <f t="shared" si="896"/>
        <v>0</v>
      </c>
      <c r="AU437" s="68">
        <f t="shared" si="993"/>
        <v>0</v>
      </c>
      <c r="AV437" s="68">
        <f t="shared" si="994"/>
        <v>-320</v>
      </c>
      <c r="AW437" s="421">
        <v>0</v>
      </c>
      <c r="AX437" s="421">
        <v>0</v>
      </c>
      <c r="AY437" s="421">
        <f t="shared" si="897"/>
        <v>0</v>
      </c>
      <c r="AZ437" s="421">
        <f t="shared" si="898"/>
        <v>-320</v>
      </c>
      <c r="BA437" s="422">
        <v>-0.05</v>
      </c>
      <c r="BB437" s="422">
        <v>0</v>
      </c>
      <c r="BC437" s="422">
        <v>0</v>
      </c>
      <c r="BD437" s="422">
        <v>0</v>
      </c>
      <c r="BE437" s="422">
        <v>0</v>
      </c>
      <c r="BF437" s="422">
        <v>0</v>
      </c>
      <c r="BG437" s="422">
        <v>0</v>
      </c>
      <c r="BH437" s="422">
        <v>0</v>
      </c>
      <c r="BI437" s="422">
        <v>0</v>
      </c>
      <c r="BJ437" s="422">
        <v>0</v>
      </c>
      <c r="BK437" s="422">
        <f t="shared" si="995"/>
        <v>-0.05</v>
      </c>
      <c r="BL437" s="422">
        <f t="shared" si="996"/>
        <v>0</v>
      </c>
      <c r="BM437" s="424">
        <f t="shared" si="899"/>
        <v>-0.05</v>
      </c>
      <c r="BN437" s="427">
        <f t="shared" si="997"/>
        <v>6817700</v>
      </c>
      <c r="BO437" s="421">
        <f t="shared" si="998"/>
        <v>4957389</v>
      </c>
      <c r="BP437" s="421">
        <f t="shared" si="999"/>
        <v>4369789</v>
      </c>
      <c r="BQ437" s="421">
        <f t="shared" si="999"/>
        <v>587600</v>
      </c>
      <c r="BR437" s="421">
        <f t="shared" si="1000"/>
        <v>32000</v>
      </c>
      <c r="BS437" s="421">
        <f t="shared" si="1001"/>
        <v>32000</v>
      </c>
      <c r="BT437" s="421">
        <f t="shared" si="1001"/>
        <v>0</v>
      </c>
      <c r="BU437" s="421">
        <f t="shared" si="1002"/>
        <v>1686413</v>
      </c>
      <c r="BV437" s="421">
        <f t="shared" si="1002"/>
        <v>49574</v>
      </c>
      <c r="BW437" s="421">
        <f t="shared" si="1003"/>
        <v>92324</v>
      </c>
      <c r="BX437" s="422">
        <f t="shared" si="1004"/>
        <v>8.3932000000000002</v>
      </c>
      <c r="BY437" s="422">
        <f t="shared" si="1005"/>
        <v>6.8044000000000002</v>
      </c>
      <c r="BZ437" s="611">
        <f t="shared" si="1005"/>
        <v>1.5888</v>
      </c>
      <c r="CA437" s="423"/>
      <c r="CB437" s="418"/>
      <c r="CC437" s="418"/>
      <c r="CD437" s="418"/>
      <c r="CE437" s="418"/>
      <c r="CF437" s="527"/>
    </row>
    <row r="438" spans="1:84" ht="14.1" customHeight="1" x14ac:dyDescent="0.2">
      <c r="A438" s="66">
        <v>85</v>
      </c>
      <c r="B438" s="63">
        <v>2305</v>
      </c>
      <c r="C438" s="64">
        <v>650026080</v>
      </c>
      <c r="D438" s="63">
        <v>72741686</v>
      </c>
      <c r="E438" s="65" t="s">
        <v>700</v>
      </c>
      <c r="F438" s="66">
        <v>3117</v>
      </c>
      <c r="G438" s="77" t="s">
        <v>292</v>
      </c>
      <c r="H438" s="67" t="s">
        <v>272</v>
      </c>
      <c r="I438" s="423">
        <f t="shared" si="882"/>
        <v>0</v>
      </c>
      <c r="J438" s="418">
        <f t="shared" si="883"/>
        <v>0</v>
      </c>
      <c r="K438" s="418">
        <v>0</v>
      </c>
      <c r="L438" s="418">
        <v>0</v>
      </c>
      <c r="M438" s="418">
        <f t="shared" si="884"/>
        <v>0</v>
      </c>
      <c r="N438" s="418">
        <v>0</v>
      </c>
      <c r="O438" s="418">
        <v>0</v>
      </c>
      <c r="P438" s="668">
        <f t="shared" si="885"/>
        <v>0</v>
      </c>
      <c r="Q438" s="668">
        <f t="shared" si="886"/>
        <v>0</v>
      </c>
      <c r="R438" s="418">
        <v>0</v>
      </c>
      <c r="S438" s="419">
        <f t="shared" si="887"/>
        <v>0</v>
      </c>
      <c r="T438" s="420">
        <v>0</v>
      </c>
      <c r="U438" s="426">
        <v>0</v>
      </c>
      <c r="V438" s="428">
        <f t="shared" si="888"/>
        <v>0</v>
      </c>
      <c r="W438" s="421">
        <f t="shared" si="889"/>
        <v>0</v>
      </c>
      <c r="X438" s="16">
        <v>1286618</v>
      </c>
      <c r="Y438" s="16">
        <v>0</v>
      </c>
      <c r="Z438" s="16">
        <v>0</v>
      </c>
      <c r="AA438" s="16">
        <v>0</v>
      </c>
      <c r="AB438" s="421">
        <v>0</v>
      </c>
      <c r="AC438" s="16">
        <v>0</v>
      </c>
      <c r="AD438" s="16">
        <v>0</v>
      </c>
      <c r="AE438" s="16">
        <v>0</v>
      </c>
      <c r="AF438" s="421">
        <f t="shared" si="890"/>
        <v>1286618</v>
      </c>
      <c r="AG438" s="421">
        <f t="shared" si="891"/>
        <v>0</v>
      </c>
      <c r="AH438" s="421">
        <f t="shared" si="892"/>
        <v>1286618</v>
      </c>
      <c r="AI438" s="16">
        <v>0</v>
      </c>
      <c r="AJ438" s="16">
        <v>0</v>
      </c>
      <c r="AK438" s="421">
        <v>0</v>
      </c>
      <c r="AL438" s="16">
        <v>0</v>
      </c>
      <c r="AM438" s="16">
        <v>0</v>
      </c>
      <c r="AN438" s="16">
        <v>0</v>
      </c>
      <c r="AO438" s="421">
        <f t="shared" si="893"/>
        <v>0</v>
      </c>
      <c r="AP438" s="16">
        <v>0</v>
      </c>
      <c r="AQ438" s="421">
        <f t="shared" si="895"/>
        <v>0</v>
      </c>
      <c r="AR438" s="421">
        <f t="shared" si="992"/>
        <v>1286618</v>
      </c>
      <c r="AS438" s="421">
        <f t="shared" si="992"/>
        <v>0</v>
      </c>
      <c r="AT438" s="421">
        <f t="shared" si="896"/>
        <v>1286618</v>
      </c>
      <c r="AU438" s="68">
        <f t="shared" si="993"/>
        <v>434877</v>
      </c>
      <c r="AV438" s="68">
        <f t="shared" si="994"/>
        <v>12866</v>
      </c>
      <c r="AW438" s="16">
        <v>0</v>
      </c>
      <c r="AX438" s="16">
        <v>0</v>
      </c>
      <c r="AY438" s="421">
        <f t="shared" si="897"/>
        <v>0</v>
      </c>
      <c r="AZ438" s="421">
        <f t="shared" si="898"/>
        <v>1734361</v>
      </c>
      <c r="BA438" s="13">
        <v>0</v>
      </c>
      <c r="BB438" s="13">
        <v>0</v>
      </c>
      <c r="BC438" s="13">
        <v>3.41</v>
      </c>
      <c r="BD438" s="422">
        <v>0</v>
      </c>
      <c r="BE438" s="422">
        <v>0</v>
      </c>
      <c r="BF438" s="422">
        <v>0</v>
      </c>
      <c r="BG438" s="422">
        <v>0</v>
      </c>
      <c r="BH438" s="422">
        <v>0</v>
      </c>
      <c r="BI438" s="422">
        <v>0</v>
      </c>
      <c r="BJ438" s="422">
        <v>0</v>
      </c>
      <c r="BK438" s="422">
        <f t="shared" si="995"/>
        <v>3.41</v>
      </c>
      <c r="BL438" s="422">
        <f t="shared" si="996"/>
        <v>0</v>
      </c>
      <c r="BM438" s="424">
        <f t="shared" si="899"/>
        <v>3.41</v>
      </c>
      <c r="BN438" s="427">
        <f t="shared" si="997"/>
        <v>1734361</v>
      </c>
      <c r="BO438" s="421">
        <f t="shared" si="998"/>
        <v>1286618</v>
      </c>
      <c r="BP438" s="421">
        <f t="shared" si="999"/>
        <v>1286618</v>
      </c>
      <c r="BQ438" s="421">
        <f t="shared" si="999"/>
        <v>0</v>
      </c>
      <c r="BR438" s="421">
        <f t="shared" si="1000"/>
        <v>0</v>
      </c>
      <c r="BS438" s="421">
        <f t="shared" si="1001"/>
        <v>0</v>
      </c>
      <c r="BT438" s="421">
        <f t="shared" si="1001"/>
        <v>0</v>
      </c>
      <c r="BU438" s="421">
        <f t="shared" si="1002"/>
        <v>434877</v>
      </c>
      <c r="BV438" s="421">
        <f t="shared" si="1002"/>
        <v>12866</v>
      </c>
      <c r="BW438" s="421">
        <f t="shared" si="1003"/>
        <v>0</v>
      </c>
      <c r="BX438" s="422">
        <f t="shared" si="1004"/>
        <v>3.41</v>
      </c>
      <c r="BY438" s="422">
        <f t="shared" si="1005"/>
        <v>3.41</v>
      </c>
      <c r="BZ438" s="611">
        <f t="shared" si="1005"/>
        <v>0</v>
      </c>
      <c r="CA438" s="423"/>
      <c r="CB438" s="418"/>
      <c r="CC438" s="418"/>
      <c r="CD438" s="418"/>
      <c r="CE438" s="418"/>
      <c r="CF438" s="527"/>
    </row>
    <row r="439" spans="1:84" ht="14.1" customHeight="1" x14ac:dyDescent="0.2">
      <c r="A439" s="66">
        <v>85</v>
      </c>
      <c r="B439" s="63">
        <v>2305</v>
      </c>
      <c r="C439" s="64">
        <v>650026080</v>
      </c>
      <c r="D439" s="63">
        <v>72741686</v>
      </c>
      <c r="E439" s="65" t="s">
        <v>700</v>
      </c>
      <c r="F439" s="66">
        <v>3141</v>
      </c>
      <c r="G439" s="65" t="s">
        <v>295</v>
      </c>
      <c r="H439" s="67" t="s">
        <v>272</v>
      </c>
      <c r="I439" s="423">
        <f t="shared" si="882"/>
        <v>882601</v>
      </c>
      <c r="J439" s="418">
        <f t="shared" si="883"/>
        <v>651420</v>
      </c>
      <c r="K439" s="418">
        <v>0</v>
      </c>
      <c r="L439" s="924">
        <v>651420</v>
      </c>
      <c r="M439" s="418">
        <f>N439+O439</f>
        <v>0</v>
      </c>
      <c r="N439" s="205">
        <v>0</v>
      </c>
      <c r="O439" s="205">
        <v>0</v>
      </c>
      <c r="P439" s="668">
        <f t="shared" si="885"/>
        <v>220180</v>
      </c>
      <c r="Q439" s="668">
        <f t="shared" si="886"/>
        <v>6514</v>
      </c>
      <c r="R439" s="674">
        <v>4487</v>
      </c>
      <c r="S439" s="419">
        <f>T439+U439</f>
        <v>1.9534</v>
      </c>
      <c r="T439" s="676">
        <v>0</v>
      </c>
      <c r="U439" s="909">
        <v>1.9534</v>
      </c>
      <c r="V439" s="428">
        <f t="shared" si="888"/>
        <v>0</v>
      </c>
      <c r="W439" s="421">
        <f t="shared" si="889"/>
        <v>0</v>
      </c>
      <c r="X439" s="421">
        <v>0</v>
      </c>
      <c r="Y439" s="421">
        <v>0</v>
      </c>
      <c r="Z439" s="421">
        <v>0</v>
      </c>
      <c r="AA439" s="421">
        <v>0</v>
      </c>
      <c r="AB439" s="421">
        <v>0</v>
      </c>
      <c r="AC439" s="421">
        <v>0</v>
      </c>
      <c r="AD439" s="421">
        <v>0</v>
      </c>
      <c r="AE439" s="421">
        <v>0</v>
      </c>
      <c r="AF439" s="421">
        <f t="shared" si="890"/>
        <v>0</v>
      </c>
      <c r="AG439" s="421">
        <f t="shared" si="891"/>
        <v>0</v>
      </c>
      <c r="AH439" s="421">
        <f t="shared" si="892"/>
        <v>0</v>
      </c>
      <c r="AI439" s="421">
        <v>0</v>
      </c>
      <c r="AJ439" s="421">
        <v>0</v>
      </c>
      <c r="AK439" s="421">
        <v>0</v>
      </c>
      <c r="AL439" s="421">
        <v>0</v>
      </c>
      <c r="AM439" s="421">
        <v>0</v>
      </c>
      <c r="AN439" s="421">
        <v>0</v>
      </c>
      <c r="AO439" s="421">
        <f t="shared" si="893"/>
        <v>0</v>
      </c>
      <c r="AP439" s="421">
        <f t="shared" si="894"/>
        <v>0</v>
      </c>
      <c r="AQ439" s="421">
        <f t="shared" si="895"/>
        <v>0</v>
      </c>
      <c r="AR439" s="421">
        <f t="shared" si="992"/>
        <v>0</v>
      </c>
      <c r="AS439" s="421">
        <f t="shared" si="992"/>
        <v>0</v>
      </c>
      <c r="AT439" s="421">
        <f t="shared" si="896"/>
        <v>0</v>
      </c>
      <c r="AU439" s="68">
        <f t="shared" si="993"/>
        <v>0</v>
      </c>
      <c r="AV439" s="68">
        <f t="shared" si="994"/>
        <v>0</v>
      </c>
      <c r="AW439" s="421">
        <v>0</v>
      </c>
      <c r="AX439" s="421">
        <v>0</v>
      </c>
      <c r="AY439" s="421">
        <f t="shared" si="897"/>
        <v>0</v>
      </c>
      <c r="AZ439" s="421">
        <f t="shared" si="898"/>
        <v>0</v>
      </c>
      <c r="BA439" s="422">
        <v>0</v>
      </c>
      <c r="BB439" s="422">
        <v>0</v>
      </c>
      <c r="BC439" s="422">
        <v>0</v>
      </c>
      <c r="BD439" s="422">
        <v>0</v>
      </c>
      <c r="BE439" s="422">
        <v>0</v>
      </c>
      <c r="BF439" s="422">
        <v>0</v>
      </c>
      <c r="BG439" s="422">
        <v>0</v>
      </c>
      <c r="BH439" s="422">
        <v>0</v>
      </c>
      <c r="BI439" s="422">
        <v>0</v>
      </c>
      <c r="BJ439" s="422">
        <v>0</v>
      </c>
      <c r="BK439" s="422">
        <f t="shared" si="995"/>
        <v>0</v>
      </c>
      <c r="BL439" s="422">
        <f t="shared" si="996"/>
        <v>0</v>
      </c>
      <c r="BM439" s="424">
        <f t="shared" si="899"/>
        <v>0</v>
      </c>
      <c r="BN439" s="427">
        <f t="shared" si="997"/>
        <v>882601</v>
      </c>
      <c r="BO439" s="421">
        <f t="shared" si="998"/>
        <v>651420</v>
      </c>
      <c r="BP439" s="421">
        <f t="shared" si="999"/>
        <v>0</v>
      </c>
      <c r="BQ439" s="421">
        <f t="shared" si="999"/>
        <v>651420</v>
      </c>
      <c r="BR439" s="421">
        <f t="shared" si="1000"/>
        <v>0</v>
      </c>
      <c r="BS439" s="421">
        <f t="shared" si="1001"/>
        <v>0</v>
      </c>
      <c r="BT439" s="421">
        <f t="shared" si="1001"/>
        <v>0</v>
      </c>
      <c r="BU439" s="421">
        <f t="shared" si="1002"/>
        <v>220180</v>
      </c>
      <c r="BV439" s="421">
        <f t="shared" si="1002"/>
        <v>6514</v>
      </c>
      <c r="BW439" s="421">
        <f t="shared" si="1003"/>
        <v>4487</v>
      </c>
      <c r="BX439" s="422">
        <f t="shared" si="1004"/>
        <v>1.9534</v>
      </c>
      <c r="BY439" s="422">
        <f t="shared" si="1005"/>
        <v>0</v>
      </c>
      <c r="BZ439" s="611">
        <f t="shared" si="1005"/>
        <v>1.9534</v>
      </c>
      <c r="CA439" s="423"/>
      <c r="CB439" s="418"/>
      <c r="CC439" s="418"/>
      <c r="CD439" s="418"/>
      <c r="CE439" s="418"/>
      <c r="CF439" s="527"/>
    </row>
    <row r="440" spans="1:84" ht="14.1" customHeight="1" x14ac:dyDescent="0.2">
      <c r="A440" s="66">
        <v>85</v>
      </c>
      <c r="B440" s="63">
        <v>2305</v>
      </c>
      <c r="C440" s="64">
        <v>650026080</v>
      </c>
      <c r="D440" s="63">
        <v>72741686</v>
      </c>
      <c r="E440" s="65" t="s">
        <v>700</v>
      </c>
      <c r="F440" s="66">
        <v>3143</v>
      </c>
      <c r="G440" s="77" t="s">
        <v>596</v>
      </c>
      <c r="H440" s="67" t="s">
        <v>271</v>
      </c>
      <c r="I440" s="423">
        <f t="shared" si="882"/>
        <v>1455341</v>
      </c>
      <c r="J440" s="418">
        <f t="shared" si="883"/>
        <v>1079630</v>
      </c>
      <c r="K440" s="418">
        <v>1079630</v>
      </c>
      <c r="L440" s="418">
        <v>0</v>
      </c>
      <c r="M440" s="418">
        <f t="shared" si="884"/>
        <v>0</v>
      </c>
      <c r="N440" s="418">
        <v>0</v>
      </c>
      <c r="O440" s="418">
        <v>0</v>
      </c>
      <c r="P440" s="668">
        <f t="shared" si="885"/>
        <v>364915</v>
      </c>
      <c r="Q440" s="668">
        <f t="shared" si="886"/>
        <v>10796</v>
      </c>
      <c r="R440" s="418">
        <v>0</v>
      </c>
      <c r="S440" s="419">
        <f t="shared" si="887"/>
        <v>2</v>
      </c>
      <c r="T440" s="419">
        <v>2</v>
      </c>
      <c r="U440" s="426">
        <v>0</v>
      </c>
      <c r="V440" s="428">
        <f t="shared" si="888"/>
        <v>0</v>
      </c>
      <c r="W440" s="421">
        <f t="shared" si="889"/>
        <v>0</v>
      </c>
      <c r="X440" s="421">
        <v>0</v>
      </c>
      <c r="Y440" s="421">
        <v>0</v>
      </c>
      <c r="Z440" s="421">
        <v>0</v>
      </c>
      <c r="AA440" s="421">
        <v>0</v>
      </c>
      <c r="AB440" s="421">
        <v>0</v>
      </c>
      <c r="AC440" s="421">
        <v>0</v>
      </c>
      <c r="AD440" s="421">
        <v>0</v>
      </c>
      <c r="AE440" s="421">
        <v>0</v>
      </c>
      <c r="AF440" s="421">
        <f t="shared" si="890"/>
        <v>0</v>
      </c>
      <c r="AG440" s="421">
        <f t="shared" si="891"/>
        <v>0</v>
      </c>
      <c r="AH440" s="421">
        <f t="shared" si="892"/>
        <v>0</v>
      </c>
      <c r="AI440" s="421">
        <v>0</v>
      </c>
      <c r="AJ440" s="421">
        <v>0</v>
      </c>
      <c r="AK440" s="421">
        <v>0</v>
      </c>
      <c r="AL440" s="421">
        <v>0</v>
      </c>
      <c r="AM440" s="421">
        <v>0</v>
      </c>
      <c r="AN440" s="421">
        <v>0</v>
      </c>
      <c r="AO440" s="421">
        <f t="shared" si="893"/>
        <v>0</v>
      </c>
      <c r="AP440" s="421">
        <f t="shared" si="894"/>
        <v>0</v>
      </c>
      <c r="AQ440" s="421">
        <f t="shared" si="895"/>
        <v>0</v>
      </c>
      <c r="AR440" s="421">
        <f t="shared" si="992"/>
        <v>0</v>
      </c>
      <c r="AS440" s="421">
        <f t="shared" si="992"/>
        <v>0</v>
      </c>
      <c r="AT440" s="421">
        <f t="shared" si="896"/>
        <v>0</v>
      </c>
      <c r="AU440" s="68">
        <f t="shared" si="993"/>
        <v>0</v>
      </c>
      <c r="AV440" s="68">
        <f t="shared" si="994"/>
        <v>0</v>
      </c>
      <c r="AW440" s="421">
        <v>0</v>
      </c>
      <c r="AX440" s="421">
        <v>0</v>
      </c>
      <c r="AY440" s="421">
        <f t="shared" si="897"/>
        <v>0</v>
      </c>
      <c r="AZ440" s="421">
        <f t="shared" si="898"/>
        <v>0</v>
      </c>
      <c r="BA440" s="422">
        <v>0</v>
      </c>
      <c r="BB440" s="422">
        <v>0</v>
      </c>
      <c r="BC440" s="422">
        <v>0</v>
      </c>
      <c r="BD440" s="422">
        <v>0</v>
      </c>
      <c r="BE440" s="422">
        <v>0</v>
      </c>
      <c r="BF440" s="422">
        <v>0</v>
      </c>
      <c r="BG440" s="422">
        <v>0</v>
      </c>
      <c r="BH440" s="422">
        <v>0</v>
      </c>
      <c r="BI440" s="422">
        <v>0</v>
      </c>
      <c r="BJ440" s="422">
        <v>0</v>
      </c>
      <c r="BK440" s="422">
        <f t="shared" si="995"/>
        <v>0</v>
      </c>
      <c r="BL440" s="422">
        <f t="shared" si="996"/>
        <v>0</v>
      </c>
      <c r="BM440" s="424">
        <f t="shared" si="899"/>
        <v>0</v>
      </c>
      <c r="BN440" s="427">
        <f t="shared" si="997"/>
        <v>1455341</v>
      </c>
      <c r="BO440" s="421">
        <f t="shared" si="998"/>
        <v>1079630</v>
      </c>
      <c r="BP440" s="421">
        <f t="shared" si="999"/>
        <v>1079630</v>
      </c>
      <c r="BQ440" s="421">
        <f t="shared" si="999"/>
        <v>0</v>
      </c>
      <c r="BR440" s="421">
        <f t="shared" si="1000"/>
        <v>0</v>
      </c>
      <c r="BS440" s="421">
        <f t="shared" si="1001"/>
        <v>0</v>
      </c>
      <c r="BT440" s="421">
        <f t="shared" si="1001"/>
        <v>0</v>
      </c>
      <c r="BU440" s="421">
        <f t="shared" si="1002"/>
        <v>364915</v>
      </c>
      <c r="BV440" s="421">
        <f t="shared" si="1002"/>
        <v>10796</v>
      </c>
      <c r="BW440" s="421">
        <f t="shared" si="1003"/>
        <v>0</v>
      </c>
      <c r="BX440" s="422">
        <f t="shared" si="1004"/>
        <v>2</v>
      </c>
      <c r="BY440" s="422">
        <f t="shared" si="1005"/>
        <v>2</v>
      </c>
      <c r="BZ440" s="611">
        <f t="shared" si="1005"/>
        <v>0</v>
      </c>
      <c r="CA440" s="423"/>
      <c r="CB440" s="418"/>
      <c r="CC440" s="418"/>
      <c r="CD440" s="418"/>
      <c r="CE440" s="418"/>
      <c r="CF440" s="527"/>
    </row>
    <row r="441" spans="1:84" ht="14.1" customHeight="1" x14ac:dyDescent="0.2">
      <c r="A441" s="66">
        <v>85</v>
      </c>
      <c r="B441" s="63">
        <v>2305</v>
      </c>
      <c r="C441" s="64">
        <v>650026080</v>
      </c>
      <c r="D441" s="63">
        <v>72741686</v>
      </c>
      <c r="E441" s="65" t="s">
        <v>700</v>
      </c>
      <c r="F441" s="66">
        <v>3143</v>
      </c>
      <c r="G441" s="77" t="s">
        <v>597</v>
      </c>
      <c r="H441" s="67" t="s">
        <v>272</v>
      </c>
      <c r="I441" s="423">
        <f t="shared" si="882"/>
        <v>30724</v>
      </c>
      <c r="J441" s="418">
        <f t="shared" si="883"/>
        <v>21991</v>
      </c>
      <c r="K441" s="418">
        <v>0</v>
      </c>
      <c r="L441" s="674">
        <v>21991</v>
      </c>
      <c r="M441" s="418">
        <f t="shared" si="884"/>
        <v>0</v>
      </c>
      <c r="N441" s="418">
        <v>0</v>
      </c>
      <c r="O441" s="418">
        <v>0</v>
      </c>
      <c r="P441" s="668">
        <f t="shared" si="885"/>
        <v>7433</v>
      </c>
      <c r="Q441" s="668">
        <f t="shared" si="886"/>
        <v>220</v>
      </c>
      <c r="R441" s="675">
        <v>1080</v>
      </c>
      <c r="S441" s="419">
        <f t="shared" si="887"/>
        <v>8.3299999999999999E-2</v>
      </c>
      <c r="T441" s="679">
        <v>0</v>
      </c>
      <c r="U441" s="909">
        <v>8.3299999999999999E-2</v>
      </c>
      <c r="V441" s="428">
        <f t="shared" si="888"/>
        <v>0</v>
      </c>
      <c r="W441" s="421">
        <f t="shared" si="889"/>
        <v>0</v>
      </c>
      <c r="X441" s="421">
        <v>0</v>
      </c>
      <c r="Y441" s="421">
        <v>0</v>
      </c>
      <c r="Z441" s="421">
        <v>0</v>
      </c>
      <c r="AA441" s="421">
        <v>0</v>
      </c>
      <c r="AB441" s="421">
        <v>0</v>
      </c>
      <c r="AC441" s="421">
        <v>0</v>
      </c>
      <c r="AD441" s="421">
        <v>0</v>
      </c>
      <c r="AE441" s="421">
        <v>0</v>
      </c>
      <c r="AF441" s="421">
        <f t="shared" si="890"/>
        <v>0</v>
      </c>
      <c r="AG441" s="421">
        <f t="shared" si="891"/>
        <v>0</v>
      </c>
      <c r="AH441" s="421">
        <f t="shared" si="892"/>
        <v>0</v>
      </c>
      <c r="AI441" s="421">
        <v>0</v>
      </c>
      <c r="AJ441" s="421">
        <v>0</v>
      </c>
      <c r="AK441" s="421">
        <v>0</v>
      </c>
      <c r="AL441" s="421">
        <v>0</v>
      </c>
      <c r="AM441" s="421">
        <v>0</v>
      </c>
      <c r="AN441" s="421">
        <v>0</v>
      </c>
      <c r="AO441" s="421">
        <f t="shared" si="893"/>
        <v>0</v>
      </c>
      <c r="AP441" s="421">
        <f t="shared" si="894"/>
        <v>0</v>
      </c>
      <c r="AQ441" s="421">
        <f t="shared" si="895"/>
        <v>0</v>
      </c>
      <c r="AR441" s="421">
        <f t="shared" si="992"/>
        <v>0</v>
      </c>
      <c r="AS441" s="421">
        <f t="shared" si="992"/>
        <v>0</v>
      </c>
      <c r="AT441" s="421">
        <f t="shared" si="896"/>
        <v>0</v>
      </c>
      <c r="AU441" s="68">
        <f t="shared" si="993"/>
        <v>0</v>
      </c>
      <c r="AV441" s="68">
        <f t="shared" si="994"/>
        <v>0</v>
      </c>
      <c r="AW441" s="421">
        <v>0</v>
      </c>
      <c r="AX441" s="421">
        <v>0</v>
      </c>
      <c r="AY441" s="421">
        <f t="shared" si="897"/>
        <v>0</v>
      </c>
      <c r="AZ441" s="421">
        <f t="shared" si="898"/>
        <v>0</v>
      </c>
      <c r="BA441" s="422">
        <v>0</v>
      </c>
      <c r="BB441" s="422">
        <v>0</v>
      </c>
      <c r="BC441" s="422">
        <v>0</v>
      </c>
      <c r="BD441" s="422">
        <v>0</v>
      </c>
      <c r="BE441" s="422">
        <v>0</v>
      </c>
      <c r="BF441" s="422">
        <v>0</v>
      </c>
      <c r="BG441" s="422">
        <v>0</v>
      </c>
      <c r="BH441" s="422">
        <v>0</v>
      </c>
      <c r="BI441" s="422">
        <v>0</v>
      </c>
      <c r="BJ441" s="422">
        <v>0</v>
      </c>
      <c r="BK441" s="422">
        <f t="shared" si="995"/>
        <v>0</v>
      </c>
      <c r="BL441" s="422">
        <f t="shared" si="996"/>
        <v>0</v>
      </c>
      <c r="BM441" s="424">
        <f t="shared" si="899"/>
        <v>0</v>
      </c>
      <c r="BN441" s="427">
        <f t="shared" si="997"/>
        <v>30724</v>
      </c>
      <c r="BO441" s="421">
        <f t="shared" si="998"/>
        <v>21991</v>
      </c>
      <c r="BP441" s="421">
        <f t="shared" si="999"/>
        <v>0</v>
      </c>
      <c r="BQ441" s="421">
        <f t="shared" si="999"/>
        <v>21991</v>
      </c>
      <c r="BR441" s="421">
        <f t="shared" si="1000"/>
        <v>0</v>
      </c>
      <c r="BS441" s="421">
        <f t="shared" si="1001"/>
        <v>0</v>
      </c>
      <c r="BT441" s="421">
        <f t="shared" si="1001"/>
        <v>0</v>
      </c>
      <c r="BU441" s="421">
        <f t="shared" si="1002"/>
        <v>7433</v>
      </c>
      <c r="BV441" s="421">
        <f t="shared" si="1002"/>
        <v>220</v>
      </c>
      <c r="BW441" s="421">
        <f t="shared" si="1003"/>
        <v>1080</v>
      </c>
      <c r="BX441" s="422">
        <f t="shared" si="1004"/>
        <v>8.3299999999999999E-2</v>
      </c>
      <c r="BY441" s="422">
        <f t="shared" si="1005"/>
        <v>0</v>
      </c>
      <c r="BZ441" s="611">
        <f t="shared" si="1005"/>
        <v>8.3299999999999999E-2</v>
      </c>
      <c r="CA441" s="423"/>
      <c r="CB441" s="418"/>
      <c r="CC441" s="418"/>
      <c r="CD441" s="418"/>
      <c r="CE441" s="418"/>
      <c r="CF441" s="527"/>
    </row>
    <row r="442" spans="1:84" ht="14.1" customHeight="1" x14ac:dyDescent="0.2">
      <c r="A442" s="72">
        <v>85</v>
      </c>
      <c r="B442" s="69">
        <v>2305</v>
      </c>
      <c r="C442" s="70">
        <v>650026080</v>
      </c>
      <c r="D442" s="69">
        <v>72741686</v>
      </c>
      <c r="E442" s="71" t="s">
        <v>701</v>
      </c>
      <c r="F442" s="72"/>
      <c r="G442" s="71"/>
      <c r="H442" s="73"/>
      <c r="I442" s="538">
        <f t="shared" ref="I442:BU442" si="1006">SUM(I436:I441)</f>
        <v>12367131</v>
      </c>
      <c r="J442" s="74">
        <f t="shared" si="1006"/>
        <v>9093491</v>
      </c>
      <c r="K442" s="74">
        <f t="shared" si="1006"/>
        <v>7699344</v>
      </c>
      <c r="L442" s="74">
        <f t="shared" si="1006"/>
        <v>1394147</v>
      </c>
      <c r="M442" s="74">
        <f t="shared" si="1006"/>
        <v>0</v>
      </c>
      <c r="N442" s="74">
        <f t="shared" si="1006"/>
        <v>0</v>
      </c>
      <c r="O442" s="74">
        <f t="shared" si="1006"/>
        <v>0</v>
      </c>
      <c r="P442" s="74">
        <f t="shared" si="1006"/>
        <v>3073600</v>
      </c>
      <c r="Q442" s="74">
        <f t="shared" si="1006"/>
        <v>90935</v>
      </c>
      <c r="R442" s="74">
        <f t="shared" si="1006"/>
        <v>109105</v>
      </c>
      <c r="S442" s="75">
        <f t="shared" si="1006"/>
        <v>16.884300000000003</v>
      </c>
      <c r="T442" s="75">
        <f t="shared" si="1006"/>
        <v>12.7254</v>
      </c>
      <c r="U442" s="753">
        <f t="shared" si="1006"/>
        <v>4.1589</v>
      </c>
      <c r="V442" s="538">
        <f t="shared" si="1006"/>
        <v>-32000</v>
      </c>
      <c r="W442" s="74">
        <f t="shared" si="1006"/>
        <v>0</v>
      </c>
      <c r="X442" s="74">
        <f t="shared" si="1006"/>
        <v>1286618</v>
      </c>
      <c r="Y442" s="74">
        <f t="shared" si="1006"/>
        <v>0</v>
      </c>
      <c r="Z442" s="74">
        <f t="shared" si="1006"/>
        <v>0</v>
      </c>
      <c r="AA442" s="74">
        <f t="shared" si="1006"/>
        <v>0</v>
      </c>
      <c r="AB442" s="74">
        <f t="shared" si="1006"/>
        <v>0</v>
      </c>
      <c r="AC442" s="74">
        <f t="shared" si="1006"/>
        <v>0</v>
      </c>
      <c r="AD442" s="74">
        <f t="shared" si="1006"/>
        <v>0</v>
      </c>
      <c r="AE442" s="74">
        <f t="shared" si="1006"/>
        <v>0</v>
      </c>
      <c r="AF442" s="74">
        <f t="shared" si="1006"/>
        <v>1254618</v>
      </c>
      <c r="AG442" s="74">
        <f t="shared" si="1006"/>
        <v>0</v>
      </c>
      <c r="AH442" s="74">
        <f t="shared" si="1006"/>
        <v>1254618</v>
      </c>
      <c r="AI442" s="74">
        <f t="shared" si="1006"/>
        <v>32000</v>
      </c>
      <c r="AJ442" s="74">
        <f t="shared" si="1006"/>
        <v>0</v>
      </c>
      <c r="AK442" s="74">
        <f t="shared" si="1006"/>
        <v>0</v>
      </c>
      <c r="AL442" s="74">
        <f t="shared" si="1006"/>
        <v>0</v>
      </c>
      <c r="AM442" s="74">
        <f t="shared" si="1006"/>
        <v>0</v>
      </c>
      <c r="AN442" s="74">
        <f t="shared" si="1006"/>
        <v>0</v>
      </c>
      <c r="AO442" s="74">
        <f t="shared" si="1006"/>
        <v>32000</v>
      </c>
      <c r="AP442" s="74">
        <f t="shared" si="1006"/>
        <v>0</v>
      </c>
      <c r="AQ442" s="74">
        <f t="shared" si="1006"/>
        <v>32000</v>
      </c>
      <c r="AR442" s="74">
        <f t="shared" si="1006"/>
        <v>1286618</v>
      </c>
      <c r="AS442" s="74">
        <f t="shared" si="1006"/>
        <v>0</v>
      </c>
      <c r="AT442" s="74">
        <f t="shared" si="1006"/>
        <v>1286618</v>
      </c>
      <c r="AU442" s="74">
        <f t="shared" si="1006"/>
        <v>434877</v>
      </c>
      <c r="AV442" s="74">
        <f t="shared" si="1006"/>
        <v>12546</v>
      </c>
      <c r="AW442" s="74">
        <f t="shared" si="1006"/>
        <v>0</v>
      </c>
      <c r="AX442" s="74">
        <f t="shared" si="1006"/>
        <v>0</v>
      </c>
      <c r="AY442" s="74">
        <f t="shared" si="1006"/>
        <v>0</v>
      </c>
      <c r="AZ442" s="74">
        <f t="shared" si="1006"/>
        <v>1734041</v>
      </c>
      <c r="BA442" s="75">
        <f t="shared" si="1006"/>
        <v>-0.05</v>
      </c>
      <c r="BB442" s="75">
        <f t="shared" si="1006"/>
        <v>0</v>
      </c>
      <c r="BC442" s="75">
        <f t="shared" si="1006"/>
        <v>3.41</v>
      </c>
      <c r="BD442" s="75">
        <f t="shared" si="1006"/>
        <v>0</v>
      </c>
      <c r="BE442" s="75">
        <f t="shared" si="1006"/>
        <v>0</v>
      </c>
      <c r="BF442" s="75">
        <f t="shared" si="1006"/>
        <v>0</v>
      </c>
      <c r="BG442" s="75">
        <f t="shared" si="1006"/>
        <v>0</v>
      </c>
      <c r="BH442" s="75">
        <f t="shared" si="1006"/>
        <v>0</v>
      </c>
      <c r="BI442" s="75">
        <f t="shared" si="1006"/>
        <v>0</v>
      </c>
      <c r="BJ442" s="75">
        <f t="shared" si="1006"/>
        <v>0</v>
      </c>
      <c r="BK442" s="75">
        <f t="shared" si="1006"/>
        <v>3.3600000000000003</v>
      </c>
      <c r="BL442" s="75">
        <f t="shared" si="1006"/>
        <v>0</v>
      </c>
      <c r="BM442" s="76">
        <f t="shared" si="1006"/>
        <v>3.3600000000000003</v>
      </c>
      <c r="BN442" s="549">
        <f t="shared" si="1006"/>
        <v>14101172</v>
      </c>
      <c r="BO442" s="74">
        <f t="shared" si="1006"/>
        <v>10348109</v>
      </c>
      <c r="BP442" s="74">
        <f t="shared" si="1006"/>
        <v>8953962</v>
      </c>
      <c r="BQ442" s="74">
        <f t="shared" si="1006"/>
        <v>1394147</v>
      </c>
      <c r="BR442" s="74">
        <f t="shared" si="1006"/>
        <v>32000</v>
      </c>
      <c r="BS442" s="74">
        <f t="shared" si="1006"/>
        <v>32000</v>
      </c>
      <c r="BT442" s="74">
        <f t="shared" si="1006"/>
        <v>0</v>
      </c>
      <c r="BU442" s="74">
        <f t="shared" si="1006"/>
        <v>3508477</v>
      </c>
      <c r="BV442" s="74">
        <f t="shared" ref="BV442:CF442" si="1007">SUM(BV436:BV441)</f>
        <v>103481</v>
      </c>
      <c r="BW442" s="74">
        <f t="shared" si="1007"/>
        <v>109105</v>
      </c>
      <c r="BX442" s="75">
        <f t="shared" si="1007"/>
        <v>20.244299999999999</v>
      </c>
      <c r="BY442" s="75">
        <f t="shared" si="1007"/>
        <v>16.0854</v>
      </c>
      <c r="BZ442" s="753">
        <f t="shared" si="1007"/>
        <v>4.1589</v>
      </c>
      <c r="CA442" s="796">
        <f t="shared" si="1007"/>
        <v>0</v>
      </c>
      <c r="CB442" s="789">
        <f t="shared" si="1007"/>
        <v>0</v>
      </c>
      <c r="CC442" s="789">
        <f t="shared" si="1007"/>
        <v>0</v>
      </c>
      <c r="CD442" s="789">
        <f t="shared" si="1007"/>
        <v>0</v>
      </c>
      <c r="CE442" s="789">
        <f t="shared" si="1007"/>
        <v>0</v>
      </c>
      <c r="CF442" s="793">
        <f t="shared" si="1007"/>
        <v>0</v>
      </c>
    </row>
    <row r="443" spans="1:84" ht="14.1" customHeight="1" x14ac:dyDescent="0.2">
      <c r="A443" s="66">
        <v>86</v>
      </c>
      <c r="B443" s="63">
        <v>2498</v>
      </c>
      <c r="C443" s="64">
        <v>650021576</v>
      </c>
      <c r="D443" s="63">
        <v>70695539</v>
      </c>
      <c r="E443" s="65" t="s">
        <v>702</v>
      </c>
      <c r="F443" s="66">
        <v>3111</v>
      </c>
      <c r="G443" s="65" t="s">
        <v>291</v>
      </c>
      <c r="H443" s="67" t="s">
        <v>271</v>
      </c>
      <c r="I443" s="423">
        <f t="shared" si="882"/>
        <v>5247922</v>
      </c>
      <c r="J443" s="418">
        <f t="shared" si="883"/>
        <v>3879649</v>
      </c>
      <c r="K443" s="418">
        <v>3679945</v>
      </c>
      <c r="L443" s="418">
        <v>199704</v>
      </c>
      <c r="M443" s="418">
        <f t="shared" ref="M443:M444" si="1008">N443+O443</f>
        <v>0</v>
      </c>
      <c r="N443" s="418">
        <v>0</v>
      </c>
      <c r="O443" s="418">
        <v>0</v>
      </c>
      <c r="P443" s="668">
        <f t="shared" si="885"/>
        <v>1311321</v>
      </c>
      <c r="Q443" s="668">
        <f t="shared" si="886"/>
        <v>38796</v>
      </c>
      <c r="R443" s="418">
        <v>18156</v>
      </c>
      <c r="S443" s="419">
        <f t="shared" si="887"/>
        <v>6.8001000000000005</v>
      </c>
      <c r="T443" s="419">
        <v>6</v>
      </c>
      <c r="U443" s="426">
        <v>0.80010000000000003</v>
      </c>
      <c r="V443" s="428">
        <f t="shared" si="888"/>
        <v>-38400</v>
      </c>
      <c r="W443" s="421">
        <f t="shared" si="889"/>
        <v>0</v>
      </c>
      <c r="X443" s="421">
        <v>0</v>
      </c>
      <c r="Y443" s="421">
        <v>0</v>
      </c>
      <c r="Z443" s="421">
        <v>0</v>
      </c>
      <c r="AA443" s="421">
        <v>0</v>
      </c>
      <c r="AB443" s="421">
        <v>0</v>
      </c>
      <c r="AC443" s="421">
        <v>0</v>
      </c>
      <c r="AD443" s="421">
        <v>0</v>
      </c>
      <c r="AE443" s="421">
        <v>0</v>
      </c>
      <c r="AF443" s="421">
        <f t="shared" si="890"/>
        <v>-38400</v>
      </c>
      <c r="AG443" s="421">
        <f t="shared" si="891"/>
        <v>0</v>
      </c>
      <c r="AH443" s="421">
        <f t="shared" si="892"/>
        <v>-38400</v>
      </c>
      <c r="AI443" s="421">
        <v>38400</v>
      </c>
      <c r="AJ443" s="421">
        <v>0</v>
      </c>
      <c r="AK443" s="421">
        <v>0</v>
      </c>
      <c r="AL443" s="421">
        <v>0</v>
      </c>
      <c r="AM443" s="421"/>
      <c r="AN443" s="421">
        <v>0</v>
      </c>
      <c r="AO443" s="421">
        <f t="shared" si="893"/>
        <v>38400</v>
      </c>
      <c r="AP443" s="421">
        <f t="shared" si="894"/>
        <v>0</v>
      </c>
      <c r="AQ443" s="421">
        <f t="shared" si="895"/>
        <v>38400</v>
      </c>
      <c r="AR443" s="421">
        <f t="shared" ref="AR443:AS448" si="1009">AF443+AO443</f>
        <v>0</v>
      </c>
      <c r="AS443" s="421">
        <f t="shared" si="1009"/>
        <v>0</v>
      </c>
      <c r="AT443" s="421">
        <f t="shared" si="896"/>
        <v>0</v>
      </c>
      <c r="AU443" s="68">
        <f t="shared" ref="AU443:AU448" si="1010">ROUND((AH443+AI443+AJ443+AK443+AL443)*33.8%,0)</f>
        <v>0</v>
      </c>
      <c r="AV443" s="68">
        <f t="shared" ref="AV443:AV448" si="1011">ROUND(AH443*1%,0)</f>
        <v>-384</v>
      </c>
      <c r="AW443" s="421">
        <v>0</v>
      </c>
      <c r="AX443" s="421">
        <v>0</v>
      </c>
      <c r="AY443" s="421">
        <f t="shared" si="897"/>
        <v>0</v>
      </c>
      <c r="AZ443" s="421">
        <f t="shared" si="898"/>
        <v>-384</v>
      </c>
      <c r="BA443" s="422">
        <v>-7.0000000000000007E-2</v>
      </c>
      <c r="BB443" s="422">
        <v>0</v>
      </c>
      <c r="BC443" s="422">
        <v>0</v>
      </c>
      <c r="BD443" s="422">
        <v>0</v>
      </c>
      <c r="BE443" s="422">
        <v>0</v>
      </c>
      <c r="BF443" s="422">
        <v>0</v>
      </c>
      <c r="BG443" s="422">
        <v>0</v>
      </c>
      <c r="BH443" s="422">
        <v>0</v>
      </c>
      <c r="BI443" s="422">
        <v>0</v>
      </c>
      <c r="BJ443" s="422">
        <v>0</v>
      </c>
      <c r="BK443" s="422">
        <f t="shared" ref="BK443:BK448" si="1012">BA443+BC443+BD443+BF443+BH443+BI443</f>
        <v>-7.0000000000000007E-2</v>
      </c>
      <c r="BL443" s="422">
        <f t="shared" ref="BL443:BL448" si="1013">BB443+BE443+BG443+BJ443</f>
        <v>0</v>
      </c>
      <c r="BM443" s="424">
        <f t="shared" si="899"/>
        <v>-7.0000000000000007E-2</v>
      </c>
      <c r="BN443" s="427">
        <f t="shared" ref="BN443:BN448" si="1014">I443+AZ443</f>
        <v>5247538</v>
      </c>
      <c r="BO443" s="421">
        <f t="shared" ref="BO443:BO448" si="1015">J443+AH443</f>
        <v>3841249</v>
      </c>
      <c r="BP443" s="421">
        <f t="shared" ref="BP443:BQ448" si="1016">K443+AF443</f>
        <v>3641545</v>
      </c>
      <c r="BQ443" s="421">
        <f t="shared" si="1016"/>
        <v>199704</v>
      </c>
      <c r="BR443" s="421">
        <f t="shared" ref="BR443:BR448" si="1017">M443+AQ443</f>
        <v>38400</v>
      </c>
      <c r="BS443" s="421">
        <f t="shared" ref="BS443:BT448" si="1018">N443+AO443</f>
        <v>38400</v>
      </c>
      <c r="BT443" s="421">
        <f t="shared" si="1018"/>
        <v>0</v>
      </c>
      <c r="BU443" s="421">
        <f t="shared" ref="BU443:BV448" si="1019">P443+AU443</f>
        <v>1311321</v>
      </c>
      <c r="BV443" s="421">
        <f t="shared" si="1019"/>
        <v>38412</v>
      </c>
      <c r="BW443" s="421">
        <f t="shared" ref="BW443:BW448" si="1020">R443+AY443</f>
        <v>18156</v>
      </c>
      <c r="BX443" s="422">
        <f t="shared" ref="BX443:BX448" si="1021">S443+BM443</f>
        <v>6.7301000000000002</v>
      </c>
      <c r="BY443" s="422">
        <f t="shared" ref="BY443:BZ448" si="1022">T443+BK443</f>
        <v>5.93</v>
      </c>
      <c r="BZ443" s="611">
        <f t="shared" si="1022"/>
        <v>0.80010000000000003</v>
      </c>
      <c r="CA443" s="423"/>
      <c r="CB443" s="418"/>
      <c r="CC443" s="418"/>
      <c r="CD443" s="418"/>
      <c r="CE443" s="418"/>
      <c r="CF443" s="527"/>
    </row>
    <row r="444" spans="1:84" ht="14.1" customHeight="1" x14ac:dyDescent="0.2">
      <c r="A444" s="66">
        <v>86</v>
      </c>
      <c r="B444" s="63">
        <v>2498</v>
      </c>
      <c r="C444" s="64">
        <v>650021576</v>
      </c>
      <c r="D444" s="63">
        <v>70695539</v>
      </c>
      <c r="E444" s="65" t="s">
        <v>702</v>
      </c>
      <c r="F444" s="66">
        <v>3113</v>
      </c>
      <c r="G444" s="65" t="s">
        <v>294</v>
      </c>
      <c r="H444" s="67" t="s">
        <v>271</v>
      </c>
      <c r="I444" s="423">
        <f t="shared" si="882"/>
        <v>19550662</v>
      </c>
      <c r="J444" s="418">
        <f t="shared" si="883"/>
        <v>14311914</v>
      </c>
      <c r="K444" s="418">
        <v>13045111</v>
      </c>
      <c r="L444" s="418">
        <v>1266803</v>
      </c>
      <c r="M444" s="418">
        <f t="shared" si="1008"/>
        <v>0</v>
      </c>
      <c r="N444" s="418">
        <v>0</v>
      </c>
      <c r="O444" s="418">
        <v>0</v>
      </c>
      <c r="P444" s="668">
        <f t="shared" si="885"/>
        <v>4837427</v>
      </c>
      <c r="Q444" s="668">
        <f t="shared" si="886"/>
        <v>143119</v>
      </c>
      <c r="R444" s="418">
        <v>258202</v>
      </c>
      <c r="S444" s="419">
        <f>T444+U444</f>
        <v>22.344000000000001</v>
      </c>
      <c r="T444" s="419">
        <v>18.590900000000001</v>
      </c>
      <c r="U444" s="426">
        <v>3.7530999999999999</v>
      </c>
      <c r="V444" s="428">
        <f t="shared" si="888"/>
        <v>-19200</v>
      </c>
      <c r="W444" s="421">
        <f t="shared" si="889"/>
        <v>-32000</v>
      </c>
      <c r="X444" s="421">
        <v>0</v>
      </c>
      <c r="Y444" s="421">
        <v>0</v>
      </c>
      <c r="Z444" s="421">
        <v>0</v>
      </c>
      <c r="AA444" s="421">
        <v>0</v>
      </c>
      <c r="AB444" s="421">
        <v>282000</v>
      </c>
      <c r="AC444" s="421">
        <v>0</v>
      </c>
      <c r="AD444" s="421">
        <v>0</v>
      </c>
      <c r="AE444" s="421">
        <v>0</v>
      </c>
      <c r="AF444" s="421">
        <f t="shared" si="890"/>
        <v>262800</v>
      </c>
      <c r="AG444" s="421">
        <f t="shared" si="891"/>
        <v>-32000</v>
      </c>
      <c r="AH444" s="421">
        <f t="shared" si="892"/>
        <v>230800</v>
      </c>
      <c r="AI444" s="421">
        <v>19200</v>
      </c>
      <c r="AJ444" s="421">
        <v>32000</v>
      </c>
      <c r="AK444" s="421">
        <v>0</v>
      </c>
      <c r="AL444" s="421">
        <v>0</v>
      </c>
      <c r="AM444" s="421">
        <v>0</v>
      </c>
      <c r="AN444" s="421">
        <v>0</v>
      </c>
      <c r="AO444" s="421">
        <f t="shared" si="893"/>
        <v>19200</v>
      </c>
      <c r="AP444" s="421">
        <f t="shared" si="894"/>
        <v>32000</v>
      </c>
      <c r="AQ444" s="421">
        <f t="shared" si="895"/>
        <v>51200</v>
      </c>
      <c r="AR444" s="421">
        <f t="shared" si="1009"/>
        <v>282000</v>
      </c>
      <c r="AS444" s="421">
        <f t="shared" si="1009"/>
        <v>0</v>
      </c>
      <c r="AT444" s="421">
        <f t="shared" si="896"/>
        <v>282000</v>
      </c>
      <c r="AU444" s="68">
        <f t="shared" si="1010"/>
        <v>95316</v>
      </c>
      <c r="AV444" s="68">
        <f t="shared" si="1011"/>
        <v>2308</v>
      </c>
      <c r="AW444" s="421">
        <v>0</v>
      </c>
      <c r="AX444" s="421">
        <v>0</v>
      </c>
      <c r="AY444" s="421">
        <f t="shared" si="897"/>
        <v>0</v>
      </c>
      <c r="AZ444" s="421">
        <f t="shared" si="898"/>
        <v>379624</v>
      </c>
      <c r="BA444" s="422">
        <v>0</v>
      </c>
      <c r="BB444" s="422">
        <v>0</v>
      </c>
      <c r="BC444" s="422">
        <v>0</v>
      </c>
      <c r="BD444" s="422">
        <v>0.5</v>
      </c>
      <c r="BE444" s="422">
        <v>0</v>
      </c>
      <c r="BF444" s="422">
        <v>0</v>
      </c>
      <c r="BG444" s="422">
        <v>0</v>
      </c>
      <c r="BH444" s="422">
        <v>0</v>
      </c>
      <c r="BI444" s="422">
        <v>0</v>
      </c>
      <c r="BJ444" s="422">
        <v>0</v>
      </c>
      <c r="BK444" s="422">
        <f t="shared" si="1012"/>
        <v>0.5</v>
      </c>
      <c r="BL444" s="422">
        <f t="shared" si="1013"/>
        <v>0</v>
      </c>
      <c r="BM444" s="424">
        <f t="shared" si="899"/>
        <v>0.5</v>
      </c>
      <c r="BN444" s="427">
        <f t="shared" si="1014"/>
        <v>19930286</v>
      </c>
      <c r="BO444" s="421">
        <f t="shared" si="1015"/>
        <v>14542714</v>
      </c>
      <c r="BP444" s="421">
        <f t="shared" si="1016"/>
        <v>13307911</v>
      </c>
      <c r="BQ444" s="421">
        <f t="shared" si="1016"/>
        <v>1234803</v>
      </c>
      <c r="BR444" s="421">
        <f t="shared" si="1017"/>
        <v>51200</v>
      </c>
      <c r="BS444" s="421">
        <f t="shared" si="1018"/>
        <v>19200</v>
      </c>
      <c r="BT444" s="421">
        <f t="shared" si="1018"/>
        <v>32000</v>
      </c>
      <c r="BU444" s="421">
        <f t="shared" si="1019"/>
        <v>4932743</v>
      </c>
      <c r="BV444" s="421">
        <f t="shared" si="1019"/>
        <v>145427</v>
      </c>
      <c r="BW444" s="421">
        <f t="shared" si="1020"/>
        <v>258202</v>
      </c>
      <c r="BX444" s="422">
        <f t="shared" si="1021"/>
        <v>22.844000000000001</v>
      </c>
      <c r="BY444" s="422">
        <f t="shared" si="1022"/>
        <v>19.090900000000001</v>
      </c>
      <c r="BZ444" s="611">
        <f t="shared" si="1022"/>
        <v>3.7530999999999999</v>
      </c>
      <c r="CA444" s="423">
        <v>380136</v>
      </c>
      <c r="CB444" s="418">
        <v>282000</v>
      </c>
      <c r="CC444" s="418">
        <v>0</v>
      </c>
      <c r="CD444" s="418">
        <v>95316</v>
      </c>
      <c r="CE444" s="418">
        <v>2820</v>
      </c>
      <c r="CF444" s="527">
        <v>0.5</v>
      </c>
    </row>
    <row r="445" spans="1:84" ht="14.1" customHeight="1" x14ac:dyDescent="0.2">
      <c r="A445" s="66">
        <v>86</v>
      </c>
      <c r="B445" s="63">
        <v>2498</v>
      </c>
      <c r="C445" s="64">
        <v>650021576</v>
      </c>
      <c r="D445" s="63">
        <v>70695539</v>
      </c>
      <c r="E445" s="65" t="s">
        <v>702</v>
      </c>
      <c r="F445" s="66">
        <v>3113</v>
      </c>
      <c r="G445" s="77" t="s">
        <v>292</v>
      </c>
      <c r="H445" s="67" t="s">
        <v>272</v>
      </c>
      <c r="I445" s="423">
        <f t="shared" si="882"/>
        <v>0</v>
      </c>
      <c r="J445" s="418">
        <f t="shared" si="883"/>
        <v>0</v>
      </c>
      <c r="K445" s="418">
        <v>0</v>
      </c>
      <c r="L445" s="418">
        <v>0</v>
      </c>
      <c r="M445" s="418">
        <f t="shared" si="884"/>
        <v>0</v>
      </c>
      <c r="N445" s="418">
        <v>0</v>
      </c>
      <c r="O445" s="418">
        <v>0</v>
      </c>
      <c r="P445" s="668">
        <f t="shared" si="885"/>
        <v>0</v>
      </c>
      <c r="Q445" s="668">
        <f t="shared" si="886"/>
        <v>0</v>
      </c>
      <c r="R445" s="418">
        <v>0</v>
      </c>
      <c r="S445" s="419">
        <f t="shared" si="887"/>
        <v>0</v>
      </c>
      <c r="T445" s="420">
        <v>0</v>
      </c>
      <c r="U445" s="426">
        <v>0</v>
      </c>
      <c r="V445" s="428">
        <f t="shared" si="888"/>
        <v>0</v>
      </c>
      <c r="W445" s="421">
        <f t="shared" si="889"/>
        <v>0</v>
      </c>
      <c r="X445" s="16">
        <v>2128461</v>
      </c>
      <c r="Y445" s="16">
        <v>0</v>
      </c>
      <c r="Z445" s="16">
        <v>0</v>
      </c>
      <c r="AA445" s="16">
        <v>0</v>
      </c>
      <c r="AB445" s="421">
        <v>0</v>
      </c>
      <c r="AC445" s="16">
        <v>0</v>
      </c>
      <c r="AD445" s="16">
        <v>0</v>
      </c>
      <c r="AE445" s="16">
        <v>0</v>
      </c>
      <c r="AF445" s="421">
        <f t="shared" si="890"/>
        <v>2128461</v>
      </c>
      <c r="AG445" s="421">
        <f t="shared" si="891"/>
        <v>0</v>
      </c>
      <c r="AH445" s="421">
        <f t="shared" si="892"/>
        <v>2128461</v>
      </c>
      <c r="AI445" s="16">
        <v>0</v>
      </c>
      <c r="AJ445" s="16">
        <v>0</v>
      </c>
      <c r="AK445" s="421">
        <v>0</v>
      </c>
      <c r="AL445" s="16">
        <v>0</v>
      </c>
      <c r="AM445" s="16">
        <v>0</v>
      </c>
      <c r="AN445" s="16">
        <v>0</v>
      </c>
      <c r="AO445" s="421">
        <f t="shared" si="893"/>
        <v>0</v>
      </c>
      <c r="AP445" s="16">
        <v>0</v>
      </c>
      <c r="AQ445" s="421">
        <f t="shared" si="895"/>
        <v>0</v>
      </c>
      <c r="AR445" s="421">
        <f t="shared" si="1009"/>
        <v>2128461</v>
      </c>
      <c r="AS445" s="421">
        <f t="shared" si="1009"/>
        <v>0</v>
      </c>
      <c r="AT445" s="421">
        <f t="shared" si="896"/>
        <v>2128461</v>
      </c>
      <c r="AU445" s="68">
        <f t="shared" si="1010"/>
        <v>719420</v>
      </c>
      <c r="AV445" s="68">
        <f t="shared" si="1011"/>
        <v>21285</v>
      </c>
      <c r="AW445" s="16">
        <v>4000</v>
      </c>
      <c r="AX445" s="16">
        <v>0</v>
      </c>
      <c r="AY445" s="421">
        <f t="shared" si="897"/>
        <v>4000</v>
      </c>
      <c r="AZ445" s="421">
        <f t="shared" si="898"/>
        <v>2873166</v>
      </c>
      <c r="BA445" s="13">
        <v>0</v>
      </c>
      <c r="BB445" s="13">
        <v>0</v>
      </c>
      <c r="BC445" s="13">
        <v>5.52</v>
      </c>
      <c r="BD445" s="422">
        <v>0</v>
      </c>
      <c r="BE445" s="422">
        <v>0</v>
      </c>
      <c r="BF445" s="422">
        <v>0</v>
      </c>
      <c r="BG445" s="422">
        <v>0</v>
      </c>
      <c r="BH445" s="422">
        <v>0</v>
      </c>
      <c r="BI445" s="422">
        <v>0</v>
      </c>
      <c r="BJ445" s="422">
        <v>0</v>
      </c>
      <c r="BK445" s="422">
        <f t="shared" si="1012"/>
        <v>5.52</v>
      </c>
      <c r="BL445" s="422">
        <f t="shared" si="1013"/>
        <v>0</v>
      </c>
      <c r="BM445" s="424">
        <f t="shared" si="899"/>
        <v>5.52</v>
      </c>
      <c r="BN445" s="427">
        <f t="shared" si="1014"/>
        <v>2873166</v>
      </c>
      <c r="BO445" s="421">
        <f t="shared" si="1015"/>
        <v>2128461</v>
      </c>
      <c r="BP445" s="421">
        <f t="shared" si="1016"/>
        <v>2128461</v>
      </c>
      <c r="BQ445" s="421">
        <f t="shared" si="1016"/>
        <v>0</v>
      </c>
      <c r="BR445" s="421">
        <f t="shared" si="1017"/>
        <v>0</v>
      </c>
      <c r="BS445" s="421">
        <f t="shared" si="1018"/>
        <v>0</v>
      </c>
      <c r="BT445" s="421">
        <f t="shared" si="1018"/>
        <v>0</v>
      </c>
      <c r="BU445" s="421">
        <f t="shared" si="1019"/>
        <v>719420</v>
      </c>
      <c r="BV445" s="421">
        <f t="shared" si="1019"/>
        <v>21285</v>
      </c>
      <c r="BW445" s="421">
        <f t="shared" si="1020"/>
        <v>4000</v>
      </c>
      <c r="BX445" s="422">
        <f t="shared" si="1021"/>
        <v>5.52</v>
      </c>
      <c r="BY445" s="422">
        <f t="shared" si="1022"/>
        <v>5.52</v>
      </c>
      <c r="BZ445" s="611">
        <f t="shared" si="1022"/>
        <v>0</v>
      </c>
      <c r="CA445" s="423"/>
      <c r="CB445" s="418"/>
      <c r="CC445" s="418"/>
      <c r="CD445" s="418"/>
      <c r="CE445" s="418"/>
      <c r="CF445" s="527"/>
    </row>
    <row r="446" spans="1:84" ht="14.1" customHeight="1" x14ac:dyDescent="0.2">
      <c r="A446" s="66">
        <v>86</v>
      </c>
      <c r="B446" s="63">
        <v>2498</v>
      </c>
      <c r="C446" s="64">
        <v>650021576</v>
      </c>
      <c r="D446" s="63">
        <v>70695539</v>
      </c>
      <c r="E446" s="65" t="s">
        <v>702</v>
      </c>
      <c r="F446" s="66">
        <v>3141</v>
      </c>
      <c r="G446" s="65" t="s">
        <v>295</v>
      </c>
      <c r="H446" s="67" t="s">
        <v>272</v>
      </c>
      <c r="I446" s="423">
        <f t="shared" si="882"/>
        <v>1838782</v>
      </c>
      <c r="J446" s="418">
        <f t="shared" si="883"/>
        <v>1356129</v>
      </c>
      <c r="K446" s="418">
        <v>0</v>
      </c>
      <c r="L446" s="924">
        <v>1356129</v>
      </c>
      <c r="M446" s="418">
        <f>N446+O446</f>
        <v>0</v>
      </c>
      <c r="N446" s="205">
        <v>0</v>
      </c>
      <c r="O446" s="205">
        <v>0</v>
      </c>
      <c r="P446" s="668">
        <f t="shared" si="885"/>
        <v>458372</v>
      </c>
      <c r="Q446" s="668">
        <f t="shared" si="886"/>
        <v>13561</v>
      </c>
      <c r="R446" s="674">
        <v>10720</v>
      </c>
      <c r="S446" s="419">
        <f>T446+U446</f>
        <v>4.0666000000000002</v>
      </c>
      <c r="T446" s="676">
        <v>0</v>
      </c>
      <c r="U446" s="909">
        <v>4.0666000000000002</v>
      </c>
      <c r="V446" s="428">
        <f t="shared" si="888"/>
        <v>0</v>
      </c>
      <c r="W446" s="421">
        <f t="shared" si="889"/>
        <v>-38400</v>
      </c>
      <c r="X446" s="421">
        <v>0</v>
      </c>
      <c r="Y446" s="421">
        <v>0</v>
      </c>
      <c r="Z446" s="421">
        <v>0</v>
      </c>
      <c r="AA446" s="421">
        <v>0</v>
      </c>
      <c r="AB446" s="421">
        <v>0</v>
      </c>
      <c r="AC446" s="421">
        <v>0</v>
      </c>
      <c r="AD446" s="421">
        <v>0</v>
      </c>
      <c r="AE446" s="421">
        <v>0</v>
      </c>
      <c r="AF446" s="421">
        <f t="shared" si="890"/>
        <v>0</v>
      </c>
      <c r="AG446" s="421">
        <f t="shared" si="891"/>
        <v>-38400</v>
      </c>
      <c r="AH446" s="421">
        <f t="shared" si="892"/>
        <v>-38400</v>
      </c>
      <c r="AI446" s="421">
        <v>0</v>
      </c>
      <c r="AJ446" s="421">
        <v>38400</v>
      </c>
      <c r="AK446" s="421">
        <v>0</v>
      </c>
      <c r="AL446" s="421">
        <v>0</v>
      </c>
      <c r="AM446" s="421">
        <v>0</v>
      </c>
      <c r="AN446" s="421">
        <v>0</v>
      </c>
      <c r="AO446" s="421">
        <f t="shared" si="893"/>
        <v>0</v>
      </c>
      <c r="AP446" s="421">
        <f t="shared" si="894"/>
        <v>38400</v>
      </c>
      <c r="AQ446" s="421">
        <f t="shared" si="895"/>
        <v>38400</v>
      </c>
      <c r="AR446" s="421">
        <f t="shared" si="1009"/>
        <v>0</v>
      </c>
      <c r="AS446" s="421">
        <f t="shared" si="1009"/>
        <v>0</v>
      </c>
      <c r="AT446" s="421">
        <f t="shared" si="896"/>
        <v>0</v>
      </c>
      <c r="AU446" s="68">
        <f t="shared" si="1010"/>
        <v>0</v>
      </c>
      <c r="AV446" s="68">
        <f t="shared" si="1011"/>
        <v>-384</v>
      </c>
      <c r="AW446" s="421">
        <v>0</v>
      </c>
      <c r="AX446" s="421">
        <v>0</v>
      </c>
      <c r="AY446" s="421">
        <f t="shared" si="897"/>
        <v>0</v>
      </c>
      <c r="AZ446" s="421">
        <f t="shared" si="898"/>
        <v>-384</v>
      </c>
      <c r="BA446" s="422">
        <v>0</v>
      </c>
      <c r="BB446" s="422">
        <v>0</v>
      </c>
      <c r="BC446" s="422">
        <v>0</v>
      </c>
      <c r="BD446" s="422">
        <v>0</v>
      </c>
      <c r="BE446" s="422">
        <v>0</v>
      </c>
      <c r="BF446" s="422">
        <v>0</v>
      </c>
      <c r="BG446" s="422">
        <v>0</v>
      </c>
      <c r="BH446" s="422">
        <v>0</v>
      </c>
      <c r="BI446" s="422">
        <v>0</v>
      </c>
      <c r="BJ446" s="422">
        <v>0</v>
      </c>
      <c r="BK446" s="422">
        <f t="shared" si="1012"/>
        <v>0</v>
      </c>
      <c r="BL446" s="422">
        <f t="shared" si="1013"/>
        <v>0</v>
      </c>
      <c r="BM446" s="424">
        <f t="shared" si="899"/>
        <v>0</v>
      </c>
      <c r="BN446" s="427">
        <f t="shared" si="1014"/>
        <v>1838398</v>
      </c>
      <c r="BO446" s="421">
        <f t="shared" si="1015"/>
        <v>1317729</v>
      </c>
      <c r="BP446" s="421">
        <f t="shared" si="1016"/>
        <v>0</v>
      </c>
      <c r="BQ446" s="421">
        <f t="shared" si="1016"/>
        <v>1317729</v>
      </c>
      <c r="BR446" s="421">
        <f t="shared" si="1017"/>
        <v>38400</v>
      </c>
      <c r="BS446" s="421">
        <f t="shared" si="1018"/>
        <v>0</v>
      </c>
      <c r="BT446" s="421">
        <f t="shared" si="1018"/>
        <v>38400</v>
      </c>
      <c r="BU446" s="421">
        <f t="shared" si="1019"/>
        <v>458372</v>
      </c>
      <c r="BV446" s="421">
        <f t="shared" si="1019"/>
        <v>13177</v>
      </c>
      <c r="BW446" s="421">
        <f t="shared" si="1020"/>
        <v>10720</v>
      </c>
      <c r="BX446" s="422">
        <f t="shared" si="1021"/>
        <v>4.0666000000000002</v>
      </c>
      <c r="BY446" s="422">
        <f t="shared" si="1022"/>
        <v>0</v>
      </c>
      <c r="BZ446" s="611">
        <f t="shared" si="1022"/>
        <v>4.0666000000000002</v>
      </c>
      <c r="CA446" s="423"/>
      <c r="CB446" s="418"/>
      <c r="CC446" s="418"/>
      <c r="CD446" s="418"/>
      <c r="CE446" s="418"/>
      <c r="CF446" s="527"/>
    </row>
    <row r="447" spans="1:84" ht="14.1" customHeight="1" x14ac:dyDescent="0.2">
      <c r="A447" s="66">
        <v>86</v>
      </c>
      <c r="B447" s="63">
        <v>2498</v>
      </c>
      <c r="C447" s="64">
        <v>650021576</v>
      </c>
      <c r="D447" s="63">
        <v>70695539</v>
      </c>
      <c r="E447" s="65" t="s">
        <v>702</v>
      </c>
      <c r="F447" s="66">
        <v>3143</v>
      </c>
      <c r="G447" s="77" t="s">
        <v>596</v>
      </c>
      <c r="H447" s="67" t="s">
        <v>271</v>
      </c>
      <c r="I447" s="423">
        <f t="shared" si="882"/>
        <v>1668649</v>
      </c>
      <c r="J447" s="418">
        <f t="shared" si="883"/>
        <v>1237870</v>
      </c>
      <c r="K447" s="418">
        <v>1237870</v>
      </c>
      <c r="L447" s="418">
        <v>0</v>
      </c>
      <c r="M447" s="418">
        <f t="shared" si="884"/>
        <v>0</v>
      </c>
      <c r="N447" s="418">
        <v>0</v>
      </c>
      <c r="O447" s="418">
        <v>0</v>
      </c>
      <c r="P447" s="668">
        <f t="shared" si="885"/>
        <v>418400</v>
      </c>
      <c r="Q447" s="668">
        <f t="shared" si="886"/>
        <v>12379</v>
      </c>
      <c r="R447" s="418">
        <v>0</v>
      </c>
      <c r="S447" s="419">
        <f t="shared" si="887"/>
        <v>2.5</v>
      </c>
      <c r="T447" s="419">
        <v>2.5</v>
      </c>
      <c r="U447" s="426">
        <v>0</v>
      </c>
      <c r="V447" s="428">
        <f t="shared" si="888"/>
        <v>0</v>
      </c>
      <c r="W447" s="421">
        <f t="shared" si="889"/>
        <v>0</v>
      </c>
      <c r="X447" s="421">
        <v>0</v>
      </c>
      <c r="Y447" s="421">
        <v>0</v>
      </c>
      <c r="Z447" s="421">
        <v>0</v>
      </c>
      <c r="AA447" s="421">
        <v>0</v>
      </c>
      <c r="AB447" s="421">
        <v>0</v>
      </c>
      <c r="AC447" s="421">
        <v>0</v>
      </c>
      <c r="AD447" s="421">
        <v>0</v>
      </c>
      <c r="AE447" s="421">
        <v>0</v>
      </c>
      <c r="AF447" s="421">
        <f t="shared" si="890"/>
        <v>0</v>
      </c>
      <c r="AG447" s="421">
        <f t="shared" si="891"/>
        <v>0</v>
      </c>
      <c r="AH447" s="421">
        <f t="shared" si="892"/>
        <v>0</v>
      </c>
      <c r="AI447" s="421">
        <v>0</v>
      </c>
      <c r="AJ447" s="421">
        <v>0</v>
      </c>
      <c r="AK447" s="421">
        <v>0</v>
      </c>
      <c r="AL447" s="421">
        <v>0</v>
      </c>
      <c r="AM447" s="421">
        <v>0</v>
      </c>
      <c r="AN447" s="421">
        <v>0</v>
      </c>
      <c r="AO447" s="421">
        <f t="shared" si="893"/>
        <v>0</v>
      </c>
      <c r="AP447" s="421">
        <f t="shared" si="894"/>
        <v>0</v>
      </c>
      <c r="AQ447" s="421">
        <f t="shared" si="895"/>
        <v>0</v>
      </c>
      <c r="AR447" s="421">
        <f t="shared" si="1009"/>
        <v>0</v>
      </c>
      <c r="AS447" s="421">
        <f t="shared" si="1009"/>
        <v>0</v>
      </c>
      <c r="AT447" s="421">
        <f t="shared" si="896"/>
        <v>0</v>
      </c>
      <c r="AU447" s="68">
        <f t="shared" si="1010"/>
        <v>0</v>
      </c>
      <c r="AV447" s="68">
        <f t="shared" si="1011"/>
        <v>0</v>
      </c>
      <c r="AW447" s="421">
        <v>0</v>
      </c>
      <c r="AX447" s="421">
        <v>0</v>
      </c>
      <c r="AY447" s="421">
        <f t="shared" si="897"/>
        <v>0</v>
      </c>
      <c r="AZ447" s="421">
        <f t="shared" si="898"/>
        <v>0</v>
      </c>
      <c r="BA447" s="422">
        <v>0</v>
      </c>
      <c r="BB447" s="422">
        <v>0</v>
      </c>
      <c r="BC447" s="422">
        <v>0</v>
      </c>
      <c r="BD447" s="422">
        <v>0</v>
      </c>
      <c r="BE447" s="422">
        <v>0</v>
      </c>
      <c r="BF447" s="422">
        <v>0</v>
      </c>
      <c r="BG447" s="422">
        <v>0</v>
      </c>
      <c r="BH447" s="422">
        <v>0</v>
      </c>
      <c r="BI447" s="422">
        <v>0</v>
      </c>
      <c r="BJ447" s="422">
        <v>0</v>
      </c>
      <c r="BK447" s="422">
        <f t="shared" si="1012"/>
        <v>0</v>
      </c>
      <c r="BL447" s="422">
        <f t="shared" si="1013"/>
        <v>0</v>
      </c>
      <c r="BM447" s="424">
        <f t="shared" si="899"/>
        <v>0</v>
      </c>
      <c r="BN447" s="427">
        <f t="shared" si="1014"/>
        <v>1668649</v>
      </c>
      <c r="BO447" s="421">
        <f t="shared" si="1015"/>
        <v>1237870</v>
      </c>
      <c r="BP447" s="421">
        <f t="shared" si="1016"/>
        <v>1237870</v>
      </c>
      <c r="BQ447" s="421">
        <f t="shared" si="1016"/>
        <v>0</v>
      </c>
      <c r="BR447" s="421">
        <f t="shared" si="1017"/>
        <v>0</v>
      </c>
      <c r="BS447" s="421">
        <f t="shared" si="1018"/>
        <v>0</v>
      </c>
      <c r="BT447" s="421">
        <f t="shared" si="1018"/>
        <v>0</v>
      </c>
      <c r="BU447" s="421">
        <f t="shared" si="1019"/>
        <v>418400</v>
      </c>
      <c r="BV447" s="421">
        <f t="shared" si="1019"/>
        <v>12379</v>
      </c>
      <c r="BW447" s="421">
        <f t="shared" si="1020"/>
        <v>0</v>
      </c>
      <c r="BX447" s="422">
        <f t="shared" si="1021"/>
        <v>2.5</v>
      </c>
      <c r="BY447" s="422">
        <f t="shared" si="1022"/>
        <v>2.5</v>
      </c>
      <c r="BZ447" s="611">
        <f t="shared" si="1022"/>
        <v>0</v>
      </c>
      <c r="CA447" s="423"/>
      <c r="CB447" s="418"/>
      <c r="CC447" s="418"/>
      <c r="CD447" s="418"/>
      <c r="CE447" s="418"/>
      <c r="CF447" s="527"/>
    </row>
    <row r="448" spans="1:84" ht="14.1" customHeight="1" x14ac:dyDescent="0.2">
      <c r="A448" s="66">
        <v>86</v>
      </c>
      <c r="B448" s="63">
        <v>2498</v>
      </c>
      <c r="C448" s="64">
        <v>650021576</v>
      </c>
      <c r="D448" s="63">
        <v>70695539</v>
      </c>
      <c r="E448" s="65" t="s">
        <v>702</v>
      </c>
      <c r="F448" s="66">
        <v>3143</v>
      </c>
      <c r="G448" s="77" t="s">
        <v>597</v>
      </c>
      <c r="H448" s="67" t="s">
        <v>272</v>
      </c>
      <c r="I448" s="423">
        <f t="shared" si="882"/>
        <v>39429</v>
      </c>
      <c r="J448" s="418">
        <f t="shared" si="883"/>
        <v>28222</v>
      </c>
      <c r="K448" s="418">
        <v>0</v>
      </c>
      <c r="L448" s="674">
        <v>28222</v>
      </c>
      <c r="M448" s="418">
        <f t="shared" si="884"/>
        <v>0</v>
      </c>
      <c r="N448" s="418">
        <v>0</v>
      </c>
      <c r="O448" s="418">
        <v>0</v>
      </c>
      <c r="P448" s="668">
        <f t="shared" si="885"/>
        <v>9539</v>
      </c>
      <c r="Q448" s="668">
        <f t="shared" si="886"/>
        <v>282</v>
      </c>
      <c r="R448" s="675">
        <v>1386</v>
      </c>
      <c r="S448" s="419">
        <f t="shared" si="887"/>
        <v>0.1069</v>
      </c>
      <c r="T448" s="679">
        <v>0</v>
      </c>
      <c r="U448" s="909">
        <v>0.1069</v>
      </c>
      <c r="V448" s="428">
        <f t="shared" si="888"/>
        <v>0</v>
      </c>
      <c r="W448" s="421">
        <f t="shared" si="889"/>
        <v>0</v>
      </c>
      <c r="X448" s="421">
        <v>0</v>
      </c>
      <c r="Y448" s="421">
        <v>0</v>
      </c>
      <c r="Z448" s="421">
        <v>0</v>
      </c>
      <c r="AA448" s="421">
        <v>0</v>
      </c>
      <c r="AB448" s="421">
        <v>0</v>
      </c>
      <c r="AC448" s="421">
        <v>0</v>
      </c>
      <c r="AD448" s="421">
        <v>0</v>
      </c>
      <c r="AE448" s="421">
        <v>0</v>
      </c>
      <c r="AF448" s="421">
        <f t="shared" si="890"/>
        <v>0</v>
      </c>
      <c r="AG448" s="421">
        <f t="shared" si="891"/>
        <v>0</v>
      </c>
      <c r="AH448" s="421">
        <f t="shared" si="892"/>
        <v>0</v>
      </c>
      <c r="AI448" s="421">
        <v>0</v>
      </c>
      <c r="AJ448" s="421">
        <v>0</v>
      </c>
      <c r="AK448" s="421">
        <v>0</v>
      </c>
      <c r="AL448" s="421">
        <v>0</v>
      </c>
      <c r="AM448" s="421">
        <v>0</v>
      </c>
      <c r="AN448" s="421">
        <v>0</v>
      </c>
      <c r="AO448" s="421">
        <f t="shared" si="893"/>
        <v>0</v>
      </c>
      <c r="AP448" s="421">
        <f t="shared" si="894"/>
        <v>0</v>
      </c>
      <c r="AQ448" s="421">
        <f t="shared" si="895"/>
        <v>0</v>
      </c>
      <c r="AR448" s="421">
        <f t="shared" si="1009"/>
        <v>0</v>
      </c>
      <c r="AS448" s="421">
        <f t="shared" si="1009"/>
        <v>0</v>
      </c>
      <c r="AT448" s="421">
        <f t="shared" si="896"/>
        <v>0</v>
      </c>
      <c r="AU448" s="68">
        <f t="shared" si="1010"/>
        <v>0</v>
      </c>
      <c r="AV448" s="68">
        <f t="shared" si="1011"/>
        <v>0</v>
      </c>
      <c r="AW448" s="421">
        <v>0</v>
      </c>
      <c r="AX448" s="421">
        <v>0</v>
      </c>
      <c r="AY448" s="421">
        <f t="shared" si="897"/>
        <v>0</v>
      </c>
      <c r="AZ448" s="421">
        <f t="shared" si="898"/>
        <v>0</v>
      </c>
      <c r="BA448" s="422">
        <v>0</v>
      </c>
      <c r="BB448" s="422">
        <v>0</v>
      </c>
      <c r="BC448" s="422">
        <v>0</v>
      </c>
      <c r="BD448" s="422">
        <v>0</v>
      </c>
      <c r="BE448" s="422">
        <v>0</v>
      </c>
      <c r="BF448" s="422">
        <v>0</v>
      </c>
      <c r="BG448" s="422">
        <v>0</v>
      </c>
      <c r="BH448" s="422">
        <v>0</v>
      </c>
      <c r="BI448" s="422">
        <v>0</v>
      </c>
      <c r="BJ448" s="422">
        <v>0</v>
      </c>
      <c r="BK448" s="422">
        <f t="shared" si="1012"/>
        <v>0</v>
      </c>
      <c r="BL448" s="422">
        <f t="shared" si="1013"/>
        <v>0</v>
      </c>
      <c r="BM448" s="424">
        <f t="shared" si="899"/>
        <v>0</v>
      </c>
      <c r="BN448" s="427">
        <f t="shared" si="1014"/>
        <v>39429</v>
      </c>
      <c r="BO448" s="421">
        <f t="shared" si="1015"/>
        <v>28222</v>
      </c>
      <c r="BP448" s="421">
        <f t="shared" si="1016"/>
        <v>0</v>
      </c>
      <c r="BQ448" s="421">
        <f t="shared" si="1016"/>
        <v>28222</v>
      </c>
      <c r="BR448" s="421">
        <f t="shared" si="1017"/>
        <v>0</v>
      </c>
      <c r="BS448" s="421">
        <f t="shared" si="1018"/>
        <v>0</v>
      </c>
      <c r="BT448" s="421">
        <f t="shared" si="1018"/>
        <v>0</v>
      </c>
      <c r="BU448" s="421">
        <f t="shared" si="1019"/>
        <v>9539</v>
      </c>
      <c r="BV448" s="421">
        <f t="shared" si="1019"/>
        <v>282</v>
      </c>
      <c r="BW448" s="421">
        <f t="shared" si="1020"/>
        <v>1386</v>
      </c>
      <c r="BX448" s="422">
        <f t="shared" si="1021"/>
        <v>0.1069</v>
      </c>
      <c r="BY448" s="422">
        <f t="shared" si="1022"/>
        <v>0</v>
      </c>
      <c r="BZ448" s="611">
        <f t="shared" si="1022"/>
        <v>0.1069</v>
      </c>
      <c r="CA448" s="423"/>
      <c r="CB448" s="418"/>
      <c r="CC448" s="418"/>
      <c r="CD448" s="418"/>
      <c r="CE448" s="418"/>
      <c r="CF448" s="527"/>
    </row>
    <row r="449" spans="1:84" ht="14.1" customHeight="1" x14ac:dyDescent="0.2">
      <c r="A449" s="72">
        <v>86</v>
      </c>
      <c r="B449" s="69">
        <v>2498</v>
      </c>
      <c r="C449" s="70">
        <v>650021576</v>
      </c>
      <c r="D449" s="69">
        <v>70695539</v>
      </c>
      <c r="E449" s="71" t="s">
        <v>703</v>
      </c>
      <c r="F449" s="72"/>
      <c r="G449" s="71"/>
      <c r="H449" s="73"/>
      <c r="I449" s="538">
        <f t="shared" ref="I449:BU449" si="1023">SUM(I443:I448)</f>
        <v>28345444</v>
      </c>
      <c r="J449" s="74">
        <f t="shared" si="1023"/>
        <v>20813784</v>
      </c>
      <c r="K449" s="74">
        <f t="shared" si="1023"/>
        <v>17962926</v>
      </c>
      <c r="L449" s="74">
        <f t="shared" si="1023"/>
        <v>2850858</v>
      </c>
      <c r="M449" s="74">
        <f t="shared" si="1023"/>
        <v>0</v>
      </c>
      <c r="N449" s="74">
        <f t="shared" si="1023"/>
        <v>0</v>
      </c>
      <c r="O449" s="74">
        <f t="shared" si="1023"/>
        <v>0</v>
      </c>
      <c r="P449" s="74">
        <f t="shared" si="1023"/>
        <v>7035059</v>
      </c>
      <c r="Q449" s="74">
        <f t="shared" si="1023"/>
        <v>208137</v>
      </c>
      <c r="R449" s="74">
        <f t="shared" si="1023"/>
        <v>288464</v>
      </c>
      <c r="S449" s="75">
        <f t="shared" si="1023"/>
        <v>35.817600000000006</v>
      </c>
      <c r="T449" s="75">
        <f t="shared" si="1023"/>
        <v>27.090900000000001</v>
      </c>
      <c r="U449" s="753">
        <f t="shared" si="1023"/>
        <v>8.726700000000001</v>
      </c>
      <c r="V449" s="538">
        <f t="shared" si="1023"/>
        <v>-57600</v>
      </c>
      <c r="W449" s="74">
        <f t="shared" si="1023"/>
        <v>-70400</v>
      </c>
      <c r="X449" s="74">
        <f t="shared" si="1023"/>
        <v>2128461</v>
      </c>
      <c r="Y449" s="74">
        <f t="shared" si="1023"/>
        <v>0</v>
      </c>
      <c r="Z449" s="74">
        <f t="shared" si="1023"/>
        <v>0</v>
      </c>
      <c r="AA449" s="74">
        <f t="shared" si="1023"/>
        <v>0</v>
      </c>
      <c r="AB449" s="74">
        <f t="shared" si="1023"/>
        <v>282000</v>
      </c>
      <c r="AC449" s="74">
        <f t="shared" si="1023"/>
        <v>0</v>
      </c>
      <c r="AD449" s="74">
        <f t="shared" si="1023"/>
        <v>0</v>
      </c>
      <c r="AE449" s="74">
        <f t="shared" si="1023"/>
        <v>0</v>
      </c>
      <c r="AF449" s="74">
        <f t="shared" si="1023"/>
        <v>2352861</v>
      </c>
      <c r="AG449" s="74">
        <f t="shared" si="1023"/>
        <v>-70400</v>
      </c>
      <c r="AH449" s="74">
        <f t="shared" si="1023"/>
        <v>2282461</v>
      </c>
      <c r="AI449" s="74">
        <f t="shared" si="1023"/>
        <v>57600</v>
      </c>
      <c r="AJ449" s="74">
        <f t="shared" si="1023"/>
        <v>70400</v>
      </c>
      <c r="AK449" s="74">
        <f t="shared" si="1023"/>
        <v>0</v>
      </c>
      <c r="AL449" s="74">
        <f t="shared" si="1023"/>
        <v>0</v>
      </c>
      <c r="AM449" s="74">
        <f t="shared" si="1023"/>
        <v>0</v>
      </c>
      <c r="AN449" s="74">
        <f t="shared" si="1023"/>
        <v>0</v>
      </c>
      <c r="AO449" s="74">
        <f t="shared" si="1023"/>
        <v>57600</v>
      </c>
      <c r="AP449" s="74">
        <f t="shared" si="1023"/>
        <v>70400</v>
      </c>
      <c r="AQ449" s="74">
        <f t="shared" si="1023"/>
        <v>128000</v>
      </c>
      <c r="AR449" s="74">
        <f t="shared" si="1023"/>
        <v>2410461</v>
      </c>
      <c r="AS449" s="74">
        <f t="shared" si="1023"/>
        <v>0</v>
      </c>
      <c r="AT449" s="74">
        <f t="shared" si="1023"/>
        <v>2410461</v>
      </c>
      <c r="AU449" s="74">
        <f t="shared" si="1023"/>
        <v>814736</v>
      </c>
      <c r="AV449" s="74">
        <f t="shared" si="1023"/>
        <v>22825</v>
      </c>
      <c r="AW449" s="74">
        <f t="shared" si="1023"/>
        <v>4000</v>
      </c>
      <c r="AX449" s="74">
        <f t="shared" si="1023"/>
        <v>0</v>
      </c>
      <c r="AY449" s="74">
        <f t="shared" si="1023"/>
        <v>4000</v>
      </c>
      <c r="AZ449" s="74">
        <f t="shared" si="1023"/>
        <v>3252022</v>
      </c>
      <c r="BA449" s="75">
        <f t="shared" si="1023"/>
        <v>-7.0000000000000007E-2</v>
      </c>
      <c r="BB449" s="75">
        <f t="shared" si="1023"/>
        <v>0</v>
      </c>
      <c r="BC449" s="75">
        <f t="shared" si="1023"/>
        <v>5.52</v>
      </c>
      <c r="BD449" s="75">
        <f t="shared" si="1023"/>
        <v>0.5</v>
      </c>
      <c r="BE449" s="75">
        <f t="shared" si="1023"/>
        <v>0</v>
      </c>
      <c r="BF449" s="75">
        <f t="shared" si="1023"/>
        <v>0</v>
      </c>
      <c r="BG449" s="75">
        <f t="shared" si="1023"/>
        <v>0</v>
      </c>
      <c r="BH449" s="75">
        <f t="shared" si="1023"/>
        <v>0</v>
      </c>
      <c r="BI449" s="75">
        <f t="shared" si="1023"/>
        <v>0</v>
      </c>
      <c r="BJ449" s="75">
        <f t="shared" si="1023"/>
        <v>0</v>
      </c>
      <c r="BK449" s="75">
        <f t="shared" si="1023"/>
        <v>5.9499999999999993</v>
      </c>
      <c r="BL449" s="75">
        <f t="shared" si="1023"/>
        <v>0</v>
      </c>
      <c r="BM449" s="76">
        <f t="shared" si="1023"/>
        <v>5.9499999999999993</v>
      </c>
      <c r="BN449" s="549">
        <f t="shared" si="1023"/>
        <v>31597466</v>
      </c>
      <c r="BO449" s="74">
        <f t="shared" si="1023"/>
        <v>23096245</v>
      </c>
      <c r="BP449" s="74">
        <f t="shared" si="1023"/>
        <v>20315787</v>
      </c>
      <c r="BQ449" s="74">
        <f t="shared" si="1023"/>
        <v>2780458</v>
      </c>
      <c r="BR449" s="74">
        <f t="shared" si="1023"/>
        <v>128000</v>
      </c>
      <c r="BS449" s="74">
        <f t="shared" si="1023"/>
        <v>57600</v>
      </c>
      <c r="BT449" s="74">
        <f t="shared" si="1023"/>
        <v>70400</v>
      </c>
      <c r="BU449" s="74">
        <f t="shared" si="1023"/>
        <v>7849795</v>
      </c>
      <c r="BV449" s="74">
        <f t="shared" ref="BV449:CF449" si="1024">SUM(BV443:BV448)</f>
        <v>230962</v>
      </c>
      <c r="BW449" s="74">
        <f t="shared" si="1024"/>
        <v>292464</v>
      </c>
      <c r="BX449" s="75">
        <f t="shared" si="1024"/>
        <v>41.767600000000002</v>
      </c>
      <c r="BY449" s="75">
        <f t="shared" si="1024"/>
        <v>33.040900000000001</v>
      </c>
      <c r="BZ449" s="753">
        <f t="shared" si="1024"/>
        <v>8.726700000000001</v>
      </c>
      <c r="CA449" s="796">
        <f t="shared" si="1024"/>
        <v>380136</v>
      </c>
      <c r="CB449" s="789">
        <f t="shared" si="1024"/>
        <v>282000</v>
      </c>
      <c r="CC449" s="789">
        <f t="shared" si="1024"/>
        <v>0</v>
      </c>
      <c r="CD449" s="789">
        <f t="shared" si="1024"/>
        <v>95316</v>
      </c>
      <c r="CE449" s="789">
        <f t="shared" si="1024"/>
        <v>2820</v>
      </c>
      <c r="CF449" s="793">
        <f t="shared" si="1024"/>
        <v>0.5</v>
      </c>
    </row>
    <row r="450" spans="1:84" ht="14.1" customHeight="1" x14ac:dyDescent="0.2">
      <c r="A450" s="66">
        <v>87</v>
      </c>
      <c r="B450" s="63">
        <v>2499</v>
      </c>
      <c r="C450" s="64">
        <v>650025288</v>
      </c>
      <c r="D450" s="63">
        <v>70983283</v>
      </c>
      <c r="E450" s="65" t="s">
        <v>704</v>
      </c>
      <c r="F450" s="66">
        <v>3111</v>
      </c>
      <c r="G450" s="65" t="s">
        <v>291</v>
      </c>
      <c r="H450" s="67" t="s">
        <v>271</v>
      </c>
      <c r="I450" s="423">
        <f t="shared" si="882"/>
        <v>3165213</v>
      </c>
      <c r="J450" s="418">
        <f t="shared" si="883"/>
        <v>2339121</v>
      </c>
      <c r="K450" s="418">
        <v>2219313</v>
      </c>
      <c r="L450" s="418">
        <v>119808</v>
      </c>
      <c r="M450" s="418">
        <f t="shared" ref="M450:M451" si="1025">N450+O450</f>
        <v>0</v>
      </c>
      <c r="N450" s="418">
        <v>0</v>
      </c>
      <c r="O450" s="418">
        <v>0</v>
      </c>
      <c r="P450" s="668">
        <f t="shared" si="885"/>
        <v>790623</v>
      </c>
      <c r="Q450" s="668">
        <f t="shared" si="886"/>
        <v>23391</v>
      </c>
      <c r="R450" s="418">
        <v>12078</v>
      </c>
      <c r="S450" s="419">
        <f t="shared" si="887"/>
        <v>4.4639000000000006</v>
      </c>
      <c r="T450" s="419">
        <v>3.9839000000000002</v>
      </c>
      <c r="U450" s="426">
        <v>0.48</v>
      </c>
      <c r="V450" s="428">
        <f t="shared" si="888"/>
        <v>0</v>
      </c>
      <c r="W450" s="421">
        <f t="shared" si="889"/>
        <v>0</v>
      </c>
      <c r="X450" s="421">
        <v>0</v>
      </c>
      <c r="Y450" s="421">
        <v>0</v>
      </c>
      <c r="Z450" s="421">
        <v>0</v>
      </c>
      <c r="AA450" s="421">
        <v>0</v>
      </c>
      <c r="AB450" s="421">
        <v>0</v>
      </c>
      <c r="AC450" s="421">
        <v>0</v>
      </c>
      <c r="AD450" s="421">
        <v>0</v>
      </c>
      <c r="AE450" s="421">
        <v>0</v>
      </c>
      <c r="AF450" s="421">
        <f t="shared" si="890"/>
        <v>0</v>
      </c>
      <c r="AG450" s="421">
        <f t="shared" si="891"/>
        <v>0</v>
      </c>
      <c r="AH450" s="421">
        <f t="shared" si="892"/>
        <v>0</v>
      </c>
      <c r="AI450" s="421">
        <v>0</v>
      </c>
      <c r="AJ450" s="421">
        <v>0</v>
      </c>
      <c r="AK450" s="421">
        <v>0</v>
      </c>
      <c r="AL450" s="421">
        <v>0</v>
      </c>
      <c r="AM450" s="421">
        <v>0</v>
      </c>
      <c r="AN450" s="421">
        <v>0</v>
      </c>
      <c r="AO450" s="421">
        <f t="shared" si="893"/>
        <v>0</v>
      </c>
      <c r="AP450" s="421">
        <f t="shared" si="894"/>
        <v>0</v>
      </c>
      <c r="AQ450" s="421">
        <f t="shared" si="895"/>
        <v>0</v>
      </c>
      <c r="AR450" s="421">
        <f t="shared" ref="AR450:AS455" si="1026">AF450+AO450</f>
        <v>0</v>
      </c>
      <c r="AS450" s="421">
        <f t="shared" si="1026"/>
        <v>0</v>
      </c>
      <c r="AT450" s="421">
        <f t="shared" si="896"/>
        <v>0</v>
      </c>
      <c r="AU450" s="68">
        <f t="shared" ref="AU450:AU455" si="1027">ROUND((AH450+AI450+AJ450+AK450+AL450)*33.8%,0)</f>
        <v>0</v>
      </c>
      <c r="AV450" s="68">
        <f t="shared" ref="AV450:AV455" si="1028">ROUND(AH450*1%,0)</f>
        <v>0</v>
      </c>
      <c r="AW450" s="421">
        <v>0</v>
      </c>
      <c r="AX450" s="421">
        <v>0</v>
      </c>
      <c r="AY450" s="421">
        <f t="shared" si="897"/>
        <v>0</v>
      </c>
      <c r="AZ450" s="421">
        <f t="shared" si="898"/>
        <v>0</v>
      </c>
      <c r="BA450" s="422">
        <v>0</v>
      </c>
      <c r="BB450" s="422">
        <v>0</v>
      </c>
      <c r="BC450" s="422">
        <v>0</v>
      </c>
      <c r="BD450" s="422">
        <v>0</v>
      </c>
      <c r="BE450" s="422">
        <v>0</v>
      </c>
      <c r="BF450" s="422">
        <v>0</v>
      </c>
      <c r="BG450" s="422">
        <v>0</v>
      </c>
      <c r="BH450" s="422">
        <v>0</v>
      </c>
      <c r="BI450" s="422">
        <v>0</v>
      </c>
      <c r="BJ450" s="422">
        <v>0</v>
      </c>
      <c r="BK450" s="422">
        <f t="shared" ref="BK450:BK455" si="1029">BA450+BC450+BD450+BF450+BH450+BI450</f>
        <v>0</v>
      </c>
      <c r="BL450" s="422">
        <f t="shared" ref="BL450:BL455" si="1030">BB450+BE450+BG450+BJ450</f>
        <v>0</v>
      </c>
      <c r="BM450" s="424">
        <f t="shared" si="899"/>
        <v>0</v>
      </c>
      <c r="BN450" s="427">
        <f t="shared" ref="BN450:BN455" si="1031">I450+AZ450</f>
        <v>3165213</v>
      </c>
      <c r="BO450" s="421">
        <f t="shared" ref="BO450:BO455" si="1032">J450+AH450</f>
        <v>2339121</v>
      </c>
      <c r="BP450" s="421">
        <f t="shared" ref="BP450:BQ455" si="1033">K450+AF450</f>
        <v>2219313</v>
      </c>
      <c r="BQ450" s="421">
        <f t="shared" si="1033"/>
        <v>119808</v>
      </c>
      <c r="BR450" s="421">
        <f t="shared" ref="BR450:BR455" si="1034">M450+AQ450</f>
        <v>0</v>
      </c>
      <c r="BS450" s="421">
        <f t="shared" ref="BS450:BT455" si="1035">N450+AO450</f>
        <v>0</v>
      </c>
      <c r="BT450" s="421">
        <f t="shared" si="1035"/>
        <v>0</v>
      </c>
      <c r="BU450" s="421">
        <f t="shared" ref="BU450:BV455" si="1036">P450+AU450</f>
        <v>790623</v>
      </c>
      <c r="BV450" s="421">
        <f t="shared" si="1036"/>
        <v>23391</v>
      </c>
      <c r="BW450" s="421">
        <f t="shared" ref="BW450:BW455" si="1037">R450+AY450</f>
        <v>12078</v>
      </c>
      <c r="BX450" s="422">
        <f t="shared" ref="BX450:BX455" si="1038">S450+BM450</f>
        <v>4.4639000000000006</v>
      </c>
      <c r="BY450" s="422">
        <f t="shared" ref="BY450:BZ455" si="1039">T450+BK450</f>
        <v>3.9839000000000002</v>
      </c>
      <c r="BZ450" s="611">
        <f t="shared" si="1039"/>
        <v>0.48</v>
      </c>
      <c r="CA450" s="423"/>
      <c r="CB450" s="418"/>
      <c r="CC450" s="418"/>
      <c r="CD450" s="418"/>
      <c r="CE450" s="418"/>
      <c r="CF450" s="527"/>
    </row>
    <row r="451" spans="1:84" ht="14.1" customHeight="1" x14ac:dyDescent="0.2">
      <c r="A451" s="66">
        <v>87</v>
      </c>
      <c r="B451" s="63">
        <v>2499</v>
      </c>
      <c r="C451" s="64">
        <v>650025288</v>
      </c>
      <c r="D451" s="63">
        <v>70983283</v>
      </c>
      <c r="E451" s="65" t="s">
        <v>704</v>
      </c>
      <c r="F451" s="66">
        <v>3117</v>
      </c>
      <c r="G451" s="65" t="s">
        <v>294</v>
      </c>
      <c r="H451" s="67" t="s">
        <v>271</v>
      </c>
      <c r="I451" s="423">
        <f t="shared" si="882"/>
        <v>4419805</v>
      </c>
      <c r="J451" s="418">
        <f t="shared" si="883"/>
        <v>3227326</v>
      </c>
      <c r="K451" s="418">
        <v>2758996</v>
      </c>
      <c r="L451" s="418">
        <v>468330</v>
      </c>
      <c r="M451" s="418">
        <f t="shared" si="1025"/>
        <v>0</v>
      </c>
      <c r="N451" s="418">
        <v>0</v>
      </c>
      <c r="O451" s="418">
        <v>0</v>
      </c>
      <c r="P451" s="668">
        <f t="shared" si="885"/>
        <v>1090836</v>
      </c>
      <c r="Q451" s="668">
        <f>ROUND(J451*1%,0)+1</f>
        <v>32274</v>
      </c>
      <c r="R451" s="418">
        <v>69369</v>
      </c>
      <c r="S451" s="419">
        <f>T451+U451</f>
        <v>5.5034000000000001</v>
      </c>
      <c r="T451" s="419">
        <v>4.1368</v>
      </c>
      <c r="U451" s="426">
        <v>1.3665999999999998</v>
      </c>
      <c r="V451" s="428">
        <f t="shared" si="888"/>
        <v>0</v>
      </c>
      <c r="W451" s="421">
        <f t="shared" si="889"/>
        <v>0</v>
      </c>
      <c r="X451" s="421">
        <v>0</v>
      </c>
      <c r="Y451" s="421">
        <v>0</v>
      </c>
      <c r="Z451" s="421">
        <v>0</v>
      </c>
      <c r="AA451" s="421">
        <v>0</v>
      </c>
      <c r="AB451" s="421">
        <v>0</v>
      </c>
      <c r="AC451" s="421">
        <v>0</v>
      </c>
      <c r="AD451" s="421">
        <v>0</v>
      </c>
      <c r="AE451" s="421">
        <v>0</v>
      </c>
      <c r="AF451" s="421">
        <f t="shared" si="890"/>
        <v>0</v>
      </c>
      <c r="AG451" s="421">
        <f t="shared" si="891"/>
        <v>0</v>
      </c>
      <c r="AH451" s="421">
        <f t="shared" si="892"/>
        <v>0</v>
      </c>
      <c r="AI451" s="421">
        <v>0</v>
      </c>
      <c r="AJ451" s="421">
        <v>0</v>
      </c>
      <c r="AK451" s="421">
        <v>0</v>
      </c>
      <c r="AL451" s="421">
        <v>0</v>
      </c>
      <c r="AM451" s="421">
        <v>0</v>
      </c>
      <c r="AN451" s="421">
        <v>0</v>
      </c>
      <c r="AO451" s="421">
        <f t="shared" si="893"/>
        <v>0</v>
      </c>
      <c r="AP451" s="421">
        <f t="shared" si="894"/>
        <v>0</v>
      </c>
      <c r="AQ451" s="421">
        <f t="shared" si="895"/>
        <v>0</v>
      </c>
      <c r="AR451" s="421">
        <f t="shared" si="1026"/>
        <v>0</v>
      </c>
      <c r="AS451" s="421">
        <f t="shared" si="1026"/>
        <v>0</v>
      </c>
      <c r="AT451" s="421">
        <f t="shared" si="896"/>
        <v>0</v>
      </c>
      <c r="AU451" s="68">
        <f t="shared" si="1027"/>
        <v>0</v>
      </c>
      <c r="AV451" s="68">
        <f t="shared" si="1028"/>
        <v>0</v>
      </c>
      <c r="AW451" s="421">
        <v>0</v>
      </c>
      <c r="AX451" s="421">
        <v>0</v>
      </c>
      <c r="AY451" s="421">
        <f t="shared" si="897"/>
        <v>0</v>
      </c>
      <c r="AZ451" s="421">
        <f t="shared" si="898"/>
        <v>0</v>
      </c>
      <c r="BA451" s="422">
        <v>0</v>
      </c>
      <c r="BB451" s="422">
        <v>0</v>
      </c>
      <c r="BC451" s="422">
        <v>0</v>
      </c>
      <c r="BD451" s="422">
        <v>0</v>
      </c>
      <c r="BE451" s="422">
        <v>0</v>
      </c>
      <c r="BF451" s="422">
        <v>0</v>
      </c>
      <c r="BG451" s="422">
        <v>0</v>
      </c>
      <c r="BH451" s="422">
        <v>0</v>
      </c>
      <c r="BI451" s="422">
        <v>0</v>
      </c>
      <c r="BJ451" s="422">
        <v>0</v>
      </c>
      <c r="BK451" s="422">
        <f t="shared" si="1029"/>
        <v>0</v>
      </c>
      <c r="BL451" s="422">
        <f t="shared" si="1030"/>
        <v>0</v>
      </c>
      <c r="BM451" s="424">
        <f t="shared" si="899"/>
        <v>0</v>
      </c>
      <c r="BN451" s="427">
        <f t="shared" si="1031"/>
        <v>4419805</v>
      </c>
      <c r="BO451" s="421">
        <f t="shared" si="1032"/>
        <v>3227326</v>
      </c>
      <c r="BP451" s="421">
        <f t="shared" si="1033"/>
        <v>2758996</v>
      </c>
      <c r="BQ451" s="421">
        <f t="shared" si="1033"/>
        <v>468330</v>
      </c>
      <c r="BR451" s="421">
        <f t="shared" si="1034"/>
        <v>0</v>
      </c>
      <c r="BS451" s="421">
        <f t="shared" si="1035"/>
        <v>0</v>
      </c>
      <c r="BT451" s="421">
        <f t="shared" si="1035"/>
        <v>0</v>
      </c>
      <c r="BU451" s="421">
        <f t="shared" si="1036"/>
        <v>1090836</v>
      </c>
      <c r="BV451" s="421">
        <f t="shared" si="1036"/>
        <v>32274</v>
      </c>
      <c r="BW451" s="421">
        <f t="shared" si="1037"/>
        <v>69369</v>
      </c>
      <c r="BX451" s="422">
        <f t="shared" si="1038"/>
        <v>5.5034000000000001</v>
      </c>
      <c r="BY451" s="422">
        <f t="shared" si="1039"/>
        <v>4.1368</v>
      </c>
      <c r="BZ451" s="611">
        <f t="shared" si="1039"/>
        <v>1.3665999999999998</v>
      </c>
      <c r="CA451" s="423"/>
      <c r="CB451" s="418"/>
      <c r="CC451" s="418"/>
      <c r="CD451" s="418"/>
      <c r="CE451" s="418"/>
      <c r="CF451" s="527"/>
    </row>
    <row r="452" spans="1:84" ht="14.1" customHeight="1" x14ac:dyDescent="0.2">
      <c r="A452" s="66">
        <v>87</v>
      </c>
      <c r="B452" s="63">
        <v>2499</v>
      </c>
      <c r="C452" s="64">
        <v>650025288</v>
      </c>
      <c r="D452" s="63">
        <v>70983283</v>
      </c>
      <c r="E452" s="65" t="s">
        <v>704</v>
      </c>
      <c r="F452" s="66">
        <v>3117</v>
      </c>
      <c r="G452" s="65" t="s">
        <v>292</v>
      </c>
      <c r="H452" s="67" t="s">
        <v>272</v>
      </c>
      <c r="I452" s="423">
        <f t="shared" si="882"/>
        <v>0</v>
      </c>
      <c r="J452" s="418">
        <f t="shared" si="883"/>
        <v>0</v>
      </c>
      <c r="K452" s="418">
        <v>0</v>
      </c>
      <c r="L452" s="418">
        <v>0</v>
      </c>
      <c r="M452" s="418">
        <f t="shared" si="884"/>
        <v>0</v>
      </c>
      <c r="N452" s="418">
        <v>0</v>
      </c>
      <c r="O452" s="418">
        <v>0</v>
      </c>
      <c r="P452" s="668">
        <f t="shared" si="885"/>
        <v>0</v>
      </c>
      <c r="Q452" s="668">
        <f t="shared" si="886"/>
        <v>0</v>
      </c>
      <c r="R452" s="418">
        <v>0</v>
      </c>
      <c r="S452" s="419">
        <f t="shared" si="887"/>
        <v>0</v>
      </c>
      <c r="T452" s="420">
        <v>0</v>
      </c>
      <c r="U452" s="426">
        <v>0</v>
      </c>
      <c r="V452" s="428">
        <f t="shared" si="888"/>
        <v>0</v>
      </c>
      <c r="W452" s="421">
        <f t="shared" si="889"/>
        <v>0</v>
      </c>
      <c r="X452" s="16">
        <v>185401</v>
      </c>
      <c r="Y452" s="16">
        <v>0</v>
      </c>
      <c r="Z452" s="16">
        <v>0</v>
      </c>
      <c r="AA452" s="16">
        <v>0</v>
      </c>
      <c r="AB452" s="421">
        <v>0</v>
      </c>
      <c r="AC452" s="16">
        <v>0</v>
      </c>
      <c r="AD452" s="16">
        <v>0</v>
      </c>
      <c r="AE452" s="16">
        <v>0</v>
      </c>
      <c r="AF452" s="421">
        <f t="shared" si="890"/>
        <v>185401</v>
      </c>
      <c r="AG452" s="421">
        <f t="shared" si="891"/>
        <v>0</v>
      </c>
      <c r="AH452" s="421">
        <f t="shared" si="892"/>
        <v>185401</v>
      </c>
      <c r="AI452" s="16">
        <v>0</v>
      </c>
      <c r="AJ452" s="16">
        <v>0</v>
      </c>
      <c r="AK452" s="421">
        <v>0</v>
      </c>
      <c r="AL452" s="16">
        <v>0</v>
      </c>
      <c r="AM452" s="16">
        <v>0</v>
      </c>
      <c r="AN452" s="16">
        <v>0</v>
      </c>
      <c r="AO452" s="421">
        <f t="shared" si="893"/>
        <v>0</v>
      </c>
      <c r="AP452" s="16">
        <v>0</v>
      </c>
      <c r="AQ452" s="421">
        <f t="shared" si="895"/>
        <v>0</v>
      </c>
      <c r="AR452" s="421">
        <f t="shared" si="1026"/>
        <v>185401</v>
      </c>
      <c r="AS452" s="421">
        <f t="shared" si="1026"/>
        <v>0</v>
      </c>
      <c r="AT452" s="421">
        <f t="shared" si="896"/>
        <v>185401</v>
      </c>
      <c r="AU452" s="68">
        <f t="shared" si="1027"/>
        <v>62666</v>
      </c>
      <c r="AV452" s="68">
        <f t="shared" si="1028"/>
        <v>1854</v>
      </c>
      <c r="AW452" s="16">
        <v>0</v>
      </c>
      <c r="AX452" s="16">
        <v>0</v>
      </c>
      <c r="AY452" s="421">
        <f t="shared" si="897"/>
        <v>0</v>
      </c>
      <c r="AZ452" s="421">
        <f t="shared" si="898"/>
        <v>249921</v>
      </c>
      <c r="BA452" s="13">
        <v>0</v>
      </c>
      <c r="BB452" s="13">
        <v>0</v>
      </c>
      <c r="BC452" s="13">
        <v>0.5</v>
      </c>
      <c r="BD452" s="422">
        <v>0</v>
      </c>
      <c r="BE452" s="422">
        <v>0</v>
      </c>
      <c r="BF452" s="422">
        <v>0</v>
      </c>
      <c r="BG452" s="422">
        <v>0</v>
      </c>
      <c r="BH452" s="422">
        <v>0</v>
      </c>
      <c r="BI452" s="422">
        <v>0</v>
      </c>
      <c r="BJ452" s="422">
        <v>0</v>
      </c>
      <c r="BK452" s="422">
        <f t="shared" si="1029"/>
        <v>0.5</v>
      </c>
      <c r="BL452" s="422">
        <f t="shared" si="1030"/>
        <v>0</v>
      </c>
      <c r="BM452" s="424">
        <f t="shared" si="899"/>
        <v>0.5</v>
      </c>
      <c r="BN452" s="427">
        <f t="shared" si="1031"/>
        <v>249921</v>
      </c>
      <c r="BO452" s="421">
        <f t="shared" si="1032"/>
        <v>185401</v>
      </c>
      <c r="BP452" s="421">
        <f t="shared" si="1033"/>
        <v>185401</v>
      </c>
      <c r="BQ452" s="421">
        <f t="shared" si="1033"/>
        <v>0</v>
      </c>
      <c r="BR452" s="421">
        <f t="shared" si="1034"/>
        <v>0</v>
      </c>
      <c r="BS452" s="421">
        <f t="shared" si="1035"/>
        <v>0</v>
      </c>
      <c r="BT452" s="421">
        <f t="shared" si="1035"/>
        <v>0</v>
      </c>
      <c r="BU452" s="421">
        <f t="shared" si="1036"/>
        <v>62666</v>
      </c>
      <c r="BV452" s="421">
        <f t="shared" si="1036"/>
        <v>1854</v>
      </c>
      <c r="BW452" s="421">
        <f t="shared" si="1037"/>
        <v>0</v>
      </c>
      <c r="BX452" s="422">
        <f t="shared" si="1038"/>
        <v>0.5</v>
      </c>
      <c r="BY452" s="422">
        <f t="shared" si="1039"/>
        <v>0.5</v>
      </c>
      <c r="BZ452" s="611">
        <f t="shared" si="1039"/>
        <v>0</v>
      </c>
      <c r="CA452" s="423"/>
      <c r="CB452" s="418"/>
      <c r="CC452" s="418"/>
      <c r="CD452" s="418"/>
      <c r="CE452" s="418"/>
      <c r="CF452" s="527"/>
    </row>
    <row r="453" spans="1:84" ht="14.1" customHeight="1" x14ac:dyDescent="0.2">
      <c r="A453" s="66">
        <v>87</v>
      </c>
      <c r="B453" s="63">
        <v>2499</v>
      </c>
      <c r="C453" s="64">
        <v>650025288</v>
      </c>
      <c r="D453" s="63">
        <v>70983283</v>
      </c>
      <c r="E453" s="65" t="s">
        <v>704</v>
      </c>
      <c r="F453" s="66">
        <v>3141</v>
      </c>
      <c r="G453" s="65" t="s">
        <v>295</v>
      </c>
      <c r="H453" s="67" t="s">
        <v>272</v>
      </c>
      <c r="I453" s="423">
        <f t="shared" si="882"/>
        <v>734368</v>
      </c>
      <c r="J453" s="418">
        <f t="shared" si="883"/>
        <v>542472</v>
      </c>
      <c r="K453" s="418">
        <v>0</v>
      </c>
      <c r="L453" s="924">
        <v>542472</v>
      </c>
      <c r="M453" s="418">
        <f>N453+O453</f>
        <v>0</v>
      </c>
      <c r="N453" s="205">
        <v>0</v>
      </c>
      <c r="O453" s="205">
        <v>0</v>
      </c>
      <c r="P453" s="668">
        <f t="shared" si="885"/>
        <v>183356</v>
      </c>
      <c r="Q453" s="668">
        <f t="shared" si="886"/>
        <v>5425</v>
      </c>
      <c r="R453" s="674">
        <v>3115</v>
      </c>
      <c r="S453" s="419">
        <f>T453+U453</f>
        <v>1.6267</v>
      </c>
      <c r="T453" s="676">
        <v>0</v>
      </c>
      <c r="U453" s="909">
        <v>1.6267</v>
      </c>
      <c r="V453" s="428">
        <f t="shared" si="888"/>
        <v>0</v>
      </c>
      <c r="W453" s="421">
        <f t="shared" si="889"/>
        <v>0</v>
      </c>
      <c r="X453" s="421">
        <v>0</v>
      </c>
      <c r="Y453" s="421">
        <v>0</v>
      </c>
      <c r="Z453" s="421">
        <v>0</v>
      </c>
      <c r="AA453" s="421">
        <v>0</v>
      </c>
      <c r="AB453" s="421">
        <v>0</v>
      </c>
      <c r="AC453" s="421">
        <v>0</v>
      </c>
      <c r="AD453" s="421">
        <v>0</v>
      </c>
      <c r="AE453" s="421">
        <v>0</v>
      </c>
      <c r="AF453" s="421">
        <f t="shared" si="890"/>
        <v>0</v>
      </c>
      <c r="AG453" s="421">
        <f t="shared" si="891"/>
        <v>0</v>
      </c>
      <c r="AH453" s="421">
        <f t="shared" si="892"/>
        <v>0</v>
      </c>
      <c r="AI453" s="421">
        <v>0</v>
      </c>
      <c r="AJ453" s="421">
        <v>0</v>
      </c>
      <c r="AK453" s="421">
        <v>0</v>
      </c>
      <c r="AL453" s="421">
        <v>0</v>
      </c>
      <c r="AM453" s="421">
        <v>0</v>
      </c>
      <c r="AN453" s="421">
        <v>0</v>
      </c>
      <c r="AO453" s="421">
        <f t="shared" si="893"/>
        <v>0</v>
      </c>
      <c r="AP453" s="421">
        <f t="shared" si="894"/>
        <v>0</v>
      </c>
      <c r="AQ453" s="421">
        <f t="shared" si="895"/>
        <v>0</v>
      </c>
      <c r="AR453" s="421">
        <f t="shared" si="1026"/>
        <v>0</v>
      </c>
      <c r="AS453" s="421">
        <f t="shared" si="1026"/>
        <v>0</v>
      </c>
      <c r="AT453" s="421">
        <f t="shared" si="896"/>
        <v>0</v>
      </c>
      <c r="AU453" s="68">
        <f t="shared" si="1027"/>
        <v>0</v>
      </c>
      <c r="AV453" s="68">
        <f t="shared" si="1028"/>
        <v>0</v>
      </c>
      <c r="AW453" s="421">
        <v>0</v>
      </c>
      <c r="AX453" s="421">
        <v>0</v>
      </c>
      <c r="AY453" s="421">
        <f t="shared" si="897"/>
        <v>0</v>
      </c>
      <c r="AZ453" s="421">
        <f t="shared" si="898"/>
        <v>0</v>
      </c>
      <c r="BA453" s="422">
        <v>0</v>
      </c>
      <c r="BB453" s="422">
        <v>0</v>
      </c>
      <c r="BC453" s="422">
        <v>0</v>
      </c>
      <c r="BD453" s="422">
        <v>0</v>
      </c>
      <c r="BE453" s="422">
        <v>0</v>
      </c>
      <c r="BF453" s="422">
        <v>0</v>
      </c>
      <c r="BG453" s="422">
        <v>0</v>
      </c>
      <c r="BH453" s="422">
        <v>0</v>
      </c>
      <c r="BI453" s="422">
        <v>0</v>
      </c>
      <c r="BJ453" s="422">
        <v>0</v>
      </c>
      <c r="BK453" s="422">
        <f t="shared" si="1029"/>
        <v>0</v>
      </c>
      <c r="BL453" s="422">
        <f t="shared" si="1030"/>
        <v>0</v>
      </c>
      <c r="BM453" s="424">
        <f t="shared" si="899"/>
        <v>0</v>
      </c>
      <c r="BN453" s="427">
        <f t="shared" si="1031"/>
        <v>734368</v>
      </c>
      <c r="BO453" s="421">
        <f t="shared" si="1032"/>
        <v>542472</v>
      </c>
      <c r="BP453" s="421">
        <f t="shared" si="1033"/>
        <v>0</v>
      </c>
      <c r="BQ453" s="421">
        <f t="shared" si="1033"/>
        <v>542472</v>
      </c>
      <c r="BR453" s="421">
        <f t="shared" si="1034"/>
        <v>0</v>
      </c>
      <c r="BS453" s="421">
        <f t="shared" si="1035"/>
        <v>0</v>
      </c>
      <c r="BT453" s="421">
        <f t="shared" si="1035"/>
        <v>0</v>
      </c>
      <c r="BU453" s="421">
        <f t="shared" si="1036"/>
        <v>183356</v>
      </c>
      <c r="BV453" s="421">
        <f t="shared" si="1036"/>
        <v>5425</v>
      </c>
      <c r="BW453" s="421">
        <f t="shared" si="1037"/>
        <v>3115</v>
      </c>
      <c r="BX453" s="422">
        <f t="shared" si="1038"/>
        <v>1.6267</v>
      </c>
      <c r="BY453" s="422">
        <f t="shared" si="1039"/>
        <v>0</v>
      </c>
      <c r="BZ453" s="611">
        <f t="shared" si="1039"/>
        <v>1.6267</v>
      </c>
      <c r="CA453" s="423"/>
      <c r="CB453" s="418"/>
      <c r="CC453" s="418"/>
      <c r="CD453" s="418"/>
      <c r="CE453" s="418"/>
      <c r="CF453" s="527"/>
    </row>
    <row r="454" spans="1:84" ht="14.1" customHeight="1" x14ac:dyDescent="0.2">
      <c r="A454" s="66">
        <v>87</v>
      </c>
      <c r="B454" s="63">
        <v>2499</v>
      </c>
      <c r="C454" s="64">
        <v>650025288</v>
      </c>
      <c r="D454" s="63">
        <v>70983283</v>
      </c>
      <c r="E454" s="65" t="s">
        <v>704</v>
      </c>
      <c r="F454" s="66">
        <v>3143</v>
      </c>
      <c r="G454" s="77" t="s">
        <v>596</v>
      </c>
      <c r="H454" s="67" t="s">
        <v>271</v>
      </c>
      <c r="I454" s="423">
        <f t="shared" si="882"/>
        <v>1073188</v>
      </c>
      <c r="J454" s="418">
        <f t="shared" si="883"/>
        <v>796134</v>
      </c>
      <c r="K454" s="418">
        <v>796134</v>
      </c>
      <c r="L454" s="418">
        <v>0</v>
      </c>
      <c r="M454" s="418">
        <f t="shared" si="884"/>
        <v>0</v>
      </c>
      <c r="N454" s="418">
        <v>0</v>
      </c>
      <c r="O454" s="418">
        <v>0</v>
      </c>
      <c r="P454" s="668">
        <f t="shared" si="885"/>
        <v>269093</v>
      </c>
      <c r="Q454" s="668">
        <f t="shared" si="886"/>
        <v>7961</v>
      </c>
      <c r="R454" s="418">
        <v>0</v>
      </c>
      <c r="S454" s="419">
        <f t="shared" si="887"/>
        <v>1.6106</v>
      </c>
      <c r="T454" s="419">
        <v>1.6106</v>
      </c>
      <c r="U454" s="426">
        <v>0</v>
      </c>
      <c r="V454" s="428">
        <f t="shared" si="888"/>
        <v>0</v>
      </c>
      <c r="W454" s="421">
        <f t="shared" si="889"/>
        <v>0</v>
      </c>
      <c r="X454" s="421">
        <v>0</v>
      </c>
      <c r="Y454" s="421">
        <v>0</v>
      </c>
      <c r="Z454" s="421">
        <v>0</v>
      </c>
      <c r="AA454" s="421">
        <v>0</v>
      </c>
      <c r="AB454" s="421">
        <v>0</v>
      </c>
      <c r="AC454" s="421">
        <v>0</v>
      </c>
      <c r="AD454" s="421">
        <v>0</v>
      </c>
      <c r="AE454" s="421">
        <v>0</v>
      </c>
      <c r="AF454" s="421">
        <f t="shared" si="890"/>
        <v>0</v>
      </c>
      <c r="AG454" s="421">
        <f t="shared" si="891"/>
        <v>0</v>
      </c>
      <c r="AH454" s="421">
        <f t="shared" si="892"/>
        <v>0</v>
      </c>
      <c r="AI454" s="421">
        <v>0</v>
      </c>
      <c r="AJ454" s="421">
        <v>0</v>
      </c>
      <c r="AK454" s="421">
        <v>0</v>
      </c>
      <c r="AL454" s="421">
        <v>0</v>
      </c>
      <c r="AM454" s="421">
        <v>0</v>
      </c>
      <c r="AN454" s="421">
        <v>0</v>
      </c>
      <c r="AO454" s="421">
        <f t="shared" si="893"/>
        <v>0</v>
      </c>
      <c r="AP454" s="421">
        <f t="shared" si="894"/>
        <v>0</v>
      </c>
      <c r="AQ454" s="421">
        <f t="shared" si="895"/>
        <v>0</v>
      </c>
      <c r="AR454" s="421">
        <f t="shared" si="1026"/>
        <v>0</v>
      </c>
      <c r="AS454" s="421">
        <f t="shared" si="1026"/>
        <v>0</v>
      </c>
      <c r="AT454" s="421">
        <f t="shared" si="896"/>
        <v>0</v>
      </c>
      <c r="AU454" s="68">
        <f t="shared" si="1027"/>
        <v>0</v>
      </c>
      <c r="AV454" s="68">
        <f t="shared" si="1028"/>
        <v>0</v>
      </c>
      <c r="AW454" s="421">
        <v>0</v>
      </c>
      <c r="AX454" s="421">
        <v>0</v>
      </c>
      <c r="AY454" s="421">
        <f t="shared" si="897"/>
        <v>0</v>
      </c>
      <c r="AZ454" s="421">
        <f t="shared" si="898"/>
        <v>0</v>
      </c>
      <c r="BA454" s="422">
        <v>0</v>
      </c>
      <c r="BB454" s="422">
        <v>0</v>
      </c>
      <c r="BC454" s="422">
        <v>0</v>
      </c>
      <c r="BD454" s="422">
        <v>0</v>
      </c>
      <c r="BE454" s="422">
        <v>0</v>
      </c>
      <c r="BF454" s="422">
        <v>0</v>
      </c>
      <c r="BG454" s="422">
        <v>0</v>
      </c>
      <c r="BH454" s="422">
        <v>0</v>
      </c>
      <c r="BI454" s="422">
        <v>0</v>
      </c>
      <c r="BJ454" s="422">
        <v>0</v>
      </c>
      <c r="BK454" s="422">
        <f t="shared" si="1029"/>
        <v>0</v>
      </c>
      <c r="BL454" s="422">
        <f t="shared" si="1030"/>
        <v>0</v>
      </c>
      <c r="BM454" s="424">
        <f t="shared" si="899"/>
        <v>0</v>
      </c>
      <c r="BN454" s="427">
        <f t="shared" si="1031"/>
        <v>1073188</v>
      </c>
      <c r="BO454" s="421">
        <f t="shared" si="1032"/>
        <v>796134</v>
      </c>
      <c r="BP454" s="421">
        <f t="shared" si="1033"/>
        <v>796134</v>
      </c>
      <c r="BQ454" s="421">
        <f t="shared" si="1033"/>
        <v>0</v>
      </c>
      <c r="BR454" s="421">
        <f t="shared" si="1034"/>
        <v>0</v>
      </c>
      <c r="BS454" s="421">
        <f t="shared" si="1035"/>
        <v>0</v>
      </c>
      <c r="BT454" s="421">
        <f t="shared" si="1035"/>
        <v>0</v>
      </c>
      <c r="BU454" s="421">
        <f t="shared" si="1036"/>
        <v>269093</v>
      </c>
      <c r="BV454" s="421">
        <f t="shared" si="1036"/>
        <v>7961</v>
      </c>
      <c r="BW454" s="421">
        <f t="shared" si="1037"/>
        <v>0</v>
      </c>
      <c r="BX454" s="422">
        <f t="shared" si="1038"/>
        <v>1.6106</v>
      </c>
      <c r="BY454" s="422">
        <f t="shared" si="1039"/>
        <v>1.6106</v>
      </c>
      <c r="BZ454" s="611">
        <f t="shared" si="1039"/>
        <v>0</v>
      </c>
      <c r="CA454" s="423"/>
      <c r="CB454" s="418"/>
      <c r="CC454" s="418"/>
      <c r="CD454" s="418"/>
      <c r="CE454" s="418"/>
      <c r="CF454" s="527"/>
    </row>
    <row r="455" spans="1:84" ht="14.1" customHeight="1" x14ac:dyDescent="0.2">
      <c r="A455" s="66">
        <v>87</v>
      </c>
      <c r="B455" s="63">
        <v>2499</v>
      </c>
      <c r="C455" s="64">
        <v>650025288</v>
      </c>
      <c r="D455" s="63">
        <v>70983283</v>
      </c>
      <c r="E455" s="65" t="s">
        <v>704</v>
      </c>
      <c r="F455" s="66">
        <v>3143</v>
      </c>
      <c r="G455" s="77" t="s">
        <v>597</v>
      </c>
      <c r="H455" s="67" t="s">
        <v>272</v>
      </c>
      <c r="I455" s="423">
        <f t="shared" si="882"/>
        <v>20506</v>
      </c>
      <c r="J455" s="418">
        <f t="shared" si="883"/>
        <v>14678</v>
      </c>
      <c r="K455" s="418">
        <v>0</v>
      </c>
      <c r="L455" s="674">
        <v>14678</v>
      </c>
      <c r="M455" s="418">
        <f t="shared" si="884"/>
        <v>0</v>
      </c>
      <c r="N455" s="418">
        <v>0</v>
      </c>
      <c r="O455" s="418">
        <v>0</v>
      </c>
      <c r="P455" s="668">
        <f t="shared" si="885"/>
        <v>4961</v>
      </c>
      <c r="Q455" s="668">
        <f t="shared" si="886"/>
        <v>147</v>
      </c>
      <c r="R455" s="675">
        <v>720</v>
      </c>
      <c r="S455" s="419">
        <f t="shared" si="887"/>
        <v>5.5599999999999997E-2</v>
      </c>
      <c r="T455" s="679">
        <v>0</v>
      </c>
      <c r="U455" s="909">
        <v>5.5599999999999997E-2</v>
      </c>
      <c r="V455" s="428">
        <f t="shared" si="888"/>
        <v>0</v>
      </c>
      <c r="W455" s="421">
        <f t="shared" si="889"/>
        <v>0</v>
      </c>
      <c r="X455" s="421">
        <v>0</v>
      </c>
      <c r="Y455" s="421">
        <v>0</v>
      </c>
      <c r="Z455" s="421">
        <v>0</v>
      </c>
      <c r="AA455" s="421">
        <v>0</v>
      </c>
      <c r="AB455" s="421">
        <v>0</v>
      </c>
      <c r="AC455" s="421">
        <v>0</v>
      </c>
      <c r="AD455" s="421">
        <v>0</v>
      </c>
      <c r="AE455" s="421">
        <v>0</v>
      </c>
      <c r="AF455" s="421">
        <f t="shared" si="890"/>
        <v>0</v>
      </c>
      <c r="AG455" s="421">
        <f t="shared" si="891"/>
        <v>0</v>
      </c>
      <c r="AH455" s="421">
        <f t="shared" si="892"/>
        <v>0</v>
      </c>
      <c r="AI455" s="421">
        <v>0</v>
      </c>
      <c r="AJ455" s="421">
        <v>0</v>
      </c>
      <c r="AK455" s="421">
        <v>0</v>
      </c>
      <c r="AL455" s="421">
        <v>0</v>
      </c>
      <c r="AM455" s="421">
        <v>0</v>
      </c>
      <c r="AN455" s="421">
        <v>0</v>
      </c>
      <c r="AO455" s="421">
        <f t="shared" si="893"/>
        <v>0</v>
      </c>
      <c r="AP455" s="421">
        <f t="shared" si="894"/>
        <v>0</v>
      </c>
      <c r="AQ455" s="421">
        <f t="shared" si="895"/>
        <v>0</v>
      </c>
      <c r="AR455" s="421">
        <f t="shared" si="1026"/>
        <v>0</v>
      </c>
      <c r="AS455" s="421">
        <f t="shared" si="1026"/>
        <v>0</v>
      </c>
      <c r="AT455" s="421">
        <f t="shared" si="896"/>
        <v>0</v>
      </c>
      <c r="AU455" s="68">
        <f t="shared" si="1027"/>
        <v>0</v>
      </c>
      <c r="AV455" s="68">
        <f t="shared" si="1028"/>
        <v>0</v>
      </c>
      <c r="AW455" s="421">
        <v>0</v>
      </c>
      <c r="AX455" s="421">
        <v>0</v>
      </c>
      <c r="AY455" s="421">
        <f t="shared" si="897"/>
        <v>0</v>
      </c>
      <c r="AZ455" s="421">
        <f t="shared" si="898"/>
        <v>0</v>
      </c>
      <c r="BA455" s="422">
        <v>0</v>
      </c>
      <c r="BB455" s="422">
        <v>0</v>
      </c>
      <c r="BC455" s="422">
        <v>0</v>
      </c>
      <c r="BD455" s="422">
        <v>0</v>
      </c>
      <c r="BE455" s="422">
        <v>0</v>
      </c>
      <c r="BF455" s="422">
        <v>0</v>
      </c>
      <c r="BG455" s="422">
        <v>0</v>
      </c>
      <c r="BH455" s="422">
        <v>0</v>
      </c>
      <c r="BI455" s="422">
        <v>0</v>
      </c>
      <c r="BJ455" s="422">
        <v>0</v>
      </c>
      <c r="BK455" s="422">
        <f t="shared" si="1029"/>
        <v>0</v>
      </c>
      <c r="BL455" s="422">
        <f t="shared" si="1030"/>
        <v>0</v>
      </c>
      <c r="BM455" s="424">
        <f t="shared" si="899"/>
        <v>0</v>
      </c>
      <c r="BN455" s="427">
        <f t="shared" si="1031"/>
        <v>20506</v>
      </c>
      <c r="BO455" s="421">
        <f t="shared" si="1032"/>
        <v>14678</v>
      </c>
      <c r="BP455" s="421">
        <f t="shared" si="1033"/>
        <v>0</v>
      </c>
      <c r="BQ455" s="421">
        <f t="shared" si="1033"/>
        <v>14678</v>
      </c>
      <c r="BR455" s="421">
        <f t="shared" si="1034"/>
        <v>0</v>
      </c>
      <c r="BS455" s="421">
        <f t="shared" si="1035"/>
        <v>0</v>
      </c>
      <c r="BT455" s="421">
        <f t="shared" si="1035"/>
        <v>0</v>
      </c>
      <c r="BU455" s="421">
        <f t="shared" si="1036"/>
        <v>4961</v>
      </c>
      <c r="BV455" s="421">
        <f t="shared" si="1036"/>
        <v>147</v>
      </c>
      <c r="BW455" s="421">
        <f t="shared" si="1037"/>
        <v>720</v>
      </c>
      <c r="BX455" s="422">
        <f t="shared" si="1038"/>
        <v>5.5599999999999997E-2</v>
      </c>
      <c r="BY455" s="422">
        <f t="shared" si="1039"/>
        <v>0</v>
      </c>
      <c r="BZ455" s="611">
        <f t="shared" si="1039"/>
        <v>5.5599999999999997E-2</v>
      </c>
      <c r="CA455" s="423"/>
      <c r="CB455" s="418"/>
      <c r="CC455" s="418"/>
      <c r="CD455" s="418"/>
      <c r="CE455" s="418"/>
      <c r="CF455" s="527"/>
    </row>
    <row r="456" spans="1:84" ht="14.1" customHeight="1" x14ac:dyDescent="0.2">
      <c r="A456" s="72">
        <v>87</v>
      </c>
      <c r="B456" s="69">
        <v>2499</v>
      </c>
      <c r="C456" s="70">
        <v>650025288</v>
      </c>
      <c r="D456" s="69">
        <v>70983283</v>
      </c>
      <c r="E456" s="71" t="s">
        <v>705</v>
      </c>
      <c r="F456" s="72"/>
      <c r="G456" s="71"/>
      <c r="H456" s="73"/>
      <c r="I456" s="538">
        <f t="shared" ref="I456:BU456" si="1040">SUM(I450:I455)</f>
        <v>9413080</v>
      </c>
      <c r="J456" s="74">
        <f t="shared" si="1040"/>
        <v>6919731</v>
      </c>
      <c r="K456" s="74">
        <f t="shared" si="1040"/>
        <v>5774443</v>
      </c>
      <c r="L456" s="74">
        <f t="shared" si="1040"/>
        <v>1145288</v>
      </c>
      <c r="M456" s="74">
        <f t="shared" si="1040"/>
        <v>0</v>
      </c>
      <c r="N456" s="74">
        <f t="shared" si="1040"/>
        <v>0</v>
      </c>
      <c r="O456" s="74">
        <f t="shared" si="1040"/>
        <v>0</v>
      </c>
      <c r="P456" s="74">
        <f t="shared" si="1040"/>
        <v>2338869</v>
      </c>
      <c r="Q456" s="74">
        <f t="shared" si="1040"/>
        <v>69198</v>
      </c>
      <c r="R456" s="74">
        <f t="shared" si="1040"/>
        <v>85282</v>
      </c>
      <c r="S456" s="75">
        <f t="shared" si="1040"/>
        <v>13.260200000000001</v>
      </c>
      <c r="T456" s="75">
        <f t="shared" si="1040"/>
        <v>9.7312999999999992</v>
      </c>
      <c r="U456" s="753">
        <f t="shared" si="1040"/>
        <v>3.5289000000000001</v>
      </c>
      <c r="V456" s="538">
        <f t="shared" si="1040"/>
        <v>0</v>
      </c>
      <c r="W456" s="74">
        <f t="shared" si="1040"/>
        <v>0</v>
      </c>
      <c r="X456" s="74">
        <f t="shared" si="1040"/>
        <v>185401</v>
      </c>
      <c r="Y456" s="74">
        <f t="shared" si="1040"/>
        <v>0</v>
      </c>
      <c r="Z456" s="74">
        <f t="shared" si="1040"/>
        <v>0</v>
      </c>
      <c r="AA456" s="74">
        <f t="shared" si="1040"/>
        <v>0</v>
      </c>
      <c r="AB456" s="74">
        <f t="shared" si="1040"/>
        <v>0</v>
      </c>
      <c r="AC456" s="74">
        <f t="shared" si="1040"/>
        <v>0</v>
      </c>
      <c r="AD456" s="74">
        <f t="shared" si="1040"/>
        <v>0</v>
      </c>
      <c r="AE456" s="74">
        <f t="shared" si="1040"/>
        <v>0</v>
      </c>
      <c r="AF456" s="74">
        <f t="shared" si="1040"/>
        <v>185401</v>
      </c>
      <c r="AG456" s="74">
        <f t="shared" si="1040"/>
        <v>0</v>
      </c>
      <c r="AH456" s="74">
        <f t="shared" si="1040"/>
        <v>185401</v>
      </c>
      <c r="AI456" s="74">
        <f t="shared" si="1040"/>
        <v>0</v>
      </c>
      <c r="AJ456" s="74">
        <f t="shared" si="1040"/>
        <v>0</v>
      </c>
      <c r="AK456" s="74">
        <f t="shared" si="1040"/>
        <v>0</v>
      </c>
      <c r="AL456" s="74">
        <f t="shared" si="1040"/>
        <v>0</v>
      </c>
      <c r="AM456" s="74">
        <f t="shared" si="1040"/>
        <v>0</v>
      </c>
      <c r="AN456" s="74">
        <f t="shared" si="1040"/>
        <v>0</v>
      </c>
      <c r="AO456" s="74">
        <f t="shared" si="1040"/>
        <v>0</v>
      </c>
      <c r="AP456" s="74">
        <f t="shared" si="1040"/>
        <v>0</v>
      </c>
      <c r="AQ456" s="74">
        <f t="shared" si="1040"/>
        <v>0</v>
      </c>
      <c r="AR456" s="74">
        <f t="shared" si="1040"/>
        <v>185401</v>
      </c>
      <c r="AS456" s="74">
        <f t="shared" si="1040"/>
        <v>0</v>
      </c>
      <c r="AT456" s="74">
        <f t="shared" si="1040"/>
        <v>185401</v>
      </c>
      <c r="AU456" s="74">
        <f t="shared" si="1040"/>
        <v>62666</v>
      </c>
      <c r="AV456" s="74">
        <f t="shared" si="1040"/>
        <v>1854</v>
      </c>
      <c r="AW456" s="74">
        <f t="shared" si="1040"/>
        <v>0</v>
      </c>
      <c r="AX456" s="74">
        <f t="shared" si="1040"/>
        <v>0</v>
      </c>
      <c r="AY456" s="74">
        <f t="shared" si="1040"/>
        <v>0</v>
      </c>
      <c r="AZ456" s="74">
        <f t="shared" si="1040"/>
        <v>249921</v>
      </c>
      <c r="BA456" s="75">
        <f t="shared" si="1040"/>
        <v>0</v>
      </c>
      <c r="BB456" s="75">
        <f t="shared" si="1040"/>
        <v>0</v>
      </c>
      <c r="BC456" s="75">
        <f t="shared" si="1040"/>
        <v>0.5</v>
      </c>
      <c r="BD456" s="75">
        <f t="shared" si="1040"/>
        <v>0</v>
      </c>
      <c r="BE456" s="75">
        <f t="shared" si="1040"/>
        <v>0</v>
      </c>
      <c r="BF456" s="75">
        <f t="shared" si="1040"/>
        <v>0</v>
      </c>
      <c r="BG456" s="75">
        <f t="shared" si="1040"/>
        <v>0</v>
      </c>
      <c r="BH456" s="75">
        <f t="shared" si="1040"/>
        <v>0</v>
      </c>
      <c r="BI456" s="75">
        <f t="shared" si="1040"/>
        <v>0</v>
      </c>
      <c r="BJ456" s="75">
        <f t="shared" si="1040"/>
        <v>0</v>
      </c>
      <c r="BK456" s="75">
        <f t="shared" si="1040"/>
        <v>0.5</v>
      </c>
      <c r="BL456" s="75">
        <f t="shared" si="1040"/>
        <v>0</v>
      </c>
      <c r="BM456" s="76">
        <f t="shared" si="1040"/>
        <v>0.5</v>
      </c>
      <c r="BN456" s="549">
        <f t="shared" si="1040"/>
        <v>9663001</v>
      </c>
      <c r="BO456" s="74">
        <f t="shared" si="1040"/>
        <v>7105132</v>
      </c>
      <c r="BP456" s="74">
        <f t="shared" si="1040"/>
        <v>5959844</v>
      </c>
      <c r="BQ456" s="74">
        <f t="shared" si="1040"/>
        <v>1145288</v>
      </c>
      <c r="BR456" s="74">
        <f t="shared" si="1040"/>
        <v>0</v>
      </c>
      <c r="BS456" s="74">
        <f t="shared" si="1040"/>
        <v>0</v>
      </c>
      <c r="BT456" s="74">
        <f t="shared" si="1040"/>
        <v>0</v>
      </c>
      <c r="BU456" s="74">
        <f t="shared" si="1040"/>
        <v>2401535</v>
      </c>
      <c r="BV456" s="74">
        <f t="shared" ref="BV456:CF456" si="1041">SUM(BV450:BV455)</f>
        <v>71052</v>
      </c>
      <c r="BW456" s="74">
        <f t="shared" si="1041"/>
        <v>85282</v>
      </c>
      <c r="BX456" s="75">
        <f t="shared" si="1041"/>
        <v>13.760200000000001</v>
      </c>
      <c r="BY456" s="75">
        <f t="shared" si="1041"/>
        <v>10.231299999999999</v>
      </c>
      <c r="BZ456" s="753">
        <f t="shared" si="1041"/>
        <v>3.5289000000000001</v>
      </c>
      <c r="CA456" s="796">
        <f t="shared" si="1041"/>
        <v>0</v>
      </c>
      <c r="CB456" s="789">
        <f t="shared" si="1041"/>
        <v>0</v>
      </c>
      <c r="CC456" s="789">
        <f t="shared" si="1041"/>
        <v>0</v>
      </c>
      <c r="CD456" s="789">
        <f t="shared" si="1041"/>
        <v>0</v>
      </c>
      <c r="CE456" s="789">
        <f t="shared" si="1041"/>
        <v>0</v>
      </c>
      <c r="CF456" s="793">
        <f t="shared" si="1041"/>
        <v>0</v>
      </c>
    </row>
    <row r="457" spans="1:84" ht="14.1" customHeight="1" x14ac:dyDescent="0.2">
      <c r="A457" s="66">
        <v>88</v>
      </c>
      <c r="B457" s="63">
        <v>2331</v>
      </c>
      <c r="C457" s="64">
        <v>691014302</v>
      </c>
      <c r="D457" s="63" t="s">
        <v>764</v>
      </c>
      <c r="E457" s="65" t="s">
        <v>770</v>
      </c>
      <c r="F457" s="66">
        <v>3111</v>
      </c>
      <c r="G457" s="65" t="s">
        <v>291</v>
      </c>
      <c r="H457" s="67" t="s">
        <v>271</v>
      </c>
      <c r="I457" s="423">
        <f t="shared" si="882"/>
        <v>3290716</v>
      </c>
      <c r="J457" s="418">
        <f t="shared" si="883"/>
        <v>2435638</v>
      </c>
      <c r="K457" s="418">
        <v>2213846</v>
      </c>
      <c r="L457" s="418">
        <v>221792</v>
      </c>
      <c r="M457" s="418">
        <f>N457+O457</f>
        <v>0</v>
      </c>
      <c r="N457" s="418">
        <v>0</v>
      </c>
      <c r="O457" s="418">
        <v>0</v>
      </c>
      <c r="P457" s="668">
        <f t="shared" si="885"/>
        <v>823246</v>
      </c>
      <c r="Q457" s="668">
        <f t="shared" si="886"/>
        <v>24356</v>
      </c>
      <c r="R457" s="418">
        <v>7476</v>
      </c>
      <c r="S457" s="419">
        <f t="shared" si="887"/>
        <v>4.9666999999999994</v>
      </c>
      <c r="T457" s="419">
        <v>4.22</v>
      </c>
      <c r="U457" s="426">
        <v>0.74669999999999992</v>
      </c>
      <c r="V457" s="428">
        <f t="shared" si="888"/>
        <v>0</v>
      </c>
      <c r="W457" s="421">
        <f t="shared" si="889"/>
        <v>0</v>
      </c>
      <c r="X457" s="421">
        <v>0</v>
      </c>
      <c r="Y457" s="421">
        <v>0</v>
      </c>
      <c r="Z457" s="421">
        <v>0</v>
      </c>
      <c r="AA457" s="421">
        <v>0</v>
      </c>
      <c r="AB457" s="421">
        <v>0</v>
      </c>
      <c r="AC457" s="421">
        <v>0</v>
      </c>
      <c r="AD457" s="421">
        <v>0</v>
      </c>
      <c r="AE457" s="421">
        <v>0</v>
      </c>
      <c r="AF457" s="421">
        <f t="shared" si="890"/>
        <v>0</v>
      </c>
      <c r="AG457" s="421">
        <f t="shared" si="891"/>
        <v>0</v>
      </c>
      <c r="AH457" s="421">
        <f t="shared" si="892"/>
        <v>0</v>
      </c>
      <c r="AI457" s="421">
        <v>0</v>
      </c>
      <c r="AJ457" s="421">
        <v>0</v>
      </c>
      <c r="AK457" s="421">
        <v>0</v>
      </c>
      <c r="AL457" s="421">
        <v>0</v>
      </c>
      <c r="AM457" s="421">
        <v>0</v>
      </c>
      <c r="AN457" s="421">
        <v>0</v>
      </c>
      <c r="AO457" s="421">
        <f t="shared" si="893"/>
        <v>0</v>
      </c>
      <c r="AP457" s="421">
        <f t="shared" si="894"/>
        <v>0</v>
      </c>
      <c r="AQ457" s="421">
        <f t="shared" si="895"/>
        <v>0</v>
      </c>
      <c r="AR457" s="421">
        <f>AF457+AO457</f>
        <v>0</v>
      </c>
      <c r="AS457" s="421">
        <f>AG457+AP457</f>
        <v>0</v>
      </c>
      <c r="AT457" s="421">
        <f t="shared" si="896"/>
        <v>0</v>
      </c>
      <c r="AU457" s="68">
        <f t="shared" ref="AU457:AU458" si="1042">ROUND((AH457+AI457+AJ457+AK457+AL457)*33.8%,0)</f>
        <v>0</v>
      </c>
      <c r="AV457" s="68">
        <f>ROUND(AH457*1%,0)</f>
        <v>0</v>
      </c>
      <c r="AW457" s="421">
        <v>0</v>
      </c>
      <c r="AX457" s="421">
        <v>0</v>
      </c>
      <c r="AY457" s="421">
        <f t="shared" si="897"/>
        <v>0</v>
      </c>
      <c r="AZ457" s="421">
        <f t="shared" si="898"/>
        <v>0</v>
      </c>
      <c r="BA457" s="422">
        <v>0</v>
      </c>
      <c r="BB457" s="422">
        <v>0</v>
      </c>
      <c r="BC457" s="422">
        <v>0</v>
      </c>
      <c r="BD457" s="422">
        <v>0</v>
      </c>
      <c r="BE457" s="422">
        <v>0</v>
      </c>
      <c r="BF457" s="422">
        <v>0</v>
      </c>
      <c r="BG457" s="422">
        <v>0</v>
      </c>
      <c r="BH457" s="422">
        <v>0</v>
      </c>
      <c r="BI457" s="422">
        <v>0</v>
      </c>
      <c r="BJ457" s="422">
        <v>0</v>
      </c>
      <c r="BK457" s="422">
        <f>BA457+BC457+BD457+BF457+BH457+BI457</f>
        <v>0</v>
      </c>
      <c r="BL457" s="422">
        <f>BB457+BE457+BG457+BJ457</f>
        <v>0</v>
      </c>
      <c r="BM457" s="424">
        <f t="shared" si="899"/>
        <v>0</v>
      </c>
      <c r="BN457" s="427">
        <f>I457+AZ457</f>
        <v>3290716</v>
      </c>
      <c r="BO457" s="421">
        <f>J457+AH457</f>
        <v>2435638</v>
      </c>
      <c r="BP457" s="421">
        <f>K457+AF457</f>
        <v>2213846</v>
      </c>
      <c r="BQ457" s="421">
        <f>L457+AG457</f>
        <v>221792</v>
      </c>
      <c r="BR457" s="421">
        <f>M457+AQ457</f>
        <v>0</v>
      </c>
      <c r="BS457" s="421">
        <f>N457+AO457</f>
        <v>0</v>
      </c>
      <c r="BT457" s="421">
        <f>O457+AP457</f>
        <v>0</v>
      </c>
      <c r="BU457" s="421">
        <f>P457+AU457</f>
        <v>823246</v>
      </c>
      <c r="BV457" s="421">
        <f>Q457+AV457</f>
        <v>24356</v>
      </c>
      <c r="BW457" s="421">
        <f>R457+AY457</f>
        <v>7476</v>
      </c>
      <c r="BX457" s="422">
        <f>S457+BM457</f>
        <v>4.9666999999999994</v>
      </c>
      <c r="BY457" s="422">
        <f>T457+BK457</f>
        <v>4.22</v>
      </c>
      <c r="BZ457" s="611">
        <f>U457+BL457</f>
        <v>0.74669999999999992</v>
      </c>
      <c r="CA457" s="423"/>
      <c r="CB457" s="418"/>
      <c r="CC457" s="418"/>
      <c r="CD457" s="418"/>
      <c r="CE457" s="418"/>
      <c r="CF457" s="527"/>
    </row>
    <row r="458" spans="1:84" ht="14.1" customHeight="1" x14ac:dyDescent="0.2">
      <c r="A458" s="66">
        <v>88</v>
      </c>
      <c r="B458" s="63">
        <v>2331</v>
      </c>
      <c r="C458" s="64">
        <v>691014302</v>
      </c>
      <c r="D458" s="63" t="s">
        <v>764</v>
      </c>
      <c r="E458" s="65" t="s">
        <v>770</v>
      </c>
      <c r="F458" s="66">
        <v>3141</v>
      </c>
      <c r="G458" s="65" t="s">
        <v>295</v>
      </c>
      <c r="H458" s="67" t="s">
        <v>272</v>
      </c>
      <c r="I458" s="423">
        <f t="shared" si="882"/>
        <v>306661</v>
      </c>
      <c r="J458" s="418">
        <f t="shared" si="883"/>
        <v>226766</v>
      </c>
      <c r="K458" s="418">
        <v>0</v>
      </c>
      <c r="L458" s="924">
        <v>226766</v>
      </c>
      <c r="M458" s="418">
        <f>N458+O458</f>
        <v>0</v>
      </c>
      <c r="N458" s="205">
        <v>0</v>
      </c>
      <c r="O458" s="205">
        <v>0</v>
      </c>
      <c r="P458" s="668">
        <f t="shared" si="885"/>
        <v>76647</v>
      </c>
      <c r="Q458" s="668">
        <f t="shared" si="886"/>
        <v>2268</v>
      </c>
      <c r="R458" s="674">
        <v>980</v>
      </c>
      <c r="S458" s="419">
        <f>T458+U458</f>
        <v>0.68</v>
      </c>
      <c r="T458" s="676">
        <v>0</v>
      </c>
      <c r="U458" s="909">
        <v>0.68</v>
      </c>
      <c r="V458" s="428">
        <f t="shared" si="888"/>
        <v>0</v>
      </c>
      <c r="W458" s="421">
        <f t="shared" si="889"/>
        <v>0</v>
      </c>
      <c r="X458" s="421">
        <v>0</v>
      </c>
      <c r="Y458" s="421">
        <v>0</v>
      </c>
      <c r="Z458" s="421">
        <v>0</v>
      </c>
      <c r="AA458" s="421">
        <v>0</v>
      </c>
      <c r="AB458" s="421">
        <v>0</v>
      </c>
      <c r="AC458" s="421">
        <v>0</v>
      </c>
      <c r="AD458" s="421">
        <v>0</v>
      </c>
      <c r="AE458" s="421">
        <v>0</v>
      </c>
      <c r="AF458" s="421">
        <f t="shared" si="890"/>
        <v>0</v>
      </c>
      <c r="AG458" s="421">
        <f t="shared" si="891"/>
        <v>0</v>
      </c>
      <c r="AH458" s="421">
        <f t="shared" si="892"/>
        <v>0</v>
      </c>
      <c r="AI458" s="421">
        <v>0</v>
      </c>
      <c r="AJ458" s="421">
        <v>0</v>
      </c>
      <c r="AK458" s="421">
        <v>0</v>
      </c>
      <c r="AL458" s="421">
        <v>0</v>
      </c>
      <c r="AM458" s="421">
        <v>0</v>
      </c>
      <c r="AN458" s="421">
        <v>0</v>
      </c>
      <c r="AO458" s="421">
        <f t="shared" si="893"/>
        <v>0</v>
      </c>
      <c r="AP458" s="421">
        <f t="shared" si="894"/>
        <v>0</v>
      </c>
      <c r="AQ458" s="421">
        <f t="shared" si="895"/>
        <v>0</v>
      </c>
      <c r="AR458" s="421">
        <f>AF458+AO458</f>
        <v>0</v>
      </c>
      <c r="AS458" s="421">
        <f>AG458+AP458</f>
        <v>0</v>
      </c>
      <c r="AT458" s="421">
        <f t="shared" si="896"/>
        <v>0</v>
      </c>
      <c r="AU458" s="68">
        <f t="shared" si="1042"/>
        <v>0</v>
      </c>
      <c r="AV458" s="68">
        <f>ROUND(AH458*1%,0)</f>
        <v>0</v>
      </c>
      <c r="AW458" s="421">
        <v>0</v>
      </c>
      <c r="AX458" s="421">
        <v>0</v>
      </c>
      <c r="AY458" s="421">
        <f t="shared" si="897"/>
        <v>0</v>
      </c>
      <c r="AZ458" s="421">
        <f t="shared" si="898"/>
        <v>0</v>
      </c>
      <c r="BA458" s="422">
        <v>0</v>
      </c>
      <c r="BB458" s="422">
        <v>0</v>
      </c>
      <c r="BC458" s="422">
        <v>0</v>
      </c>
      <c r="BD458" s="422">
        <v>0</v>
      </c>
      <c r="BE458" s="422">
        <v>0</v>
      </c>
      <c r="BF458" s="422">
        <v>0</v>
      </c>
      <c r="BG458" s="422">
        <v>0</v>
      </c>
      <c r="BH458" s="422">
        <v>0</v>
      </c>
      <c r="BI458" s="422">
        <v>0</v>
      </c>
      <c r="BJ458" s="422">
        <v>0</v>
      </c>
      <c r="BK458" s="422">
        <f>BA458+BC458+BD458+BF458+BH458+BI458</f>
        <v>0</v>
      </c>
      <c r="BL458" s="422">
        <f>BB458+BE458+BG458+BJ458</f>
        <v>0</v>
      </c>
      <c r="BM458" s="424">
        <f t="shared" si="899"/>
        <v>0</v>
      </c>
      <c r="BN458" s="427">
        <f>I458+AZ458</f>
        <v>306661</v>
      </c>
      <c r="BO458" s="421">
        <f>J458+AH458</f>
        <v>226766</v>
      </c>
      <c r="BP458" s="421">
        <f>K458+AF458</f>
        <v>0</v>
      </c>
      <c r="BQ458" s="421">
        <f>L458+AG458</f>
        <v>226766</v>
      </c>
      <c r="BR458" s="421">
        <f>M458+AQ458</f>
        <v>0</v>
      </c>
      <c r="BS458" s="421">
        <f>N458+AO458</f>
        <v>0</v>
      </c>
      <c r="BT458" s="421">
        <f>O458+AP458</f>
        <v>0</v>
      </c>
      <c r="BU458" s="421">
        <f>P458+AU458</f>
        <v>76647</v>
      </c>
      <c r="BV458" s="421">
        <f>Q458+AV458</f>
        <v>2268</v>
      </c>
      <c r="BW458" s="421">
        <f>R458+AY458</f>
        <v>980</v>
      </c>
      <c r="BX458" s="422">
        <f>S458+BM458</f>
        <v>0.68</v>
      </c>
      <c r="BY458" s="422">
        <f>T458+BK458</f>
        <v>0</v>
      </c>
      <c r="BZ458" s="611">
        <f>U458+BL458</f>
        <v>0.68</v>
      </c>
      <c r="CA458" s="423"/>
      <c r="CB458" s="418"/>
      <c r="CC458" s="418"/>
      <c r="CD458" s="418"/>
      <c r="CE458" s="418"/>
      <c r="CF458" s="527"/>
    </row>
    <row r="459" spans="1:84" ht="14.1" customHeight="1" x14ac:dyDescent="0.2">
      <c r="A459" s="72">
        <v>88</v>
      </c>
      <c r="B459" s="69">
        <v>2331</v>
      </c>
      <c r="C459" s="70">
        <v>691014302</v>
      </c>
      <c r="D459" s="69" t="s">
        <v>764</v>
      </c>
      <c r="E459" s="71" t="s">
        <v>771</v>
      </c>
      <c r="F459" s="202"/>
      <c r="G459" s="71"/>
      <c r="H459" s="73"/>
      <c r="I459" s="538">
        <f t="shared" ref="I459:BU459" si="1043">SUM(I457:I458)</f>
        <v>3597377</v>
      </c>
      <c r="J459" s="74">
        <f t="shared" si="1043"/>
        <v>2662404</v>
      </c>
      <c r="K459" s="74">
        <f t="shared" si="1043"/>
        <v>2213846</v>
      </c>
      <c r="L459" s="74">
        <f t="shared" si="1043"/>
        <v>448558</v>
      </c>
      <c r="M459" s="74">
        <f t="shared" si="1043"/>
        <v>0</v>
      </c>
      <c r="N459" s="74">
        <f t="shared" si="1043"/>
        <v>0</v>
      </c>
      <c r="O459" s="74">
        <f t="shared" si="1043"/>
        <v>0</v>
      </c>
      <c r="P459" s="74">
        <f t="shared" si="1043"/>
        <v>899893</v>
      </c>
      <c r="Q459" s="74">
        <f t="shared" si="1043"/>
        <v>26624</v>
      </c>
      <c r="R459" s="74">
        <f t="shared" si="1043"/>
        <v>8456</v>
      </c>
      <c r="S459" s="75">
        <f t="shared" si="1043"/>
        <v>5.6466999999999992</v>
      </c>
      <c r="T459" s="75">
        <f t="shared" si="1043"/>
        <v>4.22</v>
      </c>
      <c r="U459" s="753">
        <f t="shared" si="1043"/>
        <v>1.4266999999999999</v>
      </c>
      <c r="V459" s="538">
        <f t="shared" si="1043"/>
        <v>0</v>
      </c>
      <c r="W459" s="74">
        <f t="shared" si="1043"/>
        <v>0</v>
      </c>
      <c r="X459" s="74">
        <f t="shared" si="1043"/>
        <v>0</v>
      </c>
      <c r="Y459" s="74">
        <f t="shared" si="1043"/>
        <v>0</v>
      </c>
      <c r="Z459" s="74">
        <f t="shared" si="1043"/>
        <v>0</v>
      </c>
      <c r="AA459" s="74">
        <f t="shared" si="1043"/>
        <v>0</v>
      </c>
      <c r="AB459" s="74">
        <f t="shared" si="1043"/>
        <v>0</v>
      </c>
      <c r="AC459" s="74">
        <f t="shared" si="1043"/>
        <v>0</v>
      </c>
      <c r="AD459" s="74">
        <f t="shared" si="1043"/>
        <v>0</v>
      </c>
      <c r="AE459" s="74">
        <f t="shared" si="1043"/>
        <v>0</v>
      </c>
      <c r="AF459" s="74">
        <f t="shared" si="1043"/>
        <v>0</v>
      </c>
      <c r="AG459" s="74">
        <f t="shared" si="1043"/>
        <v>0</v>
      </c>
      <c r="AH459" s="74">
        <f t="shared" si="1043"/>
        <v>0</v>
      </c>
      <c r="AI459" s="74">
        <f t="shared" si="1043"/>
        <v>0</v>
      </c>
      <c r="AJ459" s="74">
        <f t="shared" si="1043"/>
        <v>0</v>
      </c>
      <c r="AK459" s="74">
        <f t="shared" si="1043"/>
        <v>0</v>
      </c>
      <c r="AL459" s="74">
        <f t="shared" si="1043"/>
        <v>0</v>
      </c>
      <c r="AM459" s="74">
        <f t="shared" si="1043"/>
        <v>0</v>
      </c>
      <c r="AN459" s="74">
        <f t="shared" si="1043"/>
        <v>0</v>
      </c>
      <c r="AO459" s="74">
        <f t="shared" si="1043"/>
        <v>0</v>
      </c>
      <c r="AP459" s="74">
        <f t="shared" si="1043"/>
        <v>0</v>
      </c>
      <c r="AQ459" s="74">
        <f t="shared" si="1043"/>
        <v>0</v>
      </c>
      <c r="AR459" s="74">
        <f t="shared" si="1043"/>
        <v>0</v>
      </c>
      <c r="AS459" s="74">
        <f t="shared" si="1043"/>
        <v>0</v>
      </c>
      <c r="AT459" s="74">
        <f t="shared" si="1043"/>
        <v>0</v>
      </c>
      <c r="AU459" s="74">
        <f t="shared" si="1043"/>
        <v>0</v>
      </c>
      <c r="AV459" s="74">
        <f t="shared" si="1043"/>
        <v>0</v>
      </c>
      <c r="AW459" s="74">
        <f t="shared" si="1043"/>
        <v>0</v>
      </c>
      <c r="AX459" s="74">
        <f t="shared" si="1043"/>
        <v>0</v>
      </c>
      <c r="AY459" s="74">
        <f t="shared" si="1043"/>
        <v>0</v>
      </c>
      <c r="AZ459" s="74">
        <f t="shared" si="1043"/>
        <v>0</v>
      </c>
      <c r="BA459" s="75">
        <f t="shared" si="1043"/>
        <v>0</v>
      </c>
      <c r="BB459" s="75">
        <f t="shared" si="1043"/>
        <v>0</v>
      </c>
      <c r="BC459" s="75">
        <f t="shared" si="1043"/>
        <v>0</v>
      </c>
      <c r="BD459" s="75">
        <f t="shared" si="1043"/>
        <v>0</v>
      </c>
      <c r="BE459" s="75">
        <f t="shared" si="1043"/>
        <v>0</v>
      </c>
      <c r="BF459" s="75">
        <f t="shared" si="1043"/>
        <v>0</v>
      </c>
      <c r="BG459" s="75">
        <f t="shared" si="1043"/>
        <v>0</v>
      </c>
      <c r="BH459" s="75">
        <f t="shared" si="1043"/>
        <v>0</v>
      </c>
      <c r="BI459" s="75">
        <f t="shared" si="1043"/>
        <v>0</v>
      </c>
      <c r="BJ459" s="75">
        <f t="shared" si="1043"/>
        <v>0</v>
      </c>
      <c r="BK459" s="75">
        <f t="shared" si="1043"/>
        <v>0</v>
      </c>
      <c r="BL459" s="75">
        <f t="shared" si="1043"/>
        <v>0</v>
      </c>
      <c r="BM459" s="76">
        <f t="shared" si="1043"/>
        <v>0</v>
      </c>
      <c r="BN459" s="549">
        <f t="shared" si="1043"/>
        <v>3597377</v>
      </c>
      <c r="BO459" s="74">
        <f t="shared" si="1043"/>
        <v>2662404</v>
      </c>
      <c r="BP459" s="74">
        <f t="shared" si="1043"/>
        <v>2213846</v>
      </c>
      <c r="BQ459" s="74">
        <f t="shared" si="1043"/>
        <v>448558</v>
      </c>
      <c r="BR459" s="74">
        <f t="shared" si="1043"/>
        <v>0</v>
      </c>
      <c r="BS459" s="74">
        <f t="shared" si="1043"/>
        <v>0</v>
      </c>
      <c r="BT459" s="74">
        <f t="shared" si="1043"/>
        <v>0</v>
      </c>
      <c r="BU459" s="74">
        <f t="shared" si="1043"/>
        <v>899893</v>
      </c>
      <c r="BV459" s="74">
        <f t="shared" ref="BV459:CF459" si="1044">SUM(BV457:BV458)</f>
        <v>26624</v>
      </c>
      <c r="BW459" s="74">
        <f t="shared" si="1044"/>
        <v>8456</v>
      </c>
      <c r="BX459" s="75">
        <f t="shared" si="1044"/>
        <v>5.6466999999999992</v>
      </c>
      <c r="BY459" s="75">
        <f t="shared" si="1044"/>
        <v>4.22</v>
      </c>
      <c r="BZ459" s="753">
        <f t="shared" si="1044"/>
        <v>1.4266999999999999</v>
      </c>
      <c r="CA459" s="796">
        <f t="shared" si="1044"/>
        <v>0</v>
      </c>
      <c r="CB459" s="789">
        <f t="shared" si="1044"/>
        <v>0</v>
      </c>
      <c r="CC459" s="789">
        <f t="shared" si="1044"/>
        <v>0</v>
      </c>
      <c r="CD459" s="789">
        <f t="shared" si="1044"/>
        <v>0</v>
      </c>
      <c r="CE459" s="789">
        <f t="shared" si="1044"/>
        <v>0</v>
      </c>
      <c r="CF459" s="793">
        <f t="shared" si="1044"/>
        <v>0</v>
      </c>
    </row>
    <row r="460" spans="1:84" ht="14.1" customHeight="1" x14ac:dyDescent="0.2">
      <c r="A460" s="66">
        <v>89</v>
      </c>
      <c r="B460" s="192">
        <v>2332</v>
      </c>
      <c r="C460" s="192">
        <v>691015295</v>
      </c>
      <c r="D460" s="193">
        <v>10988122</v>
      </c>
      <c r="E460" s="190" t="s">
        <v>782</v>
      </c>
      <c r="F460" s="203">
        <v>3111</v>
      </c>
      <c r="G460" s="204" t="s">
        <v>291</v>
      </c>
      <c r="H460" s="67" t="s">
        <v>271</v>
      </c>
      <c r="I460" s="423">
        <f t="shared" si="882"/>
        <v>5299114</v>
      </c>
      <c r="J460" s="418">
        <f t="shared" si="883"/>
        <v>3915352</v>
      </c>
      <c r="K460" s="418">
        <v>3582683</v>
      </c>
      <c r="L460" s="418">
        <v>332669</v>
      </c>
      <c r="M460" s="418">
        <f>N460+O460</f>
        <v>0</v>
      </c>
      <c r="N460" s="418">
        <v>0</v>
      </c>
      <c r="O460" s="418">
        <v>0</v>
      </c>
      <c r="P460" s="668">
        <f t="shared" si="885"/>
        <v>1323389</v>
      </c>
      <c r="Q460" s="668">
        <f t="shared" si="886"/>
        <v>39154</v>
      </c>
      <c r="R460" s="418">
        <v>21219</v>
      </c>
      <c r="S460" s="419">
        <f t="shared" si="887"/>
        <v>7.7973999999999997</v>
      </c>
      <c r="T460" s="419">
        <v>6.6773999999999996</v>
      </c>
      <c r="U460" s="426">
        <v>1.1200000000000001</v>
      </c>
      <c r="V460" s="428">
        <f t="shared" si="888"/>
        <v>0</v>
      </c>
      <c r="W460" s="421">
        <f t="shared" si="889"/>
        <v>-28800</v>
      </c>
      <c r="X460" s="421">
        <v>0</v>
      </c>
      <c r="Y460" s="421">
        <v>0</v>
      </c>
      <c r="Z460" s="421">
        <v>0</v>
      </c>
      <c r="AA460" s="421">
        <v>0</v>
      </c>
      <c r="AB460" s="421">
        <v>0</v>
      </c>
      <c r="AC460" s="421">
        <v>0</v>
      </c>
      <c r="AD460" s="421">
        <v>0</v>
      </c>
      <c r="AE460" s="421">
        <v>0</v>
      </c>
      <c r="AF460" s="421">
        <f t="shared" si="890"/>
        <v>0</v>
      </c>
      <c r="AG460" s="421">
        <f t="shared" si="891"/>
        <v>-28800</v>
      </c>
      <c r="AH460" s="421">
        <f t="shared" si="892"/>
        <v>-28800</v>
      </c>
      <c r="AI460" s="421">
        <v>0</v>
      </c>
      <c r="AJ460" s="421">
        <v>28800</v>
      </c>
      <c r="AK460" s="421">
        <v>0</v>
      </c>
      <c r="AL460" s="421">
        <v>0</v>
      </c>
      <c r="AM460" s="421">
        <v>0</v>
      </c>
      <c r="AN460" s="421">
        <v>0</v>
      </c>
      <c r="AO460" s="421">
        <f t="shared" si="893"/>
        <v>0</v>
      </c>
      <c r="AP460" s="421">
        <f t="shared" si="894"/>
        <v>28800</v>
      </c>
      <c r="AQ460" s="421">
        <f t="shared" si="895"/>
        <v>28800</v>
      </c>
      <c r="AR460" s="421">
        <f t="shared" ref="AR460:AS462" si="1045">AF460+AO460</f>
        <v>0</v>
      </c>
      <c r="AS460" s="421">
        <f t="shared" si="1045"/>
        <v>0</v>
      </c>
      <c r="AT460" s="421">
        <f t="shared" si="896"/>
        <v>0</v>
      </c>
      <c r="AU460" s="68">
        <f t="shared" ref="AU460:AU462" si="1046">ROUND((AH460+AI460+AJ460+AK460+AL460)*33.8%,0)</f>
        <v>0</v>
      </c>
      <c r="AV460" s="68">
        <f>ROUND(AH460*1%,0)</f>
        <v>-288</v>
      </c>
      <c r="AW460" s="421">
        <v>0</v>
      </c>
      <c r="AX460" s="421">
        <v>0</v>
      </c>
      <c r="AY460" s="421">
        <f t="shared" si="897"/>
        <v>0</v>
      </c>
      <c r="AZ460" s="421">
        <f t="shared" si="898"/>
        <v>-288</v>
      </c>
      <c r="BA460" s="422">
        <v>0</v>
      </c>
      <c r="BB460" s="422">
        <v>-0.1</v>
      </c>
      <c r="BC460" s="422">
        <v>0</v>
      </c>
      <c r="BD460" s="422">
        <v>0</v>
      </c>
      <c r="BE460" s="422">
        <v>0</v>
      </c>
      <c r="BF460" s="422">
        <v>0</v>
      </c>
      <c r="BG460" s="422">
        <v>0</v>
      </c>
      <c r="BH460" s="422">
        <v>0</v>
      </c>
      <c r="BI460" s="422">
        <v>0</v>
      </c>
      <c r="BJ460" s="422">
        <v>0</v>
      </c>
      <c r="BK460" s="422">
        <f>BA460+BC460+BD460+BF460+BH460+BI460</f>
        <v>0</v>
      </c>
      <c r="BL460" s="422">
        <f>BB460+BE460+BG460+BJ460</f>
        <v>-0.1</v>
      </c>
      <c r="BM460" s="424">
        <f t="shared" si="899"/>
        <v>-0.1</v>
      </c>
      <c r="BN460" s="427">
        <f>I460+AZ460</f>
        <v>5298826</v>
      </c>
      <c r="BO460" s="421">
        <f>J460+AH460</f>
        <v>3886552</v>
      </c>
      <c r="BP460" s="421">
        <f t="shared" ref="BP460:BQ462" si="1047">K460+AF460</f>
        <v>3582683</v>
      </c>
      <c r="BQ460" s="421">
        <f t="shared" si="1047"/>
        <v>303869</v>
      </c>
      <c r="BR460" s="421">
        <f>M460+AQ460</f>
        <v>28800</v>
      </c>
      <c r="BS460" s="421">
        <f t="shared" ref="BS460:BT462" si="1048">N460+AO460</f>
        <v>0</v>
      </c>
      <c r="BT460" s="421">
        <f t="shared" si="1048"/>
        <v>28800</v>
      </c>
      <c r="BU460" s="421">
        <f t="shared" ref="BU460:BV462" si="1049">P460+AU460</f>
        <v>1323389</v>
      </c>
      <c r="BV460" s="421">
        <f t="shared" si="1049"/>
        <v>38866</v>
      </c>
      <c r="BW460" s="421">
        <f>R460+AY460</f>
        <v>21219</v>
      </c>
      <c r="BX460" s="422">
        <f>S460+BM460</f>
        <v>7.6974</v>
      </c>
      <c r="BY460" s="422">
        <f t="shared" ref="BY460:BZ462" si="1050">T460+BK460</f>
        <v>6.6773999999999996</v>
      </c>
      <c r="BZ460" s="611">
        <f t="shared" si="1050"/>
        <v>1.02</v>
      </c>
      <c r="CA460" s="423"/>
      <c r="CB460" s="418"/>
      <c r="CC460" s="418"/>
      <c r="CD460" s="418"/>
      <c r="CE460" s="418"/>
      <c r="CF460" s="527"/>
    </row>
    <row r="461" spans="1:84" ht="14.1" customHeight="1" x14ac:dyDescent="0.2">
      <c r="A461" s="66">
        <v>89</v>
      </c>
      <c r="B461" s="192">
        <v>2332</v>
      </c>
      <c r="C461" s="192">
        <v>691015295</v>
      </c>
      <c r="D461" s="193">
        <v>10988122</v>
      </c>
      <c r="E461" s="190" t="s">
        <v>782</v>
      </c>
      <c r="F461" s="203">
        <v>3111</v>
      </c>
      <c r="G461" s="204" t="s">
        <v>292</v>
      </c>
      <c r="H461" s="67" t="s">
        <v>272</v>
      </c>
      <c r="I461" s="423">
        <f t="shared" ref="I461:I462" si="1051">J461+M461+P461+Q461+R461</f>
        <v>0</v>
      </c>
      <c r="J461" s="418">
        <f t="shared" ref="J461:J462" si="1052">K461+L461</f>
        <v>0</v>
      </c>
      <c r="K461" s="418">
        <v>0</v>
      </c>
      <c r="L461" s="418">
        <v>0</v>
      </c>
      <c r="M461" s="418">
        <f t="shared" ref="M461" si="1053">N461+O461</f>
        <v>0</v>
      </c>
      <c r="N461" s="418">
        <v>0</v>
      </c>
      <c r="O461" s="418">
        <v>0</v>
      </c>
      <c r="P461" s="668">
        <f t="shared" ref="P461:P462" si="1054">ROUND(J461*33.8%,0)</f>
        <v>0</v>
      </c>
      <c r="Q461" s="668">
        <f t="shared" ref="Q461:Q462" si="1055">ROUND(J461*1%,0)</f>
        <v>0</v>
      </c>
      <c r="R461" s="418">
        <v>0</v>
      </c>
      <c r="S461" s="419">
        <f t="shared" ref="S461" si="1056">T461+U461</f>
        <v>0</v>
      </c>
      <c r="T461" s="420">
        <v>0</v>
      </c>
      <c r="U461" s="426">
        <v>0</v>
      </c>
      <c r="V461" s="428">
        <f t="shared" ref="V461" si="1057">AI461*-1</f>
        <v>0</v>
      </c>
      <c r="W461" s="421">
        <f t="shared" ref="W461" si="1058">AJ461*-1</f>
        <v>0</v>
      </c>
      <c r="X461" s="16">
        <v>370801</v>
      </c>
      <c r="Y461" s="16">
        <v>0</v>
      </c>
      <c r="Z461" s="16">
        <v>0</v>
      </c>
      <c r="AA461" s="16">
        <v>0</v>
      </c>
      <c r="AB461" s="421">
        <v>0</v>
      </c>
      <c r="AC461" s="16">
        <v>0</v>
      </c>
      <c r="AD461" s="16">
        <v>0</v>
      </c>
      <c r="AE461" s="16">
        <v>0</v>
      </c>
      <c r="AF461" s="421">
        <f t="shared" ref="AF461:AF462" si="1059">V461+X461+Y461+AA461+AB461+AD461</f>
        <v>370801</v>
      </c>
      <c r="AG461" s="421">
        <f t="shared" ref="AG461:AG462" si="1060">W461+Z461+AC461+AE461</f>
        <v>0</v>
      </c>
      <c r="AH461" s="421">
        <f t="shared" ref="AH461:AH462" si="1061">SUM(AF461:AG461)</f>
        <v>370801</v>
      </c>
      <c r="AI461" s="16">
        <v>0</v>
      </c>
      <c r="AJ461" s="16">
        <v>0</v>
      </c>
      <c r="AK461" s="421">
        <v>0</v>
      </c>
      <c r="AL461" s="16">
        <v>0</v>
      </c>
      <c r="AM461" s="16">
        <v>0</v>
      </c>
      <c r="AN461" s="16">
        <v>0</v>
      </c>
      <c r="AO461" s="421">
        <f t="shared" ref="AO461:AO462" si="1062">AI461+AL461+AK461+AM461</f>
        <v>0</v>
      </c>
      <c r="AP461" s="16">
        <v>0</v>
      </c>
      <c r="AQ461" s="421">
        <f t="shared" ref="AQ461:AQ462" si="1063">SUM(AO461:AP461)</f>
        <v>0</v>
      </c>
      <c r="AR461" s="421">
        <f t="shared" si="1045"/>
        <v>370801</v>
      </c>
      <c r="AS461" s="421">
        <f t="shared" si="1045"/>
        <v>0</v>
      </c>
      <c r="AT461" s="421">
        <f t="shared" ref="AT461:AT462" si="1064">SUM(AR461:AS461)</f>
        <v>370801</v>
      </c>
      <c r="AU461" s="68">
        <f t="shared" si="1046"/>
        <v>125331</v>
      </c>
      <c r="AV461" s="68">
        <f>ROUND(AH461*1%,0)</f>
        <v>3708</v>
      </c>
      <c r="AW461" s="16">
        <v>0</v>
      </c>
      <c r="AX461" s="16">
        <v>0</v>
      </c>
      <c r="AY461" s="421">
        <f t="shared" ref="AY461:AY462" si="1065">AW461+AX461</f>
        <v>0</v>
      </c>
      <c r="AZ461" s="421">
        <f t="shared" ref="AZ461:AZ462" si="1066">AT461+AU461+AV461+AY461</f>
        <v>499840</v>
      </c>
      <c r="BA461" s="13">
        <v>0</v>
      </c>
      <c r="BB461" s="13">
        <v>0</v>
      </c>
      <c r="BC461" s="13">
        <v>1</v>
      </c>
      <c r="BD461" s="422">
        <v>0</v>
      </c>
      <c r="BE461" s="422">
        <v>0</v>
      </c>
      <c r="BF461" s="422">
        <v>0</v>
      </c>
      <c r="BG461" s="422">
        <v>0</v>
      </c>
      <c r="BH461" s="422">
        <v>0</v>
      </c>
      <c r="BI461" s="422">
        <v>0</v>
      </c>
      <c r="BJ461" s="422">
        <v>0</v>
      </c>
      <c r="BK461" s="422">
        <f>BA461+BC461+BD461+BF461+BH461+BI461</f>
        <v>1</v>
      </c>
      <c r="BL461" s="422">
        <f>BB461+BE461+BG461+BJ461</f>
        <v>0</v>
      </c>
      <c r="BM461" s="424">
        <f t="shared" ref="BM461:BM462" si="1067">SUM(BK461:BL461)</f>
        <v>1</v>
      </c>
      <c r="BN461" s="427">
        <f>I461+AZ461</f>
        <v>499840</v>
      </c>
      <c r="BO461" s="421">
        <f>J461+AH461</f>
        <v>370801</v>
      </c>
      <c r="BP461" s="421">
        <f t="shared" si="1047"/>
        <v>370801</v>
      </c>
      <c r="BQ461" s="421">
        <f t="shared" si="1047"/>
        <v>0</v>
      </c>
      <c r="BR461" s="421">
        <f>M461+AQ461</f>
        <v>0</v>
      </c>
      <c r="BS461" s="421">
        <f t="shared" si="1048"/>
        <v>0</v>
      </c>
      <c r="BT461" s="421">
        <f t="shared" si="1048"/>
        <v>0</v>
      </c>
      <c r="BU461" s="421">
        <f t="shared" si="1049"/>
        <v>125331</v>
      </c>
      <c r="BV461" s="421">
        <f t="shared" si="1049"/>
        <v>3708</v>
      </c>
      <c r="BW461" s="421">
        <f>R461+AY461</f>
        <v>0</v>
      </c>
      <c r="BX461" s="422">
        <f>S461+BM461</f>
        <v>1</v>
      </c>
      <c r="BY461" s="422">
        <f t="shared" si="1050"/>
        <v>1</v>
      </c>
      <c r="BZ461" s="611">
        <f t="shared" si="1050"/>
        <v>0</v>
      </c>
      <c r="CA461" s="423"/>
      <c r="CB461" s="418"/>
      <c r="CC461" s="418"/>
      <c r="CD461" s="418"/>
      <c r="CE461" s="418"/>
      <c r="CF461" s="527"/>
    </row>
    <row r="462" spans="1:84" ht="14.1" customHeight="1" x14ac:dyDescent="0.2">
      <c r="A462" s="66">
        <v>89</v>
      </c>
      <c r="B462" s="194">
        <v>2332</v>
      </c>
      <c r="C462" s="192">
        <v>691015295</v>
      </c>
      <c r="D462" s="193">
        <v>10988122</v>
      </c>
      <c r="E462" s="190" t="s">
        <v>782</v>
      </c>
      <c r="F462" s="195">
        <v>3141</v>
      </c>
      <c r="G462" s="196" t="s">
        <v>295</v>
      </c>
      <c r="H462" s="67" t="s">
        <v>272</v>
      </c>
      <c r="I462" s="423">
        <f t="shared" si="1051"/>
        <v>202118</v>
      </c>
      <c r="J462" s="418">
        <f t="shared" si="1052"/>
        <v>148966</v>
      </c>
      <c r="K462" s="418">
        <v>0</v>
      </c>
      <c r="L462" s="924">
        <v>148966</v>
      </c>
      <c r="M462" s="418">
        <f>N462+O462</f>
        <v>0</v>
      </c>
      <c r="N462" s="205">
        <v>0</v>
      </c>
      <c r="O462" s="205">
        <v>0</v>
      </c>
      <c r="P462" s="668">
        <f t="shared" si="1054"/>
        <v>50351</v>
      </c>
      <c r="Q462" s="668">
        <f t="shared" si="1055"/>
        <v>1490</v>
      </c>
      <c r="R462" s="674">
        <v>1311</v>
      </c>
      <c r="S462" s="419">
        <f>T462+U462</f>
        <v>0.44669999999999999</v>
      </c>
      <c r="T462" s="676">
        <v>0</v>
      </c>
      <c r="U462" s="909">
        <v>0.44669999999999999</v>
      </c>
      <c r="V462" s="428">
        <v>0</v>
      </c>
      <c r="W462" s="421">
        <v>0</v>
      </c>
      <c r="X462" s="421">
        <v>0</v>
      </c>
      <c r="Y462" s="421">
        <v>0</v>
      </c>
      <c r="Z462" s="421">
        <v>0</v>
      </c>
      <c r="AA462" s="421">
        <v>0</v>
      </c>
      <c r="AB462" s="421">
        <v>0</v>
      </c>
      <c r="AC462" s="421">
        <v>0</v>
      </c>
      <c r="AD462" s="421">
        <v>0</v>
      </c>
      <c r="AE462" s="421">
        <v>0</v>
      </c>
      <c r="AF462" s="421">
        <f t="shared" si="1059"/>
        <v>0</v>
      </c>
      <c r="AG462" s="421">
        <f t="shared" si="1060"/>
        <v>0</v>
      </c>
      <c r="AH462" s="421">
        <f t="shared" si="1061"/>
        <v>0</v>
      </c>
      <c r="AI462" s="421">
        <v>0</v>
      </c>
      <c r="AJ462" s="421">
        <v>0</v>
      </c>
      <c r="AK462" s="421">
        <v>0</v>
      </c>
      <c r="AL462" s="421">
        <v>0</v>
      </c>
      <c r="AM462" s="421">
        <v>0</v>
      </c>
      <c r="AN462" s="421">
        <v>0</v>
      </c>
      <c r="AO462" s="421">
        <f t="shared" si="1062"/>
        <v>0</v>
      </c>
      <c r="AP462" s="421">
        <f t="shared" ref="AP462" si="1068">AJ462+AN462</f>
        <v>0</v>
      </c>
      <c r="AQ462" s="421">
        <f t="shared" si="1063"/>
        <v>0</v>
      </c>
      <c r="AR462" s="421">
        <f t="shared" si="1045"/>
        <v>0</v>
      </c>
      <c r="AS462" s="421">
        <f t="shared" si="1045"/>
        <v>0</v>
      </c>
      <c r="AT462" s="421">
        <f t="shared" si="1064"/>
        <v>0</v>
      </c>
      <c r="AU462" s="68">
        <f t="shared" si="1046"/>
        <v>0</v>
      </c>
      <c r="AV462" s="68">
        <f>ROUND(AH462*1%,0)</f>
        <v>0</v>
      </c>
      <c r="AW462" s="421">
        <v>0</v>
      </c>
      <c r="AX462" s="421">
        <v>0</v>
      </c>
      <c r="AY462" s="421">
        <f t="shared" si="1065"/>
        <v>0</v>
      </c>
      <c r="AZ462" s="421">
        <f t="shared" si="1066"/>
        <v>0</v>
      </c>
      <c r="BA462" s="422">
        <v>0</v>
      </c>
      <c r="BB462" s="422">
        <v>0</v>
      </c>
      <c r="BC462" s="422">
        <v>0</v>
      </c>
      <c r="BD462" s="422">
        <v>0</v>
      </c>
      <c r="BE462" s="422">
        <v>0</v>
      </c>
      <c r="BF462" s="422">
        <v>0</v>
      </c>
      <c r="BG462" s="422">
        <v>0</v>
      </c>
      <c r="BH462" s="422">
        <v>0</v>
      </c>
      <c r="BI462" s="422">
        <v>0</v>
      </c>
      <c r="BJ462" s="422">
        <v>0</v>
      </c>
      <c r="BK462" s="422">
        <f>BA462+BC462+BD462+BF462+BH462+BI462</f>
        <v>0</v>
      </c>
      <c r="BL462" s="422">
        <f>BB462+BE462+BG462+BJ462</f>
        <v>0</v>
      </c>
      <c r="BM462" s="424">
        <f t="shared" si="1067"/>
        <v>0</v>
      </c>
      <c r="BN462" s="427">
        <f>I462+AZ462</f>
        <v>202118</v>
      </c>
      <c r="BO462" s="421">
        <f>J462+AH462</f>
        <v>148966</v>
      </c>
      <c r="BP462" s="421">
        <f t="shared" si="1047"/>
        <v>0</v>
      </c>
      <c r="BQ462" s="421">
        <f t="shared" si="1047"/>
        <v>148966</v>
      </c>
      <c r="BR462" s="421">
        <f>M462+AQ462</f>
        <v>0</v>
      </c>
      <c r="BS462" s="421">
        <f t="shared" si="1048"/>
        <v>0</v>
      </c>
      <c r="BT462" s="421">
        <f t="shared" si="1048"/>
        <v>0</v>
      </c>
      <c r="BU462" s="421">
        <f t="shared" si="1049"/>
        <v>50351</v>
      </c>
      <c r="BV462" s="421">
        <f t="shared" si="1049"/>
        <v>1490</v>
      </c>
      <c r="BW462" s="421">
        <f>R462+AY462</f>
        <v>1311</v>
      </c>
      <c r="BX462" s="422">
        <f>S462+BM462</f>
        <v>0.44669999999999999</v>
      </c>
      <c r="BY462" s="422">
        <f t="shared" si="1050"/>
        <v>0</v>
      </c>
      <c r="BZ462" s="611">
        <f t="shared" si="1050"/>
        <v>0.44669999999999999</v>
      </c>
      <c r="CA462" s="423"/>
      <c r="CB462" s="418"/>
      <c r="CC462" s="418"/>
      <c r="CD462" s="418"/>
      <c r="CE462" s="418"/>
      <c r="CF462" s="527"/>
    </row>
    <row r="463" spans="1:84" ht="14.1" customHeight="1" thickBot="1" x14ac:dyDescent="0.25">
      <c r="A463" s="197">
        <v>89</v>
      </c>
      <c r="B463" s="198">
        <v>2332</v>
      </c>
      <c r="C463" s="198">
        <v>691015295</v>
      </c>
      <c r="D463" s="199">
        <v>10988122</v>
      </c>
      <c r="E463" s="191" t="s">
        <v>783</v>
      </c>
      <c r="F463" s="200"/>
      <c r="G463" s="201"/>
      <c r="H463" s="201"/>
      <c r="I463" s="541">
        <f t="shared" ref="I463:BU463" si="1069">SUM(I460:I462)</f>
        <v>5501232</v>
      </c>
      <c r="J463" s="542">
        <f t="shared" si="1069"/>
        <v>4064318</v>
      </c>
      <c r="K463" s="542">
        <f t="shared" si="1069"/>
        <v>3582683</v>
      </c>
      <c r="L463" s="542">
        <f t="shared" si="1069"/>
        <v>481635</v>
      </c>
      <c r="M463" s="542">
        <f t="shared" si="1069"/>
        <v>0</v>
      </c>
      <c r="N463" s="542">
        <f t="shared" si="1069"/>
        <v>0</v>
      </c>
      <c r="O463" s="542">
        <f t="shared" si="1069"/>
        <v>0</v>
      </c>
      <c r="P463" s="542">
        <f t="shared" si="1069"/>
        <v>1373740</v>
      </c>
      <c r="Q463" s="542">
        <f t="shared" si="1069"/>
        <v>40644</v>
      </c>
      <c r="R463" s="542">
        <f t="shared" si="1069"/>
        <v>22530</v>
      </c>
      <c r="S463" s="543">
        <f t="shared" si="1069"/>
        <v>8.2440999999999995</v>
      </c>
      <c r="T463" s="543">
        <f t="shared" si="1069"/>
        <v>6.6773999999999996</v>
      </c>
      <c r="U463" s="756">
        <f t="shared" si="1069"/>
        <v>1.5667</v>
      </c>
      <c r="V463" s="541">
        <f t="shared" si="1069"/>
        <v>0</v>
      </c>
      <c r="W463" s="542">
        <f t="shared" si="1069"/>
        <v>-28800</v>
      </c>
      <c r="X463" s="542">
        <f t="shared" si="1069"/>
        <v>370801</v>
      </c>
      <c r="Y463" s="542">
        <f t="shared" si="1069"/>
        <v>0</v>
      </c>
      <c r="Z463" s="542">
        <f t="shared" si="1069"/>
        <v>0</v>
      </c>
      <c r="AA463" s="542">
        <f t="shared" si="1069"/>
        <v>0</v>
      </c>
      <c r="AB463" s="542">
        <f t="shared" si="1069"/>
        <v>0</v>
      </c>
      <c r="AC463" s="542">
        <f t="shared" si="1069"/>
        <v>0</v>
      </c>
      <c r="AD463" s="542">
        <f t="shared" si="1069"/>
        <v>0</v>
      </c>
      <c r="AE463" s="542">
        <f t="shared" si="1069"/>
        <v>0</v>
      </c>
      <c r="AF463" s="542">
        <f t="shared" si="1069"/>
        <v>370801</v>
      </c>
      <c r="AG463" s="542">
        <f t="shared" si="1069"/>
        <v>-28800</v>
      </c>
      <c r="AH463" s="542">
        <f t="shared" si="1069"/>
        <v>342001</v>
      </c>
      <c r="AI463" s="542">
        <f t="shared" si="1069"/>
        <v>0</v>
      </c>
      <c r="AJ463" s="542">
        <f t="shared" si="1069"/>
        <v>28800</v>
      </c>
      <c r="AK463" s="542">
        <f t="shared" si="1069"/>
        <v>0</v>
      </c>
      <c r="AL463" s="542">
        <f t="shared" si="1069"/>
        <v>0</v>
      </c>
      <c r="AM463" s="542">
        <f t="shared" si="1069"/>
        <v>0</v>
      </c>
      <c r="AN463" s="542">
        <f t="shared" si="1069"/>
        <v>0</v>
      </c>
      <c r="AO463" s="542">
        <f t="shared" si="1069"/>
        <v>0</v>
      </c>
      <c r="AP463" s="542">
        <f t="shared" si="1069"/>
        <v>28800</v>
      </c>
      <c r="AQ463" s="542">
        <f t="shared" si="1069"/>
        <v>28800</v>
      </c>
      <c r="AR463" s="542">
        <f t="shared" si="1069"/>
        <v>370801</v>
      </c>
      <c r="AS463" s="542">
        <f t="shared" si="1069"/>
        <v>0</v>
      </c>
      <c r="AT463" s="542">
        <f t="shared" si="1069"/>
        <v>370801</v>
      </c>
      <c r="AU463" s="542">
        <f t="shared" si="1069"/>
        <v>125331</v>
      </c>
      <c r="AV463" s="542">
        <f t="shared" si="1069"/>
        <v>3420</v>
      </c>
      <c r="AW463" s="542">
        <f t="shared" si="1069"/>
        <v>0</v>
      </c>
      <c r="AX463" s="542">
        <f t="shared" si="1069"/>
        <v>0</v>
      </c>
      <c r="AY463" s="542">
        <f t="shared" si="1069"/>
        <v>0</v>
      </c>
      <c r="AZ463" s="542">
        <f t="shared" si="1069"/>
        <v>499552</v>
      </c>
      <c r="BA463" s="543">
        <f t="shared" si="1069"/>
        <v>0</v>
      </c>
      <c r="BB463" s="543">
        <f t="shared" si="1069"/>
        <v>-0.1</v>
      </c>
      <c r="BC463" s="543">
        <f t="shared" si="1069"/>
        <v>1</v>
      </c>
      <c r="BD463" s="543">
        <f t="shared" si="1069"/>
        <v>0</v>
      </c>
      <c r="BE463" s="543">
        <f t="shared" si="1069"/>
        <v>0</v>
      </c>
      <c r="BF463" s="543">
        <f t="shared" si="1069"/>
        <v>0</v>
      </c>
      <c r="BG463" s="543">
        <f t="shared" si="1069"/>
        <v>0</v>
      </c>
      <c r="BH463" s="543">
        <f t="shared" si="1069"/>
        <v>0</v>
      </c>
      <c r="BI463" s="543">
        <f t="shared" si="1069"/>
        <v>0</v>
      </c>
      <c r="BJ463" s="543">
        <f t="shared" si="1069"/>
        <v>0</v>
      </c>
      <c r="BK463" s="543">
        <f t="shared" si="1069"/>
        <v>1</v>
      </c>
      <c r="BL463" s="543">
        <f t="shared" si="1069"/>
        <v>-0.1</v>
      </c>
      <c r="BM463" s="544">
        <f t="shared" si="1069"/>
        <v>0.9</v>
      </c>
      <c r="BN463" s="678">
        <f t="shared" si="1069"/>
        <v>6000784</v>
      </c>
      <c r="BO463" s="542">
        <f t="shared" si="1069"/>
        <v>4406319</v>
      </c>
      <c r="BP463" s="542">
        <f t="shared" si="1069"/>
        <v>3953484</v>
      </c>
      <c r="BQ463" s="542">
        <f t="shared" si="1069"/>
        <v>452835</v>
      </c>
      <c r="BR463" s="542">
        <f t="shared" si="1069"/>
        <v>28800</v>
      </c>
      <c r="BS463" s="542">
        <f t="shared" si="1069"/>
        <v>0</v>
      </c>
      <c r="BT463" s="542">
        <f t="shared" si="1069"/>
        <v>28800</v>
      </c>
      <c r="BU463" s="542">
        <f t="shared" si="1069"/>
        <v>1499071</v>
      </c>
      <c r="BV463" s="542">
        <f t="shared" ref="BV463:CF463" si="1070">SUM(BV460:BV462)</f>
        <v>44064</v>
      </c>
      <c r="BW463" s="542">
        <f t="shared" si="1070"/>
        <v>22530</v>
      </c>
      <c r="BX463" s="543">
        <f t="shared" si="1070"/>
        <v>9.1440999999999999</v>
      </c>
      <c r="BY463" s="543">
        <f t="shared" si="1070"/>
        <v>7.6773999999999996</v>
      </c>
      <c r="BZ463" s="756">
        <f t="shared" si="1070"/>
        <v>1.4666999999999999</v>
      </c>
      <c r="CA463" s="799">
        <f t="shared" si="1070"/>
        <v>0</v>
      </c>
      <c r="CB463" s="792">
        <f t="shared" si="1070"/>
        <v>0</v>
      </c>
      <c r="CC463" s="792">
        <f t="shared" si="1070"/>
        <v>0</v>
      </c>
      <c r="CD463" s="792">
        <f t="shared" si="1070"/>
        <v>0</v>
      </c>
      <c r="CE463" s="792">
        <f t="shared" si="1070"/>
        <v>0</v>
      </c>
      <c r="CF463" s="800">
        <f t="shared" si="1070"/>
        <v>0</v>
      </c>
    </row>
    <row r="464" spans="1:84" ht="14.1" customHeight="1" thickBot="1" x14ac:dyDescent="0.25">
      <c r="A464" s="243"/>
      <c r="B464" s="244"/>
      <c r="C464" s="244"/>
      <c r="D464" s="244"/>
      <c r="E464" s="245" t="s">
        <v>706</v>
      </c>
      <c r="F464" s="244"/>
      <c r="G464" s="244"/>
      <c r="H464" s="244"/>
      <c r="I464" s="548">
        <f t="shared" ref="I464:BT464" si="1071">I463+I459+I456+I449+I442+I435+I428+I421+I414+I407+I400+I393+I389+I383+I376+I374+I370+I363+I358+I351+I345+I336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1744926121</v>
      </c>
      <c r="J464" s="670">
        <f t="shared" si="1071"/>
        <v>1282438728</v>
      </c>
      <c r="K464" s="670">
        <f t="shared" si="1071"/>
        <v>1138462760</v>
      </c>
      <c r="L464" s="670">
        <f t="shared" si="1071"/>
        <v>143975968</v>
      </c>
      <c r="M464" s="670">
        <f t="shared" si="1071"/>
        <v>0</v>
      </c>
      <c r="N464" s="670">
        <f t="shared" si="1071"/>
        <v>0</v>
      </c>
      <c r="O464" s="670">
        <f t="shared" si="1071"/>
        <v>0</v>
      </c>
      <c r="P464" s="670">
        <f t="shared" si="1071"/>
        <v>433464293</v>
      </c>
      <c r="Q464" s="670">
        <f t="shared" si="1071"/>
        <v>12824391</v>
      </c>
      <c r="R464" s="670">
        <f t="shared" si="1071"/>
        <v>16198709</v>
      </c>
      <c r="S464" s="671">
        <f t="shared" si="1071"/>
        <v>2215.1870000000004</v>
      </c>
      <c r="T464" s="671">
        <f t="shared" si="1071"/>
        <v>1771.7634000000003</v>
      </c>
      <c r="U464" s="783">
        <f t="shared" si="1071"/>
        <v>443.42360000000002</v>
      </c>
      <c r="V464" s="548">
        <f t="shared" si="1071"/>
        <v>-2394277</v>
      </c>
      <c r="W464" s="670">
        <f t="shared" si="1071"/>
        <v>-1478887</v>
      </c>
      <c r="X464" s="670">
        <f t="shared" si="1071"/>
        <v>107709549</v>
      </c>
      <c r="Y464" s="670">
        <f t="shared" si="1071"/>
        <v>-417117</v>
      </c>
      <c r="Z464" s="670">
        <f t="shared" si="1071"/>
        <v>0</v>
      </c>
      <c r="AA464" s="670">
        <f t="shared" si="1071"/>
        <v>1488176</v>
      </c>
      <c r="AB464" s="910">
        <f t="shared" si="1071"/>
        <v>8854800</v>
      </c>
      <c r="AC464" s="670">
        <f t="shared" si="1071"/>
        <v>0</v>
      </c>
      <c r="AD464" s="670">
        <f t="shared" si="1071"/>
        <v>0</v>
      </c>
      <c r="AE464" s="670">
        <f t="shared" si="1071"/>
        <v>264561</v>
      </c>
      <c r="AF464" s="670">
        <f t="shared" si="1071"/>
        <v>115241131</v>
      </c>
      <c r="AG464" s="670">
        <f t="shared" si="1071"/>
        <v>-1214326</v>
      </c>
      <c r="AH464" s="670">
        <f t="shared" si="1071"/>
        <v>114026805</v>
      </c>
      <c r="AI464" s="670">
        <f t="shared" si="1071"/>
        <v>2394277</v>
      </c>
      <c r="AJ464" s="670">
        <f t="shared" si="1071"/>
        <v>1478887</v>
      </c>
      <c r="AK464" s="910">
        <f t="shared" ref="AK464" si="1072">AK463+AK459+AK456+AK449+AK442+AK435+AK428+AK421+AK414+AK407+AK400+AK393+AK389+AK383+AK376+AK374+AK370+AK363+AK358+AK351+AK345+AK336+AK332+AK328+AK324+AK322+AK316+AK312+AK305+AK298+AK296+AK288+AK283+AK276+AK272+AK266+AK262+AK258+AK256+AK249+AK243+AK237+AK231+AK225+AK219+AK213+AK206+AK200+AK194+AK187+AK180+AK174+AK168+AK162+AK157+AK151+AK145+AK139+AK132+AK125+AK120+AK116+AK113+AK109+AK105+AK102+AK98+AK94+AK90+AK86+AK82+AK79+AK75+AK70+AK67+AK63+AK59+AK55+AK52+AK49+AK46+AK42+AK39+AK35+AK31+AK27+AK22+AK18+AK13</f>
        <v>564000</v>
      </c>
      <c r="AL464" s="670">
        <f t="shared" si="1071"/>
        <v>158779</v>
      </c>
      <c r="AM464" s="670">
        <f t="shared" si="1071"/>
        <v>72209</v>
      </c>
      <c r="AN464" s="670">
        <f t="shared" si="1071"/>
        <v>32000</v>
      </c>
      <c r="AO464" s="670">
        <f t="shared" si="1071"/>
        <v>3189265</v>
      </c>
      <c r="AP464" s="670">
        <f t="shared" si="1071"/>
        <v>1510887</v>
      </c>
      <c r="AQ464" s="670">
        <f t="shared" si="1071"/>
        <v>4700152</v>
      </c>
      <c r="AR464" s="670">
        <f t="shared" si="1071"/>
        <v>118430396</v>
      </c>
      <c r="AS464" s="670">
        <f t="shared" si="1071"/>
        <v>296561</v>
      </c>
      <c r="AT464" s="670">
        <f t="shared" si="1071"/>
        <v>118726957</v>
      </c>
      <c r="AU464" s="670">
        <f t="shared" si="1071"/>
        <v>40094489</v>
      </c>
      <c r="AV464" s="670">
        <f t="shared" si="1071"/>
        <v>1140268</v>
      </c>
      <c r="AW464" s="670">
        <f t="shared" si="1071"/>
        <v>67900</v>
      </c>
      <c r="AX464" s="670">
        <f t="shared" si="1071"/>
        <v>0</v>
      </c>
      <c r="AY464" s="670">
        <f t="shared" si="1071"/>
        <v>67900</v>
      </c>
      <c r="AZ464" s="670">
        <f t="shared" si="1071"/>
        <v>160029614</v>
      </c>
      <c r="BA464" s="671">
        <f t="shared" si="1071"/>
        <v>-2.87</v>
      </c>
      <c r="BB464" s="671">
        <f t="shared" si="1071"/>
        <v>-3.1399999999999997</v>
      </c>
      <c r="BC464" s="671">
        <f t="shared" si="1071"/>
        <v>288.86000000000007</v>
      </c>
      <c r="BD464" s="942">
        <f t="shared" si="1071"/>
        <v>15.7</v>
      </c>
      <c r="BE464" s="671">
        <f t="shared" si="1071"/>
        <v>0</v>
      </c>
      <c r="BF464" s="671">
        <f t="shared" si="1071"/>
        <v>-0.9</v>
      </c>
      <c r="BG464" s="671">
        <f t="shared" si="1071"/>
        <v>0</v>
      </c>
      <c r="BH464" s="671">
        <f t="shared" si="1071"/>
        <v>2.1700000000000004</v>
      </c>
      <c r="BI464" s="671">
        <f t="shared" si="1071"/>
        <v>0</v>
      </c>
      <c r="BJ464" s="671">
        <f t="shared" si="1071"/>
        <v>0.79</v>
      </c>
      <c r="BK464" s="671">
        <f t="shared" si="1071"/>
        <v>302.95999999999992</v>
      </c>
      <c r="BL464" s="671">
        <f t="shared" si="1071"/>
        <v>-2.35</v>
      </c>
      <c r="BM464" s="672">
        <f t="shared" si="1071"/>
        <v>300.6099999999999</v>
      </c>
      <c r="BN464" s="577">
        <f t="shared" si="1071"/>
        <v>1904955735</v>
      </c>
      <c r="BO464" s="670">
        <f t="shared" si="1071"/>
        <v>1396465533</v>
      </c>
      <c r="BP464" s="670">
        <f t="shared" si="1071"/>
        <v>1253703891</v>
      </c>
      <c r="BQ464" s="670">
        <f t="shared" si="1071"/>
        <v>142761642</v>
      </c>
      <c r="BR464" s="670">
        <f t="shared" si="1071"/>
        <v>4700152</v>
      </c>
      <c r="BS464" s="670">
        <f t="shared" si="1071"/>
        <v>3189265</v>
      </c>
      <c r="BT464" s="670">
        <f t="shared" si="1071"/>
        <v>1510887</v>
      </c>
      <c r="BU464" s="670">
        <f t="shared" ref="BU464:CF464" si="1073">BU463+BU459+BU456+BU449+BU442+BU435+BU428+BU421+BU414+BU407+BU400+BU393+BU389+BU383+BU376+BU374+BU370+BU363+BU358+BU351+BU345+BU336+BU332+BU328+BU324+BU322+BU316+BU312+BU305+BU298+BU296+BU288+BU283+BU276+BU272+BU266+BU262+BU258+BU256+BU249+BU243+BU237+BU231+BU225+BU219+BU213+BU206+BU200+BU194+BU187+BU180+BU174+BU168+BU162+BU157+BU151+BU145+BU139+BU132+BU125+BU120+BU116+BU113+BU109+BU105+BU102+BU98+BU94+BU90+BU86+BU82+BU79+BU75+BU70+BU67+BU63+BU59+BU55+BU52+BU49+BU46+BU42+BU39+BU35+BU31+BU27+BU22+BU18+BU13</f>
        <v>473558782</v>
      </c>
      <c r="BV464" s="670">
        <f t="shared" si="1073"/>
        <v>13964659</v>
      </c>
      <c r="BW464" s="670">
        <f t="shared" si="1073"/>
        <v>16266609</v>
      </c>
      <c r="BX464" s="671">
        <f t="shared" si="1073"/>
        <v>2515.7970000000005</v>
      </c>
      <c r="BY464" s="671">
        <f t="shared" si="1073"/>
        <v>2074.7234000000008</v>
      </c>
      <c r="BZ464" s="783">
        <f t="shared" si="1073"/>
        <v>441.07359999999994</v>
      </c>
      <c r="CA464" s="804">
        <f t="shared" si="1073"/>
        <v>12690902</v>
      </c>
      <c r="CB464" s="805">
        <f t="shared" si="1073"/>
        <v>8854800</v>
      </c>
      <c r="CC464" s="805">
        <f t="shared" si="1073"/>
        <v>564000</v>
      </c>
      <c r="CD464" s="805">
        <f t="shared" si="1073"/>
        <v>3183554</v>
      </c>
      <c r="CE464" s="805">
        <f t="shared" si="1073"/>
        <v>88548</v>
      </c>
      <c r="CF464" s="784">
        <f t="shared" si="1073"/>
        <v>15.7</v>
      </c>
    </row>
    <row r="465" spans="4:84" ht="14.1" customHeight="1" x14ac:dyDescent="0.2">
      <c r="I465" s="660">
        <f>J464+M464+P464+Q464+R464</f>
        <v>1744926121</v>
      </c>
      <c r="J465" s="660">
        <f>SUM(K464:L464)</f>
        <v>1282438728</v>
      </c>
      <c r="K465" s="432"/>
      <c r="L465" s="432"/>
      <c r="M465" s="432">
        <f>SUM(N464:O464)</f>
        <v>0</v>
      </c>
      <c r="N465" s="432"/>
      <c r="O465" s="432"/>
      <c r="P465" s="432"/>
      <c r="Q465" s="432"/>
      <c r="R465" s="432"/>
      <c r="S465" s="433">
        <f>SUM(T464:U464)</f>
        <v>2215.1870000000004</v>
      </c>
      <c r="T465" s="433"/>
      <c r="U465" s="433"/>
      <c r="V465" s="432">
        <f>AI464</f>
        <v>2394277</v>
      </c>
      <c r="W465" s="432">
        <f>AJ464</f>
        <v>1478887</v>
      </c>
      <c r="X465" s="432"/>
      <c r="Y465" s="432"/>
      <c r="Z465" s="432"/>
      <c r="AA465" s="433"/>
      <c r="AB465" s="433"/>
      <c r="AC465" s="433"/>
      <c r="AD465" s="433"/>
      <c r="AE465" s="433"/>
      <c r="AF465" s="434"/>
      <c r="AG465" s="434"/>
      <c r="AH465" s="434">
        <f>SUM(AF464:AG464)</f>
        <v>114026805</v>
      </c>
      <c r="AI465" s="434">
        <f>V464</f>
        <v>-2394277</v>
      </c>
      <c r="AJ465" s="434">
        <f>W464</f>
        <v>-1478887</v>
      </c>
      <c r="AK465" s="434"/>
      <c r="AL465" s="435"/>
      <c r="AM465" s="435"/>
      <c r="AN465" s="435"/>
      <c r="AO465" s="434"/>
      <c r="AP465" s="434"/>
      <c r="AQ465" s="434">
        <f>SUM(AO464:AP464)</f>
        <v>4700152</v>
      </c>
      <c r="AR465" s="434"/>
      <c r="AS465" s="434"/>
      <c r="AT465" s="434">
        <f>SUM(AR464:AS464)</f>
        <v>118726957</v>
      </c>
      <c r="AU465" s="436"/>
      <c r="AV465" s="436"/>
      <c r="AW465" s="435"/>
      <c r="AX465" s="435"/>
      <c r="AY465" s="434">
        <f>SUM(AW464:AX464)</f>
        <v>67900</v>
      </c>
      <c r="AZ465" s="434">
        <f>AH464+AQ464+AU464+AV464+AY464</f>
        <v>160029614</v>
      </c>
      <c r="BA465" s="437"/>
      <c r="BB465" s="437"/>
      <c r="BC465" s="437"/>
      <c r="BD465" s="437"/>
      <c r="BE465" s="437"/>
      <c r="BF465" s="437"/>
      <c r="BG465" s="437"/>
      <c r="BH465" s="437"/>
      <c r="BI465" s="437"/>
      <c r="BJ465" s="437"/>
      <c r="BK465" s="525">
        <f>BA464+BC464+BD464+BF464+BH464+BI464</f>
        <v>302.96000000000009</v>
      </c>
      <c r="BL465" s="525">
        <f>BB464+BE464+BG464+BJ464</f>
        <v>-2.3499999999999996</v>
      </c>
      <c r="BM465" s="525">
        <f>SUM(BK464:BL464)</f>
        <v>300.6099999999999</v>
      </c>
      <c r="BN465" s="432">
        <f>BO464+BR464+BU464+BV464+BW464</f>
        <v>1904955735</v>
      </c>
      <c r="BO465" s="432">
        <f>SUM(BP464:BQ464)</f>
        <v>1396465533</v>
      </c>
      <c r="BP465" s="434">
        <f>K464+AF464</f>
        <v>1253703891</v>
      </c>
      <c r="BQ465" s="434">
        <f>L464+AG464</f>
        <v>142761642</v>
      </c>
      <c r="BR465" s="86">
        <f>SUM(BS464:BT464)</f>
        <v>4700152</v>
      </c>
      <c r="BS465" s="434">
        <f>N464+AO464</f>
        <v>3189265</v>
      </c>
      <c r="BT465" s="434">
        <f>O464+AP464</f>
        <v>1510887</v>
      </c>
      <c r="BU465" s="434">
        <f>P464+AU464</f>
        <v>473558782</v>
      </c>
      <c r="BV465" s="434">
        <f>Q464+AV464</f>
        <v>13964659</v>
      </c>
      <c r="BW465" s="434">
        <f>R464+AY464</f>
        <v>16266609</v>
      </c>
      <c r="BX465" s="433">
        <f>SUM(BY464:BZ464)</f>
        <v>2515.7970000000005</v>
      </c>
      <c r="BY465" s="525">
        <f>T464+BK464</f>
        <v>2074.7234000000003</v>
      </c>
      <c r="BZ465" s="525">
        <f>U464+BL464</f>
        <v>441.0736</v>
      </c>
      <c r="CA465" s="236">
        <f>SUM(CB464:CE464)</f>
        <v>12690902</v>
      </c>
      <c r="CB465" s="236">
        <f>AB464</f>
        <v>8854800</v>
      </c>
      <c r="CC465" s="236">
        <f>AK464</f>
        <v>564000</v>
      </c>
      <c r="CD465" s="943"/>
      <c r="CE465" s="943"/>
      <c r="CF465" s="944">
        <f>BD464</f>
        <v>15.7</v>
      </c>
    </row>
    <row r="466" spans="4:84" ht="14.1" customHeight="1" thickBot="1" x14ac:dyDescent="0.25">
      <c r="H466" s="51"/>
      <c r="I466" s="660">
        <f>J467+M467+P467+Q467+R467</f>
        <v>1744926121</v>
      </c>
      <c r="J466" s="660">
        <f>SUM(K467:L467)</f>
        <v>1282438728</v>
      </c>
      <c r="K466" s="432"/>
      <c r="L466" s="432"/>
      <c r="M466" s="432">
        <f>SUM(N467:O467)</f>
        <v>0</v>
      </c>
      <c r="N466" s="432"/>
      <c r="O466" s="432"/>
      <c r="P466" s="432"/>
      <c r="Q466" s="432"/>
      <c r="R466" s="432"/>
      <c r="S466" s="433">
        <f>SUM(T467:U467)</f>
        <v>2215.1869999999999</v>
      </c>
      <c r="T466" s="433"/>
      <c r="U466" s="433"/>
      <c r="V466" s="432">
        <f>AI467</f>
        <v>2394277</v>
      </c>
      <c r="W466" s="432">
        <f>AJ467</f>
        <v>1478887</v>
      </c>
      <c r="X466" s="433"/>
      <c r="Y466" s="432"/>
      <c r="Z466" s="432"/>
      <c r="AA466" s="433"/>
      <c r="AB466" s="433"/>
      <c r="AC466" s="433"/>
      <c r="AD466" s="433"/>
      <c r="AE466" s="433"/>
      <c r="AF466" s="434"/>
      <c r="AG466" s="434"/>
      <c r="AH466" s="434">
        <f>SUM(AF467:AG467)</f>
        <v>114026805</v>
      </c>
      <c r="AI466" s="434"/>
      <c r="AJ466" s="434"/>
      <c r="AK466" s="434"/>
      <c r="AL466" s="435"/>
      <c r="AM466" s="435"/>
      <c r="AN466" s="435"/>
      <c r="AO466" s="434"/>
      <c r="AP466" s="434"/>
      <c r="AQ466" s="434">
        <f>SUM(AO467:AP467)</f>
        <v>4700152</v>
      </c>
      <c r="AR466" s="434"/>
      <c r="AS466" s="434"/>
      <c r="AT466" s="434">
        <f>SUM(AR467:AS467)</f>
        <v>118726957</v>
      </c>
      <c r="AU466" s="436"/>
      <c r="AV466" s="436"/>
      <c r="AW466" s="435"/>
      <c r="AX466" s="435"/>
      <c r="AY466" s="434">
        <f>SUM(AW467:AX467)</f>
        <v>67900</v>
      </c>
      <c r="AZ466" s="434">
        <f>AH467+AQ467+AU467+AV467+AY467</f>
        <v>160029614</v>
      </c>
      <c r="BA466" s="437"/>
      <c r="BB466" s="437"/>
      <c r="BC466" s="437"/>
      <c r="BD466" s="437"/>
      <c r="BE466" s="437"/>
      <c r="BF466" s="437"/>
      <c r="BG466" s="437"/>
      <c r="BH466" s="437"/>
      <c r="BI466" s="437"/>
      <c r="BJ466" s="437"/>
      <c r="BK466" s="525">
        <f>BA467+BC467+BD467+BF467+BH467+BI467</f>
        <v>302.96000000000009</v>
      </c>
      <c r="BL466" s="525">
        <f>BB467+BE467+BG467+BJ467</f>
        <v>-2.3500000000000005</v>
      </c>
      <c r="BM466" s="525">
        <f>SUM(BK467:BL467)</f>
        <v>300.61000000000007</v>
      </c>
      <c r="BN466" s="432">
        <f>BO467+BR467+BU467+BV467+BW467</f>
        <v>1904955735</v>
      </c>
      <c r="BO466" s="432">
        <f>SUM(BP467:BQ467)</f>
        <v>1396465533</v>
      </c>
      <c r="BR466" s="86">
        <f>SUM(BS467:BT467)</f>
        <v>4700152</v>
      </c>
      <c r="BX466" s="433">
        <f>SUM(BY467:BZ467)</f>
        <v>2515.7969999999996</v>
      </c>
      <c r="CA466" s="236">
        <f>SUM(CB467:CE467)</f>
        <v>12690902</v>
      </c>
      <c r="CB466"/>
      <c r="CC466"/>
      <c r="CD466"/>
      <c r="CE466"/>
      <c r="CF466" s="7"/>
    </row>
    <row r="467" spans="4:84" customFormat="1" ht="13.5" thickBot="1" x14ac:dyDescent="0.25">
      <c r="D467" s="23"/>
      <c r="E467" s="24"/>
      <c r="F467" s="23"/>
      <c r="G467" s="41"/>
      <c r="H467" s="22" t="s">
        <v>0</v>
      </c>
      <c r="I467" s="139">
        <f>SUM(I468:I477)</f>
        <v>1744926121</v>
      </c>
      <c r="J467" s="34">
        <f t="shared" ref="J467:BV467" si="1074">SUM(J468:J477)</f>
        <v>1282438728</v>
      </c>
      <c r="K467" s="34">
        <f t="shared" si="1074"/>
        <v>1138462760</v>
      </c>
      <c r="L467" s="34">
        <f t="shared" si="1074"/>
        <v>143975968</v>
      </c>
      <c r="M467" s="34">
        <f t="shared" si="1074"/>
        <v>0</v>
      </c>
      <c r="N467" s="34">
        <f t="shared" si="1074"/>
        <v>0</v>
      </c>
      <c r="O467" s="34">
        <f t="shared" si="1074"/>
        <v>0</v>
      </c>
      <c r="P467" s="34">
        <f t="shared" si="1074"/>
        <v>433464293</v>
      </c>
      <c r="Q467" s="34">
        <f t="shared" si="1074"/>
        <v>12824391</v>
      </c>
      <c r="R467" s="34">
        <f t="shared" si="1074"/>
        <v>16198709</v>
      </c>
      <c r="S467" s="35">
        <f t="shared" si="1074"/>
        <v>2215.1869999999999</v>
      </c>
      <c r="T467" s="35">
        <f t="shared" si="1074"/>
        <v>1771.7633999999998</v>
      </c>
      <c r="U467" s="36">
        <f t="shared" si="1074"/>
        <v>443.42359999999996</v>
      </c>
      <c r="V467" s="149">
        <f t="shared" si="1074"/>
        <v>-2394277</v>
      </c>
      <c r="W467" s="34">
        <f t="shared" si="1074"/>
        <v>-1478887</v>
      </c>
      <c r="X467" s="34">
        <f t="shared" si="1074"/>
        <v>107709549</v>
      </c>
      <c r="Y467" s="34">
        <f t="shared" si="1074"/>
        <v>-417117</v>
      </c>
      <c r="Z467" s="34">
        <f t="shared" si="1074"/>
        <v>0</v>
      </c>
      <c r="AA467" s="34">
        <f t="shared" si="1074"/>
        <v>1488176</v>
      </c>
      <c r="AB467" s="768">
        <f t="shared" si="1074"/>
        <v>8854800</v>
      </c>
      <c r="AC467" s="34">
        <f t="shared" si="1074"/>
        <v>0</v>
      </c>
      <c r="AD467" s="34">
        <f t="shared" si="1074"/>
        <v>0</v>
      </c>
      <c r="AE467" s="34">
        <f t="shared" si="1074"/>
        <v>264561</v>
      </c>
      <c r="AF467" s="34">
        <f t="shared" si="1074"/>
        <v>115241131</v>
      </c>
      <c r="AG467" s="34">
        <f t="shared" si="1074"/>
        <v>-1214326</v>
      </c>
      <c r="AH467" s="34">
        <f t="shared" si="1074"/>
        <v>114026805</v>
      </c>
      <c r="AI467" s="34">
        <f t="shared" si="1074"/>
        <v>2394277</v>
      </c>
      <c r="AJ467" s="34">
        <f t="shared" si="1074"/>
        <v>1478887</v>
      </c>
      <c r="AK467" s="768">
        <f t="shared" ref="AK467" si="1075">SUM(AK468:AK477)</f>
        <v>564000</v>
      </c>
      <c r="AL467" s="34">
        <f t="shared" si="1074"/>
        <v>158779</v>
      </c>
      <c r="AM467" s="34">
        <f t="shared" si="1074"/>
        <v>72209</v>
      </c>
      <c r="AN467" s="34">
        <f t="shared" si="1074"/>
        <v>32000</v>
      </c>
      <c r="AO467" s="34">
        <f t="shared" si="1074"/>
        <v>3189265</v>
      </c>
      <c r="AP467" s="34">
        <f t="shared" si="1074"/>
        <v>1510887</v>
      </c>
      <c r="AQ467" s="34">
        <f t="shared" si="1074"/>
        <v>4700152</v>
      </c>
      <c r="AR467" s="34">
        <f t="shared" si="1074"/>
        <v>118430396</v>
      </c>
      <c r="AS467" s="34">
        <f t="shared" si="1074"/>
        <v>296561</v>
      </c>
      <c r="AT467" s="34">
        <f t="shared" si="1074"/>
        <v>118726957</v>
      </c>
      <c r="AU467" s="34">
        <f t="shared" si="1074"/>
        <v>40094489</v>
      </c>
      <c r="AV467" s="34">
        <f t="shared" si="1074"/>
        <v>1140268</v>
      </c>
      <c r="AW467" s="34">
        <f t="shared" si="1074"/>
        <v>67900</v>
      </c>
      <c r="AX467" s="34">
        <f t="shared" si="1074"/>
        <v>0</v>
      </c>
      <c r="AY467" s="34">
        <f t="shared" si="1074"/>
        <v>67900</v>
      </c>
      <c r="AZ467" s="34">
        <f t="shared" si="1074"/>
        <v>160029614</v>
      </c>
      <c r="BA467" s="35">
        <f t="shared" si="1074"/>
        <v>-2.87</v>
      </c>
      <c r="BB467" s="35">
        <f t="shared" si="1074"/>
        <v>-3.1400000000000006</v>
      </c>
      <c r="BC467" s="35">
        <f t="shared" si="1074"/>
        <v>288.86000000000007</v>
      </c>
      <c r="BD467" s="35">
        <f t="shared" si="1074"/>
        <v>15.700000000000001</v>
      </c>
      <c r="BE467" s="35">
        <f t="shared" si="1074"/>
        <v>0</v>
      </c>
      <c r="BF467" s="35">
        <f t="shared" si="1074"/>
        <v>-0.9</v>
      </c>
      <c r="BG467" s="35">
        <f t="shared" si="1074"/>
        <v>0</v>
      </c>
      <c r="BH467" s="35">
        <f t="shared" si="1074"/>
        <v>2.1700000000000004</v>
      </c>
      <c r="BI467" s="35">
        <f t="shared" si="1074"/>
        <v>0</v>
      </c>
      <c r="BJ467" s="35">
        <f t="shared" si="1074"/>
        <v>0.79</v>
      </c>
      <c r="BK467" s="35">
        <f t="shared" si="1074"/>
        <v>302.96000000000009</v>
      </c>
      <c r="BL467" s="35">
        <f t="shared" si="1074"/>
        <v>-2.3500000000000005</v>
      </c>
      <c r="BM467" s="148">
        <f t="shared" si="1074"/>
        <v>300.61000000000013</v>
      </c>
      <c r="BN467" s="139">
        <f t="shared" si="1074"/>
        <v>1904955735</v>
      </c>
      <c r="BO467" s="34">
        <f t="shared" si="1074"/>
        <v>1396465533</v>
      </c>
      <c r="BP467" s="34">
        <f t="shared" si="1074"/>
        <v>1253703891</v>
      </c>
      <c r="BQ467" s="34">
        <f t="shared" si="1074"/>
        <v>142761642</v>
      </c>
      <c r="BR467" s="34">
        <f t="shared" si="1074"/>
        <v>4700152</v>
      </c>
      <c r="BS467" s="34">
        <f t="shared" si="1074"/>
        <v>3189265</v>
      </c>
      <c r="BT467" s="34">
        <f t="shared" si="1074"/>
        <v>1510887</v>
      </c>
      <c r="BU467" s="34">
        <f t="shared" si="1074"/>
        <v>473558782</v>
      </c>
      <c r="BV467" s="34">
        <f t="shared" si="1074"/>
        <v>13964659</v>
      </c>
      <c r="BW467" s="34">
        <f t="shared" ref="BW467:BZ467" si="1076">SUM(BW468:BW477)</f>
        <v>16266609</v>
      </c>
      <c r="BX467" s="35">
        <f t="shared" si="1076"/>
        <v>2515.7969999999991</v>
      </c>
      <c r="BY467" s="35">
        <f t="shared" si="1076"/>
        <v>2074.7233999999994</v>
      </c>
      <c r="BZ467" s="148">
        <f t="shared" si="1076"/>
        <v>441.07359999999994</v>
      </c>
      <c r="CA467" s="810">
        <f t="shared" ref="CA467:CF467" si="1077">SUM(CA468:CA477)</f>
        <v>12690902</v>
      </c>
      <c r="CB467" s="809">
        <f t="shared" si="1077"/>
        <v>8854800</v>
      </c>
      <c r="CC467" s="809">
        <f t="shared" si="1077"/>
        <v>564000</v>
      </c>
      <c r="CD467" s="809">
        <f t="shared" si="1077"/>
        <v>3183554</v>
      </c>
      <c r="CE467" s="809">
        <f t="shared" si="1077"/>
        <v>88548</v>
      </c>
      <c r="CF467" s="781">
        <f t="shared" si="1077"/>
        <v>15.700000000000001</v>
      </c>
    </row>
    <row r="468" spans="4:84" customFormat="1" ht="12.75" x14ac:dyDescent="0.2">
      <c r="D468" s="23"/>
      <c r="E468" s="24"/>
      <c r="F468" s="23"/>
      <c r="G468" s="41"/>
      <c r="H468" s="1">
        <v>3111</v>
      </c>
      <c r="I468" s="31">
        <f t="shared" ref="I468:BU468" si="1078">SUMIF($F$12:$F$464,"=3111",I$12:I$464)</f>
        <v>385346403</v>
      </c>
      <c r="J468" s="146">
        <f t="shared" si="1078"/>
        <v>284901276</v>
      </c>
      <c r="K468" s="146">
        <f t="shared" si="1078"/>
        <v>261573557</v>
      </c>
      <c r="L468" s="146">
        <f t="shared" si="1078"/>
        <v>23327719</v>
      </c>
      <c r="M468" s="146">
        <f t="shared" si="1078"/>
        <v>0</v>
      </c>
      <c r="N468" s="146">
        <f t="shared" si="1078"/>
        <v>0</v>
      </c>
      <c r="O468" s="146">
        <f t="shared" si="1078"/>
        <v>0</v>
      </c>
      <c r="P468" s="146">
        <f t="shared" si="1078"/>
        <v>96296636</v>
      </c>
      <c r="Q468" s="146">
        <f t="shared" si="1078"/>
        <v>2849014</v>
      </c>
      <c r="R468" s="146">
        <f t="shared" si="1078"/>
        <v>1299477</v>
      </c>
      <c r="S468" s="147">
        <f t="shared" si="1078"/>
        <v>538.54379999999992</v>
      </c>
      <c r="T468" s="147">
        <f t="shared" si="1078"/>
        <v>457.31229999999994</v>
      </c>
      <c r="U468" s="240">
        <f t="shared" si="1078"/>
        <v>81.231500000000025</v>
      </c>
      <c r="V468" s="32">
        <f t="shared" si="1078"/>
        <v>-265957</v>
      </c>
      <c r="W468" s="146">
        <f t="shared" si="1078"/>
        <v>-264423</v>
      </c>
      <c r="X468" s="146">
        <f t="shared" si="1078"/>
        <v>16237061</v>
      </c>
      <c r="Y468" s="146">
        <f t="shared" si="1078"/>
        <v>0</v>
      </c>
      <c r="Z468" s="146">
        <f t="shared" si="1078"/>
        <v>0</v>
      </c>
      <c r="AA468" s="146">
        <f t="shared" si="1078"/>
        <v>0</v>
      </c>
      <c r="AB468" s="146">
        <f t="shared" si="1078"/>
        <v>0</v>
      </c>
      <c r="AC468" s="146">
        <f t="shared" si="1078"/>
        <v>0</v>
      </c>
      <c r="AD468" s="146">
        <f t="shared" si="1078"/>
        <v>0</v>
      </c>
      <c r="AE468" s="146">
        <f t="shared" si="1078"/>
        <v>0</v>
      </c>
      <c r="AF468" s="146">
        <f t="shared" si="1078"/>
        <v>15971104</v>
      </c>
      <c r="AG468" s="146">
        <f t="shared" si="1078"/>
        <v>-264423</v>
      </c>
      <c r="AH468" s="146">
        <f t="shared" si="1078"/>
        <v>15706681</v>
      </c>
      <c r="AI468" s="146">
        <f t="shared" si="1078"/>
        <v>265957</v>
      </c>
      <c r="AJ468" s="146">
        <f t="shared" si="1078"/>
        <v>264423</v>
      </c>
      <c r="AK468" s="146">
        <f t="shared" si="1078"/>
        <v>0</v>
      </c>
      <c r="AL468" s="146">
        <f t="shared" si="1078"/>
        <v>0</v>
      </c>
      <c r="AM468" s="146">
        <f t="shared" si="1078"/>
        <v>0</v>
      </c>
      <c r="AN468" s="146">
        <f t="shared" si="1078"/>
        <v>0</v>
      </c>
      <c r="AO468" s="146">
        <f t="shared" si="1078"/>
        <v>265957</v>
      </c>
      <c r="AP468" s="146">
        <f t="shared" si="1078"/>
        <v>264423</v>
      </c>
      <c r="AQ468" s="146">
        <f t="shared" si="1078"/>
        <v>530380</v>
      </c>
      <c r="AR468" s="146">
        <f t="shared" si="1078"/>
        <v>16237061</v>
      </c>
      <c r="AS468" s="146">
        <f t="shared" si="1078"/>
        <v>0</v>
      </c>
      <c r="AT468" s="146">
        <f t="shared" si="1078"/>
        <v>16237061</v>
      </c>
      <c r="AU468" s="146">
        <f t="shared" si="1078"/>
        <v>5488128</v>
      </c>
      <c r="AV468" s="146">
        <f t="shared" si="1078"/>
        <v>157067</v>
      </c>
      <c r="AW468" s="146">
        <f t="shared" si="1078"/>
        <v>5000</v>
      </c>
      <c r="AX468" s="146">
        <f t="shared" si="1078"/>
        <v>0</v>
      </c>
      <c r="AY468" s="146">
        <f t="shared" si="1078"/>
        <v>5000</v>
      </c>
      <c r="AZ468" s="146">
        <f t="shared" si="1078"/>
        <v>21887256</v>
      </c>
      <c r="BA468" s="147">
        <f t="shared" si="1078"/>
        <v>-0.37</v>
      </c>
      <c r="BB468" s="147">
        <f t="shared" si="1078"/>
        <v>-0.67</v>
      </c>
      <c r="BC468" s="147">
        <f t="shared" si="1078"/>
        <v>45.900000000000006</v>
      </c>
      <c r="BD468" s="147">
        <f t="shared" si="1078"/>
        <v>0</v>
      </c>
      <c r="BE468" s="147">
        <f t="shared" si="1078"/>
        <v>0</v>
      </c>
      <c r="BF468" s="147">
        <f t="shared" si="1078"/>
        <v>0</v>
      </c>
      <c r="BG468" s="147">
        <f t="shared" si="1078"/>
        <v>0</v>
      </c>
      <c r="BH468" s="147">
        <f t="shared" si="1078"/>
        <v>0</v>
      </c>
      <c r="BI468" s="147">
        <f t="shared" si="1078"/>
        <v>0</v>
      </c>
      <c r="BJ468" s="147">
        <f t="shared" si="1078"/>
        <v>0</v>
      </c>
      <c r="BK468" s="147">
        <f t="shared" si="1078"/>
        <v>45.530000000000015</v>
      </c>
      <c r="BL468" s="147">
        <f t="shared" si="1078"/>
        <v>-0.67</v>
      </c>
      <c r="BM468" s="429">
        <f t="shared" si="1078"/>
        <v>44.860000000000007</v>
      </c>
      <c r="BN468" s="31">
        <f t="shared" si="1078"/>
        <v>407233659</v>
      </c>
      <c r="BO468" s="146">
        <f t="shared" si="1078"/>
        <v>300607957</v>
      </c>
      <c r="BP468" s="146">
        <f t="shared" si="1078"/>
        <v>277544661</v>
      </c>
      <c r="BQ468" s="146">
        <f t="shared" si="1078"/>
        <v>23063296</v>
      </c>
      <c r="BR468" s="146">
        <f t="shared" si="1078"/>
        <v>530380</v>
      </c>
      <c r="BS468" s="146">
        <f t="shared" si="1078"/>
        <v>265957</v>
      </c>
      <c r="BT468" s="146">
        <f t="shared" si="1078"/>
        <v>264423</v>
      </c>
      <c r="BU468" s="146">
        <f t="shared" si="1078"/>
        <v>101784764</v>
      </c>
      <c r="BV468" s="146">
        <f t="shared" ref="BV468:CF468" si="1079">SUMIF($F$12:$F$464,"=3111",BV$12:BV$464)</f>
        <v>3006081</v>
      </c>
      <c r="BW468" s="146">
        <f t="shared" si="1079"/>
        <v>1304477</v>
      </c>
      <c r="BX468" s="147">
        <f t="shared" si="1079"/>
        <v>583.40379999999993</v>
      </c>
      <c r="BY468" s="147">
        <f t="shared" si="1079"/>
        <v>502.84229999999991</v>
      </c>
      <c r="BZ468" s="429">
        <f t="shared" si="1079"/>
        <v>80.561500000000024</v>
      </c>
      <c r="CA468" s="811">
        <f t="shared" si="1079"/>
        <v>0</v>
      </c>
      <c r="CB468" s="806">
        <f t="shared" si="1079"/>
        <v>0</v>
      </c>
      <c r="CC468" s="806">
        <f t="shared" si="1079"/>
        <v>0</v>
      </c>
      <c r="CD468" s="806">
        <f t="shared" si="1079"/>
        <v>0</v>
      </c>
      <c r="CE468" s="806">
        <f t="shared" si="1079"/>
        <v>0</v>
      </c>
      <c r="CF468" s="240">
        <f t="shared" si="1079"/>
        <v>0</v>
      </c>
    </row>
    <row r="469" spans="4:84" customFormat="1" ht="12.75" x14ac:dyDescent="0.2">
      <c r="D469" s="23"/>
      <c r="E469" s="24"/>
      <c r="F469" s="23"/>
      <c r="G469" s="41"/>
      <c r="H469" s="2">
        <v>3113</v>
      </c>
      <c r="I469" s="25">
        <f t="shared" ref="I469:BU469" si="1080">SUMIF($F$12:$F$464,"=3113",I$12:I$464)</f>
        <v>959615552</v>
      </c>
      <c r="J469" s="26">
        <f t="shared" si="1080"/>
        <v>702059632</v>
      </c>
      <c r="K469" s="26">
        <f t="shared" si="1080"/>
        <v>653439278</v>
      </c>
      <c r="L469" s="26">
        <f t="shared" si="1080"/>
        <v>48620354</v>
      </c>
      <c r="M469" s="26">
        <f t="shared" si="1080"/>
        <v>0</v>
      </c>
      <c r="N469" s="26">
        <f t="shared" si="1080"/>
        <v>0</v>
      </c>
      <c r="O469" s="26">
        <f t="shared" si="1080"/>
        <v>0</v>
      </c>
      <c r="P469" s="26">
        <f t="shared" si="1080"/>
        <v>237296156</v>
      </c>
      <c r="Q469" s="26">
        <f t="shared" si="1080"/>
        <v>7020598</v>
      </c>
      <c r="R469" s="26">
        <f t="shared" si="1080"/>
        <v>13239166</v>
      </c>
      <c r="S469" s="27">
        <f t="shared" si="1080"/>
        <v>1069.9548</v>
      </c>
      <c r="T469" s="27">
        <f t="shared" si="1080"/>
        <v>924.07299999999998</v>
      </c>
      <c r="U469" s="241">
        <f t="shared" si="1080"/>
        <v>145.88179999999997</v>
      </c>
      <c r="V469" s="38">
        <f t="shared" si="1080"/>
        <v>-1293440</v>
      </c>
      <c r="W469" s="26">
        <f t="shared" si="1080"/>
        <v>-648960</v>
      </c>
      <c r="X469" s="26">
        <f t="shared" si="1080"/>
        <v>83052081</v>
      </c>
      <c r="Y469" s="26">
        <f t="shared" si="1080"/>
        <v>0</v>
      </c>
      <c r="Z469" s="26">
        <f t="shared" si="1080"/>
        <v>0</v>
      </c>
      <c r="AA469" s="26">
        <f t="shared" si="1080"/>
        <v>1488176</v>
      </c>
      <c r="AB469" s="26">
        <f t="shared" si="1080"/>
        <v>8742000</v>
      </c>
      <c r="AC469" s="26">
        <f t="shared" si="1080"/>
        <v>0</v>
      </c>
      <c r="AD469" s="26">
        <f t="shared" si="1080"/>
        <v>0</v>
      </c>
      <c r="AE469" s="26">
        <f t="shared" si="1080"/>
        <v>0</v>
      </c>
      <c r="AF469" s="26">
        <f t="shared" si="1080"/>
        <v>91988817</v>
      </c>
      <c r="AG469" s="26">
        <f t="shared" si="1080"/>
        <v>-648960</v>
      </c>
      <c r="AH469" s="26">
        <f t="shared" si="1080"/>
        <v>91339857</v>
      </c>
      <c r="AI469" s="26">
        <f t="shared" si="1080"/>
        <v>1293440</v>
      </c>
      <c r="AJ469" s="26">
        <f t="shared" si="1080"/>
        <v>648960</v>
      </c>
      <c r="AK469" s="26">
        <f t="shared" si="1080"/>
        <v>564000</v>
      </c>
      <c r="AL469" s="26">
        <f t="shared" si="1080"/>
        <v>158779</v>
      </c>
      <c r="AM469" s="26">
        <f t="shared" si="1080"/>
        <v>0</v>
      </c>
      <c r="AN469" s="26">
        <f t="shared" si="1080"/>
        <v>0</v>
      </c>
      <c r="AO469" s="26">
        <f t="shared" si="1080"/>
        <v>2016219</v>
      </c>
      <c r="AP469" s="26">
        <f t="shared" si="1080"/>
        <v>648960</v>
      </c>
      <c r="AQ469" s="26">
        <f t="shared" si="1080"/>
        <v>2665179</v>
      </c>
      <c r="AR469" s="26">
        <f t="shared" si="1080"/>
        <v>94005036</v>
      </c>
      <c r="AS469" s="26">
        <f t="shared" si="1080"/>
        <v>0</v>
      </c>
      <c r="AT469" s="26">
        <f t="shared" si="1080"/>
        <v>94005036</v>
      </c>
      <c r="AU469" s="26">
        <f t="shared" si="1080"/>
        <v>31773702</v>
      </c>
      <c r="AV469" s="26">
        <f t="shared" si="1080"/>
        <v>913398</v>
      </c>
      <c r="AW469" s="26">
        <f t="shared" si="1080"/>
        <v>50400</v>
      </c>
      <c r="AX469" s="26">
        <f t="shared" si="1080"/>
        <v>0</v>
      </c>
      <c r="AY469" s="26">
        <f t="shared" si="1080"/>
        <v>50400</v>
      </c>
      <c r="AZ469" s="26">
        <f t="shared" si="1080"/>
        <v>126742536</v>
      </c>
      <c r="BA469" s="27">
        <f t="shared" si="1080"/>
        <v>-1.2900000000000003</v>
      </c>
      <c r="BB469" s="27">
        <f t="shared" si="1080"/>
        <v>-1.4600000000000002</v>
      </c>
      <c r="BC469" s="27">
        <f t="shared" si="1080"/>
        <v>220.48000000000005</v>
      </c>
      <c r="BD469" s="27">
        <f t="shared" si="1080"/>
        <v>15.500000000000002</v>
      </c>
      <c r="BE469" s="27">
        <f t="shared" si="1080"/>
        <v>0</v>
      </c>
      <c r="BF469" s="27">
        <f t="shared" si="1080"/>
        <v>0</v>
      </c>
      <c r="BG469" s="27">
        <f t="shared" si="1080"/>
        <v>0</v>
      </c>
      <c r="BH469" s="27">
        <f t="shared" si="1080"/>
        <v>2.1700000000000004</v>
      </c>
      <c r="BI469" s="27">
        <f t="shared" si="1080"/>
        <v>0</v>
      </c>
      <c r="BJ469" s="27">
        <f t="shared" si="1080"/>
        <v>0</v>
      </c>
      <c r="BK469" s="27">
        <f t="shared" si="1080"/>
        <v>236.86000000000007</v>
      </c>
      <c r="BL469" s="27">
        <f t="shared" si="1080"/>
        <v>-1.4600000000000002</v>
      </c>
      <c r="BM469" s="430">
        <f t="shared" si="1080"/>
        <v>235.40000000000009</v>
      </c>
      <c r="BN469" s="25">
        <f t="shared" si="1080"/>
        <v>1086358088</v>
      </c>
      <c r="BO469" s="26">
        <f t="shared" si="1080"/>
        <v>793399489</v>
      </c>
      <c r="BP469" s="26">
        <f t="shared" si="1080"/>
        <v>745428095</v>
      </c>
      <c r="BQ469" s="26">
        <f t="shared" si="1080"/>
        <v>47971394</v>
      </c>
      <c r="BR469" s="26">
        <f t="shared" si="1080"/>
        <v>2665179</v>
      </c>
      <c r="BS469" s="26">
        <f t="shared" si="1080"/>
        <v>2016219</v>
      </c>
      <c r="BT469" s="26">
        <f t="shared" si="1080"/>
        <v>648960</v>
      </c>
      <c r="BU469" s="26">
        <f t="shared" si="1080"/>
        <v>269069858</v>
      </c>
      <c r="BV469" s="26">
        <f t="shared" ref="BV469:CF469" si="1081">SUMIF($F$12:$F$464,"=3113",BV$12:BV$464)</f>
        <v>7933996</v>
      </c>
      <c r="BW469" s="26">
        <f t="shared" si="1081"/>
        <v>13289566</v>
      </c>
      <c r="BX469" s="27">
        <f t="shared" si="1081"/>
        <v>1305.3547999999996</v>
      </c>
      <c r="BY469" s="27">
        <f t="shared" si="1081"/>
        <v>1160.9329999999995</v>
      </c>
      <c r="BZ469" s="430">
        <f t="shared" si="1081"/>
        <v>144.42179999999999</v>
      </c>
      <c r="CA469" s="812">
        <f t="shared" si="1081"/>
        <v>12538848</v>
      </c>
      <c r="CB469" s="807">
        <f t="shared" si="1081"/>
        <v>8742000</v>
      </c>
      <c r="CC469" s="807">
        <f t="shared" si="1081"/>
        <v>564000</v>
      </c>
      <c r="CD469" s="807">
        <f t="shared" si="1081"/>
        <v>3145428</v>
      </c>
      <c r="CE469" s="807">
        <f t="shared" si="1081"/>
        <v>87420</v>
      </c>
      <c r="CF469" s="241">
        <f t="shared" si="1081"/>
        <v>15.500000000000002</v>
      </c>
    </row>
    <row r="470" spans="4:84" customFormat="1" ht="12.75" x14ac:dyDescent="0.2">
      <c r="D470" s="23"/>
      <c r="E470" s="24"/>
      <c r="F470" s="23"/>
      <c r="G470" s="41"/>
      <c r="H470" s="2">
        <v>3114</v>
      </c>
      <c r="I470" s="25">
        <f t="shared" ref="I470:BU470" si="1082">SUMIF($F$12:$F$464,"=3114",I$12:I$464)</f>
        <v>63029696</v>
      </c>
      <c r="J470" s="26">
        <f t="shared" si="1082"/>
        <v>46523824</v>
      </c>
      <c r="K470" s="26">
        <f t="shared" si="1082"/>
        <v>43690562</v>
      </c>
      <c r="L470" s="26">
        <f t="shared" si="1082"/>
        <v>2833262</v>
      </c>
      <c r="M470" s="26">
        <f t="shared" si="1082"/>
        <v>0</v>
      </c>
      <c r="N470" s="26">
        <f t="shared" si="1082"/>
        <v>0</v>
      </c>
      <c r="O470" s="26">
        <f t="shared" si="1082"/>
        <v>0</v>
      </c>
      <c r="P470" s="26">
        <f t="shared" si="1082"/>
        <v>15725053</v>
      </c>
      <c r="Q470" s="26">
        <f t="shared" si="1082"/>
        <v>465237</v>
      </c>
      <c r="R470" s="26">
        <f t="shared" si="1082"/>
        <v>315582</v>
      </c>
      <c r="S470" s="27">
        <f t="shared" si="1082"/>
        <v>81.323800000000006</v>
      </c>
      <c r="T470" s="27">
        <f t="shared" si="1082"/>
        <v>73.030500000000004</v>
      </c>
      <c r="U470" s="241">
        <f t="shared" si="1082"/>
        <v>8.2932999999999986</v>
      </c>
      <c r="V470" s="38">
        <f t="shared" si="1082"/>
        <v>0</v>
      </c>
      <c r="W470" s="26">
        <f t="shared" si="1082"/>
        <v>-98560</v>
      </c>
      <c r="X470" s="26">
        <f t="shared" si="1082"/>
        <v>1483204</v>
      </c>
      <c r="Y470" s="26">
        <f t="shared" si="1082"/>
        <v>0</v>
      </c>
      <c r="Z470" s="26">
        <f t="shared" si="1082"/>
        <v>0</v>
      </c>
      <c r="AA470" s="26">
        <f t="shared" si="1082"/>
        <v>0</v>
      </c>
      <c r="AB470" s="26">
        <f t="shared" si="1082"/>
        <v>0</v>
      </c>
      <c r="AC470" s="26">
        <f t="shared" si="1082"/>
        <v>0</v>
      </c>
      <c r="AD470" s="26">
        <f t="shared" si="1082"/>
        <v>0</v>
      </c>
      <c r="AE470" s="26">
        <f t="shared" si="1082"/>
        <v>0</v>
      </c>
      <c r="AF470" s="26">
        <f t="shared" si="1082"/>
        <v>1483204</v>
      </c>
      <c r="AG470" s="26">
        <f t="shared" si="1082"/>
        <v>-98560</v>
      </c>
      <c r="AH470" s="26">
        <f t="shared" si="1082"/>
        <v>1384644</v>
      </c>
      <c r="AI470" s="26">
        <f t="shared" si="1082"/>
        <v>0</v>
      </c>
      <c r="AJ470" s="26">
        <f t="shared" si="1082"/>
        <v>98560</v>
      </c>
      <c r="AK470" s="26">
        <f t="shared" si="1082"/>
        <v>0</v>
      </c>
      <c r="AL470" s="26">
        <f t="shared" si="1082"/>
        <v>0</v>
      </c>
      <c r="AM470" s="26">
        <f t="shared" si="1082"/>
        <v>0</v>
      </c>
      <c r="AN470" s="26">
        <f t="shared" si="1082"/>
        <v>0</v>
      </c>
      <c r="AO470" s="26">
        <f t="shared" si="1082"/>
        <v>0</v>
      </c>
      <c r="AP470" s="26">
        <f t="shared" si="1082"/>
        <v>98560</v>
      </c>
      <c r="AQ470" s="26">
        <f t="shared" si="1082"/>
        <v>98560</v>
      </c>
      <c r="AR470" s="26">
        <f t="shared" si="1082"/>
        <v>1483204</v>
      </c>
      <c r="AS470" s="26">
        <f t="shared" si="1082"/>
        <v>0</v>
      </c>
      <c r="AT470" s="26">
        <f t="shared" si="1082"/>
        <v>1483204</v>
      </c>
      <c r="AU470" s="26">
        <f t="shared" si="1082"/>
        <v>501323</v>
      </c>
      <c r="AV470" s="26">
        <f t="shared" si="1082"/>
        <v>13846</v>
      </c>
      <c r="AW470" s="26">
        <f t="shared" si="1082"/>
        <v>0</v>
      </c>
      <c r="AX470" s="26">
        <f t="shared" si="1082"/>
        <v>0</v>
      </c>
      <c r="AY470" s="26">
        <f t="shared" si="1082"/>
        <v>0</v>
      </c>
      <c r="AZ470" s="26">
        <f t="shared" si="1082"/>
        <v>1998373</v>
      </c>
      <c r="BA470" s="27">
        <f t="shared" si="1082"/>
        <v>0</v>
      </c>
      <c r="BB470" s="27">
        <f t="shared" si="1082"/>
        <v>-0.14000000000000001</v>
      </c>
      <c r="BC470" s="27">
        <f t="shared" si="1082"/>
        <v>4</v>
      </c>
      <c r="BD470" s="27">
        <f t="shared" si="1082"/>
        <v>0</v>
      </c>
      <c r="BE470" s="27">
        <f t="shared" si="1082"/>
        <v>0</v>
      </c>
      <c r="BF470" s="27">
        <f t="shared" si="1082"/>
        <v>0</v>
      </c>
      <c r="BG470" s="27">
        <f t="shared" si="1082"/>
        <v>0</v>
      </c>
      <c r="BH470" s="27">
        <f t="shared" si="1082"/>
        <v>0</v>
      </c>
      <c r="BI470" s="27">
        <f t="shared" si="1082"/>
        <v>0</v>
      </c>
      <c r="BJ470" s="27">
        <f t="shared" si="1082"/>
        <v>0</v>
      </c>
      <c r="BK470" s="27">
        <f t="shared" si="1082"/>
        <v>4</v>
      </c>
      <c r="BL470" s="27">
        <f t="shared" si="1082"/>
        <v>-0.14000000000000001</v>
      </c>
      <c r="BM470" s="430">
        <f t="shared" si="1082"/>
        <v>3.86</v>
      </c>
      <c r="BN470" s="25">
        <f t="shared" si="1082"/>
        <v>65028069</v>
      </c>
      <c r="BO470" s="26">
        <f t="shared" si="1082"/>
        <v>47908468</v>
      </c>
      <c r="BP470" s="26">
        <f t="shared" si="1082"/>
        <v>45173766</v>
      </c>
      <c r="BQ470" s="26">
        <f t="shared" si="1082"/>
        <v>2734702</v>
      </c>
      <c r="BR470" s="26">
        <f t="shared" si="1082"/>
        <v>98560</v>
      </c>
      <c r="BS470" s="26">
        <f t="shared" si="1082"/>
        <v>0</v>
      </c>
      <c r="BT470" s="26">
        <f t="shared" si="1082"/>
        <v>98560</v>
      </c>
      <c r="BU470" s="26">
        <f t="shared" si="1082"/>
        <v>16226376</v>
      </c>
      <c r="BV470" s="26">
        <f t="shared" ref="BV470:CF470" si="1083">SUMIF($F$12:$F$464,"=3114",BV$12:BV$464)</f>
        <v>479083</v>
      </c>
      <c r="BW470" s="26">
        <f t="shared" si="1083"/>
        <v>315582</v>
      </c>
      <c r="BX470" s="27">
        <f t="shared" si="1083"/>
        <v>85.183800000000005</v>
      </c>
      <c r="BY470" s="27">
        <f t="shared" si="1083"/>
        <v>77.030500000000004</v>
      </c>
      <c r="BZ470" s="430">
        <f t="shared" si="1083"/>
        <v>8.1533000000000015</v>
      </c>
      <c r="CA470" s="812">
        <f t="shared" si="1083"/>
        <v>0</v>
      </c>
      <c r="CB470" s="807">
        <f t="shared" si="1083"/>
        <v>0</v>
      </c>
      <c r="CC470" s="807">
        <f t="shared" si="1083"/>
        <v>0</v>
      </c>
      <c r="CD470" s="807">
        <f t="shared" si="1083"/>
        <v>0</v>
      </c>
      <c r="CE470" s="807">
        <f t="shared" si="1083"/>
        <v>0</v>
      </c>
      <c r="CF470" s="241">
        <f t="shared" si="1083"/>
        <v>0</v>
      </c>
    </row>
    <row r="471" spans="4:84" customFormat="1" ht="12.75" x14ac:dyDescent="0.2">
      <c r="D471" s="23"/>
      <c r="E471" s="24"/>
      <c r="F471" s="23"/>
      <c r="G471" s="41"/>
      <c r="H471" s="2">
        <v>3117</v>
      </c>
      <c r="I471" s="25">
        <f t="shared" ref="I471:BU471" si="1084">SUMIF($F$12:$F$464,"=3117",I$12:I$464)</f>
        <v>40844359</v>
      </c>
      <c r="J471" s="26">
        <f t="shared" si="1084"/>
        <v>29857775</v>
      </c>
      <c r="K471" s="26">
        <f t="shared" si="1084"/>
        <v>26110696</v>
      </c>
      <c r="L471" s="26">
        <f t="shared" si="1084"/>
        <v>3747079</v>
      </c>
      <c r="M471" s="26">
        <f t="shared" si="1084"/>
        <v>0</v>
      </c>
      <c r="N471" s="26">
        <f t="shared" si="1084"/>
        <v>0</v>
      </c>
      <c r="O471" s="26">
        <f t="shared" si="1084"/>
        <v>0</v>
      </c>
      <c r="P471" s="26">
        <f t="shared" si="1084"/>
        <v>10091927</v>
      </c>
      <c r="Q471" s="26">
        <f t="shared" si="1084"/>
        <v>298580</v>
      </c>
      <c r="R471" s="26">
        <f t="shared" si="1084"/>
        <v>596077</v>
      </c>
      <c r="S471" s="27">
        <f t="shared" si="1084"/>
        <v>50.010599999999997</v>
      </c>
      <c r="T471" s="27">
        <f t="shared" si="1084"/>
        <v>39.729399999999998</v>
      </c>
      <c r="U471" s="241">
        <f t="shared" si="1084"/>
        <v>10.2812</v>
      </c>
      <c r="V471" s="38">
        <f t="shared" si="1084"/>
        <v>-173440</v>
      </c>
      <c r="W471" s="26">
        <f t="shared" si="1084"/>
        <v>-41600</v>
      </c>
      <c r="X471" s="26">
        <f t="shared" si="1084"/>
        <v>6937203</v>
      </c>
      <c r="Y471" s="26">
        <f t="shared" si="1084"/>
        <v>0</v>
      </c>
      <c r="Z471" s="26">
        <f t="shared" si="1084"/>
        <v>0</v>
      </c>
      <c r="AA471" s="26">
        <f t="shared" si="1084"/>
        <v>0</v>
      </c>
      <c r="AB471" s="26">
        <f t="shared" si="1084"/>
        <v>112800</v>
      </c>
      <c r="AC471" s="26">
        <f t="shared" si="1084"/>
        <v>0</v>
      </c>
      <c r="AD471" s="26">
        <f t="shared" si="1084"/>
        <v>0</v>
      </c>
      <c r="AE471" s="26">
        <f t="shared" si="1084"/>
        <v>0</v>
      </c>
      <c r="AF471" s="26">
        <f t="shared" si="1084"/>
        <v>6876563</v>
      </c>
      <c r="AG471" s="26">
        <f t="shared" si="1084"/>
        <v>-41600</v>
      </c>
      <c r="AH471" s="26">
        <f t="shared" si="1084"/>
        <v>6834963</v>
      </c>
      <c r="AI471" s="26">
        <f t="shared" si="1084"/>
        <v>173440</v>
      </c>
      <c r="AJ471" s="26">
        <f t="shared" si="1084"/>
        <v>41600</v>
      </c>
      <c r="AK471" s="26">
        <f t="shared" si="1084"/>
        <v>0</v>
      </c>
      <c r="AL471" s="26">
        <f t="shared" si="1084"/>
        <v>0</v>
      </c>
      <c r="AM471" s="26">
        <f t="shared" si="1084"/>
        <v>0</v>
      </c>
      <c r="AN471" s="26">
        <f t="shared" si="1084"/>
        <v>0</v>
      </c>
      <c r="AO471" s="26">
        <f t="shared" si="1084"/>
        <v>173440</v>
      </c>
      <c r="AP471" s="26">
        <f t="shared" si="1084"/>
        <v>41600</v>
      </c>
      <c r="AQ471" s="26">
        <f t="shared" si="1084"/>
        <v>215040</v>
      </c>
      <c r="AR471" s="26">
        <f t="shared" si="1084"/>
        <v>7050003</v>
      </c>
      <c r="AS471" s="26">
        <f t="shared" si="1084"/>
        <v>0</v>
      </c>
      <c r="AT471" s="26">
        <f t="shared" si="1084"/>
        <v>7050003</v>
      </c>
      <c r="AU471" s="26">
        <f t="shared" si="1084"/>
        <v>2382900</v>
      </c>
      <c r="AV471" s="26">
        <f t="shared" si="1084"/>
        <v>68349</v>
      </c>
      <c r="AW471" s="26">
        <f t="shared" si="1084"/>
        <v>12500</v>
      </c>
      <c r="AX471" s="26">
        <f t="shared" si="1084"/>
        <v>0</v>
      </c>
      <c r="AY471" s="26">
        <f t="shared" si="1084"/>
        <v>12500</v>
      </c>
      <c r="AZ471" s="26">
        <f t="shared" si="1084"/>
        <v>9513752</v>
      </c>
      <c r="BA471" s="27">
        <f t="shared" si="1084"/>
        <v>-0.22999999999999998</v>
      </c>
      <c r="BB471" s="27">
        <f t="shared" si="1084"/>
        <v>-0.13</v>
      </c>
      <c r="BC471" s="27">
        <f t="shared" si="1084"/>
        <v>18.479999999999997</v>
      </c>
      <c r="BD471" s="27">
        <f t="shared" si="1084"/>
        <v>0.2</v>
      </c>
      <c r="BE471" s="27">
        <f t="shared" si="1084"/>
        <v>0</v>
      </c>
      <c r="BF471" s="27">
        <f t="shared" si="1084"/>
        <v>0</v>
      </c>
      <c r="BG471" s="27">
        <f t="shared" si="1084"/>
        <v>0</v>
      </c>
      <c r="BH471" s="27">
        <f t="shared" si="1084"/>
        <v>0</v>
      </c>
      <c r="BI471" s="27">
        <f t="shared" si="1084"/>
        <v>0</v>
      </c>
      <c r="BJ471" s="27">
        <f t="shared" si="1084"/>
        <v>0</v>
      </c>
      <c r="BK471" s="27">
        <f t="shared" si="1084"/>
        <v>18.45</v>
      </c>
      <c r="BL471" s="27">
        <f t="shared" si="1084"/>
        <v>-0.13</v>
      </c>
      <c r="BM471" s="430">
        <f t="shared" si="1084"/>
        <v>18.32</v>
      </c>
      <c r="BN471" s="25">
        <f t="shared" si="1084"/>
        <v>50358111</v>
      </c>
      <c r="BO471" s="26">
        <f t="shared" si="1084"/>
        <v>36692738</v>
      </c>
      <c r="BP471" s="26">
        <f t="shared" si="1084"/>
        <v>32987259</v>
      </c>
      <c r="BQ471" s="26">
        <f t="shared" si="1084"/>
        <v>3705479</v>
      </c>
      <c r="BR471" s="26">
        <f t="shared" si="1084"/>
        <v>215040</v>
      </c>
      <c r="BS471" s="26">
        <f t="shared" si="1084"/>
        <v>173440</v>
      </c>
      <c r="BT471" s="26">
        <f t="shared" si="1084"/>
        <v>41600</v>
      </c>
      <c r="BU471" s="26">
        <f t="shared" si="1084"/>
        <v>12474827</v>
      </c>
      <c r="BV471" s="26">
        <f t="shared" ref="BV471:CF471" si="1085">SUMIF($F$12:$F$464,"=3117",BV$12:BV$464)</f>
        <v>366929</v>
      </c>
      <c r="BW471" s="26">
        <f t="shared" si="1085"/>
        <v>608577</v>
      </c>
      <c r="BX471" s="27">
        <f t="shared" si="1085"/>
        <v>68.330600000000004</v>
      </c>
      <c r="BY471" s="27">
        <f t="shared" si="1085"/>
        <v>58.179399999999994</v>
      </c>
      <c r="BZ471" s="430">
        <f t="shared" si="1085"/>
        <v>10.151199999999999</v>
      </c>
      <c r="CA471" s="812">
        <f t="shared" si="1085"/>
        <v>152054</v>
      </c>
      <c r="CB471" s="807">
        <f t="shared" si="1085"/>
        <v>112800</v>
      </c>
      <c r="CC471" s="807">
        <f t="shared" si="1085"/>
        <v>0</v>
      </c>
      <c r="CD471" s="807">
        <f t="shared" si="1085"/>
        <v>38126</v>
      </c>
      <c r="CE471" s="807">
        <f t="shared" si="1085"/>
        <v>1128</v>
      </c>
      <c r="CF471" s="241">
        <f t="shared" si="1085"/>
        <v>0.2</v>
      </c>
    </row>
    <row r="472" spans="4:84" customFormat="1" ht="12.75" x14ac:dyDescent="0.2">
      <c r="D472" s="23"/>
      <c r="E472" s="24"/>
      <c r="F472" s="23"/>
      <c r="G472" s="41"/>
      <c r="H472" s="2">
        <v>3122</v>
      </c>
      <c r="I472" s="25">
        <f t="shared" ref="I472:BU472" si="1086">SUMIF($F$12:$F$464,"=3122",I$12:I$464)</f>
        <v>0</v>
      </c>
      <c r="J472" s="26">
        <f t="shared" si="1086"/>
        <v>0</v>
      </c>
      <c r="K472" s="26">
        <f t="shared" si="1086"/>
        <v>0</v>
      </c>
      <c r="L472" s="26">
        <f t="shared" si="1086"/>
        <v>0</v>
      </c>
      <c r="M472" s="26">
        <f t="shared" si="1086"/>
        <v>0</v>
      </c>
      <c r="N472" s="26">
        <f t="shared" si="1086"/>
        <v>0</v>
      </c>
      <c r="O472" s="26">
        <f t="shared" si="1086"/>
        <v>0</v>
      </c>
      <c r="P472" s="26">
        <f t="shared" si="1086"/>
        <v>0</v>
      </c>
      <c r="Q472" s="26">
        <f t="shared" si="1086"/>
        <v>0</v>
      </c>
      <c r="R472" s="26">
        <f t="shared" si="1086"/>
        <v>0</v>
      </c>
      <c r="S472" s="27">
        <f t="shared" si="1086"/>
        <v>0</v>
      </c>
      <c r="T472" s="27">
        <f t="shared" si="1086"/>
        <v>0</v>
      </c>
      <c r="U472" s="241">
        <f t="shared" si="1086"/>
        <v>0</v>
      </c>
      <c r="V472" s="38">
        <f t="shared" si="1086"/>
        <v>0</v>
      </c>
      <c r="W472" s="26">
        <f t="shared" si="1086"/>
        <v>0</v>
      </c>
      <c r="X472" s="26">
        <f t="shared" si="1086"/>
        <v>0</v>
      </c>
      <c r="Y472" s="26">
        <f t="shared" si="1086"/>
        <v>0</v>
      </c>
      <c r="Z472" s="26">
        <f t="shared" si="1086"/>
        <v>0</v>
      </c>
      <c r="AA472" s="26">
        <f t="shared" si="1086"/>
        <v>0</v>
      </c>
      <c r="AB472" s="26">
        <f t="shared" si="1086"/>
        <v>0</v>
      </c>
      <c r="AC472" s="26">
        <f t="shared" si="1086"/>
        <v>0</v>
      </c>
      <c r="AD472" s="26">
        <f t="shared" si="1086"/>
        <v>0</v>
      </c>
      <c r="AE472" s="26">
        <f t="shared" si="1086"/>
        <v>0</v>
      </c>
      <c r="AF472" s="26">
        <f t="shared" si="1086"/>
        <v>0</v>
      </c>
      <c r="AG472" s="26">
        <f t="shared" si="1086"/>
        <v>0</v>
      </c>
      <c r="AH472" s="26">
        <f t="shared" si="1086"/>
        <v>0</v>
      </c>
      <c r="AI472" s="26">
        <f t="shared" si="1086"/>
        <v>0</v>
      </c>
      <c r="AJ472" s="26">
        <f t="shared" si="1086"/>
        <v>0</v>
      </c>
      <c r="AK472" s="26">
        <f t="shared" si="1086"/>
        <v>0</v>
      </c>
      <c r="AL472" s="26">
        <f t="shared" si="1086"/>
        <v>0</v>
      </c>
      <c r="AM472" s="26">
        <f t="shared" si="1086"/>
        <v>0</v>
      </c>
      <c r="AN472" s="26">
        <f t="shared" si="1086"/>
        <v>0</v>
      </c>
      <c r="AO472" s="26">
        <f t="shared" si="1086"/>
        <v>0</v>
      </c>
      <c r="AP472" s="26">
        <f t="shared" si="1086"/>
        <v>0</v>
      </c>
      <c r="AQ472" s="26">
        <f t="shared" si="1086"/>
        <v>0</v>
      </c>
      <c r="AR472" s="26">
        <f t="shared" si="1086"/>
        <v>0</v>
      </c>
      <c r="AS472" s="26">
        <f t="shared" si="1086"/>
        <v>0</v>
      </c>
      <c r="AT472" s="26">
        <f t="shared" si="1086"/>
        <v>0</v>
      </c>
      <c r="AU472" s="26">
        <f t="shared" si="1086"/>
        <v>0</v>
      </c>
      <c r="AV472" s="26">
        <f t="shared" si="1086"/>
        <v>0</v>
      </c>
      <c r="AW472" s="26">
        <f t="shared" si="1086"/>
        <v>0</v>
      </c>
      <c r="AX472" s="26">
        <f t="shared" si="1086"/>
        <v>0</v>
      </c>
      <c r="AY472" s="26">
        <f t="shared" si="1086"/>
        <v>0</v>
      </c>
      <c r="AZ472" s="26">
        <f t="shared" si="1086"/>
        <v>0</v>
      </c>
      <c r="BA472" s="27">
        <f t="shared" si="1086"/>
        <v>0</v>
      </c>
      <c r="BB472" s="27">
        <f t="shared" si="1086"/>
        <v>0</v>
      </c>
      <c r="BC472" s="27">
        <f t="shared" si="1086"/>
        <v>0</v>
      </c>
      <c r="BD472" s="27">
        <f t="shared" si="1086"/>
        <v>0</v>
      </c>
      <c r="BE472" s="27">
        <f t="shared" si="1086"/>
        <v>0</v>
      </c>
      <c r="BF472" s="27">
        <f t="shared" si="1086"/>
        <v>0</v>
      </c>
      <c r="BG472" s="27">
        <f t="shared" si="1086"/>
        <v>0</v>
      </c>
      <c r="BH472" s="27">
        <f t="shared" si="1086"/>
        <v>0</v>
      </c>
      <c r="BI472" s="27">
        <f t="shared" si="1086"/>
        <v>0</v>
      </c>
      <c r="BJ472" s="27">
        <f t="shared" si="1086"/>
        <v>0</v>
      </c>
      <c r="BK472" s="27">
        <f t="shared" si="1086"/>
        <v>0</v>
      </c>
      <c r="BL472" s="27">
        <f t="shared" si="1086"/>
        <v>0</v>
      </c>
      <c r="BM472" s="430">
        <f t="shared" si="1086"/>
        <v>0</v>
      </c>
      <c r="BN472" s="25">
        <f t="shared" si="1086"/>
        <v>0</v>
      </c>
      <c r="BO472" s="26">
        <f t="shared" si="1086"/>
        <v>0</v>
      </c>
      <c r="BP472" s="26">
        <f t="shared" si="1086"/>
        <v>0</v>
      </c>
      <c r="BQ472" s="26">
        <f t="shared" si="1086"/>
        <v>0</v>
      </c>
      <c r="BR472" s="26">
        <f t="shared" si="1086"/>
        <v>0</v>
      </c>
      <c r="BS472" s="26">
        <f t="shared" si="1086"/>
        <v>0</v>
      </c>
      <c r="BT472" s="26">
        <f t="shared" si="1086"/>
        <v>0</v>
      </c>
      <c r="BU472" s="26">
        <f t="shared" si="1086"/>
        <v>0</v>
      </c>
      <c r="BV472" s="26">
        <f t="shared" ref="BV472:CF472" si="1087">SUMIF($F$12:$F$464,"=3122",BV$12:BV$464)</f>
        <v>0</v>
      </c>
      <c r="BW472" s="26">
        <f t="shared" si="1087"/>
        <v>0</v>
      </c>
      <c r="BX472" s="27">
        <f t="shared" si="1087"/>
        <v>0</v>
      </c>
      <c r="BY472" s="27">
        <f t="shared" si="1087"/>
        <v>0</v>
      </c>
      <c r="BZ472" s="430">
        <f t="shared" si="1087"/>
        <v>0</v>
      </c>
      <c r="CA472" s="812">
        <f t="shared" si="1087"/>
        <v>0</v>
      </c>
      <c r="CB472" s="807">
        <f t="shared" si="1087"/>
        <v>0</v>
      </c>
      <c r="CC472" s="807">
        <f t="shared" si="1087"/>
        <v>0</v>
      </c>
      <c r="CD472" s="807">
        <f t="shared" si="1087"/>
        <v>0</v>
      </c>
      <c r="CE472" s="807">
        <f t="shared" si="1087"/>
        <v>0</v>
      </c>
      <c r="CF472" s="241">
        <f t="shared" si="1087"/>
        <v>0</v>
      </c>
    </row>
    <row r="473" spans="4:84" customFormat="1" ht="12.75" x14ac:dyDescent="0.2">
      <c r="D473" s="23"/>
      <c r="E473" s="24"/>
      <c r="F473" s="23"/>
      <c r="G473" s="41"/>
      <c r="H473" s="2">
        <v>3124</v>
      </c>
      <c r="I473" s="25">
        <f t="shared" ref="I473:BU473" si="1088">SUMIF($F$12:$F$464,"=3124",I$12:I$464)</f>
        <v>0</v>
      </c>
      <c r="J473" s="26">
        <f t="shared" si="1088"/>
        <v>0</v>
      </c>
      <c r="K473" s="26">
        <f t="shared" si="1088"/>
        <v>0</v>
      </c>
      <c r="L473" s="26">
        <f t="shared" si="1088"/>
        <v>0</v>
      </c>
      <c r="M473" s="26">
        <f t="shared" si="1088"/>
        <v>0</v>
      </c>
      <c r="N473" s="26">
        <f t="shared" si="1088"/>
        <v>0</v>
      </c>
      <c r="O473" s="26">
        <f t="shared" si="1088"/>
        <v>0</v>
      </c>
      <c r="P473" s="26">
        <f t="shared" si="1088"/>
        <v>0</v>
      </c>
      <c r="Q473" s="26">
        <f t="shared" si="1088"/>
        <v>0</v>
      </c>
      <c r="R473" s="26">
        <f t="shared" si="1088"/>
        <v>0</v>
      </c>
      <c r="S473" s="27">
        <f t="shared" si="1088"/>
        <v>0</v>
      </c>
      <c r="T473" s="27">
        <f t="shared" si="1088"/>
        <v>0</v>
      </c>
      <c r="U473" s="241">
        <f t="shared" si="1088"/>
        <v>0</v>
      </c>
      <c r="V473" s="38">
        <f t="shared" si="1088"/>
        <v>0</v>
      </c>
      <c r="W473" s="26">
        <f t="shared" si="1088"/>
        <v>0</v>
      </c>
      <c r="X473" s="26">
        <f t="shared" si="1088"/>
        <v>0</v>
      </c>
      <c r="Y473" s="26">
        <f t="shared" si="1088"/>
        <v>0</v>
      </c>
      <c r="Z473" s="26">
        <f t="shared" si="1088"/>
        <v>0</v>
      </c>
      <c r="AA473" s="26">
        <f t="shared" si="1088"/>
        <v>0</v>
      </c>
      <c r="AB473" s="26">
        <f t="shared" si="1088"/>
        <v>0</v>
      </c>
      <c r="AC473" s="26">
        <f t="shared" si="1088"/>
        <v>0</v>
      </c>
      <c r="AD473" s="26">
        <f t="shared" si="1088"/>
        <v>0</v>
      </c>
      <c r="AE473" s="26">
        <f t="shared" si="1088"/>
        <v>0</v>
      </c>
      <c r="AF473" s="26">
        <f t="shared" si="1088"/>
        <v>0</v>
      </c>
      <c r="AG473" s="26">
        <f t="shared" si="1088"/>
        <v>0</v>
      </c>
      <c r="AH473" s="26">
        <f t="shared" si="1088"/>
        <v>0</v>
      </c>
      <c r="AI473" s="26">
        <f t="shared" si="1088"/>
        <v>0</v>
      </c>
      <c r="AJ473" s="26">
        <f t="shared" si="1088"/>
        <v>0</v>
      </c>
      <c r="AK473" s="26">
        <f t="shared" si="1088"/>
        <v>0</v>
      </c>
      <c r="AL473" s="26">
        <f t="shared" si="1088"/>
        <v>0</v>
      </c>
      <c r="AM473" s="26">
        <f t="shared" si="1088"/>
        <v>0</v>
      </c>
      <c r="AN473" s="26">
        <f t="shared" si="1088"/>
        <v>0</v>
      </c>
      <c r="AO473" s="26">
        <f t="shared" si="1088"/>
        <v>0</v>
      </c>
      <c r="AP473" s="26">
        <f t="shared" si="1088"/>
        <v>0</v>
      </c>
      <c r="AQ473" s="26">
        <f t="shared" si="1088"/>
        <v>0</v>
      </c>
      <c r="AR473" s="26">
        <f t="shared" si="1088"/>
        <v>0</v>
      </c>
      <c r="AS473" s="26">
        <f t="shared" si="1088"/>
        <v>0</v>
      </c>
      <c r="AT473" s="26">
        <f t="shared" si="1088"/>
        <v>0</v>
      </c>
      <c r="AU473" s="26">
        <f t="shared" si="1088"/>
        <v>0</v>
      </c>
      <c r="AV473" s="26">
        <f t="shared" si="1088"/>
        <v>0</v>
      </c>
      <c r="AW473" s="26">
        <f t="shared" si="1088"/>
        <v>0</v>
      </c>
      <c r="AX473" s="26">
        <f t="shared" si="1088"/>
        <v>0</v>
      </c>
      <c r="AY473" s="26">
        <f t="shared" si="1088"/>
        <v>0</v>
      </c>
      <c r="AZ473" s="26">
        <f t="shared" si="1088"/>
        <v>0</v>
      </c>
      <c r="BA473" s="27">
        <f t="shared" si="1088"/>
        <v>0</v>
      </c>
      <c r="BB473" s="27">
        <f t="shared" si="1088"/>
        <v>0</v>
      </c>
      <c r="BC473" s="27">
        <f t="shared" si="1088"/>
        <v>0</v>
      </c>
      <c r="BD473" s="27">
        <f t="shared" si="1088"/>
        <v>0</v>
      </c>
      <c r="BE473" s="27">
        <f t="shared" si="1088"/>
        <v>0</v>
      </c>
      <c r="BF473" s="27">
        <f t="shared" si="1088"/>
        <v>0</v>
      </c>
      <c r="BG473" s="27">
        <f t="shared" si="1088"/>
        <v>0</v>
      </c>
      <c r="BH473" s="27">
        <f t="shared" si="1088"/>
        <v>0</v>
      </c>
      <c r="BI473" s="27">
        <f t="shared" si="1088"/>
        <v>0</v>
      </c>
      <c r="BJ473" s="27">
        <f t="shared" si="1088"/>
        <v>0</v>
      </c>
      <c r="BK473" s="27">
        <f t="shared" si="1088"/>
        <v>0</v>
      </c>
      <c r="BL473" s="27">
        <f t="shared" si="1088"/>
        <v>0</v>
      </c>
      <c r="BM473" s="430">
        <f t="shared" si="1088"/>
        <v>0</v>
      </c>
      <c r="BN473" s="25">
        <f t="shared" si="1088"/>
        <v>0</v>
      </c>
      <c r="BO473" s="26">
        <f t="shared" si="1088"/>
        <v>0</v>
      </c>
      <c r="BP473" s="26">
        <f t="shared" si="1088"/>
        <v>0</v>
      </c>
      <c r="BQ473" s="26">
        <f t="shared" si="1088"/>
        <v>0</v>
      </c>
      <c r="BR473" s="26">
        <f t="shared" si="1088"/>
        <v>0</v>
      </c>
      <c r="BS473" s="26">
        <f t="shared" si="1088"/>
        <v>0</v>
      </c>
      <c r="BT473" s="26">
        <f t="shared" si="1088"/>
        <v>0</v>
      </c>
      <c r="BU473" s="26">
        <f t="shared" si="1088"/>
        <v>0</v>
      </c>
      <c r="BV473" s="26">
        <f t="shared" ref="BV473:CF473" si="1089">SUMIF($F$12:$F$464,"=3124",BV$12:BV$464)</f>
        <v>0</v>
      </c>
      <c r="BW473" s="26">
        <f t="shared" si="1089"/>
        <v>0</v>
      </c>
      <c r="BX473" s="27">
        <f t="shared" si="1089"/>
        <v>0</v>
      </c>
      <c r="BY473" s="27">
        <f t="shared" si="1089"/>
        <v>0</v>
      </c>
      <c r="BZ473" s="430">
        <f t="shared" si="1089"/>
        <v>0</v>
      </c>
      <c r="CA473" s="812">
        <f t="shared" si="1089"/>
        <v>0</v>
      </c>
      <c r="CB473" s="807">
        <f t="shared" si="1089"/>
        <v>0</v>
      </c>
      <c r="CC473" s="807">
        <f t="shared" si="1089"/>
        <v>0</v>
      </c>
      <c r="CD473" s="807">
        <f t="shared" si="1089"/>
        <v>0</v>
      </c>
      <c r="CE473" s="807">
        <f t="shared" si="1089"/>
        <v>0</v>
      </c>
      <c r="CF473" s="241">
        <f t="shared" si="1089"/>
        <v>0</v>
      </c>
    </row>
    <row r="474" spans="4:84" customFormat="1" ht="12.75" x14ac:dyDescent="0.2">
      <c r="D474" s="23"/>
      <c r="E474" s="24"/>
      <c r="F474" s="23"/>
      <c r="G474" s="41"/>
      <c r="H474" s="2">
        <v>3141</v>
      </c>
      <c r="I474" s="25">
        <f t="shared" ref="I474:BU474" si="1090">SUMIF($F$12:$F$464,"=3141",I$12:I$464)</f>
        <v>80269643</v>
      </c>
      <c r="J474" s="26">
        <f t="shared" si="1090"/>
        <v>59161619</v>
      </c>
      <c r="K474" s="26">
        <f t="shared" si="1090"/>
        <v>0</v>
      </c>
      <c r="L474" s="26">
        <f t="shared" si="1090"/>
        <v>59161619</v>
      </c>
      <c r="M474" s="26">
        <f t="shared" si="1090"/>
        <v>0</v>
      </c>
      <c r="N474" s="26">
        <f t="shared" si="1090"/>
        <v>0</v>
      </c>
      <c r="O474" s="26">
        <f t="shared" si="1090"/>
        <v>0</v>
      </c>
      <c r="P474" s="26">
        <f t="shared" si="1090"/>
        <v>19996628</v>
      </c>
      <c r="Q474" s="26">
        <f t="shared" si="1090"/>
        <v>591617</v>
      </c>
      <c r="R474" s="26">
        <f t="shared" si="1090"/>
        <v>519779</v>
      </c>
      <c r="S474" s="27">
        <f t="shared" si="1090"/>
        <v>177.40679999999998</v>
      </c>
      <c r="T474" s="27">
        <f t="shared" si="1090"/>
        <v>0</v>
      </c>
      <c r="U474" s="241">
        <f t="shared" si="1090"/>
        <v>177.40679999999998</v>
      </c>
      <c r="V474" s="38">
        <f t="shared" si="1090"/>
        <v>0</v>
      </c>
      <c r="W474" s="26">
        <f t="shared" si="1090"/>
        <v>-289664</v>
      </c>
      <c r="X474" s="26">
        <f t="shared" si="1090"/>
        <v>0</v>
      </c>
      <c r="Y474" s="26">
        <f t="shared" si="1090"/>
        <v>0</v>
      </c>
      <c r="Z474" s="26">
        <f t="shared" si="1090"/>
        <v>0</v>
      </c>
      <c r="AA474" s="26">
        <f t="shared" si="1090"/>
        <v>0</v>
      </c>
      <c r="AB474" s="26">
        <f t="shared" si="1090"/>
        <v>0</v>
      </c>
      <c r="AC474" s="26">
        <f t="shared" si="1090"/>
        <v>0</v>
      </c>
      <c r="AD474" s="26">
        <f t="shared" si="1090"/>
        <v>0</v>
      </c>
      <c r="AE474" s="26">
        <f t="shared" si="1090"/>
        <v>264561</v>
      </c>
      <c r="AF474" s="26">
        <f t="shared" si="1090"/>
        <v>0</v>
      </c>
      <c r="AG474" s="26">
        <f t="shared" si="1090"/>
        <v>-25103</v>
      </c>
      <c r="AH474" s="26">
        <f t="shared" si="1090"/>
        <v>-25103</v>
      </c>
      <c r="AI474" s="26">
        <f t="shared" si="1090"/>
        <v>0</v>
      </c>
      <c r="AJ474" s="26">
        <f t="shared" si="1090"/>
        <v>289664</v>
      </c>
      <c r="AK474" s="26">
        <f t="shared" si="1090"/>
        <v>0</v>
      </c>
      <c r="AL474" s="26">
        <f t="shared" si="1090"/>
        <v>0</v>
      </c>
      <c r="AM474" s="26">
        <f t="shared" si="1090"/>
        <v>0</v>
      </c>
      <c r="AN474" s="26">
        <f t="shared" si="1090"/>
        <v>32000</v>
      </c>
      <c r="AO474" s="26">
        <f t="shared" si="1090"/>
        <v>0</v>
      </c>
      <c r="AP474" s="26">
        <f t="shared" si="1090"/>
        <v>321664</v>
      </c>
      <c r="AQ474" s="26">
        <f t="shared" si="1090"/>
        <v>321664</v>
      </c>
      <c r="AR474" s="26">
        <f t="shared" si="1090"/>
        <v>0</v>
      </c>
      <c r="AS474" s="26">
        <f t="shared" si="1090"/>
        <v>296561</v>
      </c>
      <c r="AT474" s="26">
        <f t="shared" si="1090"/>
        <v>296561</v>
      </c>
      <c r="AU474" s="26">
        <f t="shared" si="1090"/>
        <v>89422</v>
      </c>
      <c r="AV474" s="26">
        <f t="shared" si="1090"/>
        <v>-250</v>
      </c>
      <c r="AW474" s="26">
        <f t="shared" si="1090"/>
        <v>0</v>
      </c>
      <c r="AX474" s="26">
        <f t="shared" si="1090"/>
        <v>0</v>
      </c>
      <c r="AY474" s="26">
        <f t="shared" si="1090"/>
        <v>0</v>
      </c>
      <c r="AZ474" s="26">
        <f t="shared" si="1090"/>
        <v>385733</v>
      </c>
      <c r="BA474" s="27">
        <f t="shared" si="1090"/>
        <v>0</v>
      </c>
      <c r="BB474" s="27">
        <f t="shared" si="1090"/>
        <v>-0.35000000000000003</v>
      </c>
      <c r="BC474" s="27">
        <f t="shared" si="1090"/>
        <v>0</v>
      </c>
      <c r="BD474" s="27">
        <f t="shared" si="1090"/>
        <v>0</v>
      </c>
      <c r="BE474" s="27">
        <f t="shared" si="1090"/>
        <v>0</v>
      </c>
      <c r="BF474" s="27">
        <f t="shared" si="1090"/>
        <v>0</v>
      </c>
      <c r="BG474" s="27">
        <f t="shared" si="1090"/>
        <v>0</v>
      </c>
      <c r="BH474" s="27">
        <f t="shared" si="1090"/>
        <v>0</v>
      </c>
      <c r="BI474" s="27">
        <f t="shared" si="1090"/>
        <v>0</v>
      </c>
      <c r="BJ474" s="27">
        <f t="shared" si="1090"/>
        <v>0.79</v>
      </c>
      <c r="BK474" s="27">
        <f t="shared" si="1090"/>
        <v>0</v>
      </c>
      <c r="BL474" s="27">
        <f t="shared" si="1090"/>
        <v>0.44</v>
      </c>
      <c r="BM474" s="430">
        <f t="shared" si="1090"/>
        <v>0.44</v>
      </c>
      <c r="BN474" s="25">
        <f t="shared" si="1090"/>
        <v>80655376</v>
      </c>
      <c r="BO474" s="26">
        <f t="shared" si="1090"/>
        <v>59136516</v>
      </c>
      <c r="BP474" s="26">
        <f t="shared" si="1090"/>
        <v>0</v>
      </c>
      <c r="BQ474" s="26">
        <f t="shared" si="1090"/>
        <v>59136516</v>
      </c>
      <c r="BR474" s="26">
        <f t="shared" si="1090"/>
        <v>321664</v>
      </c>
      <c r="BS474" s="26">
        <f t="shared" si="1090"/>
        <v>0</v>
      </c>
      <c r="BT474" s="26">
        <f t="shared" si="1090"/>
        <v>321664</v>
      </c>
      <c r="BU474" s="26">
        <f t="shared" si="1090"/>
        <v>20086050</v>
      </c>
      <c r="BV474" s="26">
        <f t="shared" ref="BV474:CF474" si="1091">SUMIF($F$12:$F$464,"=3141",BV$12:BV$464)</f>
        <v>591367</v>
      </c>
      <c r="BW474" s="26">
        <f t="shared" si="1091"/>
        <v>519779</v>
      </c>
      <c r="BX474" s="27">
        <f t="shared" si="1091"/>
        <v>177.8468</v>
      </c>
      <c r="BY474" s="27">
        <f t="shared" si="1091"/>
        <v>0</v>
      </c>
      <c r="BZ474" s="430">
        <f t="shared" si="1091"/>
        <v>177.8468</v>
      </c>
      <c r="CA474" s="812">
        <f t="shared" si="1091"/>
        <v>0</v>
      </c>
      <c r="CB474" s="807">
        <f t="shared" si="1091"/>
        <v>0</v>
      </c>
      <c r="CC474" s="807">
        <f t="shared" si="1091"/>
        <v>0</v>
      </c>
      <c r="CD474" s="807">
        <f t="shared" si="1091"/>
        <v>0</v>
      </c>
      <c r="CE474" s="807">
        <f t="shared" si="1091"/>
        <v>0</v>
      </c>
      <c r="CF474" s="241">
        <f t="shared" si="1091"/>
        <v>0</v>
      </c>
    </row>
    <row r="475" spans="4:84" customFormat="1" ht="12.75" x14ac:dyDescent="0.2">
      <c r="D475" s="23"/>
      <c r="E475" s="24"/>
      <c r="F475" s="23"/>
      <c r="G475" s="41"/>
      <c r="H475" s="2">
        <v>3143</v>
      </c>
      <c r="I475" s="25">
        <f t="shared" ref="I475:BU475" si="1092">SUMIF($F$12:$F$464,"=3143",I$12:I$464)</f>
        <v>113099877</v>
      </c>
      <c r="J475" s="26">
        <f t="shared" si="1092"/>
        <v>83835089</v>
      </c>
      <c r="K475" s="26">
        <f t="shared" si="1092"/>
        <v>81949309</v>
      </c>
      <c r="L475" s="26">
        <f t="shared" si="1092"/>
        <v>1885780</v>
      </c>
      <c r="M475" s="26">
        <f t="shared" si="1092"/>
        <v>0</v>
      </c>
      <c r="N475" s="26">
        <f t="shared" si="1092"/>
        <v>0</v>
      </c>
      <c r="O475" s="26">
        <f t="shared" si="1092"/>
        <v>0</v>
      </c>
      <c r="P475" s="26">
        <f t="shared" si="1092"/>
        <v>28336259</v>
      </c>
      <c r="Q475" s="26">
        <f t="shared" si="1092"/>
        <v>838349</v>
      </c>
      <c r="R475" s="26">
        <f t="shared" si="1092"/>
        <v>90180</v>
      </c>
      <c r="S475" s="27">
        <f t="shared" si="1092"/>
        <v>169.68720000000005</v>
      </c>
      <c r="T475" s="27">
        <f t="shared" si="1092"/>
        <v>162.53820000000005</v>
      </c>
      <c r="U475" s="241">
        <f t="shared" si="1092"/>
        <v>7.1489999999999974</v>
      </c>
      <c r="V475" s="38">
        <f t="shared" si="1092"/>
        <v>-104640</v>
      </c>
      <c r="W475" s="26">
        <f t="shared" si="1092"/>
        <v>-14080</v>
      </c>
      <c r="X475" s="26">
        <f t="shared" si="1092"/>
        <v>0</v>
      </c>
      <c r="Y475" s="26">
        <f t="shared" si="1092"/>
        <v>-417117</v>
      </c>
      <c r="Z475" s="26">
        <f t="shared" si="1092"/>
        <v>0</v>
      </c>
      <c r="AA475" s="26">
        <f t="shared" si="1092"/>
        <v>0</v>
      </c>
      <c r="AB475" s="26">
        <f t="shared" si="1092"/>
        <v>0</v>
      </c>
      <c r="AC475" s="26">
        <f t="shared" si="1092"/>
        <v>0</v>
      </c>
      <c r="AD475" s="26">
        <f t="shared" si="1092"/>
        <v>0</v>
      </c>
      <c r="AE475" s="26">
        <f t="shared" si="1092"/>
        <v>0</v>
      </c>
      <c r="AF475" s="26">
        <f t="shared" si="1092"/>
        <v>-521757</v>
      </c>
      <c r="AG475" s="26">
        <f t="shared" si="1092"/>
        <v>-14080</v>
      </c>
      <c r="AH475" s="26">
        <f t="shared" si="1092"/>
        <v>-535837</v>
      </c>
      <c r="AI475" s="26">
        <f t="shared" si="1092"/>
        <v>104640</v>
      </c>
      <c r="AJ475" s="26">
        <f t="shared" si="1092"/>
        <v>14080</v>
      </c>
      <c r="AK475" s="26">
        <f t="shared" si="1092"/>
        <v>0</v>
      </c>
      <c r="AL475" s="26">
        <f t="shared" si="1092"/>
        <v>0</v>
      </c>
      <c r="AM475" s="26">
        <f t="shared" si="1092"/>
        <v>72209</v>
      </c>
      <c r="AN475" s="26">
        <f t="shared" si="1092"/>
        <v>0</v>
      </c>
      <c r="AO475" s="26">
        <f t="shared" si="1092"/>
        <v>176849</v>
      </c>
      <c r="AP475" s="26">
        <f t="shared" si="1092"/>
        <v>14080</v>
      </c>
      <c r="AQ475" s="26">
        <f t="shared" si="1092"/>
        <v>190929</v>
      </c>
      <c r="AR475" s="26">
        <f t="shared" si="1092"/>
        <v>-344908</v>
      </c>
      <c r="AS475" s="26">
        <f t="shared" si="1092"/>
        <v>0</v>
      </c>
      <c r="AT475" s="26">
        <f t="shared" si="1092"/>
        <v>-344908</v>
      </c>
      <c r="AU475" s="26">
        <f t="shared" si="1092"/>
        <v>-140986</v>
      </c>
      <c r="AV475" s="26">
        <f t="shared" si="1092"/>
        <v>-5358</v>
      </c>
      <c r="AW475" s="26">
        <f t="shared" si="1092"/>
        <v>0</v>
      </c>
      <c r="AX475" s="26">
        <f t="shared" si="1092"/>
        <v>0</v>
      </c>
      <c r="AY475" s="26">
        <f t="shared" si="1092"/>
        <v>0</v>
      </c>
      <c r="AZ475" s="26">
        <f t="shared" si="1092"/>
        <v>-491252</v>
      </c>
      <c r="BA475" s="27">
        <f t="shared" si="1092"/>
        <v>-0.04</v>
      </c>
      <c r="BB475" s="27">
        <f t="shared" si="1092"/>
        <v>0</v>
      </c>
      <c r="BC475" s="27">
        <f t="shared" si="1092"/>
        <v>0</v>
      </c>
      <c r="BD475" s="27">
        <f t="shared" si="1092"/>
        <v>0</v>
      </c>
      <c r="BE475" s="27">
        <f t="shared" si="1092"/>
        <v>0</v>
      </c>
      <c r="BF475" s="27">
        <f t="shared" si="1092"/>
        <v>-0.9</v>
      </c>
      <c r="BG475" s="27">
        <f t="shared" si="1092"/>
        <v>0</v>
      </c>
      <c r="BH475" s="27">
        <f t="shared" si="1092"/>
        <v>0</v>
      </c>
      <c r="BI475" s="27">
        <f t="shared" si="1092"/>
        <v>0</v>
      </c>
      <c r="BJ475" s="27">
        <f t="shared" si="1092"/>
        <v>0</v>
      </c>
      <c r="BK475" s="27">
        <f t="shared" si="1092"/>
        <v>-0.94000000000000006</v>
      </c>
      <c r="BL475" s="27">
        <f t="shared" si="1092"/>
        <v>0</v>
      </c>
      <c r="BM475" s="430">
        <f t="shared" si="1092"/>
        <v>-0.94000000000000006</v>
      </c>
      <c r="BN475" s="25">
        <f t="shared" si="1092"/>
        <v>112608625</v>
      </c>
      <c r="BO475" s="26">
        <f t="shared" si="1092"/>
        <v>83299252</v>
      </c>
      <c r="BP475" s="26">
        <f t="shared" si="1092"/>
        <v>81427552</v>
      </c>
      <c r="BQ475" s="26">
        <f t="shared" si="1092"/>
        <v>1871700</v>
      </c>
      <c r="BR475" s="26">
        <f t="shared" si="1092"/>
        <v>190929</v>
      </c>
      <c r="BS475" s="26">
        <f t="shared" si="1092"/>
        <v>176849</v>
      </c>
      <c r="BT475" s="26">
        <f t="shared" si="1092"/>
        <v>14080</v>
      </c>
      <c r="BU475" s="26">
        <f t="shared" si="1092"/>
        <v>28195273</v>
      </c>
      <c r="BV475" s="26">
        <f t="shared" ref="BV475:CF475" si="1093">SUMIF($F$12:$F$464,"=3143",BV$12:BV$464)</f>
        <v>832991</v>
      </c>
      <c r="BW475" s="26">
        <f t="shared" si="1093"/>
        <v>90180</v>
      </c>
      <c r="BX475" s="27">
        <f t="shared" si="1093"/>
        <v>168.74720000000002</v>
      </c>
      <c r="BY475" s="27">
        <f t="shared" si="1093"/>
        <v>161.59820000000002</v>
      </c>
      <c r="BZ475" s="430">
        <f t="shared" si="1093"/>
        <v>7.1489999999999974</v>
      </c>
      <c r="CA475" s="812">
        <f t="shared" si="1093"/>
        <v>0</v>
      </c>
      <c r="CB475" s="807">
        <f t="shared" si="1093"/>
        <v>0</v>
      </c>
      <c r="CC475" s="807">
        <f t="shared" si="1093"/>
        <v>0</v>
      </c>
      <c r="CD475" s="807">
        <f t="shared" si="1093"/>
        <v>0</v>
      </c>
      <c r="CE475" s="807">
        <f t="shared" si="1093"/>
        <v>0</v>
      </c>
      <c r="CF475" s="241">
        <f t="shared" si="1093"/>
        <v>0</v>
      </c>
    </row>
    <row r="476" spans="4:84" customFormat="1" ht="12.75" x14ac:dyDescent="0.2">
      <c r="D476" s="23"/>
      <c r="E476" s="24"/>
      <c r="F476" s="23"/>
      <c r="G476" s="41"/>
      <c r="H476" s="2">
        <v>3231</v>
      </c>
      <c r="I476" s="25">
        <f t="shared" ref="I476:BU476" si="1094">SUMIF($F$12:$F$464,"=3231",I$12:I$464)</f>
        <v>88999784</v>
      </c>
      <c r="J476" s="26">
        <f t="shared" si="1094"/>
        <v>65933121</v>
      </c>
      <c r="K476" s="26">
        <f t="shared" si="1094"/>
        <v>63542786</v>
      </c>
      <c r="L476" s="26">
        <f t="shared" si="1094"/>
        <v>2390335</v>
      </c>
      <c r="M476" s="26">
        <f t="shared" si="1094"/>
        <v>0</v>
      </c>
      <c r="N476" s="26">
        <f t="shared" si="1094"/>
        <v>0</v>
      </c>
      <c r="O476" s="26">
        <f t="shared" si="1094"/>
        <v>0</v>
      </c>
      <c r="P476" s="26">
        <f t="shared" si="1094"/>
        <v>22285394</v>
      </c>
      <c r="Q476" s="26">
        <f t="shared" si="1094"/>
        <v>659331</v>
      </c>
      <c r="R476" s="26">
        <f t="shared" si="1094"/>
        <v>121938</v>
      </c>
      <c r="S476" s="27">
        <f t="shared" si="1094"/>
        <v>107.02000000000001</v>
      </c>
      <c r="T476" s="27">
        <f t="shared" si="1094"/>
        <v>100.31</v>
      </c>
      <c r="U476" s="241">
        <f t="shared" si="1094"/>
        <v>6.7100000000000009</v>
      </c>
      <c r="V476" s="38">
        <f t="shared" si="1094"/>
        <v>-83200</v>
      </c>
      <c r="W476" s="26">
        <f t="shared" si="1094"/>
        <v>0</v>
      </c>
      <c r="X476" s="26">
        <f t="shared" si="1094"/>
        <v>0</v>
      </c>
      <c r="Y476" s="26">
        <f t="shared" si="1094"/>
        <v>0</v>
      </c>
      <c r="Z476" s="26">
        <f t="shared" si="1094"/>
        <v>0</v>
      </c>
      <c r="AA476" s="26">
        <f t="shared" si="1094"/>
        <v>0</v>
      </c>
      <c r="AB476" s="26">
        <f t="shared" si="1094"/>
        <v>0</v>
      </c>
      <c r="AC476" s="26">
        <f t="shared" si="1094"/>
        <v>0</v>
      </c>
      <c r="AD476" s="26">
        <f t="shared" si="1094"/>
        <v>0</v>
      </c>
      <c r="AE476" s="26">
        <f t="shared" si="1094"/>
        <v>0</v>
      </c>
      <c r="AF476" s="26">
        <f t="shared" si="1094"/>
        <v>-83200</v>
      </c>
      <c r="AG476" s="26">
        <f t="shared" si="1094"/>
        <v>0</v>
      </c>
      <c r="AH476" s="26">
        <f t="shared" si="1094"/>
        <v>-83200</v>
      </c>
      <c r="AI476" s="26">
        <f t="shared" si="1094"/>
        <v>83200</v>
      </c>
      <c r="AJ476" s="26">
        <f t="shared" si="1094"/>
        <v>0</v>
      </c>
      <c r="AK476" s="26">
        <f t="shared" si="1094"/>
        <v>0</v>
      </c>
      <c r="AL476" s="26">
        <f t="shared" si="1094"/>
        <v>0</v>
      </c>
      <c r="AM476" s="26">
        <f t="shared" si="1094"/>
        <v>0</v>
      </c>
      <c r="AN476" s="26">
        <f t="shared" si="1094"/>
        <v>0</v>
      </c>
      <c r="AO476" s="26">
        <f t="shared" si="1094"/>
        <v>83200</v>
      </c>
      <c r="AP476" s="26">
        <f t="shared" si="1094"/>
        <v>0</v>
      </c>
      <c r="AQ476" s="26">
        <f t="shared" si="1094"/>
        <v>83200</v>
      </c>
      <c r="AR476" s="26">
        <f t="shared" si="1094"/>
        <v>0</v>
      </c>
      <c r="AS476" s="26">
        <f t="shared" si="1094"/>
        <v>0</v>
      </c>
      <c r="AT476" s="26">
        <f t="shared" si="1094"/>
        <v>0</v>
      </c>
      <c r="AU476" s="26">
        <f t="shared" si="1094"/>
        <v>0</v>
      </c>
      <c r="AV476" s="26">
        <f t="shared" si="1094"/>
        <v>-832</v>
      </c>
      <c r="AW476" s="26">
        <f t="shared" si="1094"/>
        <v>0</v>
      </c>
      <c r="AX476" s="26">
        <f t="shared" si="1094"/>
        <v>0</v>
      </c>
      <c r="AY476" s="26">
        <f t="shared" si="1094"/>
        <v>0</v>
      </c>
      <c r="AZ476" s="26">
        <f t="shared" si="1094"/>
        <v>-832</v>
      </c>
      <c r="BA476" s="27">
        <f t="shared" si="1094"/>
        <v>-7.0000000000000007E-2</v>
      </c>
      <c r="BB476" s="27">
        <f t="shared" si="1094"/>
        <v>0</v>
      </c>
      <c r="BC476" s="27">
        <f t="shared" si="1094"/>
        <v>0</v>
      </c>
      <c r="BD476" s="27">
        <f t="shared" si="1094"/>
        <v>0</v>
      </c>
      <c r="BE476" s="27">
        <f t="shared" si="1094"/>
        <v>0</v>
      </c>
      <c r="BF476" s="27">
        <f t="shared" si="1094"/>
        <v>0</v>
      </c>
      <c r="BG476" s="27">
        <f t="shared" si="1094"/>
        <v>0</v>
      </c>
      <c r="BH476" s="27">
        <f t="shared" si="1094"/>
        <v>0</v>
      </c>
      <c r="BI476" s="27">
        <f t="shared" si="1094"/>
        <v>0</v>
      </c>
      <c r="BJ476" s="27">
        <f t="shared" si="1094"/>
        <v>0</v>
      </c>
      <c r="BK476" s="27">
        <f t="shared" si="1094"/>
        <v>-7.0000000000000007E-2</v>
      </c>
      <c r="BL476" s="27">
        <f t="shared" si="1094"/>
        <v>0</v>
      </c>
      <c r="BM476" s="430">
        <f t="shared" si="1094"/>
        <v>-7.0000000000000007E-2</v>
      </c>
      <c r="BN476" s="25">
        <f t="shared" si="1094"/>
        <v>88998952</v>
      </c>
      <c r="BO476" s="26">
        <f t="shared" si="1094"/>
        <v>65849921</v>
      </c>
      <c r="BP476" s="26">
        <f t="shared" si="1094"/>
        <v>63459586</v>
      </c>
      <c r="BQ476" s="26">
        <f t="shared" si="1094"/>
        <v>2390335</v>
      </c>
      <c r="BR476" s="26">
        <f t="shared" si="1094"/>
        <v>83200</v>
      </c>
      <c r="BS476" s="26">
        <f t="shared" si="1094"/>
        <v>83200</v>
      </c>
      <c r="BT476" s="26">
        <f t="shared" si="1094"/>
        <v>0</v>
      </c>
      <c r="BU476" s="26">
        <f t="shared" si="1094"/>
        <v>22285394</v>
      </c>
      <c r="BV476" s="26">
        <f t="shared" ref="BV476:CF476" si="1095">SUMIF($F$12:$F$464,"=3231",BV$12:BV$464)</f>
        <v>658499</v>
      </c>
      <c r="BW476" s="26">
        <f t="shared" si="1095"/>
        <v>121938</v>
      </c>
      <c r="BX476" s="27">
        <f t="shared" si="1095"/>
        <v>106.95000000000002</v>
      </c>
      <c r="BY476" s="27">
        <f t="shared" si="1095"/>
        <v>100.24</v>
      </c>
      <c r="BZ476" s="430">
        <f t="shared" si="1095"/>
        <v>6.7100000000000009</v>
      </c>
      <c r="CA476" s="812">
        <f t="shared" si="1095"/>
        <v>0</v>
      </c>
      <c r="CB476" s="807">
        <f t="shared" si="1095"/>
        <v>0</v>
      </c>
      <c r="CC476" s="807">
        <f t="shared" si="1095"/>
        <v>0</v>
      </c>
      <c r="CD476" s="807">
        <f t="shared" si="1095"/>
        <v>0</v>
      </c>
      <c r="CE476" s="807">
        <f t="shared" si="1095"/>
        <v>0</v>
      </c>
      <c r="CF476" s="241">
        <f t="shared" si="1095"/>
        <v>0</v>
      </c>
    </row>
    <row r="477" spans="4:84" customFormat="1" ht="13.5" thickBot="1" x14ac:dyDescent="0.25">
      <c r="D477" s="23"/>
      <c r="E477" s="24"/>
      <c r="F477" s="23"/>
      <c r="G477" s="41"/>
      <c r="H477" s="151">
        <v>3233</v>
      </c>
      <c r="I477" s="28">
        <f t="shared" ref="I477:BU477" si="1096">SUMIF($F$12:$F$464,"=3233",I$12:I$464)</f>
        <v>13720807</v>
      </c>
      <c r="J477" s="29">
        <f t="shared" si="1096"/>
        <v>10166392</v>
      </c>
      <c r="K477" s="29">
        <f t="shared" si="1096"/>
        <v>8156572</v>
      </c>
      <c r="L477" s="29">
        <f t="shared" si="1096"/>
        <v>2009820</v>
      </c>
      <c r="M477" s="29">
        <f t="shared" si="1096"/>
        <v>0</v>
      </c>
      <c r="N477" s="29">
        <f t="shared" si="1096"/>
        <v>0</v>
      </c>
      <c r="O477" s="29">
        <f t="shared" si="1096"/>
        <v>0</v>
      </c>
      <c r="P477" s="29">
        <f t="shared" si="1096"/>
        <v>3436240</v>
      </c>
      <c r="Q477" s="29">
        <f t="shared" si="1096"/>
        <v>101665</v>
      </c>
      <c r="R477" s="29">
        <f t="shared" si="1096"/>
        <v>16510</v>
      </c>
      <c r="S477" s="145">
        <f t="shared" si="1096"/>
        <v>21.240000000000002</v>
      </c>
      <c r="T477" s="145">
        <f t="shared" si="1096"/>
        <v>14.77</v>
      </c>
      <c r="U477" s="242">
        <f t="shared" si="1096"/>
        <v>6.4700000000000006</v>
      </c>
      <c r="V477" s="150">
        <f t="shared" si="1096"/>
        <v>-473600</v>
      </c>
      <c r="W477" s="29">
        <f t="shared" si="1096"/>
        <v>-121600</v>
      </c>
      <c r="X477" s="29">
        <f t="shared" si="1096"/>
        <v>0</v>
      </c>
      <c r="Y477" s="29">
        <f t="shared" si="1096"/>
        <v>0</v>
      </c>
      <c r="Z477" s="29">
        <f t="shared" si="1096"/>
        <v>0</v>
      </c>
      <c r="AA477" s="29">
        <f t="shared" si="1096"/>
        <v>0</v>
      </c>
      <c r="AB477" s="29">
        <f t="shared" si="1096"/>
        <v>0</v>
      </c>
      <c r="AC477" s="29">
        <f t="shared" si="1096"/>
        <v>0</v>
      </c>
      <c r="AD477" s="29">
        <f t="shared" si="1096"/>
        <v>0</v>
      </c>
      <c r="AE477" s="29">
        <f t="shared" si="1096"/>
        <v>0</v>
      </c>
      <c r="AF477" s="29">
        <f t="shared" si="1096"/>
        <v>-473600</v>
      </c>
      <c r="AG477" s="29">
        <f t="shared" si="1096"/>
        <v>-121600</v>
      </c>
      <c r="AH477" s="29">
        <f t="shared" si="1096"/>
        <v>-595200</v>
      </c>
      <c r="AI477" s="29">
        <f t="shared" si="1096"/>
        <v>473600</v>
      </c>
      <c r="AJ477" s="29">
        <f t="shared" si="1096"/>
        <v>121600</v>
      </c>
      <c r="AK477" s="29">
        <f t="shared" si="1096"/>
        <v>0</v>
      </c>
      <c r="AL477" s="29">
        <f t="shared" si="1096"/>
        <v>0</v>
      </c>
      <c r="AM477" s="29">
        <f t="shared" si="1096"/>
        <v>0</v>
      </c>
      <c r="AN477" s="29">
        <f t="shared" si="1096"/>
        <v>0</v>
      </c>
      <c r="AO477" s="29">
        <f t="shared" si="1096"/>
        <v>473600</v>
      </c>
      <c r="AP477" s="29">
        <f t="shared" si="1096"/>
        <v>121600</v>
      </c>
      <c r="AQ477" s="29">
        <f t="shared" si="1096"/>
        <v>595200</v>
      </c>
      <c r="AR477" s="29">
        <f t="shared" si="1096"/>
        <v>0</v>
      </c>
      <c r="AS477" s="29">
        <f t="shared" si="1096"/>
        <v>0</v>
      </c>
      <c r="AT477" s="29">
        <f t="shared" si="1096"/>
        <v>0</v>
      </c>
      <c r="AU477" s="29">
        <f t="shared" si="1096"/>
        <v>0</v>
      </c>
      <c r="AV477" s="29">
        <f t="shared" si="1096"/>
        <v>-5952</v>
      </c>
      <c r="AW477" s="29">
        <f t="shared" si="1096"/>
        <v>0</v>
      </c>
      <c r="AX477" s="29">
        <f t="shared" si="1096"/>
        <v>0</v>
      </c>
      <c r="AY477" s="29">
        <f t="shared" si="1096"/>
        <v>0</v>
      </c>
      <c r="AZ477" s="29">
        <f t="shared" si="1096"/>
        <v>-5952</v>
      </c>
      <c r="BA477" s="145">
        <f t="shared" si="1096"/>
        <v>-0.87</v>
      </c>
      <c r="BB477" s="145">
        <f t="shared" si="1096"/>
        <v>-0.38999999999999996</v>
      </c>
      <c r="BC477" s="145">
        <f t="shared" si="1096"/>
        <v>0</v>
      </c>
      <c r="BD477" s="145">
        <f t="shared" si="1096"/>
        <v>0</v>
      </c>
      <c r="BE477" s="145">
        <f t="shared" si="1096"/>
        <v>0</v>
      </c>
      <c r="BF477" s="145">
        <f t="shared" si="1096"/>
        <v>0</v>
      </c>
      <c r="BG477" s="145">
        <f t="shared" si="1096"/>
        <v>0</v>
      </c>
      <c r="BH477" s="145">
        <f t="shared" si="1096"/>
        <v>0</v>
      </c>
      <c r="BI477" s="145">
        <f t="shared" si="1096"/>
        <v>0</v>
      </c>
      <c r="BJ477" s="145">
        <f t="shared" si="1096"/>
        <v>0</v>
      </c>
      <c r="BK477" s="145">
        <f t="shared" si="1096"/>
        <v>-0.87</v>
      </c>
      <c r="BL477" s="145">
        <f t="shared" si="1096"/>
        <v>-0.38999999999999996</v>
      </c>
      <c r="BM477" s="431">
        <f t="shared" si="1096"/>
        <v>-1.26</v>
      </c>
      <c r="BN477" s="28">
        <f t="shared" si="1096"/>
        <v>13714855</v>
      </c>
      <c r="BO477" s="29">
        <f t="shared" si="1096"/>
        <v>9571192</v>
      </c>
      <c r="BP477" s="29">
        <f t="shared" si="1096"/>
        <v>7682972</v>
      </c>
      <c r="BQ477" s="29">
        <f t="shared" si="1096"/>
        <v>1888220</v>
      </c>
      <c r="BR477" s="29">
        <f t="shared" si="1096"/>
        <v>595200</v>
      </c>
      <c r="BS477" s="29">
        <f t="shared" si="1096"/>
        <v>473600</v>
      </c>
      <c r="BT477" s="29">
        <f t="shared" si="1096"/>
        <v>121600</v>
      </c>
      <c r="BU477" s="29">
        <f t="shared" si="1096"/>
        <v>3436240</v>
      </c>
      <c r="BV477" s="29">
        <f t="shared" ref="BV477:CF477" si="1097">SUMIF($F$12:$F$464,"=3233",BV$12:BV$464)</f>
        <v>95713</v>
      </c>
      <c r="BW477" s="29">
        <f t="shared" si="1097"/>
        <v>16510</v>
      </c>
      <c r="BX477" s="145">
        <f t="shared" si="1097"/>
        <v>19.980000000000004</v>
      </c>
      <c r="BY477" s="145">
        <f t="shared" si="1097"/>
        <v>13.9</v>
      </c>
      <c r="BZ477" s="431">
        <f t="shared" si="1097"/>
        <v>6.080000000000001</v>
      </c>
      <c r="CA477" s="813">
        <f t="shared" si="1097"/>
        <v>0</v>
      </c>
      <c r="CB477" s="808">
        <f t="shared" si="1097"/>
        <v>0</v>
      </c>
      <c r="CC477" s="808">
        <f t="shared" si="1097"/>
        <v>0</v>
      </c>
      <c r="CD477" s="808">
        <f t="shared" si="1097"/>
        <v>0</v>
      </c>
      <c r="CE477" s="808">
        <f t="shared" si="1097"/>
        <v>0</v>
      </c>
      <c r="CF477" s="242">
        <f t="shared" si="1097"/>
        <v>0</v>
      </c>
    </row>
    <row r="479" spans="4:84" x14ac:dyDescent="0.2">
      <c r="E479" s="88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</row>
    <row r="480" spans="4:84" x14ac:dyDescent="0.2">
      <c r="E480" s="88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</row>
    <row r="481" spans="5:19" x14ac:dyDescent="0.2">
      <c r="E481" s="88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</row>
    <row r="482" spans="5:19" x14ac:dyDescent="0.2">
      <c r="E482" s="88"/>
    </row>
    <row r="483" spans="5:19" x14ac:dyDescent="0.2">
      <c r="E483" s="88"/>
    </row>
    <row r="484" spans="5:19" x14ac:dyDescent="0.2">
      <c r="E484" s="88"/>
    </row>
    <row r="485" spans="5:19" x14ac:dyDescent="0.2">
      <c r="E485" s="88"/>
    </row>
    <row r="486" spans="5:19" x14ac:dyDescent="0.2">
      <c r="E486" s="88"/>
    </row>
    <row r="487" spans="5:19" x14ac:dyDescent="0.2">
      <c r="E487" s="88"/>
    </row>
    <row r="488" spans="5:19" x14ac:dyDescent="0.2">
      <c r="E488" s="88"/>
    </row>
    <row r="489" spans="5:19" x14ac:dyDescent="0.2">
      <c r="E489" s="88"/>
    </row>
    <row r="490" spans="5:19" x14ac:dyDescent="0.2">
      <c r="E490" s="88"/>
    </row>
    <row r="491" spans="5:19" x14ac:dyDescent="0.2">
      <c r="E491" s="88"/>
    </row>
    <row r="492" spans="5:19" x14ac:dyDescent="0.2">
      <c r="E492" s="88"/>
    </row>
    <row r="493" spans="5:19" x14ac:dyDescent="0.2">
      <c r="E493" s="88"/>
    </row>
    <row r="494" spans="5:19" x14ac:dyDescent="0.2">
      <c r="E494" s="88"/>
    </row>
    <row r="495" spans="5:19" x14ac:dyDescent="0.2">
      <c r="E495" s="88"/>
    </row>
    <row r="496" spans="5:19" x14ac:dyDescent="0.2">
      <c r="E496" s="88"/>
    </row>
    <row r="497" spans="5:5" x14ac:dyDescent="0.2">
      <c r="E497" s="88"/>
    </row>
    <row r="498" spans="5:5" x14ac:dyDescent="0.2">
      <c r="E498" s="88"/>
    </row>
    <row r="499" spans="5:5" x14ac:dyDescent="0.2">
      <c r="E499" s="88"/>
    </row>
    <row r="500" spans="5:5" x14ac:dyDescent="0.2">
      <c r="E500" s="88"/>
    </row>
    <row r="501" spans="5:5" x14ac:dyDescent="0.2">
      <c r="E501" s="88"/>
    </row>
    <row r="502" spans="5:5" x14ac:dyDescent="0.2">
      <c r="E502" s="88"/>
    </row>
    <row r="503" spans="5:5" x14ac:dyDescent="0.2">
      <c r="E503" s="88"/>
    </row>
    <row r="504" spans="5:5" x14ac:dyDescent="0.2">
      <c r="E504" s="88"/>
    </row>
    <row r="505" spans="5:5" x14ac:dyDescent="0.2">
      <c r="E505" s="88"/>
    </row>
    <row r="506" spans="5:5" x14ac:dyDescent="0.2">
      <c r="E506" s="88"/>
    </row>
    <row r="507" spans="5:5" x14ac:dyDescent="0.2">
      <c r="E507" s="88"/>
    </row>
    <row r="508" spans="5:5" x14ac:dyDescent="0.2">
      <c r="E508" s="88"/>
    </row>
    <row r="509" spans="5:5" x14ac:dyDescent="0.2">
      <c r="E509" s="88"/>
    </row>
    <row r="510" spans="5:5" x14ac:dyDescent="0.2">
      <c r="E510" s="88"/>
    </row>
    <row r="511" spans="5:5" x14ac:dyDescent="0.2">
      <c r="E511" s="88"/>
    </row>
    <row r="512" spans="5:5" x14ac:dyDescent="0.2">
      <c r="E512" s="88"/>
    </row>
    <row r="513" spans="5:5" x14ac:dyDescent="0.2">
      <c r="E513" s="88"/>
    </row>
    <row r="514" spans="5:5" x14ac:dyDescent="0.2">
      <c r="E514" s="88"/>
    </row>
    <row r="515" spans="5:5" x14ac:dyDescent="0.2">
      <c r="E515" s="88"/>
    </row>
    <row r="516" spans="5:5" x14ac:dyDescent="0.2">
      <c r="E516" s="88"/>
    </row>
    <row r="517" spans="5:5" x14ac:dyDescent="0.2">
      <c r="E517" s="88"/>
    </row>
    <row r="518" spans="5:5" x14ac:dyDescent="0.2">
      <c r="E518" s="88"/>
    </row>
    <row r="519" spans="5:5" x14ac:dyDescent="0.2">
      <c r="E519" s="88"/>
    </row>
    <row r="520" spans="5:5" x14ac:dyDescent="0.2">
      <c r="E520" s="88"/>
    </row>
    <row r="521" spans="5:5" x14ac:dyDescent="0.2">
      <c r="E521" s="88"/>
    </row>
    <row r="522" spans="5:5" x14ac:dyDescent="0.2">
      <c r="E522" s="88"/>
    </row>
    <row r="523" spans="5:5" x14ac:dyDescent="0.2">
      <c r="E523" s="88"/>
    </row>
    <row r="524" spans="5:5" x14ac:dyDescent="0.2">
      <c r="E524" s="88"/>
    </row>
    <row r="525" spans="5:5" x14ac:dyDescent="0.2">
      <c r="E525" s="88"/>
    </row>
    <row r="526" spans="5:5" x14ac:dyDescent="0.2">
      <c r="E526" s="88"/>
    </row>
    <row r="527" spans="5:5" x14ac:dyDescent="0.2">
      <c r="E527" s="88"/>
    </row>
    <row r="528" spans="5:5" x14ac:dyDescent="0.2">
      <c r="E528" s="88"/>
    </row>
    <row r="940" spans="5:5" x14ac:dyDescent="0.2">
      <c r="E940" s="88"/>
    </row>
    <row r="941" spans="5:5" x14ac:dyDescent="0.2">
      <c r="E941" s="88"/>
    </row>
    <row r="942" spans="5:5" x14ac:dyDescent="0.2">
      <c r="E942" s="88"/>
    </row>
    <row r="943" spans="5:5" x14ac:dyDescent="0.2">
      <c r="E943" s="88"/>
    </row>
    <row r="944" spans="5:5" x14ac:dyDescent="0.2">
      <c r="E944" s="88"/>
    </row>
    <row r="945" spans="5:21" x14ac:dyDescent="0.2">
      <c r="E945" s="88"/>
    </row>
    <row r="946" spans="5:21" x14ac:dyDescent="0.2">
      <c r="E946" s="88"/>
    </row>
    <row r="948" spans="5:21" x14ac:dyDescent="0.2"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176"/>
      <c r="T948" s="176"/>
      <c r="U948" s="176"/>
    </row>
    <row r="949" spans="5:21" x14ac:dyDescent="0.2"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176"/>
      <c r="T949" s="176"/>
      <c r="U949" s="176"/>
    </row>
    <row r="950" spans="5:21" x14ac:dyDescent="0.2"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176"/>
      <c r="T950" s="176"/>
      <c r="U950" s="176"/>
    </row>
    <row r="951" spans="5:21" x14ac:dyDescent="0.2"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176"/>
      <c r="T951" s="176"/>
      <c r="U951" s="176"/>
    </row>
    <row r="952" spans="5:21" x14ac:dyDescent="0.2"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176"/>
      <c r="T952" s="176"/>
      <c r="U952" s="176"/>
    </row>
    <row r="953" spans="5:21" x14ac:dyDescent="0.2"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176"/>
      <c r="T953" s="176"/>
      <c r="U953" s="176"/>
    </row>
    <row r="954" spans="5:21" x14ac:dyDescent="0.2"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176"/>
      <c r="T954" s="176"/>
      <c r="U954" s="176"/>
    </row>
    <row r="955" spans="5:21" x14ac:dyDescent="0.2"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176"/>
      <c r="T955" s="176"/>
      <c r="U955" s="176"/>
    </row>
    <row r="957" spans="5:21" x14ac:dyDescent="0.2"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176"/>
      <c r="T957" s="176"/>
      <c r="U957" s="176"/>
    </row>
    <row r="958" spans="5:21" x14ac:dyDescent="0.2"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176"/>
      <c r="T958" s="176"/>
      <c r="U958" s="176"/>
    </row>
    <row r="959" spans="5:21" x14ac:dyDescent="0.2"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176"/>
      <c r="T959" s="176"/>
      <c r="U959" s="176"/>
    </row>
    <row r="960" spans="5:21" x14ac:dyDescent="0.2"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176"/>
      <c r="T960" s="176"/>
      <c r="U960" s="176"/>
    </row>
    <row r="961" spans="5:21" x14ac:dyDescent="0.2"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176"/>
      <c r="T961" s="176"/>
      <c r="U961" s="176"/>
    </row>
    <row r="962" spans="5:21" x14ac:dyDescent="0.2"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176"/>
      <c r="T962" s="176"/>
      <c r="U962" s="176"/>
    </row>
    <row r="963" spans="5:21" x14ac:dyDescent="0.2"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176"/>
      <c r="T963" s="176"/>
      <c r="U963" s="176"/>
    </row>
    <row r="964" spans="5:21" x14ac:dyDescent="0.2"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176"/>
      <c r="T964" s="176"/>
      <c r="U964" s="176"/>
    </row>
    <row r="965" spans="5:21" x14ac:dyDescent="0.2"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176"/>
      <c r="T965" s="176"/>
      <c r="U965" s="176"/>
    </row>
    <row r="966" spans="5:21" x14ac:dyDescent="0.2"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176"/>
      <c r="T966" s="176"/>
      <c r="U966" s="176"/>
    </row>
    <row r="968" spans="5:21" x14ac:dyDescent="0.2"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176"/>
      <c r="T968" s="176"/>
      <c r="U968" s="176"/>
    </row>
    <row r="969" spans="5:21" x14ac:dyDescent="0.2"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176"/>
      <c r="T969" s="176"/>
      <c r="U969" s="176"/>
    </row>
    <row r="970" spans="5:21" x14ac:dyDescent="0.2"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176"/>
      <c r="T970" s="176"/>
      <c r="U970" s="176"/>
    </row>
    <row r="971" spans="5:21" x14ac:dyDescent="0.2"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176"/>
      <c r="T971" s="176"/>
      <c r="U971" s="176"/>
    </row>
    <row r="972" spans="5:21" x14ac:dyDescent="0.2"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176"/>
      <c r="T972" s="176"/>
      <c r="U972" s="176"/>
    </row>
    <row r="973" spans="5:21" x14ac:dyDescent="0.2"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176"/>
      <c r="T973" s="176"/>
      <c r="U973" s="176"/>
    </row>
    <row r="974" spans="5:21" x14ac:dyDescent="0.2"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176"/>
      <c r="T974" s="176"/>
      <c r="U974" s="176"/>
    </row>
    <row r="975" spans="5:21" x14ac:dyDescent="0.2"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176"/>
      <c r="T975" s="176"/>
      <c r="U975" s="176"/>
    </row>
    <row r="976" spans="5:21" x14ac:dyDescent="0.2"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176"/>
      <c r="T976" s="176"/>
      <c r="U976" s="176"/>
    </row>
    <row r="977" spans="5:21" x14ac:dyDescent="0.2"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176"/>
      <c r="T977" s="176"/>
      <c r="U977" s="176"/>
    </row>
    <row r="978" spans="5:21" x14ac:dyDescent="0.2"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176"/>
      <c r="T978" s="176"/>
      <c r="U978" s="176"/>
    </row>
    <row r="979" spans="5:21" x14ac:dyDescent="0.2"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176"/>
      <c r="T979" s="176"/>
      <c r="U979" s="176"/>
    </row>
    <row r="980" spans="5:21" x14ac:dyDescent="0.2"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176"/>
      <c r="T980" s="176"/>
      <c r="U980" s="176"/>
    </row>
    <row r="1118" spans="5:12" x14ac:dyDescent="0.2">
      <c r="E1118" s="923"/>
      <c r="L1118" s="924"/>
    </row>
    <row r="1119" spans="5:12" x14ac:dyDescent="0.2">
      <c r="E1119" s="923"/>
      <c r="L1119" s="924"/>
    </row>
    <row r="1120" spans="5:12" x14ac:dyDescent="0.2">
      <c r="E1120" s="923"/>
      <c r="L1120" s="924"/>
    </row>
    <row r="1121" spans="5:12" x14ac:dyDescent="0.2">
      <c r="E1121" s="923"/>
      <c r="L1121" s="924"/>
    </row>
    <row r="1122" spans="5:12" x14ac:dyDescent="0.2">
      <c r="E1122" s="923"/>
      <c r="L1122" s="924"/>
    </row>
    <row r="1123" spans="5:12" x14ac:dyDescent="0.2">
      <c r="E1123" s="923"/>
      <c r="L1123" s="924"/>
    </row>
    <row r="1124" spans="5:12" x14ac:dyDescent="0.2">
      <c r="E1124" s="923"/>
      <c r="L1124" s="924"/>
    </row>
    <row r="1125" spans="5:12" x14ac:dyDescent="0.2">
      <c r="E1125" s="923"/>
      <c r="L1125" s="924"/>
    </row>
    <row r="1126" spans="5:12" x14ac:dyDescent="0.2">
      <c r="E1126" s="923"/>
      <c r="L1126" s="924"/>
    </row>
    <row r="1127" spans="5:12" x14ac:dyDescent="0.2">
      <c r="E1127" s="923"/>
      <c r="L1127" s="924"/>
    </row>
    <row r="1128" spans="5:12" x14ac:dyDescent="0.2">
      <c r="E1128" s="923"/>
      <c r="L1128" s="924"/>
    </row>
    <row r="1129" spans="5:12" x14ac:dyDescent="0.2">
      <c r="E1129" s="923"/>
      <c r="L1129" s="924"/>
    </row>
    <row r="1130" spans="5:12" x14ac:dyDescent="0.2">
      <c r="E1130" s="923"/>
      <c r="L1130" s="924"/>
    </row>
    <row r="1131" spans="5:12" x14ac:dyDescent="0.2">
      <c r="E1131" s="923"/>
      <c r="L1131" s="924"/>
    </row>
    <row r="1132" spans="5:12" x14ac:dyDescent="0.2">
      <c r="E1132" s="923"/>
      <c r="L1132" s="924"/>
    </row>
    <row r="1133" spans="5:12" x14ac:dyDescent="0.2">
      <c r="E1133" s="923"/>
      <c r="L1133" s="924"/>
    </row>
    <row r="1134" spans="5:12" x14ac:dyDescent="0.2">
      <c r="E1134" s="923"/>
      <c r="L1134" s="924"/>
    </row>
    <row r="1135" spans="5:12" x14ac:dyDescent="0.2">
      <c r="E1135" s="923"/>
      <c r="L1135" s="924"/>
    </row>
    <row r="1136" spans="5:12" x14ac:dyDescent="0.2">
      <c r="E1136" s="923"/>
      <c r="L1136" s="924"/>
    </row>
    <row r="1137" spans="5:12" x14ac:dyDescent="0.2">
      <c r="E1137" s="923"/>
      <c r="L1137" s="924"/>
    </row>
    <row r="1138" spans="5:12" x14ac:dyDescent="0.2">
      <c r="E1138" s="923"/>
      <c r="L1138" s="924"/>
    </row>
    <row r="1139" spans="5:12" x14ac:dyDescent="0.2">
      <c r="E1139" s="923"/>
      <c r="L1139" s="924"/>
    </row>
    <row r="1140" spans="5:12" x14ac:dyDescent="0.2">
      <c r="E1140" s="923"/>
      <c r="L1140" s="924"/>
    </row>
    <row r="1141" spans="5:12" x14ac:dyDescent="0.2">
      <c r="E1141" s="923"/>
      <c r="L1141" s="924"/>
    </row>
    <row r="1142" spans="5:12" x14ac:dyDescent="0.2">
      <c r="E1142" s="923"/>
      <c r="L1142" s="924"/>
    </row>
    <row r="1143" spans="5:12" x14ac:dyDescent="0.2">
      <c r="E1143" s="923"/>
      <c r="L1143" s="924"/>
    </row>
    <row r="1144" spans="5:12" x14ac:dyDescent="0.2">
      <c r="E1144" s="923"/>
      <c r="L1144" s="924"/>
    </row>
    <row r="1145" spans="5:12" x14ac:dyDescent="0.2">
      <c r="E1145" s="923"/>
      <c r="L1145" s="924"/>
    </row>
    <row r="1146" spans="5:12" x14ac:dyDescent="0.2">
      <c r="E1146" s="923"/>
      <c r="L1146" s="924"/>
    </row>
    <row r="1147" spans="5:12" x14ac:dyDescent="0.2">
      <c r="E1147" s="923"/>
      <c r="L1147" s="924"/>
    </row>
    <row r="1148" spans="5:12" x14ac:dyDescent="0.2">
      <c r="E1148" s="923"/>
      <c r="L1148" s="924"/>
    </row>
    <row r="1149" spans="5:12" x14ac:dyDescent="0.2">
      <c r="E1149" s="923"/>
      <c r="L1149" s="924"/>
    </row>
    <row r="1150" spans="5:12" x14ac:dyDescent="0.2">
      <c r="E1150" s="923"/>
      <c r="L1150" s="924"/>
    </row>
    <row r="1151" spans="5:12" x14ac:dyDescent="0.2">
      <c r="E1151" s="923"/>
      <c r="L1151" s="924"/>
    </row>
    <row r="1152" spans="5:12" x14ac:dyDescent="0.2">
      <c r="E1152" s="923"/>
      <c r="L1152" s="924"/>
    </row>
    <row r="1153" spans="5:12" x14ac:dyDescent="0.2">
      <c r="E1153" s="923"/>
      <c r="L1153" s="924"/>
    </row>
    <row r="1154" spans="5:12" x14ac:dyDescent="0.2">
      <c r="E1154" s="923"/>
      <c r="L1154" s="924"/>
    </row>
    <row r="1155" spans="5:12" x14ac:dyDescent="0.2">
      <c r="E1155" s="923"/>
      <c r="L1155" s="924"/>
    </row>
    <row r="1156" spans="5:12" x14ac:dyDescent="0.2">
      <c r="E1156" s="923"/>
      <c r="L1156" s="924"/>
    </row>
    <row r="1157" spans="5:12" x14ac:dyDescent="0.2">
      <c r="E1157" s="923"/>
      <c r="L1157" s="924"/>
    </row>
    <row r="1158" spans="5:12" x14ac:dyDescent="0.2">
      <c r="E1158" s="923"/>
      <c r="L1158" s="924"/>
    </row>
    <row r="1159" spans="5:12" x14ac:dyDescent="0.2">
      <c r="E1159" s="923"/>
      <c r="L1159" s="924"/>
    </row>
    <row r="1160" spans="5:12" x14ac:dyDescent="0.2">
      <c r="E1160" s="923"/>
      <c r="L1160" s="924"/>
    </row>
    <row r="1188" spans="4:18" x14ac:dyDescent="0.2">
      <c r="E1188" s="51"/>
      <c r="F1188" s="51"/>
      <c r="G1188" s="51"/>
      <c r="H1188" s="51"/>
      <c r="J1188" s="56"/>
      <c r="K1188" s="56"/>
      <c r="L1188" s="56"/>
      <c r="M1188" s="56"/>
      <c r="N1188" s="56"/>
      <c r="O1188" s="56"/>
      <c r="P1188" s="56"/>
      <c r="Q1188" s="56"/>
      <c r="R1188" s="56"/>
    </row>
    <row r="1189" spans="4:18" x14ac:dyDescent="0.2">
      <c r="E1189" s="51"/>
      <c r="F1189" s="51"/>
      <c r="G1189" s="51"/>
      <c r="H1189" s="51"/>
      <c r="J1189" s="56"/>
      <c r="K1189" s="56"/>
      <c r="L1189" s="56"/>
      <c r="M1189" s="56"/>
      <c r="N1189" s="56"/>
      <c r="O1189" s="56"/>
      <c r="P1189" s="56"/>
      <c r="Q1189" s="56"/>
      <c r="R1189" s="56"/>
    </row>
    <row r="1190" spans="4:18" x14ac:dyDescent="0.2">
      <c r="E1190" s="51"/>
      <c r="F1190" s="51"/>
      <c r="G1190" s="51"/>
      <c r="H1190" s="51"/>
      <c r="J1190" s="56"/>
      <c r="K1190" s="56"/>
      <c r="L1190" s="56"/>
      <c r="M1190" s="56"/>
      <c r="N1190" s="56"/>
      <c r="O1190" s="56"/>
      <c r="P1190" s="56"/>
      <c r="Q1190" s="56"/>
      <c r="R1190" s="56"/>
    </row>
    <row r="1191" spans="4:18" x14ac:dyDescent="0.2">
      <c r="E1191" s="51"/>
      <c r="F1191" s="51"/>
      <c r="G1191" s="51"/>
      <c r="H1191" s="51"/>
      <c r="J1191" s="56"/>
      <c r="K1191" s="56"/>
      <c r="L1191" s="56"/>
      <c r="M1191" s="56"/>
      <c r="N1191" s="56"/>
      <c r="O1191" s="56"/>
      <c r="P1191" s="56"/>
      <c r="Q1191" s="56"/>
      <c r="R1191" s="56"/>
    </row>
    <row r="1192" spans="4:18" x14ac:dyDescent="0.2">
      <c r="E1192" s="51"/>
      <c r="F1192" s="51"/>
      <c r="G1192" s="51"/>
      <c r="H1192" s="51"/>
      <c r="J1192" s="56"/>
      <c r="K1192" s="56"/>
      <c r="L1192" s="56"/>
      <c r="M1192" s="56"/>
      <c r="N1192" s="56"/>
      <c r="O1192" s="56"/>
      <c r="P1192" s="56"/>
      <c r="Q1192" s="56"/>
      <c r="R1192" s="56"/>
    </row>
    <row r="1193" spans="4:18" x14ac:dyDescent="0.2">
      <c r="E1193" s="51"/>
      <c r="F1193" s="51"/>
      <c r="G1193" s="51"/>
      <c r="H1193" s="51"/>
      <c r="J1193" s="56"/>
      <c r="K1193" s="56"/>
      <c r="L1193" s="56"/>
      <c r="M1193" s="56"/>
      <c r="N1193" s="56"/>
      <c r="O1193" s="56"/>
      <c r="P1193" s="56"/>
      <c r="Q1193" s="56"/>
      <c r="R1193" s="56"/>
    </row>
    <row r="1194" spans="4:18" x14ac:dyDescent="0.2">
      <c r="E1194" s="51"/>
      <c r="F1194" s="51"/>
      <c r="G1194" s="51"/>
      <c r="H1194" s="51"/>
      <c r="J1194" s="56"/>
      <c r="K1194" s="56"/>
      <c r="L1194" s="56"/>
      <c r="M1194" s="56"/>
      <c r="N1194" s="56"/>
      <c r="O1194" s="56"/>
      <c r="P1194" s="56"/>
      <c r="Q1194" s="56"/>
      <c r="R1194" s="56"/>
    </row>
    <row r="1195" spans="4:18" x14ac:dyDescent="0.2">
      <c r="E1195" s="51"/>
      <c r="F1195" s="51"/>
      <c r="G1195" s="51"/>
      <c r="H1195" s="51"/>
      <c r="J1195" s="56"/>
      <c r="K1195" s="56"/>
      <c r="L1195" s="56"/>
      <c r="M1195" s="56"/>
      <c r="N1195" s="56"/>
      <c r="O1195" s="56"/>
      <c r="P1195" s="56"/>
      <c r="Q1195" s="56"/>
      <c r="R1195" s="56"/>
    </row>
    <row r="1197" spans="4:18" x14ac:dyDescent="0.2">
      <c r="D1197" s="56"/>
      <c r="E1197" s="56"/>
      <c r="F1197" s="56"/>
      <c r="G1197" s="56"/>
      <c r="H1197" s="56"/>
      <c r="J1197" s="56"/>
      <c r="K1197" s="56"/>
      <c r="L1197" s="56"/>
      <c r="M1197" s="56"/>
      <c r="N1197" s="56"/>
      <c r="O1197" s="56"/>
      <c r="P1197" s="56"/>
      <c r="Q1197" s="56"/>
      <c r="R1197" s="56"/>
    </row>
    <row r="1198" spans="4:18" x14ac:dyDescent="0.2">
      <c r="D1198" s="56"/>
      <c r="E1198" s="56"/>
      <c r="F1198" s="56"/>
      <c r="G1198" s="56"/>
      <c r="H1198" s="56"/>
      <c r="J1198" s="56"/>
      <c r="K1198" s="56"/>
      <c r="L1198" s="56"/>
      <c r="M1198" s="56"/>
      <c r="N1198" s="56"/>
      <c r="O1198" s="56"/>
      <c r="P1198" s="56"/>
      <c r="Q1198" s="56"/>
      <c r="R1198" s="56"/>
    </row>
    <row r="1199" spans="4:18" x14ac:dyDescent="0.2">
      <c r="D1199" s="56"/>
      <c r="E1199" s="56"/>
      <c r="F1199" s="56"/>
      <c r="G1199" s="56"/>
      <c r="H1199" s="56"/>
      <c r="J1199" s="56"/>
      <c r="K1199" s="56"/>
      <c r="L1199" s="56"/>
      <c r="M1199" s="56"/>
      <c r="N1199" s="56"/>
      <c r="O1199" s="56"/>
      <c r="P1199" s="56"/>
      <c r="Q1199" s="56"/>
      <c r="R1199" s="56"/>
    </row>
    <row r="1200" spans="4:18" x14ac:dyDescent="0.2">
      <c r="D1200" s="56"/>
      <c r="E1200" s="56"/>
      <c r="F1200" s="56"/>
      <c r="G1200" s="56"/>
      <c r="H1200" s="56"/>
      <c r="J1200" s="56"/>
      <c r="K1200" s="56"/>
      <c r="L1200" s="56"/>
      <c r="M1200" s="56"/>
      <c r="N1200" s="56"/>
      <c r="O1200" s="56"/>
      <c r="P1200" s="56"/>
      <c r="Q1200" s="56"/>
      <c r="R1200" s="56"/>
    </row>
    <row r="1201" spans="4:18" x14ac:dyDescent="0.2">
      <c r="D1201" s="56"/>
      <c r="E1201" s="56"/>
      <c r="F1201" s="56"/>
      <c r="G1201" s="56"/>
      <c r="H1201" s="56"/>
      <c r="J1201" s="56"/>
      <c r="K1201" s="56"/>
      <c r="L1201" s="56"/>
      <c r="M1201" s="56"/>
      <c r="N1201" s="56"/>
      <c r="O1201" s="56"/>
      <c r="P1201" s="56"/>
      <c r="Q1201" s="56"/>
      <c r="R1201" s="56"/>
    </row>
    <row r="1202" spans="4:18" x14ac:dyDescent="0.2">
      <c r="D1202" s="56"/>
      <c r="E1202" s="56"/>
      <c r="F1202" s="56"/>
      <c r="G1202" s="56"/>
      <c r="H1202" s="56"/>
      <c r="J1202" s="56"/>
      <c r="K1202" s="56"/>
      <c r="L1202" s="56"/>
      <c r="M1202" s="56"/>
      <c r="N1202" s="56"/>
      <c r="O1202" s="56"/>
      <c r="P1202" s="56"/>
      <c r="Q1202" s="56"/>
      <c r="R1202" s="56"/>
    </row>
    <row r="1203" spans="4:18" x14ac:dyDescent="0.2">
      <c r="D1203" s="56"/>
      <c r="E1203" s="56"/>
      <c r="F1203" s="56"/>
      <c r="G1203" s="56"/>
      <c r="H1203" s="56"/>
      <c r="J1203" s="56"/>
      <c r="K1203" s="56"/>
      <c r="L1203" s="56"/>
      <c r="M1203" s="56"/>
      <c r="N1203" s="56"/>
      <c r="O1203" s="56"/>
      <c r="P1203" s="56"/>
      <c r="Q1203" s="56"/>
      <c r="R1203" s="56"/>
    </row>
    <row r="1204" spans="4:18" x14ac:dyDescent="0.2">
      <c r="D1204" s="56"/>
      <c r="E1204" s="56"/>
      <c r="F1204" s="56"/>
      <c r="G1204" s="56"/>
      <c r="H1204" s="56"/>
      <c r="J1204" s="56"/>
      <c r="K1204" s="56"/>
      <c r="L1204" s="56"/>
      <c r="M1204" s="56"/>
      <c r="N1204" s="56"/>
      <c r="O1204" s="56"/>
      <c r="P1204" s="56"/>
      <c r="Q1204" s="56"/>
      <c r="R1204" s="56"/>
    </row>
    <row r="1205" spans="4:18" x14ac:dyDescent="0.2">
      <c r="D1205" s="56"/>
      <c r="E1205" s="56"/>
      <c r="F1205" s="56"/>
      <c r="G1205" s="56"/>
      <c r="H1205" s="56"/>
      <c r="J1205" s="56"/>
      <c r="K1205" s="56"/>
      <c r="L1205" s="56"/>
      <c r="M1205" s="56"/>
      <c r="N1205" s="56"/>
      <c r="O1205" s="56"/>
      <c r="P1205" s="56"/>
      <c r="Q1205" s="56"/>
      <c r="R1205" s="56"/>
    </row>
    <row r="1206" spans="4:18" x14ac:dyDescent="0.2">
      <c r="D1206" s="56"/>
      <c r="E1206" s="56"/>
      <c r="F1206" s="56"/>
      <c r="G1206" s="56"/>
      <c r="H1206" s="56"/>
      <c r="J1206" s="56"/>
      <c r="K1206" s="56"/>
      <c r="L1206" s="56"/>
      <c r="M1206" s="56"/>
      <c r="N1206" s="56"/>
      <c r="O1206" s="56"/>
      <c r="P1206" s="56"/>
      <c r="Q1206" s="56"/>
      <c r="R1206" s="56"/>
    </row>
    <row r="1207" spans="4:18" x14ac:dyDescent="0.2">
      <c r="D1207" s="56"/>
      <c r="E1207" s="56"/>
      <c r="F1207" s="56"/>
      <c r="G1207" s="56"/>
      <c r="H1207" s="56"/>
      <c r="J1207" s="56"/>
      <c r="K1207" s="56"/>
      <c r="L1207" s="56"/>
      <c r="M1207" s="56"/>
      <c r="N1207" s="56"/>
      <c r="O1207" s="56"/>
      <c r="P1207" s="56"/>
      <c r="Q1207" s="56"/>
      <c r="R1207" s="56"/>
    </row>
    <row r="1208" spans="4:18" x14ac:dyDescent="0.2">
      <c r="D1208" s="56"/>
      <c r="E1208" s="56"/>
      <c r="F1208" s="56"/>
      <c r="G1208" s="56"/>
      <c r="H1208" s="56"/>
      <c r="J1208" s="56"/>
      <c r="K1208" s="56"/>
      <c r="L1208" s="56"/>
      <c r="M1208" s="56"/>
      <c r="N1208" s="56"/>
      <c r="O1208" s="56"/>
      <c r="P1208" s="56"/>
      <c r="Q1208" s="56"/>
      <c r="R1208" s="56"/>
    </row>
    <row r="1209" spans="4:18" x14ac:dyDescent="0.2">
      <c r="D1209" s="56"/>
      <c r="E1209" s="56"/>
      <c r="F1209" s="56"/>
      <c r="G1209" s="56"/>
      <c r="H1209" s="56"/>
      <c r="J1209" s="56"/>
      <c r="K1209" s="56"/>
      <c r="L1209" s="56"/>
      <c r="M1209" s="56"/>
      <c r="N1209" s="56"/>
      <c r="O1209" s="56"/>
      <c r="P1209" s="56"/>
      <c r="Q1209" s="56"/>
      <c r="R1209" s="56"/>
    </row>
    <row r="1303" spans="19:19" x14ac:dyDescent="0.2">
      <c r="S1303" s="53"/>
    </row>
    <row r="1305" spans="19:19" ht="15" customHeight="1" x14ac:dyDescent="0.2">
      <c r="S1305" s="53"/>
    </row>
    <row r="1306" spans="19:19" ht="15" customHeight="1" x14ac:dyDescent="0.2"/>
    <row r="1307" spans="19:19" ht="15" customHeight="1" x14ac:dyDescent="0.2"/>
    <row r="1308" spans="19:19" ht="15" customHeight="1" x14ac:dyDescent="0.2"/>
    <row r="1309" spans="19:19" ht="15" customHeight="1" x14ac:dyDescent="0.2"/>
    <row r="1310" spans="19:19" ht="15" customHeight="1" x14ac:dyDescent="0.2"/>
    <row r="1311" spans="19:19" ht="15" customHeight="1" x14ac:dyDescent="0.2"/>
    <row r="1312" spans="19:19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spans="5:12" ht="15" customHeight="1" x14ac:dyDescent="0.2"/>
    <row r="1330" spans="5:12" ht="15" customHeight="1" x14ac:dyDescent="0.2"/>
    <row r="1331" spans="5:12" ht="15" customHeight="1" x14ac:dyDescent="0.2"/>
    <row r="1332" spans="5:12" ht="15" customHeight="1" x14ac:dyDescent="0.2"/>
    <row r="1334" spans="5:12" ht="12.95" customHeight="1" x14ac:dyDescent="0.2">
      <c r="E1334" s="923" t="s">
        <v>537</v>
      </c>
      <c r="L1334" s="924">
        <v>462437</v>
      </c>
    </row>
    <row r="1335" spans="5:12" ht="12.95" customHeight="1" x14ac:dyDescent="0.2">
      <c r="E1335" s="923" t="s">
        <v>539</v>
      </c>
      <c r="L1335" s="924">
        <v>586925</v>
      </c>
    </row>
    <row r="1336" spans="5:12" ht="12.95" customHeight="1" x14ac:dyDescent="0.2">
      <c r="E1336" s="923" t="s">
        <v>541</v>
      </c>
      <c r="L1336" s="924">
        <v>818126</v>
      </c>
    </row>
    <row r="1337" spans="5:12" ht="12.95" customHeight="1" x14ac:dyDescent="0.2">
      <c r="E1337" s="923" t="s">
        <v>543</v>
      </c>
      <c r="L1337" s="924">
        <v>515794</v>
      </c>
    </row>
    <row r="1338" spans="5:12" ht="12.95" customHeight="1" x14ac:dyDescent="0.2">
      <c r="E1338" s="923" t="s">
        <v>545</v>
      </c>
      <c r="L1338" s="924">
        <v>887057</v>
      </c>
    </row>
    <row r="1339" spans="5:12" ht="12.95" customHeight="1" x14ac:dyDescent="0.2">
      <c r="E1339" s="923" t="s">
        <v>547</v>
      </c>
      <c r="L1339" s="924">
        <v>598030</v>
      </c>
    </row>
    <row r="1340" spans="5:12" ht="12.95" customHeight="1" x14ac:dyDescent="0.2">
      <c r="E1340" s="923" t="s">
        <v>549</v>
      </c>
      <c r="L1340" s="924">
        <v>146731</v>
      </c>
    </row>
    <row r="1341" spans="5:12" ht="12.95" customHeight="1" x14ac:dyDescent="0.2">
      <c r="E1341" s="923" t="s">
        <v>551</v>
      </c>
      <c r="L1341" s="924">
        <v>582490</v>
      </c>
    </row>
    <row r="1342" spans="5:12" ht="12.95" customHeight="1" x14ac:dyDescent="0.2">
      <c r="E1342" s="923" t="s">
        <v>553</v>
      </c>
      <c r="L1342" s="924">
        <v>742526</v>
      </c>
    </row>
    <row r="1343" spans="5:12" ht="12.95" customHeight="1" x14ac:dyDescent="0.2">
      <c r="E1343" s="923" t="s">
        <v>555</v>
      </c>
      <c r="L1343" s="924">
        <v>333480</v>
      </c>
    </row>
    <row r="1344" spans="5:12" ht="12.95" customHeight="1" x14ac:dyDescent="0.2">
      <c r="E1344" s="923" t="s">
        <v>557</v>
      </c>
      <c r="L1344" s="924">
        <v>522463</v>
      </c>
    </row>
    <row r="1345" spans="5:12" ht="12.95" customHeight="1" x14ac:dyDescent="0.2">
      <c r="E1345" s="923" t="s">
        <v>559</v>
      </c>
      <c r="L1345" s="924">
        <v>404611</v>
      </c>
    </row>
    <row r="1346" spans="5:12" ht="12.95" customHeight="1" x14ac:dyDescent="0.2">
      <c r="E1346" s="923" t="s">
        <v>561</v>
      </c>
      <c r="L1346" s="924">
        <v>462437</v>
      </c>
    </row>
    <row r="1347" spans="5:12" ht="12.95" customHeight="1" x14ac:dyDescent="0.2">
      <c r="E1347" s="923" t="s">
        <v>563</v>
      </c>
      <c r="L1347" s="924">
        <v>573586</v>
      </c>
    </row>
    <row r="1348" spans="5:12" ht="12.95" customHeight="1" x14ac:dyDescent="0.2">
      <c r="E1348" s="923"/>
      <c r="L1348" s="924"/>
    </row>
    <row r="1349" spans="5:12" ht="12.95" customHeight="1" x14ac:dyDescent="0.2">
      <c r="E1349" s="923"/>
      <c r="L1349" s="924"/>
    </row>
    <row r="1350" spans="5:12" ht="12.95" customHeight="1" x14ac:dyDescent="0.2">
      <c r="E1350" s="923"/>
      <c r="L1350" s="924"/>
    </row>
    <row r="1351" spans="5:12" ht="12.95" customHeight="1" x14ac:dyDescent="0.2">
      <c r="E1351" s="923"/>
      <c r="L1351" s="924"/>
    </row>
    <row r="1352" spans="5:12" ht="12.95" customHeight="1" x14ac:dyDescent="0.2">
      <c r="E1352" s="923"/>
      <c r="L1352" s="924"/>
    </row>
    <row r="1353" spans="5:12" ht="12.95" customHeight="1" x14ac:dyDescent="0.2">
      <c r="E1353" s="923"/>
      <c r="L1353" s="924"/>
    </row>
    <row r="1354" spans="5:12" ht="12.95" customHeight="1" x14ac:dyDescent="0.2">
      <c r="E1354" s="923"/>
      <c r="L1354" s="924"/>
    </row>
    <row r="1355" spans="5:12" ht="12.95" customHeight="1" x14ac:dyDescent="0.2">
      <c r="E1355" s="923"/>
      <c r="L1355" s="924"/>
    </row>
    <row r="1356" spans="5:12" ht="12.95" customHeight="1" x14ac:dyDescent="0.2">
      <c r="E1356" s="923"/>
      <c r="L1356" s="924"/>
    </row>
    <row r="1357" spans="5:12" ht="12.95" customHeight="1" x14ac:dyDescent="0.2">
      <c r="E1357" s="923"/>
      <c r="L1357" s="924"/>
    </row>
    <row r="1358" spans="5:12" ht="12.95" customHeight="1" x14ac:dyDescent="0.2">
      <c r="E1358" s="923"/>
      <c r="L1358" s="924"/>
    </row>
    <row r="1359" spans="5:12" ht="12.95" customHeight="1" x14ac:dyDescent="0.2">
      <c r="E1359" s="923"/>
      <c r="L1359" s="924"/>
    </row>
    <row r="1360" spans="5:12" ht="12.95" customHeight="1" x14ac:dyDescent="0.2">
      <c r="E1360" s="923"/>
      <c r="L1360" s="924"/>
    </row>
    <row r="1361" spans="5:12" ht="12.95" customHeight="1" x14ac:dyDescent="0.2">
      <c r="E1361" s="923"/>
      <c r="L1361" s="924"/>
    </row>
    <row r="1362" spans="5:12" ht="12.95" customHeight="1" x14ac:dyDescent="0.2">
      <c r="E1362" s="923"/>
      <c r="L1362" s="924"/>
    </row>
    <row r="1363" spans="5:12" ht="12.95" customHeight="1" x14ac:dyDescent="0.2">
      <c r="E1363" s="923"/>
      <c r="L1363" s="924"/>
    </row>
    <row r="1364" spans="5:12" ht="12.95" customHeight="1" x14ac:dyDescent="0.2">
      <c r="E1364" s="923"/>
      <c r="L1364" s="924"/>
    </row>
    <row r="1365" spans="5:12" ht="12.95" customHeight="1" x14ac:dyDescent="0.2">
      <c r="E1365" s="923"/>
      <c r="L1365" s="924"/>
    </row>
    <row r="1366" spans="5:12" ht="12.95" customHeight="1" x14ac:dyDescent="0.2">
      <c r="E1366" s="923"/>
      <c r="L1366" s="924"/>
    </row>
    <row r="1367" spans="5:12" ht="12.95" customHeight="1" x14ac:dyDescent="0.2">
      <c r="E1367" s="923"/>
      <c r="L1367" s="924"/>
    </row>
    <row r="1368" spans="5:12" ht="12.95" customHeight="1" x14ac:dyDescent="0.2">
      <c r="E1368" s="923"/>
      <c r="L1368" s="924"/>
    </row>
    <row r="1369" spans="5:12" ht="12.95" customHeight="1" x14ac:dyDescent="0.2">
      <c r="E1369" s="923"/>
      <c r="L1369" s="924"/>
    </row>
    <row r="1370" spans="5:12" ht="12.95" customHeight="1" x14ac:dyDescent="0.2">
      <c r="E1370" s="923"/>
      <c r="L1370" s="924"/>
    </row>
    <row r="1371" spans="5:12" ht="12.95" customHeight="1" x14ac:dyDescent="0.2">
      <c r="E1371" s="923"/>
      <c r="L1371" s="924"/>
    </row>
    <row r="1372" spans="5:12" ht="12.95" customHeight="1" x14ac:dyDescent="0.2"/>
    <row r="1373" spans="5:12" ht="12.95" customHeight="1" x14ac:dyDescent="0.2"/>
    <row r="1374" spans="5:12" ht="12.95" customHeight="1" x14ac:dyDescent="0.2"/>
    <row r="1375" spans="5:12" ht="12.95" customHeight="1" x14ac:dyDescent="0.2"/>
    <row r="1376" spans="5:12" ht="12.95" customHeight="1" x14ac:dyDescent="0.2"/>
    <row r="1377" ht="12.95" customHeight="1" x14ac:dyDescent="0.2"/>
    <row r="1378" ht="12.95" customHeight="1" x14ac:dyDescent="0.2"/>
    <row r="1379" ht="12.95" customHeight="1" x14ac:dyDescent="0.2"/>
    <row r="1380" ht="12.95" customHeight="1" x14ac:dyDescent="0.2"/>
    <row r="1381" ht="12.95" customHeight="1" x14ac:dyDescent="0.2"/>
    <row r="1382" ht="12.95" customHeight="1" x14ac:dyDescent="0.2"/>
    <row r="1383" ht="12.95" customHeight="1" x14ac:dyDescent="0.2"/>
    <row r="1384" ht="12.95" customHeight="1" x14ac:dyDescent="0.2"/>
    <row r="1385" ht="12.95" customHeight="1" x14ac:dyDescent="0.2"/>
    <row r="1386" ht="12.95" customHeight="1" x14ac:dyDescent="0.2"/>
    <row r="1387" ht="12.95" customHeight="1" x14ac:dyDescent="0.2"/>
    <row r="1388" ht="12.95" customHeight="1" x14ac:dyDescent="0.2"/>
    <row r="1389" ht="12.95" customHeight="1" x14ac:dyDescent="0.2"/>
    <row r="1390" ht="12.95" customHeight="1" x14ac:dyDescent="0.2"/>
    <row r="1391" ht="12.95" customHeight="1" x14ac:dyDescent="0.2"/>
    <row r="1392" ht="12.95" customHeight="1" x14ac:dyDescent="0.2"/>
    <row r="1393" ht="12.95" customHeight="1" x14ac:dyDescent="0.2"/>
    <row r="1394" ht="12.95" customHeight="1" x14ac:dyDescent="0.2"/>
    <row r="1395" ht="12.95" customHeight="1" x14ac:dyDescent="0.2"/>
    <row r="1396" ht="12.95" customHeight="1" x14ac:dyDescent="0.2"/>
    <row r="1397" ht="12.95" customHeight="1" x14ac:dyDescent="0.2"/>
    <row r="1398" ht="12.95" customHeight="1" x14ac:dyDescent="0.2"/>
    <row r="1399" ht="12.95" customHeight="1" x14ac:dyDescent="0.2"/>
    <row r="1400" ht="12.95" customHeight="1" x14ac:dyDescent="0.2"/>
    <row r="1401" ht="12.95" customHeight="1" x14ac:dyDescent="0.2"/>
    <row r="1402" ht="12.95" customHeight="1" x14ac:dyDescent="0.2"/>
    <row r="1403" ht="12.95" customHeight="1" x14ac:dyDescent="0.2"/>
    <row r="1404" ht="12.95" customHeight="1" x14ac:dyDescent="0.2"/>
    <row r="1405" ht="12.95" customHeight="1" x14ac:dyDescent="0.2"/>
    <row r="1406" ht="12.95" customHeight="1" x14ac:dyDescent="0.2"/>
    <row r="1407" ht="12.95" customHeight="1" x14ac:dyDescent="0.2"/>
    <row r="1408" ht="12.95" customHeight="1" x14ac:dyDescent="0.2"/>
    <row r="1409" ht="12.95" customHeight="1" x14ac:dyDescent="0.2"/>
    <row r="1410" ht="12.95" customHeight="1" x14ac:dyDescent="0.2"/>
    <row r="1411" ht="12.95" customHeight="1" x14ac:dyDescent="0.2"/>
    <row r="1412" ht="12.95" customHeight="1" x14ac:dyDescent="0.2"/>
    <row r="1413" ht="12.95" customHeight="1" x14ac:dyDescent="0.2"/>
    <row r="1414" ht="12.95" customHeight="1" x14ac:dyDescent="0.2"/>
    <row r="1416" ht="12.95" customHeight="1" x14ac:dyDescent="0.2"/>
  </sheetData>
  <mergeCells count="59">
    <mergeCell ref="AB11:AC11"/>
    <mergeCell ref="BD8:BE10"/>
    <mergeCell ref="BD11:BE11"/>
    <mergeCell ref="BY8:BZ9"/>
    <mergeCell ref="BI8:BJ9"/>
    <mergeCell ref="AU7:AU10"/>
    <mergeCell ref="AW7:AY9"/>
    <mergeCell ref="AZ7:AZ10"/>
    <mergeCell ref="BA7:BM7"/>
    <mergeCell ref="BA8:BB9"/>
    <mergeCell ref="BH8:BH9"/>
    <mergeCell ref="BC8:BC9"/>
    <mergeCell ref="AD9:AE9"/>
    <mergeCell ref="AF9:AG9"/>
    <mergeCell ref="AH9:AH10"/>
    <mergeCell ref="AM9:AN9"/>
    <mergeCell ref="CA6:CF7"/>
    <mergeCell ref="CA8:CF9"/>
    <mergeCell ref="AK9:AK10"/>
    <mergeCell ref="BN6:BZ7"/>
    <mergeCell ref="BX8:BX10"/>
    <mergeCell ref="BO9:BO10"/>
    <mergeCell ref="BR9:BR10"/>
    <mergeCell ref="BO8:BW8"/>
    <mergeCell ref="BP9:BQ9"/>
    <mergeCell ref="BS9:BT9"/>
    <mergeCell ref="BU9:BU10"/>
    <mergeCell ref="BV9:BV10"/>
    <mergeCell ref="BW9:BW10"/>
    <mergeCell ref="BN8:BN10"/>
    <mergeCell ref="AR7:AT9"/>
    <mergeCell ref="A3:E3"/>
    <mergeCell ref="AV7:AV10"/>
    <mergeCell ref="I6:U7"/>
    <mergeCell ref="V6:BM6"/>
    <mergeCell ref="J8:R8"/>
    <mergeCell ref="I8:I10"/>
    <mergeCell ref="S8:S10"/>
    <mergeCell ref="T8:U9"/>
    <mergeCell ref="J9:J10"/>
    <mergeCell ref="M9:M10"/>
    <mergeCell ref="AQ9:AQ10"/>
    <mergeCell ref="AI7:AQ8"/>
    <mergeCell ref="V7:AH8"/>
    <mergeCell ref="AI9:AJ9"/>
    <mergeCell ref="BK8:BM9"/>
    <mergeCell ref="BF8:BG8"/>
    <mergeCell ref="P9:P10"/>
    <mergeCell ref="Q9:Q10"/>
    <mergeCell ref="K9:L9"/>
    <mergeCell ref="N9:O9"/>
    <mergeCell ref="V9:W9"/>
    <mergeCell ref="R9:R10"/>
    <mergeCell ref="AB9:AC10"/>
    <mergeCell ref="X9:X10"/>
    <mergeCell ref="AA9:AA10"/>
    <mergeCell ref="AL9:AL10"/>
    <mergeCell ref="AO9:AP9"/>
    <mergeCell ref="Y9:Z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CF513"/>
  <sheetViews>
    <sheetView zoomScaleNormal="100" workbookViewId="0">
      <pane xSplit="8" ySplit="11" topLeftCell="BO115" activePane="bottomRight" state="frozen"/>
      <selection pane="topRight" activeCell="I1" sqref="I1"/>
      <selection pane="bottomLeft" activeCell="A12" sqref="A12"/>
      <selection pane="bottomRight" activeCell="BN6" sqref="BN6:CF7"/>
    </sheetView>
  </sheetViews>
  <sheetFormatPr defaultColWidth="9.140625" defaultRowHeight="15" x14ac:dyDescent="0.25"/>
  <cols>
    <col min="1" max="1" width="5" style="90" customWidth="1"/>
    <col min="2" max="2" width="4.7109375" style="89" bestFit="1" customWidth="1"/>
    <col min="3" max="3" width="8.7109375" style="89" customWidth="1"/>
    <col min="4" max="4" width="7.85546875" style="89" customWidth="1"/>
    <col min="5" max="5" width="30.85546875" style="90" customWidth="1"/>
    <col min="6" max="6" width="4.42578125" style="90" customWidth="1"/>
    <col min="7" max="7" width="10.28515625" style="90" customWidth="1"/>
    <col min="8" max="8" width="8" style="90" customWidth="1"/>
    <col min="9" max="12" width="10.85546875" style="238" customWidth="1"/>
    <col min="13" max="15" width="4.7109375" style="238" hidden="1" customWidth="1"/>
    <col min="16" max="18" width="10.85546875" style="238" customWidth="1"/>
    <col min="19" max="21" width="9.28515625" style="239" customWidth="1"/>
    <col min="22" max="27" width="10.85546875" style="54" customWidth="1"/>
    <col min="28" max="28" width="10.5703125" style="54" customWidth="1"/>
    <col min="29" max="29" width="10.85546875" style="54" hidden="1" customWidth="1"/>
    <col min="30" max="52" width="10.85546875" style="54" customWidth="1"/>
    <col min="53" max="56" width="9.28515625" style="55" customWidth="1"/>
    <col min="57" max="57" width="9.28515625" style="55" hidden="1" customWidth="1"/>
    <col min="58" max="65" width="9.28515625" style="55" customWidth="1"/>
    <col min="66" max="75" width="10.85546875" style="54" customWidth="1"/>
    <col min="76" max="78" width="9.28515625" style="55" customWidth="1"/>
    <col min="79" max="83" width="9.7109375" style="54" customWidth="1"/>
    <col min="84" max="84" width="9.7109375" style="55" customWidth="1"/>
    <col min="85" max="16384" width="9.140625" style="89"/>
  </cols>
  <sheetData>
    <row r="1" spans="1:84" s="56" customFormat="1" ht="12.75" x14ac:dyDescent="0.2">
      <c r="A1" s="50" t="s">
        <v>2</v>
      </c>
      <c r="B1" s="50"/>
      <c r="C1" s="42"/>
      <c r="D1" s="50"/>
      <c r="E1" s="50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181"/>
      <c r="T1" s="181"/>
      <c r="U1" s="181"/>
      <c r="V1" s="87"/>
      <c r="W1" s="87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87"/>
      <c r="AJ1" s="87"/>
      <c r="AK1" s="87"/>
      <c r="AL1" s="52"/>
      <c r="AM1" s="87"/>
      <c r="AN1" s="87"/>
      <c r="AO1" s="87"/>
      <c r="AP1" s="52"/>
      <c r="AQ1" s="52"/>
      <c r="AR1" s="52"/>
      <c r="AS1" s="52"/>
      <c r="AT1" s="52"/>
      <c r="AU1" s="52"/>
      <c r="AV1" s="87"/>
      <c r="AW1" s="52"/>
      <c r="AX1" s="87"/>
      <c r="AY1" s="87"/>
      <c r="AZ1" s="87"/>
      <c r="BA1" s="87"/>
      <c r="BB1" s="87"/>
      <c r="BC1" s="181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87"/>
      <c r="BY1" s="87"/>
      <c r="BZ1" s="87"/>
      <c r="CA1" s="53"/>
      <c r="CB1" s="53"/>
      <c r="CC1" s="53"/>
      <c r="CD1" s="53"/>
      <c r="CE1" s="53"/>
      <c r="CF1" s="87"/>
    </row>
    <row r="2" spans="1:84" ht="12.75" customHeight="1" x14ac:dyDescent="0.25">
      <c r="A2" s="50" t="s">
        <v>3</v>
      </c>
      <c r="B2" s="50"/>
      <c r="C2" s="42"/>
      <c r="D2" s="50"/>
      <c r="E2" s="50"/>
    </row>
    <row r="3" spans="1:84" ht="12.75" customHeight="1" x14ac:dyDescent="0.25">
      <c r="A3" s="965" t="s">
        <v>4</v>
      </c>
      <c r="B3" s="965"/>
      <c r="C3" s="965"/>
      <c r="D3" s="965"/>
      <c r="E3" s="965"/>
      <c r="AX3" s="524"/>
    </row>
    <row r="4" spans="1:84" x14ac:dyDescent="0.25">
      <c r="A4" s="89"/>
      <c r="B4" s="50"/>
      <c r="C4" s="50"/>
      <c r="D4" s="50"/>
      <c r="E4" s="50"/>
      <c r="AY4" s="523"/>
    </row>
    <row r="5" spans="1:84" ht="16.5" thickBot="1" x14ac:dyDescent="0.3">
      <c r="A5" s="182" t="s">
        <v>806</v>
      </c>
      <c r="B5" s="51"/>
      <c r="C5" s="51"/>
      <c r="D5" s="51"/>
      <c r="E5" s="52"/>
      <c r="F5" s="254"/>
      <c r="G5" s="254"/>
      <c r="H5" s="52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655"/>
      <c r="T5" s="655"/>
      <c r="U5" s="655"/>
      <c r="V5" s="401"/>
      <c r="W5" s="401"/>
      <c r="Y5" s="401"/>
      <c r="Z5" s="401"/>
      <c r="AA5" s="401"/>
      <c r="AB5" s="401"/>
      <c r="AC5" s="401"/>
      <c r="AD5" s="401"/>
      <c r="AE5" s="401"/>
      <c r="AF5" s="401"/>
      <c r="AG5" s="401"/>
      <c r="AH5" s="401"/>
      <c r="AI5" s="401"/>
      <c r="AJ5" s="401"/>
      <c r="AK5" s="401"/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Y5" s="523"/>
    </row>
    <row r="6" spans="1:84" ht="12" customHeight="1" x14ac:dyDescent="0.25">
      <c r="A6" s="555" t="s">
        <v>805</v>
      </c>
      <c r="B6" s="556"/>
      <c r="C6" s="557"/>
      <c r="D6" s="557"/>
      <c r="E6" s="556"/>
      <c r="F6" s="556"/>
      <c r="G6" s="52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1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89"/>
      <c r="B7" s="6"/>
      <c r="C7"/>
      <c r="D7" s="10"/>
      <c r="E7" s="6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4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s="91" customFormat="1" ht="15" customHeight="1" x14ac:dyDescent="0.25">
      <c r="A8" s="117"/>
      <c r="I8" s="980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987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781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s="92" customFormat="1" ht="23.1" customHeight="1" thickBot="1" x14ac:dyDescent="0.25">
      <c r="A9" s="116" t="s">
        <v>751</v>
      </c>
      <c r="B9"/>
      <c r="C9"/>
      <c r="D9" s="12"/>
      <c r="E9"/>
      <c r="F9" s="59"/>
      <c r="G9" s="60"/>
      <c r="H9" s="60"/>
      <c r="I9" s="981"/>
      <c r="J9" s="990" t="s">
        <v>268</v>
      </c>
      <c r="K9" s="962" t="s">
        <v>839</v>
      </c>
      <c r="L9" s="963"/>
      <c r="M9" s="960" t="s">
        <v>274</v>
      </c>
      <c r="N9" s="962" t="s">
        <v>837</v>
      </c>
      <c r="O9" s="963"/>
      <c r="P9" s="960" t="s">
        <v>5</v>
      </c>
      <c r="Q9" s="960" t="s">
        <v>1</v>
      </c>
      <c r="R9" s="960" t="s">
        <v>7</v>
      </c>
      <c r="S9" s="984"/>
      <c r="T9" s="988"/>
      <c r="U9" s="989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s="92" customFormat="1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982"/>
      <c r="J10" s="991"/>
      <c r="K10" s="656" t="s">
        <v>812</v>
      </c>
      <c r="L10" s="656" t="s">
        <v>813</v>
      </c>
      <c r="M10" s="961"/>
      <c r="N10" s="656" t="s">
        <v>812</v>
      </c>
      <c r="O10" s="656" t="s">
        <v>813</v>
      </c>
      <c r="P10" s="961"/>
      <c r="Q10" s="961"/>
      <c r="R10" s="961"/>
      <c r="S10" s="985"/>
      <c r="T10" s="657" t="s">
        <v>812</v>
      </c>
      <c r="U10" s="677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911" t="s">
        <v>262</v>
      </c>
      <c r="J11" s="912" t="s">
        <v>263</v>
      </c>
      <c r="K11" s="912" t="s">
        <v>808</v>
      </c>
      <c r="L11" s="912" t="s">
        <v>809</v>
      </c>
      <c r="M11" s="912" t="s">
        <v>269</v>
      </c>
      <c r="N11" s="912" t="s">
        <v>810</v>
      </c>
      <c r="O11" s="912" t="s">
        <v>811</v>
      </c>
      <c r="P11" s="912" t="s">
        <v>264</v>
      </c>
      <c r="Q11" s="912" t="s">
        <v>265</v>
      </c>
      <c r="R11" s="912" t="s">
        <v>266</v>
      </c>
      <c r="S11" s="913" t="s">
        <v>267</v>
      </c>
      <c r="T11" s="914" t="s">
        <v>533</v>
      </c>
      <c r="U11" s="915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40" t="s">
        <v>882</v>
      </c>
      <c r="AC11" s="1041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7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40" t="s">
        <v>884</v>
      </c>
      <c r="BE11" s="1041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821" t="s">
        <v>889</v>
      </c>
      <c r="CB11" s="758" t="s">
        <v>882</v>
      </c>
      <c r="CC11" s="758" t="s">
        <v>883</v>
      </c>
      <c r="CD11" s="758" t="s">
        <v>890</v>
      </c>
      <c r="CE11" s="758" t="s">
        <v>891</v>
      </c>
      <c r="CF11" s="828" t="s">
        <v>884</v>
      </c>
    </row>
    <row r="12" spans="1:84" s="96" customFormat="1" ht="14.1" customHeight="1" x14ac:dyDescent="0.2">
      <c r="A12" s="128">
        <v>1</v>
      </c>
      <c r="B12" s="129">
        <v>2323</v>
      </c>
      <c r="C12" s="130">
        <v>667000241</v>
      </c>
      <c r="D12" s="129">
        <v>71223461</v>
      </c>
      <c r="E12" s="129" t="s">
        <v>707</v>
      </c>
      <c r="F12" s="131">
        <v>3141</v>
      </c>
      <c r="G12" s="129" t="s">
        <v>295</v>
      </c>
      <c r="H12" s="132" t="s">
        <v>272</v>
      </c>
      <c r="I12" s="658">
        <f>J12+M12+P12+Q12+R12</f>
        <v>2946418</v>
      </c>
      <c r="J12" s="659">
        <f>K12+L12</f>
        <v>2167620</v>
      </c>
      <c r="K12" s="659">
        <v>0</v>
      </c>
      <c r="L12" s="920">
        <v>2167620</v>
      </c>
      <c r="M12" s="659">
        <f t="shared" ref="M12" si="0">N12+O12</f>
        <v>0</v>
      </c>
      <c r="N12" s="659">
        <v>0</v>
      </c>
      <c r="O12" s="659">
        <v>0</v>
      </c>
      <c r="P12" s="659">
        <f t="shared" ref="P12" si="1">ROUND(J12*33.8%,0)</f>
        <v>732656</v>
      </c>
      <c r="Q12" s="659">
        <f t="shared" ref="Q12:Q75" si="2">ROUND(J12*1%,0)</f>
        <v>21676</v>
      </c>
      <c r="R12" s="659">
        <v>24466</v>
      </c>
      <c r="S12" s="411">
        <f t="shared" ref="S12:S76" si="3">T12+U12</f>
        <v>6.5</v>
      </c>
      <c r="T12" s="411">
        <v>0</v>
      </c>
      <c r="U12" s="945">
        <v>6.5</v>
      </c>
      <c r="V12" s="415">
        <f>AI12*-1</f>
        <v>0</v>
      </c>
      <c r="W12" s="413">
        <f>AJ12*-1</f>
        <v>-19200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340150</v>
      </c>
      <c r="AF12" s="413">
        <f>V12+X12+Y12+AA12+AB12+AD12</f>
        <v>0</v>
      </c>
      <c r="AG12" s="413">
        <f>W12+Z12+AC12+AE12</f>
        <v>320950</v>
      </c>
      <c r="AH12" s="413">
        <f>SUM(AF12:AG12)</f>
        <v>320950</v>
      </c>
      <c r="AI12" s="413">
        <v>0</v>
      </c>
      <c r="AJ12" s="413">
        <v>19200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0</v>
      </c>
      <c r="AP12" s="413">
        <f>AJ12+AN12</f>
        <v>19200</v>
      </c>
      <c r="AQ12" s="413">
        <f>SUM(AO12:AP12)</f>
        <v>19200</v>
      </c>
      <c r="AR12" s="413">
        <f>AF12+AO12</f>
        <v>0</v>
      </c>
      <c r="AS12" s="413">
        <f>AG12+AP12</f>
        <v>340150</v>
      </c>
      <c r="AT12" s="413">
        <f>SUM(AR12:AS12)</f>
        <v>340150</v>
      </c>
      <c r="AU12" s="144">
        <f>ROUND((AH12+AI12+AJ12+AK12+AL12)*33.8%,0)</f>
        <v>114971</v>
      </c>
      <c r="AV12" s="144">
        <f>ROUND(AH12*1%,0)</f>
        <v>3210</v>
      </c>
      <c r="AW12" s="413">
        <v>0</v>
      </c>
      <c r="AX12" s="413">
        <v>0</v>
      </c>
      <c r="AY12" s="413">
        <f>AW12+AX12</f>
        <v>0</v>
      </c>
      <c r="AZ12" s="413">
        <f>AT12+AU12+AV12+AY12</f>
        <v>458331</v>
      </c>
      <c r="BA12" s="414">
        <v>0</v>
      </c>
      <c r="BB12" s="414">
        <v>-0.02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1.02</v>
      </c>
      <c r="BK12" s="414">
        <f>BA12+BC12+BD12+BF12+BH12+BI12</f>
        <v>0</v>
      </c>
      <c r="BL12" s="414">
        <f>BB12+BE12+BG12+BJ12</f>
        <v>1</v>
      </c>
      <c r="BM12" s="416">
        <f>SUM(BK12:BL12)</f>
        <v>1</v>
      </c>
      <c r="BN12" s="412">
        <f>I12+AZ12</f>
        <v>3404749</v>
      </c>
      <c r="BO12" s="413">
        <f>J12+AH12</f>
        <v>2488570</v>
      </c>
      <c r="BP12" s="413">
        <f>K12+AF12</f>
        <v>0</v>
      </c>
      <c r="BQ12" s="413">
        <f>L12+AG12</f>
        <v>2488570</v>
      </c>
      <c r="BR12" s="413">
        <f>M12+AQ12</f>
        <v>19200</v>
      </c>
      <c r="BS12" s="413">
        <f>N12+AO12</f>
        <v>0</v>
      </c>
      <c r="BT12" s="413">
        <f>O12+AP12</f>
        <v>19200</v>
      </c>
      <c r="BU12" s="413">
        <f>P12+AU12</f>
        <v>847627</v>
      </c>
      <c r="BV12" s="413">
        <f>Q12+AV12</f>
        <v>24886</v>
      </c>
      <c r="BW12" s="413">
        <f>R12+AY12</f>
        <v>24466</v>
      </c>
      <c r="BX12" s="414">
        <f>S12+BM12</f>
        <v>7.5</v>
      </c>
      <c r="BY12" s="414">
        <f>T12+BK12</f>
        <v>0</v>
      </c>
      <c r="BZ12" s="610">
        <f>U12+BL12</f>
        <v>7.5</v>
      </c>
      <c r="CA12" s="408"/>
      <c r="CB12" s="409"/>
      <c r="CC12" s="409"/>
      <c r="CD12" s="409"/>
      <c r="CE12" s="409"/>
      <c r="CF12" s="509"/>
    </row>
    <row r="13" spans="1:84" s="96" customFormat="1" ht="14.1" customHeight="1" x14ac:dyDescent="0.2">
      <c r="A13" s="119">
        <v>1</v>
      </c>
      <c r="B13" s="97">
        <v>2323</v>
      </c>
      <c r="C13" s="98">
        <v>667000241</v>
      </c>
      <c r="D13" s="97">
        <v>71223461</v>
      </c>
      <c r="E13" s="97" t="s">
        <v>708</v>
      </c>
      <c r="F13" s="99"/>
      <c r="G13" s="100"/>
      <c r="H13" s="101"/>
      <c r="I13" s="442">
        <f t="shared" ref="I13:U13" si="4">SUM(I12)</f>
        <v>2946418</v>
      </c>
      <c r="J13" s="438">
        <f t="shared" si="4"/>
        <v>2167620</v>
      </c>
      <c r="K13" s="438">
        <f t="shared" si="4"/>
        <v>0</v>
      </c>
      <c r="L13" s="438">
        <f t="shared" si="4"/>
        <v>2167620</v>
      </c>
      <c r="M13" s="438">
        <f t="shared" si="4"/>
        <v>0</v>
      </c>
      <c r="N13" s="438">
        <f t="shared" si="4"/>
        <v>0</v>
      </c>
      <c r="O13" s="438">
        <f t="shared" si="4"/>
        <v>0</v>
      </c>
      <c r="P13" s="438">
        <f t="shared" si="4"/>
        <v>732656</v>
      </c>
      <c r="Q13" s="438">
        <f t="shared" si="4"/>
        <v>21676</v>
      </c>
      <c r="R13" s="438">
        <f t="shared" si="4"/>
        <v>24466</v>
      </c>
      <c r="S13" s="439">
        <f t="shared" si="4"/>
        <v>6.5</v>
      </c>
      <c r="T13" s="439">
        <f t="shared" si="4"/>
        <v>0</v>
      </c>
      <c r="U13" s="814">
        <f t="shared" si="4"/>
        <v>6.5</v>
      </c>
      <c r="V13" s="442">
        <f t="shared" ref="V13:CF13" si="5">SUM(V12)</f>
        <v>0</v>
      </c>
      <c r="W13" s="438">
        <f t="shared" si="5"/>
        <v>-19200</v>
      </c>
      <c r="X13" s="438">
        <f t="shared" si="5"/>
        <v>0</v>
      </c>
      <c r="Y13" s="438">
        <f t="shared" si="5"/>
        <v>0</v>
      </c>
      <c r="Z13" s="438">
        <f t="shared" si="5"/>
        <v>0</v>
      </c>
      <c r="AA13" s="438">
        <f t="shared" si="5"/>
        <v>0</v>
      </c>
      <c r="AB13" s="438">
        <f t="shared" si="5"/>
        <v>0</v>
      </c>
      <c r="AC13" s="438">
        <f t="shared" si="5"/>
        <v>0</v>
      </c>
      <c r="AD13" s="438">
        <f t="shared" si="5"/>
        <v>0</v>
      </c>
      <c r="AE13" s="438">
        <f t="shared" si="5"/>
        <v>340150</v>
      </c>
      <c r="AF13" s="438">
        <f t="shared" si="5"/>
        <v>0</v>
      </c>
      <c r="AG13" s="438">
        <f t="shared" si="5"/>
        <v>320950</v>
      </c>
      <c r="AH13" s="438">
        <f t="shared" si="5"/>
        <v>320950</v>
      </c>
      <c r="AI13" s="438">
        <f t="shared" si="5"/>
        <v>0</v>
      </c>
      <c r="AJ13" s="438">
        <f t="shared" si="5"/>
        <v>19200</v>
      </c>
      <c r="AK13" s="438">
        <f t="shared" si="5"/>
        <v>0</v>
      </c>
      <c r="AL13" s="438">
        <f t="shared" si="5"/>
        <v>0</v>
      </c>
      <c r="AM13" s="438">
        <f t="shared" si="5"/>
        <v>0</v>
      </c>
      <c r="AN13" s="438">
        <f t="shared" si="5"/>
        <v>0</v>
      </c>
      <c r="AO13" s="949">
        <f t="shared" si="5"/>
        <v>0</v>
      </c>
      <c r="AP13" s="438">
        <f t="shared" si="5"/>
        <v>19200</v>
      </c>
      <c r="AQ13" s="438">
        <f t="shared" si="5"/>
        <v>19200</v>
      </c>
      <c r="AR13" s="438">
        <f t="shared" si="5"/>
        <v>0</v>
      </c>
      <c r="AS13" s="438">
        <f t="shared" si="5"/>
        <v>340150</v>
      </c>
      <c r="AT13" s="438">
        <f t="shared" si="5"/>
        <v>340150</v>
      </c>
      <c r="AU13" s="438">
        <f t="shared" si="5"/>
        <v>114971</v>
      </c>
      <c r="AV13" s="438">
        <f t="shared" si="5"/>
        <v>3210</v>
      </c>
      <c r="AW13" s="438">
        <f t="shared" si="5"/>
        <v>0</v>
      </c>
      <c r="AX13" s="438">
        <f t="shared" si="5"/>
        <v>0</v>
      </c>
      <c r="AY13" s="438">
        <f t="shared" si="5"/>
        <v>0</v>
      </c>
      <c r="AZ13" s="438">
        <f t="shared" si="5"/>
        <v>458331</v>
      </c>
      <c r="BA13" s="439">
        <f t="shared" si="5"/>
        <v>0</v>
      </c>
      <c r="BB13" s="439">
        <f t="shared" si="5"/>
        <v>-0.02</v>
      </c>
      <c r="BC13" s="439">
        <f t="shared" si="5"/>
        <v>0</v>
      </c>
      <c r="BD13" s="439">
        <f t="shared" si="5"/>
        <v>0</v>
      </c>
      <c r="BE13" s="439">
        <f t="shared" si="5"/>
        <v>0</v>
      </c>
      <c r="BF13" s="439">
        <f t="shared" si="5"/>
        <v>0</v>
      </c>
      <c r="BG13" s="439">
        <f t="shared" si="5"/>
        <v>0</v>
      </c>
      <c r="BH13" s="439">
        <f t="shared" si="5"/>
        <v>0</v>
      </c>
      <c r="BI13" s="439">
        <f t="shared" si="5"/>
        <v>0</v>
      </c>
      <c r="BJ13" s="439">
        <f t="shared" si="5"/>
        <v>1.02</v>
      </c>
      <c r="BK13" s="439">
        <f t="shared" si="5"/>
        <v>0</v>
      </c>
      <c r="BL13" s="439">
        <f t="shared" si="5"/>
        <v>1</v>
      </c>
      <c r="BM13" s="103">
        <f t="shared" si="5"/>
        <v>1</v>
      </c>
      <c r="BN13" s="444">
        <f t="shared" si="5"/>
        <v>3404749</v>
      </c>
      <c r="BO13" s="438">
        <f t="shared" si="5"/>
        <v>2488570</v>
      </c>
      <c r="BP13" s="438">
        <f t="shared" si="5"/>
        <v>0</v>
      </c>
      <c r="BQ13" s="438">
        <f t="shared" si="5"/>
        <v>2488570</v>
      </c>
      <c r="BR13" s="438">
        <f t="shared" si="5"/>
        <v>19200</v>
      </c>
      <c r="BS13" s="438">
        <f t="shared" si="5"/>
        <v>0</v>
      </c>
      <c r="BT13" s="438">
        <f t="shared" si="5"/>
        <v>19200</v>
      </c>
      <c r="BU13" s="438">
        <f t="shared" si="5"/>
        <v>847627</v>
      </c>
      <c r="BV13" s="438">
        <f t="shared" si="5"/>
        <v>24886</v>
      </c>
      <c r="BW13" s="438">
        <f t="shared" si="5"/>
        <v>24466</v>
      </c>
      <c r="BX13" s="439">
        <f t="shared" si="5"/>
        <v>7.5</v>
      </c>
      <c r="BY13" s="439">
        <f t="shared" si="5"/>
        <v>0</v>
      </c>
      <c r="BZ13" s="814">
        <f t="shared" si="5"/>
        <v>7.5</v>
      </c>
      <c r="CA13" s="819">
        <f t="shared" si="5"/>
        <v>0</v>
      </c>
      <c r="CB13" s="817">
        <f t="shared" si="5"/>
        <v>0</v>
      </c>
      <c r="CC13" s="817">
        <f t="shared" si="5"/>
        <v>0</v>
      </c>
      <c r="CD13" s="817">
        <f t="shared" si="5"/>
        <v>0</v>
      </c>
      <c r="CE13" s="817">
        <f t="shared" si="5"/>
        <v>0</v>
      </c>
      <c r="CF13" s="802">
        <f t="shared" si="5"/>
        <v>0</v>
      </c>
    </row>
    <row r="14" spans="1:84" s="96" customFormat="1" ht="14.1" customHeight="1" x14ac:dyDescent="0.2">
      <c r="A14" s="118">
        <v>2</v>
      </c>
      <c r="B14" s="77">
        <v>2314</v>
      </c>
      <c r="C14" s="93">
        <v>600080358</v>
      </c>
      <c r="D14" s="77">
        <v>46745751</v>
      </c>
      <c r="E14" s="77" t="s">
        <v>709</v>
      </c>
      <c r="F14" s="94">
        <v>3114</v>
      </c>
      <c r="G14" s="165" t="s">
        <v>526</v>
      </c>
      <c r="H14" s="95" t="s">
        <v>271</v>
      </c>
      <c r="I14" s="669">
        <f t="shared" ref="I14:I76" si="6">J14+M14+P14+Q14+R14</f>
        <v>12021956</v>
      </c>
      <c r="J14" s="668">
        <f t="shared" ref="J14:J76" si="7">K14+L14</f>
        <v>8846305</v>
      </c>
      <c r="K14" s="668">
        <v>8046111</v>
      </c>
      <c r="L14" s="668">
        <v>800194</v>
      </c>
      <c r="M14" s="668">
        <f t="shared" ref="M14:M78" si="8">N14+O14</f>
        <v>0</v>
      </c>
      <c r="N14" s="668">
        <v>0</v>
      </c>
      <c r="O14" s="668">
        <v>0</v>
      </c>
      <c r="P14" s="668">
        <f>ROUND(J14*33.8%,0)-1</f>
        <v>2990050</v>
      </c>
      <c r="Q14" s="668">
        <f t="shared" si="2"/>
        <v>88463</v>
      </c>
      <c r="R14" s="668">
        <v>97138</v>
      </c>
      <c r="S14" s="420">
        <f t="shared" si="3"/>
        <v>13.202400000000001</v>
      </c>
      <c r="T14" s="420">
        <v>10.9091</v>
      </c>
      <c r="U14" s="946">
        <v>2.2932999999999999</v>
      </c>
      <c r="V14" s="428">
        <f t="shared" ref="V14:W18" si="9">AI14*-1</f>
        <v>0</v>
      </c>
      <c r="W14" s="421">
        <f t="shared" si="9"/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72019</v>
      </c>
      <c r="AE14" s="421">
        <v>0</v>
      </c>
      <c r="AF14" s="421">
        <f t="shared" ref="AF14:AF76" si="10">V14+X14+Y14+AA14+AB14+AD14</f>
        <v>72019</v>
      </c>
      <c r="AG14" s="421">
        <f t="shared" ref="AG14:AG76" si="11">W14+Z14+AC14+AE14</f>
        <v>0</v>
      </c>
      <c r="AH14" s="421">
        <f t="shared" ref="AH14:AH76" si="12">SUM(AF14:AG14)</f>
        <v>72019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0</v>
      </c>
      <c r="AQ14" s="421">
        <f t="shared" ref="AQ14:AQ76" si="13">SUM(AO14:AP14)</f>
        <v>0</v>
      </c>
      <c r="AR14" s="421">
        <f t="shared" ref="AR14:AR76" si="14">AF14+AO14</f>
        <v>72019</v>
      </c>
      <c r="AS14" s="421">
        <f t="shared" ref="AS14:AS76" si="15">AG14+AP14</f>
        <v>0</v>
      </c>
      <c r="AT14" s="421">
        <f t="shared" ref="AT14:AT76" si="16">SUM(AR14:AS14)</f>
        <v>72019</v>
      </c>
      <c r="AU14" s="68">
        <f>ROUND((AH14+AI14+AJ14+AK14+AL14)*33.8%,0)</f>
        <v>24342</v>
      </c>
      <c r="AV14" s="68">
        <f t="shared" ref="AV14:AV76" si="17">ROUND(AH14*1%,0)</f>
        <v>720</v>
      </c>
      <c r="AW14" s="421">
        <v>0</v>
      </c>
      <c r="AX14" s="421">
        <v>0</v>
      </c>
      <c r="AY14" s="421">
        <f t="shared" ref="AY14:AY76" si="18">AW14+AX14</f>
        <v>0</v>
      </c>
      <c r="AZ14" s="421">
        <f t="shared" ref="AZ14:AZ76" si="19">AT14+AU14+AV14+AY14</f>
        <v>97081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0.1</v>
      </c>
      <c r="BJ14" s="422">
        <v>0</v>
      </c>
      <c r="BK14" s="422">
        <f>BA14+BC14+BD14+BF14+BH14+BI14</f>
        <v>0.1</v>
      </c>
      <c r="BL14" s="422">
        <f>BB14+BE14+BG14+BJ14</f>
        <v>0</v>
      </c>
      <c r="BM14" s="424">
        <f>SUM(BK14:BL14)</f>
        <v>0.1</v>
      </c>
      <c r="BN14" s="427">
        <f t="shared" ref="BN14:BN76" si="20">I14+AZ14</f>
        <v>12119037</v>
      </c>
      <c r="BO14" s="421">
        <f t="shared" ref="BO14:BO76" si="21">J14+AH14</f>
        <v>8918324</v>
      </c>
      <c r="BP14" s="421">
        <f t="shared" ref="BP14:BQ18" si="22">K14+AF14</f>
        <v>8118130</v>
      </c>
      <c r="BQ14" s="421">
        <f t="shared" si="22"/>
        <v>800194</v>
      </c>
      <c r="BR14" s="421">
        <f>M14+AQ14</f>
        <v>0</v>
      </c>
      <c r="BS14" s="421">
        <f t="shared" ref="BS14:BT18" si="23">N14+AO14</f>
        <v>0</v>
      </c>
      <c r="BT14" s="421">
        <f t="shared" si="23"/>
        <v>0</v>
      </c>
      <c r="BU14" s="421">
        <f t="shared" ref="BU14:BV18" si="24">P14+AU14</f>
        <v>3014392</v>
      </c>
      <c r="BV14" s="421">
        <f t="shared" si="24"/>
        <v>89183</v>
      </c>
      <c r="BW14" s="421">
        <f>R14+AY14</f>
        <v>97138</v>
      </c>
      <c r="BX14" s="422">
        <f>S14+BM14</f>
        <v>13.3024</v>
      </c>
      <c r="BY14" s="422">
        <f t="shared" ref="BY14:BZ18" si="25">T14+BK14</f>
        <v>11.0091</v>
      </c>
      <c r="BZ14" s="611">
        <f t="shared" si="25"/>
        <v>2.2932999999999999</v>
      </c>
      <c r="CA14" s="423"/>
      <c r="CB14" s="418"/>
      <c r="CC14" s="418"/>
      <c r="CD14" s="418"/>
      <c r="CE14" s="418"/>
      <c r="CF14" s="527"/>
    </row>
    <row r="15" spans="1:84" s="96" customFormat="1" ht="14.1" customHeight="1" x14ac:dyDescent="0.2">
      <c r="A15" s="118">
        <v>2</v>
      </c>
      <c r="B15" s="77">
        <v>2314</v>
      </c>
      <c r="C15" s="93">
        <v>600080358</v>
      </c>
      <c r="D15" s="77">
        <v>46745751</v>
      </c>
      <c r="E15" s="77" t="s">
        <v>709</v>
      </c>
      <c r="F15" s="94">
        <v>3114</v>
      </c>
      <c r="G15" s="43" t="s">
        <v>293</v>
      </c>
      <c r="H15" s="95" t="s">
        <v>271</v>
      </c>
      <c r="I15" s="669">
        <f t="shared" si="6"/>
        <v>2685191</v>
      </c>
      <c r="J15" s="668">
        <f t="shared" si="7"/>
        <v>1991981</v>
      </c>
      <c r="K15" s="668">
        <v>1991981</v>
      </c>
      <c r="L15" s="668">
        <v>0</v>
      </c>
      <c r="M15" s="668">
        <f t="shared" si="8"/>
        <v>0</v>
      </c>
      <c r="N15" s="668">
        <v>0</v>
      </c>
      <c r="O15" s="668">
        <v>0</v>
      </c>
      <c r="P15" s="668">
        <f t="shared" ref="P15:P75" si="26">ROUND(J15*33.8%,0)</f>
        <v>673290</v>
      </c>
      <c r="Q15" s="668">
        <f t="shared" si="2"/>
        <v>19920</v>
      </c>
      <c r="R15" s="668">
        <v>0</v>
      </c>
      <c r="S15" s="420">
        <f t="shared" si="3"/>
        <v>5.0831</v>
      </c>
      <c r="T15" s="420">
        <v>5.0831</v>
      </c>
      <c r="U15" s="946">
        <v>0</v>
      </c>
      <c r="V15" s="428">
        <f t="shared" si="9"/>
        <v>-38400</v>
      </c>
      <c r="W15" s="421">
        <f t="shared" si="9"/>
        <v>-34693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 t="shared" si="10"/>
        <v>-38400</v>
      </c>
      <c r="AG15" s="421">
        <f t="shared" si="11"/>
        <v>-34693</v>
      </c>
      <c r="AH15" s="421">
        <f t="shared" si="12"/>
        <v>-73093</v>
      </c>
      <c r="AI15" s="421">
        <v>38400</v>
      </c>
      <c r="AJ15" s="421">
        <v>34693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ref="AO15:AO18" si="27">AI15+AK15+AL15+AM15</f>
        <v>38400</v>
      </c>
      <c r="AP15" s="421">
        <f>AJ15+AN15</f>
        <v>34693</v>
      </c>
      <c r="AQ15" s="421">
        <f t="shared" si="13"/>
        <v>73093</v>
      </c>
      <c r="AR15" s="421">
        <f t="shared" si="14"/>
        <v>0</v>
      </c>
      <c r="AS15" s="421">
        <f t="shared" si="15"/>
        <v>0</v>
      </c>
      <c r="AT15" s="421">
        <f t="shared" si="16"/>
        <v>0</v>
      </c>
      <c r="AU15" s="68">
        <f t="shared" ref="AU15:AU18" si="28">ROUND((AH15+AI15+AJ15+AK15+AL15)*33.8%,0)</f>
        <v>0</v>
      </c>
      <c r="AV15" s="68">
        <f t="shared" si="17"/>
        <v>-731</v>
      </c>
      <c r="AW15" s="421">
        <v>0</v>
      </c>
      <c r="AX15" s="421">
        <v>0</v>
      </c>
      <c r="AY15" s="421">
        <f t="shared" si="18"/>
        <v>0</v>
      </c>
      <c r="AZ15" s="421">
        <f t="shared" si="19"/>
        <v>-731</v>
      </c>
      <c r="BA15" s="422">
        <v>0</v>
      </c>
      <c r="BB15" s="422">
        <v>-0.1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0</v>
      </c>
      <c r="BL15" s="422">
        <f>BB15+BE15+BG15+BJ15</f>
        <v>-0.1</v>
      </c>
      <c r="BM15" s="424">
        <f>SUM(BK15:BL15)</f>
        <v>-0.1</v>
      </c>
      <c r="BN15" s="427">
        <f t="shared" si="20"/>
        <v>2684460</v>
      </c>
      <c r="BO15" s="421">
        <f t="shared" si="21"/>
        <v>1918888</v>
      </c>
      <c r="BP15" s="421">
        <f t="shared" si="22"/>
        <v>1953581</v>
      </c>
      <c r="BQ15" s="421">
        <f t="shared" si="22"/>
        <v>-34693</v>
      </c>
      <c r="BR15" s="421">
        <f>M15+AQ15</f>
        <v>73093</v>
      </c>
      <c r="BS15" s="421">
        <f t="shared" si="23"/>
        <v>38400</v>
      </c>
      <c r="BT15" s="421">
        <f t="shared" si="23"/>
        <v>34693</v>
      </c>
      <c r="BU15" s="421">
        <f t="shared" si="24"/>
        <v>673290</v>
      </c>
      <c r="BV15" s="421">
        <f t="shared" si="24"/>
        <v>19189</v>
      </c>
      <c r="BW15" s="421">
        <f>R15+AY15</f>
        <v>0</v>
      </c>
      <c r="BX15" s="422">
        <f>S15+BM15</f>
        <v>4.9831000000000003</v>
      </c>
      <c r="BY15" s="422">
        <f t="shared" si="25"/>
        <v>5.0831</v>
      </c>
      <c r="BZ15" s="611">
        <f t="shared" si="25"/>
        <v>-0.1</v>
      </c>
      <c r="CA15" s="423"/>
      <c r="CB15" s="418"/>
      <c r="CC15" s="418"/>
      <c r="CD15" s="418"/>
      <c r="CE15" s="418"/>
      <c r="CF15" s="527"/>
    </row>
    <row r="16" spans="1:84" s="96" customFormat="1" ht="14.1" customHeight="1" x14ac:dyDescent="0.2">
      <c r="A16" s="118">
        <v>2</v>
      </c>
      <c r="B16" s="77">
        <v>2314</v>
      </c>
      <c r="C16" s="93">
        <v>600080358</v>
      </c>
      <c r="D16" s="77">
        <v>46745751</v>
      </c>
      <c r="E16" s="77" t="s">
        <v>709</v>
      </c>
      <c r="F16" s="94">
        <v>3114</v>
      </c>
      <c r="G16" s="43" t="s">
        <v>292</v>
      </c>
      <c r="H16" s="95" t="s">
        <v>272</v>
      </c>
      <c r="I16" s="669">
        <f t="shared" si="6"/>
        <v>0</v>
      </c>
      <c r="J16" s="668">
        <f t="shared" si="7"/>
        <v>0</v>
      </c>
      <c r="K16" s="668">
        <v>0</v>
      </c>
      <c r="L16" s="668">
        <v>0</v>
      </c>
      <c r="M16" s="668">
        <f t="shared" si="8"/>
        <v>0</v>
      </c>
      <c r="N16" s="668">
        <v>0</v>
      </c>
      <c r="O16" s="668">
        <v>0</v>
      </c>
      <c r="P16" s="668">
        <f t="shared" si="26"/>
        <v>0</v>
      </c>
      <c r="Q16" s="668">
        <f t="shared" si="2"/>
        <v>0</v>
      </c>
      <c r="R16" s="668">
        <v>0</v>
      </c>
      <c r="S16" s="420">
        <f t="shared" si="3"/>
        <v>0</v>
      </c>
      <c r="T16" s="420">
        <v>0</v>
      </c>
      <c r="U16" s="946">
        <v>0</v>
      </c>
      <c r="V16" s="428">
        <f t="shared" si="9"/>
        <v>0</v>
      </c>
      <c r="W16" s="421">
        <f t="shared" si="9"/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 t="shared" si="10"/>
        <v>0</v>
      </c>
      <c r="AG16" s="421">
        <f t="shared" si="11"/>
        <v>0</v>
      </c>
      <c r="AH16" s="421">
        <f t="shared" si="12"/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si="27"/>
        <v>0</v>
      </c>
      <c r="AP16" s="421">
        <f>AJ16+AN16</f>
        <v>0</v>
      </c>
      <c r="AQ16" s="421">
        <f t="shared" si="13"/>
        <v>0</v>
      </c>
      <c r="AR16" s="421">
        <f t="shared" si="14"/>
        <v>0</v>
      </c>
      <c r="AS16" s="421">
        <f t="shared" si="15"/>
        <v>0</v>
      </c>
      <c r="AT16" s="421">
        <f t="shared" si="16"/>
        <v>0</v>
      </c>
      <c r="AU16" s="68">
        <f t="shared" si="28"/>
        <v>0</v>
      </c>
      <c r="AV16" s="68">
        <f t="shared" si="17"/>
        <v>0</v>
      </c>
      <c r="AW16" s="421">
        <v>0</v>
      </c>
      <c r="AX16" s="421">
        <v>0</v>
      </c>
      <c r="AY16" s="421">
        <f t="shared" si="18"/>
        <v>0</v>
      </c>
      <c r="AZ16" s="421">
        <f t="shared" si="19"/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424">
        <f>SUM(BK16:BL16)</f>
        <v>0</v>
      </c>
      <c r="BN16" s="427">
        <f t="shared" si="20"/>
        <v>0</v>
      </c>
      <c r="BO16" s="421">
        <f t="shared" si="21"/>
        <v>0</v>
      </c>
      <c r="BP16" s="421">
        <f t="shared" si="22"/>
        <v>0</v>
      </c>
      <c r="BQ16" s="421">
        <f t="shared" si="22"/>
        <v>0</v>
      </c>
      <c r="BR16" s="421">
        <f>M16+AQ16</f>
        <v>0</v>
      </c>
      <c r="BS16" s="421">
        <f t="shared" si="23"/>
        <v>0</v>
      </c>
      <c r="BT16" s="421">
        <f t="shared" si="23"/>
        <v>0</v>
      </c>
      <c r="BU16" s="421">
        <f t="shared" si="24"/>
        <v>0</v>
      </c>
      <c r="BV16" s="421">
        <f t="shared" si="24"/>
        <v>0</v>
      </c>
      <c r="BW16" s="421">
        <f>R16+AY16</f>
        <v>0</v>
      </c>
      <c r="BX16" s="422">
        <f>S16+BM16</f>
        <v>0</v>
      </c>
      <c r="BY16" s="422">
        <f t="shared" si="25"/>
        <v>0</v>
      </c>
      <c r="BZ16" s="611">
        <f t="shared" si="25"/>
        <v>0</v>
      </c>
      <c r="CA16" s="423"/>
      <c r="CB16" s="418"/>
      <c r="CC16" s="418"/>
      <c r="CD16" s="418"/>
      <c r="CE16" s="418"/>
      <c r="CF16" s="527"/>
    </row>
    <row r="17" spans="1:84" s="96" customFormat="1" ht="14.1" customHeight="1" x14ac:dyDescent="0.2">
      <c r="A17" s="118">
        <v>2</v>
      </c>
      <c r="B17" s="77">
        <v>2314</v>
      </c>
      <c r="C17" s="93">
        <v>600080358</v>
      </c>
      <c r="D17" s="77">
        <v>46745751</v>
      </c>
      <c r="E17" s="77" t="s">
        <v>709</v>
      </c>
      <c r="F17" s="94">
        <v>3143</v>
      </c>
      <c r="G17" s="77" t="s">
        <v>596</v>
      </c>
      <c r="H17" s="95" t="s">
        <v>271</v>
      </c>
      <c r="I17" s="669">
        <f t="shared" si="6"/>
        <v>758025</v>
      </c>
      <c r="J17" s="668">
        <f t="shared" si="7"/>
        <v>562333</v>
      </c>
      <c r="K17" s="668">
        <v>562333</v>
      </c>
      <c r="L17" s="668">
        <v>0</v>
      </c>
      <c r="M17" s="668">
        <f t="shared" si="8"/>
        <v>0</v>
      </c>
      <c r="N17" s="668">
        <v>0</v>
      </c>
      <c r="O17" s="668">
        <v>0</v>
      </c>
      <c r="P17" s="668">
        <f t="shared" si="26"/>
        <v>190069</v>
      </c>
      <c r="Q17" s="668">
        <f t="shared" si="2"/>
        <v>5623</v>
      </c>
      <c r="R17" s="668">
        <v>0</v>
      </c>
      <c r="S17" s="420">
        <f t="shared" si="3"/>
        <v>1.2413000000000001</v>
      </c>
      <c r="T17" s="420">
        <v>1.2413000000000001</v>
      </c>
      <c r="U17" s="946">
        <v>0</v>
      </c>
      <c r="V17" s="428">
        <f t="shared" si="9"/>
        <v>0</v>
      </c>
      <c r="W17" s="421">
        <f t="shared" si="9"/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 t="shared" si="10"/>
        <v>0</v>
      </c>
      <c r="AG17" s="421">
        <f t="shared" si="11"/>
        <v>0</v>
      </c>
      <c r="AH17" s="421">
        <f t="shared" si="12"/>
        <v>0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27"/>
        <v>0</v>
      </c>
      <c r="AP17" s="421">
        <f>AJ17+AN17</f>
        <v>0</v>
      </c>
      <c r="AQ17" s="421">
        <f t="shared" si="13"/>
        <v>0</v>
      </c>
      <c r="AR17" s="421">
        <f t="shared" si="14"/>
        <v>0</v>
      </c>
      <c r="AS17" s="421">
        <f t="shared" si="15"/>
        <v>0</v>
      </c>
      <c r="AT17" s="421">
        <f t="shared" si="16"/>
        <v>0</v>
      </c>
      <c r="AU17" s="68">
        <f t="shared" si="28"/>
        <v>0</v>
      </c>
      <c r="AV17" s="68">
        <f t="shared" si="17"/>
        <v>0</v>
      </c>
      <c r="AW17" s="421">
        <v>0</v>
      </c>
      <c r="AX17" s="421">
        <v>0</v>
      </c>
      <c r="AY17" s="421">
        <f t="shared" si="18"/>
        <v>0</v>
      </c>
      <c r="AZ17" s="421">
        <f t="shared" si="19"/>
        <v>0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>BA17+BC17+BD17+BF17+BH17+BI17</f>
        <v>0</v>
      </c>
      <c r="BL17" s="422">
        <f>BB17+BE17+BG17+BJ17</f>
        <v>0</v>
      </c>
      <c r="BM17" s="424">
        <f>SUM(BK17:BL17)</f>
        <v>0</v>
      </c>
      <c r="BN17" s="427">
        <f t="shared" si="20"/>
        <v>758025</v>
      </c>
      <c r="BO17" s="421">
        <f t="shared" si="21"/>
        <v>562333</v>
      </c>
      <c r="BP17" s="421">
        <f t="shared" si="22"/>
        <v>562333</v>
      </c>
      <c r="BQ17" s="421">
        <f t="shared" si="22"/>
        <v>0</v>
      </c>
      <c r="BR17" s="421">
        <f>M17+AQ17</f>
        <v>0</v>
      </c>
      <c r="BS17" s="421">
        <f t="shared" si="23"/>
        <v>0</v>
      </c>
      <c r="BT17" s="421">
        <f t="shared" si="23"/>
        <v>0</v>
      </c>
      <c r="BU17" s="421">
        <f t="shared" si="24"/>
        <v>190069</v>
      </c>
      <c r="BV17" s="421">
        <f t="shared" si="24"/>
        <v>5623</v>
      </c>
      <c r="BW17" s="421">
        <f>R17+AY17</f>
        <v>0</v>
      </c>
      <c r="BX17" s="422">
        <f>S17+BM17</f>
        <v>1.2413000000000001</v>
      </c>
      <c r="BY17" s="422">
        <f t="shared" si="25"/>
        <v>1.2413000000000001</v>
      </c>
      <c r="BZ17" s="611">
        <f t="shared" si="25"/>
        <v>0</v>
      </c>
      <c r="CA17" s="423"/>
      <c r="CB17" s="418"/>
      <c r="CC17" s="418"/>
      <c r="CD17" s="418"/>
      <c r="CE17" s="418"/>
      <c r="CF17" s="527"/>
    </row>
    <row r="18" spans="1:84" s="96" customFormat="1" ht="14.1" customHeight="1" x14ac:dyDescent="0.2">
      <c r="A18" s="118">
        <v>2</v>
      </c>
      <c r="B18" s="77">
        <v>2314</v>
      </c>
      <c r="C18" s="93">
        <v>600080358</v>
      </c>
      <c r="D18" s="77">
        <v>46745751</v>
      </c>
      <c r="E18" s="77" t="s">
        <v>709</v>
      </c>
      <c r="F18" s="94">
        <v>3143</v>
      </c>
      <c r="G18" s="77" t="s">
        <v>597</v>
      </c>
      <c r="H18" s="95" t="s">
        <v>272</v>
      </c>
      <c r="I18" s="669">
        <f t="shared" si="6"/>
        <v>11767</v>
      </c>
      <c r="J18" s="668">
        <f t="shared" si="7"/>
        <v>8422</v>
      </c>
      <c r="K18" s="668">
        <v>0</v>
      </c>
      <c r="L18" s="674">
        <v>8422</v>
      </c>
      <c r="M18" s="668">
        <f t="shared" si="8"/>
        <v>0</v>
      </c>
      <c r="N18" s="675">
        <v>0</v>
      </c>
      <c r="O18" s="675">
        <v>0</v>
      </c>
      <c r="P18" s="668">
        <f t="shared" ref="P18" si="29">ROUND(J18*33.8%,0)</f>
        <v>2847</v>
      </c>
      <c r="Q18" s="668">
        <f t="shared" ref="Q18" si="30">ROUND(J18*1%,0)</f>
        <v>84</v>
      </c>
      <c r="R18" s="675">
        <v>414</v>
      </c>
      <c r="S18" s="420">
        <f t="shared" si="3"/>
        <v>3.1899999999999998E-2</v>
      </c>
      <c r="T18" s="679">
        <v>0</v>
      </c>
      <c r="U18" s="909">
        <v>3.1899999999999998E-2</v>
      </c>
      <c r="V18" s="428">
        <f t="shared" si="9"/>
        <v>0</v>
      </c>
      <c r="W18" s="421">
        <f t="shared" si="9"/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 t="shared" si="10"/>
        <v>0</v>
      </c>
      <c r="AG18" s="421">
        <f t="shared" si="11"/>
        <v>0</v>
      </c>
      <c r="AH18" s="421">
        <f t="shared" si="12"/>
        <v>0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si="27"/>
        <v>0</v>
      </c>
      <c r="AP18" s="421">
        <f>AJ18+AN18</f>
        <v>0</v>
      </c>
      <c r="AQ18" s="421">
        <f t="shared" si="13"/>
        <v>0</v>
      </c>
      <c r="AR18" s="421">
        <f t="shared" si="14"/>
        <v>0</v>
      </c>
      <c r="AS18" s="421">
        <f t="shared" si="15"/>
        <v>0</v>
      </c>
      <c r="AT18" s="421">
        <f t="shared" si="16"/>
        <v>0</v>
      </c>
      <c r="AU18" s="68">
        <f t="shared" si="28"/>
        <v>0</v>
      </c>
      <c r="AV18" s="68">
        <f t="shared" si="17"/>
        <v>0</v>
      </c>
      <c r="AW18" s="421">
        <v>0</v>
      </c>
      <c r="AX18" s="421">
        <v>0</v>
      </c>
      <c r="AY18" s="421">
        <f t="shared" si="18"/>
        <v>0</v>
      </c>
      <c r="AZ18" s="421">
        <f t="shared" si="19"/>
        <v>0</v>
      </c>
      <c r="BA18" s="422">
        <v>0</v>
      </c>
      <c r="BB18" s="422">
        <v>0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0</v>
      </c>
      <c r="BL18" s="422">
        <f>BB18+BE18+BG18+BJ18</f>
        <v>0</v>
      </c>
      <c r="BM18" s="424">
        <f>SUM(BK18:BL18)</f>
        <v>0</v>
      </c>
      <c r="BN18" s="427">
        <f t="shared" si="20"/>
        <v>11767</v>
      </c>
      <c r="BO18" s="421">
        <f t="shared" si="21"/>
        <v>8422</v>
      </c>
      <c r="BP18" s="421">
        <f t="shared" si="22"/>
        <v>0</v>
      </c>
      <c r="BQ18" s="421">
        <f t="shared" si="22"/>
        <v>8422</v>
      </c>
      <c r="BR18" s="421">
        <f>M18+AQ18</f>
        <v>0</v>
      </c>
      <c r="BS18" s="421">
        <f t="shared" si="23"/>
        <v>0</v>
      </c>
      <c r="BT18" s="421">
        <f t="shared" si="23"/>
        <v>0</v>
      </c>
      <c r="BU18" s="421">
        <f t="shared" si="24"/>
        <v>2847</v>
      </c>
      <c r="BV18" s="421">
        <f t="shared" si="24"/>
        <v>84</v>
      </c>
      <c r="BW18" s="421">
        <f>R18+AY18</f>
        <v>414</v>
      </c>
      <c r="BX18" s="422">
        <f>S18+BM18</f>
        <v>3.1899999999999998E-2</v>
      </c>
      <c r="BY18" s="422">
        <f t="shared" si="25"/>
        <v>0</v>
      </c>
      <c r="BZ18" s="611">
        <f t="shared" si="25"/>
        <v>3.1899999999999998E-2</v>
      </c>
      <c r="CA18" s="423"/>
      <c r="CB18" s="418"/>
      <c r="CC18" s="418"/>
      <c r="CD18" s="418"/>
      <c r="CE18" s="418"/>
      <c r="CF18" s="527"/>
    </row>
    <row r="19" spans="1:84" s="96" customFormat="1" ht="14.1" customHeight="1" x14ac:dyDescent="0.2">
      <c r="A19" s="119">
        <v>2</v>
      </c>
      <c r="B19" s="97">
        <v>2314</v>
      </c>
      <c r="C19" s="98">
        <v>600080358</v>
      </c>
      <c r="D19" s="97">
        <v>46745751</v>
      </c>
      <c r="E19" s="97" t="s">
        <v>710</v>
      </c>
      <c r="F19" s="99"/>
      <c r="G19" s="100"/>
      <c r="H19" s="101"/>
      <c r="I19" s="442">
        <f t="shared" ref="I19:U19" si="31">SUM(I14:I18)</f>
        <v>15476939</v>
      </c>
      <c r="J19" s="438">
        <f t="shared" si="31"/>
        <v>11409041</v>
      </c>
      <c r="K19" s="438">
        <f t="shared" si="31"/>
        <v>10600425</v>
      </c>
      <c r="L19" s="438">
        <f t="shared" si="31"/>
        <v>808616</v>
      </c>
      <c r="M19" s="438">
        <f t="shared" si="31"/>
        <v>0</v>
      </c>
      <c r="N19" s="438">
        <f t="shared" si="31"/>
        <v>0</v>
      </c>
      <c r="O19" s="438">
        <f t="shared" si="31"/>
        <v>0</v>
      </c>
      <c r="P19" s="438">
        <f t="shared" si="31"/>
        <v>3856256</v>
      </c>
      <c r="Q19" s="438">
        <f t="shared" si="31"/>
        <v>114090</v>
      </c>
      <c r="R19" s="438">
        <f t="shared" si="31"/>
        <v>97552</v>
      </c>
      <c r="S19" s="439">
        <f t="shared" si="31"/>
        <v>19.558699999999998</v>
      </c>
      <c r="T19" s="439">
        <f t="shared" si="31"/>
        <v>17.233499999999999</v>
      </c>
      <c r="U19" s="814">
        <f t="shared" si="31"/>
        <v>2.3251999999999997</v>
      </c>
      <c r="V19" s="442">
        <f t="shared" ref="V19:CF19" si="32">SUM(V14:V18)</f>
        <v>-38400</v>
      </c>
      <c r="W19" s="438">
        <f t="shared" si="32"/>
        <v>-34693</v>
      </c>
      <c r="X19" s="438">
        <f t="shared" si="32"/>
        <v>0</v>
      </c>
      <c r="Y19" s="438">
        <f t="shared" si="32"/>
        <v>0</v>
      </c>
      <c r="Z19" s="438">
        <f t="shared" si="32"/>
        <v>0</v>
      </c>
      <c r="AA19" s="438">
        <f t="shared" si="32"/>
        <v>0</v>
      </c>
      <c r="AB19" s="438">
        <f t="shared" si="32"/>
        <v>0</v>
      </c>
      <c r="AC19" s="438">
        <f t="shared" si="32"/>
        <v>0</v>
      </c>
      <c r="AD19" s="438">
        <f t="shared" si="32"/>
        <v>72019</v>
      </c>
      <c r="AE19" s="438">
        <f t="shared" si="32"/>
        <v>0</v>
      </c>
      <c r="AF19" s="438">
        <f t="shared" si="32"/>
        <v>33619</v>
      </c>
      <c r="AG19" s="438">
        <f t="shared" si="32"/>
        <v>-34693</v>
      </c>
      <c r="AH19" s="438">
        <f t="shared" si="32"/>
        <v>-1074</v>
      </c>
      <c r="AI19" s="438">
        <f t="shared" si="32"/>
        <v>38400</v>
      </c>
      <c r="AJ19" s="438">
        <f t="shared" si="32"/>
        <v>34693</v>
      </c>
      <c r="AK19" s="438">
        <f t="shared" si="32"/>
        <v>0</v>
      </c>
      <c r="AL19" s="438">
        <f t="shared" si="32"/>
        <v>0</v>
      </c>
      <c r="AM19" s="438">
        <f t="shared" si="32"/>
        <v>0</v>
      </c>
      <c r="AN19" s="438">
        <f t="shared" si="32"/>
        <v>0</v>
      </c>
      <c r="AO19" s="438">
        <f t="shared" si="32"/>
        <v>38400</v>
      </c>
      <c r="AP19" s="438">
        <f t="shared" si="32"/>
        <v>34693</v>
      </c>
      <c r="AQ19" s="438">
        <f t="shared" si="32"/>
        <v>73093</v>
      </c>
      <c r="AR19" s="438">
        <f t="shared" si="32"/>
        <v>72019</v>
      </c>
      <c r="AS19" s="438">
        <f t="shared" si="32"/>
        <v>0</v>
      </c>
      <c r="AT19" s="438">
        <f t="shared" si="32"/>
        <v>72019</v>
      </c>
      <c r="AU19" s="438">
        <f t="shared" si="32"/>
        <v>24342</v>
      </c>
      <c r="AV19" s="438">
        <f t="shared" si="32"/>
        <v>-11</v>
      </c>
      <c r="AW19" s="438">
        <f t="shared" si="32"/>
        <v>0</v>
      </c>
      <c r="AX19" s="438">
        <f t="shared" si="32"/>
        <v>0</v>
      </c>
      <c r="AY19" s="438">
        <f t="shared" si="32"/>
        <v>0</v>
      </c>
      <c r="AZ19" s="438">
        <f t="shared" si="32"/>
        <v>96350</v>
      </c>
      <c r="BA19" s="439">
        <f t="shared" si="32"/>
        <v>0</v>
      </c>
      <c r="BB19" s="439">
        <f t="shared" si="32"/>
        <v>-0.1</v>
      </c>
      <c r="BC19" s="439">
        <f t="shared" si="32"/>
        <v>0</v>
      </c>
      <c r="BD19" s="439">
        <f t="shared" si="32"/>
        <v>0</v>
      </c>
      <c r="BE19" s="439">
        <f t="shared" si="32"/>
        <v>0</v>
      </c>
      <c r="BF19" s="439">
        <f t="shared" si="32"/>
        <v>0</v>
      </c>
      <c r="BG19" s="439">
        <f t="shared" si="32"/>
        <v>0</v>
      </c>
      <c r="BH19" s="439">
        <f t="shared" si="32"/>
        <v>0</v>
      </c>
      <c r="BI19" s="439">
        <f t="shared" si="32"/>
        <v>0.1</v>
      </c>
      <c r="BJ19" s="439">
        <f t="shared" si="32"/>
        <v>0</v>
      </c>
      <c r="BK19" s="439">
        <f t="shared" si="32"/>
        <v>0.1</v>
      </c>
      <c r="BL19" s="439">
        <f t="shared" si="32"/>
        <v>-0.1</v>
      </c>
      <c r="BM19" s="103">
        <f t="shared" si="32"/>
        <v>0</v>
      </c>
      <c r="BN19" s="444">
        <f t="shared" si="32"/>
        <v>15573289</v>
      </c>
      <c r="BO19" s="438">
        <f t="shared" si="32"/>
        <v>11407967</v>
      </c>
      <c r="BP19" s="438">
        <f t="shared" si="32"/>
        <v>10634044</v>
      </c>
      <c r="BQ19" s="438">
        <f t="shared" si="32"/>
        <v>773923</v>
      </c>
      <c r="BR19" s="438">
        <f t="shared" si="32"/>
        <v>73093</v>
      </c>
      <c r="BS19" s="438">
        <f t="shared" si="32"/>
        <v>38400</v>
      </c>
      <c r="BT19" s="438">
        <f t="shared" si="32"/>
        <v>34693</v>
      </c>
      <c r="BU19" s="438">
        <f t="shared" si="32"/>
        <v>3880598</v>
      </c>
      <c r="BV19" s="438">
        <f t="shared" si="32"/>
        <v>114079</v>
      </c>
      <c r="BW19" s="438">
        <f t="shared" si="32"/>
        <v>97552</v>
      </c>
      <c r="BX19" s="439">
        <f t="shared" si="32"/>
        <v>19.558699999999998</v>
      </c>
      <c r="BY19" s="439">
        <f t="shared" si="32"/>
        <v>17.333499999999997</v>
      </c>
      <c r="BZ19" s="814">
        <f t="shared" si="32"/>
        <v>2.2251999999999996</v>
      </c>
      <c r="CA19" s="819">
        <f t="shared" si="32"/>
        <v>0</v>
      </c>
      <c r="CB19" s="817">
        <f t="shared" si="32"/>
        <v>0</v>
      </c>
      <c r="CC19" s="817">
        <f t="shared" si="32"/>
        <v>0</v>
      </c>
      <c r="CD19" s="817">
        <f t="shared" si="32"/>
        <v>0</v>
      </c>
      <c r="CE19" s="817">
        <f t="shared" si="32"/>
        <v>0</v>
      </c>
      <c r="CF19" s="802">
        <f t="shared" si="32"/>
        <v>0</v>
      </c>
    </row>
    <row r="20" spans="1:84" s="96" customFormat="1" ht="14.1" customHeight="1" x14ac:dyDescent="0.2">
      <c r="A20" s="118">
        <v>3</v>
      </c>
      <c r="B20" s="102">
        <v>2448</v>
      </c>
      <c r="C20" s="93">
        <v>600080269</v>
      </c>
      <c r="D20" s="77">
        <v>63154617</v>
      </c>
      <c r="E20" s="77" t="s">
        <v>711</v>
      </c>
      <c r="F20" s="94">
        <v>3111</v>
      </c>
      <c r="G20" s="77" t="s">
        <v>291</v>
      </c>
      <c r="H20" s="95" t="s">
        <v>271</v>
      </c>
      <c r="I20" s="669">
        <f t="shared" si="6"/>
        <v>17078757</v>
      </c>
      <c r="J20" s="668">
        <f t="shared" si="7"/>
        <v>12624937</v>
      </c>
      <c r="K20" s="668">
        <v>11959257</v>
      </c>
      <c r="L20" s="668">
        <v>665680</v>
      </c>
      <c r="M20" s="668">
        <f t="shared" si="8"/>
        <v>0</v>
      </c>
      <c r="N20" s="668">
        <v>0</v>
      </c>
      <c r="O20" s="668">
        <v>0</v>
      </c>
      <c r="P20" s="668">
        <f t="shared" si="26"/>
        <v>4267229</v>
      </c>
      <c r="Q20" s="668">
        <f t="shared" si="2"/>
        <v>126249</v>
      </c>
      <c r="R20" s="668">
        <v>60342</v>
      </c>
      <c r="S20" s="420">
        <f t="shared" si="3"/>
        <v>23.277000000000001</v>
      </c>
      <c r="T20" s="420">
        <v>20.61</v>
      </c>
      <c r="U20" s="946">
        <v>2.6669999999999998</v>
      </c>
      <c r="V20" s="428">
        <f t="shared" ref="V20:W27" si="33">AI20*-1</f>
        <v>-32000</v>
      </c>
      <c r="W20" s="421">
        <f t="shared" si="33"/>
        <v>-64000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 t="shared" si="10"/>
        <v>-32000</v>
      </c>
      <c r="AG20" s="421">
        <f t="shared" si="11"/>
        <v>-64000</v>
      </c>
      <c r="AH20" s="421">
        <f t="shared" si="12"/>
        <v>-96000</v>
      </c>
      <c r="AI20" s="421">
        <v>32000</v>
      </c>
      <c r="AJ20" s="421">
        <v>64000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ref="AO20:AO27" si="34">AI20+AK20+AL20+AM20</f>
        <v>32000</v>
      </c>
      <c r="AP20" s="421">
        <f t="shared" ref="AP20:AP27" si="35">AJ20+AN20</f>
        <v>64000</v>
      </c>
      <c r="AQ20" s="421">
        <f t="shared" si="13"/>
        <v>96000</v>
      </c>
      <c r="AR20" s="421">
        <f t="shared" si="14"/>
        <v>0</v>
      </c>
      <c r="AS20" s="421">
        <f t="shared" si="15"/>
        <v>0</v>
      </c>
      <c r="AT20" s="421">
        <f t="shared" si="16"/>
        <v>0</v>
      </c>
      <c r="AU20" s="68">
        <f t="shared" ref="AU20:AU27" si="36">ROUND((AH20+AI20+AJ20+AK20+AL20)*33.8%,0)</f>
        <v>0</v>
      </c>
      <c r="AV20" s="68">
        <f t="shared" si="17"/>
        <v>-960</v>
      </c>
      <c r="AW20" s="421">
        <v>0</v>
      </c>
      <c r="AX20" s="421">
        <v>0</v>
      </c>
      <c r="AY20" s="421">
        <f t="shared" si="18"/>
        <v>0</v>
      </c>
      <c r="AZ20" s="421">
        <f t="shared" si="19"/>
        <v>-960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 t="shared" ref="BK20:BK27" si="37">BA20+BC20+BD20+BF20+BH20+BI20</f>
        <v>0</v>
      </c>
      <c r="BL20" s="422">
        <f t="shared" ref="BL20:BL27" si="38">BB20+BE20+BG20+BJ20</f>
        <v>0</v>
      </c>
      <c r="BM20" s="424">
        <f t="shared" ref="BM20:BM27" si="39">SUM(BK20:BL20)</f>
        <v>0</v>
      </c>
      <c r="BN20" s="427">
        <f t="shared" si="20"/>
        <v>17077797</v>
      </c>
      <c r="BO20" s="421">
        <f t="shared" si="21"/>
        <v>12528937</v>
      </c>
      <c r="BP20" s="421">
        <f t="shared" ref="BP20:BQ27" si="40">K20+AF20</f>
        <v>11927257</v>
      </c>
      <c r="BQ20" s="421">
        <f t="shared" si="40"/>
        <v>601680</v>
      </c>
      <c r="BR20" s="421">
        <f t="shared" ref="BR20:BR27" si="41">M20+AQ20</f>
        <v>96000</v>
      </c>
      <c r="BS20" s="421">
        <f t="shared" ref="BS20:BT27" si="42">N20+AO20</f>
        <v>32000</v>
      </c>
      <c r="BT20" s="421">
        <f t="shared" si="42"/>
        <v>64000</v>
      </c>
      <c r="BU20" s="421">
        <f t="shared" ref="BU20:BV27" si="43">P20+AU20</f>
        <v>4267229</v>
      </c>
      <c r="BV20" s="421">
        <f t="shared" si="43"/>
        <v>125289</v>
      </c>
      <c r="BW20" s="421">
        <f t="shared" ref="BW20:BW27" si="44">R20+AY20</f>
        <v>60342</v>
      </c>
      <c r="BX20" s="422">
        <f t="shared" ref="BX20:BX27" si="45">S20+BM20</f>
        <v>23.277000000000001</v>
      </c>
      <c r="BY20" s="422">
        <f t="shared" ref="BY20:BZ27" si="46">T20+BK20</f>
        <v>20.61</v>
      </c>
      <c r="BZ20" s="611">
        <f t="shared" si="46"/>
        <v>2.6669999999999998</v>
      </c>
      <c r="CA20" s="423"/>
      <c r="CB20" s="418"/>
      <c r="CC20" s="418"/>
      <c r="CD20" s="418"/>
      <c r="CE20" s="418"/>
      <c r="CF20" s="527"/>
    </row>
    <row r="21" spans="1:84" s="96" customFormat="1" ht="14.1" customHeight="1" x14ac:dyDescent="0.2">
      <c r="A21" s="118">
        <v>3</v>
      </c>
      <c r="B21" s="102">
        <v>2448</v>
      </c>
      <c r="C21" s="93">
        <v>600080269</v>
      </c>
      <c r="D21" s="77">
        <v>63154617</v>
      </c>
      <c r="E21" s="77" t="s">
        <v>711</v>
      </c>
      <c r="F21" s="94">
        <v>3113</v>
      </c>
      <c r="G21" s="77" t="s">
        <v>294</v>
      </c>
      <c r="H21" s="95" t="s">
        <v>271</v>
      </c>
      <c r="I21" s="669">
        <f t="shared" si="6"/>
        <v>62568518</v>
      </c>
      <c r="J21" s="668">
        <f t="shared" si="7"/>
        <v>45753351</v>
      </c>
      <c r="K21" s="668">
        <v>42552646</v>
      </c>
      <c r="L21" s="668">
        <v>3200705</v>
      </c>
      <c r="M21" s="668">
        <f t="shared" si="8"/>
        <v>0</v>
      </c>
      <c r="N21" s="668">
        <v>0</v>
      </c>
      <c r="O21" s="668">
        <v>0</v>
      </c>
      <c r="P21" s="668">
        <f t="shared" si="26"/>
        <v>15464633</v>
      </c>
      <c r="Q21" s="668">
        <f t="shared" si="2"/>
        <v>457534</v>
      </c>
      <c r="R21" s="668">
        <v>893000</v>
      </c>
      <c r="S21" s="420">
        <f t="shared" si="3"/>
        <v>69.325000000000003</v>
      </c>
      <c r="T21" s="420">
        <v>59.084899999999998</v>
      </c>
      <c r="U21" s="946">
        <v>10.2401</v>
      </c>
      <c r="V21" s="428">
        <f t="shared" si="33"/>
        <v>-76800</v>
      </c>
      <c r="W21" s="421">
        <f t="shared" si="33"/>
        <v>-99200</v>
      </c>
      <c r="X21" s="421">
        <v>0</v>
      </c>
      <c r="Y21" s="421">
        <v>0</v>
      </c>
      <c r="Z21" s="421">
        <v>0</v>
      </c>
      <c r="AA21" s="421">
        <v>0</v>
      </c>
      <c r="AB21" s="421">
        <v>564000</v>
      </c>
      <c r="AC21" s="421">
        <v>0</v>
      </c>
      <c r="AD21" s="421">
        <v>0</v>
      </c>
      <c r="AE21" s="421">
        <v>0</v>
      </c>
      <c r="AF21" s="421">
        <f t="shared" si="10"/>
        <v>487200</v>
      </c>
      <c r="AG21" s="421">
        <f t="shared" si="11"/>
        <v>-99200</v>
      </c>
      <c r="AH21" s="421">
        <f t="shared" si="12"/>
        <v>388000</v>
      </c>
      <c r="AI21" s="421">
        <v>76800</v>
      </c>
      <c r="AJ21" s="421">
        <v>99200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34"/>
        <v>76800</v>
      </c>
      <c r="AP21" s="421">
        <f t="shared" si="35"/>
        <v>99200</v>
      </c>
      <c r="AQ21" s="421">
        <f t="shared" si="13"/>
        <v>176000</v>
      </c>
      <c r="AR21" s="421">
        <f t="shared" si="14"/>
        <v>564000</v>
      </c>
      <c r="AS21" s="421">
        <f t="shared" si="15"/>
        <v>0</v>
      </c>
      <c r="AT21" s="421">
        <f t="shared" si="16"/>
        <v>564000</v>
      </c>
      <c r="AU21" s="68">
        <f t="shared" si="36"/>
        <v>190632</v>
      </c>
      <c r="AV21" s="68">
        <f t="shared" si="17"/>
        <v>3880</v>
      </c>
      <c r="AW21" s="421">
        <v>0</v>
      </c>
      <c r="AX21" s="421">
        <v>0</v>
      </c>
      <c r="AY21" s="421">
        <f t="shared" si="18"/>
        <v>0</v>
      </c>
      <c r="AZ21" s="421">
        <f t="shared" si="19"/>
        <v>758512</v>
      </c>
      <c r="BA21" s="422">
        <v>-0.05</v>
      </c>
      <c r="BB21" s="422">
        <v>-0.11</v>
      </c>
      <c r="BC21" s="422">
        <v>0</v>
      </c>
      <c r="BD21" s="422">
        <v>1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 t="shared" si="37"/>
        <v>0.95</v>
      </c>
      <c r="BL21" s="422">
        <f t="shared" si="38"/>
        <v>-0.11</v>
      </c>
      <c r="BM21" s="424">
        <f t="shared" si="39"/>
        <v>0.84</v>
      </c>
      <c r="BN21" s="427">
        <f t="shared" si="20"/>
        <v>63327030</v>
      </c>
      <c r="BO21" s="421">
        <f t="shared" si="21"/>
        <v>46141351</v>
      </c>
      <c r="BP21" s="421">
        <f t="shared" si="40"/>
        <v>43039846</v>
      </c>
      <c r="BQ21" s="421">
        <f t="shared" si="40"/>
        <v>3101505</v>
      </c>
      <c r="BR21" s="421">
        <f t="shared" si="41"/>
        <v>176000</v>
      </c>
      <c r="BS21" s="421">
        <f t="shared" si="42"/>
        <v>76800</v>
      </c>
      <c r="BT21" s="421">
        <f t="shared" si="42"/>
        <v>99200</v>
      </c>
      <c r="BU21" s="421">
        <f t="shared" si="43"/>
        <v>15655265</v>
      </c>
      <c r="BV21" s="421">
        <f t="shared" si="43"/>
        <v>461414</v>
      </c>
      <c r="BW21" s="421">
        <f t="shared" si="44"/>
        <v>893000</v>
      </c>
      <c r="BX21" s="422">
        <f t="shared" si="45"/>
        <v>70.165000000000006</v>
      </c>
      <c r="BY21" s="422">
        <f t="shared" si="46"/>
        <v>60.0349</v>
      </c>
      <c r="BZ21" s="611">
        <f t="shared" si="46"/>
        <v>10.130100000000001</v>
      </c>
      <c r="CA21" s="423">
        <v>760272</v>
      </c>
      <c r="CB21" s="418">
        <v>564000</v>
      </c>
      <c r="CC21" s="418">
        <v>0</v>
      </c>
      <c r="CD21" s="418">
        <v>190632</v>
      </c>
      <c r="CE21" s="418">
        <v>5640</v>
      </c>
      <c r="CF21" s="527">
        <v>1</v>
      </c>
    </row>
    <row r="22" spans="1:84" s="96" customFormat="1" ht="14.1" customHeight="1" x14ac:dyDescent="0.2">
      <c r="A22" s="118">
        <v>3</v>
      </c>
      <c r="B22" s="77">
        <v>2448</v>
      </c>
      <c r="C22" s="93">
        <v>600080269</v>
      </c>
      <c r="D22" s="77">
        <v>63154617</v>
      </c>
      <c r="E22" s="77" t="s">
        <v>711</v>
      </c>
      <c r="F22" s="94">
        <v>3113</v>
      </c>
      <c r="G22" s="77" t="s">
        <v>292</v>
      </c>
      <c r="H22" s="95" t="s">
        <v>272</v>
      </c>
      <c r="I22" s="669">
        <f t="shared" si="6"/>
        <v>0</v>
      </c>
      <c r="J22" s="668">
        <f t="shared" si="7"/>
        <v>0</v>
      </c>
      <c r="K22" s="668">
        <v>0</v>
      </c>
      <c r="L22" s="668">
        <v>0</v>
      </c>
      <c r="M22" s="668">
        <f t="shared" si="8"/>
        <v>0</v>
      </c>
      <c r="N22" s="668">
        <v>0</v>
      </c>
      <c r="O22" s="668">
        <v>0</v>
      </c>
      <c r="P22" s="668">
        <f t="shared" si="26"/>
        <v>0</v>
      </c>
      <c r="Q22" s="668">
        <f t="shared" si="2"/>
        <v>0</v>
      </c>
      <c r="R22" s="668">
        <v>0</v>
      </c>
      <c r="S22" s="420">
        <f t="shared" si="3"/>
        <v>0</v>
      </c>
      <c r="T22" s="420">
        <v>0</v>
      </c>
      <c r="U22" s="946">
        <v>0</v>
      </c>
      <c r="V22" s="428">
        <f t="shared" si="33"/>
        <v>0</v>
      </c>
      <c r="W22" s="421">
        <f t="shared" si="33"/>
        <v>0</v>
      </c>
      <c r="X22" s="16">
        <v>6472583</v>
      </c>
      <c r="Y22" s="16">
        <v>0</v>
      </c>
      <c r="Z22" s="16">
        <v>0</v>
      </c>
      <c r="AA22" s="16">
        <v>0</v>
      </c>
      <c r="AB22" s="421">
        <v>0</v>
      </c>
      <c r="AC22" s="16">
        <v>0</v>
      </c>
      <c r="AD22" s="16">
        <v>0</v>
      </c>
      <c r="AE22" s="16">
        <v>0</v>
      </c>
      <c r="AF22" s="421">
        <f t="shared" si="10"/>
        <v>6472583</v>
      </c>
      <c r="AG22" s="421">
        <f t="shared" si="11"/>
        <v>0</v>
      </c>
      <c r="AH22" s="421">
        <f t="shared" si="12"/>
        <v>6472583</v>
      </c>
      <c r="AI22" s="16">
        <v>0</v>
      </c>
      <c r="AJ22" s="16">
        <v>0</v>
      </c>
      <c r="AK22" s="421">
        <v>0</v>
      </c>
      <c r="AL22" s="16">
        <v>0</v>
      </c>
      <c r="AM22" s="16">
        <v>0</v>
      </c>
      <c r="AN22" s="16">
        <v>0</v>
      </c>
      <c r="AO22" s="421">
        <f t="shared" si="34"/>
        <v>0</v>
      </c>
      <c r="AP22" s="16">
        <v>0</v>
      </c>
      <c r="AQ22" s="421">
        <f t="shared" si="13"/>
        <v>0</v>
      </c>
      <c r="AR22" s="421">
        <f t="shared" si="14"/>
        <v>6472583</v>
      </c>
      <c r="AS22" s="421">
        <f t="shared" si="15"/>
        <v>0</v>
      </c>
      <c r="AT22" s="421">
        <f t="shared" si="16"/>
        <v>6472583</v>
      </c>
      <c r="AU22" s="68">
        <f t="shared" si="36"/>
        <v>2187733</v>
      </c>
      <c r="AV22" s="68">
        <f t="shared" si="17"/>
        <v>64726</v>
      </c>
      <c r="AW22" s="16">
        <f>34500+7500</f>
        <v>42000</v>
      </c>
      <c r="AX22" s="16">
        <v>0</v>
      </c>
      <c r="AY22" s="421">
        <f t="shared" si="18"/>
        <v>42000</v>
      </c>
      <c r="AZ22" s="421">
        <f t="shared" si="19"/>
        <v>8767042</v>
      </c>
      <c r="BA22" s="13">
        <v>0</v>
      </c>
      <c r="BB22" s="13">
        <v>0</v>
      </c>
      <c r="BC22" s="13">
        <v>17.440000000000001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 t="shared" si="37"/>
        <v>17.440000000000001</v>
      </c>
      <c r="BL22" s="422">
        <f t="shared" si="38"/>
        <v>0</v>
      </c>
      <c r="BM22" s="424">
        <f t="shared" si="39"/>
        <v>17.440000000000001</v>
      </c>
      <c r="BN22" s="427">
        <f t="shared" si="20"/>
        <v>8767042</v>
      </c>
      <c r="BO22" s="421">
        <f t="shared" si="21"/>
        <v>6472583</v>
      </c>
      <c r="BP22" s="421">
        <f t="shared" si="40"/>
        <v>6472583</v>
      </c>
      <c r="BQ22" s="421">
        <f t="shared" si="40"/>
        <v>0</v>
      </c>
      <c r="BR22" s="421">
        <f t="shared" si="41"/>
        <v>0</v>
      </c>
      <c r="BS22" s="421">
        <f t="shared" si="42"/>
        <v>0</v>
      </c>
      <c r="BT22" s="421">
        <f t="shared" si="42"/>
        <v>0</v>
      </c>
      <c r="BU22" s="421">
        <f t="shared" si="43"/>
        <v>2187733</v>
      </c>
      <c r="BV22" s="421">
        <f t="shared" si="43"/>
        <v>64726</v>
      </c>
      <c r="BW22" s="421">
        <f t="shared" si="44"/>
        <v>42000</v>
      </c>
      <c r="BX22" s="422">
        <f t="shared" si="45"/>
        <v>17.440000000000001</v>
      </c>
      <c r="BY22" s="422">
        <f t="shared" si="46"/>
        <v>17.440000000000001</v>
      </c>
      <c r="BZ22" s="611">
        <f t="shared" si="46"/>
        <v>0</v>
      </c>
      <c r="CA22" s="423"/>
      <c r="CB22" s="418"/>
      <c r="CC22" s="418"/>
      <c r="CD22" s="418"/>
      <c r="CE22" s="418"/>
      <c r="CF22" s="527"/>
    </row>
    <row r="23" spans="1:84" s="96" customFormat="1" ht="14.1" customHeight="1" x14ac:dyDescent="0.2">
      <c r="A23" s="118">
        <v>3</v>
      </c>
      <c r="B23" s="102">
        <v>2448</v>
      </c>
      <c r="C23" s="93">
        <v>600080269</v>
      </c>
      <c r="D23" s="77">
        <v>63154617</v>
      </c>
      <c r="E23" s="102" t="s">
        <v>711</v>
      </c>
      <c r="F23" s="94">
        <v>3141</v>
      </c>
      <c r="G23" s="77" t="s">
        <v>295</v>
      </c>
      <c r="H23" s="95" t="s">
        <v>272</v>
      </c>
      <c r="I23" s="669">
        <f t="shared" si="6"/>
        <v>2825901</v>
      </c>
      <c r="J23" s="668">
        <f t="shared" si="7"/>
        <v>2083117</v>
      </c>
      <c r="K23" s="668">
        <v>0</v>
      </c>
      <c r="L23" s="674">
        <v>2083117</v>
      </c>
      <c r="M23" s="668">
        <f t="shared" si="8"/>
        <v>0</v>
      </c>
      <c r="N23" s="668">
        <v>0</v>
      </c>
      <c r="O23" s="668">
        <v>0</v>
      </c>
      <c r="P23" s="668">
        <f t="shared" si="26"/>
        <v>704094</v>
      </c>
      <c r="Q23" s="668">
        <f t="shared" ref="Q23" si="47">ROUND(J23*1%,0)</f>
        <v>20831</v>
      </c>
      <c r="R23" s="668">
        <v>17859</v>
      </c>
      <c r="S23" s="420">
        <f t="shared" si="3"/>
        <v>6.2466000000000008</v>
      </c>
      <c r="T23" s="420">
        <v>0</v>
      </c>
      <c r="U23" s="946">
        <v>6.2466000000000008</v>
      </c>
      <c r="V23" s="428">
        <f t="shared" si="33"/>
        <v>0</v>
      </c>
      <c r="W23" s="421">
        <f t="shared" si="33"/>
        <v>-38400</v>
      </c>
      <c r="X23" s="421">
        <v>0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 t="shared" si="10"/>
        <v>0</v>
      </c>
      <c r="AG23" s="421">
        <f t="shared" si="11"/>
        <v>-38400</v>
      </c>
      <c r="AH23" s="421">
        <f t="shared" si="12"/>
        <v>-38400</v>
      </c>
      <c r="AI23" s="421">
        <v>0</v>
      </c>
      <c r="AJ23" s="421">
        <v>38400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34"/>
        <v>0</v>
      </c>
      <c r="AP23" s="421">
        <f t="shared" si="35"/>
        <v>38400</v>
      </c>
      <c r="AQ23" s="421">
        <f t="shared" si="13"/>
        <v>38400</v>
      </c>
      <c r="AR23" s="421">
        <f t="shared" si="14"/>
        <v>0</v>
      </c>
      <c r="AS23" s="421">
        <f t="shared" si="15"/>
        <v>0</v>
      </c>
      <c r="AT23" s="421">
        <f t="shared" si="16"/>
        <v>0</v>
      </c>
      <c r="AU23" s="68">
        <f t="shared" si="36"/>
        <v>0</v>
      </c>
      <c r="AV23" s="68">
        <f t="shared" si="17"/>
        <v>-384</v>
      </c>
      <c r="AW23" s="421">
        <v>0</v>
      </c>
      <c r="AX23" s="421">
        <v>0</v>
      </c>
      <c r="AY23" s="421">
        <f t="shared" si="18"/>
        <v>0</v>
      </c>
      <c r="AZ23" s="421">
        <f t="shared" si="19"/>
        <v>-384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 t="shared" si="37"/>
        <v>0</v>
      </c>
      <c r="BL23" s="422">
        <f t="shared" si="38"/>
        <v>0</v>
      </c>
      <c r="BM23" s="424">
        <f t="shared" si="39"/>
        <v>0</v>
      </c>
      <c r="BN23" s="427">
        <f t="shared" si="20"/>
        <v>2825517</v>
      </c>
      <c r="BO23" s="421">
        <f t="shared" si="21"/>
        <v>2044717</v>
      </c>
      <c r="BP23" s="421">
        <f t="shared" si="40"/>
        <v>0</v>
      </c>
      <c r="BQ23" s="421">
        <f t="shared" si="40"/>
        <v>2044717</v>
      </c>
      <c r="BR23" s="421">
        <f t="shared" si="41"/>
        <v>38400</v>
      </c>
      <c r="BS23" s="421">
        <f t="shared" si="42"/>
        <v>0</v>
      </c>
      <c r="BT23" s="421">
        <f t="shared" si="42"/>
        <v>38400</v>
      </c>
      <c r="BU23" s="421">
        <f t="shared" si="43"/>
        <v>704094</v>
      </c>
      <c r="BV23" s="421">
        <f t="shared" si="43"/>
        <v>20447</v>
      </c>
      <c r="BW23" s="421">
        <f t="shared" si="44"/>
        <v>17859</v>
      </c>
      <c r="BX23" s="422">
        <f t="shared" si="45"/>
        <v>6.2466000000000008</v>
      </c>
      <c r="BY23" s="422">
        <f t="shared" si="46"/>
        <v>0</v>
      </c>
      <c r="BZ23" s="611">
        <f t="shared" si="46"/>
        <v>6.2466000000000008</v>
      </c>
      <c r="CA23" s="423"/>
      <c r="CB23" s="418"/>
      <c r="CC23" s="418"/>
      <c r="CD23" s="418"/>
      <c r="CE23" s="418"/>
      <c r="CF23" s="527"/>
    </row>
    <row r="24" spans="1:84" s="96" customFormat="1" ht="14.1" customHeight="1" x14ac:dyDescent="0.2">
      <c r="A24" s="118">
        <v>3</v>
      </c>
      <c r="B24" s="77">
        <v>2448</v>
      </c>
      <c r="C24" s="93">
        <v>600080269</v>
      </c>
      <c r="D24" s="77">
        <v>63154617</v>
      </c>
      <c r="E24" s="77" t="s">
        <v>711</v>
      </c>
      <c r="F24" s="94">
        <v>3143</v>
      </c>
      <c r="G24" s="77" t="s">
        <v>596</v>
      </c>
      <c r="H24" s="95" t="s">
        <v>271</v>
      </c>
      <c r="I24" s="669">
        <f t="shared" si="6"/>
        <v>4370232</v>
      </c>
      <c r="J24" s="668">
        <f t="shared" si="7"/>
        <v>3242012</v>
      </c>
      <c r="K24" s="668">
        <v>3242012</v>
      </c>
      <c r="L24" s="668">
        <v>0</v>
      </c>
      <c r="M24" s="668">
        <f t="shared" si="8"/>
        <v>0</v>
      </c>
      <c r="N24" s="668">
        <v>0</v>
      </c>
      <c r="O24" s="668">
        <v>0</v>
      </c>
      <c r="P24" s="668">
        <f t="shared" si="26"/>
        <v>1095800</v>
      </c>
      <c r="Q24" s="668">
        <f t="shared" si="2"/>
        <v>32420</v>
      </c>
      <c r="R24" s="668">
        <v>0</v>
      </c>
      <c r="S24" s="420">
        <f t="shared" si="3"/>
        <v>6.2</v>
      </c>
      <c r="T24" s="420">
        <v>6.2</v>
      </c>
      <c r="U24" s="946">
        <v>0</v>
      </c>
      <c r="V24" s="428">
        <f t="shared" si="33"/>
        <v>-48000</v>
      </c>
      <c r="W24" s="421">
        <f t="shared" si="33"/>
        <v>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 t="shared" si="10"/>
        <v>-48000</v>
      </c>
      <c r="AG24" s="421">
        <f t="shared" si="11"/>
        <v>0</v>
      </c>
      <c r="AH24" s="421">
        <f t="shared" si="12"/>
        <v>-48000</v>
      </c>
      <c r="AI24" s="421">
        <v>48000</v>
      </c>
      <c r="AJ24" s="421">
        <v>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si="34"/>
        <v>48000</v>
      </c>
      <c r="AP24" s="421">
        <f t="shared" si="35"/>
        <v>0</v>
      </c>
      <c r="AQ24" s="421">
        <f t="shared" si="13"/>
        <v>48000</v>
      </c>
      <c r="AR24" s="421">
        <f t="shared" si="14"/>
        <v>0</v>
      </c>
      <c r="AS24" s="421">
        <f t="shared" si="15"/>
        <v>0</v>
      </c>
      <c r="AT24" s="421">
        <f t="shared" si="16"/>
        <v>0</v>
      </c>
      <c r="AU24" s="68">
        <f t="shared" si="36"/>
        <v>0</v>
      </c>
      <c r="AV24" s="68">
        <f t="shared" si="17"/>
        <v>-480</v>
      </c>
      <c r="AW24" s="421">
        <v>0</v>
      </c>
      <c r="AX24" s="421">
        <v>0</v>
      </c>
      <c r="AY24" s="421">
        <f t="shared" si="18"/>
        <v>0</v>
      </c>
      <c r="AZ24" s="421">
        <f t="shared" si="19"/>
        <v>-480</v>
      </c>
      <c r="BA24" s="422">
        <v>-0.06</v>
      </c>
      <c r="BB24" s="422">
        <v>0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 t="shared" si="37"/>
        <v>-0.06</v>
      </c>
      <c r="BL24" s="422">
        <f t="shared" si="38"/>
        <v>0</v>
      </c>
      <c r="BM24" s="424">
        <f t="shared" si="39"/>
        <v>-0.06</v>
      </c>
      <c r="BN24" s="427">
        <f t="shared" si="20"/>
        <v>4369752</v>
      </c>
      <c r="BO24" s="421">
        <f t="shared" si="21"/>
        <v>3194012</v>
      </c>
      <c r="BP24" s="421">
        <f t="shared" si="40"/>
        <v>3194012</v>
      </c>
      <c r="BQ24" s="421">
        <f t="shared" si="40"/>
        <v>0</v>
      </c>
      <c r="BR24" s="421">
        <f t="shared" si="41"/>
        <v>48000</v>
      </c>
      <c r="BS24" s="421">
        <f t="shared" si="42"/>
        <v>48000</v>
      </c>
      <c r="BT24" s="421">
        <f t="shared" si="42"/>
        <v>0</v>
      </c>
      <c r="BU24" s="421">
        <f t="shared" si="43"/>
        <v>1095800</v>
      </c>
      <c r="BV24" s="421">
        <f t="shared" si="43"/>
        <v>31940</v>
      </c>
      <c r="BW24" s="421">
        <f t="shared" si="44"/>
        <v>0</v>
      </c>
      <c r="BX24" s="422">
        <f t="shared" si="45"/>
        <v>6.1400000000000006</v>
      </c>
      <c r="BY24" s="422">
        <f t="shared" si="46"/>
        <v>6.1400000000000006</v>
      </c>
      <c r="BZ24" s="611">
        <f t="shared" si="46"/>
        <v>0</v>
      </c>
      <c r="CA24" s="423"/>
      <c r="CB24" s="418"/>
      <c r="CC24" s="418"/>
      <c r="CD24" s="418"/>
      <c r="CE24" s="418"/>
      <c r="CF24" s="527"/>
    </row>
    <row r="25" spans="1:84" s="96" customFormat="1" ht="14.1" customHeight="1" x14ac:dyDescent="0.2">
      <c r="A25" s="118">
        <v>3</v>
      </c>
      <c r="B25" s="77">
        <v>2448</v>
      </c>
      <c r="C25" s="93">
        <v>600080269</v>
      </c>
      <c r="D25" s="77">
        <v>63154617</v>
      </c>
      <c r="E25" s="77" t="s">
        <v>711</v>
      </c>
      <c r="F25" s="94">
        <v>3143</v>
      </c>
      <c r="G25" s="77" t="s">
        <v>597</v>
      </c>
      <c r="H25" s="95" t="s">
        <v>272</v>
      </c>
      <c r="I25" s="669">
        <f t="shared" si="6"/>
        <v>110170</v>
      </c>
      <c r="J25" s="668">
        <f t="shared" si="7"/>
        <v>78857</v>
      </c>
      <c r="K25" s="668">
        <v>0</v>
      </c>
      <c r="L25" s="674">
        <v>78857</v>
      </c>
      <c r="M25" s="668">
        <f t="shared" si="8"/>
        <v>0</v>
      </c>
      <c r="N25" s="674">
        <v>0</v>
      </c>
      <c r="O25" s="674">
        <v>0</v>
      </c>
      <c r="P25" s="668">
        <f t="shared" ref="P25" si="48">ROUND(J25*33.8%,0)</f>
        <v>26654</v>
      </c>
      <c r="Q25" s="668">
        <f t="shared" ref="Q25" si="49">ROUND(J25*1%,0)</f>
        <v>789</v>
      </c>
      <c r="R25" s="674">
        <v>3870</v>
      </c>
      <c r="S25" s="420">
        <f t="shared" si="3"/>
        <v>0.29869999999999997</v>
      </c>
      <c r="T25" s="676">
        <v>0</v>
      </c>
      <c r="U25" s="909">
        <v>0.29869999999999997</v>
      </c>
      <c r="V25" s="428">
        <f t="shared" si="33"/>
        <v>0</v>
      </c>
      <c r="W25" s="421">
        <f t="shared" si="33"/>
        <v>0</v>
      </c>
      <c r="X25" s="421">
        <v>0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 t="shared" si="10"/>
        <v>0</v>
      </c>
      <c r="AG25" s="421">
        <f t="shared" si="11"/>
        <v>0</v>
      </c>
      <c r="AH25" s="421">
        <f t="shared" si="12"/>
        <v>0</v>
      </c>
      <c r="AI25" s="421">
        <v>0</v>
      </c>
      <c r="AJ25" s="421">
        <v>0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si="34"/>
        <v>0</v>
      </c>
      <c r="AP25" s="421">
        <f t="shared" si="35"/>
        <v>0</v>
      </c>
      <c r="AQ25" s="421">
        <f t="shared" si="13"/>
        <v>0</v>
      </c>
      <c r="AR25" s="421">
        <f t="shared" si="14"/>
        <v>0</v>
      </c>
      <c r="AS25" s="421">
        <f t="shared" si="15"/>
        <v>0</v>
      </c>
      <c r="AT25" s="421">
        <f t="shared" si="16"/>
        <v>0</v>
      </c>
      <c r="AU25" s="68">
        <f t="shared" si="36"/>
        <v>0</v>
      </c>
      <c r="AV25" s="68">
        <f t="shared" si="17"/>
        <v>0</v>
      </c>
      <c r="AW25" s="421">
        <v>0</v>
      </c>
      <c r="AX25" s="421">
        <v>0</v>
      </c>
      <c r="AY25" s="421">
        <f t="shared" si="18"/>
        <v>0</v>
      </c>
      <c r="AZ25" s="421">
        <f t="shared" si="19"/>
        <v>0</v>
      </c>
      <c r="BA25" s="422">
        <v>0</v>
      </c>
      <c r="BB25" s="422">
        <v>0</v>
      </c>
      <c r="BC25" s="422">
        <v>0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 t="shared" si="37"/>
        <v>0</v>
      </c>
      <c r="BL25" s="422">
        <f t="shared" si="38"/>
        <v>0</v>
      </c>
      <c r="BM25" s="424">
        <f t="shared" si="39"/>
        <v>0</v>
      </c>
      <c r="BN25" s="427">
        <f t="shared" si="20"/>
        <v>110170</v>
      </c>
      <c r="BO25" s="421">
        <f t="shared" si="21"/>
        <v>78857</v>
      </c>
      <c r="BP25" s="421">
        <f t="shared" si="40"/>
        <v>0</v>
      </c>
      <c r="BQ25" s="421">
        <f t="shared" si="40"/>
        <v>78857</v>
      </c>
      <c r="BR25" s="421">
        <f t="shared" si="41"/>
        <v>0</v>
      </c>
      <c r="BS25" s="421">
        <f t="shared" si="42"/>
        <v>0</v>
      </c>
      <c r="BT25" s="421">
        <f t="shared" si="42"/>
        <v>0</v>
      </c>
      <c r="BU25" s="421">
        <f t="shared" si="43"/>
        <v>26654</v>
      </c>
      <c r="BV25" s="421">
        <f t="shared" si="43"/>
        <v>789</v>
      </c>
      <c r="BW25" s="421">
        <f t="shared" si="44"/>
        <v>3870</v>
      </c>
      <c r="BX25" s="422">
        <f t="shared" si="45"/>
        <v>0.29869999999999997</v>
      </c>
      <c r="BY25" s="422">
        <f t="shared" si="46"/>
        <v>0</v>
      </c>
      <c r="BZ25" s="611">
        <f t="shared" si="46"/>
        <v>0.29869999999999997</v>
      </c>
      <c r="CA25" s="423"/>
      <c r="CB25" s="418"/>
      <c r="CC25" s="418"/>
      <c r="CD25" s="418"/>
      <c r="CE25" s="418"/>
      <c r="CF25" s="527"/>
    </row>
    <row r="26" spans="1:84" s="96" customFormat="1" ht="14.1" customHeight="1" x14ac:dyDescent="0.2">
      <c r="A26" s="118">
        <v>3</v>
      </c>
      <c r="B26" s="77">
        <v>2448</v>
      </c>
      <c r="C26" s="93">
        <v>600080269</v>
      </c>
      <c r="D26" s="77">
        <v>63154617</v>
      </c>
      <c r="E26" s="77" t="s">
        <v>711</v>
      </c>
      <c r="F26" s="94">
        <v>3231</v>
      </c>
      <c r="G26" s="77" t="s">
        <v>296</v>
      </c>
      <c r="H26" s="95" t="s">
        <v>271</v>
      </c>
      <c r="I26" s="669">
        <f t="shared" si="6"/>
        <v>9382034</v>
      </c>
      <c r="J26" s="668">
        <f t="shared" si="7"/>
        <v>6945311</v>
      </c>
      <c r="K26" s="16">
        <v>6691391</v>
      </c>
      <c r="L26" s="16">
        <v>253920</v>
      </c>
      <c r="M26" s="668">
        <f t="shared" si="8"/>
        <v>0</v>
      </c>
      <c r="N26" s="668">
        <v>0</v>
      </c>
      <c r="O26" s="668">
        <v>0</v>
      </c>
      <c r="P26" s="668">
        <f t="shared" si="26"/>
        <v>2347515</v>
      </c>
      <c r="Q26" s="668">
        <f t="shared" si="2"/>
        <v>69453</v>
      </c>
      <c r="R26" s="16">
        <v>19755</v>
      </c>
      <c r="S26" s="420">
        <f t="shared" si="3"/>
        <v>11.185</v>
      </c>
      <c r="T26" s="13">
        <v>10.4725</v>
      </c>
      <c r="U26" s="169">
        <v>0.71250000000000002</v>
      </c>
      <c r="V26" s="428">
        <f t="shared" si="33"/>
        <v>-57600</v>
      </c>
      <c r="W26" s="421">
        <f t="shared" si="33"/>
        <v>-32000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 t="shared" si="10"/>
        <v>-57600</v>
      </c>
      <c r="AG26" s="421">
        <f t="shared" si="11"/>
        <v>-32000</v>
      </c>
      <c r="AH26" s="421">
        <f t="shared" si="12"/>
        <v>-89600</v>
      </c>
      <c r="AI26" s="421">
        <v>57600</v>
      </c>
      <c r="AJ26" s="421">
        <v>32000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34"/>
        <v>57600</v>
      </c>
      <c r="AP26" s="421">
        <f t="shared" si="35"/>
        <v>32000</v>
      </c>
      <c r="AQ26" s="421">
        <f t="shared" si="13"/>
        <v>89600</v>
      </c>
      <c r="AR26" s="421">
        <f t="shared" si="14"/>
        <v>0</v>
      </c>
      <c r="AS26" s="421">
        <f t="shared" si="15"/>
        <v>0</v>
      </c>
      <c r="AT26" s="421">
        <f t="shared" si="16"/>
        <v>0</v>
      </c>
      <c r="AU26" s="68">
        <f t="shared" si="36"/>
        <v>0</v>
      </c>
      <c r="AV26" s="68">
        <f t="shared" si="17"/>
        <v>-896</v>
      </c>
      <c r="AW26" s="421">
        <v>0</v>
      </c>
      <c r="AX26" s="421">
        <v>0</v>
      </c>
      <c r="AY26" s="421">
        <f t="shared" si="18"/>
        <v>0</v>
      </c>
      <c r="AZ26" s="421">
        <f t="shared" si="19"/>
        <v>-896</v>
      </c>
      <c r="BA26" s="422">
        <v>-0.09</v>
      </c>
      <c r="BB26" s="422">
        <v>-0.09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 t="shared" si="37"/>
        <v>-0.09</v>
      </c>
      <c r="BL26" s="422">
        <f t="shared" si="38"/>
        <v>-0.09</v>
      </c>
      <c r="BM26" s="424">
        <f t="shared" si="39"/>
        <v>-0.18</v>
      </c>
      <c r="BN26" s="427">
        <f t="shared" si="20"/>
        <v>9381138</v>
      </c>
      <c r="BO26" s="421">
        <f t="shared" si="21"/>
        <v>6855711</v>
      </c>
      <c r="BP26" s="421">
        <f t="shared" si="40"/>
        <v>6633791</v>
      </c>
      <c r="BQ26" s="421">
        <f t="shared" si="40"/>
        <v>221920</v>
      </c>
      <c r="BR26" s="421">
        <f t="shared" si="41"/>
        <v>89600</v>
      </c>
      <c r="BS26" s="421">
        <f t="shared" si="42"/>
        <v>57600</v>
      </c>
      <c r="BT26" s="421">
        <f t="shared" si="42"/>
        <v>32000</v>
      </c>
      <c r="BU26" s="421">
        <f t="shared" si="43"/>
        <v>2347515</v>
      </c>
      <c r="BV26" s="421">
        <f t="shared" si="43"/>
        <v>68557</v>
      </c>
      <c r="BW26" s="421">
        <f t="shared" si="44"/>
        <v>19755</v>
      </c>
      <c r="BX26" s="422">
        <f t="shared" si="45"/>
        <v>11.005000000000001</v>
      </c>
      <c r="BY26" s="422">
        <f t="shared" si="46"/>
        <v>10.3825</v>
      </c>
      <c r="BZ26" s="611">
        <f t="shared" si="46"/>
        <v>0.62250000000000005</v>
      </c>
      <c r="CA26" s="423"/>
      <c r="CB26" s="418"/>
      <c r="CC26" s="418"/>
      <c r="CD26" s="418"/>
      <c r="CE26" s="418"/>
      <c r="CF26" s="527"/>
    </row>
    <row r="27" spans="1:84" s="96" customFormat="1" ht="14.1" customHeight="1" x14ac:dyDescent="0.2">
      <c r="A27" s="118">
        <v>3</v>
      </c>
      <c r="B27" s="77">
        <v>2448</v>
      </c>
      <c r="C27" s="93">
        <v>600080269</v>
      </c>
      <c r="D27" s="77">
        <v>63154617</v>
      </c>
      <c r="E27" s="77" t="s">
        <v>711</v>
      </c>
      <c r="F27" s="94">
        <v>3233</v>
      </c>
      <c r="G27" s="77" t="s">
        <v>298</v>
      </c>
      <c r="H27" s="95" t="s">
        <v>272</v>
      </c>
      <c r="I27" s="669">
        <f t="shared" si="6"/>
        <v>1551300</v>
      </c>
      <c r="J27" s="668">
        <f t="shared" si="7"/>
        <v>1150119</v>
      </c>
      <c r="K27" s="668">
        <v>1000092</v>
      </c>
      <c r="L27" s="668">
        <v>150027</v>
      </c>
      <c r="M27" s="668">
        <f t="shared" si="8"/>
        <v>0</v>
      </c>
      <c r="N27" s="668">
        <v>0</v>
      </c>
      <c r="O27" s="668">
        <v>0</v>
      </c>
      <c r="P27" s="668">
        <f t="shared" si="26"/>
        <v>388740</v>
      </c>
      <c r="Q27" s="668">
        <f t="shared" si="2"/>
        <v>11501</v>
      </c>
      <c r="R27" s="668">
        <v>940</v>
      </c>
      <c r="S27" s="420">
        <f t="shared" si="3"/>
        <v>2.29</v>
      </c>
      <c r="T27" s="420">
        <v>1.81</v>
      </c>
      <c r="U27" s="946">
        <v>0.48</v>
      </c>
      <c r="V27" s="428">
        <f t="shared" si="33"/>
        <v>0</v>
      </c>
      <c r="W27" s="421">
        <f t="shared" si="33"/>
        <v>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 t="shared" si="10"/>
        <v>0</v>
      </c>
      <c r="AG27" s="421">
        <f t="shared" si="11"/>
        <v>0</v>
      </c>
      <c r="AH27" s="421">
        <f t="shared" si="12"/>
        <v>0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34"/>
        <v>0</v>
      </c>
      <c r="AP27" s="421">
        <f t="shared" si="35"/>
        <v>0</v>
      </c>
      <c r="AQ27" s="421">
        <f t="shared" si="13"/>
        <v>0</v>
      </c>
      <c r="AR27" s="421">
        <f t="shared" si="14"/>
        <v>0</v>
      </c>
      <c r="AS27" s="421">
        <f t="shared" si="15"/>
        <v>0</v>
      </c>
      <c r="AT27" s="421">
        <f t="shared" si="16"/>
        <v>0</v>
      </c>
      <c r="AU27" s="68">
        <f t="shared" si="36"/>
        <v>0</v>
      </c>
      <c r="AV27" s="68">
        <f t="shared" si="17"/>
        <v>0</v>
      </c>
      <c r="AW27" s="421">
        <v>0</v>
      </c>
      <c r="AX27" s="421">
        <v>0</v>
      </c>
      <c r="AY27" s="421">
        <f t="shared" si="18"/>
        <v>0</v>
      </c>
      <c r="AZ27" s="421">
        <f t="shared" si="19"/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 t="shared" si="37"/>
        <v>0</v>
      </c>
      <c r="BL27" s="422">
        <f t="shared" si="38"/>
        <v>0</v>
      </c>
      <c r="BM27" s="424">
        <f t="shared" si="39"/>
        <v>0</v>
      </c>
      <c r="BN27" s="427">
        <f t="shared" si="20"/>
        <v>1551300</v>
      </c>
      <c r="BO27" s="421">
        <f t="shared" si="21"/>
        <v>1150119</v>
      </c>
      <c r="BP27" s="421">
        <f t="shared" si="40"/>
        <v>1000092</v>
      </c>
      <c r="BQ27" s="421">
        <f t="shared" si="40"/>
        <v>150027</v>
      </c>
      <c r="BR27" s="421">
        <f t="shared" si="41"/>
        <v>0</v>
      </c>
      <c r="BS27" s="421">
        <f t="shared" si="42"/>
        <v>0</v>
      </c>
      <c r="BT27" s="421">
        <f t="shared" si="42"/>
        <v>0</v>
      </c>
      <c r="BU27" s="421">
        <f t="shared" si="43"/>
        <v>388740</v>
      </c>
      <c r="BV27" s="421">
        <f t="shared" si="43"/>
        <v>11501</v>
      </c>
      <c r="BW27" s="421">
        <f t="shared" si="44"/>
        <v>940</v>
      </c>
      <c r="BX27" s="422">
        <f t="shared" si="45"/>
        <v>2.29</v>
      </c>
      <c r="BY27" s="422">
        <f t="shared" si="46"/>
        <v>1.81</v>
      </c>
      <c r="BZ27" s="611">
        <f t="shared" si="46"/>
        <v>0.48</v>
      </c>
      <c r="CA27" s="423"/>
      <c r="CB27" s="418"/>
      <c r="CC27" s="418"/>
      <c r="CD27" s="418"/>
      <c r="CE27" s="418"/>
      <c r="CF27" s="527"/>
    </row>
    <row r="28" spans="1:84" s="96" customFormat="1" ht="14.1" customHeight="1" x14ac:dyDescent="0.2">
      <c r="A28" s="119">
        <v>3</v>
      </c>
      <c r="B28" s="97">
        <v>2448</v>
      </c>
      <c r="C28" s="98">
        <v>600080269</v>
      </c>
      <c r="D28" s="97">
        <v>63154617</v>
      </c>
      <c r="E28" s="97" t="s">
        <v>712</v>
      </c>
      <c r="F28" s="99"/>
      <c r="G28" s="100"/>
      <c r="H28" s="101"/>
      <c r="I28" s="442">
        <f t="shared" ref="I28:U28" si="50">SUM(I20:I27)</f>
        <v>97886912</v>
      </c>
      <c r="J28" s="438">
        <f t="shared" si="50"/>
        <v>71877704</v>
      </c>
      <c r="K28" s="438">
        <f t="shared" si="50"/>
        <v>65445398</v>
      </c>
      <c r="L28" s="438">
        <f t="shared" si="50"/>
        <v>6432306</v>
      </c>
      <c r="M28" s="438">
        <f t="shared" si="50"/>
        <v>0</v>
      </c>
      <c r="N28" s="438">
        <f t="shared" si="50"/>
        <v>0</v>
      </c>
      <c r="O28" s="438">
        <f t="shared" si="50"/>
        <v>0</v>
      </c>
      <c r="P28" s="438">
        <f t="shared" si="50"/>
        <v>24294665</v>
      </c>
      <c r="Q28" s="438">
        <f t="shared" si="50"/>
        <v>718777</v>
      </c>
      <c r="R28" s="438">
        <f t="shared" si="50"/>
        <v>995766</v>
      </c>
      <c r="S28" s="439">
        <f t="shared" si="50"/>
        <v>118.82230000000001</v>
      </c>
      <c r="T28" s="439">
        <f t="shared" si="50"/>
        <v>98.177399999999992</v>
      </c>
      <c r="U28" s="814">
        <f t="shared" si="50"/>
        <v>20.6449</v>
      </c>
      <c r="V28" s="442">
        <f t="shared" ref="V28:CF28" si="51">SUM(V20:V27)</f>
        <v>-214400</v>
      </c>
      <c r="W28" s="438">
        <f t="shared" si="51"/>
        <v>-233600</v>
      </c>
      <c r="X28" s="438">
        <f t="shared" si="51"/>
        <v>6472583</v>
      </c>
      <c r="Y28" s="438">
        <f t="shared" si="51"/>
        <v>0</v>
      </c>
      <c r="Z28" s="438">
        <f t="shared" si="51"/>
        <v>0</v>
      </c>
      <c r="AA28" s="438">
        <f t="shared" si="51"/>
        <v>0</v>
      </c>
      <c r="AB28" s="438">
        <f t="shared" si="51"/>
        <v>564000</v>
      </c>
      <c r="AC28" s="438">
        <f t="shared" si="51"/>
        <v>0</v>
      </c>
      <c r="AD28" s="438">
        <f t="shared" si="51"/>
        <v>0</v>
      </c>
      <c r="AE28" s="438">
        <f t="shared" si="51"/>
        <v>0</v>
      </c>
      <c r="AF28" s="438">
        <f t="shared" si="51"/>
        <v>6822183</v>
      </c>
      <c r="AG28" s="438">
        <f t="shared" si="51"/>
        <v>-233600</v>
      </c>
      <c r="AH28" s="438">
        <f t="shared" si="51"/>
        <v>6588583</v>
      </c>
      <c r="AI28" s="438">
        <f t="shared" si="51"/>
        <v>214400</v>
      </c>
      <c r="AJ28" s="438">
        <f t="shared" si="51"/>
        <v>233600</v>
      </c>
      <c r="AK28" s="438">
        <f t="shared" si="51"/>
        <v>0</v>
      </c>
      <c r="AL28" s="438">
        <f t="shared" si="51"/>
        <v>0</v>
      </c>
      <c r="AM28" s="438">
        <f t="shared" si="51"/>
        <v>0</v>
      </c>
      <c r="AN28" s="438">
        <f t="shared" si="51"/>
        <v>0</v>
      </c>
      <c r="AO28" s="438">
        <f t="shared" si="51"/>
        <v>214400</v>
      </c>
      <c r="AP28" s="438">
        <f t="shared" si="51"/>
        <v>233600</v>
      </c>
      <c r="AQ28" s="438">
        <f t="shared" si="51"/>
        <v>448000</v>
      </c>
      <c r="AR28" s="438">
        <f t="shared" si="51"/>
        <v>7036583</v>
      </c>
      <c r="AS28" s="438">
        <f t="shared" si="51"/>
        <v>0</v>
      </c>
      <c r="AT28" s="438">
        <f t="shared" si="51"/>
        <v>7036583</v>
      </c>
      <c r="AU28" s="438">
        <f t="shared" si="51"/>
        <v>2378365</v>
      </c>
      <c r="AV28" s="438">
        <f t="shared" si="51"/>
        <v>65886</v>
      </c>
      <c r="AW28" s="438">
        <f t="shared" si="51"/>
        <v>42000</v>
      </c>
      <c r="AX28" s="438">
        <f t="shared" si="51"/>
        <v>0</v>
      </c>
      <c r="AY28" s="438">
        <f t="shared" si="51"/>
        <v>42000</v>
      </c>
      <c r="AZ28" s="438">
        <f t="shared" si="51"/>
        <v>9522834</v>
      </c>
      <c r="BA28" s="439">
        <f t="shared" si="51"/>
        <v>-0.2</v>
      </c>
      <c r="BB28" s="439">
        <f t="shared" si="51"/>
        <v>-0.2</v>
      </c>
      <c r="BC28" s="439">
        <f t="shared" si="51"/>
        <v>17.440000000000001</v>
      </c>
      <c r="BD28" s="439">
        <f t="shared" si="51"/>
        <v>1</v>
      </c>
      <c r="BE28" s="439">
        <f t="shared" si="51"/>
        <v>0</v>
      </c>
      <c r="BF28" s="439">
        <f t="shared" si="51"/>
        <v>0</v>
      </c>
      <c r="BG28" s="439">
        <f t="shared" si="51"/>
        <v>0</v>
      </c>
      <c r="BH28" s="439">
        <f t="shared" si="51"/>
        <v>0</v>
      </c>
      <c r="BI28" s="439">
        <f t="shared" si="51"/>
        <v>0</v>
      </c>
      <c r="BJ28" s="439">
        <f t="shared" si="51"/>
        <v>0</v>
      </c>
      <c r="BK28" s="439">
        <f t="shared" si="51"/>
        <v>18.240000000000002</v>
      </c>
      <c r="BL28" s="439">
        <f t="shared" si="51"/>
        <v>-0.2</v>
      </c>
      <c r="BM28" s="103">
        <f t="shared" si="51"/>
        <v>18.040000000000003</v>
      </c>
      <c r="BN28" s="444">
        <f t="shared" si="51"/>
        <v>107409746</v>
      </c>
      <c r="BO28" s="438">
        <f t="shared" si="51"/>
        <v>78466287</v>
      </c>
      <c r="BP28" s="438">
        <f t="shared" si="51"/>
        <v>72267581</v>
      </c>
      <c r="BQ28" s="438">
        <f t="shared" si="51"/>
        <v>6198706</v>
      </c>
      <c r="BR28" s="438">
        <f t="shared" si="51"/>
        <v>448000</v>
      </c>
      <c r="BS28" s="438">
        <f t="shared" si="51"/>
        <v>214400</v>
      </c>
      <c r="BT28" s="438">
        <f t="shared" si="51"/>
        <v>233600</v>
      </c>
      <c r="BU28" s="438">
        <f t="shared" si="51"/>
        <v>26673030</v>
      </c>
      <c r="BV28" s="438">
        <f t="shared" si="51"/>
        <v>784663</v>
      </c>
      <c r="BW28" s="438">
        <f t="shared" si="51"/>
        <v>1037766</v>
      </c>
      <c r="BX28" s="439">
        <f t="shared" si="51"/>
        <v>136.8623</v>
      </c>
      <c r="BY28" s="439">
        <f t="shared" si="51"/>
        <v>116.41740000000001</v>
      </c>
      <c r="BZ28" s="814">
        <f t="shared" si="51"/>
        <v>20.444900000000001</v>
      </c>
      <c r="CA28" s="819">
        <f t="shared" si="51"/>
        <v>760272</v>
      </c>
      <c r="CB28" s="817">
        <f t="shared" si="51"/>
        <v>564000</v>
      </c>
      <c r="CC28" s="817">
        <f t="shared" si="51"/>
        <v>0</v>
      </c>
      <c r="CD28" s="817">
        <f t="shared" si="51"/>
        <v>190632</v>
      </c>
      <c r="CE28" s="817">
        <f t="shared" si="51"/>
        <v>5640</v>
      </c>
      <c r="CF28" s="802">
        <f t="shared" si="51"/>
        <v>1</v>
      </c>
    </row>
    <row r="29" spans="1:84" s="96" customFormat="1" ht="14.1" customHeight="1" x14ac:dyDescent="0.2">
      <c r="A29" s="118">
        <v>4</v>
      </c>
      <c r="B29" s="102">
        <v>2450</v>
      </c>
      <c r="C29" s="93">
        <v>600080234</v>
      </c>
      <c r="D29" s="77">
        <v>72745045</v>
      </c>
      <c r="E29" s="77" t="s">
        <v>713</v>
      </c>
      <c r="F29" s="94">
        <v>3111</v>
      </c>
      <c r="G29" s="77" t="s">
        <v>291</v>
      </c>
      <c r="H29" s="95" t="s">
        <v>271</v>
      </c>
      <c r="I29" s="669">
        <f t="shared" si="6"/>
        <v>1520565</v>
      </c>
      <c r="J29" s="668">
        <f t="shared" si="7"/>
        <v>1123017</v>
      </c>
      <c r="K29" s="668">
        <v>1063113</v>
      </c>
      <c r="L29" s="668">
        <v>59904</v>
      </c>
      <c r="M29" s="668">
        <f t="shared" si="8"/>
        <v>0</v>
      </c>
      <c r="N29" s="668">
        <v>0</v>
      </c>
      <c r="O29" s="668">
        <v>0</v>
      </c>
      <c r="P29" s="668">
        <f t="shared" si="26"/>
        <v>379580</v>
      </c>
      <c r="Q29" s="668">
        <f t="shared" si="2"/>
        <v>11230</v>
      </c>
      <c r="R29" s="668">
        <v>6738</v>
      </c>
      <c r="S29" s="420">
        <f t="shared" si="3"/>
        <v>2.2400000000000002</v>
      </c>
      <c r="T29" s="420">
        <v>2</v>
      </c>
      <c r="U29" s="946">
        <v>0.24</v>
      </c>
      <c r="V29" s="428">
        <f t="shared" ref="V29:W34" si="52">AI29*-1</f>
        <v>-32000</v>
      </c>
      <c r="W29" s="421">
        <f t="shared" si="52"/>
        <v>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 t="shared" si="10"/>
        <v>-32000</v>
      </c>
      <c r="AG29" s="421">
        <f t="shared" si="11"/>
        <v>0</v>
      </c>
      <c r="AH29" s="421">
        <f t="shared" si="12"/>
        <v>-32000</v>
      </c>
      <c r="AI29" s="421">
        <v>32000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f t="shared" ref="AO29:AO34" si="53">AI29+AK29+AL29+AM29</f>
        <v>32000</v>
      </c>
      <c r="AP29" s="421">
        <f t="shared" ref="AP29:AP34" si="54">AJ29+AN29</f>
        <v>0</v>
      </c>
      <c r="AQ29" s="421">
        <f t="shared" si="13"/>
        <v>32000</v>
      </c>
      <c r="AR29" s="421">
        <f t="shared" si="14"/>
        <v>0</v>
      </c>
      <c r="AS29" s="421">
        <f t="shared" si="15"/>
        <v>0</v>
      </c>
      <c r="AT29" s="421">
        <f t="shared" si="16"/>
        <v>0</v>
      </c>
      <c r="AU29" s="68">
        <f t="shared" ref="AU29:AU34" si="55">ROUND((AH29+AI29+AJ29+AK29+AL29)*33.8%,0)</f>
        <v>0</v>
      </c>
      <c r="AV29" s="68">
        <f t="shared" si="17"/>
        <v>-320</v>
      </c>
      <c r="AW29" s="421">
        <v>0</v>
      </c>
      <c r="AX29" s="421">
        <v>0</v>
      </c>
      <c r="AY29" s="421">
        <f t="shared" si="18"/>
        <v>0</v>
      </c>
      <c r="AZ29" s="421">
        <f t="shared" si="19"/>
        <v>-320</v>
      </c>
      <c r="BA29" s="422">
        <v>-0.03</v>
      </c>
      <c r="BB29" s="422">
        <v>0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 t="shared" ref="BK29:BK34" si="56">BA29+BC29+BD29+BF29+BH29+BI29</f>
        <v>-0.03</v>
      </c>
      <c r="BL29" s="422">
        <f t="shared" ref="BL29:BL34" si="57">BB29+BE29+BG29+BJ29</f>
        <v>0</v>
      </c>
      <c r="BM29" s="424">
        <f t="shared" ref="BM29:BM34" si="58">SUM(BK29:BL29)</f>
        <v>-0.03</v>
      </c>
      <c r="BN29" s="427">
        <f t="shared" si="20"/>
        <v>1520245</v>
      </c>
      <c r="BO29" s="421">
        <f t="shared" si="21"/>
        <v>1091017</v>
      </c>
      <c r="BP29" s="421">
        <f t="shared" ref="BP29:BQ34" si="59">K29+AF29</f>
        <v>1031113</v>
      </c>
      <c r="BQ29" s="421">
        <f t="shared" si="59"/>
        <v>59904</v>
      </c>
      <c r="BR29" s="421">
        <f t="shared" ref="BR29:BR34" si="60">M29+AQ29</f>
        <v>32000</v>
      </c>
      <c r="BS29" s="421">
        <f t="shared" ref="BS29:BT34" si="61">N29+AO29</f>
        <v>32000</v>
      </c>
      <c r="BT29" s="421">
        <f t="shared" si="61"/>
        <v>0</v>
      </c>
      <c r="BU29" s="421">
        <f t="shared" ref="BU29:BV34" si="62">P29+AU29</f>
        <v>379580</v>
      </c>
      <c r="BV29" s="421">
        <f t="shared" si="62"/>
        <v>10910</v>
      </c>
      <c r="BW29" s="421">
        <f t="shared" ref="BW29:BW34" si="63">R29+AY29</f>
        <v>6738</v>
      </c>
      <c r="BX29" s="422">
        <f t="shared" ref="BX29:BX34" si="64">S29+BM29</f>
        <v>2.2100000000000004</v>
      </c>
      <c r="BY29" s="422">
        <f t="shared" ref="BY29:BZ34" si="65">T29+BK29</f>
        <v>1.97</v>
      </c>
      <c r="BZ29" s="611">
        <f t="shared" si="65"/>
        <v>0.24</v>
      </c>
      <c r="CA29" s="423"/>
      <c r="CB29" s="418"/>
      <c r="CC29" s="418"/>
      <c r="CD29" s="418"/>
      <c r="CE29" s="418"/>
      <c r="CF29" s="527"/>
    </row>
    <row r="30" spans="1:84" s="96" customFormat="1" ht="14.1" customHeight="1" x14ac:dyDescent="0.2">
      <c r="A30" s="118">
        <v>4</v>
      </c>
      <c r="B30" s="104">
        <v>2450</v>
      </c>
      <c r="C30" s="93">
        <v>600080234</v>
      </c>
      <c r="D30" s="77">
        <v>72745045</v>
      </c>
      <c r="E30" s="104" t="s">
        <v>713</v>
      </c>
      <c r="F30" s="105">
        <v>3117</v>
      </c>
      <c r="G30" s="104" t="s">
        <v>309</v>
      </c>
      <c r="H30" s="95" t="s">
        <v>271</v>
      </c>
      <c r="I30" s="669">
        <f t="shared" si="6"/>
        <v>2464472</v>
      </c>
      <c r="J30" s="668">
        <f t="shared" si="7"/>
        <v>1805253</v>
      </c>
      <c r="K30" s="668">
        <v>1602153</v>
      </c>
      <c r="L30" s="668">
        <v>203100</v>
      </c>
      <c r="M30" s="668">
        <f t="shared" si="8"/>
        <v>0</v>
      </c>
      <c r="N30" s="668">
        <v>0</v>
      </c>
      <c r="O30" s="668">
        <v>0</v>
      </c>
      <c r="P30" s="668">
        <f>ROUND(J30*33.8%,0)-1</f>
        <v>610175</v>
      </c>
      <c r="Q30" s="668">
        <f t="shared" si="2"/>
        <v>18053</v>
      </c>
      <c r="R30" s="668">
        <v>30991</v>
      </c>
      <c r="S30" s="420">
        <f t="shared" si="3"/>
        <v>3.0249000000000001</v>
      </c>
      <c r="T30" s="420">
        <v>2.5</v>
      </c>
      <c r="U30" s="946">
        <v>0.52490000000000003</v>
      </c>
      <c r="V30" s="428">
        <f t="shared" si="52"/>
        <v>-16000</v>
      </c>
      <c r="W30" s="421">
        <f t="shared" si="52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 t="shared" si="10"/>
        <v>-16000</v>
      </c>
      <c r="AG30" s="421">
        <f t="shared" si="11"/>
        <v>0</v>
      </c>
      <c r="AH30" s="421">
        <f t="shared" si="12"/>
        <v>-16000</v>
      </c>
      <c r="AI30" s="421">
        <v>16000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53"/>
        <v>16000</v>
      </c>
      <c r="AP30" s="421">
        <f t="shared" si="54"/>
        <v>0</v>
      </c>
      <c r="AQ30" s="421">
        <f t="shared" si="13"/>
        <v>16000</v>
      </c>
      <c r="AR30" s="421">
        <f t="shared" si="14"/>
        <v>0</v>
      </c>
      <c r="AS30" s="421">
        <f t="shared" si="15"/>
        <v>0</v>
      </c>
      <c r="AT30" s="421">
        <f t="shared" si="16"/>
        <v>0</v>
      </c>
      <c r="AU30" s="68">
        <f t="shared" si="55"/>
        <v>0</v>
      </c>
      <c r="AV30" s="68">
        <f t="shared" si="17"/>
        <v>-160</v>
      </c>
      <c r="AW30" s="421">
        <v>0</v>
      </c>
      <c r="AX30" s="421">
        <v>0</v>
      </c>
      <c r="AY30" s="421">
        <f t="shared" si="18"/>
        <v>0</v>
      </c>
      <c r="AZ30" s="421">
        <f t="shared" si="19"/>
        <v>-160</v>
      </c>
      <c r="BA30" s="422">
        <v>-0.01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 t="shared" si="56"/>
        <v>-0.01</v>
      </c>
      <c r="BL30" s="422">
        <f t="shared" si="57"/>
        <v>0</v>
      </c>
      <c r="BM30" s="424">
        <f t="shared" si="58"/>
        <v>-0.01</v>
      </c>
      <c r="BN30" s="427">
        <f t="shared" si="20"/>
        <v>2464312</v>
      </c>
      <c r="BO30" s="421">
        <f t="shared" si="21"/>
        <v>1789253</v>
      </c>
      <c r="BP30" s="421">
        <f t="shared" si="59"/>
        <v>1586153</v>
      </c>
      <c r="BQ30" s="421">
        <f t="shared" si="59"/>
        <v>203100</v>
      </c>
      <c r="BR30" s="421">
        <f t="shared" si="60"/>
        <v>16000</v>
      </c>
      <c r="BS30" s="421">
        <f t="shared" si="61"/>
        <v>16000</v>
      </c>
      <c r="BT30" s="421">
        <f t="shared" si="61"/>
        <v>0</v>
      </c>
      <c r="BU30" s="421">
        <f t="shared" si="62"/>
        <v>610175</v>
      </c>
      <c r="BV30" s="421">
        <f t="shared" si="62"/>
        <v>17893</v>
      </c>
      <c r="BW30" s="421">
        <f t="shared" si="63"/>
        <v>30991</v>
      </c>
      <c r="BX30" s="422">
        <f t="shared" si="64"/>
        <v>3.0149000000000004</v>
      </c>
      <c r="BY30" s="422">
        <f t="shared" si="65"/>
        <v>2.4900000000000002</v>
      </c>
      <c r="BZ30" s="611">
        <f t="shared" si="65"/>
        <v>0.52490000000000003</v>
      </c>
      <c r="CA30" s="423"/>
      <c r="CB30" s="418"/>
      <c r="CC30" s="418"/>
      <c r="CD30" s="418"/>
      <c r="CE30" s="418"/>
      <c r="CF30" s="527"/>
    </row>
    <row r="31" spans="1:84" s="96" customFormat="1" ht="14.1" customHeight="1" x14ac:dyDescent="0.2">
      <c r="A31" s="118">
        <v>4</v>
      </c>
      <c r="B31" s="102">
        <v>2450</v>
      </c>
      <c r="C31" s="93">
        <v>600080234</v>
      </c>
      <c r="D31" s="77">
        <v>72745045</v>
      </c>
      <c r="E31" s="102" t="s">
        <v>713</v>
      </c>
      <c r="F31" s="94">
        <v>3117</v>
      </c>
      <c r="G31" s="77" t="s">
        <v>292</v>
      </c>
      <c r="H31" s="95" t="s">
        <v>272</v>
      </c>
      <c r="I31" s="669">
        <f t="shared" si="6"/>
        <v>0</v>
      </c>
      <c r="J31" s="668">
        <f t="shared" si="7"/>
        <v>0</v>
      </c>
      <c r="K31" s="668">
        <v>0</v>
      </c>
      <c r="L31" s="668">
        <v>0</v>
      </c>
      <c r="M31" s="668">
        <f t="shared" si="8"/>
        <v>0</v>
      </c>
      <c r="N31" s="668">
        <v>0</v>
      </c>
      <c r="O31" s="668">
        <v>0</v>
      </c>
      <c r="P31" s="668">
        <f t="shared" si="26"/>
        <v>0</v>
      </c>
      <c r="Q31" s="668">
        <f t="shared" si="2"/>
        <v>0</v>
      </c>
      <c r="R31" s="668">
        <v>0</v>
      </c>
      <c r="S31" s="420">
        <f t="shared" si="3"/>
        <v>0</v>
      </c>
      <c r="T31" s="420">
        <v>0</v>
      </c>
      <c r="U31" s="946">
        <v>0</v>
      </c>
      <c r="V31" s="428">
        <f t="shared" si="52"/>
        <v>0</v>
      </c>
      <c r="W31" s="421">
        <f t="shared" si="52"/>
        <v>0</v>
      </c>
      <c r="X31" s="16">
        <v>1028021</v>
      </c>
      <c r="Y31" s="16">
        <v>0</v>
      </c>
      <c r="Z31" s="16">
        <v>0</v>
      </c>
      <c r="AA31" s="16">
        <v>0</v>
      </c>
      <c r="AB31" s="421">
        <v>0</v>
      </c>
      <c r="AC31" s="16">
        <v>0</v>
      </c>
      <c r="AD31" s="16">
        <v>0</v>
      </c>
      <c r="AE31" s="16">
        <v>0</v>
      </c>
      <c r="AF31" s="421">
        <f t="shared" si="10"/>
        <v>1028021</v>
      </c>
      <c r="AG31" s="421">
        <f t="shared" si="11"/>
        <v>0</v>
      </c>
      <c r="AH31" s="421">
        <f t="shared" si="12"/>
        <v>1028021</v>
      </c>
      <c r="AI31" s="16">
        <v>0</v>
      </c>
      <c r="AJ31" s="16">
        <v>0</v>
      </c>
      <c r="AK31" s="421">
        <v>0</v>
      </c>
      <c r="AL31" s="16">
        <v>0</v>
      </c>
      <c r="AM31" s="16">
        <v>0</v>
      </c>
      <c r="AN31" s="16">
        <v>0</v>
      </c>
      <c r="AO31" s="421">
        <f t="shared" si="53"/>
        <v>0</v>
      </c>
      <c r="AP31" s="16">
        <v>0</v>
      </c>
      <c r="AQ31" s="421">
        <f t="shared" si="13"/>
        <v>0</v>
      </c>
      <c r="AR31" s="421">
        <f t="shared" si="14"/>
        <v>1028021</v>
      </c>
      <c r="AS31" s="421">
        <f t="shared" si="15"/>
        <v>0</v>
      </c>
      <c r="AT31" s="421">
        <f t="shared" si="16"/>
        <v>1028021</v>
      </c>
      <c r="AU31" s="68">
        <f t="shared" si="55"/>
        <v>347471</v>
      </c>
      <c r="AV31" s="68">
        <f t="shared" si="17"/>
        <v>10280</v>
      </c>
      <c r="AW31" s="16">
        <v>0</v>
      </c>
      <c r="AX31" s="16">
        <v>0</v>
      </c>
      <c r="AY31" s="421">
        <f t="shared" si="18"/>
        <v>0</v>
      </c>
      <c r="AZ31" s="421">
        <f t="shared" si="19"/>
        <v>1385772</v>
      </c>
      <c r="BA31" s="13">
        <v>0</v>
      </c>
      <c r="BB31" s="13">
        <v>0</v>
      </c>
      <c r="BC31" s="13">
        <v>2.74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 t="shared" si="56"/>
        <v>2.74</v>
      </c>
      <c r="BL31" s="422">
        <f t="shared" si="57"/>
        <v>0</v>
      </c>
      <c r="BM31" s="424">
        <f t="shared" si="58"/>
        <v>2.74</v>
      </c>
      <c r="BN31" s="427">
        <f t="shared" si="20"/>
        <v>1385772</v>
      </c>
      <c r="BO31" s="421">
        <f t="shared" si="21"/>
        <v>1028021</v>
      </c>
      <c r="BP31" s="421">
        <f t="shared" si="59"/>
        <v>1028021</v>
      </c>
      <c r="BQ31" s="421">
        <f t="shared" si="59"/>
        <v>0</v>
      </c>
      <c r="BR31" s="421">
        <f t="shared" si="60"/>
        <v>0</v>
      </c>
      <c r="BS31" s="421">
        <f t="shared" si="61"/>
        <v>0</v>
      </c>
      <c r="BT31" s="421">
        <f t="shared" si="61"/>
        <v>0</v>
      </c>
      <c r="BU31" s="421">
        <f t="shared" si="62"/>
        <v>347471</v>
      </c>
      <c r="BV31" s="421">
        <f t="shared" si="62"/>
        <v>10280</v>
      </c>
      <c r="BW31" s="421">
        <f t="shared" si="63"/>
        <v>0</v>
      </c>
      <c r="BX31" s="422">
        <f t="shared" si="64"/>
        <v>2.74</v>
      </c>
      <c r="BY31" s="422">
        <f t="shared" si="65"/>
        <v>2.74</v>
      </c>
      <c r="BZ31" s="611">
        <f t="shared" si="65"/>
        <v>0</v>
      </c>
      <c r="CA31" s="423"/>
      <c r="CB31" s="418"/>
      <c r="CC31" s="418"/>
      <c r="CD31" s="418"/>
      <c r="CE31" s="418"/>
      <c r="CF31" s="527"/>
    </row>
    <row r="32" spans="1:84" s="96" customFormat="1" ht="14.1" customHeight="1" x14ac:dyDescent="0.2">
      <c r="A32" s="118">
        <v>4</v>
      </c>
      <c r="B32" s="77">
        <v>2450</v>
      </c>
      <c r="C32" s="93">
        <v>600080234</v>
      </c>
      <c r="D32" s="77">
        <v>72745045</v>
      </c>
      <c r="E32" s="77" t="s">
        <v>713</v>
      </c>
      <c r="F32" s="94">
        <v>3141</v>
      </c>
      <c r="G32" s="77" t="s">
        <v>295</v>
      </c>
      <c r="H32" s="95" t="s">
        <v>272</v>
      </c>
      <c r="I32" s="669">
        <f t="shared" si="6"/>
        <v>360885</v>
      </c>
      <c r="J32" s="668">
        <f t="shared" si="7"/>
        <v>266784</v>
      </c>
      <c r="K32" s="668">
        <v>0</v>
      </c>
      <c r="L32" s="674">
        <v>266784</v>
      </c>
      <c r="M32" s="668">
        <f t="shared" si="8"/>
        <v>0</v>
      </c>
      <c r="N32" s="668">
        <v>0</v>
      </c>
      <c r="O32" s="668">
        <v>0</v>
      </c>
      <c r="P32" s="668">
        <f t="shared" si="26"/>
        <v>90173</v>
      </c>
      <c r="Q32" s="668">
        <f t="shared" ref="Q32" si="66">ROUND(J32*1%,0)</f>
        <v>2668</v>
      </c>
      <c r="R32" s="668">
        <v>1260</v>
      </c>
      <c r="S32" s="420">
        <f t="shared" si="3"/>
        <v>0.8</v>
      </c>
      <c r="T32" s="420">
        <v>0</v>
      </c>
      <c r="U32" s="946">
        <v>0.8</v>
      </c>
      <c r="V32" s="428">
        <f t="shared" si="52"/>
        <v>0</v>
      </c>
      <c r="W32" s="421">
        <f t="shared" si="52"/>
        <v>-9600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 t="shared" si="10"/>
        <v>0</v>
      </c>
      <c r="AG32" s="421">
        <f t="shared" si="11"/>
        <v>-9600</v>
      </c>
      <c r="AH32" s="421">
        <f t="shared" si="12"/>
        <v>-9600</v>
      </c>
      <c r="AI32" s="421">
        <v>0</v>
      </c>
      <c r="AJ32" s="421">
        <v>9600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53"/>
        <v>0</v>
      </c>
      <c r="AP32" s="421">
        <f t="shared" si="54"/>
        <v>9600</v>
      </c>
      <c r="AQ32" s="421">
        <f t="shared" si="13"/>
        <v>9600</v>
      </c>
      <c r="AR32" s="421">
        <f t="shared" si="14"/>
        <v>0</v>
      </c>
      <c r="AS32" s="421">
        <f t="shared" si="15"/>
        <v>0</v>
      </c>
      <c r="AT32" s="421">
        <f t="shared" si="16"/>
        <v>0</v>
      </c>
      <c r="AU32" s="68">
        <f t="shared" si="55"/>
        <v>0</v>
      </c>
      <c r="AV32" s="68">
        <f t="shared" si="17"/>
        <v>-96</v>
      </c>
      <c r="AW32" s="421">
        <v>0</v>
      </c>
      <c r="AX32" s="421">
        <v>0</v>
      </c>
      <c r="AY32" s="421">
        <f t="shared" si="18"/>
        <v>0</v>
      </c>
      <c r="AZ32" s="421">
        <f t="shared" si="19"/>
        <v>-96</v>
      </c>
      <c r="BA32" s="422">
        <v>0</v>
      </c>
      <c r="BB32" s="422">
        <v>0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 t="shared" si="56"/>
        <v>0</v>
      </c>
      <c r="BL32" s="422">
        <f t="shared" si="57"/>
        <v>0</v>
      </c>
      <c r="BM32" s="424">
        <f t="shared" si="58"/>
        <v>0</v>
      </c>
      <c r="BN32" s="427">
        <f t="shared" si="20"/>
        <v>360789</v>
      </c>
      <c r="BO32" s="421">
        <f t="shared" si="21"/>
        <v>257184</v>
      </c>
      <c r="BP32" s="421">
        <f t="shared" si="59"/>
        <v>0</v>
      </c>
      <c r="BQ32" s="421">
        <f t="shared" si="59"/>
        <v>257184</v>
      </c>
      <c r="BR32" s="421">
        <f t="shared" si="60"/>
        <v>9600</v>
      </c>
      <c r="BS32" s="421">
        <f t="shared" si="61"/>
        <v>0</v>
      </c>
      <c r="BT32" s="421">
        <f t="shared" si="61"/>
        <v>9600</v>
      </c>
      <c r="BU32" s="421">
        <f t="shared" si="62"/>
        <v>90173</v>
      </c>
      <c r="BV32" s="421">
        <f t="shared" si="62"/>
        <v>2572</v>
      </c>
      <c r="BW32" s="421">
        <f t="shared" si="63"/>
        <v>1260</v>
      </c>
      <c r="BX32" s="422">
        <f t="shared" si="64"/>
        <v>0.8</v>
      </c>
      <c r="BY32" s="422">
        <f t="shared" si="65"/>
        <v>0</v>
      </c>
      <c r="BZ32" s="611">
        <f t="shared" si="65"/>
        <v>0.8</v>
      </c>
      <c r="CA32" s="423"/>
      <c r="CB32" s="418"/>
      <c r="CC32" s="418"/>
      <c r="CD32" s="418"/>
      <c r="CE32" s="418"/>
      <c r="CF32" s="527"/>
    </row>
    <row r="33" spans="1:84" s="96" customFormat="1" ht="14.1" customHeight="1" x14ac:dyDescent="0.2">
      <c r="A33" s="118">
        <v>4</v>
      </c>
      <c r="B33" s="77">
        <v>2450</v>
      </c>
      <c r="C33" s="93">
        <v>600080234</v>
      </c>
      <c r="D33" s="77">
        <v>72745045</v>
      </c>
      <c r="E33" s="77" t="s">
        <v>713</v>
      </c>
      <c r="F33" s="94">
        <v>3143</v>
      </c>
      <c r="G33" s="77" t="s">
        <v>596</v>
      </c>
      <c r="H33" s="95" t="s">
        <v>271</v>
      </c>
      <c r="I33" s="669">
        <f t="shared" si="6"/>
        <v>647043</v>
      </c>
      <c r="J33" s="668">
        <f t="shared" si="7"/>
        <v>480002</v>
      </c>
      <c r="K33" s="668">
        <v>480002</v>
      </c>
      <c r="L33" s="668">
        <v>0</v>
      </c>
      <c r="M33" s="668">
        <f t="shared" si="8"/>
        <v>0</v>
      </c>
      <c r="N33" s="668">
        <v>0</v>
      </c>
      <c r="O33" s="668">
        <v>0</v>
      </c>
      <c r="P33" s="668">
        <f t="shared" si="26"/>
        <v>162241</v>
      </c>
      <c r="Q33" s="668">
        <f t="shared" si="2"/>
        <v>4800</v>
      </c>
      <c r="R33" s="668">
        <v>0</v>
      </c>
      <c r="S33" s="420">
        <f t="shared" si="3"/>
        <v>1</v>
      </c>
      <c r="T33" s="420">
        <v>1</v>
      </c>
      <c r="U33" s="946">
        <v>0</v>
      </c>
      <c r="V33" s="428">
        <f t="shared" si="52"/>
        <v>-7680</v>
      </c>
      <c r="W33" s="421">
        <f t="shared" si="52"/>
        <v>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 t="shared" si="10"/>
        <v>-7680</v>
      </c>
      <c r="AG33" s="421">
        <f t="shared" si="11"/>
        <v>0</v>
      </c>
      <c r="AH33" s="421">
        <f t="shared" si="12"/>
        <v>-7680</v>
      </c>
      <c r="AI33" s="421">
        <v>7680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53"/>
        <v>7680</v>
      </c>
      <c r="AP33" s="421">
        <f t="shared" si="54"/>
        <v>0</v>
      </c>
      <c r="AQ33" s="421">
        <f t="shared" si="13"/>
        <v>7680</v>
      </c>
      <c r="AR33" s="421">
        <f t="shared" si="14"/>
        <v>0</v>
      </c>
      <c r="AS33" s="421">
        <f t="shared" si="15"/>
        <v>0</v>
      </c>
      <c r="AT33" s="421">
        <f t="shared" si="16"/>
        <v>0</v>
      </c>
      <c r="AU33" s="68">
        <f t="shared" si="55"/>
        <v>0</v>
      </c>
      <c r="AV33" s="68">
        <f t="shared" si="17"/>
        <v>-77</v>
      </c>
      <c r="AW33" s="421">
        <v>0</v>
      </c>
      <c r="AX33" s="421">
        <v>0</v>
      </c>
      <c r="AY33" s="421">
        <f t="shared" si="18"/>
        <v>0</v>
      </c>
      <c r="AZ33" s="421">
        <f t="shared" si="19"/>
        <v>-77</v>
      </c>
      <c r="BA33" s="422">
        <v>0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 t="shared" si="56"/>
        <v>0</v>
      </c>
      <c r="BL33" s="422">
        <f t="shared" si="57"/>
        <v>0</v>
      </c>
      <c r="BM33" s="424">
        <f t="shared" si="58"/>
        <v>0</v>
      </c>
      <c r="BN33" s="427">
        <f t="shared" si="20"/>
        <v>646966</v>
      </c>
      <c r="BO33" s="421">
        <f t="shared" si="21"/>
        <v>472322</v>
      </c>
      <c r="BP33" s="421">
        <f t="shared" si="59"/>
        <v>472322</v>
      </c>
      <c r="BQ33" s="421">
        <f t="shared" si="59"/>
        <v>0</v>
      </c>
      <c r="BR33" s="421">
        <f t="shared" si="60"/>
        <v>7680</v>
      </c>
      <c r="BS33" s="421">
        <f t="shared" si="61"/>
        <v>7680</v>
      </c>
      <c r="BT33" s="421">
        <f t="shared" si="61"/>
        <v>0</v>
      </c>
      <c r="BU33" s="421">
        <f t="shared" si="62"/>
        <v>162241</v>
      </c>
      <c r="BV33" s="421">
        <f t="shared" si="62"/>
        <v>4723</v>
      </c>
      <c r="BW33" s="421">
        <f t="shared" si="63"/>
        <v>0</v>
      </c>
      <c r="BX33" s="422">
        <f t="shared" si="64"/>
        <v>1</v>
      </c>
      <c r="BY33" s="422">
        <f t="shared" si="65"/>
        <v>1</v>
      </c>
      <c r="BZ33" s="611">
        <f t="shared" si="65"/>
        <v>0</v>
      </c>
      <c r="CA33" s="423"/>
      <c r="CB33" s="418"/>
      <c r="CC33" s="418"/>
      <c r="CD33" s="418"/>
      <c r="CE33" s="418"/>
      <c r="CF33" s="527"/>
    </row>
    <row r="34" spans="1:84" s="96" customFormat="1" ht="14.1" customHeight="1" x14ac:dyDescent="0.2">
      <c r="A34" s="118">
        <v>4</v>
      </c>
      <c r="B34" s="77">
        <v>2450</v>
      </c>
      <c r="C34" s="93">
        <v>600080234</v>
      </c>
      <c r="D34" s="77">
        <v>72745045</v>
      </c>
      <c r="E34" s="77" t="s">
        <v>713</v>
      </c>
      <c r="F34" s="94">
        <v>3143</v>
      </c>
      <c r="G34" s="77" t="s">
        <v>597</v>
      </c>
      <c r="H34" s="95" t="s">
        <v>272</v>
      </c>
      <c r="I34" s="669">
        <f t="shared" si="6"/>
        <v>9738</v>
      </c>
      <c r="J34" s="668">
        <f t="shared" si="7"/>
        <v>6970</v>
      </c>
      <c r="K34" s="668">
        <v>0</v>
      </c>
      <c r="L34" s="674">
        <v>6970</v>
      </c>
      <c r="M34" s="668">
        <f t="shared" si="8"/>
        <v>0</v>
      </c>
      <c r="N34" s="675">
        <v>0</v>
      </c>
      <c r="O34" s="675">
        <v>0</v>
      </c>
      <c r="P34" s="668">
        <f t="shared" ref="P34" si="67">ROUND(J34*33.8%,0)</f>
        <v>2356</v>
      </c>
      <c r="Q34" s="668">
        <f t="shared" ref="Q34" si="68">ROUND(J34*1%,0)</f>
        <v>70</v>
      </c>
      <c r="R34" s="675">
        <v>342</v>
      </c>
      <c r="S34" s="420">
        <f t="shared" si="3"/>
        <v>2.64E-2</v>
      </c>
      <c r="T34" s="679">
        <v>0</v>
      </c>
      <c r="U34" s="909">
        <v>2.64E-2</v>
      </c>
      <c r="V34" s="428">
        <f t="shared" si="52"/>
        <v>0</v>
      </c>
      <c r="W34" s="421">
        <f t="shared" si="52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 t="shared" si="10"/>
        <v>0</v>
      </c>
      <c r="AG34" s="421">
        <f t="shared" si="11"/>
        <v>0</v>
      </c>
      <c r="AH34" s="421">
        <f t="shared" si="12"/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53"/>
        <v>0</v>
      </c>
      <c r="AP34" s="421">
        <f t="shared" si="54"/>
        <v>0</v>
      </c>
      <c r="AQ34" s="421">
        <f t="shared" si="13"/>
        <v>0</v>
      </c>
      <c r="AR34" s="421">
        <f t="shared" si="14"/>
        <v>0</v>
      </c>
      <c r="AS34" s="421">
        <f t="shared" si="15"/>
        <v>0</v>
      </c>
      <c r="AT34" s="421">
        <f t="shared" si="16"/>
        <v>0</v>
      </c>
      <c r="AU34" s="68">
        <f t="shared" si="55"/>
        <v>0</v>
      </c>
      <c r="AV34" s="68">
        <f t="shared" si="17"/>
        <v>0</v>
      </c>
      <c r="AW34" s="421">
        <v>0</v>
      </c>
      <c r="AX34" s="421">
        <v>0</v>
      </c>
      <c r="AY34" s="421">
        <f t="shared" si="18"/>
        <v>0</v>
      </c>
      <c r="AZ34" s="421">
        <f t="shared" si="19"/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 t="shared" si="56"/>
        <v>0</v>
      </c>
      <c r="BL34" s="422">
        <f t="shared" si="57"/>
        <v>0</v>
      </c>
      <c r="BM34" s="424">
        <f t="shared" si="58"/>
        <v>0</v>
      </c>
      <c r="BN34" s="427">
        <f t="shared" si="20"/>
        <v>9738</v>
      </c>
      <c r="BO34" s="421">
        <f t="shared" si="21"/>
        <v>6970</v>
      </c>
      <c r="BP34" s="421">
        <f t="shared" si="59"/>
        <v>0</v>
      </c>
      <c r="BQ34" s="421">
        <f t="shared" si="59"/>
        <v>6970</v>
      </c>
      <c r="BR34" s="421">
        <f t="shared" si="60"/>
        <v>0</v>
      </c>
      <c r="BS34" s="421">
        <f t="shared" si="61"/>
        <v>0</v>
      </c>
      <c r="BT34" s="421">
        <f t="shared" si="61"/>
        <v>0</v>
      </c>
      <c r="BU34" s="421">
        <f t="shared" si="62"/>
        <v>2356</v>
      </c>
      <c r="BV34" s="421">
        <f t="shared" si="62"/>
        <v>70</v>
      </c>
      <c r="BW34" s="421">
        <f t="shared" si="63"/>
        <v>342</v>
      </c>
      <c r="BX34" s="422">
        <f t="shared" si="64"/>
        <v>2.64E-2</v>
      </c>
      <c r="BY34" s="422">
        <f t="shared" si="65"/>
        <v>0</v>
      </c>
      <c r="BZ34" s="611">
        <f t="shared" si="65"/>
        <v>2.64E-2</v>
      </c>
      <c r="CA34" s="423"/>
      <c r="CB34" s="418"/>
      <c r="CC34" s="418"/>
      <c r="CD34" s="418"/>
      <c r="CE34" s="418"/>
      <c r="CF34" s="527"/>
    </row>
    <row r="35" spans="1:84" s="96" customFormat="1" ht="14.1" customHeight="1" x14ac:dyDescent="0.2">
      <c r="A35" s="119">
        <v>4</v>
      </c>
      <c r="B35" s="97">
        <v>2450</v>
      </c>
      <c r="C35" s="98">
        <v>600080234</v>
      </c>
      <c r="D35" s="97">
        <v>72745045</v>
      </c>
      <c r="E35" s="97" t="s">
        <v>714</v>
      </c>
      <c r="F35" s="106"/>
      <c r="G35" s="100"/>
      <c r="H35" s="101"/>
      <c r="I35" s="442">
        <f t="shared" ref="I35:U35" si="69">SUM(I29:I34)</f>
        <v>5002703</v>
      </c>
      <c r="J35" s="438">
        <f t="shared" si="69"/>
        <v>3682026</v>
      </c>
      <c r="K35" s="438">
        <f t="shared" si="69"/>
        <v>3145268</v>
      </c>
      <c r="L35" s="438">
        <f t="shared" si="69"/>
        <v>536758</v>
      </c>
      <c r="M35" s="438">
        <f t="shared" si="69"/>
        <v>0</v>
      </c>
      <c r="N35" s="438">
        <f t="shared" si="69"/>
        <v>0</v>
      </c>
      <c r="O35" s="438">
        <f t="shared" si="69"/>
        <v>0</v>
      </c>
      <c r="P35" s="438">
        <f t="shared" si="69"/>
        <v>1244525</v>
      </c>
      <c r="Q35" s="438">
        <f t="shared" si="69"/>
        <v>36821</v>
      </c>
      <c r="R35" s="438">
        <f t="shared" si="69"/>
        <v>39331</v>
      </c>
      <c r="S35" s="439">
        <f t="shared" si="69"/>
        <v>7.0913000000000004</v>
      </c>
      <c r="T35" s="439">
        <f t="shared" si="69"/>
        <v>5.5</v>
      </c>
      <c r="U35" s="814">
        <f t="shared" si="69"/>
        <v>1.5913000000000002</v>
      </c>
      <c r="V35" s="442">
        <f t="shared" ref="V35:CF35" si="70">SUM(V29:V34)</f>
        <v>-55680</v>
      </c>
      <c r="W35" s="438">
        <f t="shared" si="70"/>
        <v>-9600</v>
      </c>
      <c r="X35" s="438">
        <f t="shared" si="70"/>
        <v>1028021</v>
      </c>
      <c r="Y35" s="438">
        <f t="shared" si="70"/>
        <v>0</v>
      </c>
      <c r="Z35" s="438">
        <f t="shared" si="70"/>
        <v>0</v>
      </c>
      <c r="AA35" s="438">
        <f t="shared" si="70"/>
        <v>0</v>
      </c>
      <c r="AB35" s="438">
        <f t="shared" si="70"/>
        <v>0</v>
      </c>
      <c r="AC35" s="438">
        <f t="shared" si="70"/>
        <v>0</v>
      </c>
      <c r="AD35" s="438">
        <f t="shared" si="70"/>
        <v>0</v>
      </c>
      <c r="AE35" s="438">
        <f t="shared" si="70"/>
        <v>0</v>
      </c>
      <c r="AF35" s="438">
        <f t="shared" si="70"/>
        <v>972341</v>
      </c>
      <c r="AG35" s="438">
        <f t="shared" si="70"/>
        <v>-9600</v>
      </c>
      <c r="AH35" s="438">
        <f t="shared" si="70"/>
        <v>962741</v>
      </c>
      <c r="AI35" s="438">
        <f t="shared" si="70"/>
        <v>55680</v>
      </c>
      <c r="AJ35" s="438">
        <f t="shared" si="70"/>
        <v>9600</v>
      </c>
      <c r="AK35" s="438">
        <f t="shared" si="70"/>
        <v>0</v>
      </c>
      <c r="AL35" s="438">
        <f t="shared" si="70"/>
        <v>0</v>
      </c>
      <c r="AM35" s="438">
        <f t="shared" si="70"/>
        <v>0</v>
      </c>
      <c r="AN35" s="438">
        <f t="shared" si="70"/>
        <v>0</v>
      </c>
      <c r="AO35" s="438">
        <f t="shared" si="70"/>
        <v>55680</v>
      </c>
      <c r="AP35" s="438">
        <f t="shared" si="70"/>
        <v>9600</v>
      </c>
      <c r="AQ35" s="438">
        <f t="shared" si="70"/>
        <v>65280</v>
      </c>
      <c r="AR35" s="438">
        <f t="shared" si="70"/>
        <v>1028021</v>
      </c>
      <c r="AS35" s="438">
        <f t="shared" si="70"/>
        <v>0</v>
      </c>
      <c r="AT35" s="438">
        <f t="shared" si="70"/>
        <v>1028021</v>
      </c>
      <c r="AU35" s="438">
        <f t="shared" si="70"/>
        <v>347471</v>
      </c>
      <c r="AV35" s="438">
        <f t="shared" si="70"/>
        <v>9627</v>
      </c>
      <c r="AW35" s="438">
        <f t="shared" si="70"/>
        <v>0</v>
      </c>
      <c r="AX35" s="438">
        <f t="shared" si="70"/>
        <v>0</v>
      </c>
      <c r="AY35" s="438">
        <f t="shared" si="70"/>
        <v>0</v>
      </c>
      <c r="AZ35" s="438">
        <f t="shared" si="70"/>
        <v>1385119</v>
      </c>
      <c r="BA35" s="439">
        <f t="shared" si="70"/>
        <v>-0.04</v>
      </c>
      <c r="BB35" s="439">
        <f t="shared" si="70"/>
        <v>0</v>
      </c>
      <c r="BC35" s="439">
        <f t="shared" si="70"/>
        <v>2.74</v>
      </c>
      <c r="BD35" s="439">
        <f t="shared" si="70"/>
        <v>0</v>
      </c>
      <c r="BE35" s="439">
        <f t="shared" si="70"/>
        <v>0</v>
      </c>
      <c r="BF35" s="439">
        <f t="shared" si="70"/>
        <v>0</v>
      </c>
      <c r="BG35" s="439">
        <f t="shared" si="70"/>
        <v>0</v>
      </c>
      <c r="BH35" s="439">
        <f t="shared" si="70"/>
        <v>0</v>
      </c>
      <c r="BI35" s="439">
        <f t="shared" si="70"/>
        <v>0</v>
      </c>
      <c r="BJ35" s="439">
        <f t="shared" si="70"/>
        <v>0</v>
      </c>
      <c r="BK35" s="439">
        <f t="shared" si="70"/>
        <v>2.7</v>
      </c>
      <c r="BL35" s="439">
        <f t="shared" si="70"/>
        <v>0</v>
      </c>
      <c r="BM35" s="103">
        <f t="shared" si="70"/>
        <v>2.7</v>
      </c>
      <c r="BN35" s="444">
        <f t="shared" si="70"/>
        <v>6387822</v>
      </c>
      <c r="BO35" s="438">
        <f t="shared" si="70"/>
        <v>4644767</v>
      </c>
      <c r="BP35" s="438">
        <f t="shared" si="70"/>
        <v>4117609</v>
      </c>
      <c r="BQ35" s="438">
        <f t="shared" si="70"/>
        <v>527158</v>
      </c>
      <c r="BR35" s="438">
        <f t="shared" si="70"/>
        <v>65280</v>
      </c>
      <c r="BS35" s="438">
        <f t="shared" si="70"/>
        <v>55680</v>
      </c>
      <c r="BT35" s="438">
        <f t="shared" si="70"/>
        <v>9600</v>
      </c>
      <c r="BU35" s="438">
        <f t="shared" si="70"/>
        <v>1591996</v>
      </c>
      <c r="BV35" s="438">
        <f t="shared" si="70"/>
        <v>46448</v>
      </c>
      <c r="BW35" s="438">
        <f t="shared" si="70"/>
        <v>39331</v>
      </c>
      <c r="BX35" s="439">
        <f t="shared" si="70"/>
        <v>9.7913000000000014</v>
      </c>
      <c r="BY35" s="439">
        <f t="shared" si="70"/>
        <v>8.1999999999999993</v>
      </c>
      <c r="BZ35" s="814">
        <f t="shared" si="70"/>
        <v>1.5913000000000002</v>
      </c>
      <c r="CA35" s="819">
        <f t="shared" si="70"/>
        <v>0</v>
      </c>
      <c r="CB35" s="817">
        <f t="shared" si="70"/>
        <v>0</v>
      </c>
      <c r="CC35" s="817">
        <f t="shared" si="70"/>
        <v>0</v>
      </c>
      <c r="CD35" s="817">
        <f t="shared" si="70"/>
        <v>0</v>
      </c>
      <c r="CE35" s="817">
        <f t="shared" si="70"/>
        <v>0</v>
      </c>
      <c r="CF35" s="802">
        <f t="shared" si="70"/>
        <v>0</v>
      </c>
    </row>
    <row r="36" spans="1:84" s="96" customFormat="1" ht="14.1" customHeight="1" x14ac:dyDescent="0.2">
      <c r="A36" s="118">
        <v>5</v>
      </c>
      <c r="B36" s="102">
        <v>2451</v>
      </c>
      <c r="C36" s="93">
        <v>650037901</v>
      </c>
      <c r="D36" s="77">
        <v>72744880</v>
      </c>
      <c r="E36" s="77" t="s">
        <v>715</v>
      </c>
      <c r="F36" s="94">
        <v>3111</v>
      </c>
      <c r="G36" s="77" t="s">
        <v>291</v>
      </c>
      <c r="H36" s="95" t="s">
        <v>271</v>
      </c>
      <c r="I36" s="669">
        <f t="shared" si="6"/>
        <v>1649466</v>
      </c>
      <c r="J36" s="668">
        <f t="shared" si="7"/>
        <v>1219084</v>
      </c>
      <c r="K36" s="668">
        <v>1152516</v>
      </c>
      <c r="L36" s="668">
        <v>66568</v>
      </c>
      <c r="M36" s="668">
        <f t="shared" si="8"/>
        <v>0</v>
      </c>
      <c r="N36" s="668">
        <v>0</v>
      </c>
      <c r="O36" s="668">
        <v>0</v>
      </c>
      <c r="P36" s="668">
        <f t="shared" si="26"/>
        <v>412050</v>
      </c>
      <c r="Q36" s="668">
        <f t="shared" si="2"/>
        <v>12191</v>
      </c>
      <c r="R36" s="668">
        <v>6141</v>
      </c>
      <c r="S36" s="420">
        <f t="shared" si="3"/>
        <v>2.2667000000000002</v>
      </c>
      <c r="T36" s="420">
        <v>2</v>
      </c>
      <c r="U36" s="946">
        <v>0.26669999999999999</v>
      </c>
      <c r="V36" s="428">
        <f t="shared" ref="V36:W41" si="71">AI36*-1</f>
        <v>0</v>
      </c>
      <c r="W36" s="421">
        <f t="shared" si="71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 t="shared" si="10"/>
        <v>0</v>
      </c>
      <c r="AG36" s="421">
        <f t="shared" si="11"/>
        <v>0</v>
      </c>
      <c r="AH36" s="421">
        <f t="shared" si="12"/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ref="AO36:AO41" si="72">AI36+AK36+AL36+AM36</f>
        <v>0</v>
      </c>
      <c r="AP36" s="421">
        <f t="shared" ref="AP36:AP41" si="73">AJ36+AN36</f>
        <v>0</v>
      </c>
      <c r="AQ36" s="421">
        <f t="shared" si="13"/>
        <v>0</v>
      </c>
      <c r="AR36" s="421">
        <f t="shared" si="14"/>
        <v>0</v>
      </c>
      <c r="AS36" s="421">
        <f t="shared" si="15"/>
        <v>0</v>
      </c>
      <c r="AT36" s="421">
        <f t="shared" si="16"/>
        <v>0</v>
      </c>
      <c r="AU36" s="68">
        <f t="shared" ref="AU36:AU41" si="74">ROUND((AH36+AI36+AJ36+AK36+AL36)*33.8%,0)</f>
        <v>0</v>
      </c>
      <c r="AV36" s="68">
        <f t="shared" si="17"/>
        <v>0</v>
      </c>
      <c r="AW36" s="421">
        <v>0</v>
      </c>
      <c r="AX36" s="421">
        <v>0</v>
      </c>
      <c r="AY36" s="421">
        <f t="shared" si="18"/>
        <v>0</v>
      </c>
      <c r="AZ36" s="421">
        <f t="shared" si="19"/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 t="shared" ref="BK36:BK41" si="75">BA36+BC36+BD36+BF36+BH36+BI36</f>
        <v>0</v>
      </c>
      <c r="BL36" s="422">
        <f t="shared" ref="BL36:BL41" si="76">BB36+BE36+BG36+BJ36</f>
        <v>0</v>
      </c>
      <c r="BM36" s="424">
        <f t="shared" ref="BM36:BM41" si="77">SUM(BK36:BL36)</f>
        <v>0</v>
      </c>
      <c r="BN36" s="427">
        <f t="shared" si="20"/>
        <v>1649466</v>
      </c>
      <c r="BO36" s="421">
        <f t="shared" si="21"/>
        <v>1219084</v>
      </c>
      <c r="BP36" s="421">
        <f t="shared" ref="BP36:BQ41" si="78">K36+AF36</f>
        <v>1152516</v>
      </c>
      <c r="BQ36" s="421">
        <f t="shared" si="78"/>
        <v>66568</v>
      </c>
      <c r="BR36" s="421">
        <f t="shared" ref="BR36:BR41" si="79">M36+AQ36</f>
        <v>0</v>
      </c>
      <c r="BS36" s="421">
        <f t="shared" ref="BS36:BT41" si="80">N36+AO36</f>
        <v>0</v>
      </c>
      <c r="BT36" s="421">
        <f t="shared" si="80"/>
        <v>0</v>
      </c>
      <c r="BU36" s="421">
        <f t="shared" ref="BU36:BV41" si="81">P36+AU36</f>
        <v>412050</v>
      </c>
      <c r="BV36" s="421">
        <f t="shared" si="81"/>
        <v>12191</v>
      </c>
      <c r="BW36" s="421">
        <f t="shared" ref="BW36:BW41" si="82">R36+AY36</f>
        <v>6141</v>
      </c>
      <c r="BX36" s="422">
        <f t="shared" ref="BX36:BX41" si="83">S36+BM36</f>
        <v>2.2667000000000002</v>
      </c>
      <c r="BY36" s="422">
        <f t="shared" ref="BY36:BZ41" si="84">T36+BK36</f>
        <v>2</v>
      </c>
      <c r="BZ36" s="611">
        <f t="shared" si="84"/>
        <v>0.26669999999999999</v>
      </c>
      <c r="CA36" s="423"/>
      <c r="CB36" s="418"/>
      <c r="CC36" s="418"/>
      <c r="CD36" s="418"/>
      <c r="CE36" s="418"/>
      <c r="CF36" s="527"/>
    </row>
    <row r="37" spans="1:84" s="96" customFormat="1" ht="14.1" customHeight="1" x14ac:dyDescent="0.2">
      <c r="A37" s="118">
        <v>5</v>
      </c>
      <c r="B37" s="104">
        <v>2451</v>
      </c>
      <c r="C37" s="93">
        <v>650037901</v>
      </c>
      <c r="D37" s="77">
        <v>72744880</v>
      </c>
      <c r="E37" s="104" t="s">
        <v>715</v>
      </c>
      <c r="F37" s="105">
        <v>3117</v>
      </c>
      <c r="G37" s="104" t="s">
        <v>309</v>
      </c>
      <c r="H37" s="95" t="s">
        <v>271</v>
      </c>
      <c r="I37" s="669">
        <f t="shared" si="6"/>
        <v>4200097</v>
      </c>
      <c r="J37" s="668">
        <f t="shared" si="7"/>
        <v>3070658</v>
      </c>
      <c r="K37" s="668">
        <v>2650777</v>
      </c>
      <c r="L37" s="668">
        <v>419881</v>
      </c>
      <c r="M37" s="668">
        <f t="shared" si="8"/>
        <v>0</v>
      </c>
      <c r="N37" s="668">
        <v>0</v>
      </c>
      <c r="O37" s="668">
        <v>0</v>
      </c>
      <c r="P37" s="668">
        <f>ROUND(J37*33.8%,0)+1</f>
        <v>1037883</v>
      </c>
      <c r="Q37" s="668">
        <f>ROUND(J37*1%,0)-1</f>
        <v>30706</v>
      </c>
      <c r="R37" s="668">
        <v>60850</v>
      </c>
      <c r="S37" s="420">
        <f t="shared" si="3"/>
        <v>5.2399000000000004</v>
      </c>
      <c r="T37" s="420">
        <v>4</v>
      </c>
      <c r="U37" s="946">
        <v>1.2399</v>
      </c>
      <c r="V37" s="428">
        <f t="shared" si="71"/>
        <v>0</v>
      </c>
      <c r="W37" s="421">
        <f t="shared" si="71"/>
        <v>0</v>
      </c>
      <c r="X37" s="421">
        <v>0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 t="shared" si="10"/>
        <v>0</v>
      </c>
      <c r="AG37" s="421">
        <f t="shared" si="11"/>
        <v>0</v>
      </c>
      <c r="AH37" s="421">
        <f t="shared" si="12"/>
        <v>0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si="72"/>
        <v>0</v>
      </c>
      <c r="AP37" s="421">
        <f t="shared" si="73"/>
        <v>0</v>
      </c>
      <c r="AQ37" s="421">
        <f t="shared" si="13"/>
        <v>0</v>
      </c>
      <c r="AR37" s="421">
        <f t="shared" si="14"/>
        <v>0</v>
      </c>
      <c r="AS37" s="421">
        <f t="shared" si="15"/>
        <v>0</v>
      </c>
      <c r="AT37" s="421">
        <f t="shared" si="16"/>
        <v>0</v>
      </c>
      <c r="AU37" s="68">
        <f t="shared" si="74"/>
        <v>0</v>
      </c>
      <c r="AV37" s="68">
        <f t="shared" si="17"/>
        <v>0</v>
      </c>
      <c r="AW37" s="421">
        <v>0</v>
      </c>
      <c r="AX37" s="421">
        <v>0</v>
      </c>
      <c r="AY37" s="421">
        <f t="shared" si="18"/>
        <v>0</v>
      </c>
      <c r="AZ37" s="421">
        <f t="shared" si="19"/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 t="shared" si="75"/>
        <v>0</v>
      </c>
      <c r="BL37" s="422">
        <f t="shared" si="76"/>
        <v>0</v>
      </c>
      <c r="BM37" s="424">
        <f t="shared" si="77"/>
        <v>0</v>
      </c>
      <c r="BN37" s="427">
        <f t="shared" si="20"/>
        <v>4200097</v>
      </c>
      <c r="BO37" s="421">
        <f t="shared" si="21"/>
        <v>3070658</v>
      </c>
      <c r="BP37" s="421">
        <f t="shared" si="78"/>
        <v>2650777</v>
      </c>
      <c r="BQ37" s="421">
        <f t="shared" si="78"/>
        <v>419881</v>
      </c>
      <c r="BR37" s="421">
        <f t="shared" si="79"/>
        <v>0</v>
      </c>
      <c r="BS37" s="421">
        <f t="shared" si="80"/>
        <v>0</v>
      </c>
      <c r="BT37" s="421">
        <f t="shared" si="80"/>
        <v>0</v>
      </c>
      <c r="BU37" s="421">
        <f t="shared" si="81"/>
        <v>1037883</v>
      </c>
      <c r="BV37" s="421">
        <f t="shared" si="81"/>
        <v>30706</v>
      </c>
      <c r="BW37" s="421">
        <f t="shared" si="82"/>
        <v>60850</v>
      </c>
      <c r="BX37" s="422">
        <f t="shared" si="83"/>
        <v>5.2399000000000004</v>
      </c>
      <c r="BY37" s="422">
        <f t="shared" si="84"/>
        <v>4</v>
      </c>
      <c r="BZ37" s="611">
        <f t="shared" si="84"/>
        <v>1.2399</v>
      </c>
      <c r="CA37" s="423"/>
      <c r="CB37" s="418"/>
      <c r="CC37" s="418"/>
      <c r="CD37" s="418"/>
      <c r="CE37" s="418"/>
      <c r="CF37" s="527"/>
    </row>
    <row r="38" spans="1:84" s="96" customFormat="1" ht="14.1" customHeight="1" x14ac:dyDescent="0.2">
      <c r="A38" s="118">
        <v>5</v>
      </c>
      <c r="B38" s="102">
        <v>2451</v>
      </c>
      <c r="C38" s="93">
        <v>650037901</v>
      </c>
      <c r="D38" s="77">
        <v>72744880</v>
      </c>
      <c r="E38" s="102" t="s">
        <v>715</v>
      </c>
      <c r="F38" s="94">
        <v>3117</v>
      </c>
      <c r="G38" s="77" t="s">
        <v>292</v>
      </c>
      <c r="H38" s="95" t="s">
        <v>272</v>
      </c>
      <c r="I38" s="669">
        <f t="shared" si="6"/>
        <v>0</v>
      </c>
      <c r="J38" s="668">
        <f t="shared" si="7"/>
        <v>0</v>
      </c>
      <c r="K38" s="668">
        <v>0</v>
      </c>
      <c r="L38" s="668">
        <v>0</v>
      </c>
      <c r="M38" s="668">
        <f t="shared" si="8"/>
        <v>0</v>
      </c>
      <c r="N38" s="668">
        <v>0</v>
      </c>
      <c r="O38" s="668">
        <v>0</v>
      </c>
      <c r="P38" s="668">
        <f t="shared" si="26"/>
        <v>0</v>
      </c>
      <c r="Q38" s="668">
        <f t="shared" si="2"/>
        <v>0</v>
      </c>
      <c r="R38" s="668">
        <v>0</v>
      </c>
      <c r="S38" s="420">
        <f t="shared" si="3"/>
        <v>0</v>
      </c>
      <c r="T38" s="420">
        <v>0</v>
      </c>
      <c r="U38" s="946">
        <v>0</v>
      </c>
      <c r="V38" s="428">
        <f t="shared" si="71"/>
        <v>0</v>
      </c>
      <c r="W38" s="421">
        <f t="shared" si="71"/>
        <v>0</v>
      </c>
      <c r="X38" s="16">
        <v>945502</v>
      </c>
      <c r="Y38" s="16">
        <v>0</v>
      </c>
      <c r="Z38" s="16">
        <v>0</v>
      </c>
      <c r="AA38" s="16">
        <v>0</v>
      </c>
      <c r="AB38" s="421">
        <v>0</v>
      </c>
      <c r="AC38" s="16">
        <v>0</v>
      </c>
      <c r="AD38" s="16">
        <v>0</v>
      </c>
      <c r="AE38" s="16">
        <v>0</v>
      </c>
      <c r="AF38" s="421">
        <f t="shared" si="10"/>
        <v>945502</v>
      </c>
      <c r="AG38" s="421">
        <f t="shared" si="11"/>
        <v>0</v>
      </c>
      <c r="AH38" s="421">
        <f t="shared" si="12"/>
        <v>945502</v>
      </c>
      <c r="AI38" s="16">
        <v>0</v>
      </c>
      <c r="AJ38" s="16">
        <v>0</v>
      </c>
      <c r="AK38" s="421">
        <v>0</v>
      </c>
      <c r="AL38" s="16">
        <v>0</v>
      </c>
      <c r="AM38" s="16">
        <v>0</v>
      </c>
      <c r="AN38" s="16">
        <v>0</v>
      </c>
      <c r="AO38" s="421">
        <f t="shared" si="72"/>
        <v>0</v>
      </c>
      <c r="AP38" s="16">
        <v>0</v>
      </c>
      <c r="AQ38" s="421">
        <f t="shared" si="13"/>
        <v>0</v>
      </c>
      <c r="AR38" s="421">
        <f t="shared" si="14"/>
        <v>945502</v>
      </c>
      <c r="AS38" s="421">
        <f t="shared" si="15"/>
        <v>0</v>
      </c>
      <c r="AT38" s="421">
        <f t="shared" si="16"/>
        <v>945502</v>
      </c>
      <c r="AU38" s="68">
        <f t="shared" si="74"/>
        <v>319580</v>
      </c>
      <c r="AV38" s="68">
        <f t="shared" si="17"/>
        <v>9455</v>
      </c>
      <c r="AW38" s="16">
        <v>8500</v>
      </c>
      <c r="AX38" s="16">
        <v>0</v>
      </c>
      <c r="AY38" s="421">
        <f t="shared" si="18"/>
        <v>8500</v>
      </c>
      <c r="AZ38" s="421">
        <f t="shared" si="19"/>
        <v>1283037</v>
      </c>
      <c r="BA38" s="13">
        <v>0</v>
      </c>
      <c r="BB38" s="13">
        <v>0</v>
      </c>
      <c r="BC38" s="13">
        <v>2.34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 t="shared" si="75"/>
        <v>2.34</v>
      </c>
      <c r="BL38" s="422">
        <f t="shared" si="76"/>
        <v>0</v>
      </c>
      <c r="BM38" s="424">
        <f t="shared" si="77"/>
        <v>2.34</v>
      </c>
      <c r="BN38" s="427">
        <f t="shared" si="20"/>
        <v>1283037</v>
      </c>
      <c r="BO38" s="421">
        <f t="shared" si="21"/>
        <v>945502</v>
      </c>
      <c r="BP38" s="421">
        <f t="shared" si="78"/>
        <v>945502</v>
      </c>
      <c r="BQ38" s="421">
        <f t="shared" si="78"/>
        <v>0</v>
      </c>
      <c r="BR38" s="421">
        <f t="shared" si="79"/>
        <v>0</v>
      </c>
      <c r="BS38" s="421">
        <f t="shared" si="80"/>
        <v>0</v>
      </c>
      <c r="BT38" s="421">
        <f t="shared" si="80"/>
        <v>0</v>
      </c>
      <c r="BU38" s="421">
        <f t="shared" si="81"/>
        <v>319580</v>
      </c>
      <c r="BV38" s="421">
        <f t="shared" si="81"/>
        <v>9455</v>
      </c>
      <c r="BW38" s="421">
        <f t="shared" si="82"/>
        <v>8500</v>
      </c>
      <c r="BX38" s="422">
        <f t="shared" si="83"/>
        <v>2.34</v>
      </c>
      <c r="BY38" s="422">
        <f t="shared" si="84"/>
        <v>2.34</v>
      </c>
      <c r="BZ38" s="611">
        <f t="shared" si="84"/>
        <v>0</v>
      </c>
      <c r="CA38" s="423"/>
      <c r="CB38" s="418"/>
      <c r="CC38" s="418"/>
      <c r="CD38" s="418"/>
      <c r="CE38" s="418"/>
      <c r="CF38" s="527"/>
    </row>
    <row r="39" spans="1:84" s="96" customFormat="1" ht="14.1" customHeight="1" x14ac:dyDescent="0.2">
      <c r="A39" s="118">
        <v>5</v>
      </c>
      <c r="B39" s="77">
        <v>2451</v>
      </c>
      <c r="C39" s="93">
        <v>650037901</v>
      </c>
      <c r="D39" s="77">
        <v>72744880</v>
      </c>
      <c r="E39" s="77" t="s">
        <v>715</v>
      </c>
      <c r="F39" s="94">
        <v>3141</v>
      </c>
      <c r="G39" s="77" t="s">
        <v>295</v>
      </c>
      <c r="H39" s="95" t="s">
        <v>272</v>
      </c>
      <c r="I39" s="669">
        <f t="shared" si="6"/>
        <v>607869</v>
      </c>
      <c r="J39" s="668">
        <f t="shared" si="7"/>
        <v>449098</v>
      </c>
      <c r="K39" s="668">
        <v>0</v>
      </c>
      <c r="L39" s="674">
        <v>449098</v>
      </c>
      <c r="M39" s="668">
        <f t="shared" si="8"/>
        <v>0</v>
      </c>
      <c r="N39" s="668">
        <v>0</v>
      </c>
      <c r="O39" s="668">
        <v>0</v>
      </c>
      <c r="P39" s="668">
        <f t="shared" si="26"/>
        <v>151795</v>
      </c>
      <c r="Q39" s="668">
        <f t="shared" ref="Q39" si="85">ROUND(J39*1%,0)</f>
        <v>4491</v>
      </c>
      <c r="R39" s="668">
        <v>2485</v>
      </c>
      <c r="S39" s="420">
        <f t="shared" si="3"/>
        <v>1.3467</v>
      </c>
      <c r="T39" s="420">
        <v>0</v>
      </c>
      <c r="U39" s="946">
        <v>1.3467</v>
      </c>
      <c r="V39" s="428">
        <f t="shared" si="71"/>
        <v>0</v>
      </c>
      <c r="W39" s="421">
        <f t="shared" si="71"/>
        <v>0</v>
      </c>
      <c r="X39" s="421">
        <v>0</v>
      </c>
      <c r="Y39" s="421">
        <v>0</v>
      </c>
      <c r="Z39" s="421">
        <v>0</v>
      </c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f t="shared" si="10"/>
        <v>0</v>
      </c>
      <c r="AG39" s="421">
        <f t="shared" si="11"/>
        <v>0</v>
      </c>
      <c r="AH39" s="421">
        <f t="shared" si="12"/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 t="shared" si="72"/>
        <v>0</v>
      </c>
      <c r="AP39" s="421">
        <f t="shared" si="73"/>
        <v>0</v>
      </c>
      <c r="AQ39" s="421">
        <f t="shared" si="13"/>
        <v>0</v>
      </c>
      <c r="AR39" s="421">
        <f t="shared" si="14"/>
        <v>0</v>
      </c>
      <c r="AS39" s="421">
        <f t="shared" si="15"/>
        <v>0</v>
      </c>
      <c r="AT39" s="421">
        <f t="shared" si="16"/>
        <v>0</v>
      </c>
      <c r="AU39" s="68">
        <f t="shared" si="74"/>
        <v>0</v>
      </c>
      <c r="AV39" s="68">
        <f t="shared" si="17"/>
        <v>0</v>
      </c>
      <c r="AW39" s="421">
        <v>0</v>
      </c>
      <c r="AX39" s="421">
        <v>0</v>
      </c>
      <c r="AY39" s="421">
        <f t="shared" si="18"/>
        <v>0</v>
      </c>
      <c r="AZ39" s="421">
        <f t="shared" si="19"/>
        <v>0</v>
      </c>
      <c r="BA39" s="422">
        <v>0</v>
      </c>
      <c r="BB39" s="422">
        <v>0</v>
      </c>
      <c r="BC39" s="422">
        <v>0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 t="shared" si="75"/>
        <v>0</v>
      </c>
      <c r="BL39" s="422">
        <f t="shared" si="76"/>
        <v>0</v>
      </c>
      <c r="BM39" s="424">
        <f t="shared" si="77"/>
        <v>0</v>
      </c>
      <c r="BN39" s="427">
        <f t="shared" si="20"/>
        <v>607869</v>
      </c>
      <c r="BO39" s="421">
        <f t="shared" si="21"/>
        <v>449098</v>
      </c>
      <c r="BP39" s="421">
        <f t="shared" si="78"/>
        <v>0</v>
      </c>
      <c r="BQ39" s="421">
        <f t="shared" si="78"/>
        <v>449098</v>
      </c>
      <c r="BR39" s="421">
        <f t="shared" si="79"/>
        <v>0</v>
      </c>
      <c r="BS39" s="421">
        <f t="shared" si="80"/>
        <v>0</v>
      </c>
      <c r="BT39" s="421">
        <f t="shared" si="80"/>
        <v>0</v>
      </c>
      <c r="BU39" s="421">
        <f t="shared" si="81"/>
        <v>151795</v>
      </c>
      <c r="BV39" s="421">
        <f t="shared" si="81"/>
        <v>4491</v>
      </c>
      <c r="BW39" s="421">
        <f t="shared" si="82"/>
        <v>2485</v>
      </c>
      <c r="BX39" s="422">
        <f t="shared" si="83"/>
        <v>1.3467</v>
      </c>
      <c r="BY39" s="422">
        <f t="shared" si="84"/>
        <v>0</v>
      </c>
      <c r="BZ39" s="611">
        <f t="shared" si="84"/>
        <v>1.3467</v>
      </c>
      <c r="CA39" s="423"/>
      <c r="CB39" s="418"/>
      <c r="CC39" s="418"/>
      <c r="CD39" s="418"/>
      <c r="CE39" s="418"/>
      <c r="CF39" s="527"/>
    </row>
    <row r="40" spans="1:84" s="96" customFormat="1" ht="14.1" customHeight="1" x14ac:dyDescent="0.2">
      <c r="A40" s="118">
        <v>5</v>
      </c>
      <c r="B40" s="77">
        <v>2451</v>
      </c>
      <c r="C40" s="93">
        <v>650037901</v>
      </c>
      <c r="D40" s="77">
        <v>72744880</v>
      </c>
      <c r="E40" s="77" t="s">
        <v>715</v>
      </c>
      <c r="F40" s="94">
        <v>3143</v>
      </c>
      <c r="G40" s="77" t="s">
        <v>596</v>
      </c>
      <c r="H40" s="95" t="s">
        <v>271</v>
      </c>
      <c r="I40" s="669">
        <f t="shared" si="6"/>
        <v>609529</v>
      </c>
      <c r="J40" s="668">
        <f t="shared" si="7"/>
        <v>452173</v>
      </c>
      <c r="K40" s="668">
        <v>452173</v>
      </c>
      <c r="L40" s="668">
        <v>0</v>
      </c>
      <c r="M40" s="668">
        <f t="shared" si="8"/>
        <v>0</v>
      </c>
      <c r="N40" s="668">
        <v>0</v>
      </c>
      <c r="O40" s="668">
        <v>0</v>
      </c>
      <c r="P40" s="668">
        <f t="shared" si="26"/>
        <v>152834</v>
      </c>
      <c r="Q40" s="668">
        <f t="shared" si="2"/>
        <v>4522</v>
      </c>
      <c r="R40" s="668">
        <v>0</v>
      </c>
      <c r="S40" s="420">
        <f t="shared" si="3"/>
        <v>1</v>
      </c>
      <c r="T40" s="420">
        <v>1</v>
      </c>
      <c r="U40" s="946">
        <v>0</v>
      </c>
      <c r="V40" s="428">
        <f t="shared" si="71"/>
        <v>0</v>
      </c>
      <c r="W40" s="421">
        <f t="shared" si="71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 t="shared" si="10"/>
        <v>0</v>
      </c>
      <c r="AG40" s="421">
        <f t="shared" si="11"/>
        <v>0</v>
      </c>
      <c r="AH40" s="421">
        <f t="shared" si="12"/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72"/>
        <v>0</v>
      </c>
      <c r="AP40" s="421">
        <f t="shared" si="73"/>
        <v>0</v>
      </c>
      <c r="AQ40" s="421">
        <f t="shared" si="13"/>
        <v>0</v>
      </c>
      <c r="AR40" s="421">
        <f t="shared" si="14"/>
        <v>0</v>
      </c>
      <c r="AS40" s="421">
        <f t="shared" si="15"/>
        <v>0</v>
      </c>
      <c r="AT40" s="421">
        <f t="shared" si="16"/>
        <v>0</v>
      </c>
      <c r="AU40" s="68">
        <f t="shared" si="74"/>
        <v>0</v>
      </c>
      <c r="AV40" s="68">
        <f t="shared" si="17"/>
        <v>0</v>
      </c>
      <c r="AW40" s="421">
        <v>0</v>
      </c>
      <c r="AX40" s="421">
        <v>0</v>
      </c>
      <c r="AY40" s="421">
        <f t="shared" si="18"/>
        <v>0</v>
      </c>
      <c r="AZ40" s="421">
        <f t="shared" si="19"/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 t="shared" si="75"/>
        <v>0</v>
      </c>
      <c r="BL40" s="422">
        <f t="shared" si="76"/>
        <v>0</v>
      </c>
      <c r="BM40" s="424">
        <f t="shared" si="77"/>
        <v>0</v>
      </c>
      <c r="BN40" s="427">
        <f t="shared" si="20"/>
        <v>609529</v>
      </c>
      <c r="BO40" s="421">
        <f t="shared" si="21"/>
        <v>452173</v>
      </c>
      <c r="BP40" s="421">
        <f t="shared" si="78"/>
        <v>452173</v>
      </c>
      <c r="BQ40" s="421">
        <f t="shared" si="78"/>
        <v>0</v>
      </c>
      <c r="BR40" s="421">
        <f t="shared" si="79"/>
        <v>0</v>
      </c>
      <c r="BS40" s="421">
        <f t="shared" si="80"/>
        <v>0</v>
      </c>
      <c r="BT40" s="421">
        <f t="shared" si="80"/>
        <v>0</v>
      </c>
      <c r="BU40" s="421">
        <f t="shared" si="81"/>
        <v>152834</v>
      </c>
      <c r="BV40" s="421">
        <f t="shared" si="81"/>
        <v>4522</v>
      </c>
      <c r="BW40" s="421">
        <f t="shared" si="82"/>
        <v>0</v>
      </c>
      <c r="BX40" s="422">
        <f t="shared" si="83"/>
        <v>1</v>
      </c>
      <c r="BY40" s="422">
        <f t="shared" si="84"/>
        <v>1</v>
      </c>
      <c r="BZ40" s="611">
        <f t="shared" si="84"/>
        <v>0</v>
      </c>
      <c r="CA40" s="423"/>
      <c r="CB40" s="418"/>
      <c r="CC40" s="418"/>
      <c r="CD40" s="418"/>
      <c r="CE40" s="418"/>
      <c r="CF40" s="527"/>
    </row>
    <row r="41" spans="1:84" s="96" customFormat="1" ht="14.1" customHeight="1" x14ac:dyDescent="0.2">
      <c r="A41" s="118">
        <v>5</v>
      </c>
      <c r="B41" s="77">
        <v>2451</v>
      </c>
      <c r="C41" s="93">
        <v>650037901</v>
      </c>
      <c r="D41" s="77">
        <v>72744880</v>
      </c>
      <c r="E41" s="77" t="s">
        <v>715</v>
      </c>
      <c r="F41" s="94">
        <v>3143</v>
      </c>
      <c r="G41" s="77" t="s">
        <v>597</v>
      </c>
      <c r="H41" s="95" t="s">
        <v>272</v>
      </c>
      <c r="I41" s="669">
        <f t="shared" si="6"/>
        <v>14348</v>
      </c>
      <c r="J41" s="668">
        <f t="shared" si="7"/>
        <v>10270</v>
      </c>
      <c r="K41" s="668">
        <v>0</v>
      </c>
      <c r="L41" s="674">
        <v>10270</v>
      </c>
      <c r="M41" s="668">
        <f t="shared" si="8"/>
        <v>0</v>
      </c>
      <c r="N41" s="675">
        <v>0</v>
      </c>
      <c r="O41" s="675">
        <v>0</v>
      </c>
      <c r="P41" s="668">
        <f t="shared" ref="P41" si="86">ROUND(J41*33.8%,0)</f>
        <v>3471</v>
      </c>
      <c r="Q41" s="668">
        <f t="shared" ref="Q41" si="87">ROUND(J41*1%,0)</f>
        <v>103</v>
      </c>
      <c r="R41" s="675">
        <v>504</v>
      </c>
      <c r="S41" s="420">
        <f t="shared" si="3"/>
        <v>3.8899999999999997E-2</v>
      </c>
      <c r="T41" s="679">
        <v>0</v>
      </c>
      <c r="U41" s="909">
        <v>3.8899999999999997E-2</v>
      </c>
      <c r="V41" s="428">
        <f t="shared" si="71"/>
        <v>0</v>
      </c>
      <c r="W41" s="421">
        <f t="shared" si="71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 t="shared" si="10"/>
        <v>0</v>
      </c>
      <c r="AG41" s="421">
        <f t="shared" si="11"/>
        <v>0</v>
      </c>
      <c r="AH41" s="421">
        <f t="shared" si="12"/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72"/>
        <v>0</v>
      </c>
      <c r="AP41" s="421">
        <f t="shared" si="73"/>
        <v>0</v>
      </c>
      <c r="AQ41" s="421">
        <f t="shared" si="13"/>
        <v>0</v>
      </c>
      <c r="AR41" s="421">
        <f t="shared" si="14"/>
        <v>0</v>
      </c>
      <c r="AS41" s="421">
        <f t="shared" si="15"/>
        <v>0</v>
      </c>
      <c r="AT41" s="421">
        <f t="shared" si="16"/>
        <v>0</v>
      </c>
      <c r="AU41" s="68">
        <f t="shared" si="74"/>
        <v>0</v>
      </c>
      <c r="AV41" s="68">
        <f t="shared" si="17"/>
        <v>0</v>
      </c>
      <c r="AW41" s="421">
        <v>0</v>
      </c>
      <c r="AX41" s="421">
        <v>0</v>
      </c>
      <c r="AY41" s="421">
        <f t="shared" si="18"/>
        <v>0</v>
      </c>
      <c r="AZ41" s="421">
        <f t="shared" si="19"/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 t="shared" si="75"/>
        <v>0</v>
      </c>
      <c r="BL41" s="422">
        <f t="shared" si="76"/>
        <v>0</v>
      </c>
      <c r="BM41" s="424">
        <f t="shared" si="77"/>
        <v>0</v>
      </c>
      <c r="BN41" s="427">
        <f t="shared" si="20"/>
        <v>14348</v>
      </c>
      <c r="BO41" s="421">
        <f t="shared" si="21"/>
        <v>10270</v>
      </c>
      <c r="BP41" s="421">
        <f t="shared" si="78"/>
        <v>0</v>
      </c>
      <c r="BQ41" s="421">
        <f t="shared" si="78"/>
        <v>10270</v>
      </c>
      <c r="BR41" s="421">
        <f t="shared" si="79"/>
        <v>0</v>
      </c>
      <c r="BS41" s="421">
        <f t="shared" si="80"/>
        <v>0</v>
      </c>
      <c r="BT41" s="421">
        <f t="shared" si="80"/>
        <v>0</v>
      </c>
      <c r="BU41" s="421">
        <f t="shared" si="81"/>
        <v>3471</v>
      </c>
      <c r="BV41" s="421">
        <f t="shared" si="81"/>
        <v>103</v>
      </c>
      <c r="BW41" s="421">
        <f t="shared" si="82"/>
        <v>504</v>
      </c>
      <c r="BX41" s="422">
        <f t="shared" si="83"/>
        <v>3.8899999999999997E-2</v>
      </c>
      <c r="BY41" s="422">
        <f t="shared" si="84"/>
        <v>0</v>
      </c>
      <c r="BZ41" s="611">
        <f t="shared" si="84"/>
        <v>3.8899999999999997E-2</v>
      </c>
      <c r="CA41" s="423"/>
      <c r="CB41" s="418"/>
      <c r="CC41" s="418"/>
      <c r="CD41" s="418"/>
      <c r="CE41" s="418"/>
      <c r="CF41" s="527"/>
    </row>
    <row r="42" spans="1:84" s="96" customFormat="1" ht="14.1" customHeight="1" x14ac:dyDescent="0.2">
      <c r="A42" s="119">
        <v>5</v>
      </c>
      <c r="B42" s="97">
        <v>2451</v>
      </c>
      <c r="C42" s="98">
        <v>650037901</v>
      </c>
      <c r="D42" s="97">
        <v>72744880</v>
      </c>
      <c r="E42" s="97" t="s">
        <v>716</v>
      </c>
      <c r="F42" s="106"/>
      <c r="G42" s="100"/>
      <c r="H42" s="101"/>
      <c r="I42" s="442">
        <f t="shared" ref="I42:U42" si="88">SUM(I36:I41)</f>
        <v>7081309</v>
      </c>
      <c r="J42" s="438">
        <f t="shared" si="88"/>
        <v>5201283</v>
      </c>
      <c r="K42" s="438">
        <f t="shared" si="88"/>
        <v>4255466</v>
      </c>
      <c r="L42" s="438">
        <f t="shared" si="88"/>
        <v>945817</v>
      </c>
      <c r="M42" s="438">
        <f t="shared" si="88"/>
        <v>0</v>
      </c>
      <c r="N42" s="438">
        <f t="shared" si="88"/>
        <v>0</v>
      </c>
      <c r="O42" s="438">
        <f t="shared" si="88"/>
        <v>0</v>
      </c>
      <c r="P42" s="438">
        <f t="shared" si="88"/>
        <v>1758033</v>
      </c>
      <c r="Q42" s="438">
        <f t="shared" si="88"/>
        <v>52013</v>
      </c>
      <c r="R42" s="438">
        <f t="shared" si="88"/>
        <v>69980</v>
      </c>
      <c r="S42" s="439">
        <f t="shared" si="88"/>
        <v>9.8922000000000008</v>
      </c>
      <c r="T42" s="439">
        <f t="shared" si="88"/>
        <v>7</v>
      </c>
      <c r="U42" s="814">
        <f t="shared" si="88"/>
        <v>2.8921999999999999</v>
      </c>
      <c r="V42" s="442">
        <f t="shared" ref="V42:CF42" si="89">SUM(V36:V41)</f>
        <v>0</v>
      </c>
      <c r="W42" s="438">
        <f t="shared" si="89"/>
        <v>0</v>
      </c>
      <c r="X42" s="438">
        <f t="shared" si="89"/>
        <v>945502</v>
      </c>
      <c r="Y42" s="438">
        <f t="shared" si="89"/>
        <v>0</v>
      </c>
      <c r="Z42" s="438">
        <f t="shared" si="89"/>
        <v>0</v>
      </c>
      <c r="AA42" s="438">
        <f t="shared" si="89"/>
        <v>0</v>
      </c>
      <c r="AB42" s="438">
        <f t="shared" si="89"/>
        <v>0</v>
      </c>
      <c r="AC42" s="438">
        <f t="shared" si="89"/>
        <v>0</v>
      </c>
      <c r="AD42" s="438">
        <f t="shared" si="89"/>
        <v>0</v>
      </c>
      <c r="AE42" s="438">
        <f t="shared" si="89"/>
        <v>0</v>
      </c>
      <c r="AF42" s="438">
        <f t="shared" si="89"/>
        <v>945502</v>
      </c>
      <c r="AG42" s="438">
        <f t="shared" si="89"/>
        <v>0</v>
      </c>
      <c r="AH42" s="438">
        <f t="shared" si="89"/>
        <v>945502</v>
      </c>
      <c r="AI42" s="438">
        <f t="shared" si="89"/>
        <v>0</v>
      </c>
      <c r="AJ42" s="438">
        <f t="shared" si="89"/>
        <v>0</v>
      </c>
      <c r="AK42" s="438">
        <f t="shared" si="89"/>
        <v>0</v>
      </c>
      <c r="AL42" s="438">
        <f t="shared" si="89"/>
        <v>0</v>
      </c>
      <c r="AM42" s="438">
        <f t="shared" si="89"/>
        <v>0</v>
      </c>
      <c r="AN42" s="438">
        <f t="shared" si="89"/>
        <v>0</v>
      </c>
      <c r="AO42" s="438">
        <f t="shared" si="89"/>
        <v>0</v>
      </c>
      <c r="AP42" s="438">
        <f t="shared" si="89"/>
        <v>0</v>
      </c>
      <c r="AQ42" s="438">
        <f t="shared" si="89"/>
        <v>0</v>
      </c>
      <c r="AR42" s="438">
        <f t="shared" si="89"/>
        <v>945502</v>
      </c>
      <c r="AS42" s="438">
        <f t="shared" si="89"/>
        <v>0</v>
      </c>
      <c r="AT42" s="438">
        <f t="shared" si="89"/>
        <v>945502</v>
      </c>
      <c r="AU42" s="438">
        <f t="shared" si="89"/>
        <v>319580</v>
      </c>
      <c r="AV42" s="438">
        <f t="shared" si="89"/>
        <v>9455</v>
      </c>
      <c r="AW42" s="438">
        <f t="shared" si="89"/>
        <v>8500</v>
      </c>
      <c r="AX42" s="438">
        <f t="shared" si="89"/>
        <v>0</v>
      </c>
      <c r="AY42" s="438">
        <f t="shared" si="89"/>
        <v>8500</v>
      </c>
      <c r="AZ42" s="438">
        <f t="shared" si="89"/>
        <v>1283037</v>
      </c>
      <c r="BA42" s="439">
        <f t="shared" si="89"/>
        <v>0</v>
      </c>
      <c r="BB42" s="439">
        <f t="shared" si="89"/>
        <v>0</v>
      </c>
      <c r="BC42" s="439">
        <f t="shared" si="89"/>
        <v>2.34</v>
      </c>
      <c r="BD42" s="439">
        <f t="shared" si="89"/>
        <v>0</v>
      </c>
      <c r="BE42" s="439">
        <f t="shared" si="89"/>
        <v>0</v>
      </c>
      <c r="BF42" s="439">
        <f t="shared" si="89"/>
        <v>0</v>
      </c>
      <c r="BG42" s="439">
        <f t="shared" si="89"/>
        <v>0</v>
      </c>
      <c r="BH42" s="439">
        <f t="shared" si="89"/>
        <v>0</v>
      </c>
      <c r="BI42" s="439">
        <f t="shared" si="89"/>
        <v>0</v>
      </c>
      <c r="BJ42" s="439">
        <f t="shared" si="89"/>
        <v>0</v>
      </c>
      <c r="BK42" s="439">
        <f t="shared" si="89"/>
        <v>2.34</v>
      </c>
      <c r="BL42" s="439">
        <f t="shared" si="89"/>
        <v>0</v>
      </c>
      <c r="BM42" s="103">
        <f t="shared" si="89"/>
        <v>2.34</v>
      </c>
      <c r="BN42" s="444">
        <f t="shared" si="89"/>
        <v>8364346</v>
      </c>
      <c r="BO42" s="438">
        <f t="shared" si="89"/>
        <v>6146785</v>
      </c>
      <c r="BP42" s="438">
        <f t="shared" si="89"/>
        <v>5200968</v>
      </c>
      <c r="BQ42" s="438">
        <f t="shared" si="89"/>
        <v>945817</v>
      </c>
      <c r="BR42" s="438">
        <f t="shared" si="89"/>
        <v>0</v>
      </c>
      <c r="BS42" s="438">
        <f t="shared" si="89"/>
        <v>0</v>
      </c>
      <c r="BT42" s="438">
        <f t="shared" si="89"/>
        <v>0</v>
      </c>
      <c r="BU42" s="438">
        <f t="shared" si="89"/>
        <v>2077613</v>
      </c>
      <c r="BV42" s="438">
        <f t="shared" si="89"/>
        <v>61468</v>
      </c>
      <c r="BW42" s="438">
        <f t="shared" si="89"/>
        <v>78480</v>
      </c>
      <c r="BX42" s="439">
        <f t="shared" si="89"/>
        <v>12.232200000000001</v>
      </c>
      <c r="BY42" s="439">
        <f t="shared" si="89"/>
        <v>9.34</v>
      </c>
      <c r="BZ42" s="814">
        <f t="shared" si="89"/>
        <v>2.8921999999999999</v>
      </c>
      <c r="CA42" s="819">
        <f t="shared" si="89"/>
        <v>0</v>
      </c>
      <c r="CB42" s="817">
        <f t="shared" si="89"/>
        <v>0</v>
      </c>
      <c r="CC42" s="817">
        <f t="shared" si="89"/>
        <v>0</v>
      </c>
      <c r="CD42" s="817">
        <f t="shared" si="89"/>
        <v>0</v>
      </c>
      <c r="CE42" s="817">
        <f t="shared" si="89"/>
        <v>0</v>
      </c>
      <c r="CF42" s="802">
        <f t="shared" si="89"/>
        <v>0</v>
      </c>
    </row>
    <row r="43" spans="1:84" s="96" customFormat="1" ht="14.1" customHeight="1" x14ac:dyDescent="0.2">
      <c r="A43" s="118">
        <v>6</v>
      </c>
      <c r="B43" s="102">
        <v>2453</v>
      </c>
      <c r="C43" s="93">
        <v>600079686</v>
      </c>
      <c r="D43" s="77">
        <v>72743603</v>
      </c>
      <c r="E43" s="77" t="s">
        <v>717</v>
      </c>
      <c r="F43" s="94">
        <v>3111</v>
      </c>
      <c r="G43" s="77" t="s">
        <v>291</v>
      </c>
      <c r="H43" s="95" t="s">
        <v>271</v>
      </c>
      <c r="I43" s="669">
        <f t="shared" si="6"/>
        <v>3616116</v>
      </c>
      <c r="J43" s="668">
        <f t="shared" si="7"/>
        <v>2673071</v>
      </c>
      <c r="K43" s="668">
        <v>2539935</v>
      </c>
      <c r="L43" s="668">
        <v>133136</v>
      </c>
      <c r="M43" s="668">
        <f t="shared" si="8"/>
        <v>0</v>
      </c>
      <c r="N43" s="668">
        <v>0</v>
      </c>
      <c r="O43" s="668">
        <v>0</v>
      </c>
      <c r="P43" s="668">
        <f t="shared" si="26"/>
        <v>903498</v>
      </c>
      <c r="Q43" s="668">
        <f t="shared" si="2"/>
        <v>26731</v>
      </c>
      <c r="R43" s="668">
        <v>12816</v>
      </c>
      <c r="S43" s="420">
        <f t="shared" si="3"/>
        <v>4.7269000000000005</v>
      </c>
      <c r="T43" s="420">
        <v>4.1935000000000002</v>
      </c>
      <c r="U43" s="946">
        <v>0.53339999999999999</v>
      </c>
      <c r="V43" s="428">
        <f t="shared" ref="V43:W48" si="90">AI43*-1</f>
        <v>-32000</v>
      </c>
      <c r="W43" s="421">
        <f t="shared" si="90"/>
        <v>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 t="shared" si="10"/>
        <v>-32000</v>
      </c>
      <c r="AG43" s="421">
        <f t="shared" si="11"/>
        <v>0</v>
      </c>
      <c r="AH43" s="421">
        <f t="shared" si="12"/>
        <v>-32000</v>
      </c>
      <c r="AI43" s="421">
        <v>32000</v>
      </c>
      <c r="AJ43" s="421">
        <v>0</v>
      </c>
      <c r="AK43" s="421">
        <v>0</v>
      </c>
      <c r="AL43" s="421">
        <v>0</v>
      </c>
      <c r="AM43" s="421">
        <v>0</v>
      </c>
      <c r="AN43" s="421">
        <v>0</v>
      </c>
      <c r="AO43" s="421">
        <f t="shared" ref="AO43:AO48" si="91">AI43+AK43+AL43+AM43</f>
        <v>32000</v>
      </c>
      <c r="AP43" s="421">
        <f t="shared" ref="AP43:AP48" si="92">AJ43+AN43</f>
        <v>0</v>
      </c>
      <c r="AQ43" s="421">
        <f t="shared" si="13"/>
        <v>32000</v>
      </c>
      <c r="AR43" s="421">
        <f t="shared" si="14"/>
        <v>0</v>
      </c>
      <c r="AS43" s="421">
        <f t="shared" si="15"/>
        <v>0</v>
      </c>
      <c r="AT43" s="421">
        <f t="shared" si="16"/>
        <v>0</v>
      </c>
      <c r="AU43" s="68">
        <f t="shared" ref="AU43:AU48" si="93">ROUND((AH43+AI43+AJ43+AK43+AL43)*33.8%,0)</f>
        <v>0</v>
      </c>
      <c r="AV43" s="68">
        <f t="shared" si="17"/>
        <v>-320</v>
      </c>
      <c r="AW43" s="421">
        <v>0</v>
      </c>
      <c r="AX43" s="421">
        <v>0</v>
      </c>
      <c r="AY43" s="421">
        <f t="shared" si="18"/>
        <v>0</v>
      </c>
      <c r="AZ43" s="421">
        <f t="shared" si="19"/>
        <v>-320</v>
      </c>
      <c r="BA43" s="422">
        <v>-0.03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 t="shared" ref="BK43:BK48" si="94">BA43+BC43+BD43+BF43+BH43+BI43</f>
        <v>-0.03</v>
      </c>
      <c r="BL43" s="422">
        <f t="shared" ref="BL43:BL48" si="95">BB43+BE43+BG43+BJ43</f>
        <v>0</v>
      </c>
      <c r="BM43" s="424">
        <f t="shared" ref="BM43:BM48" si="96">SUM(BK43:BL43)</f>
        <v>-0.03</v>
      </c>
      <c r="BN43" s="427">
        <f t="shared" si="20"/>
        <v>3615796</v>
      </c>
      <c r="BO43" s="421">
        <f t="shared" si="21"/>
        <v>2641071</v>
      </c>
      <c r="BP43" s="421">
        <f t="shared" ref="BP43:BQ48" si="97">K43+AF43</f>
        <v>2507935</v>
      </c>
      <c r="BQ43" s="421">
        <f t="shared" si="97"/>
        <v>133136</v>
      </c>
      <c r="BR43" s="421">
        <f t="shared" ref="BR43:BR48" si="98">M43+AQ43</f>
        <v>32000</v>
      </c>
      <c r="BS43" s="421">
        <f t="shared" ref="BS43:BT48" si="99">N43+AO43</f>
        <v>32000</v>
      </c>
      <c r="BT43" s="421">
        <f t="shared" si="99"/>
        <v>0</v>
      </c>
      <c r="BU43" s="421">
        <f t="shared" ref="BU43:BV48" si="100">P43+AU43</f>
        <v>903498</v>
      </c>
      <c r="BV43" s="421">
        <f t="shared" si="100"/>
        <v>26411</v>
      </c>
      <c r="BW43" s="421">
        <f t="shared" ref="BW43:BW48" si="101">R43+AY43</f>
        <v>12816</v>
      </c>
      <c r="BX43" s="422">
        <f t="shared" ref="BX43:BX48" si="102">S43+BM43</f>
        <v>4.6969000000000003</v>
      </c>
      <c r="BY43" s="422">
        <f t="shared" ref="BY43:BZ48" si="103">T43+BK43</f>
        <v>4.1635</v>
      </c>
      <c r="BZ43" s="611">
        <f t="shared" si="103"/>
        <v>0.53339999999999999</v>
      </c>
      <c r="CA43" s="423"/>
      <c r="CB43" s="418"/>
      <c r="CC43" s="418"/>
      <c r="CD43" s="418"/>
      <c r="CE43" s="418"/>
      <c r="CF43" s="527"/>
    </row>
    <row r="44" spans="1:84" s="96" customFormat="1" ht="14.1" customHeight="1" x14ac:dyDescent="0.2">
      <c r="A44" s="118">
        <v>6</v>
      </c>
      <c r="B44" s="104">
        <v>2453</v>
      </c>
      <c r="C44" s="93">
        <v>600079686</v>
      </c>
      <c r="D44" s="77">
        <v>72743603</v>
      </c>
      <c r="E44" s="104" t="s">
        <v>717</v>
      </c>
      <c r="F44" s="105">
        <v>3117</v>
      </c>
      <c r="G44" s="104" t="s">
        <v>309</v>
      </c>
      <c r="H44" s="95" t="s">
        <v>271</v>
      </c>
      <c r="I44" s="669">
        <f t="shared" si="6"/>
        <v>6310343</v>
      </c>
      <c r="J44" s="668">
        <f t="shared" si="7"/>
        <v>4595495</v>
      </c>
      <c r="K44" s="668">
        <v>4037941</v>
      </c>
      <c r="L44" s="668">
        <v>557554</v>
      </c>
      <c r="M44" s="668">
        <f t="shared" si="8"/>
        <v>0</v>
      </c>
      <c r="N44" s="668">
        <v>0</v>
      </c>
      <c r="O44" s="668">
        <v>0</v>
      </c>
      <c r="P44" s="668">
        <f>ROUND(J44*33.8%,0)+1</f>
        <v>1553278</v>
      </c>
      <c r="Q44" s="668">
        <f t="shared" si="2"/>
        <v>45955</v>
      </c>
      <c r="R44" s="668">
        <v>115615</v>
      </c>
      <c r="S44" s="420">
        <f t="shared" si="3"/>
        <v>7.8458000000000006</v>
      </c>
      <c r="T44" s="420">
        <v>6.2727000000000004</v>
      </c>
      <c r="U44" s="946">
        <v>1.5730999999999999</v>
      </c>
      <c r="V44" s="428">
        <f t="shared" si="90"/>
        <v>0</v>
      </c>
      <c r="W44" s="421">
        <f t="shared" si="90"/>
        <v>0</v>
      </c>
      <c r="X44" s="421">
        <v>0</v>
      </c>
      <c r="Y44" s="421">
        <v>0</v>
      </c>
      <c r="Z44" s="421">
        <v>0</v>
      </c>
      <c r="AA44" s="421">
        <v>0</v>
      </c>
      <c r="AB44" s="421">
        <v>112800</v>
      </c>
      <c r="AC44" s="421">
        <v>0</v>
      </c>
      <c r="AD44" s="421">
        <v>0</v>
      </c>
      <c r="AE44" s="421">
        <v>0</v>
      </c>
      <c r="AF44" s="421">
        <f t="shared" si="10"/>
        <v>112800</v>
      </c>
      <c r="AG44" s="421">
        <f t="shared" si="11"/>
        <v>0</v>
      </c>
      <c r="AH44" s="421">
        <f t="shared" si="12"/>
        <v>112800</v>
      </c>
      <c r="AI44" s="421">
        <v>0</v>
      </c>
      <c r="AJ44" s="421">
        <v>0</v>
      </c>
      <c r="AK44" s="421">
        <v>0</v>
      </c>
      <c r="AL44" s="421">
        <v>46311</v>
      </c>
      <c r="AM44" s="421">
        <v>0</v>
      </c>
      <c r="AN44" s="421">
        <v>0</v>
      </c>
      <c r="AO44" s="421">
        <f t="shared" si="91"/>
        <v>46311</v>
      </c>
      <c r="AP44" s="421">
        <f t="shared" si="92"/>
        <v>0</v>
      </c>
      <c r="AQ44" s="421">
        <f t="shared" si="13"/>
        <v>46311</v>
      </c>
      <c r="AR44" s="421">
        <f t="shared" si="14"/>
        <v>159111</v>
      </c>
      <c r="AS44" s="421">
        <f t="shared" si="15"/>
        <v>0</v>
      </c>
      <c r="AT44" s="421">
        <f t="shared" si="16"/>
        <v>159111</v>
      </c>
      <c r="AU44" s="68">
        <f t="shared" si="93"/>
        <v>53780</v>
      </c>
      <c r="AV44" s="68">
        <f t="shared" si="17"/>
        <v>1128</v>
      </c>
      <c r="AW44" s="421">
        <v>0</v>
      </c>
      <c r="AX44" s="421">
        <v>0</v>
      </c>
      <c r="AY44" s="421">
        <f t="shared" si="18"/>
        <v>0</v>
      </c>
      <c r="AZ44" s="421">
        <f t="shared" si="19"/>
        <v>214019</v>
      </c>
      <c r="BA44" s="422">
        <v>0</v>
      </c>
      <c r="BB44" s="422">
        <v>0</v>
      </c>
      <c r="BC44" s="422">
        <v>0</v>
      </c>
      <c r="BD44" s="422">
        <v>0.2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</v>
      </c>
      <c r="BK44" s="422">
        <f t="shared" si="94"/>
        <v>0.2</v>
      </c>
      <c r="BL44" s="422">
        <f t="shared" si="95"/>
        <v>0</v>
      </c>
      <c r="BM44" s="424">
        <f t="shared" si="96"/>
        <v>0.2</v>
      </c>
      <c r="BN44" s="427">
        <f t="shared" si="20"/>
        <v>6524362</v>
      </c>
      <c r="BO44" s="421">
        <f t="shared" si="21"/>
        <v>4708295</v>
      </c>
      <c r="BP44" s="421">
        <f t="shared" si="97"/>
        <v>4150741</v>
      </c>
      <c r="BQ44" s="421">
        <f t="shared" si="97"/>
        <v>557554</v>
      </c>
      <c r="BR44" s="421">
        <f t="shared" si="98"/>
        <v>46311</v>
      </c>
      <c r="BS44" s="421">
        <f t="shared" si="99"/>
        <v>46311</v>
      </c>
      <c r="BT44" s="421">
        <f t="shared" si="99"/>
        <v>0</v>
      </c>
      <c r="BU44" s="421">
        <f t="shared" si="100"/>
        <v>1607058</v>
      </c>
      <c r="BV44" s="421">
        <f t="shared" si="100"/>
        <v>47083</v>
      </c>
      <c r="BW44" s="421">
        <f t="shared" si="101"/>
        <v>115615</v>
      </c>
      <c r="BX44" s="422">
        <f t="shared" si="102"/>
        <v>8.0457999999999998</v>
      </c>
      <c r="BY44" s="422">
        <f t="shared" si="103"/>
        <v>6.4727000000000006</v>
      </c>
      <c r="BZ44" s="611">
        <f t="shared" si="103"/>
        <v>1.5730999999999999</v>
      </c>
      <c r="CA44" s="423">
        <v>152054</v>
      </c>
      <c r="CB44" s="418">
        <v>112800</v>
      </c>
      <c r="CC44" s="418">
        <v>0</v>
      </c>
      <c r="CD44" s="418">
        <v>38126</v>
      </c>
      <c r="CE44" s="418">
        <v>1128</v>
      </c>
      <c r="CF44" s="527">
        <v>0.2</v>
      </c>
    </row>
    <row r="45" spans="1:84" s="96" customFormat="1" ht="14.1" customHeight="1" x14ac:dyDescent="0.2">
      <c r="A45" s="118">
        <v>6</v>
      </c>
      <c r="B45" s="102">
        <v>2453</v>
      </c>
      <c r="C45" s="93">
        <v>600079686</v>
      </c>
      <c r="D45" s="77">
        <v>72743603</v>
      </c>
      <c r="E45" s="102" t="s">
        <v>717</v>
      </c>
      <c r="F45" s="94">
        <v>3117</v>
      </c>
      <c r="G45" s="77" t="s">
        <v>292</v>
      </c>
      <c r="H45" s="95" t="s">
        <v>272</v>
      </c>
      <c r="I45" s="669">
        <f t="shared" si="6"/>
        <v>0</v>
      </c>
      <c r="J45" s="668">
        <f t="shared" si="7"/>
        <v>0</v>
      </c>
      <c r="K45" s="668">
        <v>0</v>
      </c>
      <c r="L45" s="668">
        <v>0</v>
      </c>
      <c r="M45" s="668">
        <f t="shared" si="8"/>
        <v>0</v>
      </c>
      <c r="N45" s="668">
        <v>0</v>
      </c>
      <c r="O45" s="668">
        <v>0</v>
      </c>
      <c r="P45" s="668">
        <f t="shared" si="26"/>
        <v>0</v>
      </c>
      <c r="Q45" s="668">
        <f t="shared" si="2"/>
        <v>0</v>
      </c>
      <c r="R45" s="668">
        <v>0</v>
      </c>
      <c r="S45" s="420">
        <f t="shared" si="3"/>
        <v>0</v>
      </c>
      <c r="T45" s="420">
        <v>0</v>
      </c>
      <c r="U45" s="946">
        <v>0</v>
      </c>
      <c r="V45" s="428">
        <f t="shared" si="90"/>
        <v>0</v>
      </c>
      <c r="W45" s="421">
        <f t="shared" si="90"/>
        <v>0</v>
      </c>
      <c r="X45" s="16">
        <v>1392199</v>
      </c>
      <c r="Y45" s="16">
        <v>0</v>
      </c>
      <c r="Z45" s="16">
        <v>0</v>
      </c>
      <c r="AA45" s="16">
        <v>0</v>
      </c>
      <c r="AB45" s="421">
        <v>0</v>
      </c>
      <c r="AC45" s="16">
        <v>0</v>
      </c>
      <c r="AD45" s="16">
        <v>0</v>
      </c>
      <c r="AE45" s="16">
        <v>0</v>
      </c>
      <c r="AF45" s="421">
        <f t="shared" si="10"/>
        <v>1392199</v>
      </c>
      <c r="AG45" s="421">
        <f t="shared" si="11"/>
        <v>0</v>
      </c>
      <c r="AH45" s="421">
        <f t="shared" si="12"/>
        <v>1392199</v>
      </c>
      <c r="AI45" s="16">
        <v>0</v>
      </c>
      <c r="AJ45" s="16">
        <v>0</v>
      </c>
      <c r="AK45" s="421">
        <v>0</v>
      </c>
      <c r="AL45" s="16">
        <v>0</v>
      </c>
      <c r="AM45" s="16">
        <v>0</v>
      </c>
      <c r="AN45" s="16">
        <v>0</v>
      </c>
      <c r="AO45" s="421">
        <f t="shared" si="91"/>
        <v>0</v>
      </c>
      <c r="AP45" s="16">
        <v>0</v>
      </c>
      <c r="AQ45" s="421">
        <f t="shared" si="13"/>
        <v>0</v>
      </c>
      <c r="AR45" s="421">
        <f t="shared" si="14"/>
        <v>1392199</v>
      </c>
      <c r="AS45" s="421">
        <f t="shared" si="15"/>
        <v>0</v>
      </c>
      <c r="AT45" s="421">
        <f t="shared" si="16"/>
        <v>1392199</v>
      </c>
      <c r="AU45" s="68">
        <f t="shared" si="93"/>
        <v>470563</v>
      </c>
      <c r="AV45" s="68">
        <f t="shared" si="17"/>
        <v>13922</v>
      </c>
      <c r="AW45" s="16">
        <v>0</v>
      </c>
      <c r="AX45" s="16">
        <v>0</v>
      </c>
      <c r="AY45" s="421">
        <f t="shared" si="18"/>
        <v>0</v>
      </c>
      <c r="AZ45" s="421">
        <f t="shared" si="19"/>
        <v>1876684</v>
      </c>
      <c r="BA45" s="13">
        <v>0</v>
      </c>
      <c r="BB45" s="13">
        <v>0</v>
      </c>
      <c r="BC45" s="13">
        <v>3.89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 t="shared" si="94"/>
        <v>3.89</v>
      </c>
      <c r="BL45" s="422">
        <f t="shared" si="95"/>
        <v>0</v>
      </c>
      <c r="BM45" s="424">
        <f t="shared" si="96"/>
        <v>3.89</v>
      </c>
      <c r="BN45" s="427">
        <f t="shared" si="20"/>
        <v>1876684</v>
      </c>
      <c r="BO45" s="421">
        <f t="shared" si="21"/>
        <v>1392199</v>
      </c>
      <c r="BP45" s="421">
        <f t="shared" si="97"/>
        <v>1392199</v>
      </c>
      <c r="BQ45" s="421">
        <f t="shared" si="97"/>
        <v>0</v>
      </c>
      <c r="BR45" s="421">
        <f t="shared" si="98"/>
        <v>0</v>
      </c>
      <c r="BS45" s="421">
        <f t="shared" si="99"/>
        <v>0</v>
      </c>
      <c r="BT45" s="421">
        <f t="shared" si="99"/>
        <v>0</v>
      </c>
      <c r="BU45" s="421">
        <f t="shared" si="100"/>
        <v>470563</v>
      </c>
      <c r="BV45" s="421">
        <f t="shared" si="100"/>
        <v>13922</v>
      </c>
      <c r="BW45" s="421">
        <f t="shared" si="101"/>
        <v>0</v>
      </c>
      <c r="BX45" s="422">
        <f t="shared" si="102"/>
        <v>3.89</v>
      </c>
      <c r="BY45" s="422">
        <f t="shared" si="103"/>
        <v>3.89</v>
      </c>
      <c r="BZ45" s="611">
        <f t="shared" si="103"/>
        <v>0</v>
      </c>
      <c r="CA45" s="423"/>
      <c r="CB45" s="418"/>
      <c r="CC45" s="418"/>
      <c r="CD45" s="418"/>
      <c r="CE45" s="418"/>
      <c r="CF45" s="527"/>
    </row>
    <row r="46" spans="1:84" s="96" customFormat="1" ht="14.1" customHeight="1" x14ac:dyDescent="0.2">
      <c r="A46" s="118">
        <v>6</v>
      </c>
      <c r="B46" s="77">
        <v>2453</v>
      </c>
      <c r="C46" s="93">
        <v>600079686</v>
      </c>
      <c r="D46" s="77">
        <v>72743603</v>
      </c>
      <c r="E46" s="77" t="s">
        <v>717</v>
      </c>
      <c r="F46" s="94">
        <v>3141</v>
      </c>
      <c r="G46" s="77" t="s">
        <v>295</v>
      </c>
      <c r="H46" s="95" t="s">
        <v>272</v>
      </c>
      <c r="I46" s="669">
        <f t="shared" si="6"/>
        <v>392690</v>
      </c>
      <c r="J46" s="668">
        <f t="shared" si="7"/>
        <v>289027</v>
      </c>
      <c r="K46" s="668">
        <v>0</v>
      </c>
      <c r="L46" s="674">
        <v>289027</v>
      </c>
      <c r="M46" s="668">
        <f t="shared" si="8"/>
        <v>0</v>
      </c>
      <c r="N46" s="668">
        <v>0</v>
      </c>
      <c r="O46" s="668">
        <v>0</v>
      </c>
      <c r="P46" s="668">
        <f t="shared" si="26"/>
        <v>97691</v>
      </c>
      <c r="Q46" s="668">
        <f t="shared" ref="Q46" si="104">ROUND(J46*1%,0)</f>
        <v>2890</v>
      </c>
      <c r="R46" s="668">
        <v>3082</v>
      </c>
      <c r="S46" s="420">
        <f t="shared" si="3"/>
        <v>0.86670000000000003</v>
      </c>
      <c r="T46" s="420">
        <v>0</v>
      </c>
      <c r="U46" s="946">
        <v>0.86670000000000003</v>
      </c>
      <c r="V46" s="428">
        <f t="shared" si="90"/>
        <v>0</v>
      </c>
      <c r="W46" s="421">
        <f t="shared" si="90"/>
        <v>0</v>
      </c>
      <c r="X46" s="421">
        <v>0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 t="shared" si="10"/>
        <v>0</v>
      </c>
      <c r="AG46" s="421">
        <f t="shared" si="11"/>
        <v>0</v>
      </c>
      <c r="AH46" s="421">
        <f t="shared" si="12"/>
        <v>0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91"/>
        <v>0</v>
      </c>
      <c r="AP46" s="421">
        <f t="shared" si="92"/>
        <v>0</v>
      </c>
      <c r="AQ46" s="421">
        <f t="shared" si="13"/>
        <v>0</v>
      </c>
      <c r="AR46" s="421">
        <f t="shared" si="14"/>
        <v>0</v>
      </c>
      <c r="AS46" s="421">
        <f t="shared" si="15"/>
        <v>0</v>
      </c>
      <c r="AT46" s="421">
        <f t="shared" si="16"/>
        <v>0</v>
      </c>
      <c r="AU46" s="68">
        <f t="shared" si="93"/>
        <v>0</v>
      </c>
      <c r="AV46" s="68">
        <f t="shared" si="17"/>
        <v>0</v>
      </c>
      <c r="AW46" s="421">
        <v>0</v>
      </c>
      <c r="AX46" s="421">
        <v>0</v>
      </c>
      <c r="AY46" s="421">
        <f t="shared" si="18"/>
        <v>0</v>
      </c>
      <c r="AZ46" s="421">
        <f t="shared" si="19"/>
        <v>0</v>
      </c>
      <c r="BA46" s="422">
        <v>0</v>
      </c>
      <c r="BB46" s="422">
        <v>0</v>
      </c>
      <c r="BC46" s="422">
        <v>0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 t="shared" si="94"/>
        <v>0</v>
      </c>
      <c r="BL46" s="422">
        <f t="shared" si="95"/>
        <v>0</v>
      </c>
      <c r="BM46" s="424">
        <f t="shared" si="96"/>
        <v>0</v>
      </c>
      <c r="BN46" s="427">
        <f t="shared" si="20"/>
        <v>392690</v>
      </c>
      <c r="BO46" s="421">
        <f t="shared" si="21"/>
        <v>289027</v>
      </c>
      <c r="BP46" s="421">
        <f t="shared" si="97"/>
        <v>0</v>
      </c>
      <c r="BQ46" s="421">
        <f t="shared" si="97"/>
        <v>289027</v>
      </c>
      <c r="BR46" s="421">
        <f t="shared" si="98"/>
        <v>0</v>
      </c>
      <c r="BS46" s="421">
        <f t="shared" si="99"/>
        <v>0</v>
      </c>
      <c r="BT46" s="421">
        <f t="shared" si="99"/>
        <v>0</v>
      </c>
      <c r="BU46" s="421">
        <f t="shared" si="100"/>
        <v>97691</v>
      </c>
      <c r="BV46" s="421">
        <f t="shared" si="100"/>
        <v>2890</v>
      </c>
      <c r="BW46" s="421">
        <f t="shared" si="101"/>
        <v>3082</v>
      </c>
      <c r="BX46" s="422">
        <f t="shared" si="102"/>
        <v>0.86670000000000003</v>
      </c>
      <c r="BY46" s="422">
        <f t="shared" si="103"/>
        <v>0</v>
      </c>
      <c r="BZ46" s="611">
        <f t="shared" si="103"/>
        <v>0.86670000000000003</v>
      </c>
      <c r="CA46" s="423"/>
      <c r="CB46" s="418"/>
      <c r="CC46" s="418"/>
      <c r="CD46" s="418"/>
      <c r="CE46" s="418"/>
      <c r="CF46" s="527"/>
    </row>
    <row r="47" spans="1:84" s="96" customFormat="1" ht="14.1" customHeight="1" x14ac:dyDescent="0.2">
      <c r="A47" s="118">
        <v>6</v>
      </c>
      <c r="B47" s="77">
        <v>2453</v>
      </c>
      <c r="C47" s="93">
        <v>600079686</v>
      </c>
      <c r="D47" s="77">
        <v>72743603</v>
      </c>
      <c r="E47" s="77" t="s">
        <v>717</v>
      </c>
      <c r="F47" s="94">
        <v>3143</v>
      </c>
      <c r="G47" s="77" t="s">
        <v>596</v>
      </c>
      <c r="H47" s="95" t="s">
        <v>271</v>
      </c>
      <c r="I47" s="669">
        <f t="shared" si="6"/>
        <v>1349373</v>
      </c>
      <c r="J47" s="668">
        <f t="shared" si="7"/>
        <v>1001019</v>
      </c>
      <c r="K47" s="668">
        <v>1001019</v>
      </c>
      <c r="L47" s="668">
        <v>0</v>
      </c>
      <c r="M47" s="668">
        <f t="shared" si="8"/>
        <v>0</v>
      </c>
      <c r="N47" s="668">
        <v>0</v>
      </c>
      <c r="O47" s="668">
        <v>0</v>
      </c>
      <c r="P47" s="668">
        <f t="shared" si="26"/>
        <v>338344</v>
      </c>
      <c r="Q47" s="668">
        <f t="shared" si="2"/>
        <v>10010</v>
      </c>
      <c r="R47" s="668">
        <v>0</v>
      </c>
      <c r="S47" s="420">
        <f t="shared" si="3"/>
        <v>1.9822</v>
      </c>
      <c r="T47" s="420">
        <v>1.9822</v>
      </c>
      <c r="U47" s="946">
        <v>0</v>
      </c>
      <c r="V47" s="428">
        <f t="shared" si="90"/>
        <v>0</v>
      </c>
      <c r="W47" s="421">
        <f t="shared" si="90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 t="shared" si="10"/>
        <v>0</v>
      </c>
      <c r="AG47" s="421">
        <f t="shared" si="11"/>
        <v>0</v>
      </c>
      <c r="AH47" s="421">
        <f t="shared" si="12"/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91"/>
        <v>0</v>
      </c>
      <c r="AP47" s="421">
        <f t="shared" si="92"/>
        <v>0</v>
      </c>
      <c r="AQ47" s="421">
        <f t="shared" si="13"/>
        <v>0</v>
      </c>
      <c r="AR47" s="421">
        <f t="shared" si="14"/>
        <v>0</v>
      </c>
      <c r="AS47" s="421">
        <f t="shared" si="15"/>
        <v>0</v>
      </c>
      <c r="AT47" s="421">
        <f t="shared" si="16"/>
        <v>0</v>
      </c>
      <c r="AU47" s="68">
        <f t="shared" si="93"/>
        <v>0</v>
      </c>
      <c r="AV47" s="68">
        <f t="shared" si="17"/>
        <v>0</v>
      </c>
      <c r="AW47" s="421">
        <v>0</v>
      </c>
      <c r="AX47" s="421">
        <v>0</v>
      </c>
      <c r="AY47" s="421">
        <f t="shared" si="18"/>
        <v>0</v>
      </c>
      <c r="AZ47" s="421">
        <f t="shared" si="19"/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 t="shared" si="94"/>
        <v>0</v>
      </c>
      <c r="BL47" s="422">
        <f t="shared" si="95"/>
        <v>0</v>
      </c>
      <c r="BM47" s="424">
        <f t="shared" si="96"/>
        <v>0</v>
      </c>
      <c r="BN47" s="427">
        <f t="shared" si="20"/>
        <v>1349373</v>
      </c>
      <c r="BO47" s="421">
        <f t="shared" si="21"/>
        <v>1001019</v>
      </c>
      <c r="BP47" s="421">
        <f t="shared" si="97"/>
        <v>1001019</v>
      </c>
      <c r="BQ47" s="421">
        <f t="shared" si="97"/>
        <v>0</v>
      </c>
      <c r="BR47" s="421">
        <f t="shared" si="98"/>
        <v>0</v>
      </c>
      <c r="BS47" s="421">
        <f t="shared" si="99"/>
        <v>0</v>
      </c>
      <c r="BT47" s="421">
        <f t="shared" si="99"/>
        <v>0</v>
      </c>
      <c r="BU47" s="421">
        <f t="shared" si="100"/>
        <v>338344</v>
      </c>
      <c r="BV47" s="421">
        <f t="shared" si="100"/>
        <v>10010</v>
      </c>
      <c r="BW47" s="421">
        <f t="shared" si="101"/>
        <v>0</v>
      </c>
      <c r="BX47" s="422">
        <f t="shared" si="102"/>
        <v>1.9822</v>
      </c>
      <c r="BY47" s="422">
        <f t="shared" si="103"/>
        <v>1.9822</v>
      </c>
      <c r="BZ47" s="611">
        <f t="shared" si="103"/>
        <v>0</v>
      </c>
      <c r="CA47" s="423"/>
      <c r="CB47" s="418"/>
      <c r="CC47" s="418"/>
      <c r="CD47" s="418"/>
      <c r="CE47" s="418"/>
      <c r="CF47" s="527"/>
    </row>
    <row r="48" spans="1:84" s="96" customFormat="1" ht="14.1" customHeight="1" x14ac:dyDescent="0.2">
      <c r="A48" s="118">
        <v>6</v>
      </c>
      <c r="B48" s="77">
        <v>2453</v>
      </c>
      <c r="C48" s="93">
        <v>600079686</v>
      </c>
      <c r="D48" s="77">
        <v>72743603</v>
      </c>
      <c r="E48" s="77" t="s">
        <v>717</v>
      </c>
      <c r="F48" s="94">
        <v>3143</v>
      </c>
      <c r="G48" s="77" t="s">
        <v>597</v>
      </c>
      <c r="H48" s="95" t="s">
        <v>272</v>
      </c>
      <c r="I48" s="669">
        <f t="shared" si="6"/>
        <v>30724</v>
      </c>
      <c r="J48" s="668">
        <f t="shared" si="7"/>
        <v>21991</v>
      </c>
      <c r="K48" s="668">
        <v>0</v>
      </c>
      <c r="L48" s="674">
        <v>21991</v>
      </c>
      <c r="M48" s="668">
        <f t="shared" si="8"/>
        <v>0</v>
      </c>
      <c r="N48" s="675">
        <v>0</v>
      </c>
      <c r="O48" s="675">
        <v>0</v>
      </c>
      <c r="P48" s="668">
        <f t="shared" ref="P48" si="105">ROUND(J48*33.8%,0)</f>
        <v>7433</v>
      </c>
      <c r="Q48" s="668">
        <f t="shared" ref="Q48" si="106">ROUND(J48*1%,0)</f>
        <v>220</v>
      </c>
      <c r="R48" s="675">
        <v>1080</v>
      </c>
      <c r="S48" s="420">
        <f t="shared" si="3"/>
        <v>8.3299999999999999E-2</v>
      </c>
      <c r="T48" s="679">
        <v>0</v>
      </c>
      <c r="U48" s="909">
        <v>8.3299999999999999E-2</v>
      </c>
      <c r="V48" s="428">
        <f t="shared" si="90"/>
        <v>0</v>
      </c>
      <c r="W48" s="421">
        <f t="shared" si="90"/>
        <v>0</v>
      </c>
      <c r="X48" s="421">
        <v>0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 t="shared" si="10"/>
        <v>0</v>
      </c>
      <c r="AG48" s="421">
        <f t="shared" si="11"/>
        <v>0</v>
      </c>
      <c r="AH48" s="421">
        <f t="shared" si="12"/>
        <v>0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91"/>
        <v>0</v>
      </c>
      <c r="AP48" s="421">
        <f t="shared" si="92"/>
        <v>0</v>
      </c>
      <c r="AQ48" s="421">
        <f t="shared" si="13"/>
        <v>0</v>
      </c>
      <c r="AR48" s="421">
        <f t="shared" si="14"/>
        <v>0</v>
      </c>
      <c r="AS48" s="421">
        <f t="shared" si="15"/>
        <v>0</v>
      </c>
      <c r="AT48" s="421">
        <f t="shared" si="16"/>
        <v>0</v>
      </c>
      <c r="AU48" s="68">
        <f t="shared" si="93"/>
        <v>0</v>
      </c>
      <c r="AV48" s="68">
        <f t="shared" si="17"/>
        <v>0</v>
      </c>
      <c r="AW48" s="421">
        <v>0</v>
      </c>
      <c r="AX48" s="421">
        <v>0</v>
      </c>
      <c r="AY48" s="421">
        <f t="shared" si="18"/>
        <v>0</v>
      </c>
      <c r="AZ48" s="421">
        <f t="shared" si="19"/>
        <v>0</v>
      </c>
      <c r="BA48" s="422">
        <v>0</v>
      </c>
      <c r="BB48" s="422">
        <v>0</v>
      </c>
      <c r="BC48" s="422">
        <v>0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 t="shared" si="94"/>
        <v>0</v>
      </c>
      <c r="BL48" s="422">
        <f t="shared" si="95"/>
        <v>0</v>
      </c>
      <c r="BM48" s="424">
        <f t="shared" si="96"/>
        <v>0</v>
      </c>
      <c r="BN48" s="427">
        <f t="shared" si="20"/>
        <v>30724</v>
      </c>
      <c r="BO48" s="421">
        <f t="shared" si="21"/>
        <v>21991</v>
      </c>
      <c r="BP48" s="421">
        <f t="shared" si="97"/>
        <v>0</v>
      </c>
      <c r="BQ48" s="421">
        <f t="shared" si="97"/>
        <v>21991</v>
      </c>
      <c r="BR48" s="421">
        <f t="shared" si="98"/>
        <v>0</v>
      </c>
      <c r="BS48" s="421">
        <f t="shared" si="99"/>
        <v>0</v>
      </c>
      <c r="BT48" s="421">
        <f t="shared" si="99"/>
        <v>0</v>
      </c>
      <c r="BU48" s="421">
        <f t="shared" si="100"/>
        <v>7433</v>
      </c>
      <c r="BV48" s="421">
        <f t="shared" si="100"/>
        <v>220</v>
      </c>
      <c r="BW48" s="421">
        <f t="shared" si="101"/>
        <v>1080</v>
      </c>
      <c r="BX48" s="422">
        <f t="shared" si="102"/>
        <v>8.3299999999999999E-2</v>
      </c>
      <c r="BY48" s="422">
        <f t="shared" si="103"/>
        <v>0</v>
      </c>
      <c r="BZ48" s="611">
        <f t="shared" si="103"/>
        <v>8.3299999999999999E-2</v>
      </c>
      <c r="CA48" s="423"/>
      <c r="CB48" s="418"/>
      <c r="CC48" s="418"/>
      <c r="CD48" s="418"/>
      <c r="CE48" s="418"/>
      <c r="CF48" s="527"/>
    </row>
    <row r="49" spans="1:84" s="96" customFormat="1" ht="14.1" customHeight="1" x14ac:dyDescent="0.2">
      <c r="A49" s="119">
        <v>6</v>
      </c>
      <c r="B49" s="97">
        <v>2453</v>
      </c>
      <c r="C49" s="98">
        <v>600079686</v>
      </c>
      <c r="D49" s="97">
        <v>72743603</v>
      </c>
      <c r="E49" s="97" t="s">
        <v>718</v>
      </c>
      <c r="F49" s="106"/>
      <c r="G49" s="100"/>
      <c r="H49" s="101"/>
      <c r="I49" s="442">
        <f t="shared" ref="I49:U49" si="107">SUM(I43:I48)</f>
        <v>11699246</v>
      </c>
      <c r="J49" s="438">
        <f t="shared" si="107"/>
        <v>8580603</v>
      </c>
      <c r="K49" s="438">
        <f t="shared" si="107"/>
        <v>7578895</v>
      </c>
      <c r="L49" s="438">
        <f t="shared" si="107"/>
        <v>1001708</v>
      </c>
      <c r="M49" s="438">
        <f t="shared" si="107"/>
        <v>0</v>
      </c>
      <c r="N49" s="438">
        <f t="shared" si="107"/>
        <v>0</v>
      </c>
      <c r="O49" s="438">
        <f t="shared" si="107"/>
        <v>0</v>
      </c>
      <c r="P49" s="438">
        <f t="shared" si="107"/>
        <v>2900244</v>
      </c>
      <c r="Q49" s="438">
        <f t="shared" si="107"/>
        <v>85806</v>
      </c>
      <c r="R49" s="438">
        <f t="shared" si="107"/>
        <v>132593</v>
      </c>
      <c r="S49" s="439">
        <f t="shared" si="107"/>
        <v>15.504900000000001</v>
      </c>
      <c r="T49" s="439">
        <f t="shared" si="107"/>
        <v>12.448400000000001</v>
      </c>
      <c r="U49" s="814">
        <f t="shared" si="107"/>
        <v>3.0565000000000002</v>
      </c>
      <c r="V49" s="442">
        <f t="shared" ref="V49:CF49" si="108">SUM(V43:V48)</f>
        <v>-32000</v>
      </c>
      <c r="W49" s="438">
        <f t="shared" si="108"/>
        <v>0</v>
      </c>
      <c r="X49" s="438">
        <f t="shared" si="108"/>
        <v>1392199</v>
      </c>
      <c r="Y49" s="438">
        <f t="shared" si="108"/>
        <v>0</v>
      </c>
      <c r="Z49" s="438">
        <f t="shared" si="108"/>
        <v>0</v>
      </c>
      <c r="AA49" s="438">
        <f t="shared" si="108"/>
        <v>0</v>
      </c>
      <c r="AB49" s="438">
        <f t="shared" si="108"/>
        <v>112800</v>
      </c>
      <c r="AC49" s="438">
        <f t="shared" si="108"/>
        <v>0</v>
      </c>
      <c r="AD49" s="438">
        <f t="shared" si="108"/>
        <v>0</v>
      </c>
      <c r="AE49" s="438">
        <f t="shared" si="108"/>
        <v>0</v>
      </c>
      <c r="AF49" s="438">
        <f t="shared" si="108"/>
        <v>1472999</v>
      </c>
      <c r="AG49" s="438">
        <f t="shared" si="108"/>
        <v>0</v>
      </c>
      <c r="AH49" s="438">
        <f t="shared" si="108"/>
        <v>1472999</v>
      </c>
      <c r="AI49" s="438">
        <f t="shared" si="108"/>
        <v>32000</v>
      </c>
      <c r="AJ49" s="438">
        <f t="shared" si="108"/>
        <v>0</v>
      </c>
      <c r="AK49" s="438">
        <f t="shared" si="108"/>
        <v>0</v>
      </c>
      <c r="AL49" s="438">
        <f t="shared" si="108"/>
        <v>46311</v>
      </c>
      <c r="AM49" s="438">
        <f t="shared" si="108"/>
        <v>0</v>
      </c>
      <c r="AN49" s="438">
        <f t="shared" si="108"/>
        <v>0</v>
      </c>
      <c r="AO49" s="438">
        <f t="shared" si="108"/>
        <v>78311</v>
      </c>
      <c r="AP49" s="438">
        <f t="shared" si="108"/>
        <v>0</v>
      </c>
      <c r="AQ49" s="438">
        <f t="shared" si="108"/>
        <v>78311</v>
      </c>
      <c r="AR49" s="438">
        <f t="shared" si="108"/>
        <v>1551310</v>
      </c>
      <c r="AS49" s="438">
        <f t="shared" si="108"/>
        <v>0</v>
      </c>
      <c r="AT49" s="438">
        <f t="shared" si="108"/>
        <v>1551310</v>
      </c>
      <c r="AU49" s="438">
        <f t="shared" si="108"/>
        <v>524343</v>
      </c>
      <c r="AV49" s="438">
        <f t="shared" si="108"/>
        <v>14730</v>
      </c>
      <c r="AW49" s="438">
        <f t="shared" si="108"/>
        <v>0</v>
      </c>
      <c r="AX49" s="438">
        <f t="shared" si="108"/>
        <v>0</v>
      </c>
      <c r="AY49" s="438">
        <f t="shared" si="108"/>
        <v>0</v>
      </c>
      <c r="AZ49" s="438">
        <f t="shared" si="108"/>
        <v>2090383</v>
      </c>
      <c r="BA49" s="439">
        <f t="shared" si="108"/>
        <v>-0.03</v>
      </c>
      <c r="BB49" s="439">
        <f t="shared" si="108"/>
        <v>0</v>
      </c>
      <c r="BC49" s="439">
        <f t="shared" si="108"/>
        <v>3.89</v>
      </c>
      <c r="BD49" s="439">
        <f t="shared" si="108"/>
        <v>0.2</v>
      </c>
      <c r="BE49" s="439">
        <f t="shared" si="108"/>
        <v>0</v>
      </c>
      <c r="BF49" s="439">
        <f t="shared" si="108"/>
        <v>0</v>
      </c>
      <c r="BG49" s="439">
        <f t="shared" si="108"/>
        <v>0</v>
      </c>
      <c r="BH49" s="439">
        <f t="shared" si="108"/>
        <v>0</v>
      </c>
      <c r="BI49" s="439">
        <f t="shared" si="108"/>
        <v>0</v>
      </c>
      <c r="BJ49" s="439">
        <f t="shared" si="108"/>
        <v>0</v>
      </c>
      <c r="BK49" s="439">
        <f t="shared" si="108"/>
        <v>4.0600000000000005</v>
      </c>
      <c r="BL49" s="439">
        <f t="shared" si="108"/>
        <v>0</v>
      </c>
      <c r="BM49" s="103">
        <f t="shared" si="108"/>
        <v>4.0600000000000005</v>
      </c>
      <c r="BN49" s="444">
        <f t="shared" si="108"/>
        <v>13789629</v>
      </c>
      <c r="BO49" s="438">
        <f t="shared" si="108"/>
        <v>10053602</v>
      </c>
      <c r="BP49" s="438">
        <f t="shared" si="108"/>
        <v>9051894</v>
      </c>
      <c r="BQ49" s="438">
        <f t="shared" si="108"/>
        <v>1001708</v>
      </c>
      <c r="BR49" s="438">
        <f t="shared" si="108"/>
        <v>78311</v>
      </c>
      <c r="BS49" s="438">
        <f t="shared" si="108"/>
        <v>78311</v>
      </c>
      <c r="BT49" s="438">
        <f t="shared" si="108"/>
        <v>0</v>
      </c>
      <c r="BU49" s="438">
        <f t="shared" si="108"/>
        <v>3424587</v>
      </c>
      <c r="BV49" s="438">
        <f t="shared" si="108"/>
        <v>100536</v>
      </c>
      <c r="BW49" s="438">
        <f t="shared" si="108"/>
        <v>132593</v>
      </c>
      <c r="BX49" s="439">
        <f t="shared" si="108"/>
        <v>19.564900000000002</v>
      </c>
      <c r="BY49" s="439">
        <f t="shared" si="108"/>
        <v>16.508400000000002</v>
      </c>
      <c r="BZ49" s="814">
        <f t="shared" si="108"/>
        <v>3.0565000000000002</v>
      </c>
      <c r="CA49" s="819">
        <f t="shared" si="108"/>
        <v>152054</v>
      </c>
      <c r="CB49" s="817">
        <f t="shared" si="108"/>
        <v>112800</v>
      </c>
      <c r="CC49" s="817">
        <f t="shared" si="108"/>
        <v>0</v>
      </c>
      <c r="CD49" s="817">
        <f t="shared" si="108"/>
        <v>38126</v>
      </c>
      <c r="CE49" s="817">
        <f t="shared" si="108"/>
        <v>1128</v>
      </c>
      <c r="CF49" s="802">
        <f t="shared" si="108"/>
        <v>0.2</v>
      </c>
    </row>
    <row r="50" spans="1:84" s="96" customFormat="1" ht="14.1" customHeight="1" x14ac:dyDescent="0.2">
      <c r="A50" s="118">
        <v>7</v>
      </c>
      <c r="B50" s="102">
        <v>2320</v>
      </c>
      <c r="C50" s="93">
        <v>650034180</v>
      </c>
      <c r="D50" s="77">
        <v>72755369</v>
      </c>
      <c r="E50" s="77" t="s">
        <v>719</v>
      </c>
      <c r="F50" s="94">
        <v>3111</v>
      </c>
      <c r="G50" s="77" t="s">
        <v>291</v>
      </c>
      <c r="H50" s="95" t="s">
        <v>271</v>
      </c>
      <c r="I50" s="669">
        <f t="shared" si="6"/>
        <v>3196207</v>
      </c>
      <c r="J50" s="668">
        <f t="shared" si="7"/>
        <v>2363349</v>
      </c>
      <c r="K50" s="668">
        <v>2243541</v>
      </c>
      <c r="L50" s="668">
        <v>119808</v>
      </c>
      <c r="M50" s="668">
        <f t="shared" si="8"/>
        <v>0</v>
      </c>
      <c r="N50" s="668">
        <v>0</v>
      </c>
      <c r="O50" s="668">
        <v>0</v>
      </c>
      <c r="P50" s="668">
        <f t="shared" si="26"/>
        <v>798812</v>
      </c>
      <c r="Q50" s="668">
        <f t="shared" si="2"/>
        <v>23633</v>
      </c>
      <c r="R50" s="668">
        <v>10413</v>
      </c>
      <c r="S50" s="420">
        <f t="shared" si="3"/>
        <v>4.4800000000000004</v>
      </c>
      <c r="T50" s="420">
        <v>4</v>
      </c>
      <c r="U50" s="946">
        <v>0.48</v>
      </c>
      <c r="V50" s="428">
        <f t="shared" ref="V50:W55" si="109">AI50*-1</f>
        <v>0</v>
      </c>
      <c r="W50" s="421">
        <f t="shared" si="109"/>
        <v>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 t="shared" si="10"/>
        <v>0</v>
      </c>
      <c r="AG50" s="421">
        <f t="shared" si="11"/>
        <v>0</v>
      </c>
      <c r="AH50" s="421">
        <f t="shared" si="12"/>
        <v>0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ref="AO50:AO55" si="110">AI50+AK50+AL50+AM50</f>
        <v>0</v>
      </c>
      <c r="AP50" s="421">
        <f t="shared" ref="AP50:AP55" si="111">AJ50+AN50</f>
        <v>0</v>
      </c>
      <c r="AQ50" s="421">
        <f t="shared" si="13"/>
        <v>0</v>
      </c>
      <c r="AR50" s="421">
        <f t="shared" si="14"/>
        <v>0</v>
      </c>
      <c r="AS50" s="421">
        <f t="shared" si="15"/>
        <v>0</v>
      </c>
      <c r="AT50" s="421">
        <f t="shared" si="16"/>
        <v>0</v>
      </c>
      <c r="AU50" s="68">
        <f t="shared" ref="AU50:AU55" si="112">ROUND((AH50+AI50+AJ50+AK50+AL50)*33.8%,0)</f>
        <v>0</v>
      </c>
      <c r="AV50" s="68">
        <f t="shared" si="17"/>
        <v>0</v>
      </c>
      <c r="AW50" s="421">
        <v>0</v>
      </c>
      <c r="AX50" s="421">
        <v>0</v>
      </c>
      <c r="AY50" s="421">
        <f t="shared" si="18"/>
        <v>0</v>
      </c>
      <c r="AZ50" s="421">
        <f t="shared" si="19"/>
        <v>0</v>
      </c>
      <c r="BA50" s="422">
        <v>0</v>
      </c>
      <c r="BB50" s="422">
        <v>0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 t="shared" ref="BK50:BK55" si="113">BA50+BC50+BD50+BF50+BH50+BI50</f>
        <v>0</v>
      </c>
      <c r="BL50" s="422">
        <f t="shared" ref="BL50:BL55" si="114">BB50+BE50+BG50+BJ50</f>
        <v>0</v>
      </c>
      <c r="BM50" s="424">
        <f t="shared" ref="BM50:BM55" si="115">SUM(BK50:BL50)</f>
        <v>0</v>
      </c>
      <c r="BN50" s="427">
        <f t="shared" si="20"/>
        <v>3196207</v>
      </c>
      <c r="BO50" s="421">
        <f t="shared" si="21"/>
        <v>2363349</v>
      </c>
      <c r="BP50" s="421">
        <f t="shared" ref="BP50:BQ55" si="116">K50+AF50</f>
        <v>2243541</v>
      </c>
      <c r="BQ50" s="421">
        <f t="shared" si="116"/>
        <v>119808</v>
      </c>
      <c r="BR50" s="421">
        <f t="shared" ref="BR50:BR55" si="117">M50+AQ50</f>
        <v>0</v>
      </c>
      <c r="BS50" s="421">
        <f t="shared" ref="BS50:BT55" si="118">N50+AO50</f>
        <v>0</v>
      </c>
      <c r="BT50" s="421">
        <f t="shared" si="118"/>
        <v>0</v>
      </c>
      <c r="BU50" s="421">
        <f t="shared" ref="BU50:BV55" si="119">P50+AU50</f>
        <v>798812</v>
      </c>
      <c r="BV50" s="421">
        <f t="shared" si="119"/>
        <v>23633</v>
      </c>
      <c r="BW50" s="421">
        <f t="shared" ref="BW50:BW55" si="120">R50+AY50</f>
        <v>10413</v>
      </c>
      <c r="BX50" s="422">
        <f t="shared" ref="BX50:BX55" si="121">S50+BM50</f>
        <v>4.4800000000000004</v>
      </c>
      <c r="BY50" s="422">
        <f t="shared" ref="BY50:BZ55" si="122">T50+BK50</f>
        <v>4</v>
      </c>
      <c r="BZ50" s="611">
        <f t="shared" si="122"/>
        <v>0.48</v>
      </c>
      <c r="CA50" s="423"/>
      <c r="CB50" s="418"/>
      <c r="CC50" s="418"/>
      <c r="CD50" s="418"/>
      <c r="CE50" s="418"/>
      <c r="CF50" s="527"/>
    </row>
    <row r="51" spans="1:84" s="96" customFormat="1" ht="14.1" customHeight="1" x14ac:dyDescent="0.2">
      <c r="A51" s="118">
        <v>7</v>
      </c>
      <c r="B51" s="104">
        <v>2320</v>
      </c>
      <c r="C51" s="93">
        <v>650034180</v>
      </c>
      <c r="D51" s="77">
        <v>72755369</v>
      </c>
      <c r="E51" s="104" t="s">
        <v>719</v>
      </c>
      <c r="F51" s="105">
        <v>3117</v>
      </c>
      <c r="G51" s="104" t="s">
        <v>294</v>
      </c>
      <c r="H51" s="95" t="s">
        <v>271</v>
      </c>
      <c r="I51" s="669">
        <f t="shared" si="6"/>
        <v>4284993</v>
      </c>
      <c r="J51" s="668">
        <f t="shared" si="7"/>
        <v>3138151</v>
      </c>
      <c r="K51" s="668">
        <v>2706679</v>
      </c>
      <c r="L51" s="668">
        <v>431472</v>
      </c>
      <c r="M51" s="668">
        <f t="shared" si="8"/>
        <v>0</v>
      </c>
      <c r="N51" s="668">
        <v>0</v>
      </c>
      <c r="O51" s="668">
        <v>0</v>
      </c>
      <c r="P51" s="668">
        <f t="shared" si="26"/>
        <v>1060695</v>
      </c>
      <c r="Q51" s="668">
        <f t="shared" si="2"/>
        <v>31382</v>
      </c>
      <c r="R51" s="668">
        <v>54765</v>
      </c>
      <c r="S51" s="420">
        <f t="shared" si="3"/>
        <v>5.3177000000000003</v>
      </c>
      <c r="T51" s="420">
        <v>4.0909000000000004</v>
      </c>
      <c r="U51" s="946">
        <v>1.2267999999999999</v>
      </c>
      <c r="V51" s="428">
        <f t="shared" si="109"/>
        <v>0</v>
      </c>
      <c r="W51" s="421">
        <f t="shared" si="109"/>
        <v>-19200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 t="shared" si="10"/>
        <v>0</v>
      </c>
      <c r="AG51" s="421">
        <f t="shared" si="11"/>
        <v>-19200</v>
      </c>
      <c r="AH51" s="421">
        <f t="shared" si="12"/>
        <v>-19200</v>
      </c>
      <c r="AI51" s="421">
        <v>0</v>
      </c>
      <c r="AJ51" s="421">
        <v>19200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10"/>
        <v>0</v>
      </c>
      <c r="AP51" s="421">
        <f t="shared" si="111"/>
        <v>19200</v>
      </c>
      <c r="AQ51" s="421">
        <f t="shared" si="13"/>
        <v>19200</v>
      </c>
      <c r="AR51" s="421">
        <f t="shared" si="14"/>
        <v>0</v>
      </c>
      <c r="AS51" s="421">
        <f t="shared" si="15"/>
        <v>0</v>
      </c>
      <c r="AT51" s="421">
        <f t="shared" si="16"/>
        <v>0</v>
      </c>
      <c r="AU51" s="68">
        <f t="shared" si="112"/>
        <v>0</v>
      </c>
      <c r="AV51" s="68">
        <f t="shared" si="17"/>
        <v>-192</v>
      </c>
      <c r="AW51" s="421">
        <v>0</v>
      </c>
      <c r="AX51" s="421">
        <v>0</v>
      </c>
      <c r="AY51" s="421">
        <f t="shared" si="18"/>
        <v>0</v>
      </c>
      <c r="AZ51" s="421">
        <f t="shared" si="19"/>
        <v>-192</v>
      </c>
      <c r="BA51" s="422">
        <v>0</v>
      </c>
      <c r="BB51" s="422">
        <v>-0.06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 t="shared" si="113"/>
        <v>0</v>
      </c>
      <c r="BL51" s="422">
        <f t="shared" si="114"/>
        <v>-0.06</v>
      </c>
      <c r="BM51" s="424">
        <f t="shared" si="115"/>
        <v>-0.06</v>
      </c>
      <c r="BN51" s="427">
        <f t="shared" si="20"/>
        <v>4284801</v>
      </c>
      <c r="BO51" s="421">
        <f t="shared" si="21"/>
        <v>3118951</v>
      </c>
      <c r="BP51" s="421">
        <f t="shared" si="116"/>
        <v>2706679</v>
      </c>
      <c r="BQ51" s="421">
        <f t="shared" si="116"/>
        <v>412272</v>
      </c>
      <c r="BR51" s="421">
        <f t="shared" si="117"/>
        <v>19200</v>
      </c>
      <c r="BS51" s="421">
        <f t="shared" si="118"/>
        <v>0</v>
      </c>
      <c r="BT51" s="421">
        <f t="shared" si="118"/>
        <v>19200</v>
      </c>
      <c r="BU51" s="421">
        <f t="shared" si="119"/>
        <v>1060695</v>
      </c>
      <c r="BV51" s="421">
        <f t="shared" si="119"/>
        <v>31190</v>
      </c>
      <c r="BW51" s="421">
        <f t="shared" si="120"/>
        <v>54765</v>
      </c>
      <c r="BX51" s="422">
        <f t="shared" si="121"/>
        <v>5.2577000000000007</v>
      </c>
      <c r="BY51" s="422">
        <f t="shared" si="122"/>
        <v>4.0909000000000004</v>
      </c>
      <c r="BZ51" s="611">
        <f t="shared" si="122"/>
        <v>1.1667999999999998</v>
      </c>
      <c r="CA51" s="423"/>
      <c r="CB51" s="418"/>
      <c r="CC51" s="418"/>
      <c r="CD51" s="418"/>
      <c r="CE51" s="418"/>
      <c r="CF51" s="527"/>
    </row>
    <row r="52" spans="1:84" s="96" customFormat="1" ht="14.1" customHeight="1" x14ac:dyDescent="0.2">
      <c r="A52" s="118">
        <v>7</v>
      </c>
      <c r="B52" s="102">
        <v>2320</v>
      </c>
      <c r="C52" s="93">
        <v>650034180</v>
      </c>
      <c r="D52" s="77">
        <v>72755369</v>
      </c>
      <c r="E52" s="102" t="s">
        <v>719</v>
      </c>
      <c r="F52" s="94">
        <v>3117</v>
      </c>
      <c r="G52" s="77" t="s">
        <v>292</v>
      </c>
      <c r="H52" s="95" t="s">
        <v>272</v>
      </c>
      <c r="I52" s="669">
        <f t="shared" si="6"/>
        <v>0</v>
      </c>
      <c r="J52" s="668">
        <f t="shared" si="7"/>
        <v>0</v>
      </c>
      <c r="K52" s="668">
        <v>0</v>
      </c>
      <c r="L52" s="668">
        <v>0</v>
      </c>
      <c r="M52" s="668">
        <f t="shared" si="8"/>
        <v>0</v>
      </c>
      <c r="N52" s="668">
        <v>0</v>
      </c>
      <c r="O52" s="668">
        <v>0</v>
      </c>
      <c r="P52" s="668">
        <f t="shared" si="26"/>
        <v>0</v>
      </c>
      <c r="Q52" s="668">
        <f t="shared" si="2"/>
        <v>0</v>
      </c>
      <c r="R52" s="668">
        <v>0</v>
      </c>
      <c r="S52" s="420">
        <f t="shared" si="3"/>
        <v>0</v>
      </c>
      <c r="T52" s="420">
        <v>0</v>
      </c>
      <c r="U52" s="946">
        <v>0</v>
      </c>
      <c r="V52" s="428">
        <f t="shared" si="109"/>
        <v>0</v>
      </c>
      <c r="W52" s="421">
        <f t="shared" si="109"/>
        <v>0</v>
      </c>
      <c r="X52" s="16">
        <v>236905</v>
      </c>
      <c r="Y52" s="16">
        <v>0</v>
      </c>
      <c r="Z52" s="16">
        <v>0</v>
      </c>
      <c r="AA52" s="16">
        <v>0</v>
      </c>
      <c r="AB52" s="421">
        <v>0</v>
      </c>
      <c r="AC52" s="16">
        <v>0</v>
      </c>
      <c r="AD52" s="16">
        <v>0</v>
      </c>
      <c r="AE52" s="16">
        <v>0</v>
      </c>
      <c r="AF52" s="421">
        <f t="shared" si="10"/>
        <v>236905</v>
      </c>
      <c r="AG52" s="421">
        <f t="shared" si="11"/>
        <v>0</v>
      </c>
      <c r="AH52" s="421">
        <f t="shared" si="12"/>
        <v>236905</v>
      </c>
      <c r="AI52" s="16">
        <v>0</v>
      </c>
      <c r="AJ52" s="16">
        <v>0</v>
      </c>
      <c r="AK52" s="421">
        <v>0</v>
      </c>
      <c r="AL52" s="16">
        <v>0</v>
      </c>
      <c r="AM52" s="16">
        <v>0</v>
      </c>
      <c r="AN52" s="16">
        <v>0</v>
      </c>
      <c r="AO52" s="421">
        <f t="shared" si="110"/>
        <v>0</v>
      </c>
      <c r="AP52" s="16">
        <v>0</v>
      </c>
      <c r="AQ52" s="421">
        <f t="shared" si="13"/>
        <v>0</v>
      </c>
      <c r="AR52" s="421">
        <f t="shared" si="14"/>
        <v>236905</v>
      </c>
      <c r="AS52" s="421">
        <f t="shared" si="15"/>
        <v>0</v>
      </c>
      <c r="AT52" s="421">
        <f t="shared" si="16"/>
        <v>236905</v>
      </c>
      <c r="AU52" s="68">
        <f t="shared" si="112"/>
        <v>80074</v>
      </c>
      <c r="AV52" s="68">
        <f t="shared" si="17"/>
        <v>2369</v>
      </c>
      <c r="AW52" s="16">
        <v>0</v>
      </c>
      <c r="AX52" s="16">
        <v>0</v>
      </c>
      <c r="AY52" s="421">
        <f t="shared" si="18"/>
        <v>0</v>
      </c>
      <c r="AZ52" s="421">
        <f t="shared" si="19"/>
        <v>319348</v>
      </c>
      <c r="BA52" s="13">
        <v>0</v>
      </c>
      <c r="BB52" s="13">
        <v>0</v>
      </c>
      <c r="BC52" s="13">
        <v>0.64</v>
      </c>
      <c r="BD52" s="422">
        <v>0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f t="shared" si="113"/>
        <v>0.64</v>
      </c>
      <c r="BL52" s="422">
        <f t="shared" si="114"/>
        <v>0</v>
      </c>
      <c r="BM52" s="424">
        <f t="shared" si="115"/>
        <v>0.64</v>
      </c>
      <c r="BN52" s="427">
        <f t="shared" si="20"/>
        <v>319348</v>
      </c>
      <c r="BO52" s="421">
        <f t="shared" si="21"/>
        <v>236905</v>
      </c>
      <c r="BP52" s="421">
        <f t="shared" si="116"/>
        <v>236905</v>
      </c>
      <c r="BQ52" s="421">
        <f t="shared" si="116"/>
        <v>0</v>
      </c>
      <c r="BR52" s="421">
        <f t="shared" si="117"/>
        <v>0</v>
      </c>
      <c r="BS52" s="421">
        <f t="shared" si="118"/>
        <v>0</v>
      </c>
      <c r="BT52" s="421">
        <f t="shared" si="118"/>
        <v>0</v>
      </c>
      <c r="BU52" s="421">
        <f t="shared" si="119"/>
        <v>80074</v>
      </c>
      <c r="BV52" s="421">
        <f t="shared" si="119"/>
        <v>2369</v>
      </c>
      <c r="BW52" s="421">
        <f t="shared" si="120"/>
        <v>0</v>
      </c>
      <c r="BX52" s="422">
        <f t="shared" si="121"/>
        <v>0.64</v>
      </c>
      <c r="BY52" s="422">
        <f t="shared" si="122"/>
        <v>0.64</v>
      </c>
      <c r="BZ52" s="611">
        <f t="shared" si="122"/>
        <v>0</v>
      </c>
      <c r="CA52" s="423"/>
      <c r="CB52" s="418"/>
      <c r="CC52" s="418"/>
      <c r="CD52" s="418"/>
      <c r="CE52" s="418"/>
      <c r="CF52" s="527"/>
    </row>
    <row r="53" spans="1:84" s="96" customFormat="1" ht="14.1" customHeight="1" x14ac:dyDescent="0.2">
      <c r="A53" s="118">
        <v>7</v>
      </c>
      <c r="B53" s="77">
        <v>2320</v>
      </c>
      <c r="C53" s="93">
        <v>650034180</v>
      </c>
      <c r="D53" s="77">
        <v>72755369</v>
      </c>
      <c r="E53" s="77" t="s">
        <v>719</v>
      </c>
      <c r="F53" s="94">
        <v>3141</v>
      </c>
      <c r="G53" s="77" t="s">
        <v>295</v>
      </c>
      <c r="H53" s="95" t="s">
        <v>272</v>
      </c>
      <c r="I53" s="669">
        <f t="shared" si="6"/>
        <v>704138</v>
      </c>
      <c r="J53" s="668">
        <f t="shared" si="7"/>
        <v>520229</v>
      </c>
      <c r="K53" s="668">
        <v>0</v>
      </c>
      <c r="L53" s="674">
        <v>520229</v>
      </c>
      <c r="M53" s="668">
        <f t="shared" si="8"/>
        <v>0</v>
      </c>
      <c r="N53" s="668">
        <v>0</v>
      </c>
      <c r="O53" s="668">
        <v>0</v>
      </c>
      <c r="P53" s="668">
        <f t="shared" si="26"/>
        <v>175837</v>
      </c>
      <c r="Q53" s="668">
        <f t="shared" ref="Q53" si="123">ROUND(J53*1%,0)</f>
        <v>5202</v>
      </c>
      <c r="R53" s="668">
        <v>2870</v>
      </c>
      <c r="S53" s="420">
        <f t="shared" si="3"/>
        <v>1.56</v>
      </c>
      <c r="T53" s="420">
        <v>0</v>
      </c>
      <c r="U53" s="946">
        <v>1.56</v>
      </c>
      <c r="V53" s="428">
        <f t="shared" si="109"/>
        <v>0</v>
      </c>
      <c r="W53" s="421">
        <f t="shared" si="109"/>
        <v>0</v>
      </c>
      <c r="X53" s="421">
        <v>0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 t="shared" si="10"/>
        <v>0</v>
      </c>
      <c r="AG53" s="421">
        <f t="shared" si="11"/>
        <v>0</v>
      </c>
      <c r="AH53" s="421">
        <f t="shared" si="12"/>
        <v>0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10"/>
        <v>0</v>
      </c>
      <c r="AP53" s="421">
        <f t="shared" si="111"/>
        <v>0</v>
      </c>
      <c r="AQ53" s="421">
        <f t="shared" si="13"/>
        <v>0</v>
      </c>
      <c r="AR53" s="421">
        <f t="shared" si="14"/>
        <v>0</v>
      </c>
      <c r="AS53" s="421">
        <f t="shared" si="15"/>
        <v>0</v>
      </c>
      <c r="AT53" s="421">
        <f t="shared" si="16"/>
        <v>0</v>
      </c>
      <c r="AU53" s="68">
        <f t="shared" si="112"/>
        <v>0</v>
      </c>
      <c r="AV53" s="68">
        <f t="shared" si="17"/>
        <v>0</v>
      </c>
      <c r="AW53" s="421">
        <v>0</v>
      </c>
      <c r="AX53" s="421">
        <v>0</v>
      </c>
      <c r="AY53" s="421">
        <f t="shared" si="18"/>
        <v>0</v>
      </c>
      <c r="AZ53" s="421">
        <f t="shared" si="19"/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 t="shared" si="113"/>
        <v>0</v>
      </c>
      <c r="BL53" s="422">
        <f t="shared" si="114"/>
        <v>0</v>
      </c>
      <c r="BM53" s="424">
        <f t="shared" si="115"/>
        <v>0</v>
      </c>
      <c r="BN53" s="427">
        <f t="shared" si="20"/>
        <v>704138</v>
      </c>
      <c r="BO53" s="421">
        <f t="shared" si="21"/>
        <v>520229</v>
      </c>
      <c r="BP53" s="421">
        <f t="shared" si="116"/>
        <v>0</v>
      </c>
      <c r="BQ53" s="421">
        <f t="shared" si="116"/>
        <v>520229</v>
      </c>
      <c r="BR53" s="421">
        <f t="shared" si="117"/>
        <v>0</v>
      </c>
      <c r="BS53" s="421">
        <f t="shared" si="118"/>
        <v>0</v>
      </c>
      <c r="BT53" s="421">
        <f t="shared" si="118"/>
        <v>0</v>
      </c>
      <c r="BU53" s="421">
        <f t="shared" si="119"/>
        <v>175837</v>
      </c>
      <c r="BV53" s="421">
        <f t="shared" si="119"/>
        <v>5202</v>
      </c>
      <c r="BW53" s="421">
        <f t="shared" si="120"/>
        <v>2870</v>
      </c>
      <c r="BX53" s="422">
        <f t="shared" si="121"/>
        <v>1.56</v>
      </c>
      <c r="BY53" s="422">
        <f t="shared" si="122"/>
        <v>0</v>
      </c>
      <c r="BZ53" s="611">
        <f t="shared" si="122"/>
        <v>1.56</v>
      </c>
      <c r="CA53" s="423"/>
      <c r="CB53" s="418"/>
      <c r="CC53" s="418"/>
      <c r="CD53" s="418"/>
      <c r="CE53" s="418"/>
      <c r="CF53" s="527"/>
    </row>
    <row r="54" spans="1:84" s="96" customFormat="1" ht="14.1" customHeight="1" x14ac:dyDescent="0.2">
      <c r="A54" s="118">
        <v>7</v>
      </c>
      <c r="B54" s="77">
        <v>2320</v>
      </c>
      <c r="C54" s="93">
        <v>650034180</v>
      </c>
      <c r="D54" s="77">
        <v>72755369</v>
      </c>
      <c r="E54" s="77" t="s">
        <v>719</v>
      </c>
      <c r="F54" s="94">
        <v>3143</v>
      </c>
      <c r="G54" s="77" t="s">
        <v>596</v>
      </c>
      <c r="H54" s="95" t="s">
        <v>271</v>
      </c>
      <c r="I54" s="669">
        <f t="shared" si="6"/>
        <v>891284</v>
      </c>
      <c r="J54" s="668">
        <f t="shared" si="7"/>
        <v>661190</v>
      </c>
      <c r="K54" s="668">
        <v>661190</v>
      </c>
      <c r="L54" s="668">
        <v>0</v>
      </c>
      <c r="M54" s="668">
        <f t="shared" si="8"/>
        <v>0</v>
      </c>
      <c r="N54" s="668">
        <v>0</v>
      </c>
      <c r="O54" s="668">
        <v>0</v>
      </c>
      <c r="P54" s="668">
        <f t="shared" si="26"/>
        <v>223482</v>
      </c>
      <c r="Q54" s="668">
        <f t="shared" si="2"/>
        <v>6612</v>
      </c>
      <c r="R54" s="668">
        <v>0</v>
      </c>
      <c r="S54" s="420">
        <f t="shared" si="3"/>
        <v>1.4582999999999999</v>
      </c>
      <c r="T54" s="420">
        <v>1.4582999999999999</v>
      </c>
      <c r="U54" s="946">
        <v>0</v>
      </c>
      <c r="V54" s="428">
        <f t="shared" si="109"/>
        <v>0</v>
      </c>
      <c r="W54" s="421">
        <f t="shared" si="109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 t="shared" si="10"/>
        <v>0</v>
      </c>
      <c r="AG54" s="421">
        <f t="shared" si="11"/>
        <v>0</v>
      </c>
      <c r="AH54" s="421">
        <f t="shared" si="12"/>
        <v>0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10"/>
        <v>0</v>
      </c>
      <c r="AP54" s="421">
        <f t="shared" si="111"/>
        <v>0</v>
      </c>
      <c r="AQ54" s="421">
        <f t="shared" si="13"/>
        <v>0</v>
      </c>
      <c r="AR54" s="421">
        <f t="shared" si="14"/>
        <v>0</v>
      </c>
      <c r="AS54" s="421">
        <f t="shared" si="15"/>
        <v>0</v>
      </c>
      <c r="AT54" s="421">
        <f t="shared" si="16"/>
        <v>0</v>
      </c>
      <c r="AU54" s="68">
        <f t="shared" si="112"/>
        <v>0</v>
      </c>
      <c r="AV54" s="68">
        <f t="shared" si="17"/>
        <v>0</v>
      </c>
      <c r="AW54" s="421">
        <v>0</v>
      </c>
      <c r="AX54" s="421">
        <v>0</v>
      </c>
      <c r="AY54" s="421">
        <f t="shared" si="18"/>
        <v>0</v>
      </c>
      <c r="AZ54" s="421">
        <f t="shared" si="19"/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 t="shared" si="113"/>
        <v>0</v>
      </c>
      <c r="BL54" s="422">
        <f t="shared" si="114"/>
        <v>0</v>
      </c>
      <c r="BM54" s="424">
        <f t="shared" si="115"/>
        <v>0</v>
      </c>
      <c r="BN54" s="427">
        <f t="shared" si="20"/>
        <v>891284</v>
      </c>
      <c r="BO54" s="421">
        <f t="shared" si="21"/>
        <v>661190</v>
      </c>
      <c r="BP54" s="421">
        <f t="shared" si="116"/>
        <v>661190</v>
      </c>
      <c r="BQ54" s="421">
        <f t="shared" si="116"/>
        <v>0</v>
      </c>
      <c r="BR54" s="421">
        <f t="shared" si="117"/>
        <v>0</v>
      </c>
      <c r="BS54" s="421">
        <f t="shared" si="118"/>
        <v>0</v>
      </c>
      <c r="BT54" s="421">
        <f t="shared" si="118"/>
        <v>0</v>
      </c>
      <c r="BU54" s="421">
        <f t="shared" si="119"/>
        <v>223482</v>
      </c>
      <c r="BV54" s="421">
        <f t="shared" si="119"/>
        <v>6612</v>
      </c>
      <c r="BW54" s="421">
        <f t="shared" si="120"/>
        <v>0</v>
      </c>
      <c r="BX54" s="422">
        <f t="shared" si="121"/>
        <v>1.4582999999999999</v>
      </c>
      <c r="BY54" s="422">
        <f t="shared" si="122"/>
        <v>1.4582999999999999</v>
      </c>
      <c r="BZ54" s="611">
        <f t="shared" si="122"/>
        <v>0</v>
      </c>
      <c r="CA54" s="423"/>
      <c r="CB54" s="418"/>
      <c r="CC54" s="418"/>
      <c r="CD54" s="418"/>
      <c r="CE54" s="418"/>
      <c r="CF54" s="527"/>
    </row>
    <row r="55" spans="1:84" s="96" customFormat="1" ht="14.1" customHeight="1" x14ac:dyDescent="0.2">
      <c r="A55" s="118">
        <v>7</v>
      </c>
      <c r="B55" s="77">
        <v>2320</v>
      </c>
      <c r="C55" s="93">
        <v>650034180</v>
      </c>
      <c r="D55" s="77">
        <v>72755369</v>
      </c>
      <c r="E55" s="77" t="s">
        <v>719</v>
      </c>
      <c r="F55" s="94">
        <v>3143</v>
      </c>
      <c r="G55" s="77" t="s">
        <v>597</v>
      </c>
      <c r="H55" s="95" t="s">
        <v>272</v>
      </c>
      <c r="I55" s="669">
        <f t="shared" si="6"/>
        <v>20506</v>
      </c>
      <c r="J55" s="668">
        <f t="shared" si="7"/>
        <v>14678</v>
      </c>
      <c r="K55" s="668">
        <v>0</v>
      </c>
      <c r="L55" s="674">
        <v>14678</v>
      </c>
      <c r="M55" s="668">
        <f t="shared" si="8"/>
        <v>0</v>
      </c>
      <c r="N55" s="675">
        <v>0</v>
      </c>
      <c r="O55" s="675">
        <v>0</v>
      </c>
      <c r="P55" s="668">
        <f t="shared" ref="P55" si="124">ROUND(J55*33.8%,0)</f>
        <v>4961</v>
      </c>
      <c r="Q55" s="668">
        <f t="shared" ref="Q55" si="125">ROUND(J55*1%,0)</f>
        <v>147</v>
      </c>
      <c r="R55" s="675">
        <v>720</v>
      </c>
      <c r="S55" s="420">
        <f t="shared" si="3"/>
        <v>5.5599999999999997E-2</v>
      </c>
      <c r="T55" s="679">
        <v>0</v>
      </c>
      <c r="U55" s="909">
        <v>5.5599999999999997E-2</v>
      </c>
      <c r="V55" s="428">
        <f t="shared" si="109"/>
        <v>0</v>
      </c>
      <c r="W55" s="421">
        <f t="shared" si="109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 t="shared" si="10"/>
        <v>0</v>
      </c>
      <c r="AG55" s="421">
        <f t="shared" si="11"/>
        <v>0</v>
      </c>
      <c r="AH55" s="421">
        <f t="shared" si="12"/>
        <v>0</v>
      </c>
      <c r="AI55" s="421">
        <v>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10"/>
        <v>0</v>
      </c>
      <c r="AP55" s="421">
        <f t="shared" si="111"/>
        <v>0</v>
      </c>
      <c r="AQ55" s="421">
        <f t="shared" si="13"/>
        <v>0</v>
      </c>
      <c r="AR55" s="421">
        <f t="shared" si="14"/>
        <v>0</v>
      </c>
      <c r="AS55" s="421">
        <f t="shared" si="15"/>
        <v>0</v>
      </c>
      <c r="AT55" s="421">
        <f t="shared" si="16"/>
        <v>0</v>
      </c>
      <c r="AU55" s="68">
        <f t="shared" si="112"/>
        <v>0</v>
      </c>
      <c r="AV55" s="68">
        <f t="shared" si="17"/>
        <v>0</v>
      </c>
      <c r="AW55" s="421">
        <v>0</v>
      </c>
      <c r="AX55" s="421">
        <v>0</v>
      </c>
      <c r="AY55" s="421">
        <f t="shared" si="18"/>
        <v>0</v>
      </c>
      <c r="AZ55" s="421">
        <f t="shared" si="19"/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 t="shared" si="113"/>
        <v>0</v>
      </c>
      <c r="BL55" s="422">
        <f t="shared" si="114"/>
        <v>0</v>
      </c>
      <c r="BM55" s="424">
        <f t="shared" si="115"/>
        <v>0</v>
      </c>
      <c r="BN55" s="427">
        <f t="shared" si="20"/>
        <v>20506</v>
      </c>
      <c r="BO55" s="421">
        <f t="shared" si="21"/>
        <v>14678</v>
      </c>
      <c r="BP55" s="421">
        <f t="shared" si="116"/>
        <v>0</v>
      </c>
      <c r="BQ55" s="421">
        <f t="shared" si="116"/>
        <v>14678</v>
      </c>
      <c r="BR55" s="421">
        <f t="shared" si="117"/>
        <v>0</v>
      </c>
      <c r="BS55" s="421">
        <f t="shared" si="118"/>
        <v>0</v>
      </c>
      <c r="BT55" s="421">
        <f t="shared" si="118"/>
        <v>0</v>
      </c>
      <c r="BU55" s="421">
        <f t="shared" si="119"/>
        <v>4961</v>
      </c>
      <c r="BV55" s="421">
        <f t="shared" si="119"/>
        <v>147</v>
      </c>
      <c r="BW55" s="421">
        <f t="shared" si="120"/>
        <v>720</v>
      </c>
      <c r="BX55" s="422">
        <f t="shared" si="121"/>
        <v>5.5599999999999997E-2</v>
      </c>
      <c r="BY55" s="422">
        <f t="shared" si="122"/>
        <v>0</v>
      </c>
      <c r="BZ55" s="611">
        <f t="shared" si="122"/>
        <v>5.5599999999999997E-2</v>
      </c>
      <c r="CA55" s="423"/>
      <c r="CB55" s="418"/>
      <c r="CC55" s="418"/>
      <c r="CD55" s="418"/>
      <c r="CE55" s="418"/>
      <c r="CF55" s="527"/>
    </row>
    <row r="56" spans="1:84" s="96" customFormat="1" ht="14.1" customHeight="1" x14ac:dyDescent="0.2">
      <c r="A56" s="119">
        <v>7</v>
      </c>
      <c r="B56" s="97">
        <v>2320</v>
      </c>
      <c r="C56" s="98">
        <v>650034180</v>
      </c>
      <c r="D56" s="97">
        <v>72755369</v>
      </c>
      <c r="E56" s="97" t="s">
        <v>720</v>
      </c>
      <c r="F56" s="106"/>
      <c r="G56" s="100"/>
      <c r="H56" s="101"/>
      <c r="I56" s="442">
        <f t="shared" ref="I56:U56" si="126">SUM(I50:I55)</f>
        <v>9097128</v>
      </c>
      <c r="J56" s="438">
        <f t="shared" si="126"/>
        <v>6697597</v>
      </c>
      <c r="K56" s="438">
        <f t="shared" si="126"/>
        <v>5611410</v>
      </c>
      <c r="L56" s="438">
        <f t="shared" si="126"/>
        <v>1086187</v>
      </c>
      <c r="M56" s="438">
        <f t="shared" si="126"/>
        <v>0</v>
      </c>
      <c r="N56" s="438">
        <f t="shared" si="126"/>
        <v>0</v>
      </c>
      <c r="O56" s="438">
        <f t="shared" si="126"/>
        <v>0</v>
      </c>
      <c r="P56" s="438">
        <f t="shared" si="126"/>
        <v>2263787</v>
      </c>
      <c r="Q56" s="438">
        <f t="shared" si="126"/>
        <v>66976</v>
      </c>
      <c r="R56" s="438">
        <f t="shared" si="126"/>
        <v>68768</v>
      </c>
      <c r="S56" s="439">
        <f t="shared" si="126"/>
        <v>12.871600000000001</v>
      </c>
      <c r="T56" s="439">
        <f t="shared" si="126"/>
        <v>9.5492000000000008</v>
      </c>
      <c r="U56" s="814">
        <f t="shared" si="126"/>
        <v>3.3224</v>
      </c>
      <c r="V56" s="442">
        <f t="shared" ref="V56:CF56" si="127">SUM(V50:V55)</f>
        <v>0</v>
      </c>
      <c r="W56" s="438">
        <f t="shared" si="127"/>
        <v>-19200</v>
      </c>
      <c r="X56" s="438">
        <f t="shared" si="127"/>
        <v>236905</v>
      </c>
      <c r="Y56" s="438">
        <f t="shared" si="127"/>
        <v>0</v>
      </c>
      <c r="Z56" s="438">
        <f t="shared" si="127"/>
        <v>0</v>
      </c>
      <c r="AA56" s="438">
        <f t="shared" si="127"/>
        <v>0</v>
      </c>
      <c r="AB56" s="438">
        <f t="shared" si="127"/>
        <v>0</v>
      </c>
      <c r="AC56" s="438">
        <f t="shared" si="127"/>
        <v>0</v>
      </c>
      <c r="AD56" s="438">
        <f t="shared" si="127"/>
        <v>0</v>
      </c>
      <c r="AE56" s="438">
        <f t="shared" si="127"/>
        <v>0</v>
      </c>
      <c r="AF56" s="438">
        <f t="shared" si="127"/>
        <v>236905</v>
      </c>
      <c r="AG56" s="438">
        <f t="shared" si="127"/>
        <v>-19200</v>
      </c>
      <c r="AH56" s="438">
        <f t="shared" si="127"/>
        <v>217705</v>
      </c>
      <c r="AI56" s="438">
        <f t="shared" si="127"/>
        <v>0</v>
      </c>
      <c r="AJ56" s="438">
        <f t="shared" si="127"/>
        <v>19200</v>
      </c>
      <c r="AK56" s="438">
        <f t="shared" si="127"/>
        <v>0</v>
      </c>
      <c r="AL56" s="438">
        <f t="shared" si="127"/>
        <v>0</v>
      </c>
      <c r="AM56" s="438">
        <f t="shared" si="127"/>
        <v>0</v>
      </c>
      <c r="AN56" s="438">
        <f t="shared" si="127"/>
        <v>0</v>
      </c>
      <c r="AO56" s="438">
        <f t="shared" si="127"/>
        <v>0</v>
      </c>
      <c r="AP56" s="438">
        <f t="shared" si="127"/>
        <v>19200</v>
      </c>
      <c r="AQ56" s="438">
        <f t="shared" si="127"/>
        <v>19200</v>
      </c>
      <c r="AR56" s="438">
        <f t="shared" si="127"/>
        <v>236905</v>
      </c>
      <c r="AS56" s="438">
        <f t="shared" si="127"/>
        <v>0</v>
      </c>
      <c r="AT56" s="438">
        <f t="shared" si="127"/>
        <v>236905</v>
      </c>
      <c r="AU56" s="438">
        <f t="shared" si="127"/>
        <v>80074</v>
      </c>
      <c r="AV56" s="438">
        <f t="shared" si="127"/>
        <v>2177</v>
      </c>
      <c r="AW56" s="438">
        <f t="shared" si="127"/>
        <v>0</v>
      </c>
      <c r="AX56" s="438">
        <f t="shared" si="127"/>
        <v>0</v>
      </c>
      <c r="AY56" s="438">
        <f t="shared" si="127"/>
        <v>0</v>
      </c>
      <c r="AZ56" s="438">
        <f t="shared" si="127"/>
        <v>319156</v>
      </c>
      <c r="BA56" s="439">
        <f t="shared" si="127"/>
        <v>0</v>
      </c>
      <c r="BB56" s="439">
        <f t="shared" si="127"/>
        <v>-0.06</v>
      </c>
      <c r="BC56" s="439">
        <f t="shared" si="127"/>
        <v>0.64</v>
      </c>
      <c r="BD56" s="439">
        <f t="shared" si="127"/>
        <v>0</v>
      </c>
      <c r="BE56" s="439">
        <f t="shared" si="127"/>
        <v>0</v>
      </c>
      <c r="BF56" s="439">
        <f t="shared" si="127"/>
        <v>0</v>
      </c>
      <c r="BG56" s="439">
        <f t="shared" si="127"/>
        <v>0</v>
      </c>
      <c r="BH56" s="439">
        <f t="shared" si="127"/>
        <v>0</v>
      </c>
      <c r="BI56" s="439">
        <f t="shared" si="127"/>
        <v>0</v>
      </c>
      <c r="BJ56" s="439">
        <f t="shared" si="127"/>
        <v>0</v>
      </c>
      <c r="BK56" s="439">
        <f t="shared" si="127"/>
        <v>0.64</v>
      </c>
      <c r="BL56" s="439">
        <f t="shared" si="127"/>
        <v>-0.06</v>
      </c>
      <c r="BM56" s="103">
        <f t="shared" si="127"/>
        <v>0.58000000000000007</v>
      </c>
      <c r="BN56" s="444">
        <f t="shared" si="127"/>
        <v>9416284</v>
      </c>
      <c r="BO56" s="438">
        <f t="shared" si="127"/>
        <v>6915302</v>
      </c>
      <c r="BP56" s="438">
        <f t="shared" si="127"/>
        <v>5848315</v>
      </c>
      <c r="BQ56" s="438">
        <f t="shared" si="127"/>
        <v>1066987</v>
      </c>
      <c r="BR56" s="438">
        <f t="shared" si="127"/>
        <v>19200</v>
      </c>
      <c r="BS56" s="438">
        <f t="shared" si="127"/>
        <v>0</v>
      </c>
      <c r="BT56" s="438">
        <f t="shared" si="127"/>
        <v>19200</v>
      </c>
      <c r="BU56" s="438">
        <f t="shared" si="127"/>
        <v>2343861</v>
      </c>
      <c r="BV56" s="438">
        <f t="shared" si="127"/>
        <v>69153</v>
      </c>
      <c r="BW56" s="438">
        <f t="shared" si="127"/>
        <v>68768</v>
      </c>
      <c r="BX56" s="439">
        <f t="shared" si="127"/>
        <v>13.451600000000001</v>
      </c>
      <c r="BY56" s="439">
        <f t="shared" si="127"/>
        <v>10.189200000000001</v>
      </c>
      <c r="BZ56" s="814">
        <f t="shared" si="127"/>
        <v>3.2624</v>
      </c>
      <c r="CA56" s="819">
        <f t="shared" si="127"/>
        <v>0</v>
      </c>
      <c r="CB56" s="817">
        <f t="shared" si="127"/>
        <v>0</v>
      </c>
      <c r="CC56" s="817">
        <f t="shared" si="127"/>
        <v>0</v>
      </c>
      <c r="CD56" s="817">
        <f t="shared" si="127"/>
        <v>0</v>
      </c>
      <c r="CE56" s="817">
        <f t="shared" si="127"/>
        <v>0</v>
      </c>
      <c r="CF56" s="802">
        <f t="shared" si="127"/>
        <v>0</v>
      </c>
    </row>
    <row r="57" spans="1:84" s="96" customFormat="1" ht="14.1" customHeight="1" x14ac:dyDescent="0.2">
      <c r="A57" s="118">
        <v>8</v>
      </c>
      <c r="B57" s="102">
        <v>2455</v>
      </c>
      <c r="C57" s="93">
        <v>600080145</v>
      </c>
      <c r="D57" s="77">
        <v>72741601</v>
      </c>
      <c r="E57" s="77" t="s">
        <v>721</v>
      </c>
      <c r="F57" s="94">
        <v>3111</v>
      </c>
      <c r="G57" s="77" t="s">
        <v>291</v>
      </c>
      <c r="H57" s="95" t="s">
        <v>271</v>
      </c>
      <c r="I57" s="669">
        <f t="shared" si="6"/>
        <v>1628096</v>
      </c>
      <c r="J57" s="668">
        <f t="shared" si="7"/>
        <v>1203429</v>
      </c>
      <c r="K57" s="668">
        <v>1136861</v>
      </c>
      <c r="L57" s="668">
        <v>66568</v>
      </c>
      <c r="M57" s="668">
        <f t="shared" si="8"/>
        <v>0</v>
      </c>
      <c r="N57" s="668">
        <v>0</v>
      </c>
      <c r="O57" s="668">
        <v>0</v>
      </c>
      <c r="P57" s="668">
        <f t="shared" si="26"/>
        <v>406759</v>
      </c>
      <c r="Q57" s="668">
        <f t="shared" si="2"/>
        <v>12034</v>
      </c>
      <c r="R57" s="668">
        <v>5874</v>
      </c>
      <c r="S57" s="420">
        <f t="shared" si="3"/>
        <v>2.2667000000000002</v>
      </c>
      <c r="T57" s="420">
        <v>2</v>
      </c>
      <c r="U57" s="946">
        <v>0.26669999999999999</v>
      </c>
      <c r="V57" s="428">
        <f t="shared" ref="V57:W62" si="128">AI57*-1</f>
        <v>0</v>
      </c>
      <c r="W57" s="421">
        <f t="shared" si="128"/>
        <v>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 t="shared" si="10"/>
        <v>0</v>
      </c>
      <c r="AG57" s="421">
        <f t="shared" si="11"/>
        <v>0</v>
      </c>
      <c r="AH57" s="421">
        <f t="shared" si="12"/>
        <v>0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ref="AO57:AO62" si="129">AI57+AK57+AL57+AM57</f>
        <v>0</v>
      </c>
      <c r="AP57" s="421">
        <f t="shared" ref="AP57:AP62" si="130">AJ57+AN57</f>
        <v>0</v>
      </c>
      <c r="AQ57" s="421">
        <f t="shared" si="13"/>
        <v>0</v>
      </c>
      <c r="AR57" s="421">
        <f t="shared" si="14"/>
        <v>0</v>
      </c>
      <c r="AS57" s="421">
        <f t="shared" si="15"/>
        <v>0</v>
      </c>
      <c r="AT57" s="421">
        <f t="shared" si="16"/>
        <v>0</v>
      </c>
      <c r="AU57" s="68">
        <f t="shared" ref="AU57:AU62" si="131">ROUND((AH57+AI57+AJ57+AK57+AL57)*33.8%,0)</f>
        <v>0</v>
      </c>
      <c r="AV57" s="68">
        <f t="shared" si="17"/>
        <v>0</v>
      </c>
      <c r="AW57" s="421">
        <v>0</v>
      </c>
      <c r="AX57" s="421">
        <v>0</v>
      </c>
      <c r="AY57" s="421">
        <f t="shared" si="18"/>
        <v>0</v>
      </c>
      <c r="AZ57" s="421">
        <f t="shared" si="19"/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 t="shared" ref="BK57:BK62" si="132">BA57+BC57+BD57+BF57+BH57+BI57</f>
        <v>0</v>
      </c>
      <c r="BL57" s="422">
        <f t="shared" ref="BL57:BL62" si="133">BB57+BE57+BG57+BJ57</f>
        <v>0</v>
      </c>
      <c r="BM57" s="424">
        <f t="shared" ref="BM57:BM62" si="134">SUM(BK57:BL57)</f>
        <v>0</v>
      </c>
      <c r="BN57" s="427">
        <f t="shared" si="20"/>
        <v>1628096</v>
      </c>
      <c r="BO57" s="421">
        <f t="shared" si="21"/>
        <v>1203429</v>
      </c>
      <c r="BP57" s="421">
        <f t="shared" ref="BP57:BQ62" si="135">K57+AF57</f>
        <v>1136861</v>
      </c>
      <c r="BQ57" s="421">
        <f t="shared" si="135"/>
        <v>66568</v>
      </c>
      <c r="BR57" s="421">
        <f t="shared" ref="BR57:BR62" si="136">M57+AQ57</f>
        <v>0</v>
      </c>
      <c r="BS57" s="421">
        <f t="shared" ref="BS57:BT62" si="137">N57+AO57</f>
        <v>0</v>
      </c>
      <c r="BT57" s="421">
        <f t="shared" si="137"/>
        <v>0</v>
      </c>
      <c r="BU57" s="421">
        <f t="shared" ref="BU57:BV62" si="138">P57+AU57</f>
        <v>406759</v>
      </c>
      <c r="BV57" s="421">
        <f t="shared" si="138"/>
        <v>12034</v>
      </c>
      <c r="BW57" s="421">
        <f t="shared" ref="BW57:BW62" si="139">R57+AY57</f>
        <v>5874</v>
      </c>
      <c r="BX57" s="422">
        <f t="shared" ref="BX57:BX62" si="140">S57+BM57</f>
        <v>2.2667000000000002</v>
      </c>
      <c r="BY57" s="422">
        <f t="shared" ref="BY57:BZ62" si="141">T57+BK57</f>
        <v>2</v>
      </c>
      <c r="BZ57" s="611">
        <f t="shared" si="141"/>
        <v>0.26669999999999999</v>
      </c>
      <c r="CA57" s="423"/>
      <c r="CB57" s="418"/>
      <c r="CC57" s="418"/>
      <c r="CD57" s="418"/>
      <c r="CE57" s="418"/>
      <c r="CF57" s="527"/>
    </row>
    <row r="58" spans="1:84" s="96" customFormat="1" ht="14.1" customHeight="1" x14ac:dyDescent="0.2">
      <c r="A58" s="118">
        <v>8</v>
      </c>
      <c r="B58" s="104">
        <v>2455</v>
      </c>
      <c r="C58" s="93">
        <v>600080145</v>
      </c>
      <c r="D58" s="77">
        <v>72741601</v>
      </c>
      <c r="E58" s="104" t="s">
        <v>721</v>
      </c>
      <c r="F58" s="105">
        <v>3117</v>
      </c>
      <c r="G58" s="104" t="s">
        <v>309</v>
      </c>
      <c r="H58" s="95" t="s">
        <v>271</v>
      </c>
      <c r="I58" s="669">
        <f t="shared" si="6"/>
        <v>3237987</v>
      </c>
      <c r="J58" s="668">
        <f t="shared" si="7"/>
        <v>2371371</v>
      </c>
      <c r="K58" s="668">
        <v>2093911</v>
      </c>
      <c r="L58" s="668">
        <v>277460</v>
      </c>
      <c r="M58" s="668">
        <f t="shared" si="8"/>
        <v>0</v>
      </c>
      <c r="N58" s="668">
        <v>0</v>
      </c>
      <c r="O58" s="668">
        <v>0</v>
      </c>
      <c r="P58" s="668">
        <f>ROUND(J58*33.8%,0)+1</f>
        <v>801524</v>
      </c>
      <c r="Q58" s="668">
        <f t="shared" si="2"/>
        <v>23714</v>
      </c>
      <c r="R58" s="668">
        <v>41378</v>
      </c>
      <c r="S58" s="420">
        <f t="shared" si="3"/>
        <v>4.0777999999999999</v>
      </c>
      <c r="T58" s="420">
        <v>3.3635999999999999</v>
      </c>
      <c r="U58" s="946">
        <v>0.71419999999999995</v>
      </c>
      <c r="V58" s="428">
        <f t="shared" si="128"/>
        <v>0</v>
      </c>
      <c r="W58" s="421">
        <f t="shared" si="128"/>
        <v>-12800</v>
      </c>
      <c r="X58" s="421">
        <v>0</v>
      </c>
      <c r="Y58" s="421">
        <v>0</v>
      </c>
      <c r="Z58" s="421">
        <v>0</v>
      </c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f t="shared" si="10"/>
        <v>0</v>
      </c>
      <c r="AG58" s="421">
        <f t="shared" si="11"/>
        <v>-12800</v>
      </c>
      <c r="AH58" s="421">
        <f t="shared" si="12"/>
        <v>-12800</v>
      </c>
      <c r="AI58" s="421">
        <v>0</v>
      </c>
      <c r="AJ58" s="421">
        <v>12800</v>
      </c>
      <c r="AK58" s="421">
        <v>0</v>
      </c>
      <c r="AL58" s="421">
        <v>0</v>
      </c>
      <c r="AM58" s="421">
        <v>0</v>
      </c>
      <c r="AN58" s="421">
        <v>0</v>
      </c>
      <c r="AO58" s="421">
        <f t="shared" si="129"/>
        <v>0</v>
      </c>
      <c r="AP58" s="421">
        <f t="shared" si="130"/>
        <v>12800</v>
      </c>
      <c r="AQ58" s="421">
        <f t="shared" si="13"/>
        <v>12800</v>
      </c>
      <c r="AR58" s="421">
        <f t="shared" si="14"/>
        <v>0</v>
      </c>
      <c r="AS58" s="421">
        <f t="shared" si="15"/>
        <v>0</v>
      </c>
      <c r="AT58" s="421">
        <f t="shared" si="16"/>
        <v>0</v>
      </c>
      <c r="AU58" s="68">
        <f t="shared" si="131"/>
        <v>0</v>
      </c>
      <c r="AV58" s="68">
        <f t="shared" si="17"/>
        <v>-128</v>
      </c>
      <c r="AW58" s="421">
        <v>0</v>
      </c>
      <c r="AX58" s="421">
        <v>0</v>
      </c>
      <c r="AY58" s="421">
        <f t="shared" si="18"/>
        <v>0</v>
      </c>
      <c r="AZ58" s="421">
        <f t="shared" si="19"/>
        <v>-128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0</v>
      </c>
      <c r="BK58" s="422">
        <f t="shared" si="132"/>
        <v>0</v>
      </c>
      <c r="BL58" s="422">
        <f t="shared" si="133"/>
        <v>0</v>
      </c>
      <c r="BM58" s="424">
        <f t="shared" si="134"/>
        <v>0</v>
      </c>
      <c r="BN58" s="427">
        <f t="shared" si="20"/>
        <v>3237859</v>
      </c>
      <c r="BO58" s="421">
        <f t="shared" si="21"/>
        <v>2358571</v>
      </c>
      <c r="BP58" s="421">
        <f t="shared" si="135"/>
        <v>2093911</v>
      </c>
      <c r="BQ58" s="421">
        <f t="shared" si="135"/>
        <v>264660</v>
      </c>
      <c r="BR58" s="421">
        <f t="shared" si="136"/>
        <v>12800</v>
      </c>
      <c r="BS58" s="421">
        <f t="shared" si="137"/>
        <v>0</v>
      </c>
      <c r="BT58" s="421">
        <f t="shared" si="137"/>
        <v>12800</v>
      </c>
      <c r="BU58" s="421">
        <f t="shared" si="138"/>
        <v>801524</v>
      </c>
      <c r="BV58" s="421">
        <f t="shared" si="138"/>
        <v>23586</v>
      </c>
      <c r="BW58" s="421">
        <f t="shared" si="139"/>
        <v>41378</v>
      </c>
      <c r="BX58" s="422">
        <f t="shared" si="140"/>
        <v>4.0777999999999999</v>
      </c>
      <c r="BY58" s="422">
        <f t="shared" si="141"/>
        <v>3.3635999999999999</v>
      </c>
      <c r="BZ58" s="611">
        <f t="shared" si="141"/>
        <v>0.71419999999999995</v>
      </c>
      <c r="CA58" s="423"/>
      <c r="CB58" s="418"/>
      <c r="CC58" s="418"/>
      <c r="CD58" s="418"/>
      <c r="CE58" s="418"/>
      <c r="CF58" s="527"/>
    </row>
    <row r="59" spans="1:84" s="96" customFormat="1" ht="14.1" customHeight="1" x14ac:dyDescent="0.2">
      <c r="A59" s="118">
        <v>8</v>
      </c>
      <c r="B59" s="102">
        <v>2455</v>
      </c>
      <c r="C59" s="93">
        <v>600080145</v>
      </c>
      <c r="D59" s="77">
        <v>72741601</v>
      </c>
      <c r="E59" s="102" t="s">
        <v>721</v>
      </c>
      <c r="F59" s="94">
        <v>3117</v>
      </c>
      <c r="G59" s="77" t="s">
        <v>292</v>
      </c>
      <c r="H59" s="95" t="s">
        <v>272</v>
      </c>
      <c r="I59" s="669">
        <f t="shared" si="6"/>
        <v>0</v>
      </c>
      <c r="J59" s="668">
        <f t="shared" si="7"/>
        <v>0</v>
      </c>
      <c r="K59" s="668">
        <v>0</v>
      </c>
      <c r="L59" s="668">
        <v>0</v>
      </c>
      <c r="M59" s="668">
        <f t="shared" si="8"/>
        <v>0</v>
      </c>
      <c r="N59" s="668">
        <v>0</v>
      </c>
      <c r="O59" s="668">
        <v>0</v>
      </c>
      <c r="P59" s="668">
        <f t="shared" si="26"/>
        <v>0</v>
      </c>
      <c r="Q59" s="668">
        <f t="shared" si="2"/>
        <v>0</v>
      </c>
      <c r="R59" s="668">
        <v>0</v>
      </c>
      <c r="S59" s="420">
        <f t="shared" si="3"/>
        <v>0</v>
      </c>
      <c r="T59" s="420">
        <v>0</v>
      </c>
      <c r="U59" s="946">
        <v>0</v>
      </c>
      <c r="V59" s="428">
        <f t="shared" si="128"/>
        <v>0</v>
      </c>
      <c r="W59" s="421">
        <f t="shared" si="128"/>
        <v>0</v>
      </c>
      <c r="X59" s="16">
        <v>210158</v>
      </c>
      <c r="Y59" s="16">
        <v>0</v>
      </c>
      <c r="Z59" s="16">
        <v>0</v>
      </c>
      <c r="AA59" s="16">
        <v>0</v>
      </c>
      <c r="AB59" s="421">
        <v>0</v>
      </c>
      <c r="AC59" s="16">
        <v>0</v>
      </c>
      <c r="AD59" s="16">
        <v>0</v>
      </c>
      <c r="AE59" s="16">
        <v>0</v>
      </c>
      <c r="AF59" s="421">
        <f t="shared" si="10"/>
        <v>210158</v>
      </c>
      <c r="AG59" s="421">
        <f t="shared" si="11"/>
        <v>0</v>
      </c>
      <c r="AH59" s="421">
        <f t="shared" si="12"/>
        <v>210158</v>
      </c>
      <c r="AI59" s="16">
        <v>0</v>
      </c>
      <c r="AJ59" s="16">
        <v>0</v>
      </c>
      <c r="AK59" s="421">
        <v>0</v>
      </c>
      <c r="AL59" s="16">
        <v>0</v>
      </c>
      <c r="AM59" s="16">
        <v>0</v>
      </c>
      <c r="AN59" s="16">
        <v>0</v>
      </c>
      <c r="AO59" s="421">
        <f t="shared" si="129"/>
        <v>0</v>
      </c>
      <c r="AP59" s="16">
        <v>0</v>
      </c>
      <c r="AQ59" s="421">
        <f t="shared" si="13"/>
        <v>0</v>
      </c>
      <c r="AR59" s="421">
        <f t="shared" si="14"/>
        <v>210158</v>
      </c>
      <c r="AS59" s="421">
        <f t="shared" si="15"/>
        <v>0</v>
      </c>
      <c r="AT59" s="421">
        <f t="shared" si="16"/>
        <v>210158</v>
      </c>
      <c r="AU59" s="68">
        <f t="shared" si="131"/>
        <v>71033</v>
      </c>
      <c r="AV59" s="68">
        <f t="shared" si="17"/>
        <v>2102</v>
      </c>
      <c r="AW59" s="16">
        <v>0</v>
      </c>
      <c r="AX59" s="16">
        <v>0</v>
      </c>
      <c r="AY59" s="421">
        <f t="shared" si="18"/>
        <v>0</v>
      </c>
      <c r="AZ59" s="421">
        <f t="shared" si="19"/>
        <v>283293</v>
      </c>
      <c r="BA59" s="13">
        <v>0</v>
      </c>
      <c r="BB59" s="13">
        <v>0</v>
      </c>
      <c r="BC59" s="13">
        <v>0.55000000000000004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 t="shared" si="132"/>
        <v>0.55000000000000004</v>
      </c>
      <c r="BL59" s="422">
        <f t="shared" si="133"/>
        <v>0</v>
      </c>
      <c r="BM59" s="424">
        <f t="shared" si="134"/>
        <v>0.55000000000000004</v>
      </c>
      <c r="BN59" s="427">
        <f t="shared" si="20"/>
        <v>283293</v>
      </c>
      <c r="BO59" s="421">
        <f t="shared" si="21"/>
        <v>210158</v>
      </c>
      <c r="BP59" s="421">
        <f t="shared" si="135"/>
        <v>210158</v>
      </c>
      <c r="BQ59" s="421">
        <f t="shared" si="135"/>
        <v>0</v>
      </c>
      <c r="BR59" s="421">
        <f t="shared" si="136"/>
        <v>0</v>
      </c>
      <c r="BS59" s="421">
        <f t="shared" si="137"/>
        <v>0</v>
      </c>
      <c r="BT59" s="421">
        <f t="shared" si="137"/>
        <v>0</v>
      </c>
      <c r="BU59" s="421">
        <f t="shared" si="138"/>
        <v>71033</v>
      </c>
      <c r="BV59" s="421">
        <f t="shared" si="138"/>
        <v>2102</v>
      </c>
      <c r="BW59" s="421">
        <f t="shared" si="139"/>
        <v>0</v>
      </c>
      <c r="BX59" s="422">
        <f t="shared" si="140"/>
        <v>0.55000000000000004</v>
      </c>
      <c r="BY59" s="422">
        <f t="shared" si="141"/>
        <v>0.55000000000000004</v>
      </c>
      <c r="BZ59" s="611">
        <f t="shared" si="141"/>
        <v>0</v>
      </c>
      <c r="CA59" s="423"/>
      <c r="CB59" s="418"/>
      <c r="CC59" s="418"/>
      <c r="CD59" s="418"/>
      <c r="CE59" s="418"/>
      <c r="CF59" s="527"/>
    </row>
    <row r="60" spans="1:84" s="96" customFormat="1" ht="14.1" customHeight="1" x14ac:dyDescent="0.2">
      <c r="A60" s="118">
        <v>8</v>
      </c>
      <c r="B60" s="77">
        <v>2455</v>
      </c>
      <c r="C60" s="93">
        <v>600080145</v>
      </c>
      <c r="D60" s="77">
        <v>72741601</v>
      </c>
      <c r="E60" s="77" t="s">
        <v>721</v>
      </c>
      <c r="F60" s="94">
        <v>3141</v>
      </c>
      <c r="G60" s="77" t="s">
        <v>295</v>
      </c>
      <c r="H60" s="95" t="s">
        <v>272</v>
      </c>
      <c r="I60" s="669">
        <f t="shared" si="6"/>
        <v>526428</v>
      </c>
      <c r="J60" s="668">
        <f t="shared" si="7"/>
        <v>389071</v>
      </c>
      <c r="K60" s="668">
        <v>0</v>
      </c>
      <c r="L60" s="674">
        <v>389071</v>
      </c>
      <c r="M60" s="668">
        <f t="shared" si="8"/>
        <v>0</v>
      </c>
      <c r="N60" s="668">
        <v>0</v>
      </c>
      <c r="O60" s="668">
        <v>0</v>
      </c>
      <c r="P60" s="668">
        <f t="shared" si="26"/>
        <v>131506</v>
      </c>
      <c r="Q60" s="668">
        <f t="shared" ref="Q60" si="142">ROUND(J60*1%,0)</f>
        <v>3891</v>
      </c>
      <c r="R60" s="668">
        <v>1960</v>
      </c>
      <c r="S60" s="420">
        <f t="shared" si="3"/>
        <v>1.1667000000000001</v>
      </c>
      <c r="T60" s="420">
        <v>0</v>
      </c>
      <c r="U60" s="946">
        <v>1.1667000000000001</v>
      </c>
      <c r="V60" s="428">
        <f t="shared" si="128"/>
        <v>0</v>
      </c>
      <c r="W60" s="421">
        <f t="shared" si="128"/>
        <v>0</v>
      </c>
      <c r="X60" s="421">
        <v>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10"/>
        <v>0</v>
      </c>
      <c r="AG60" s="421">
        <f t="shared" si="11"/>
        <v>0</v>
      </c>
      <c r="AH60" s="421">
        <f t="shared" si="12"/>
        <v>0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29"/>
        <v>0</v>
      </c>
      <c r="AP60" s="421">
        <f t="shared" si="130"/>
        <v>0</v>
      </c>
      <c r="AQ60" s="421">
        <f t="shared" si="13"/>
        <v>0</v>
      </c>
      <c r="AR60" s="421">
        <f t="shared" si="14"/>
        <v>0</v>
      </c>
      <c r="AS60" s="421">
        <f t="shared" si="15"/>
        <v>0</v>
      </c>
      <c r="AT60" s="421">
        <f t="shared" si="16"/>
        <v>0</v>
      </c>
      <c r="AU60" s="68">
        <f t="shared" si="131"/>
        <v>0</v>
      </c>
      <c r="AV60" s="68">
        <f t="shared" si="17"/>
        <v>0</v>
      </c>
      <c r="AW60" s="421">
        <v>0</v>
      </c>
      <c r="AX60" s="421">
        <v>0</v>
      </c>
      <c r="AY60" s="421">
        <f t="shared" si="18"/>
        <v>0</v>
      </c>
      <c r="AZ60" s="421">
        <f t="shared" si="19"/>
        <v>0</v>
      </c>
      <c r="BA60" s="422">
        <v>0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 t="shared" si="132"/>
        <v>0</v>
      </c>
      <c r="BL60" s="422">
        <f t="shared" si="133"/>
        <v>0</v>
      </c>
      <c r="BM60" s="424">
        <f t="shared" si="134"/>
        <v>0</v>
      </c>
      <c r="BN60" s="427">
        <f t="shared" si="20"/>
        <v>526428</v>
      </c>
      <c r="BO60" s="421">
        <f t="shared" si="21"/>
        <v>389071</v>
      </c>
      <c r="BP60" s="421">
        <f t="shared" si="135"/>
        <v>0</v>
      </c>
      <c r="BQ60" s="421">
        <f t="shared" si="135"/>
        <v>389071</v>
      </c>
      <c r="BR60" s="421">
        <f t="shared" si="136"/>
        <v>0</v>
      </c>
      <c r="BS60" s="421">
        <f t="shared" si="137"/>
        <v>0</v>
      </c>
      <c r="BT60" s="421">
        <f t="shared" si="137"/>
        <v>0</v>
      </c>
      <c r="BU60" s="421">
        <f t="shared" si="138"/>
        <v>131506</v>
      </c>
      <c r="BV60" s="421">
        <f t="shared" si="138"/>
        <v>3891</v>
      </c>
      <c r="BW60" s="421">
        <f t="shared" si="139"/>
        <v>1960</v>
      </c>
      <c r="BX60" s="422">
        <f t="shared" si="140"/>
        <v>1.1667000000000001</v>
      </c>
      <c r="BY60" s="422">
        <f t="shared" si="141"/>
        <v>0</v>
      </c>
      <c r="BZ60" s="611">
        <f t="shared" si="141"/>
        <v>1.1667000000000001</v>
      </c>
      <c r="CA60" s="423"/>
      <c r="CB60" s="418"/>
      <c r="CC60" s="418"/>
      <c r="CD60" s="418"/>
      <c r="CE60" s="418"/>
      <c r="CF60" s="527"/>
    </row>
    <row r="61" spans="1:84" s="96" customFormat="1" ht="14.1" customHeight="1" x14ac:dyDescent="0.2">
      <c r="A61" s="118">
        <v>8</v>
      </c>
      <c r="B61" s="77">
        <v>2455</v>
      </c>
      <c r="C61" s="93">
        <v>600080145</v>
      </c>
      <c r="D61" s="77">
        <v>72741601</v>
      </c>
      <c r="E61" s="77" t="s">
        <v>721</v>
      </c>
      <c r="F61" s="94">
        <v>3143</v>
      </c>
      <c r="G61" s="77" t="s">
        <v>596</v>
      </c>
      <c r="H61" s="95" t="s">
        <v>271</v>
      </c>
      <c r="I61" s="669">
        <f t="shared" si="6"/>
        <v>977130</v>
      </c>
      <c r="J61" s="668">
        <f t="shared" si="7"/>
        <v>724874</v>
      </c>
      <c r="K61" s="668">
        <v>724874</v>
      </c>
      <c r="L61" s="668">
        <v>0</v>
      </c>
      <c r="M61" s="668">
        <f t="shared" si="8"/>
        <v>0</v>
      </c>
      <c r="N61" s="668">
        <v>0</v>
      </c>
      <c r="O61" s="668">
        <v>0</v>
      </c>
      <c r="P61" s="668">
        <f t="shared" si="26"/>
        <v>245007</v>
      </c>
      <c r="Q61" s="668">
        <f t="shared" si="2"/>
        <v>7249</v>
      </c>
      <c r="R61" s="668">
        <v>0</v>
      </c>
      <c r="S61" s="420">
        <f t="shared" si="3"/>
        <v>1.5712999999999999</v>
      </c>
      <c r="T61" s="420">
        <v>1.5712999999999999</v>
      </c>
      <c r="U61" s="946">
        <v>0</v>
      </c>
      <c r="V61" s="428">
        <f t="shared" si="128"/>
        <v>0</v>
      </c>
      <c r="W61" s="421">
        <f t="shared" si="128"/>
        <v>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si="10"/>
        <v>0</v>
      </c>
      <c r="AG61" s="421">
        <f t="shared" si="11"/>
        <v>0</v>
      </c>
      <c r="AH61" s="421">
        <f t="shared" si="12"/>
        <v>0</v>
      </c>
      <c r="AI61" s="421">
        <v>0</v>
      </c>
      <c r="AJ61" s="421">
        <v>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29"/>
        <v>0</v>
      </c>
      <c r="AP61" s="421">
        <f t="shared" si="130"/>
        <v>0</v>
      </c>
      <c r="AQ61" s="421">
        <f t="shared" si="13"/>
        <v>0</v>
      </c>
      <c r="AR61" s="421">
        <f t="shared" si="14"/>
        <v>0</v>
      </c>
      <c r="AS61" s="421">
        <f t="shared" si="15"/>
        <v>0</v>
      </c>
      <c r="AT61" s="421">
        <f t="shared" si="16"/>
        <v>0</v>
      </c>
      <c r="AU61" s="68">
        <f t="shared" si="131"/>
        <v>0</v>
      </c>
      <c r="AV61" s="68">
        <f t="shared" si="17"/>
        <v>0</v>
      </c>
      <c r="AW61" s="421">
        <v>0</v>
      </c>
      <c r="AX61" s="421">
        <v>0</v>
      </c>
      <c r="AY61" s="421">
        <f t="shared" si="18"/>
        <v>0</v>
      </c>
      <c r="AZ61" s="421">
        <f t="shared" si="19"/>
        <v>0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 t="shared" si="132"/>
        <v>0</v>
      </c>
      <c r="BL61" s="422">
        <f t="shared" si="133"/>
        <v>0</v>
      </c>
      <c r="BM61" s="424">
        <f t="shared" si="134"/>
        <v>0</v>
      </c>
      <c r="BN61" s="427">
        <f t="shared" si="20"/>
        <v>977130</v>
      </c>
      <c r="BO61" s="421">
        <f t="shared" si="21"/>
        <v>724874</v>
      </c>
      <c r="BP61" s="421">
        <f t="shared" si="135"/>
        <v>724874</v>
      </c>
      <c r="BQ61" s="421">
        <f t="shared" si="135"/>
        <v>0</v>
      </c>
      <c r="BR61" s="421">
        <f t="shared" si="136"/>
        <v>0</v>
      </c>
      <c r="BS61" s="421">
        <f t="shared" si="137"/>
        <v>0</v>
      </c>
      <c r="BT61" s="421">
        <f t="shared" si="137"/>
        <v>0</v>
      </c>
      <c r="BU61" s="421">
        <f t="shared" si="138"/>
        <v>245007</v>
      </c>
      <c r="BV61" s="421">
        <f t="shared" si="138"/>
        <v>7249</v>
      </c>
      <c r="BW61" s="421">
        <f t="shared" si="139"/>
        <v>0</v>
      </c>
      <c r="BX61" s="422">
        <f t="shared" si="140"/>
        <v>1.5712999999999999</v>
      </c>
      <c r="BY61" s="422">
        <f t="shared" si="141"/>
        <v>1.5712999999999999</v>
      </c>
      <c r="BZ61" s="611">
        <f t="shared" si="141"/>
        <v>0</v>
      </c>
      <c r="CA61" s="423"/>
      <c r="CB61" s="418"/>
      <c r="CC61" s="418"/>
      <c r="CD61" s="418"/>
      <c r="CE61" s="418"/>
      <c r="CF61" s="527"/>
    </row>
    <row r="62" spans="1:84" s="96" customFormat="1" ht="14.1" customHeight="1" x14ac:dyDescent="0.2">
      <c r="A62" s="118">
        <v>8</v>
      </c>
      <c r="B62" s="77">
        <v>2455</v>
      </c>
      <c r="C62" s="93">
        <v>600080145</v>
      </c>
      <c r="D62" s="77">
        <v>72741601</v>
      </c>
      <c r="E62" s="77" t="s">
        <v>721</v>
      </c>
      <c r="F62" s="94">
        <v>3143</v>
      </c>
      <c r="G62" s="77" t="s">
        <v>597</v>
      </c>
      <c r="H62" s="95" t="s">
        <v>272</v>
      </c>
      <c r="I62" s="669">
        <f t="shared" si="6"/>
        <v>15896</v>
      </c>
      <c r="J62" s="668">
        <f t="shared" si="7"/>
        <v>11378</v>
      </c>
      <c r="K62" s="668">
        <v>0</v>
      </c>
      <c r="L62" s="674">
        <v>11378</v>
      </c>
      <c r="M62" s="668">
        <f t="shared" si="8"/>
        <v>0</v>
      </c>
      <c r="N62" s="675">
        <v>0</v>
      </c>
      <c r="O62" s="675">
        <v>0</v>
      </c>
      <c r="P62" s="668">
        <f t="shared" ref="P62" si="143">ROUND(J62*33.8%,0)</f>
        <v>3846</v>
      </c>
      <c r="Q62" s="668">
        <f t="shared" ref="Q62" si="144">ROUND(J62*1%,0)</f>
        <v>114</v>
      </c>
      <c r="R62" s="675">
        <v>558</v>
      </c>
      <c r="S62" s="420">
        <f t="shared" si="3"/>
        <v>4.3099999999999999E-2</v>
      </c>
      <c r="T62" s="679">
        <v>0</v>
      </c>
      <c r="U62" s="909">
        <v>4.3099999999999999E-2</v>
      </c>
      <c r="V62" s="428">
        <f t="shared" si="128"/>
        <v>0</v>
      </c>
      <c r="W62" s="421">
        <f t="shared" si="128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10"/>
        <v>0</v>
      </c>
      <c r="AG62" s="421">
        <f t="shared" si="11"/>
        <v>0</v>
      </c>
      <c r="AH62" s="421">
        <f t="shared" si="12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29"/>
        <v>0</v>
      </c>
      <c r="AP62" s="421">
        <f t="shared" si="130"/>
        <v>0</v>
      </c>
      <c r="AQ62" s="421">
        <f t="shared" si="13"/>
        <v>0</v>
      </c>
      <c r="AR62" s="421">
        <f t="shared" si="14"/>
        <v>0</v>
      </c>
      <c r="AS62" s="421">
        <f t="shared" si="15"/>
        <v>0</v>
      </c>
      <c r="AT62" s="421">
        <f t="shared" si="16"/>
        <v>0</v>
      </c>
      <c r="AU62" s="68">
        <f t="shared" si="131"/>
        <v>0</v>
      </c>
      <c r="AV62" s="68">
        <f t="shared" si="17"/>
        <v>0</v>
      </c>
      <c r="AW62" s="421">
        <v>0</v>
      </c>
      <c r="AX62" s="421">
        <v>0</v>
      </c>
      <c r="AY62" s="421">
        <f t="shared" si="18"/>
        <v>0</v>
      </c>
      <c r="AZ62" s="421">
        <f t="shared" si="19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 t="shared" si="132"/>
        <v>0</v>
      </c>
      <c r="BL62" s="422">
        <f t="shared" si="133"/>
        <v>0</v>
      </c>
      <c r="BM62" s="424">
        <f t="shared" si="134"/>
        <v>0</v>
      </c>
      <c r="BN62" s="427">
        <f t="shared" si="20"/>
        <v>15896</v>
      </c>
      <c r="BO62" s="421">
        <f t="shared" si="21"/>
        <v>11378</v>
      </c>
      <c r="BP62" s="421">
        <f t="shared" si="135"/>
        <v>0</v>
      </c>
      <c r="BQ62" s="421">
        <f t="shared" si="135"/>
        <v>11378</v>
      </c>
      <c r="BR62" s="421">
        <f t="shared" si="136"/>
        <v>0</v>
      </c>
      <c r="BS62" s="421">
        <f t="shared" si="137"/>
        <v>0</v>
      </c>
      <c r="BT62" s="421">
        <f t="shared" si="137"/>
        <v>0</v>
      </c>
      <c r="BU62" s="421">
        <f t="shared" si="138"/>
        <v>3846</v>
      </c>
      <c r="BV62" s="421">
        <f t="shared" si="138"/>
        <v>114</v>
      </c>
      <c r="BW62" s="421">
        <f t="shared" si="139"/>
        <v>558</v>
      </c>
      <c r="BX62" s="422">
        <f t="shared" si="140"/>
        <v>4.3099999999999999E-2</v>
      </c>
      <c r="BY62" s="422">
        <f t="shared" si="141"/>
        <v>0</v>
      </c>
      <c r="BZ62" s="611">
        <f t="shared" si="141"/>
        <v>4.3099999999999999E-2</v>
      </c>
      <c r="CA62" s="423"/>
      <c r="CB62" s="418"/>
      <c r="CC62" s="418"/>
      <c r="CD62" s="418"/>
      <c r="CE62" s="418"/>
      <c r="CF62" s="527"/>
    </row>
    <row r="63" spans="1:84" s="96" customFormat="1" ht="14.1" customHeight="1" x14ac:dyDescent="0.2">
      <c r="A63" s="119">
        <v>8</v>
      </c>
      <c r="B63" s="97">
        <v>2455</v>
      </c>
      <c r="C63" s="98">
        <v>600080145</v>
      </c>
      <c r="D63" s="97">
        <v>72741601</v>
      </c>
      <c r="E63" s="97" t="s">
        <v>722</v>
      </c>
      <c r="F63" s="106"/>
      <c r="G63" s="100"/>
      <c r="H63" s="101"/>
      <c r="I63" s="442">
        <f t="shared" ref="I63:U63" si="145">SUM(I57:I62)</f>
        <v>6385537</v>
      </c>
      <c r="J63" s="438">
        <f t="shared" si="145"/>
        <v>4700123</v>
      </c>
      <c r="K63" s="438">
        <f t="shared" si="145"/>
        <v>3955646</v>
      </c>
      <c r="L63" s="438">
        <f t="shared" si="145"/>
        <v>744477</v>
      </c>
      <c r="M63" s="438">
        <f t="shared" si="145"/>
        <v>0</v>
      </c>
      <c r="N63" s="438">
        <f t="shared" si="145"/>
        <v>0</v>
      </c>
      <c r="O63" s="438">
        <f t="shared" si="145"/>
        <v>0</v>
      </c>
      <c r="P63" s="438">
        <f t="shared" si="145"/>
        <v>1588642</v>
      </c>
      <c r="Q63" s="438">
        <f t="shared" si="145"/>
        <v>47002</v>
      </c>
      <c r="R63" s="438">
        <f t="shared" si="145"/>
        <v>49770</v>
      </c>
      <c r="S63" s="439">
        <f t="shared" si="145"/>
        <v>9.1256000000000004</v>
      </c>
      <c r="T63" s="439">
        <f t="shared" si="145"/>
        <v>6.9348999999999998</v>
      </c>
      <c r="U63" s="814">
        <f t="shared" si="145"/>
        <v>2.1906999999999996</v>
      </c>
      <c r="V63" s="442">
        <f t="shared" ref="V63:CF63" si="146">SUM(V57:V62)</f>
        <v>0</v>
      </c>
      <c r="W63" s="438">
        <f t="shared" si="146"/>
        <v>-12800</v>
      </c>
      <c r="X63" s="438">
        <f t="shared" si="146"/>
        <v>210158</v>
      </c>
      <c r="Y63" s="438">
        <f t="shared" si="146"/>
        <v>0</v>
      </c>
      <c r="Z63" s="438">
        <f t="shared" si="146"/>
        <v>0</v>
      </c>
      <c r="AA63" s="438">
        <f t="shared" si="146"/>
        <v>0</v>
      </c>
      <c r="AB63" s="438">
        <f t="shared" si="146"/>
        <v>0</v>
      </c>
      <c r="AC63" s="438">
        <f t="shared" si="146"/>
        <v>0</v>
      </c>
      <c r="AD63" s="438">
        <f t="shared" si="146"/>
        <v>0</v>
      </c>
      <c r="AE63" s="438">
        <f t="shared" si="146"/>
        <v>0</v>
      </c>
      <c r="AF63" s="438">
        <f t="shared" si="146"/>
        <v>210158</v>
      </c>
      <c r="AG63" s="438">
        <f t="shared" si="146"/>
        <v>-12800</v>
      </c>
      <c r="AH63" s="438">
        <f t="shared" si="146"/>
        <v>197358</v>
      </c>
      <c r="AI63" s="438">
        <f t="shared" si="146"/>
        <v>0</v>
      </c>
      <c r="AJ63" s="438">
        <f t="shared" si="146"/>
        <v>12800</v>
      </c>
      <c r="AK63" s="438">
        <f t="shared" si="146"/>
        <v>0</v>
      </c>
      <c r="AL63" s="438">
        <f t="shared" si="146"/>
        <v>0</v>
      </c>
      <c r="AM63" s="438">
        <f t="shared" si="146"/>
        <v>0</v>
      </c>
      <c r="AN63" s="438">
        <f t="shared" si="146"/>
        <v>0</v>
      </c>
      <c r="AO63" s="438">
        <f t="shared" si="146"/>
        <v>0</v>
      </c>
      <c r="AP63" s="438">
        <f t="shared" si="146"/>
        <v>12800</v>
      </c>
      <c r="AQ63" s="438">
        <f t="shared" si="146"/>
        <v>12800</v>
      </c>
      <c r="AR63" s="438">
        <f t="shared" si="146"/>
        <v>210158</v>
      </c>
      <c r="AS63" s="438">
        <f t="shared" si="146"/>
        <v>0</v>
      </c>
      <c r="AT63" s="438">
        <f t="shared" si="146"/>
        <v>210158</v>
      </c>
      <c r="AU63" s="438">
        <f t="shared" si="146"/>
        <v>71033</v>
      </c>
      <c r="AV63" s="438">
        <f t="shared" si="146"/>
        <v>1974</v>
      </c>
      <c r="AW63" s="438">
        <f t="shared" si="146"/>
        <v>0</v>
      </c>
      <c r="AX63" s="438">
        <f t="shared" si="146"/>
        <v>0</v>
      </c>
      <c r="AY63" s="438">
        <f t="shared" si="146"/>
        <v>0</v>
      </c>
      <c r="AZ63" s="438">
        <f t="shared" si="146"/>
        <v>283165</v>
      </c>
      <c r="BA63" s="439">
        <f t="shared" si="146"/>
        <v>0</v>
      </c>
      <c r="BB63" s="439">
        <f t="shared" si="146"/>
        <v>0</v>
      </c>
      <c r="BC63" s="439">
        <f t="shared" si="146"/>
        <v>0.55000000000000004</v>
      </c>
      <c r="BD63" s="439">
        <f t="shared" si="146"/>
        <v>0</v>
      </c>
      <c r="BE63" s="439">
        <f t="shared" si="146"/>
        <v>0</v>
      </c>
      <c r="BF63" s="439">
        <f t="shared" si="146"/>
        <v>0</v>
      </c>
      <c r="BG63" s="439">
        <f t="shared" si="146"/>
        <v>0</v>
      </c>
      <c r="BH63" s="439">
        <f t="shared" si="146"/>
        <v>0</v>
      </c>
      <c r="BI63" s="439">
        <f t="shared" si="146"/>
        <v>0</v>
      </c>
      <c r="BJ63" s="439">
        <f t="shared" si="146"/>
        <v>0</v>
      </c>
      <c r="BK63" s="439">
        <f t="shared" si="146"/>
        <v>0.55000000000000004</v>
      </c>
      <c r="BL63" s="439">
        <f t="shared" si="146"/>
        <v>0</v>
      </c>
      <c r="BM63" s="103">
        <f t="shared" si="146"/>
        <v>0.55000000000000004</v>
      </c>
      <c r="BN63" s="444">
        <f t="shared" si="146"/>
        <v>6668702</v>
      </c>
      <c r="BO63" s="438">
        <f t="shared" si="146"/>
        <v>4897481</v>
      </c>
      <c r="BP63" s="438">
        <f t="shared" si="146"/>
        <v>4165804</v>
      </c>
      <c r="BQ63" s="438">
        <f t="shared" si="146"/>
        <v>731677</v>
      </c>
      <c r="BR63" s="438">
        <f t="shared" si="146"/>
        <v>12800</v>
      </c>
      <c r="BS63" s="438">
        <f t="shared" si="146"/>
        <v>0</v>
      </c>
      <c r="BT63" s="438">
        <f t="shared" si="146"/>
        <v>12800</v>
      </c>
      <c r="BU63" s="438">
        <f t="shared" si="146"/>
        <v>1659675</v>
      </c>
      <c r="BV63" s="438">
        <f t="shared" si="146"/>
        <v>48976</v>
      </c>
      <c r="BW63" s="438">
        <f t="shared" si="146"/>
        <v>49770</v>
      </c>
      <c r="BX63" s="439">
        <f t="shared" si="146"/>
        <v>9.6756000000000011</v>
      </c>
      <c r="BY63" s="439">
        <f t="shared" si="146"/>
        <v>7.4848999999999997</v>
      </c>
      <c r="BZ63" s="814">
        <f t="shared" si="146"/>
        <v>2.1906999999999996</v>
      </c>
      <c r="CA63" s="819">
        <f t="shared" si="146"/>
        <v>0</v>
      </c>
      <c r="CB63" s="817">
        <f t="shared" si="146"/>
        <v>0</v>
      </c>
      <c r="CC63" s="817">
        <f t="shared" si="146"/>
        <v>0</v>
      </c>
      <c r="CD63" s="817">
        <f t="shared" si="146"/>
        <v>0</v>
      </c>
      <c r="CE63" s="817">
        <f t="shared" si="146"/>
        <v>0</v>
      </c>
      <c r="CF63" s="802">
        <f t="shared" si="146"/>
        <v>0</v>
      </c>
    </row>
    <row r="64" spans="1:84" s="96" customFormat="1" ht="14.1" customHeight="1" x14ac:dyDescent="0.2">
      <c r="A64" s="118">
        <v>9</v>
      </c>
      <c r="B64" s="102">
        <v>2456</v>
      </c>
      <c r="C64" s="93">
        <v>600079732</v>
      </c>
      <c r="D64" s="77">
        <v>70695911</v>
      </c>
      <c r="E64" s="77" t="s">
        <v>723</v>
      </c>
      <c r="F64" s="94">
        <v>3111</v>
      </c>
      <c r="G64" s="77" t="s">
        <v>291</v>
      </c>
      <c r="H64" s="95" t="s">
        <v>271</v>
      </c>
      <c r="I64" s="669">
        <f t="shared" si="6"/>
        <v>9442672</v>
      </c>
      <c r="J64" s="668">
        <f t="shared" si="7"/>
        <v>6984152</v>
      </c>
      <c r="K64" s="668">
        <v>6624728</v>
      </c>
      <c r="L64" s="668">
        <v>359424</v>
      </c>
      <c r="M64" s="668">
        <f t="shared" si="8"/>
        <v>0</v>
      </c>
      <c r="N64" s="668">
        <v>0</v>
      </c>
      <c r="O64" s="668">
        <v>0</v>
      </c>
      <c r="P64" s="668">
        <f t="shared" si="26"/>
        <v>2360643</v>
      </c>
      <c r="Q64" s="668">
        <f t="shared" si="2"/>
        <v>69842</v>
      </c>
      <c r="R64" s="668">
        <v>28035</v>
      </c>
      <c r="S64" s="420">
        <f t="shared" si="3"/>
        <v>13.44</v>
      </c>
      <c r="T64" s="420">
        <v>12</v>
      </c>
      <c r="U64" s="946">
        <v>1.44</v>
      </c>
      <c r="V64" s="428">
        <f t="shared" ref="V64:W69" si="147">AI64*-1</f>
        <v>-6400</v>
      </c>
      <c r="W64" s="421">
        <f t="shared" si="147"/>
        <v>-6400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 t="shared" si="10"/>
        <v>-6400</v>
      </c>
      <c r="AG64" s="421">
        <f t="shared" si="11"/>
        <v>-6400</v>
      </c>
      <c r="AH64" s="421">
        <f t="shared" si="12"/>
        <v>-12800</v>
      </c>
      <c r="AI64" s="421">
        <v>6400</v>
      </c>
      <c r="AJ64" s="421">
        <v>6400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ref="AO64:AO69" si="148">AI64+AK64+AL64+AM64</f>
        <v>6400</v>
      </c>
      <c r="AP64" s="421">
        <f t="shared" ref="AP64:AP69" si="149">AJ64+AN64</f>
        <v>6400</v>
      </c>
      <c r="AQ64" s="421">
        <f t="shared" si="13"/>
        <v>12800</v>
      </c>
      <c r="AR64" s="421">
        <f t="shared" si="14"/>
        <v>0</v>
      </c>
      <c r="AS64" s="421">
        <f t="shared" si="15"/>
        <v>0</v>
      </c>
      <c r="AT64" s="421">
        <f t="shared" si="16"/>
        <v>0</v>
      </c>
      <c r="AU64" s="68">
        <f t="shared" ref="AU64:AU69" si="150">ROUND((AH64+AI64+AJ64+AK64+AL64)*33.8%,0)</f>
        <v>0</v>
      </c>
      <c r="AV64" s="68">
        <f t="shared" si="17"/>
        <v>-128</v>
      </c>
      <c r="AW64" s="421">
        <v>0</v>
      </c>
      <c r="AX64" s="421">
        <v>0</v>
      </c>
      <c r="AY64" s="421">
        <f t="shared" si="18"/>
        <v>0</v>
      </c>
      <c r="AZ64" s="421">
        <f t="shared" si="19"/>
        <v>-128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 t="shared" ref="BK64:BK69" si="151">BA64+BC64+BD64+BF64+BH64+BI64</f>
        <v>0</v>
      </c>
      <c r="BL64" s="422">
        <f t="shared" ref="BL64:BL69" si="152">BB64+BE64+BG64+BJ64</f>
        <v>0</v>
      </c>
      <c r="BM64" s="424">
        <f t="shared" ref="BM64:BM69" si="153">SUM(BK64:BL64)</f>
        <v>0</v>
      </c>
      <c r="BN64" s="427">
        <f t="shared" si="20"/>
        <v>9442544</v>
      </c>
      <c r="BO64" s="421">
        <f t="shared" si="21"/>
        <v>6971352</v>
      </c>
      <c r="BP64" s="421">
        <f t="shared" ref="BP64:BQ69" si="154">K64+AF64</f>
        <v>6618328</v>
      </c>
      <c r="BQ64" s="421">
        <f t="shared" si="154"/>
        <v>353024</v>
      </c>
      <c r="BR64" s="421">
        <f t="shared" ref="BR64:BR69" si="155">M64+AQ64</f>
        <v>12800</v>
      </c>
      <c r="BS64" s="421">
        <f t="shared" ref="BS64:BT69" si="156">N64+AO64</f>
        <v>6400</v>
      </c>
      <c r="BT64" s="421">
        <f t="shared" si="156"/>
        <v>6400</v>
      </c>
      <c r="BU64" s="421">
        <f t="shared" ref="BU64:BV69" si="157">P64+AU64</f>
        <v>2360643</v>
      </c>
      <c r="BV64" s="421">
        <f t="shared" si="157"/>
        <v>69714</v>
      </c>
      <c r="BW64" s="421">
        <f t="shared" ref="BW64:BW69" si="158">R64+AY64</f>
        <v>28035</v>
      </c>
      <c r="BX64" s="422">
        <f t="shared" ref="BX64:BX69" si="159">S64+BM64</f>
        <v>13.44</v>
      </c>
      <c r="BY64" s="422">
        <f t="shared" ref="BY64:BZ69" si="160">T64+BK64</f>
        <v>12</v>
      </c>
      <c r="BZ64" s="611">
        <f t="shared" si="160"/>
        <v>1.44</v>
      </c>
      <c r="CA64" s="423"/>
      <c r="CB64" s="418"/>
      <c r="CC64" s="418"/>
      <c r="CD64" s="418"/>
      <c r="CE64" s="418"/>
      <c r="CF64" s="527"/>
    </row>
    <row r="65" spans="1:84" s="96" customFormat="1" ht="14.1" customHeight="1" x14ac:dyDescent="0.2">
      <c r="A65" s="118">
        <v>9</v>
      </c>
      <c r="B65" s="77">
        <v>2456</v>
      </c>
      <c r="C65" s="93">
        <v>600079732</v>
      </c>
      <c r="D65" s="77">
        <v>70695911</v>
      </c>
      <c r="E65" s="77" t="s">
        <v>723</v>
      </c>
      <c r="F65" s="94">
        <v>3113</v>
      </c>
      <c r="G65" s="77" t="s">
        <v>294</v>
      </c>
      <c r="H65" s="95" t="s">
        <v>271</v>
      </c>
      <c r="I65" s="669">
        <f t="shared" si="6"/>
        <v>25821620</v>
      </c>
      <c r="J65" s="668">
        <f t="shared" si="7"/>
        <v>18890136</v>
      </c>
      <c r="K65" s="668">
        <v>17253610</v>
      </c>
      <c r="L65" s="668">
        <v>1636526</v>
      </c>
      <c r="M65" s="668">
        <f t="shared" si="8"/>
        <v>0</v>
      </c>
      <c r="N65" s="668">
        <v>0</v>
      </c>
      <c r="O65" s="668">
        <v>0</v>
      </c>
      <c r="P65" s="668">
        <f>ROUND(J65*33.8%,0)+1</f>
        <v>6384867</v>
      </c>
      <c r="Q65" s="668">
        <f t="shared" si="2"/>
        <v>188901</v>
      </c>
      <c r="R65" s="668">
        <v>357716</v>
      </c>
      <c r="S65" s="420">
        <f t="shared" si="3"/>
        <v>28.7194</v>
      </c>
      <c r="T65" s="420">
        <v>23.82</v>
      </c>
      <c r="U65" s="946">
        <v>4.8994</v>
      </c>
      <c r="V65" s="428">
        <f t="shared" si="147"/>
        <v>-38400</v>
      </c>
      <c r="W65" s="421">
        <f t="shared" si="147"/>
        <v>-25600</v>
      </c>
      <c r="X65" s="421">
        <v>0</v>
      </c>
      <c r="Y65" s="421">
        <v>0</v>
      </c>
      <c r="Z65" s="421">
        <v>0</v>
      </c>
      <c r="AA65" s="421">
        <v>0</v>
      </c>
      <c r="AB65" s="421">
        <v>451200</v>
      </c>
      <c r="AC65" s="421">
        <v>0</v>
      </c>
      <c r="AD65" s="421">
        <v>0</v>
      </c>
      <c r="AE65" s="421">
        <v>0</v>
      </c>
      <c r="AF65" s="421">
        <f t="shared" si="10"/>
        <v>412800</v>
      </c>
      <c r="AG65" s="421">
        <f t="shared" si="11"/>
        <v>-25600</v>
      </c>
      <c r="AH65" s="421">
        <f t="shared" si="12"/>
        <v>387200</v>
      </c>
      <c r="AI65" s="421">
        <v>38400</v>
      </c>
      <c r="AJ65" s="421">
        <v>25600</v>
      </c>
      <c r="AK65" s="421">
        <v>0</v>
      </c>
      <c r="AL65" s="421">
        <v>0</v>
      </c>
      <c r="AM65" s="421">
        <v>0</v>
      </c>
      <c r="AN65" s="421">
        <v>0</v>
      </c>
      <c r="AO65" s="421">
        <f t="shared" si="148"/>
        <v>38400</v>
      </c>
      <c r="AP65" s="421">
        <f t="shared" si="149"/>
        <v>25600</v>
      </c>
      <c r="AQ65" s="421">
        <f t="shared" si="13"/>
        <v>64000</v>
      </c>
      <c r="AR65" s="421">
        <f t="shared" si="14"/>
        <v>451200</v>
      </c>
      <c r="AS65" s="421">
        <f t="shared" si="15"/>
        <v>0</v>
      </c>
      <c r="AT65" s="421">
        <f t="shared" si="16"/>
        <v>451200</v>
      </c>
      <c r="AU65" s="68">
        <f t="shared" si="150"/>
        <v>152506</v>
      </c>
      <c r="AV65" s="68">
        <f t="shared" si="17"/>
        <v>3872</v>
      </c>
      <c r="AW65" s="421">
        <v>0</v>
      </c>
      <c r="AX65" s="421">
        <v>0</v>
      </c>
      <c r="AY65" s="421">
        <f t="shared" si="18"/>
        <v>0</v>
      </c>
      <c r="AZ65" s="421">
        <f t="shared" si="19"/>
        <v>607578</v>
      </c>
      <c r="BA65" s="422">
        <v>0</v>
      </c>
      <c r="BB65" s="422">
        <v>-0.04</v>
      </c>
      <c r="BC65" s="422">
        <v>0</v>
      </c>
      <c r="BD65" s="422">
        <v>0.8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 t="shared" si="151"/>
        <v>0.8</v>
      </c>
      <c r="BL65" s="422">
        <f t="shared" si="152"/>
        <v>-0.04</v>
      </c>
      <c r="BM65" s="424">
        <f t="shared" si="153"/>
        <v>0.76</v>
      </c>
      <c r="BN65" s="427">
        <f t="shared" si="20"/>
        <v>26429198</v>
      </c>
      <c r="BO65" s="421">
        <f t="shared" si="21"/>
        <v>19277336</v>
      </c>
      <c r="BP65" s="421">
        <f t="shared" si="154"/>
        <v>17666410</v>
      </c>
      <c r="BQ65" s="421">
        <f t="shared" si="154"/>
        <v>1610926</v>
      </c>
      <c r="BR65" s="421">
        <f t="shared" si="155"/>
        <v>64000</v>
      </c>
      <c r="BS65" s="421">
        <f t="shared" si="156"/>
        <v>38400</v>
      </c>
      <c r="BT65" s="421">
        <f t="shared" si="156"/>
        <v>25600</v>
      </c>
      <c r="BU65" s="421">
        <f t="shared" si="157"/>
        <v>6537373</v>
      </c>
      <c r="BV65" s="421">
        <f t="shared" si="157"/>
        <v>192773</v>
      </c>
      <c r="BW65" s="421">
        <f t="shared" si="158"/>
        <v>357716</v>
      </c>
      <c r="BX65" s="422">
        <f t="shared" si="159"/>
        <v>29.479400000000002</v>
      </c>
      <c r="BY65" s="422">
        <f t="shared" si="160"/>
        <v>24.62</v>
      </c>
      <c r="BZ65" s="611">
        <f t="shared" si="160"/>
        <v>4.8593999999999999</v>
      </c>
      <c r="CA65" s="423">
        <v>608218</v>
      </c>
      <c r="CB65" s="418">
        <v>451200</v>
      </c>
      <c r="CC65" s="418">
        <v>0</v>
      </c>
      <c r="CD65" s="418">
        <v>152506</v>
      </c>
      <c r="CE65" s="418">
        <v>4512</v>
      </c>
      <c r="CF65" s="527">
        <v>0.8</v>
      </c>
    </row>
    <row r="66" spans="1:84" s="96" customFormat="1" ht="14.1" customHeight="1" x14ac:dyDescent="0.2">
      <c r="A66" s="118">
        <v>9</v>
      </c>
      <c r="B66" s="102">
        <v>2456</v>
      </c>
      <c r="C66" s="93">
        <v>600079732</v>
      </c>
      <c r="D66" s="77">
        <v>70695911</v>
      </c>
      <c r="E66" s="102" t="s">
        <v>723</v>
      </c>
      <c r="F66" s="94">
        <v>3113</v>
      </c>
      <c r="G66" s="77" t="s">
        <v>292</v>
      </c>
      <c r="H66" s="95" t="s">
        <v>272</v>
      </c>
      <c r="I66" s="669">
        <f t="shared" si="6"/>
        <v>0</v>
      </c>
      <c r="J66" s="668">
        <f t="shared" si="7"/>
        <v>0</v>
      </c>
      <c r="K66" s="668">
        <v>0</v>
      </c>
      <c r="L66" s="668">
        <v>0</v>
      </c>
      <c r="M66" s="668">
        <f t="shared" si="8"/>
        <v>0</v>
      </c>
      <c r="N66" s="668">
        <v>0</v>
      </c>
      <c r="O66" s="668">
        <v>0</v>
      </c>
      <c r="P66" s="668">
        <f t="shared" si="26"/>
        <v>0</v>
      </c>
      <c r="Q66" s="668">
        <f t="shared" si="2"/>
        <v>0</v>
      </c>
      <c r="R66" s="668">
        <v>0</v>
      </c>
      <c r="S66" s="420">
        <f t="shared" si="3"/>
        <v>0</v>
      </c>
      <c r="T66" s="420">
        <v>0</v>
      </c>
      <c r="U66" s="946">
        <v>0</v>
      </c>
      <c r="V66" s="428">
        <f t="shared" si="147"/>
        <v>0</v>
      </c>
      <c r="W66" s="421">
        <f t="shared" si="147"/>
        <v>0</v>
      </c>
      <c r="X66" s="16">
        <f>3334918+97881</f>
        <v>3432799</v>
      </c>
      <c r="Y66" s="16">
        <v>0</v>
      </c>
      <c r="Z66" s="16">
        <v>0</v>
      </c>
      <c r="AA66" s="16">
        <v>0</v>
      </c>
      <c r="AB66" s="421">
        <v>0</v>
      </c>
      <c r="AC66" s="16">
        <v>0</v>
      </c>
      <c r="AD66" s="16">
        <v>0</v>
      </c>
      <c r="AE66" s="16">
        <v>0</v>
      </c>
      <c r="AF66" s="421">
        <f t="shared" si="10"/>
        <v>3432799</v>
      </c>
      <c r="AG66" s="421">
        <f t="shared" si="11"/>
        <v>0</v>
      </c>
      <c r="AH66" s="421">
        <f t="shared" si="12"/>
        <v>3432799</v>
      </c>
      <c r="AI66" s="16">
        <v>0</v>
      </c>
      <c r="AJ66" s="16">
        <v>0</v>
      </c>
      <c r="AK66" s="421">
        <v>0</v>
      </c>
      <c r="AL66" s="16">
        <v>0</v>
      </c>
      <c r="AM66" s="16">
        <v>0</v>
      </c>
      <c r="AN66" s="16">
        <v>0</v>
      </c>
      <c r="AO66" s="421">
        <f t="shared" si="148"/>
        <v>0</v>
      </c>
      <c r="AP66" s="16">
        <v>0</v>
      </c>
      <c r="AQ66" s="421">
        <f t="shared" si="13"/>
        <v>0</v>
      </c>
      <c r="AR66" s="421">
        <f t="shared" si="14"/>
        <v>3432799</v>
      </c>
      <c r="AS66" s="421">
        <f t="shared" si="15"/>
        <v>0</v>
      </c>
      <c r="AT66" s="421">
        <f t="shared" si="16"/>
        <v>3432799</v>
      </c>
      <c r="AU66" s="68">
        <f t="shared" si="150"/>
        <v>1160286</v>
      </c>
      <c r="AV66" s="68">
        <f t="shared" si="17"/>
        <v>34328</v>
      </c>
      <c r="AW66" s="16">
        <v>0</v>
      </c>
      <c r="AX66" s="16">
        <v>0</v>
      </c>
      <c r="AY66" s="421">
        <f t="shared" si="18"/>
        <v>0</v>
      </c>
      <c r="AZ66" s="421">
        <f t="shared" si="19"/>
        <v>4627413</v>
      </c>
      <c r="BA66" s="13">
        <v>0</v>
      </c>
      <c r="BB66" s="13">
        <v>0</v>
      </c>
      <c r="BC66" s="13">
        <f>9.27+0.25</f>
        <v>9.52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 t="shared" si="151"/>
        <v>9.52</v>
      </c>
      <c r="BL66" s="422">
        <f t="shared" si="152"/>
        <v>0</v>
      </c>
      <c r="BM66" s="424">
        <f t="shared" si="153"/>
        <v>9.52</v>
      </c>
      <c r="BN66" s="427">
        <f t="shared" si="20"/>
        <v>4627413</v>
      </c>
      <c r="BO66" s="421">
        <f t="shared" si="21"/>
        <v>3432799</v>
      </c>
      <c r="BP66" s="421">
        <f t="shared" si="154"/>
        <v>3432799</v>
      </c>
      <c r="BQ66" s="421">
        <f t="shared" si="154"/>
        <v>0</v>
      </c>
      <c r="BR66" s="421">
        <f t="shared" si="155"/>
        <v>0</v>
      </c>
      <c r="BS66" s="421">
        <f t="shared" si="156"/>
        <v>0</v>
      </c>
      <c r="BT66" s="421">
        <f t="shared" si="156"/>
        <v>0</v>
      </c>
      <c r="BU66" s="421">
        <f t="shared" si="157"/>
        <v>1160286</v>
      </c>
      <c r="BV66" s="421">
        <f t="shared" si="157"/>
        <v>34328</v>
      </c>
      <c r="BW66" s="421">
        <f t="shared" si="158"/>
        <v>0</v>
      </c>
      <c r="BX66" s="422">
        <f t="shared" si="159"/>
        <v>9.52</v>
      </c>
      <c r="BY66" s="422">
        <f t="shared" si="160"/>
        <v>9.52</v>
      </c>
      <c r="BZ66" s="611">
        <f t="shared" si="160"/>
        <v>0</v>
      </c>
      <c r="CA66" s="423"/>
      <c r="CB66" s="418"/>
      <c r="CC66" s="418"/>
      <c r="CD66" s="418"/>
      <c r="CE66" s="418"/>
      <c r="CF66" s="527"/>
    </row>
    <row r="67" spans="1:84" s="96" customFormat="1" ht="14.1" customHeight="1" x14ac:dyDescent="0.2">
      <c r="A67" s="118">
        <v>9</v>
      </c>
      <c r="B67" s="77">
        <v>2456</v>
      </c>
      <c r="C67" s="93">
        <v>600079732</v>
      </c>
      <c r="D67" s="77">
        <v>70695911</v>
      </c>
      <c r="E67" s="77" t="s">
        <v>723</v>
      </c>
      <c r="F67" s="94">
        <v>3141</v>
      </c>
      <c r="G67" s="77" t="s">
        <v>295</v>
      </c>
      <c r="H67" s="95" t="s">
        <v>272</v>
      </c>
      <c r="I67" s="669">
        <f t="shared" si="6"/>
        <v>2418592</v>
      </c>
      <c r="J67" s="668">
        <f t="shared" si="7"/>
        <v>1783017</v>
      </c>
      <c r="K67" s="668">
        <v>0</v>
      </c>
      <c r="L67" s="674">
        <v>1783017</v>
      </c>
      <c r="M67" s="668">
        <f t="shared" si="8"/>
        <v>0</v>
      </c>
      <c r="N67" s="668">
        <v>0</v>
      </c>
      <c r="O67" s="668">
        <v>0</v>
      </c>
      <c r="P67" s="668">
        <f t="shared" si="26"/>
        <v>602660</v>
      </c>
      <c r="Q67" s="668">
        <f t="shared" ref="Q67" si="161">ROUND(J67*1%,0)</f>
        <v>17830</v>
      </c>
      <c r="R67" s="668">
        <v>15085</v>
      </c>
      <c r="S67" s="420">
        <f t="shared" si="3"/>
        <v>5.3467000000000002</v>
      </c>
      <c r="T67" s="420">
        <v>0</v>
      </c>
      <c r="U67" s="946">
        <v>5.3467000000000002</v>
      </c>
      <c r="V67" s="428">
        <f t="shared" si="147"/>
        <v>0</v>
      </c>
      <c r="W67" s="421">
        <f t="shared" si="147"/>
        <v>-6400</v>
      </c>
      <c r="X67" s="421">
        <v>0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 t="shared" si="10"/>
        <v>0</v>
      </c>
      <c r="AG67" s="421">
        <f t="shared" si="11"/>
        <v>-6400</v>
      </c>
      <c r="AH67" s="421">
        <f t="shared" si="12"/>
        <v>-6400</v>
      </c>
      <c r="AI67" s="421">
        <v>0</v>
      </c>
      <c r="AJ67" s="421">
        <v>6400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148"/>
        <v>0</v>
      </c>
      <c r="AP67" s="421">
        <f t="shared" si="149"/>
        <v>6400</v>
      </c>
      <c r="AQ67" s="421">
        <f t="shared" si="13"/>
        <v>6400</v>
      </c>
      <c r="AR67" s="421">
        <f t="shared" si="14"/>
        <v>0</v>
      </c>
      <c r="AS67" s="421">
        <f t="shared" si="15"/>
        <v>0</v>
      </c>
      <c r="AT67" s="421">
        <f t="shared" si="16"/>
        <v>0</v>
      </c>
      <c r="AU67" s="68">
        <f t="shared" si="150"/>
        <v>0</v>
      </c>
      <c r="AV67" s="68">
        <f t="shared" si="17"/>
        <v>-64</v>
      </c>
      <c r="AW67" s="421">
        <v>0</v>
      </c>
      <c r="AX67" s="421">
        <v>0</v>
      </c>
      <c r="AY67" s="421">
        <f t="shared" si="18"/>
        <v>0</v>
      </c>
      <c r="AZ67" s="421">
        <f t="shared" si="19"/>
        <v>-64</v>
      </c>
      <c r="BA67" s="422">
        <v>0</v>
      </c>
      <c r="BB67" s="422">
        <v>0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 t="shared" si="151"/>
        <v>0</v>
      </c>
      <c r="BL67" s="422">
        <f t="shared" si="152"/>
        <v>0</v>
      </c>
      <c r="BM67" s="424">
        <f t="shared" si="153"/>
        <v>0</v>
      </c>
      <c r="BN67" s="427">
        <f t="shared" si="20"/>
        <v>2418528</v>
      </c>
      <c r="BO67" s="421">
        <f t="shared" si="21"/>
        <v>1776617</v>
      </c>
      <c r="BP67" s="421">
        <f t="shared" si="154"/>
        <v>0</v>
      </c>
      <c r="BQ67" s="421">
        <f t="shared" si="154"/>
        <v>1776617</v>
      </c>
      <c r="BR67" s="421">
        <f t="shared" si="155"/>
        <v>6400</v>
      </c>
      <c r="BS67" s="421">
        <f t="shared" si="156"/>
        <v>0</v>
      </c>
      <c r="BT67" s="421">
        <f t="shared" si="156"/>
        <v>6400</v>
      </c>
      <c r="BU67" s="421">
        <f t="shared" si="157"/>
        <v>602660</v>
      </c>
      <c r="BV67" s="421">
        <f t="shared" si="157"/>
        <v>17766</v>
      </c>
      <c r="BW67" s="421">
        <f t="shared" si="158"/>
        <v>15085</v>
      </c>
      <c r="BX67" s="422">
        <f t="shared" si="159"/>
        <v>5.3467000000000002</v>
      </c>
      <c r="BY67" s="422">
        <f t="shared" si="160"/>
        <v>0</v>
      </c>
      <c r="BZ67" s="611">
        <f t="shared" si="160"/>
        <v>5.3467000000000002</v>
      </c>
      <c r="CA67" s="423"/>
      <c r="CB67" s="418"/>
      <c r="CC67" s="418"/>
      <c r="CD67" s="418"/>
      <c r="CE67" s="418"/>
      <c r="CF67" s="527"/>
    </row>
    <row r="68" spans="1:84" s="96" customFormat="1" ht="14.1" customHeight="1" x14ac:dyDescent="0.2">
      <c r="A68" s="118">
        <v>9</v>
      </c>
      <c r="B68" s="77">
        <v>2456</v>
      </c>
      <c r="C68" s="93">
        <v>600079732</v>
      </c>
      <c r="D68" s="77">
        <v>70695911</v>
      </c>
      <c r="E68" s="77" t="s">
        <v>723</v>
      </c>
      <c r="F68" s="94">
        <v>3143</v>
      </c>
      <c r="G68" s="77" t="s">
        <v>596</v>
      </c>
      <c r="H68" s="95" t="s">
        <v>271</v>
      </c>
      <c r="I68" s="669">
        <f t="shared" si="6"/>
        <v>2393188</v>
      </c>
      <c r="J68" s="668">
        <f t="shared" si="7"/>
        <v>1775362</v>
      </c>
      <c r="K68" s="668">
        <v>1775362</v>
      </c>
      <c r="L68" s="668">
        <v>0</v>
      </c>
      <c r="M68" s="668">
        <f t="shared" si="8"/>
        <v>0</v>
      </c>
      <c r="N68" s="668">
        <v>0</v>
      </c>
      <c r="O68" s="668">
        <v>0</v>
      </c>
      <c r="P68" s="668">
        <f t="shared" si="26"/>
        <v>600072</v>
      </c>
      <c r="Q68" s="668">
        <f t="shared" si="2"/>
        <v>17754</v>
      </c>
      <c r="R68" s="668">
        <v>0</v>
      </c>
      <c r="S68" s="420">
        <f t="shared" si="3"/>
        <v>3.4100999999999999</v>
      </c>
      <c r="T68" s="420">
        <v>3.4100999999999999</v>
      </c>
      <c r="U68" s="946">
        <v>0</v>
      </c>
      <c r="V68" s="428">
        <f t="shared" si="147"/>
        <v>-19200</v>
      </c>
      <c r="W68" s="421">
        <f t="shared" si="147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si="10"/>
        <v>-19200</v>
      </c>
      <c r="AG68" s="421">
        <f t="shared" si="11"/>
        <v>0</v>
      </c>
      <c r="AH68" s="421">
        <f t="shared" si="12"/>
        <v>-19200</v>
      </c>
      <c r="AI68" s="421">
        <v>19200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48"/>
        <v>19200</v>
      </c>
      <c r="AP68" s="421">
        <f t="shared" si="149"/>
        <v>0</v>
      </c>
      <c r="AQ68" s="421">
        <f t="shared" si="13"/>
        <v>19200</v>
      </c>
      <c r="AR68" s="421">
        <f t="shared" si="14"/>
        <v>0</v>
      </c>
      <c r="AS68" s="421">
        <f t="shared" si="15"/>
        <v>0</v>
      </c>
      <c r="AT68" s="421">
        <f t="shared" si="16"/>
        <v>0</v>
      </c>
      <c r="AU68" s="68">
        <f t="shared" si="150"/>
        <v>0</v>
      </c>
      <c r="AV68" s="68">
        <f t="shared" si="17"/>
        <v>-192</v>
      </c>
      <c r="AW68" s="421">
        <v>0</v>
      </c>
      <c r="AX68" s="421">
        <v>0</v>
      </c>
      <c r="AY68" s="421">
        <f t="shared" si="18"/>
        <v>0</v>
      </c>
      <c r="AZ68" s="421">
        <f t="shared" si="19"/>
        <v>-192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 t="shared" si="151"/>
        <v>0</v>
      </c>
      <c r="BL68" s="422">
        <f t="shared" si="152"/>
        <v>0</v>
      </c>
      <c r="BM68" s="424">
        <f t="shared" si="153"/>
        <v>0</v>
      </c>
      <c r="BN68" s="427">
        <f t="shared" si="20"/>
        <v>2392996</v>
      </c>
      <c r="BO68" s="421">
        <f t="shared" si="21"/>
        <v>1756162</v>
      </c>
      <c r="BP68" s="421">
        <f t="shared" si="154"/>
        <v>1756162</v>
      </c>
      <c r="BQ68" s="421">
        <f t="shared" si="154"/>
        <v>0</v>
      </c>
      <c r="BR68" s="421">
        <f t="shared" si="155"/>
        <v>19200</v>
      </c>
      <c r="BS68" s="421">
        <f t="shared" si="156"/>
        <v>19200</v>
      </c>
      <c r="BT68" s="421">
        <f t="shared" si="156"/>
        <v>0</v>
      </c>
      <c r="BU68" s="421">
        <f t="shared" si="157"/>
        <v>600072</v>
      </c>
      <c r="BV68" s="421">
        <f t="shared" si="157"/>
        <v>17562</v>
      </c>
      <c r="BW68" s="421">
        <f t="shared" si="158"/>
        <v>0</v>
      </c>
      <c r="BX68" s="422">
        <f t="shared" si="159"/>
        <v>3.4100999999999999</v>
      </c>
      <c r="BY68" s="422">
        <f t="shared" si="160"/>
        <v>3.4100999999999999</v>
      </c>
      <c r="BZ68" s="611">
        <f t="shared" si="160"/>
        <v>0</v>
      </c>
      <c r="CA68" s="423"/>
      <c r="CB68" s="418"/>
      <c r="CC68" s="418"/>
      <c r="CD68" s="418"/>
      <c r="CE68" s="418"/>
      <c r="CF68" s="527"/>
    </row>
    <row r="69" spans="1:84" s="96" customFormat="1" ht="14.1" customHeight="1" x14ac:dyDescent="0.2">
      <c r="A69" s="118">
        <v>9</v>
      </c>
      <c r="B69" s="77">
        <v>2456</v>
      </c>
      <c r="C69" s="93">
        <v>600079732</v>
      </c>
      <c r="D69" s="77">
        <v>70695911</v>
      </c>
      <c r="E69" s="77" t="s">
        <v>723</v>
      </c>
      <c r="F69" s="94">
        <v>3143</v>
      </c>
      <c r="G69" s="77" t="s">
        <v>597</v>
      </c>
      <c r="H69" s="95" t="s">
        <v>272</v>
      </c>
      <c r="I69" s="669">
        <f t="shared" si="6"/>
        <v>50714</v>
      </c>
      <c r="J69" s="668">
        <f t="shared" si="7"/>
        <v>36300</v>
      </c>
      <c r="K69" s="668">
        <v>0</v>
      </c>
      <c r="L69" s="674">
        <v>36300</v>
      </c>
      <c r="M69" s="668">
        <f t="shared" si="8"/>
        <v>0</v>
      </c>
      <c r="N69" s="675">
        <v>0</v>
      </c>
      <c r="O69" s="675">
        <v>0</v>
      </c>
      <c r="P69" s="668">
        <f t="shared" ref="P69" si="162">ROUND(J69*33.8%,0)</f>
        <v>12269</v>
      </c>
      <c r="Q69" s="668">
        <f t="shared" ref="Q69" si="163">ROUND(J69*1%,0)</f>
        <v>363</v>
      </c>
      <c r="R69" s="675">
        <v>1782</v>
      </c>
      <c r="S69" s="420">
        <f t="shared" si="3"/>
        <v>0.13750000000000001</v>
      </c>
      <c r="T69" s="679">
        <v>0</v>
      </c>
      <c r="U69" s="909">
        <v>0.13750000000000001</v>
      </c>
      <c r="V69" s="428">
        <f t="shared" si="147"/>
        <v>0</v>
      </c>
      <c r="W69" s="421">
        <f t="shared" si="147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 t="shared" si="10"/>
        <v>0</v>
      </c>
      <c r="AG69" s="421">
        <f t="shared" si="11"/>
        <v>0</v>
      </c>
      <c r="AH69" s="421">
        <f t="shared" si="12"/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48"/>
        <v>0</v>
      </c>
      <c r="AP69" s="421">
        <f t="shared" si="149"/>
        <v>0</v>
      </c>
      <c r="AQ69" s="421">
        <f t="shared" si="13"/>
        <v>0</v>
      </c>
      <c r="AR69" s="421">
        <f t="shared" si="14"/>
        <v>0</v>
      </c>
      <c r="AS69" s="421">
        <f t="shared" si="15"/>
        <v>0</v>
      </c>
      <c r="AT69" s="421">
        <f t="shared" si="16"/>
        <v>0</v>
      </c>
      <c r="AU69" s="68">
        <f t="shared" si="150"/>
        <v>0</v>
      </c>
      <c r="AV69" s="68">
        <f t="shared" si="17"/>
        <v>0</v>
      </c>
      <c r="AW69" s="421">
        <v>0</v>
      </c>
      <c r="AX69" s="421">
        <v>0</v>
      </c>
      <c r="AY69" s="421">
        <f t="shared" si="18"/>
        <v>0</v>
      </c>
      <c r="AZ69" s="421">
        <f t="shared" si="19"/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 t="shared" si="151"/>
        <v>0</v>
      </c>
      <c r="BL69" s="422">
        <f t="shared" si="152"/>
        <v>0</v>
      </c>
      <c r="BM69" s="424">
        <f t="shared" si="153"/>
        <v>0</v>
      </c>
      <c r="BN69" s="427">
        <f t="shared" si="20"/>
        <v>50714</v>
      </c>
      <c r="BO69" s="421">
        <f t="shared" si="21"/>
        <v>36300</v>
      </c>
      <c r="BP69" s="421">
        <f t="shared" si="154"/>
        <v>0</v>
      </c>
      <c r="BQ69" s="421">
        <f t="shared" si="154"/>
        <v>36300</v>
      </c>
      <c r="BR69" s="421">
        <f t="shared" si="155"/>
        <v>0</v>
      </c>
      <c r="BS69" s="421">
        <f t="shared" si="156"/>
        <v>0</v>
      </c>
      <c r="BT69" s="421">
        <f t="shared" si="156"/>
        <v>0</v>
      </c>
      <c r="BU69" s="421">
        <f t="shared" si="157"/>
        <v>12269</v>
      </c>
      <c r="BV69" s="421">
        <f t="shared" si="157"/>
        <v>363</v>
      </c>
      <c r="BW69" s="421">
        <f t="shared" si="158"/>
        <v>1782</v>
      </c>
      <c r="BX69" s="422">
        <f t="shared" si="159"/>
        <v>0.13750000000000001</v>
      </c>
      <c r="BY69" s="422">
        <f t="shared" si="160"/>
        <v>0</v>
      </c>
      <c r="BZ69" s="611">
        <f t="shared" si="160"/>
        <v>0.13750000000000001</v>
      </c>
      <c r="CA69" s="423"/>
      <c r="CB69" s="418"/>
      <c r="CC69" s="418"/>
      <c r="CD69" s="418"/>
      <c r="CE69" s="418"/>
      <c r="CF69" s="527"/>
    </row>
    <row r="70" spans="1:84" s="96" customFormat="1" ht="14.1" customHeight="1" x14ac:dyDescent="0.2">
      <c r="A70" s="119">
        <v>9</v>
      </c>
      <c r="B70" s="97">
        <v>2456</v>
      </c>
      <c r="C70" s="98">
        <v>600079732</v>
      </c>
      <c r="D70" s="97">
        <v>70695911</v>
      </c>
      <c r="E70" s="97" t="s">
        <v>724</v>
      </c>
      <c r="F70" s="99"/>
      <c r="G70" s="100"/>
      <c r="H70" s="101"/>
      <c r="I70" s="442">
        <f t="shared" ref="I70:U70" si="164">SUM(I64:I69)</f>
        <v>40126786</v>
      </c>
      <c r="J70" s="438">
        <f t="shared" si="164"/>
        <v>29468967</v>
      </c>
      <c r="K70" s="438">
        <f t="shared" si="164"/>
        <v>25653700</v>
      </c>
      <c r="L70" s="438">
        <f t="shared" si="164"/>
        <v>3815267</v>
      </c>
      <c r="M70" s="438">
        <f t="shared" si="164"/>
        <v>0</v>
      </c>
      <c r="N70" s="438">
        <f t="shared" si="164"/>
        <v>0</v>
      </c>
      <c r="O70" s="438">
        <f t="shared" si="164"/>
        <v>0</v>
      </c>
      <c r="P70" s="438">
        <f t="shared" si="164"/>
        <v>9960511</v>
      </c>
      <c r="Q70" s="438">
        <f t="shared" si="164"/>
        <v>294690</v>
      </c>
      <c r="R70" s="438">
        <f t="shared" si="164"/>
        <v>402618</v>
      </c>
      <c r="S70" s="439">
        <f t="shared" si="164"/>
        <v>51.053699999999999</v>
      </c>
      <c r="T70" s="439">
        <f t="shared" si="164"/>
        <v>39.2301</v>
      </c>
      <c r="U70" s="814">
        <f t="shared" si="164"/>
        <v>11.823599999999999</v>
      </c>
      <c r="V70" s="442">
        <f t="shared" ref="V70:CF70" si="165">SUM(V64:V69)</f>
        <v>-64000</v>
      </c>
      <c r="W70" s="438">
        <f t="shared" si="165"/>
        <v>-38400</v>
      </c>
      <c r="X70" s="438">
        <f t="shared" si="165"/>
        <v>3432799</v>
      </c>
      <c r="Y70" s="438">
        <f t="shared" si="165"/>
        <v>0</v>
      </c>
      <c r="Z70" s="438">
        <f t="shared" si="165"/>
        <v>0</v>
      </c>
      <c r="AA70" s="438">
        <f t="shared" si="165"/>
        <v>0</v>
      </c>
      <c r="AB70" s="438">
        <f t="shared" si="165"/>
        <v>451200</v>
      </c>
      <c r="AC70" s="438">
        <f t="shared" si="165"/>
        <v>0</v>
      </c>
      <c r="AD70" s="438">
        <f t="shared" si="165"/>
        <v>0</v>
      </c>
      <c r="AE70" s="438">
        <f t="shared" si="165"/>
        <v>0</v>
      </c>
      <c r="AF70" s="438">
        <f t="shared" si="165"/>
        <v>3819999</v>
      </c>
      <c r="AG70" s="438">
        <f t="shared" si="165"/>
        <v>-38400</v>
      </c>
      <c r="AH70" s="438">
        <f t="shared" si="165"/>
        <v>3781599</v>
      </c>
      <c r="AI70" s="438">
        <f t="shared" si="165"/>
        <v>64000</v>
      </c>
      <c r="AJ70" s="438">
        <f t="shared" si="165"/>
        <v>38400</v>
      </c>
      <c r="AK70" s="438">
        <f t="shared" si="165"/>
        <v>0</v>
      </c>
      <c r="AL70" s="438">
        <f t="shared" si="165"/>
        <v>0</v>
      </c>
      <c r="AM70" s="438">
        <f t="shared" si="165"/>
        <v>0</v>
      </c>
      <c r="AN70" s="438">
        <f t="shared" si="165"/>
        <v>0</v>
      </c>
      <c r="AO70" s="438">
        <f t="shared" si="165"/>
        <v>64000</v>
      </c>
      <c r="AP70" s="438">
        <f t="shared" si="165"/>
        <v>38400</v>
      </c>
      <c r="AQ70" s="438">
        <f t="shared" si="165"/>
        <v>102400</v>
      </c>
      <c r="AR70" s="438">
        <f t="shared" si="165"/>
        <v>3883999</v>
      </c>
      <c r="AS70" s="438">
        <f t="shared" si="165"/>
        <v>0</v>
      </c>
      <c r="AT70" s="438">
        <f t="shared" si="165"/>
        <v>3883999</v>
      </c>
      <c r="AU70" s="438">
        <f t="shared" si="165"/>
        <v>1312792</v>
      </c>
      <c r="AV70" s="438">
        <f t="shared" si="165"/>
        <v>37816</v>
      </c>
      <c r="AW70" s="438">
        <f t="shared" si="165"/>
        <v>0</v>
      </c>
      <c r="AX70" s="438">
        <f t="shared" si="165"/>
        <v>0</v>
      </c>
      <c r="AY70" s="438">
        <f t="shared" si="165"/>
        <v>0</v>
      </c>
      <c r="AZ70" s="438">
        <f t="shared" si="165"/>
        <v>5234607</v>
      </c>
      <c r="BA70" s="439">
        <f t="shared" si="165"/>
        <v>0</v>
      </c>
      <c r="BB70" s="439">
        <f t="shared" si="165"/>
        <v>-0.04</v>
      </c>
      <c r="BC70" s="439">
        <f t="shared" si="165"/>
        <v>9.52</v>
      </c>
      <c r="BD70" s="439">
        <f t="shared" si="165"/>
        <v>0.8</v>
      </c>
      <c r="BE70" s="439">
        <f t="shared" si="165"/>
        <v>0</v>
      </c>
      <c r="BF70" s="439">
        <f t="shared" si="165"/>
        <v>0</v>
      </c>
      <c r="BG70" s="439">
        <f t="shared" si="165"/>
        <v>0</v>
      </c>
      <c r="BH70" s="439">
        <f t="shared" si="165"/>
        <v>0</v>
      </c>
      <c r="BI70" s="439">
        <f t="shared" si="165"/>
        <v>0</v>
      </c>
      <c r="BJ70" s="439">
        <f t="shared" si="165"/>
        <v>0</v>
      </c>
      <c r="BK70" s="439">
        <f t="shared" si="165"/>
        <v>10.32</v>
      </c>
      <c r="BL70" s="439">
        <f t="shared" si="165"/>
        <v>-0.04</v>
      </c>
      <c r="BM70" s="103">
        <f t="shared" si="165"/>
        <v>10.28</v>
      </c>
      <c r="BN70" s="444">
        <f t="shared" si="165"/>
        <v>45361393</v>
      </c>
      <c r="BO70" s="438">
        <f t="shared" si="165"/>
        <v>33250566</v>
      </c>
      <c r="BP70" s="438">
        <f t="shared" si="165"/>
        <v>29473699</v>
      </c>
      <c r="BQ70" s="438">
        <f t="shared" si="165"/>
        <v>3776867</v>
      </c>
      <c r="BR70" s="438">
        <f t="shared" si="165"/>
        <v>102400</v>
      </c>
      <c r="BS70" s="438">
        <f t="shared" si="165"/>
        <v>64000</v>
      </c>
      <c r="BT70" s="438">
        <f t="shared" si="165"/>
        <v>38400</v>
      </c>
      <c r="BU70" s="438">
        <f t="shared" si="165"/>
        <v>11273303</v>
      </c>
      <c r="BV70" s="438">
        <f t="shared" si="165"/>
        <v>332506</v>
      </c>
      <c r="BW70" s="438">
        <f t="shared" si="165"/>
        <v>402618</v>
      </c>
      <c r="BX70" s="439">
        <f t="shared" si="165"/>
        <v>61.333700000000007</v>
      </c>
      <c r="BY70" s="439">
        <f t="shared" si="165"/>
        <v>49.5501</v>
      </c>
      <c r="BZ70" s="814">
        <f t="shared" si="165"/>
        <v>11.7836</v>
      </c>
      <c r="CA70" s="819">
        <f t="shared" si="165"/>
        <v>608218</v>
      </c>
      <c r="CB70" s="817">
        <f t="shared" si="165"/>
        <v>451200</v>
      </c>
      <c r="CC70" s="817">
        <f t="shared" si="165"/>
        <v>0</v>
      </c>
      <c r="CD70" s="817">
        <f t="shared" si="165"/>
        <v>152506</v>
      </c>
      <c r="CE70" s="817">
        <f t="shared" si="165"/>
        <v>4512</v>
      </c>
      <c r="CF70" s="802">
        <f t="shared" si="165"/>
        <v>0.8</v>
      </c>
    </row>
    <row r="71" spans="1:84" s="96" customFormat="1" ht="14.1" customHeight="1" x14ac:dyDescent="0.2">
      <c r="A71" s="118">
        <v>10</v>
      </c>
      <c r="B71" s="102">
        <v>2462</v>
      </c>
      <c r="C71" s="93">
        <v>600079813</v>
      </c>
      <c r="D71" s="77">
        <v>72744600</v>
      </c>
      <c r="E71" s="77" t="s">
        <v>725</v>
      </c>
      <c r="F71" s="94">
        <v>3111</v>
      </c>
      <c r="G71" s="77" t="s">
        <v>291</v>
      </c>
      <c r="H71" s="95" t="s">
        <v>271</v>
      </c>
      <c r="I71" s="669">
        <f t="shared" si="6"/>
        <v>1684943</v>
      </c>
      <c r="J71" s="668">
        <f t="shared" si="7"/>
        <v>1245798</v>
      </c>
      <c r="K71" s="668">
        <v>1179230</v>
      </c>
      <c r="L71" s="668">
        <v>66568</v>
      </c>
      <c r="M71" s="668">
        <f t="shared" si="8"/>
        <v>0</v>
      </c>
      <c r="N71" s="668">
        <v>0</v>
      </c>
      <c r="O71" s="668">
        <v>0</v>
      </c>
      <c r="P71" s="668">
        <f t="shared" si="26"/>
        <v>421080</v>
      </c>
      <c r="Q71" s="668">
        <f t="shared" si="2"/>
        <v>12458</v>
      </c>
      <c r="R71" s="668">
        <v>5607</v>
      </c>
      <c r="S71" s="420">
        <f t="shared" si="3"/>
        <v>2.2667000000000002</v>
      </c>
      <c r="T71" s="420">
        <v>2</v>
      </c>
      <c r="U71" s="946">
        <v>0.26669999999999999</v>
      </c>
      <c r="V71" s="428">
        <f t="shared" ref="V71:W76" si="166">AI71*-1</f>
        <v>0</v>
      </c>
      <c r="W71" s="421">
        <f t="shared" si="166"/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10"/>
        <v>0</v>
      </c>
      <c r="AG71" s="421">
        <f t="shared" si="11"/>
        <v>0</v>
      </c>
      <c r="AH71" s="421">
        <f t="shared" si="12"/>
        <v>0</v>
      </c>
      <c r="AI71" s="421">
        <v>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ref="AO71:AO76" si="167">AI71+AK71+AL71+AM71</f>
        <v>0</v>
      </c>
      <c r="AP71" s="421">
        <f t="shared" ref="AP71:AP76" si="168">AJ71+AN71</f>
        <v>0</v>
      </c>
      <c r="AQ71" s="421">
        <f t="shared" si="13"/>
        <v>0</v>
      </c>
      <c r="AR71" s="421">
        <f t="shared" si="14"/>
        <v>0</v>
      </c>
      <c r="AS71" s="421">
        <f t="shared" si="15"/>
        <v>0</v>
      </c>
      <c r="AT71" s="421">
        <f t="shared" si="16"/>
        <v>0</v>
      </c>
      <c r="AU71" s="68">
        <f t="shared" ref="AU71:AU76" si="169">ROUND((AH71+AI71+AJ71+AK71+AL71)*33.8%,0)</f>
        <v>0</v>
      </c>
      <c r="AV71" s="68">
        <f t="shared" si="17"/>
        <v>0</v>
      </c>
      <c r="AW71" s="421">
        <v>0</v>
      </c>
      <c r="AX71" s="421">
        <v>0</v>
      </c>
      <c r="AY71" s="421">
        <f t="shared" si="18"/>
        <v>0</v>
      </c>
      <c r="AZ71" s="421">
        <f t="shared" si="19"/>
        <v>0</v>
      </c>
      <c r="BA71" s="422">
        <v>0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 t="shared" ref="BK71:BK76" si="170">BA71+BC71+BD71+BF71+BH71+BI71</f>
        <v>0</v>
      </c>
      <c r="BL71" s="422">
        <f t="shared" ref="BL71:BL76" si="171">BB71+BE71+BG71+BJ71</f>
        <v>0</v>
      </c>
      <c r="BM71" s="424">
        <f t="shared" ref="BM71:BM76" si="172">SUM(BK71:BL71)</f>
        <v>0</v>
      </c>
      <c r="BN71" s="427">
        <f t="shared" si="20"/>
        <v>1684943</v>
      </c>
      <c r="BO71" s="421">
        <f t="shared" si="21"/>
        <v>1245798</v>
      </c>
      <c r="BP71" s="421">
        <f t="shared" ref="BP71:BQ76" si="173">K71+AF71</f>
        <v>1179230</v>
      </c>
      <c r="BQ71" s="421">
        <f t="shared" si="173"/>
        <v>66568</v>
      </c>
      <c r="BR71" s="421">
        <f t="shared" ref="BR71:BR76" si="174">M71+AQ71</f>
        <v>0</v>
      </c>
      <c r="BS71" s="421">
        <f t="shared" ref="BS71:BT76" si="175">N71+AO71</f>
        <v>0</v>
      </c>
      <c r="BT71" s="421">
        <f t="shared" si="175"/>
        <v>0</v>
      </c>
      <c r="BU71" s="421">
        <f t="shared" ref="BU71:BV76" si="176">P71+AU71</f>
        <v>421080</v>
      </c>
      <c r="BV71" s="421">
        <f t="shared" si="176"/>
        <v>12458</v>
      </c>
      <c r="BW71" s="421">
        <f t="shared" ref="BW71:BW76" si="177">R71+AY71</f>
        <v>5607</v>
      </c>
      <c r="BX71" s="422">
        <f t="shared" ref="BX71:BX76" si="178">S71+BM71</f>
        <v>2.2667000000000002</v>
      </c>
      <c r="BY71" s="422">
        <f t="shared" ref="BY71:BZ76" si="179">T71+BK71</f>
        <v>2</v>
      </c>
      <c r="BZ71" s="611">
        <f t="shared" si="179"/>
        <v>0.26669999999999999</v>
      </c>
      <c r="CA71" s="423"/>
      <c r="CB71" s="418"/>
      <c r="CC71" s="418"/>
      <c r="CD71" s="418"/>
      <c r="CE71" s="418"/>
      <c r="CF71" s="527"/>
    </row>
    <row r="72" spans="1:84" s="96" customFormat="1" ht="14.1" customHeight="1" x14ac:dyDescent="0.2">
      <c r="A72" s="118">
        <v>10</v>
      </c>
      <c r="B72" s="104">
        <v>2462</v>
      </c>
      <c r="C72" s="93">
        <v>600079813</v>
      </c>
      <c r="D72" s="77">
        <v>72744600</v>
      </c>
      <c r="E72" s="104" t="s">
        <v>725</v>
      </c>
      <c r="F72" s="105">
        <v>3117</v>
      </c>
      <c r="G72" s="104" t="s">
        <v>309</v>
      </c>
      <c r="H72" s="95" t="s">
        <v>271</v>
      </c>
      <c r="I72" s="669">
        <f t="shared" si="6"/>
        <v>3453840</v>
      </c>
      <c r="J72" s="668">
        <f t="shared" si="7"/>
        <v>2520667</v>
      </c>
      <c r="K72" s="668">
        <v>2243834</v>
      </c>
      <c r="L72" s="668">
        <v>276833</v>
      </c>
      <c r="M72" s="668">
        <f t="shared" si="8"/>
        <v>0</v>
      </c>
      <c r="N72" s="668">
        <v>0</v>
      </c>
      <c r="O72" s="668">
        <v>0</v>
      </c>
      <c r="P72" s="668">
        <f t="shared" si="26"/>
        <v>851985</v>
      </c>
      <c r="Q72" s="668">
        <f>ROUND(J72*1%,0)-1</f>
        <v>25206</v>
      </c>
      <c r="R72" s="668">
        <v>55982</v>
      </c>
      <c r="S72" s="420">
        <f t="shared" si="3"/>
        <v>4.2116999999999996</v>
      </c>
      <c r="T72" s="420">
        <v>3.4998999999999998</v>
      </c>
      <c r="U72" s="946">
        <v>0.71179999999999999</v>
      </c>
      <c r="V72" s="428">
        <f t="shared" si="166"/>
        <v>0</v>
      </c>
      <c r="W72" s="421">
        <f t="shared" si="166"/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 t="shared" si="10"/>
        <v>0</v>
      </c>
      <c r="AG72" s="421">
        <f t="shared" si="11"/>
        <v>0</v>
      </c>
      <c r="AH72" s="421">
        <f t="shared" si="12"/>
        <v>0</v>
      </c>
      <c r="AI72" s="421">
        <v>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167"/>
        <v>0</v>
      </c>
      <c r="AP72" s="421">
        <f t="shared" si="168"/>
        <v>0</v>
      </c>
      <c r="AQ72" s="421">
        <f t="shared" si="13"/>
        <v>0</v>
      </c>
      <c r="AR72" s="421">
        <f t="shared" si="14"/>
        <v>0</v>
      </c>
      <c r="AS72" s="421">
        <f t="shared" si="15"/>
        <v>0</v>
      </c>
      <c r="AT72" s="421">
        <f t="shared" si="16"/>
        <v>0</v>
      </c>
      <c r="AU72" s="68">
        <f t="shared" si="169"/>
        <v>0</v>
      </c>
      <c r="AV72" s="68">
        <f t="shared" si="17"/>
        <v>0</v>
      </c>
      <c r="AW72" s="421">
        <v>0</v>
      </c>
      <c r="AX72" s="421">
        <v>0</v>
      </c>
      <c r="AY72" s="421">
        <f t="shared" si="18"/>
        <v>0</v>
      </c>
      <c r="AZ72" s="421">
        <f t="shared" si="19"/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 t="shared" si="170"/>
        <v>0</v>
      </c>
      <c r="BL72" s="422">
        <f t="shared" si="171"/>
        <v>0</v>
      </c>
      <c r="BM72" s="424">
        <f t="shared" si="172"/>
        <v>0</v>
      </c>
      <c r="BN72" s="427">
        <f t="shared" si="20"/>
        <v>3453840</v>
      </c>
      <c r="BO72" s="421">
        <f t="shared" si="21"/>
        <v>2520667</v>
      </c>
      <c r="BP72" s="421">
        <f t="shared" si="173"/>
        <v>2243834</v>
      </c>
      <c r="BQ72" s="421">
        <f t="shared" si="173"/>
        <v>276833</v>
      </c>
      <c r="BR72" s="421">
        <f t="shared" si="174"/>
        <v>0</v>
      </c>
      <c r="BS72" s="421">
        <f t="shared" si="175"/>
        <v>0</v>
      </c>
      <c r="BT72" s="421">
        <f t="shared" si="175"/>
        <v>0</v>
      </c>
      <c r="BU72" s="421">
        <f t="shared" si="176"/>
        <v>851985</v>
      </c>
      <c r="BV72" s="421">
        <f t="shared" si="176"/>
        <v>25206</v>
      </c>
      <c r="BW72" s="421">
        <f t="shared" si="177"/>
        <v>55982</v>
      </c>
      <c r="BX72" s="422">
        <f t="shared" si="178"/>
        <v>4.2116999999999996</v>
      </c>
      <c r="BY72" s="422">
        <f t="shared" si="179"/>
        <v>3.4998999999999998</v>
      </c>
      <c r="BZ72" s="611">
        <f t="shared" si="179"/>
        <v>0.71179999999999999</v>
      </c>
      <c r="CA72" s="423"/>
      <c r="CB72" s="418"/>
      <c r="CC72" s="418"/>
      <c r="CD72" s="418"/>
      <c r="CE72" s="418"/>
      <c r="CF72" s="527"/>
    </row>
    <row r="73" spans="1:84" s="96" customFormat="1" ht="14.1" customHeight="1" x14ac:dyDescent="0.2">
      <c r="A73" s="118">
        <v>10</v>
      </c>
      <c r="B73" s="102">
        <v>2462</v>
      </c>
      <c r="C73" s="93">
        <v>600079813</v>
      </c>
      <c r="D73" s="77">
        <v>72744600</v>
      </c>
      <c r="E73" s="102" t="s">
        <v>725</v>
      </c>
      <c r="F73" s="94">
        <v>3117</v>
      </c>
      <c r="G73" s="77" t="s">
        <v>292</v>
      </c>
      <c r="H73" s="95" t="s">
        <v>272</v>
      </c>
      <c r="I73" s="669">
        <f t="shared" si="6"/>
        <v>0</v>
      </c>
      <c r="J73" s="668">
        <f t="shared" si="7"/>
        <v>0</v>
      </c>
      <c r="K73" s="668">
        <v>0</v>
      </c>
      <c r="L73" s="668">
        <v>0</v>
      </c>
      <c r="M73" s="668">
        <f t="shared" si="8"/>
        <v>0</v>
      </c>
      <c r="N73" s="668">
        <v>0</v>
      </c>
      <c r="O73" s="668">
        <v>0</v>
      </c>
      <c r="P73" s="668">
        <f t="shared" si="26"/>
        <v>0</v>
      </c>
      <c r="Q73" s="668">
        <f t="shared" si="2"/>
        <v>0</v>
      </c>
      <c r="R73" s="668">
        <v>0</v>
      </c>
      <c r="S73" s="420">
        <f t="shared" si="3"/>
        <v>0</v>
      </c>
      <c r="T73" s="420">
        <v>0</v>
      </c>
      <c r="U73" s="946">
        <v>0</v>
      </c>
      <c r="V73" s="428">
        <f t="shared" si="166"/>
        <v>0</v>
      </c>
      <c r="W73" s="421">
        <f t="shared" si="166"/>
        <v>0</v>
      </c>
      <c r="X73" s="16">
        <v>1176562</v>
      </c>
      <c r="Y73" s="16">
        <v>0</v>
      </c>
      <c r="Z73" s="16">
        <v>0</v>
      </c>
      <c r="AA73" s="16">
        <v>0</v>
      </c>
      <c r="AB73" s="421">
        <v>0</v>
      </c>
      <c r="AC73" s="16">
        <v>0</v>
      </c>
      <c r="AD73" s="16">
        <v>0</v>
      </c>
      <c r="AE73" s="16">
        <v>0</v>
      </c>
      <c r="AF73" s="421">
        <f t="shared" si="10"/>
        <v>1176562</v>
      </c>
      <c r="AG73" s="421">
        <f t="shared" si="11"/>
        <v>0</v>
      </c>
      <c r="AH73" s="421">
        <f t="shared" si="12"/>
        <v>1176562</v>
      </c>
      <c r="AI73" s="16">
        <v>0</v>
      </c>
      <c r="AJ73" s="16">
        <v>0</v>
      </c>
      <c r="AK73" s="421">
        <v>0</v>
      </c>
      <c r="AL73" s="16">
        <v>0</v>
      </c>
      <c r="AM73" s="16">
        <v>0</v>
      </c>
      <c r="AN73" s="16">
        <v>0</v>
      </c>
      <c r="AO73" s="421">
        <f t="shared" si="167"/>
        <v>0</v>
      </c>
      <c r="AP73" s="16">
        <v>0</v>
      </c>
      <c r="AQ73" s="421">
        <f t="shared" si="13"/>
        <v>0</v>
      </c>
      <c r="AR73" s="421">
        <f t="shared" si="14"/>
        <v>1176562</v>
      </c>
      <c r="AS73" s="421">
        <f t="shared" si="15"/>
        <v>0</v>
      </c>
      <c r="AT73" s="421">
        <f t="shared" si="16"/>
        <v>1176562</v>
      </c>
      <c r="AU73" s="68">
        <f t="shared" si="169"/>
        <v>397678</v>
      </c>
      <c r="AV73" s="68">
        <f t="shared" si="17"/>
        <v>11766</v>
      </c>
      <c r="AW73" s="16">
        <v>0</v>
      </c>
      <c r="AX73" s="16">
        <v>0</v>
      </c>
      <c r="AY73" s="421">
        <f t="shared" si="18"/>
        <v>0</v>
      </c>
      <c r="AZ73" s="421">
        <f t="shared" si="19"/>
        <v>1586006</v>
      </c>
      <c r="BA73" s="13">
        <v>0</v>
      </c>
      <c r="BB73" s="13">
        <v>0</v>
      </c>
      <c r="BC73" s="13">
        <v>3.04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 t="shared" si="170"/>
        <v>3.04</v>
      </c>
      <c r="BL73" s="422">
        <f t="shared" si="171"/>
        <v>0</v>
      </c>
      <c r="BM73" s="424">
        <f t="shared" si="172"/>
        <v>3.04</v>
      </c>
      <c r="BN73" s="427">
        <f t="shared" si="20"/>
        <v>1586006</v>
      </c>
      <c r="BO73" s="421">
        <f t="shared" si="21"/>
        <v>1176562</v>
      </c>
      <c r="BP73" s="421">
        <f t="shared" si="173"/>
        <v>1176562</v>
      </c>
      <c r="BQ73" s="421">
        <f t="shared" si="173"/>
        <v>0</v>
      </c>
      <c r="BR73" s="421">
        <f t="shared" si="174"/>
        <v>0</v>
      </c>
      <c r="BS73" s="421">
        <f t="shared" si="175"/>
        <v>0</v>
      </c>
      <c r="BT73" s="421">
        <f t="shared" si="175"/>
        <v>0</v>
      </c>
      <c r="BU73" s="421">
        <f t="shared" si="176"/>
        <v>397678</v>
      </c>
      <c r="BV73" s="421">
        <f t="shared" si="176"/>
        <v>11766</v>
      </c>
      <c r="BW73" s="421">
        <f t="shared" si="177"/>
        <v>0</v>
      </c>
      <c r="BX73" s="422">
        <f t="shared" si="178"/>
        <v>3.04</v>
      </c>
      <c r="BY73" s="422">
        <f t="shared" si="179"/>
        <v>3.04</v>
      </c>
      <c r="BZ73" s="611">
        <f t="shared" si="179"/>
        <v>0</v>
      </c>
      <c r="CA73" s="423"/>
      <c r="CB73" s="418"/>
      <c r="CC73" s="418"/>
      <c r="CD73" s="418"/>
      <c r="CE73" s="418"/>
      <c r="CF73" s="527"/>
    </row>
    <row r="74" spans="1:84" s="96" customFormat="1" ht="14.1" customHeight="1" x14ac:dyDescent="0.2">
      <c r="A74" s="118">
        <v>10</v>
      </c>
      <c r="B74" s="77">
        <v>2462</v>
      </c>
      <c r="C74" s="93">
        <v>600079813</v>
      </c>
      <c r="D74" s="77">
        <v>72744600</v>
      </c>
      <c r="E74" s="77" t="s">
        <v>725</v>
      </c>
      <c r="F74" s="94">
        <v>3141</v>
      </c>
      <c r="G74" s="77" t="s">
        <v>295</v>
      </c>
      <c r="H74" s="95" t="s">
        <v>272</v>
      </c>
      <c r="I74" s="669">
        <f t="shared" si="6"/>
        <v>511343</v>
      </c>
      <c r="J74" s="668">
        <f t="shared" si="7"/>
        <v>377933</v>
      </c>
      <c r="K74" s="668">
        <v>0</v>
      </c>
      <c r="L74" s="674">
        <v>377933</v>
      </c>
      <c r="M74" s="668">
        <f t="shared" si="8"/>
        <v>0</v>
      </c>
      <c r="N74" s="668">
        <v>0</v>
      </c>
      <c r="O74" s="668">
        <v>0</v>
      </c>
      <c r="P74" s="668">
        <f t="shared" si="26"/>
        <v>127741</v>
      </c>
      <c r="Q74" s="668">
        <f t="shared" ref="Q74" si="180">ROUND(J74*1%,0)</f>
        <v>3779</v>
      </c>
      <c r="R74" s="668">
        <v>1890</v>
      </c>
      <c r="S74" s="420">
        <f t="shared" si="3"/>
        <v>1.1333</v>
      </c>
      <c r="T74" s="420">
        <v>0</v>
      </c>
      <c r="U74" s="946">
        <v>1.1333</v>
      </c>
      <c r="V74" s="428">
        <f t="shared" si="166"/>
        <v>0</v>
      </c>
      <c r="W74" s="421">
        <f t="shared" si="166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 t="shared" si="10"/>
        <v>0</v>
      </c>
      <c r="AG74" s="421">
        <f t="shared" si="11"/>
        <v>0</v>
      </c>
      <c r="AH74" s="421">
        <f t="shared" si="12"/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167"/>
        <v>0</v>
      </c>
      <c r="AP74" s="421">
        <f t="shared" si="168"/>
        <v>0</v>
      </c>
      <c r="AQ74" s="421">
        <f t="shared" si="13"/>
        <v>0</v>
      </c>
      <c r="AR74" s="421">
        <f t="shared" si="14"/>
        <v>0</v>
      </c>
      <c r="AS74" s="421">
        <f t="shared" si="15"/>
        <v>0</v>
      </c>
      <c r="AT74" s="421">
        <f t="shared" si="16"/>
        <v>0</v>
      </c>
      <c r="AU74" s="68">
        <f t="shared" si="169"/>
        <v>0</v>
      </c>
      <c r="AV74" s="68">
        <f t="shared" si="17"/>
        <v>0</v>
      </c>
      <c r="AW74" s="421">
        <v>0</v>
      </c>
      <c r="AX74" s="421">
        <v>0</v>
      </c>
      <c r="AY74" s="421">
        <f t="shared" si="18"/>
        <v>0</v>
      </c>
      <c r="AZ74" s="421">
        <f t="shared" si="19"/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 t="shared" si="170"/>
        <v>0</v>
      </c>
      <c r="BL74" s="422">
        <f t="shared" si="171"/>
        <v>0</v>
      </c>
      <c r="BM74" s="424">
        <f t="shared" si="172"/>
        <v>0</v>
      </c>
      <c r="BN74" s="427">
        <f t="shared" si="20"/>
        <v>511343</v>
      </c>
      <c r="BO74" s="421">
        <f t="shared" si="21"/>
        <v>377933</v>
      </c>
      <c r="BP74" s="421">
        <f t="shared" si="173"/>
        <v>0</v>
      </c>
      <c r="BQ74" s="421">
        <f t="shared" si="173"/>
        <v>377933</v>
      </c>
      <c r="BR74" s="421">
        <f t="shared" si="174"/>
        <v>0</v>
      </c>
      <c r="BS74" s="421">
        <f t="shared" si="175"/>
        <v>0</v>
      </c>
      <c r="BT74" s="421">
        <f t="shared" si="175"/>
        <v>0</v>
      </c>
      <c r="BU74" s="421">
        <f t="shared" si="176"/>
        <v>127741</v>
      </c>
      <c r="BV74" s="421">
        <f t="shared" si="176"/>
        <v>3779</v>
      </c>
      <c r="BW74" s="421">
        <f t="shared" si="177"/>
        <v>1890</v>
      </c>
      <c r="BX74" s="422">
        <f t="shared" si="178"/>
        <v>1.1333</v>
      </c>
      <c r="BY74" s="422">
        <f t="shared" si="179"/>
        <v>0</v>
      </c>
      <c r="BZ74" s="611">
        <f t="shared" si="179"/>
        <v>1.1333</v>
      </c>
      <c r="CA74" s="423"/>
      <c r="CB74" s="418"/>
      <c r="CC74" s="418"/>
      <c r="CD74" s="418"/>
      <c r="CE74" s="418"/>
      <c r="CF74" s="527"/>
    </row>
    <row r="75" spans="1:84" s="96" customFormat="1" ht="14.1" customHeight="1" x14ac:dyDescent="0.2">
      <c r="A75" s="118">
        <v>10</v>
      </c>
      <c r="B75" s="77">
        <v>2462</v>
      </c>
      <c r="C75" s="93">
        <v>600079813</v>
      </c>
      <c r="D75" s="77">
        <v>72744600</v>
      </c>
      <c r="E75" s="77" t="s">
        <v>725</v>
      </c>
      <c r="F75" s="94">
        <v>3143</v>
      </c>
      <c r="G75" s="77" t="s">
        <v>596</v>
      </c>
      <c r="H75" s="95" t="s">
        <v>271</v>
      </c>
      <c r="I75" s="669">
        <f t="shared" si="6"/>
        <v>730823</v>
      </c>
      <c r="J75" s="668">
        <f t="shared" si="7"/>
        <v>542153</v>
      </c>
      <c r="K75" s="668">
        <v>542153</v>
      </c>
      <c r="L75" s="668">
        <v>0</v>
      </c>
      <c r="M75" s="668">
        <f t="shared" si="8"/>
        <v>0</v>
      </c>
      <c r="N75" s="668">
        <v>0</v>
      </c>
      <c r="O75" s="668">
        <v>0</v>
      </c>
      <c r="P75" s="668">
        <f t="shared" si="26"/>
        <v>183248</v>
      </c>
      <c r="Q75" s="668">
        <f t="shared" si="2"/>
        <v>5422</v>
      </c>
      <c r="R75" s="668">
        <v>0</v>
      </c>
      <c r="S75" s="420">
        <f t="shared" si="3"/>
        <v>1.0832999999999999</v>
      </c>
      <c r="T75" s="420">
        <v>1.0832999999999999</v>
      </c>
      <c r="U75" s="946">
        <v>0</v>
      </c>
      <c r="V75" s="428">
        <f t="shared" si="166"/>
        <v>0</v>
      </c>
      <c r="W75" s="421">
        <f t="shared" si="166"/>
        <v>0</v>
      </c>
      <c r="X75" s="421">
        <v>0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-17842</v>
      </c>
      <c r="AE75" s="421">
        <v>0</v>
      </c>
      <c r="AF75" s="421">
        <f t="shared" si="10"/>
        <v>-17842</v>
      </c>
      <c r="AG75" s="421">
        <f t="shared" si="11"/>
        <v>0</v>
      </c>
      <c r="AH75" s="421">
        <f t="shared" si="12"/>
        <v>-17842</v>
      </c>
      <c r="AI75" s="421">
        <v>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si="167"/>
        <v>0</v>
      </c>
      <c r="AP75" s="421">
        <f t="shared" si="168"/>
        <v>0</v>
      </c>
      <c r="AQ75" s="421">
        <f t="shared" si="13"/>
        <v>0</v>
      </c>
      <c r="AR75" s="421">
        <f t="shared" si="14"/>
        <v>-17842</v>
      </c>
      <c r="AS75" s="421">
        <f t="shared" si="15"/>
        <v>0</v>
      </c>
      <c r="AT75" s="421">
        <f t="shared" si="16"/>
        <v>-17842</v>
      </c>
      <c r="AU75" s="68">
        <f t="shared" si="169"/>
        <v>-6031</v>
      </c>
      <c r="AV75" s="68">
        <f t="shared" si="17"/>
        <v>-178</v>
      </c>
      <c r="AW75" s="421">
        <v>0</v>
      </c>
      <c r="AX75" s="421">
        <v>0</v>
      </c>
      <c r="AY75" s="421">
        <f t="shared" si="18"/>
        <v>0</v>
      </c>
      <c r="AZ75" s="421">
        <f t="shared" si="19"/>
        <v>-24051</v>
      </c>
      <c r="BA75" s="422">
        <v>0</v>
      </c>
      <c r="BB75" s="422">
        <v>0</v>
      </c>
      <c r="BC75" s="422">
        <v>0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 t="shared" si="170"/>
        <v>0</v>
      </c>
      <c r="BL75" s="422">
        <f t="shared" si="171"/>
        <v>0</v>
      </c>
      <c r="BM75" s="424">
        <f t="shared" si="172"/>
        <v>0</v>
      </c>
      <c r="BN75" s="427">
        <f t="shared" si="20"/>
        <v>706772</v>
      </c>
      <c r="BO75" s="421">
        <f t="shared" si="21"/>
        <v>524311</v>
      </c>
      <c r="BP75" s="421">
        <f t="shared" si="173"/>
        <v>524311</v>
      </c>
      <c r="BQ75" s="421">
        <f t="shared" si="173"/>
        <v>0</v>
      </c>
      <c r="BR75" s="421">
        <f t="shared" si="174"/>
        <v>0</v>
      </c>
      <c r="BS75" s="421">
        <f t="shared" si="175"/>
        <v>0</v>
      </c>
      <c r="BT75" s="421">
        <f t="shared" si="175"/>
        <v>0</v>
      </c>
      <c r="BU75" s="421">
        <f t="shared" si="176"/>
        <v>177217</v>
      </c>
      <c r="BV75" s="421">
        <f t="shared" si="176"/>
        <v>5244</v>
      </c>
      <c r="BW75" s="421">
        <f t="shared" si="177"/>
        <v>0</v>
      </c>
      <c r="BX75" s="422">
        <f t="shared" si="178"/>
        <v>1.0832999999999999</v>
      </c>
      <c r="BY75" s="422">
        <f t="shared" si="179"/>
        <v>1.0832999999999999</v>
      </c>
      <c r="BZ75" s="611">
        <f t="shared" si="179"/>
        <v>0</v>
      </c>
      <c r="CA75" s="423"/>
      <c r="CB75" s="418"/>
      <c r="CC75" s="418"/>
      <c r="CD75" s="418"/>
      <c r="CE75" s="418"/>
      <c r="CF75" s="527"/>
    </row>
    <row r="76" spans="1:84" s="96" customFormat="1" ht="14.1" customHeight="1" x14ac:dyDescent="0.2">
      <c r="A76" s="118">
        <v>10</v>
      </c>
      <c r="B76" s="77">
        <v>2462</v>
      </c>
      <c r="C76" s="93">
        <v>600079813</v>
      </c>
      <c r="D76" s="77">
        <v>72744600</v>
      </c>
      <c r="E76" s="77" t="s">
        <v>725</v>
      </c>
      <c r="F76" s="94">
        <v>3143</v>
      </c>
      <c r="G76" s="77" t="s">
        <v>597</v>
      </c>
      <c r="H76" s="95" t="s">
        <v>272</v>
      </c>
      <c r="I76" s="669">
        <f t="shared" si="6"/>
        <v>12282</v>
      </c>
      <c r="J76" s="668">
        <f t="shared" si="7"/>
        <v>8791</v>
      </c>
      <c r="K76" s="668">
        <v>0</v>
      </c>
      <c r="L76" s="674">
        <v>8791</v>
      </c>
      <c r="M76" s="668">
        <f t="shared" si="8"/>
        <v>0</v>
      </c>
      <c r="N76" s="675">
        <v>0</v>
      </c>
      <c r="O76" s="675">
        <v>0</v>
      </c>
      <c r="P76" s="668">
        <f t="shared" ref="P76" si="181">ROUND(J76*33.8%,0)</f>
        <v>2971</v>
      </c>
      <c r="Q76" s="668">
        <f t="shared" ref="Q76" si="182">ROUND(J76*1%,0)</f>
        <v>88</v>
      </c>
      <c r="R76" s="675">
        <v>432</v>
      </c>
      <c r="S76" s="420">
        <f t="shared" si="3"/>
        <v>3.3300000000000003E-2</v>
      </c>
      <c r="T76" s="679">
        <v>0</v>
      </c>
      <c r="U76" s="909">
        <v>3.3300000000000003E-2</v>
      </c>
      <c r="V76" s="428">
        <f t="shared" si="166"/>
        <v>0</v>
      </c>
      <c r="W76" s="421">
        <f t="shared" si="166"/>
        <v>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 t="shared" si="10"/>
        <v>0</v>
      </c>
      <c r="AG76" s="421">
        <f t="shared" si="11"/>
        <v>0</v>
      </c>
      <c r="AH76" s="421">
        <f t="shared" si="12"/>
        <v>0</v>
      </c>
      <c r="AI76" s="421">
        <v>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167"/>
        <v>0</v>
      </c>
      <c r="AP76" s="421">
        <f t="shared" si="168"/>
        <v>0</v>
      </c>
      <c r="AQ76" s="421">
        <f t="shared" si="13"/>
        <v>0</v>
      </c>
      <c r="AR76" s="421">
        <f t="shared" si="14"/>
        <v>0</v>
      </c>
      <c r="AS76" s="421">
        <f t="shared" si="15"/>
        <v>0</v>
      </c>
      <c r="AT76" s="421">
        <f t="shared" si="16"/>
        <v>0</v>
      </c>
      <c r="AU76" s="68">
        <f t="shared" si="169"/>
        <v>0</v>
      </c>
      <c r="AV76" s="68">
        <f t="shared" si="17"/>
        <v>0</v>
      </c>
      <c r="AW76" s="421">
        <v>0</v>
      </c>
      <c r="AX76" s="421">
        <v>0</v>
      </c>
      <c r="AY76" s="421">
        <f t="shared" si="18"/>
        <v>0</v>
      </c>
      <c r="AZ76" s="421">
        <f t="shared" si="19"/>
        <v>0</v>
      </c>
      <c r="BA76" s="422">
        <v>0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 t="shared" si="170"/>
        <v>0</v>
      </c>
      <c r="BL76" s="422">
        <f t="shared" si="171"/>
        <v>0</v>
      </c>
      <c r="BM76" s="424">
        <f t="shared" si="172"/>
        <v>0</v>
      </c>
      <c r="BN76" s="427">
        <f t="shared" si="20"/>
        <v>12282</v>
      </c>
      <c r="BO76" s="421">
        <f t="shared" si="21"/>
        <v>8791</v>
      </c>
      <c r="BP76" s="421">
        <f t="shared" si="173"/>
        <v>0</v>
      </c>
      <c r="BQ76" s="421">
        <f t="shared" si="173"/>
        <v>8791</v>
      </c>
      <c r="BR76" s="421">
        <f t="shared" si="174"/>
        <v>0</v>
      </c>
      <c r="BS76" s="421">
        <f t="shared" si="175"/>
        <v>0</v>
      </c>
      <c r="BT76" s="421">
        <f t="shared" si="175"/>
        <v>0</v>
      </c>
      <c r="BU76" s="421">
        <f t="shared" si="176"/>
        <v>2971</v>
      </c>
      <c r="BV76" s="421">
        <f t="shared" si="176"/>
        <v>88</v>
      </c>
      <c r="BW76" s="421">
        <f t="shared" si="177"/>
        <v>432</v>
      </c>
      <c r="BX76" s="422">
        <f t="shared" si="178"/>
        <v>3.3300000000000003E-2</v>
      </c>
      <c r="BY76" s="422">
        <f t="shared" si="179"/>
        <v>0</v>
      </c>
      <c r="BZ76" s="611">
        <f t="shared" si="179"/>
        <v>3.3300000000000003E-2</v>
      </c>
      <c r="CA76" s="423"/>
      <c r="CB76" s="418"/>
      <c r="CC76" s="418"/>
      <c r="CD76" s="418"/>
      <c r="CE76" s="418"/>
      <c r="CF76" s="527"/>
    </row>
    <row r="77" spans="1:84" s="96" customFormat="1" ht="14.1" customHeight="1" x14ac:dyDescent="0.2">
      <c r="A77" s="119">
        <v>10</v>
      </c>
      <c r="B77" s="97">
        <v>2462</v>
      </c>
      <c r="C77" s="98">
        <v>600079813</v>
      </c>
      <c r="D77" s="97">
        <v>72744600</v>
      </c>
      <c r="E77" s="97" t="s">
        <v>726</v>
      </c>
      <c r="F77" s="106"/>
      <c r="G77" s="100"/>
      <c r="H77" s="101"/>
      <c r="I77" s="442">
        <f t="shared" ref="I77:U77" si="183">SUM(I71:I76)</f>
        <v>6393231</v>
      </c>
      <c r="J77" s="438">
        <f t="shared" si="183"/>
        <v>4695342</v>
      </c>
      <c r="K77" s="438">
        <f t="shared" si="183"/>
        <v>3965217</v>
      </c>
      <c r="L77" s="438">
        <f t="shared" si="183"/>
        <v>730125</v>
      </c>
      <c r="M77" s="438">
        <f t="shared" si="183"/>
        <v>0</v>
      </c>
      <c r="N77" s="438">
        <f t="shared" si="183"/>
        <v>0</v>
      </c>
      <c r="O77" s="438">
        <f t="shared" si="183"/>
        <v>0</v>
      </c>
      <c r="P77" s="438">
        <f t="shared" si="183"/>
        <v>1587025</v>
      </c>
      <c r="Q77" s="438">
        <f t="shared" si="183"/>
        <v>46953</v>
      </c>
      <c r="R77" s="438">
        <f t="shared" si="183"/>
        <v>63911</v>
      </c>
      <c r="S77" s="439">
        <f t="shared" si="183"/>
        <v>8.7283000000000008</v>
      </c>
      <c r="T77" s="439">
        <f t="shared" si="183"/>
        <v>6.5831999999999997</v>
      </c>
      <c r="U77" s="814">
        <f t="shared" si="183"/>
        <v>2.1450999999999998</v>
      </c>
      <c r="V77" s="442">
        <f t="shared" ref="V77:CF77" si="184">SUM(V71:V76)</f>
        <v>0</v>
      </c>
      <c r="W77" s="438">
        <f t="shared" si="184"/>
        <v>0</v>
      </c>
      <c r="X77" s="438">
        <f t="shared" si="184"/>
        <v>1176562</v>
      </c>
      <c r="Y77" s="438">
        <f t="shared" si="184"/>
        <v>0</v>
      </c>
      <c r="Z77" s="438">
        <f t="shared" si="184"/>
        <v>0</v>
      </c>
      <c r="AA77" s="438">
        <f t="shared" si="184"/>
        <v>0</v>
      </c>
      <c r="AB77" s="438">
        <f t="shared" si="184"/>
        <v>0</v>
      </c>
      <c r="AC77" s="438">
        <f t="shared" si="184"/>
        <v>0</v>
      </c>
      <c r="AD77" s="438">
        <f t="shared" si="184"/>
        <v>-17842</v>
      </c>
      <c r="AE77" s="438">
        <f t="shared" si="184"/>
        <v>0</v>
      </c>
      <c r="AF77" s="438">
        <f t="shared" si="184"/>
        <v>1158720</v>
      </c>
      <c r="AG77" s="438">
        <f t="shared" si="184"/>
        <v>0</v>
      </c>
      <c r="AH77" s="438">
        <f t="shared" si="184"/>
        <v>1158720</v>
      </c>
      <c r="AI77" s="438">
        <f t="shared" si="184"/>
        <v>0</v>
      </c>
      <c r="AJ77" s="438">
        <f t="shared" si="184"/>
        <v>0</v>
      </c>
      <c r="AK77" s="438">
        <f t="shared" si="184"/>
        <v>0</v>
      </c>
      <c r="AL77" s="438">
        <f t="shared" si="184"/>
        <v>0</v>
      </c>
      <c r="AM77" s="438">
        <f t="shared" si="184"/>
        <v>0</v>
      </c>
      <c r="AN77" s="438">
        <f t="shared" si="184"/>
        <v>0</v>
      </c>
      <c r="AO77" s="438">
        <f t="shared" si="184"/>
        <v>0</v>
      </c>
      <c r="AP77" s="438">
        <f t="shared" si="184"/>
        <v>0</v>
      </c>
      <c r="AQ77" s="438">
        <f t="shared" si="184"/>
        <v>0</v>
      </c>
      <c r="AR77" s="438">
        <f t="shared" si="184"/>
        <v>1158720</v>
      </c>
      <c r="AS77" s="438">
        <f t="shared" si="184"/>
        <v>0</v>
      </c>
      <c r="AT77" s="438">
        <f t="shared" si="184"/>
        <v>1158720</v>
      </c>
      <c r="AU77" s="438">
        <f t="shared" si="184"/>
        <v>391647</v>
      </c>
      <c r="AV77" s="438">
        <f t="shared" si="184"/>
        <v>11588</v>
      </c>
      <c r="AW77" s="438">
        <f t="shared" si="184"/>
        <v>0</v>
      </c>
      <c r="AX77" s="438">
        <f t="shared" si="184"/>
        <v>0</v>
      </c>
      <c r="AY77" s="438">
        <f t="shared" si="184"/>
        <v>0</v>
      </c>
      <c r="AZ77" s="438">
        <f t="shared" si="184"/>
        <v>1561955</v>
      </c>
      <c r="BA77" s="439">
        <f t="shared" si="184"/>
        <v>0</v>
      </c>
      <c r="BB77" s="439">
        <f t="shared" si="184"/>
        <v>0</v>
      </c>
      <c r="BC77" s="439">
        <f t="shared" si="184"/>
        <v>3.04</v>
      </c>
      <c r="BD77" s="439">
        <f t="shared" si="184"/>
        <v>0</v>
      </c>
      <c r="BE77" s="439">
        <f t="shared" si="184"/>
        <v>0</v>
      </c>
      <c r="BF77" s="439">
        <f t="shared" si="184"/>
        <v>0</v>
      </c>
      <c r="BG77" s="439">
        <f t="shared" si="184"/>
        <v>0</v>
      </c>
      <c r="BH77" s="439">
        <f t="shared" si="184"/>
        <v>0</v>
      </c>
      <c r="BI77" s="439">
        <f t="shared" si="184"/>
        <v>0</v>
      </c>
      <c r="BJ77" s="439">
        <f t="shared" si="184"/>
        <v>0</v>
      </c>
      <c r="BK77" s="439">
        <f t="shared" si="184"/>
        <v>3.04</v>
      </c>
      <c r="BL77" s="439">
        <f t="shared" si="184"/>
        <v>0</v>
      </c>
      <c r="BM77" s="103">
        <f t="shared" si="184"/>
        <v>3.04</v>
      </c>
      <c r="BN77" s="444">
        <f t="shared" si="184"/>
        <v>7955186</v>
      </c>
      <c r="BO77" s="438">
        <f t="shared" si="184"/>
        <v>5854062</v>
      </c>
      <c r="BP77" s="438">
        <f t="shared" si="184"/>
        <v>5123937</v>
      </c>
      <c r="BQ77" s="438">
        <f t="shared" si="184"/>
        <v>730125</v>
      </c>
      <c r="BR77" s="438">
        <f t="shared" si="184"/>
        <v>0</v>
      </c>
      <c r="BS77" s="438">
        <f t="shared" si="184"/>
        <v>0</v>
      </c>
      <c r="BT77" s="438">
        <f t="shared" si="184"/>
        <v>0</v>
      </c>
      <c r="BU77" s="438">
        <f t="shared" si="184"/>
        <v>1978672</v>
      </c>
      <c r="BV77" s="438">
        <f t="shared" si="184"/>
        <v>58541</v>
      </c>
      <c r="BW77" s="438">
        <f t="shared" si="184"/>
        <v>63911</v>
      </c>
      <c r="BX77" s="439">
        <f t="shared" si="184"/>
        <v>11.7683</v>
      </c>
      <c r="BY77" s="439">
        <f t="shared" si="184"/>
        <v>9.6231999999999989</v>
      </c>
      <c r="BZ77" s="814">
        <f t="shared" si="184"/>
        <v>2.1450999999999998</v>
      </c>
      <c r="CA77" s="819">
        <f t="shared" si="184"/>
        <v>0</v>
      </c>
      <c r="CB77" s="817">
        <f t="shared" si="184"/>
        <v>0</v>
      </c>
      <c r="CC77" s="817">
        <f t="shared" si="184"/>
        <v>0</v>
      </c>
      <c r="CD77" s="817">
        <f t="shared" si="184"/>
        <v>0</v>
      </c>
      <c r="CE77" s="817">
        <f t="shared" si="184"/>
        <v>0</v>
      </c>
      <c r="CF77" s="802">
        <f t="shared" si="184"/>
        <v>0</v>
      </c>
    </row>
    <row r="78" spans="1:84" s="96" customFormat="1" ht="14.1" customHeight="1" x14ac:dyDescent="0.2">
      <c r="A78" s="118">
        <v>11</v>
      </c>
      <c r="B78" s="102">
        <v>2464</v>
      </c>
      <c r="C78" s="93">
        <v>600080081</v>
      </c>
      <c r="D78" s="77">
        <v>72753846</v>
      </c>
      <c r="E78" s="77" t="s">
        <v>727</v>
      </c>
      <c r="F78" s="94">
        <v>3111</v>
      </c>
      <c r="G78" s="77" t="s">
        <v>291</v>
      </c>
      <c r="H78" s="95" t="s">
        <v>271</v>
      </c>
      <c r="I78" s="669">
        <f t="shared" ref="I78:I127" si="185">J78+M78+P78+Q78+R78</f>
        <v>1735116</v>
      </c>
      <c r="J78" s="668">
        <f t="shared" ref="J78:J127" si="186">K78+L78</f>
        <v>1281783</v>
      </c>
      <c r="K78" s="668">
        <v>1221879</v>
      </c>
      <c r="L78" s="668">
        <v>59904</v>
      </c>
      <c r="M78" s="668">
        <f t="shared" si="8"/>
        <v>0</v>
      </c>
      <c r="N78" s="668">
        <v>0</v>
      </c>
      <c r="O78" s="668">
        <v>0</v>
      </c>
      <c r="P78" s="668">
        <f t="shared" ref="P78:P127" si="187">ROUND(J78*33.8%,0)</f>
        <v>433243</v>
      </c>
      <c r="Q78" s="668">
        <f t="shared" ref="Q78:Q127" si="188">ROUND(J78*1%,0)</f>
        <v>12818</v>
      </c>
      <c r="R78" s="668">
        <v>7272</v>
      </c>
      <c r="S78" s="420">
        <f t="shared" ref="S78:S127" si="189">T78+U78</f>
        <v>2.4962</v>
      </c>
      <c r="T78" s="420">
        <v>2.2562000000000002</v>
      </c>
      <c r="U78" s="946">
        <v>0.24</v>
      </c>
      <c r="V78" s="428">
        <f t="shared" ref="V78:W83" si="190">AI78*-1</f>
        <v>0</v>
      </c>
      <c r="W78" s="421">
        <f t="shared" si="190"/>
        <v>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ref="AF78:AF127" si="191">V78+X78+Y78+AA78+AB78+AD78</f>
        <v>0</v>
      </c>
      <c r="AG78" s="421">
        <f t="shared" ref="AG78:AG127" si="192">W78+Z78+AC78+AE78</f>
        <v>0</v>
      </c>
      <c r="AH78" s="421">
        <f t="shared" ref="AH78:AH127" si="193">SUM(AF78:AG78)</f>
        <v>0</v>
      </c>
      <c r="AI78" s="421">
        <v>0</v>
      </c>
      <c r="AJ78" s="421">
        <v>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ref="AO78:AO83" si="194">AI78+AK78+AL78+AM78</f>
        <v>0</v>
      </c>
      <c r="AP78" s="421">
        <f t="shared" ref="AP78:AP83" si="195">AJ78+AN78</f>
        <v>0</v>
      </c>
      <c r="AQ78" s="421">
        <f t="shared" ref="AQ78:AQ127" si="196">SUM(AO78:AP78)</f>
        <v>0</v>
      </c>
      <c r="AR78" s="421">
        <f t="shared" ref="AR78:AR127" si="197">AF78+AO78</f>
        <v>0</v>
      </c>
      <c r="AS78" s="421">
        <f t="shared" ref="AS78:AS127" si="198">AG78+AP78</f>
        <v>0</v>
      </c>
      <c r="AT78" s="421">
        <f t="shared" ref="AT78:AT127" si="199">SUM(AR78:AS78)</f>
        <v>0</v>
      </c>
      <c r="AU78" s="68">
        <f t="shared" ref="AU78:AU83" si="200">ROUND((AH78+AI78+AJ78+AK78+AL78)*33.8%,0)</f>
        <v>0</v>
      </c>
      <c r="AV78" s="68">
        <f t="shared" ref="AV78:AV127" si="201">ROUND(AH78*1%,0)</f>
        <v>0</v>
      </c>
      <c r="AW78" s="421">
        <v>0</v>
      </c>
      <c r="AX78" s="421">
        <v>0</v>
      </c>
      <c r="AY78" s="421">
        <f t="shared" ref="AY78:AY127" si="202">AW78+AX78</f>
        <v>0</v>
      </c>
      <c r="AZ78" s="421">
        <f t="shared" ref="AZ78:AZ127" si="203">AT78+AU78+AV78+AY78</f>
        <v>0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 t="shared" ref="BK78:BK83" si="204">BA78+BC78+BD78+BF78+BH78+BI78</f>
        <v>0</v>
      </c>
      <c r="BL78" s="422">
        <f t="shared" ref="BL78:BL83" si="205">BB78+BE78+BG78+BJ78</f>
        <v>0</v>
      </c>
      <c r="BM78" s="424">
        <f t="shared" ref="BM78:BM83" si="206">SUM(BK78:BL78)</f>
        <v>0</v>
      </c>
      <c r="BN78" s="427">
        <f t="shared" ref="BN78:BN127" si="207">I78+AZ78</f>
        <v>1735116</v>
      </c>
      <c r="BO78" s="421">
        <f t="shared" ref="BO78:BO127" si="208">J78+AH78</f>
        <v>1281783</v>
      </c>
      <c r="BP78" s="421">
        <f t="shared" ref="BP78:BQ83" si="209">K78+AF78</f>
        <v>1221879</v>
      </c>
      <c r="BQ78" s="421">
        <f t="shared" si="209"/>
        <v>59904</v>
      </c>
      <c r="BR78" s="421">
        <f t="shared" ref="BR78:BR83" si="210">M78+AQ78</f>
        <v>0</v>
      </c>
      <c r="BS78" s="421">
        <f t="shared" ref="BS78:BT83" si="211">N78+AO78</f>
        <v>0</v>
      </c>
      <c r="BT78" s="421">
        <f t="shared" si="211"/>
        <v>0</v>
      </c>
      <c r="BU78" s="421">
        <f t="shared" ref="BU78:BV83" si="212">P78+AU78</f>
        <v>433243</v>
      </c>
      <c r="BV78" s="421">
        <f t="shared" si="212"/>
        <v>12818</v>
      </c>
      <c r="BW78" s="421">
        <f t="shared" ref="BW78:BW83" si="213">R78+AY78</f>
        <v>7272</v>
      </c>
      <c r="BX78" s="422">
        <f t="shared" ref="BX78:BX83" si="214">S78+BM78</f>
        <v>2.4962</v>
      </c>
      <c r="BY78" s="422">
        <f t="shared" ref="BY78:BZ83" si="215">T78+BK78</f>
        <v>2.2562000000000002</v>
      </c>
      <c r="BZ78" s="611">
        <f t="shared" si="215"/>
        <v>0.24</v>
      </c>
      <c r="CA78" s="423"/>
      <c r="CB78" s="418"/>
      <c r="CC78" s="418"/>
      <c r="CD78" s="418"/>
      <c r="CE78" s="418"/>
      <c r="CF78" s="527"/>
    </row>
    <row r="79" spans="1:84" s="96" customFormat="1" ht="14.1" customHeight="1" x14ac:dyDescent="0.2">
      <c r="A79" s="118">
        <v>11</v>
      </c>
      <c r="B79" s="104">
        <v>2464</v>
      </c>
      <c r="C79" s="93">
        <v>600080081</v>
      </c>
      <c r="D79" s="77">
        <v>72753846</v>
      </c>
      <c r="E79" s="104" t="s">
        <v>727</v>
      </c>
      <c r="F79" s="105">
        <v>3117</v>
      </c>
      <c r="G79" s="104" t="s">
        <v>309</v>
      </c>
      <c r="H79" s="95" t="s">
        <v>271</v>
      </c>
      <c r="I79" s="669">
        <f t="shared" si="185"/>
        <v>1055207</v>
      </c>
      <c r="J79" s="668">
        <f t="shared" si="186"/>
        <v>776476</v>
      </c>
      <c r="K79" s="668">
        <v>650917</v>
      </c>
      <c r="L79" s="668">
        <v>125559</v>
      </c>
      <c r="M79" s="668">
        <f t="shared" ref="M79:M83" si="216">N79+O79</f>
        <v>0</v>
      </c>
      <c r="N79" s="668">
        <v>0</v>
      </c>
      <c r="O79" s="668">
        <v>0</v>
      </c>
      <c r="P79" s="668">
        <f>ROUND(J79*33.8%,0)-1</f>
        <v>262448</v>
      </c>
      <c r="Q79" s="668">
        <f>ROUND(J79*1%,0)-1</f>
        <v>7764</v>
      </c>
      <c r="R79" s="668">
        <v>8519</v>
      </c>
      <c r="S79" s="420">
        <f t="shared" si="189"/>
        <v>1.4622999999999999</v>
      </c>
      <c r="T79" s="420">
        <v>1.1389</v>
      </c>
      <c r="U79" s="946">
        <v>0.32339999999999997</v>
      </c>
      <c r="V79" s="428">
        <f t="shared" si="190"/>
        <v>-12800</v>
      </c>
      <c r="W79" s="421">
        <f t="shared" si="190"/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 t="shared" si="191"/>
        <v>-12800</v>
      </c>
      <c r="AG79" s="421">
        <f t="shared" si="192"/>
        <v>0</v>
      </c>
      <c r="AH79" s="421">
        <f t="shared" si="193"/>
        <v>-12800</v>
      </c>
      <c r="AI79" s="421">
        <v>12800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si="194"/>
        <v>12800</v>
      </c>
      <c r="AP79" s="421">
        <f t="shared" si="195"/>
        <v>0</v>
      </c>
      <c r="AQ79" s="421">
        <f t="shared" si="196"/>
        <v>12800</v>
      </c>
      <c r="AR79" s="421">
        <f t="shared" si="197"/>
        <v>0</v>
      </c>
      <c r="AS79" s="421">
        <f t="shared" si="198"/>
        <v>0</v>
      </c>
      <c r="AT79" s="421">
        <f t="shared" si="199"/>
        <v>0</v>
      </c>
      <c r="AU79" s="68">
        <f t="shared" si="200"/>
        <v>0</v>
      </c>
      <c r="AV79" s="68">
        <f t="shared" si="201"/>
        <v>-128</v>
      </c>
      <c r="AW79" s="421">
        <v>0</v>
      </c>
      <c r="AX79" s="421">
        <v>0</v>
      </c>
      <c r="AY79" s="421">
        <f t="shared" si="202"/>
        <v>0</v>
      </c>
      <c r="AZ79" s="421">
        <f t="shared" si="203"/>
        <v>-128</v>
      </c>
      <c r="BA79" s="422">
        <v>-0.02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 t="shared" si="204"/>
        <v>-0.02</v>
      </c>
      <c r="BL79" s="422">
        <f t="shared" si="205"/>
        <v>0</v>
      </c>
      <c r="BM79" s="424">
        <f t="shared" si="206"/>
        <v>-0.02</v>
      </c>
      <c r="BN79" s="427">
        <f t="shared" si="207"/>
        <v>1055079</v>
      </c>
      <c r="BO79" s="421">
        <f t="shared" si="208"/>
        <v>763676</v>
      </c>
      <c r="BP79" s="421">
        <f t="shared" si="209"/>
        <v>638117</v>
      </c>
      <c r="BQ79" s="421">
        <f t="shared" si="209"/>
        <v>125559</v>
      </c>
      <c r="BR79" s="421">
        <f t="shared" si="210"/>
        <v>12800</v>
      </c>
      <c r="BS79" s="421">
        <f t="shared" si="211"/>
        <v>12800</v>
      </c>
      <c r="BT79" s="421">
        <f t="shared" si="211"/>
        <v>0</v>
      </c>
      <c r="BU79" s="421">
        <f t="shared" si="212"/>
        <v>262448</v>
      </c>
      <c r="BV79" s="421">
        <f t="shared" si="212"/>
        <v>7636</v>
      </c>
      <c r="BW79" s="421">
        <f t="shared" si="213"/>
        <v>8519</v>
      </c>
      <c r="BX79" s="422">
        <f t="shared" si="214"/>
        <v>1.4422999999999999</v>
      </c>
      <c r="BY79" s="422">
        <f t="shared" si="215"/>
        <v>1.1189</v>
      </c>
      <c r="BZ79" s="611">
        <f t="shared" si="215"/>
        <v>0.32339999999999997</v>
      </c>
      <c r="CA79" s="423"/>
      <c r="CB79" s="418"/>
      <c r="CC79" s="418"/>
      <c r="CD79" s="418"/>
      <c r="CE79" s="418"/>
      <c r="CF79" s="527"/>
    </row>
    <row r="80" spans="1:84" s="96" customFormat="1" ht="14.1" customHeight="1" x14ac:dyDescent="0.2">
      <c r="A80" s="118">
        <v>11</v>
      </c>
      <c r="B80" s="102">
        <v>2464</v>
      </c>
      <c r="C80" s="93">
        <v>600080081</v>
      </c>
      <c r="D80" s="77">
        <v>72753846</v>
      </c>
      <c r="E80" s="102" t="s">
        <v>727</v>
      </c>
      <c r="F80" s="94">
        <v>3117</v>
      </c>
      <c r="G80" s="77" t="s">
        <v>292</v>
      </c>
      <c r="H80" s="95" t="s">
        <v>272</v>
      </c>
      <c r="I80" s="669">
        <f t="shared" si="185"/>
        <v>0</v>
      </c>
      <c r="J80" s="668">
        <f t="shared" si="186"/>
        <v>0</v>
      </c>
      <c r="K80" s="668">
        <v>0</v>
      </c>
      <c r="L80" s="668">
        <v>0</v>
      </c>
      <c r="M80" s="668">
        <f t="shared" si="216"/>
        <v>0</v>
      </c>
      <c r="N80" s="668">
        <v>0</v>
      </c>
      <c r="O80" s="668">
        <v>0</v>
      </c>
      <c r="P80" s="668">
        <f t="shared" si="187"/>
        <v>0</v>
      </c>
      <c r="Q80" s="668">
        <f t="shared" si="188"/>
        <v>0</v>
      </c>
      <c r="R80" s="668">
        <v>0</v>
      </c>
      <c r="S80" s="420">
        <f t="shared" si="189"/>
        <v>0</v>
      </c>
      <c r="T80" s="420">
        <v>0</v>
      </c>
      <c r="U80" s="946">
        <v>0</v>
      </c>
      <c r="V80" s="428">
        <f t="shared" si="190"/>
        <v>0</v>
      </c>
      <c r="W80" s="421">
        <f t="shared" si="190"/>
        <v>0</v>
      </c>
      <c r="X80" s="16">
        <v>370801</v>
      </c>
      <c r="Y80" s="16">
        <v>0</v>
      </c>
      <c r="Z80" s="16">
        <v>0</v>
      </c>
      <c r="AA80" s="16">
        <v>0</v>
      </c>
      <c r="AB80" s="421">
        <v>0</v>
      </c>
      <c r="AC80" s="16">
        <v>0</v>
      </c>
      <c r="AD80" s="16">
        <v>0</v>
      </c>
      <c r="AE80" s="16">
        <v>0</v>
      </c>
      <c r="AF80" s="421">
        <f t="shared" si="191"/>
        <v>370801</v>
      </c>
      <c r="AG80" s="421">
        <f t="shared" si="192"/>
        <v>0</v>
      </c>
      <c r="AH80" s="421">
        <f t="shared" si="193"/>
        <v>370801</v>
      </c>
      <c r="AI80" s="16">
        <v>0</v>
      </c>
      <c r="AJ80" s="16">
        <v>0</v>
      </c>
      <c r="AK80" s="421">
        <v>0</v>
      </c>
      <c r="AL80" s="16">
        <v>0</v>
      </c>
      <c r="AM80" s="16">
        <v>0</v>
      </c>
      <c r="AN80" s="16">
        <v>0</v>
      </c>
      <c r="AO80" s="421">
        <f t="shared" si="194"/>
        <v>0</v>
      </c>
      <c r="AP80" s="16">
        <v>0</v>
      </c>
      <c r="AQ80" s="421">
        <f t="shared" si="196"/>
        <v>0</v>
      </c>
      <c r="AR80" s="421">
        <f t="shared" si="197"/>
        <v>370801</v>
      </c>
      <c r="AS80" s="421">
        <f t="shared" si="198"/>
        <v>0</v>
      </c>
      <c r="AT80" s="421">
        <f t="shared" si="199"/>
        <v>370801</v>
      </c>
      <c r="AU80" s="68">
        <f t="shared" si="200"/>
        <v>125331</v>
      </c>
      <c r="AV80" s="68">
        <f t="shared" si="201"/>
        <v>3708</v>
      </c>
      <c r="AW80" s="16">
        <v>0</v>
      </c>
      <c r="AX80" s="16">
        <v>0</v>
      </c>
      <c r="AY80" s="421">
        <f t="shared" si="202"/>
        <v>0</v>
      </c>
      <c r="AZ80" s="421">
        <f t="shared" si="203"/>
        <v>499840</v>
      </c>
      <c r="BA80" s="13">
        <v>0</v>
      </c>
      <c r="BB80" s="13">
        <v>0</v>
      </c>
      <c r="BC80" s="13">
        <v>1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 t="shared" si="204"/>
        <v>1</v>
      </c>
      <c r="BL80" s="422">
        <f t="shared" si="205"/>
        <v>0</v>
      </c>
      <c r="BM80" s="424">
        <f t="shared" si="206"/>
        <v>1</v>
      </c>
      <c r="BN80" s="427">
        <f t="shared" si="207"/>
        <v>499840</v>
      </c>
      <c r="BO80" s="421">
        <f t="shared" si="208"/>
        <v>370801</v>
      </c>
      <c r="BP80" s="421">
        <f t="shared" si="209"/>
        <v>370801</v>
      </c>
      <c r="BQ80" s="421">
        <f t="shared" si="209"/>
        <v>0</v>
      </c>
      <c r="BR80" s="421">
        <f t="shared" si="210"/>
        <v>0</v>
      </c>
      <c r="BS80" s="421">
        <f t="shared" si="211"/>
        <v>0</v>
      </c>
      <c r="BT80" s="421">
        <f t="shared" si="211"/>
        <v>0</v>
      </c>
      <c r="BU80" s="421">
        <f t="shared" si="212"/>
        <v>125331</v>
      </c>
      <c r="BV80" s="421">
        <f t="shared" si="212"/>
        <v>3708</v>
      </c>
      <c r="BW80" s="421">
        <f t="shared" si="213"/>
        <v>0</v>
      </c>
      <c r="BX80" s="422">
        <f t="shared" si="214"/>
        <v>1</v>
      </c>
      <c r="BY80" s="422">
        <f t="shared" si="215"/>
        <v>1</v>
      </c>
      <c r="BZ80" s="611">
        <f t="shared" si="215"/>
        <v>0</v>
      </c>
      <c r="CA80" s="423"/>
      <c r="CB80" s="418"/>
      <c r="CC80" s="418"/>
      <c r="CD80" s="418"/>
      <c r="CE80" s="418"/>
      <c r="CF80" s="527"/>
    </row>
    <row r="81" spans="1:84" s="96" customFormat="1" ht="14.1" customHeight="1" x14ac:dyDescent="0.2">
      <c r="A81" s="118">
        <v>11</v>
      </c>
      <c r="B81" s="77">
        <v>2464</v>
      </c>
      <c r="C81" s="93">
        <v>600080081</v>
      </c>
      <c r="D81" s="77">
        <v>72753846</v>
      </c>
      <c r="E81" s="77" t="s">
        <v>727</v>
      </c>
      <c r="F81" s="94">
        <v>3141</v>
      </c>
      <c r="G81" s="77" t="s">
        <v>295</v>
      </c>
      <c r="H81" s="95" t="s">
        <v>272</v>
      </c>
      <c r="I81" s="669">
        <f t="shared" si="185"/>
        <v>246529</v>
      </c>
      <c r="J81" s="668">
        <f t="shared" si="186"/>
        <v>182314</v>
      </c>
      <c r="K81" s="668">
        <v>0</v>
      </c>
      <c r="L81" s="674">
        <v>182314</v>
      </c>
      <c r="M81" s="668">
        <f t="shared" si="216"/>
        <v>0</v>
      </c>
      <c r="N81" s="668">
        <v>0</v>
      </c>
      <c r="O81" s="668">
        <v>0</v>
      </c>
      <c r="P81" s="668">
        <f t="shared" si="187"/>
        <v>61622</v>
      </c>
      <c r="Q81" s="668">
        <f t="shared" si="188"/>
        <v>1823</v>
      </c>
      <c r="R81" s="668">
        <v>770</v>
      </c>
      <c r="S81" s="420">
        <f t="shared" si="189"/>
        <v>0.54669999999999996</v>
      </c>
      <c r="T81" s="420">
        <v>0</v>
      </c>
      <c r="U81" s="946">
        <v>0.54669999999999996</v>
      </c>
      <c r="V81" s="428">
        <f t="shared" si="190"/>
        <v>0</v>
      </c>
      <c r="W81" s="421">
        <f t="shared" si="190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 t="shared" si="191"/>
        <v>0</v>
      </c>
      <c r="AG81" s="421">
        <f t="shared" si="192"/>
        <v>0</v>
      </c>
      <c r="AH81" s="421">
        <f t="shared" si="193"/>
        <v>0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194"/>
        <v>0</v>
      </c>
      <c r="AP81" s="421">
        <f t="shared" si="195"/>
        <v>0</v>
      </c>
      <c r="AQ81" s="421">
        <f t="shared" si="196"/>
        <v>0</v>
      </c>
      <c r="AR81" s="421">
        <f t="shared" si="197"/>
        <v>0</v>
      </c>
      <c r="AS81" s="421">
        <f t="shared" si="198"/>
        <v>0</v>
      </c>
      <c r="AT81" s="421">
        <f t="shared" si="199"/>
        <v>0</v>
      </c>
      <c r="AU81" s="68">
        <f t="shared" si="200"/>
        <v>0</v>
      </c>
      <c r="AV81" s="68">
        <f t="shared" si="201"/>
        <v>0</v>
      </c>
      <c r="AW81" s="421">
        <v>0</v>
      </c>
      <c r="AX81" s="421">
        <v>0</v>
      </c>
      <c r="AY81" s="421">
        <f t="shared" si="202"/>
        <v>0</v>
      </c>
      <c r="AZ81" s="421">
        <f t="shared" si="203"/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 t="shared" si="204"/>
        <v>0</v>
      </c>
      <c r="BL81" s="422">
        <f t="shared" si="205"/>
        <v>0</v>
      </c>
      <c r="BM81" s="424">
        <f t="shared" si="206"/>
        <v>0</v>
      </c>
      <c r="BN81" s="427">
        <f t="shared" si="207"/>
        <v>246529</v>
      </c>
      <c r="BO81" s="421">
        <f t="shared" si="208"/>
        <v>182314</v>
      </c>
      <c r="BP81" s="421">
        <f t="shared" si="209"/>
        <v>0</v>
      </c>
      <c r="BQ81" s="421">
        <f t="shared" si="209"/>
        <v>182314</v>
      </c>
      <c r="BR81" s="421">
        <f t="shared" si="210"/>
        <v>0</v>
      </c>
      <c r="BS81" s="421">
        <f t="shared" si="211"/>
        <v>0</v>
      </c>
      <c r="BT81" s="421">
        <f t="shared" si="211"/>
        <v>0</v>
      </c>
      <c r="BU81" s="421">
        <f t="shared" si="212"/>
        <v>61622</v>
      </c>
      <c r="BV81" s="421">
        <f t="shared" si="212"/>
        <v>1823</v>
      </c>
      <c r="BW81" s="421">
        <f t="shared" si="213"/>
        <v>770</v>
      </c>
      <c r="BX81" s="422">
        <f t="shared" si="214"/>
        <v>0.54669999999999996</v>
      </c>
      <c r="BY81" s="422">
        <f t="shared" si="215"/>
        <v>0</v>
      </c>
      <c r="BZ81" s="611">
        <f t="shared" si="215"/>
        <v>0.54669999999999996</v>
      </c>
      <c r="CA81" s="423"/>
      <c r="CB81" s="418"/>
      <c r="CC81" s="418"/>
      <c r="CD81" s="418"/>
      <c r="CE81" s="418"/>
      <c r="CF81" s="527"/>
    </row>
    <row r="82" spans="1:84" s="96" customFormat="1" ht="14.1" customHeight="1" x14ac:dyDescent="0.2">
      <c r="A82" s="118">
        <v>11</v>
      </c>
      <c r="B82" s="77">
        <v>2464</v>
      </c>
      <c r="C82" s="93">
        <v>600080081</v>
      </c>
      <c r="D82" s="77">
        <v>72753846</v>
      </c>
      <c r="E82" s="77" t="s">
        <v>727</v>
      </c>
      <c r="F82" s="94">
        <v>3143</v>
      </c>
      <c r="G82" s="77" t="s">
        <v>596</v>
      </c>
      <c r="H82" s="95" t="s">
        <v>271</v>
      </c>
      <c r="I82" s="669">
        <f t="shared" si="185"/>
        <v>595117</v>
      </c>
      <c r="J82" s="668">
        <f t="shared" si="186"/>
        <v>441481</v>
      </c>
      <c r="K82" s="668">
        <v>441481</v>
      </c>
      <c r="L82" s="668">
        <v>0</v>
      </c>
      <c r="M82" s="668">
        <f t="shared" si="216"/>
        <v>0</v>
      </c>
      <c r="N82" s="668">
        <v>0</v>
      </c>
      <c r="O82" s="668">
        <v>0</v>
      </c>
      <c r="P82" s="668">
        <f t="shared" si="187"/>
        <v>149221</v>
      </c>
      <c r="Q82" s="668">
        <f t="shared" si="188"/>
        <v>4415</v>
      </c>
      <c r="R82" s="668">
        <v>0</v>
      </c>
      <c r="S82" s="420">
        <f t="shared" si="189"/>
        <v>1.0832999999999999</v>
      </c>
      <c r="T82" s="420">
        <v>1.0832999999999999</v>
      </c>
      <c r="U82" s="946">
        <v>0</v>
      </c>
      <c r="V82" s="428">
        <f t="shared" si="190"/>
        <v>0</v>
      </c>
      <c r="W82" s="421">
        <f t="shared" si="190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 t="shared" si="191"/>
        <v>0</v>
      </c>
      <c r="AG82" s="421">
        <f t="shared" si="192"/>
        <v>0</v>
      </c>
      <c r="AH82" s="421">
        <f t="shared" si="193"/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194"/>
        <v>0</v>
      </c>
      <c r="AP82" s="421">
        <f t="shared" si="195"/>
        <v>0</v>
      </c>
      <c r="AQ82" s="421">
        <f t="shared" si="196"/>
        <v>0</v>
      </c>
      <c r="AR82" s="421">
        <f t="shared" si="197"/>
        <v>0</v>
      </c>
      <c r="AS82" s="421">
        <f t="shared" si="198"/>
        <v>0</v>
      </c>
      <c r="AT82" s="421">
        <f t="shared" si="199"/>
        <v>0</v>
      </c>
      <c r="AU82" s="68">
        <f t="shared" si="200"/>
        <v>0</v>
      </c>
      <c r="AV82" s="68">
        <f t="shared" si="201"/>
        <v>0</v>
      </c>
      <c r="AW82" s="421">
        <v>0</v>
      </c>
      <c r="AX82" s="421">
        <v>0</v>
      </c>
      <c r="AY82" s="421">
        <f t="shared" si="202"/>
        <v>0</v>
      </c>
      <c r="AZ82" s="421">
        <f t="shared" si="203"/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 t="shared" si="204"/>
        <v>0</v>
      </c>
      <c r="BL82" s="422">
        <f t="shared" si="205"/>
        <v>0</v>
      </c>
      <c r="BM82" s="424">
        <f t="shared" si="206"/>
        <v>0</v>
      </c>
      <c r="BN82" s="427">
        <f t="shared" si="207"/>
        <v>595117</v>
      </c>
      <c r="BO82" s="421">
        <f t="shared" si="208"/>
        <v>441481</v>
      </c>
      <c r="BP82" s="421">
        <f t="shared" si="209"/>
        <v>441481</v>
      </c>
      <c r="BQ82" s="421">
        <f t="shared" si="209"/>
        <v>0</v>
      </c>
      <c r="BR82" s="421">
        <f t="shared" si="210"/>
        <v>0</v>
      </c>
      <c r="BS82" s="421">
        <f t="shared" si="211"/>
        <v>0</v>
      </c>
      <c r="BT82" s="421">
        <f t="shared" si="211"/>
        <v>0</v>
      </c>
      <c r="BU82" s="421">
        <f t="shared" si="212"/>
        <v>149221</v>
      </c>
      <c r="BV82" s="421">
        <f t="shared" si="212"/>
        <v>4415</v>
      </c>
      <c r="BW82" s="421">
        <f t="shared" si="213"/>
        <v>0</v>
      </c>
      <c r="BX82" s="422">
        <f t="shared" si="214"/>
        <v>1.0832999999999999</v>
      </c>
      <c r="BY82" s="422">
        <f t="shared" si="215"/>
        <v>1.0832999999999999</v>
      </c>
      <c r="BZ82" s="611">
        <f t="shared" si="215"/>
        <v>0</v>
      </c>
      <c r="CA82" s="423"/>
      <c r="CB82" s="418"/>
      <c r="CC82" s="418"/>
      <c r="CD82" s="418"/>
      <c r="CE82" s="418"/>
      <c r="CF82" s="527"/>
    </row>
    <row r="83" spans="1:84" s="96" customFormat="1" ht="14.1" customHeight="1" x14ac:dyDescent="0.2">
      <c r="A83" s="118">
        <v>11</v>
      </c>
      <c r="B83" s="77">
        <v>2464</v>
      </c>
      <c r="C83" s="93">
        <v>600080081</v>
      </c>
      <c r="D83" s="77">
        <v>72753846</v>
      </c>
      <c r="E83" s="77" t="s">
        <v>727</v>
      </c>
      <c r="F83" s="94">
        <v>3143</v>
      </c>
      <c r="G83" s="77" t="s">
        <v>597</v>
      </c>
      <c r="H83" s="95" t="s">
        <v>272</v>
      </c>
      <c r="I83" s="669">
        <f t="shared" si="185"/>
        <v>3579</v>
      </c>
      <c r="J83" s="668">
        <f t="shared" si="186"/>
        <v>2561</v>
      </c>
      <c r="K83" s="668">
        <v>0</v>
      </c>
      <c r="L83" s="674">
        <v>2561</v>
      </c>
      <c r="M83" s="668">
        <f t="shared" si="216"/>
        <v>0</v>
      </c>
      <c r="N83" s="675">
        <v>0</v>
      </c>
      <c r="O83" s="675">
        <v>0</v>
      </c>
      <c r="P83" s="668">
        <f t="shared" si="187"/>
        <v>866</v>
      </c>
      <c r="Q83" s="668">
        <f t="shared" si="188"/>
        <v>26</v>
      </c>
      <c r="R83" s="675">
        <v>126</v>
      </c>
      <c r="S83" s="420">
        <f t="shared" si="189"/>
        <v>9.7000000000000003E-3</v>
      </c>
      <c r="T83" s="679">
        <v>0</v>
      </c>
      <c r="U83" s="909">
        <v>9.7000000000000003E-3</v>
      </c>
      <c r="V83" s="428">
        <f t="shared" si="190"/>
        <v>0</v>
      </c>
      <c r="W83" s="421">
        <f t="shared" si="190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191"/>
        <v>0</v>
      </c>
      <c r="AG83" s="421">
        <f t="shared" si="192"/>
        <v>0</v>
      </c>
      <c r="AH83" s="421">
        <f t="shared" si="193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194"/>
        <v>0</v>
      </c>
      <c r="AP83" s="421">
        <f t="shared" si="195"/>
        <v>0</v>
      </c>
      <c r="AQ83" s="421">
        <f t="shared" si="196"/>
        <v>0</v>
      </c>
      <c r="AR83" s="421">
        <f t="shared" si="197"/>
        <v>0</v>
      </c>
      <c r="AS83" s="421">
        <f t="shared" si="198"/>
        <v>0</v>
      </c>
      <c r="AT83" s="421">
        <f t="shared" si="199"/>
        <v>0</v>
      </c>
      <c r="AU83" s="68">
        <f t="shared" si="200"/>
        <v>0</v>
      </c>
      <c r="AV83" s="68">
        <f t="shared" si="201"/>
        <v>0</v>
      </c>
      <c r="AW83" s="421">
        <v>0</v>
      </c>
      <c r="AX83" s="421">
        <v>0</v>
      </c>
      <c r="AY83" s="421">
        <f t="shared" si="202"/>
        <v>0</v>
      </c>
      <c r="AZ83" s="421">
        <f t="shared" si="203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 t="shared" si="204"/>
        <v>0</v>
      </c>
      <c r="BL83" s="422">
        <f t="shared" si="205"/>
        <v>0</v>
      </c>
      <c r="BM83" s="424">
        <f t="shared" si="206"/>
        <v>0</v>
      </c>
      <c r="BN83" s="427">
        <f t="shared" si="207"/>
        <v>3579</v>
      </c>
      <c r="BO83" s="421">
        <f t="shared" si="208"/>
        <v>2561</v>
      </c>
      <c r="BP83" s="421">
        <f t="shared" si="209"/>
        <v>0</v>
      </c>
      <c r="BQ83" s="421">
        <f t="shared" si="209"/>
        <v>2561</v>
      </c>
      <c r="BR83" s="421">
        <f t="shared" si="210"/>
        <v>0</v>
      </c>
      <c r="BS83" s="421">
        <f t="shared" si="211"/>
        <v>0</v>
      </c>
      <c r="BT83" s="421">
        <f t="shared" si="211"/>
        <v>0</v>
      </c>
      <c r="BU83" s="421">
        <f t="shared" si="212"/>
        <v>866</v>
      </c>
      <c r="BV83" s="421">
        <f t="shared" si="212"/>
        <v>26</v>
      </c>
      <c r="BW83" s="421">
        <f t="shared" si="213"/>
        <v>126</v>
      </c>
      <c r="BX83" s="422">
        <f t="shared" si="214"/>
        <v>9.7000000000000003E-3</v>
      </c>
      <c r="BY83" s="422">
        <f t="shared" si="215"/>
        <v>0</v>
      </c>
      <c r="BZ83" s="611">
        <f t="shared" si="215"/>
        <v>9.7000000000000003E-3</v>
      </c>
      <c r="CA83" s="423"/>
      <c r="CB83" s="418"/>
      <c r="CC83" s="418"/>
      <c r="CD83" s="418"/>
      <c r="CE83" s="418"/>
      <c r="CF83" s="527"/>
    </row>
    <row r="84" spans="1:84" s="96" customFormat="1" ht="14.1" customHeight="1" x14ac:dyDescent="0.2">
      <c r="A84" s="119">
        <v>11</v>
      </c>
      <c r="B84" s="97">
        <v>2464</v>
      </c>
      <c r="C84" s="98">
        <v>600080081</v>
      </c>
      <c r="D84" s="97">
        <v>72753846</v>
      </c>
      <c r="E84" s="97" t="s">
        <v>728</v>
      </c>
      <c r="F84" s="106"/>
      <c r="G84" s="100"/>
      <c r="H84" s="101"/>
      <c r="I84" s="442">
        <f t="shared" ref="I84:U84" si="217">SUM(I78:I83)</f>
        <v>3635548</v>
      </c>
      <c r="J84" s="438">
        <f t="shared" si="217"/>
        <v>2684615</v>
      </c>
      <c r="K84" s="438">
        <f t="shared" si="217"/>
        <v>2314277</v>
      </c>
      <c r="L84" s="438">
        <f t="shared" si="217"/>
        <v>370338</v>
      </c>
      <c r="M84" s="438">
        <f t="shared" si="217"/>
        <v>0</v>
      </c>
      <c r="N84" s="438">
        <f t="shared" si="217"/>
        <v>0</v>
      </c>
      <c r="O84" s="438">
        <f t="shared" si="217"/>
        <v>0</v>
      </c>
      <c r="P84" s="438">
        <f t="shared" si="217"/>
        <v>907400</v>
      </c>
      <c r="Q84" s="438">
        <f t="shared" si="217"/>
        <v>26846</v>
      </c>
      <c r="R84" s="438">
        <f t="shared" si="217"/>
        <v>16687</v>
      </c>
      <c r="S84" s="439">
        <f t="shared" si="217"/>
        <v>5.5981999999999994</v>
      </c>
      <c r="T84" s="439">
        <f t="shared" si="217"/>
        <v>4.4784000000000006</v>
      </c>
      <c r="U84" s="814">
        <f t="shared" si="217"/>
        <v>1.1197999999999999</v>
      </c>
      <c r="V84" s="442">
        <f t="shared" ref="V84:CF84" si="218">SUM(V78:V83)</f>
        <v>-12800</v>
      </c>
      <c r="W84" s="438">
        <f t="shared" si="218"/>
        <v>0</v>
      </c>
      <c r="X84" s="438">
        <f t="shared" si="218"/>
        <v>370801</v>
      </c>
      <c r="Y84" s="438">
        <f t="shared" si="218"/>
        <v>0</v>
      </c>
      <c r="Z84" s="438">
        <f t="shared" si="218"/>
        <v>0</v>
      </c>
      <c r="AA84" s="438">
        <f t="shared" si="218"/>
        <v>0</v>
      </c>
      <c r="AB84" s="438">
        <f t="shared" si="218"/>
        <v>0</v>
      </c>
      <c r="AC84" s="438">
        <f t="shared" si="218"/>
        <v>0</v>
      </c>
      <c r="AD84" s="438">
        <f t="shared" si="218"/>
        <v>0</v>
      </c>
      <c r="AE84" s="438">
        <f t="shared" si="218"/>
        <v>0</v>
      </c>
      <c r="AF84" s="438">
        <f t="shared" si="218"/>
        <v>358001</v>
      </c>
      <c r="AG84" s="438">
        <f t="shared" si="218"/>
        <v>0</v>
      </c>
      <c r="AH84" s="438">
        <f t="shared" si="218"/>
        <v>358001</v>
      </c>
      <c r="AI84" s="438">
        <f t="shared" si="218"/>
        <v>12800</v>
      </c>
      <c r="AJ84" s="438">
        <f t="shared" si="218"/>
        <v>0</v>
      </c>
      <c r="AK84" s="438">
        <f t="shared" si="218"/>
        <v>0</v>
      </c>
      <c r="AL84" s="438">
        <f t="shared" si="218"/>
        <v>0</v>
      </c>
      <c r="AM84" s="438">
        <f t="shared" si="218"/>
        <v>0</v>
      </c>
      <c r="AN84" s="438">
        <f t="shared" si="218"/>
        <v>0</v>
      </c>
      <c r="AO84" s="438">
        <f t="shared" si="218"/>
        <v>12800</v>
      </c>
      <c r="AP84" s="438">
        <f t="shared" si="218"/>
        <v>0</v>
      </c>
      <c r="AQ84" s="438">
        <f t="shared" si="218"/>
        <v>12800</v>
      </c>
      <c r="AR84" s="438">
        <f t="shared" si="218"/>
        <v>370801</v>
      </c>
      <c r="AS84" s="438">
        <f t="shared" si="218"/>
        <v>0</v>
      </c>
      <c r="AT84" s="438">
        <f t="shared" si="218"/>
        <v>370801</v>
      </c>
      <c r="AU84" s="438">
        <f t="shared" si="218"/>
        <v>125331</v>
      </c>
      <c r="AV84" s="438">
        <f t="shared" si="218"/>
        <v>3580</v>
      </c>
      <c r="AW84" s="438">
        <f t="shared" si="218"/>
        <v>0</v>
      </c>
      <c r="AX84" s="438">
        <f t="shared" si="218"/>
        <v>0</v>
      </c>
      <c r="AY84" s="438">
        <f t="shared" si="218"/>
        <v>0</v>
      </c>
      <c r="AZ84" s="438">
        <f t="shared" si="218"/>
        <v>499712</v>
      </c>
      <c r="BA84" s="439">
        <f t="shared" si="218"/>
        <v>-0.02</v>
      </c>
      <c r="BB84" s="439">
        <f t="shared" si="218"/>
        <v>0</v>
      </c>
      <c r="BC84" s="439">
        <f t="shared" si="218"/>
        <v>1</v>
      </c>
      <c r="BD84" s="439">
        <f t="shared" si="218"/>
        <v>0</v>
      </c>
      <c r="BE84" s="439">
        <f t="shared" si="218"/>
        <v>0</v>
      </c>
      <c r="BF84" s="439">
        <f t="shared" si="218"/>
        <v>0</v>
      </c>
      <c r="BG84" s="439">
        <f t="shared" si="218"/>
        <v>0</v>
      </c>
      <c r="BH84" s="439">
        <f t="shared" si="218"/>
        <v>0</v>
      </c>
      <c r="BI84" s="439">
        <f t="shared" si="218"/>
        <v>0</v>
      </c>
      <c r="BJ84" s="439">
        <f t="shared" si="218"/>
        <v>0</v>
      </c>
      <c r="BK84" s="439">
        <f t="shared" si="218"/>
        <v>0.98</v>
      </c>
      <c r="BL84" s="439">
        <f t="shared" si="218"/>
        <v>0</v>
      </c>
      <c r="BM84" s="103">
        <f t="shared" si="218"/>
        <v>0.98</v>
      </c>
      <c r="BN84" s="444">
        <f t="shared" si="218"/>
        <v>4135260</v>
      </c>
      <c r="BO84" s="438">
        <f t="shared" si="218"/>
        <v>3042616</v>
      </c>
      <c r="BP84" s="438">
        <f t="shared" si="218"/>
        <v>2672278</v>
      </c>
      <c r="BQ84" s="438">
        <f t="shared" si="218"/>
        <v>370338</v>
      </c>
      <c r="BR84" s="438">
        <f t="shared" si="218"/>
        <v>12800</v>
      </c>
      <c r="BS84" s="438">
        <f t="shared" si="218"/>
        <v>12800</v>
      </c>
      <c r="BT84" s="438">
        <f t="shared" si="218"/>
        <v>0</v>
      </c>
      <c r="BU84" s="438">
        <f t="shared" si="218"/>
        <v>1032731</v>
      </c>
      <c r="BV84" s="438">
        <f t="shared" si="218"/>
        <v>30426</v>
      </c>
      <c r="BW84" s="438">
        <f t="shared" si="218"/>
        <v>16687</v>
      </c>
      <c r="BX84" s="439">
        <f t="shared" si="218"/>
        <v>6.578199999999998</v>
      </c>
      <c r="BY84" s="439">
        <f t="shared" si="218"/>
        <v>5.4583999999999993</v>
      </c>
      <c r="BZ84" s="814">
        <f t="shared" si="218"/>
        <v>1.1197999999999999</v>
      </c>
      <c r="CA84" s="819">
        <f t="shared" si="218"/>
        <v>0</v>
      </c>
      <c r="CB84" s="817">
        <f t="shared" si="218"/>
        <v>0</v>
      </c>
      <c r="CC84" s="817">
        <f t="shared" si="218"/>
        <v>0</v>
      </c>
      <c r="CD84" s="817">
        <f t="shared" si="218"/>
        <v>0</v>
      </c>
      <c r="CE84" s="817">
        <f t="shared" si="218"/>
        <v>0</v>
      </c>
      <c r="CF84" s="802">
        <f t="shared" si="218"/>
        <v>0</v>
      </c>
    </row>
    <row r="85" spans="1:84" s="96" customFormat="1" ht="14.1" customHeight="1" x14ac:dyDescent="0.2">
      <c r="A85" s="118">
        <v>12</v>
      </c>
      <c r="B85" s="102">
        <v>2467</v>
      </c>
      <c r="C85" s="93">
        <v>600079708</v>
      </c>
      <c r="D85" s="77">
        <v>71012303</v>
      </c>
      <c r="E85" s="574" t="s">
        <v>729</v>
      </c>
      <c r="F85" s="94">
        <v>3111</v>
      </c>
      <c r="G85" s="77" t="s">
        <v>291</v>
      </c>
      <c r="H85" s="95" t="s">
        <v>271</v>
      </c>
      <c r="I85" s="669">
        <f t="shared" si="185"/>
        <v>1634454</v>
      </c>
      <c r="J85" s="668">
        <f t="shared" si="186"/>
        <v>1208542</v>
      </c>
      <c r="K85" s="668">
        <v>1097665</v>
      </c>
      <c r="L85" s="668">
        <v>110877</v>
      </c>
      <c r="M85" s="668">
        <f t="shared" ref="M85:M87" si="219">N85+O85</f>
        <v>0</v>
      </c>
      <c r="N85" s="668">
        <v>0</v>
      </c>
      <c r="O85" s="668">
        <v>0</v>
      </c>
      <c r="P85" s="668">
        <f t="shared" si="187"/>
        <v>408487</v>
      </c>
      <c r="Q85" s="668">
        <f t="shared" si="188"/>
        <v>12085</v>
      </c>
      <c r="R85" s="668">
        <v>5340</v>
      </c>
      <c r="S85" s="420">
        <f t="shared" si="189"/>
        <v>2.4733000000000001</v>
      </c>
      <c r="T85" s="420">
        <v>2.1</v>
      </c>
      <c r="U85" s="946">
        <v>0.37329999999999997</v>
      </c>
      <c r="V85" s="428">
        <f t="shared" ref="V85:W87" si="220">AI85*-1</f>
        <v>-12800</v>
      </c>
      <c r="W85" s="421">
        <f t="shared" si="220"/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 t="shared" si="191"/>
        <v>-12800</v>
      </c>
      <c r="AG85" s="421">
        <f t="shared" si="192"/>
        <v>0</v>
      </c>
      <c r="AH85" s="421">
        <f t="shared" si="193"/>
        <v>-12800</v>
      </c>
      <c r="AI85" s="421">
        <v>12800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ref="AO85:AO87" si="221">AI85+AK85+AL85+AM85</f>
        <v>12800</v>
      </c>
      <c r="AP85" s="421">
        <f t="shared" ref="AP85:AP87" si="222">AJ85+AN85</f>
        <v>0</v>
      </c>
      <c r="AQ85" s="421">
        <f t="shared" si="196"/>
        <v>12800</v>
      </c>
      <c r="AR85" s="421">
        <f t="shared" si="197"/>
        <v>0</v>
      </c>
      <c r="AS85" s="421">
        <f t="shared" si="198"/>
        <v>0</v>
      </c>
      <c r="AT85" s="421">
        <f t="shared" si="199"/>
        <v>0</v>
      </c>
      <c r="AU85" s="68">
        <f t="shared" ref="AU85:AU87" si="223">ROUND((AH85+AI85+AJ85+AK85+AL85)*33.8%,0)</f>
        <v>0</v>
      </c>
      <c r="AV85" s="68">
        <f t="shared" si="201"/>
        <v>-128</v>
      </c>
      <c r="AW85" s="421">
        <v>0</v>
      </c>
      <c r="AX85" s="421">
        <v>0</v>
      </c>
      <c r="AY85" s="421">
        <f t="shared" si="202"/>
        <v>0</v>
      </c>
      <c r="AZ85" s="421">
        <f t="shared" si="203"/>
        <v>-128</v>
      </c>
      <c r="BA85" s="422">
        <v>-0.02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 t="shared" ref="BK85:BK87" si="224">BA85+BC85+BD85+BF85+BH85+BI85</f>
        <v>-0.02</v>
      </c>
      <c r="BL85" s="422">
        <f t="shared" ref="BL85:BL87" si="225">BB85+BE85+BG85+BJ85</f>
        <v>0</v>
      </c>
      <c r="BM85" s="424">
        <f t="shared" ref="BM85:BM87" si="226">SUM(BK85:BL85)</f>
        <v>-0.02</v>
      </c>
      <c r="BN85" s="427">
        <f t="shared" si="207"/>
        <v>1634326</v>
      </c>
      <c r="BO85" s="421">
        <f t="shared" si="208"/>
        <v>1195742</v>
      </c>
      <c r="BP85" s="421">
        <f t="shared" ref="BP85:BQ87" si="227">K85+AF85</f>
        <v>1084865</v>
      </c>
      <c r="BQ85" s="421">
        <f t="shared" si="227"/>
        <v>110877</v>
      </c>
      <c r="BR85" s="421">
        <f>M85+AQ85</f>
        <v>12800</v>
      </c>
      <c r="BS85" s="421">
        <f t="shared" ref="BS85:BT87" si="228">N85+AO85</f>
        <v>12800</v>
      </c>
      <c r="BT85" s="421">
        <f t="shared" si="228"/>
        <v>0</v>
      </c>
      <c r="BU85" s="421">
        <f t="shared" ref="BU85:BV87" si="229">P85+AU85</f>
        <v>408487</v>
      </c>
      <c r="BV85" s="421">
        <f t="shared" si="229"/>
        <v>11957</v>
      </c>
      <c r="BW85" s="421">
        <f>R85+AY85</f>
        <v>5340</v>
      </c>
      <c r="BX85" s="422">
        <f>S85+BM85</f>
        <v>2.4533</v>
      </c>
      <c r="BY85" s="422">
        <f t="shared" ref="BY85:BZ87" si="230">T85+BK85</f>
        <v>2.08</v>
      </c>
      <c r="BZ85" s="611">
        <f t="shared" si="230"/>
        <v>0.37329999999999997</v>
      </c>
      <c r="CA85" s="423"/>
      <c r="CB85" s="418"/>
      <c r="CC85" s="418"/>
      <c r="CD85" s="418"/>
      <c r="CE85" s="418"/>
      <c r="CF85" s="527"/>
    </row>
    <row r="86" spans="1:84" s="96" customFormat="1" ht="14.1" customHeight="1" x14ac:dyDescent="0.2">
      <c r="A86" s="118">
        <v>12</v>
      </c>
      <c r="B86" s="102">
        <v>2467</v>
      </c>
      <c r="C86" s="93">
        <v>600079708</v>
      </c>
      <c r="D86" s="77">
        <v>71012303</v>
      </c>
      <c r="E86" s="575" t="s">
        <v>729</v>
      </c>
      <c r="F86" s="94">
        <v>3111</v>
      </c>
      <c r="G86" s="77" t="s">
        <v>292</v>
      </c>
      <c r="H86" s="95" t="s">
        <v>272</v>
      </c>
      <c r="I86" s="669">
        <f t="shared" si="185"/>
        <v>0</v>
      </c>
      <c r="J86" s="668">
        <f t="shared" si="186"/>
        <v>0</v>
      </c>
      <c r="K86" s="668">
        <v>0</v>
      </c>
      <c r="L86" s="668">
        <v>0</v>
      </c>
      <c r="M86" s="668">
        <f t="shared" si="219"/>
        <v>0</v>
      </c>
      <c r="N86" s="668">
        <v>0</v>
      </c>
      <c r="O86" s="668">
        <v>0</v>
      </c>
      <c r="P86" s="668">
        <f t="shared" si="187"/>
        <v>0</v>
      </c>
      <c r="Q86" s="668">
        <f t="shared" si="188"/>
        <v>0</v>
      </c>
      <c r="R86" s="668">
        <v>0</v>
      </c>
      <c r="S86" s="420">
        <f t="shared" si="189"/>
        <v>0</v>
      </c>
      <c r="T86" s="420">
        <v>0</v>
      </c>
      <c r="U86" s="946">
        <v>0</v>
      </c>
      <c r="V86" s="428">
        <f t="shared" si="220"/>
        <v>0</v>
      </c>
      <c r="W86" s="421">
        <f t="shared" si="220"/>
        <v>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 t="shared" si="191"/>
        <v>0</v>
      </c>
      <c r="AG86" s="421">
        <f t="shared" si="192"/>
        <v>0</v>
      </c>
      <c r="AH86" s="421">
        <f t="shared" si="193"/>
        <v>0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si="221"/>
        <v>0</v>
      </c>
      <c r="AP86" s="421">
        <f t="shared" si="222"/>
        <v>0</v>
      </c>
      <c r="AQ86" s="421">
        <f t="shared" si="196"/>
        <v>0</v>
      </c>
      <c r="AR86" s="421">
        <f t="shared" si="197"/>
        <v>0</v>
      </c>
      <c r="AS86" s="421">
        <f t="shared" si="198"/>
        <v>0</v>
      </c>
      <c r="AT86" s="421">
        <f t="shared" si="199"/>
        <v>0</v>
      </c>
      <c r="AU86" s="68">
        <f t="shared" si="223"/>
        <v>0</v>
      </c>
      <c r="AV86" s="68">
        <f t="shared" si="201"/>
        <v>0</v>
      </c>
      <c r="AW86" s="421">
        <v>0</v>
      </c>
      <c r="AX86" s="421">
        <v>0</v>
      </c>
      <c r="AY86" s="421">
        <f t="shared" si="202"/>
        <v>0</v>
      </c>
      <c r="AZ86" s="421">
        <f t="shared" si="203"/>
        <v>0</v>
      </c>
      <c r="BA86" s="422">
        <v>0</v>
      </c>
      <c r="BB86" s="422">
        <v>0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 t="shared" si="224"/>
        <v>0</v>
      </c>
      <c r="BL86" s="422">
        <f t="shared" si="225"/>
        <v>0</v>
      </c>
      <c r="BM86" s="424">
        <f t="shared" si="226"/>
        <v>0</v>
      </c>
      <c r="BN86" s="427">
        <f t="shared" si="207"/>
        <v>0</v>
      </c>
      <c r="BO86" s="421">
        <f t="shared" si="208"/>
        <v>0</v>
      </c>
      <c r="BP86" s="421">
        <f t="shared" si="227"/>
        <v>0</v>
      </c>
      <c r="BQ86" s="421">
        <f t="shared" si="227"/>
        <v>0</v>
      </c>
      <c r="BR86" s="421">
        <f>M86+AQ86</f>
        <v>0</v>
      </c>
      <c r="BS86" s="421">
        <f t="shared" si="228"/>
        <v>0</v>
      </c>
      <c r="BT86" s="421">
        <f t="shared" si="228"/>
        <v>0</v>
      </c>
      <c r="BU86" s="421">
        <f t="shared" si="229"/>
        <v>0</v>
      </c>
      <c r="BV86" s="421">
        <f t="shared" si="229"/>
        <v>0</v>
      </c>
      <c r="BW86" s="421">
        <f>R86+AY86</f>
        <v>0</v>
      </c>
      <c r="BX86" s="422">
        <f>S86+BM86</f>
        <v>0</v>
      </c>
      <c r="BY86" s="422">
        <f t="shared" si="230"/>
        <v>0</v>
      </c>
      <c r="BZ86" s="611">
        <f t="shared" si="230"/>
        <v>0</v>
      </c>
      <c r="CA86" s="423"/>
      <c r="CB86" s="418"/>
      <c r="CC86" s="418"/>
      <c r="CD86" s="418"/>
      <c r="CE86" s="418"/>
      <c r="CF86" s="527"/>
    </row>
    <row r="87" spans="1:84" s="96" customFormat="1" ht="14.1" customHeight="1" x14ac:dyDescent="0.2">
      <c r="A87" s="118">
        <v>12</v>
      </c>
      <c r="B87" s="77">
        <v>2467</v>
      </c>
      <c r="C87" s="93">
        <v>600079708</v>
      </c>
      <c r="D87" s="77">
        <v>71012303</v>
      </c>
      <c r="E87" s="574" t="s">
        <v>729</v>
      </c>
      <c r="F87" s="94">
        <v>3141</v>
      </c>
      <c r="G87" s="77" t="s">
        <v>295</v>
      </c>
      <c r="H87" s="95" t="s">
        <v>272</v>
      </c>
      <c r="I87" s="669">
        <f t="shared" si="185"/>
        <v>237468</v>
      </c>
      <c r="J87" s="668">
        <f t="shared" si="186"/>
        <v>175644</v>
      </c>
      <c r="K87" s="668">
        <v>0</v>
      </c>
      <c r="L87" s="674">
        <v>175644</v>
      </c>
      <c r="M87" s="668">
        <f t="shared" si="219"/>
        <v>0</v>
      </c>
      <c r="N87" s="668">
        <v>0</v>
      </c>
      <c r="O87" s="668">
        <v>0</v>
      </c>
      <c r="P87" s="668">
        <f t="shared" si="187"/>
        <v>59368</v>
      </c>
      <c r="Q87" s="668">
        <f t="shared" si="188"/>
        <v>1756</v>
      </c>
      <c r="R87" s="668">
        <v>700</v>
      </c>
      <c r="S87" s="420">
        <f t="shared" si="189"/>
        <v>0.52669999999999995</v>
      </c>
      <c r="T87" s="420">
        <v>0</v>
      </c>
      <c r="U87" s="946">
        <v>0.52669999999999995</v>
      </c>
      <c r="V87" s="428">
        <f t="shared" si="220"/>
        <v>0</v>
      </c>
      <c r="W87" s="421">
        <f t="shared" si="220"/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 t="shared" si="191"/>
        <v>0</v>
      </c>
      <c r="AG87" s="421">
        <f t="shared" si="192"/>
        <v>0</v>
      </c>
      <c r="AH87" s="421">
        <f t="shared" si="193"/>
        <v>0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21"/>
        <v>0</v>
      </c>
      <c r="AP87" s="421">
        <f t="shared" si="222"/>
        <v>0</v>
      </c>
      <c r="AQ87" s="421">
        <f t="shared" si="196"/>
        <v>0</v>
      </c>
      <c r="AR87" s="421">
        <f t="shared" si="197"/>
        <v>0</v>
      </c>
      <c r="AS87" s="421">
        <f t="shared" si="198"/>
        <v>0</v>
      </c>
      <c r="AT87" s="421">
        <f t="shared" si="199"/>
        <v>0</v>
      </c>
      <c r="AU87" s="68">
        <f t="shared" si="223"/>
        <v>0</v>
      </c>
      <c r="AV87" s="68">
        <f t="shared" si="201"/>
        <v>0</v>
      </c>
      <c r="AW87" s="421">
        <v>0</v>
      </c>
      <c r="AX87" s="421">
        <v>0</v>
      </c>
      <c r="AY87" s="421">
        <f t="shared" si="202"/>
        <v>0</v>
      </c>
      <c r="AZ87" s="421">
        <f t="shared" si="203"/>
        <v>0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 t="shared" si="224"/>
        <v>0</v>
      </c>
      <c r="BL87" s="422">
        <f t="shared" si="225"/>
        <v>0</v>
      </c>
      <c r="BM87" s="424">
        <f t="shared" si="226"/>
        <v>0</v>
      </c>
      <c r="BN87" s="427">
        <f t="shared" si="207"/>
        <v>237468</v>
      </c>
      <c r="BO87" s="421">
        <f t="shared" si="208"/>
        <v>175644</v>
      </c>
      <c r="BP87" s="421">
        <f t="shared" si="227"/>
        <v>0</v>
      </c>
      <c r="BQ87" s="421">
        <f t="shared" si="227"/>
        <v>175644</v>
      </c>
      <c r="BR87" s="421">
        <f>M87+AQ87</f>
        <v>0</v>
      </c>
      <c r="BS87" s="421">
        <f t="shared" si="228"/>
        <v>0</v>
      </c>
      <c r="BT87" s="421">
        <f t="shared" si="228"/>
        <v>0</v>
      </c>
      <c r="BU87" s="421">
        <f t="shared" si="229"/>
        <v>59368</v>
      </c>
      <c r="BV87" s="421">
        <f t="shared" si="229"/>
        <v>1756</v>
      </c>
      <c r="BW87" s="421">
        <f>R87+AY87</f>
        <v>700</v>
      </c>
      <c r="BX87" s="422">
        <f>S87+BM87</f>
        <v>0.52669999999999995</v>
      </c>
      <c r="BY87" s="422">
        <f t="shared" si="230"/>
        <v>0</v>
      </c>
      <c r="BZ87" s="611">
        <f t="shared" si="230"/>
        <v>0.52669999999999995</v>
      </c>
      <c r="CA87" s="423"/>
      <c r="CB87" s="418"/>
      <c r="CC87" s="418"/>
      <c r="CD87" s="418"/>
      <c r="CE87" s="418"/>
      <c r="CF87" s="527"/>
    </row>
    <row r="88" spans="1:84" s="96" customFormat="1" ht="14.1" customHeight="1" x14ac:dyDescent="0.2">
      <c r="A88" s="119">
        <v>12</v>
      </c>
      <c r="B88" s="97">
        <v>2467</v>
      </c>
      <c r="C88" s="98">
        <v>600079708</v>
      </c>
      <c r="D88" s="97">
        <v>71012303</v>
      </c>
      <c r="E88" s="97" t="s">
        <v>730</v>
      </c>
      <c r="F88" s="106"/>
      <c r="G88" s="100"/>
      <c r="H88" s="101"/>
      <c r="I88" s="442">
        <f t="shared" ref="I88:AO88" si="231">SUM(I85:I87)</f>
        <v>1871922</v>
      </c>
      <c r="J88" s="438">
        <f t="shared" si="231"/>
        <v>1384186</v>
      </c>
      <c r="K88" s="438">
        <f t="shared" si="231"/>
        <v>1097665</v>
      </c>
      <c r="L88" s="438">
        <f t="shared" si="231"/>
        <v>286521</v>
      </c>
      <c r="M88" s="438">
        <f t="shared" si="231"/>
        <v>0</v>
      </c>
      <c r="N88" s="438">
        <f t="shared" si="231"/>
        <v>0</v>
      </c>
      <c r="O88" s="438">
        <f t="shared" si="231"/>
        <v>0</v>
      </c>
      <c r="P88" s="438">
        <f t="shared" si="231"/>
        <v>467855</v>
      </c>
      <c r="Q88" s="438">
        <f t="shared" si="231"/>
        <v>13841</v>
      </c>
      <c r="R88" s="438">
        <f t="shared" si="231"/>
        <v>6040</v>
      </c>
      <c r="S88" s="439">
        <f t="shared" si="231"/>
        <v>3</v>
      </c>
      <c r="T88" s="439">
        <f t="shared" si="231"/>
        <v>2.1</v>
      </c>
      <c r="U88" s="814">
        <f t="shared" si="231"/>
        <v>0.89999999999999991</v>
      </c>
      <c r="V88" s="442">
        <f t="shared" si="231"/>
        <v>-12800</v>
      </c>
      <c r="W88" s="438">
        <f t="shared" si="231"/>
        <v>0</v>
      </c>
      <c r="X88" s="438">
        <f t="shared" si="231"/>
        <v>0</v>
      </c>
      <c r="Y88" s="438">
        <f t="shared" si="231"/>
        <v>0</v>
      </c>
      <c r="Z88" s="438">
        <f t="shared" si="231"/>
        <v>0</v>
      </c>
      <c r="AA88" s="438">
        <f t="shared" si="231"/>
        <v>0</v>
      </c>
      <c r="AB88" s="438">
        <f t="shared" si="231"/>
        <v>0</v>
      </c>
      <c r="AC88" s="438">
        <f t="shared" si="231"/>
        <v>0</v>
      </c>
      <c r="AD88" s="438">
        <f t="shared" si="231"/>
        <v>0</v>
      </c>
      <c r="AE88" s="438">
        <f t="shared" si="231"/>
        <v>0</v>
      </c>
      <c r="AF88" s="438">
        <f t="shared" si="231"/>
        <v>-12800</v>
      </c>
      <c r="AG88" s="438">
        <f t="shared" si="231"/>
        <v>0</v>
      </c>
      <c r="AH88" s="438">
        <f t="shared" si="231"/>
        <v>-12800</v>
      </c>
      <c r="AI88" s="438">
        <f t="shared" si="231"/>
        <v>12800</v>
      </c>
      <c r="AJ88" s="438">
        <f t="shared" si="231"/>
        <v>0</v>
      </c>
      <c r="AK88" s="438">
        <f t="shared" si="231"/>
        <v>0</v>
      </c>
      <c r="AL88" s="438">
        <f t="shared" si="231"/>
        <v>0</v>
      </c>
      <c r="AM88" s="438">
        <f t="shared" si="231"/>
        <v>0</v>
      </c>
      <c r="AN88" s="438">
        <f t="shared" si="231"/>
        <v>0</v>
      </c>
      <c r="AO88" s="438">
        <f t="shared" si="231"/>
        <v>12800</v>
      </c>
      <c r="AP88" s="438">
        <f t="shared" ref="AP88:BU88" si="232">SUM(AP85:AP87)</f>
        <v>0</v>
      </c>
      <c r="AQ88" s="438">
        <f t="shared" si="232"/>
        <v>12800</v>
      </c>
      <c r="AR88" s="438">
        <f t="shared" si="232"/>
        <v>0</v>
      </c>
      <c r="AS88" s="438">
        <f t="shared" si="232"/>
        <v>0</v>
      </c>
      <c r="AT88" s="438">
        <f t="shared" si="232"/>
        <v>0</v>
      </c>
      <c r="AU88" s="438">
        <f t="shared" si="232"/>
        <v>0</v>
      </c>
      <c r="AV88" s="438">
        <f t="shared" si="232"/>
        <v>-128</v>
      </c>
      <c r="AW88" s="438">
        <f t="shared" si="232"/>
        <v>0</v>
      </c>
      <c r="AX88" s="438">
        <f t="shared" si="232"/>
        <v>0</v>
      </c>
      <c r="AY88" s="438">
        <f t="shared" si="232"/>
        <v>0</v>
      </c>
      <c r="AZ88" s="438">
        <f t="shared" si="232"/>
        <v>-128</v>
      </c>
      <c r="BA88" s="439">
        <f t="shared" si="232"/>
        <v>-0.02</v>
      </c>
      <c r="BB88" s="439">
        <f t="shared" si="232"/>
        <v>0</v>
      </c>
      <c r="BC88" s="439">
        <f t="shared" si="232"/>
        <v>0</v>
      </c>
      <c r="BD88" s="439">
        <f t="shared" si="232"/>
        <v>0</v>
      </c>
      <c r="BE88" s="439">
        <f t="shared" si="232"/>
        <v>0</v>
      </c>
      <c r="BF88" s="439">
        <f t="shared" si="232"/>
        <v>0</v>
      </c>
      <c r="BG88" s="439">
        <f t="shared" si="232"/>
        <v>0</v>
      </c>
      <c r="BH88" s="439">
        <f t="shared" si="232"/>
        <v>0</v>
      </c>
      <c r="BI88" s="439">
        <f t="shared" si="232"/>
        <v>0</v>
      </c>
      <c r="BJ88" s="439">
        <f t="shared" si="232"/>
        <v>0</v>
      </c>
      <c r="BK88" s="439">
        <f t="shared" si="232"/>
        <v>-0.02</v>
      </c>
      <c r="BL88" s="439">
        <f t="shared" si="232"/>
        <v>0</v>
      </c>
      <c r="BM88" s="103">
        <f t="shared" si="232"/>
        <v>-0.02</v>
      </c>
      <c r="BN88" s="444">
        <f t="shared" si="232"/>
        <v>1871794</v>
      </c>
      <c r="BO88" s="438">
        <f t="shared" si="232"/>
        <v>1371386</v>
      </c>
      <c r="BP88" s="438">
        <f t="shared" si="232"/>
        <v>1084865</v>
      </c>
      <c r="BQ88" s="438">
        <f t="shared" si="232"/>
        <v>286521</v>
      </c>
      <c r="BR88" s="438">
        <f t="shared" si="232"/>
        <v>12800</v>
      </c>
      <c r="BS88" s="438">
        <f t="shared" si="232"/>
        <v>12800</v>
      </c>
      <c r="BT88" s="438">
        <f t="shared" si="232"/>
        <v>0</v>
      </c>
      <c r="BU88" s="438">
        <f t="shared" si="232"/>
        <v>467855</v>
      </c>
      <c r="BV88" s="438">
        <f t="shared" ref="BV88:CF88" si="233">SUM(BV85:BV87)</f>
        <v>13713</v>
      </c>
      <c r="BW88" s="438">
        <f t="shared" si="233"/>
        <v>6040</v>
      </c>
      <c r="BX88" s="439">
        <f t="shared" si="233"/>
        <v>2.98</v>
      </c>
      <c r="BY88" s="439">
        <f t="shared" si="233"/>
        <v>2.08</v>
      </c>
      <c r="BZ88" s="814">
        <f t="shared" si="233"/>
        <v>0.89999999999999991</v>
      </c>
      <c r="CA88" s="819">
        <f t="shared" si="233"/>
        <v>0</v>
      </c>
      <c r="CB88" s="817">
        <f t="shared" si="233"/>
        <v>0</v>
      </c>
      <c r="CC88" s="817">
        <f t="shared" si="233"/>
        <v>0</v>
      </c>
      <c r="CD88" s="817">
        <f t="shared" si="233"/>
        <v>0</v>
      </c>
      <c r="CE88" s="817">
        <f t="shared" si="233"/>
        <v>0</v>
      </c>
      <c r="CF88" s="802">
        <f t="shared" si="233"/>
        <v>0</v>
      </c>
    </row>
    <row r="89" spans="1:84" s="96" customFormat="1" ht="14.1" customHeight="1" x14ac:dyDescent="0.2">
      <c r="A89" s="118">
        <v>13</v>
      </c>
      <c r="B89" s="102">
        <v>2408</v>
      </c>
      <c r="C89" s="93">
        <v>600079058</v>
      </c>
      <c r="D89" s="77">
        <v>72741511</v>
      </c>
      <c r="E89" s="77" t="s">
        <v>731</v>
      </c>
      <c r="F89" s="94">
        <v>3111</v>
      </c>
      <c r="G89" s="77" t="s">
        <v>291</v>
      </c>
      <c r="H89" s="95" t="s">
        <v>271</v>
      </c>
      <c r="I89" s="669">
        <f t="shared" si="185"/>
        <v>2019563</v>
      </c>
      <c r="J89" s="668">
        <f t="shared" si="186"/>
        <v>1494627</v>
      </c>
      <c r="K89" s="668">
        <v>1383750</v>
      </c>
      <c r="L89" s="668">
        <v>110877</v>
      </c>
      <c r="M89" s="668">
        <f t="shared" ref="M89:M90" si="234">N89+O89</f>
        <v>0</v>
      </c>
      <c r="N89" s="668">
        <v>0</v>
      </c>
      <c r="O89" s="668">
        <v>0</v>
      </c>
      <c r="P89" s="668">
        <f t="shared" si="187"/>
        <v>505184</v>
      </c>
      <c r="Q89" s="668">
        <f t="shared" si="188"/>
        <v>14946</v>
      </c>
      <c r="R89" s="668">
        <v>4806</v>
      </c>
      <c r="S89" s="420">
        <f t="shared" si="189"/>
        <v>2.7443</v>
      </c>
      <c r="T89" s="420">
        <v>2.371</v>
      </c>
      <c r="U89" s="946">
        <v>0.37329999999999997</v>
      </c>
      <c r="V89" s="428">
        <f t="shared" ref="V89:W91" si="235">AI89*-1</f>
        <v>0</v>
      </c>
      <c r="W89" s="421">
        <f t="shared" si="235"/>
        <v>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 t="shared" si="191"/>
        <v>0</v>
      </c>
      <c r="AG89" s="421">
        <f t="shared" si="192"/>
        <v>0</v>
      </c>
      <c r="AH89" s="421">
        <f t="shared" si="193"/>
        <v>0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ref="AO89:AO91" si="236">AI89+AK89+AL89+AM89</f>
        <v>0</v>
      </c>
      <c r="AP89" s="421">
        <f>AJ89+AN89</f>
        <v>0</v>
      </c>
      <c r="AQ89" s="421">
        <f t="shared" si="196"/>
        <v>0</v>
      </c>
      <c r="AR89" s="421">
        <f t="shared" si="197"/>
        <v>0</v>
      </c>
      <c r="AS89" s="421">
        <f t="shared" si="198"/>
        <v>0</v>
      </c>
      <c r="AT89" s="421">
        <f t="shared" si="199"/>
        <v>0</v>
      </c>
      <c r="AU89" s="68">
        <f t="shared" ref="AU89:AU91" si="237">ROUND((AH89+AI89+AJ89+AK89+AL89)*33.8%,0)</f>
        <v>0</v>
      </c>
      <c r="AV89" s="68">
        <f t="shared" si="201"/>
        <v>0</v>
      </c>
      <c r="AW89" s="421">
        <v>0</v>
      </c>
      <c r="AX89" s="421">
        <v>0</v>
      </c>
      <c r="AY89" s="421">
        <f t="shared" si="202"/>
        <v>0</v>
      </c>
      <c r="AZ89" s="421">
        <f t="shared" si="203"/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>BA89+BC89+BD89+BF89+BH89+BI89</f>
        <v>0</v>
      </c>
      <c r="BL89" s="422">
        <f>BB89+BE89+BG89+BJ89</f>
        <v>0</v>
      </c>
      <c r="BM89" s="424">
        <f>SUM(BK89:BL89)</f>
        <v>0</v>
      </c>
      <c r="BN89" s="427">
        <f t="shared" si="207"/>
        <v>2019563</v>
      </c>
      <c r="BO89" s="421">
        <f t="shared" si="208"/>
        <v>1494627</v>
      </c>
      <c r="BP89" s="421">
        <f t="shared" ref="BP89:BQ91" si="238">K89+AF89</f>
        <v>1383750</v>
      </c>
      <c r="BQ89" s="421">
        <f t="shared" si="238"/>
        <v>110877</v>
      </c>
      <c r="BR89" s="421">
        <f>M89+AQ89</f>
        <v>0</v>
      </c>
      <c r="BS89" s="421">
        <f t="shared" ref="BS89:BT91" si="239">N89+AO89</f>
        <v>0</v>
      </c>
      <c r="BT89" s="421">
        <f t="shared" si="239"/>
        <v>0</v>
      </c>
      <c r="BU89" s="421">
        <f t="shared" ref="BU89:BV91" si="240">P89+AU89</f>
        <v>505184</v>
      </c>
      <c r="BV89" s="421">
        <f t="shared" si="240"/>
        <v>14946</v>
      </c>
      <c r="BW89" s="421">
        <f>R89+AY89</f>
        <v>4806</v>
      </c>
      <c r="BX89" s="422">
        <f>S89+BM89</f>
        <v>2.7443</v>
      </c>
      <c r="BY89" s="422">
        <f t="shared" ref="BY89:BZ91" si="241">T89+BK89</f>
        <v>2.371</v>
      </c>
      <c r="BZ89" s="611">
        <f t="shared" si="241"/>
        <v>0.37329999999999997</v>
      </c>
      <c r="CA89" s="423"/>
      <c r="CB89" s="418"/>
      <c r="CC89" s="418"/>
      <c r="CD89" s="418"/>
      <c r="CE89" s="418"/>
      <c r="CF89" s="527"/>
    </row>
    <row r="90" spans="1:84" s="96" customFormat="1" ht="14.1" customHeight="1" x14ac:dyDescent="0.2">
      <c r="A90" s="118">
        <v>13</v>
      </c>
      <c r="B90" s="77">
        <v>2408</v>
      </c>
      <c r="C90" s="93">
        <v>600079058</v>
      </c>
      <c r="D90" s="77">
        <v>72741511</v>
      </c>
      <c r="E90" s="77" t="s">
        <v>731</v>
      </c>
      <c r="F90" s="94">
        <v>3111</v>
      </c>
      <c r="G90" s="77" t="s">
        <v>292</v>
      </c>
      <c r="H90" s="95" t="s">
        <v>272</v>
      </c>
      <c r="I90" s="669">
        <f t="shared" si="185"/>
        <v>0</v>
      </c>
      <c r="J90" s="668">
        <f t="shared" si="186"/>
        <v>0</v>
      </c>
      <c r="K90" s="668">
        <v>0</v>
      </c>
      <c r="L90" s="668">
        <v>0</v>
      </c>
      <c r="M90" s="668">
        <f t="shared" si="234"/>
        <v>0</v>
      </c>
      <c r="N90" s="668">
        <v>0</v>
      </c>
      <c r="O90" s="668">
        <v>0</v>
      </c>
      <c r="P90" s="668">
        <f t="shared" si="187"/>
        <v>0</v>
      </c>
      <c r="Q90" s="668">
        <f t="shared" si="188"/>
        <v>0</v>
      </c>
      <c r="R90" s="668">
        <v>0</v>
      </c>
      <c r="S90" s="420">
        <f t="shared" si="189"/>
        <v>0</v>
      </c>
      <c r="T90" s="420">
        <v>0</v>
      </c>
      <c r="U90" s="946">
        <v>0</v>
      </c>
      <c r="V90" s="428">
        <f t="shared" si="235"/>
        <v>0</v>
      </c>
      <c r="W90" s="421">
        <f t="shared" si="235"/>
        <v>0</v>
      </c>
      <c r="X90" s="16">
        <v>234914</v>
      </c>
      <c r="Y90" s="16">
        <v>0</v>
      </c>
      <c r="Z90" s="16">
        <v>0</v>
      </c>
      <c r="AA90" s="16">
        <v>0</v>
      </c>
      <c r="AB90" s="421">
        <v>0</v>
      </c>
      <c r="AC90" s="16">
        <v>0</v>
      </c>
      <c r="AD90" s="16">
        <v>0</v>
      </c>
      <c r="AE90" s="16">
        <v>0</v>
      </c>
      <c r="AF90" s="421">
        <f t="shared" si="191"/>
        <v>234914</v>
      </c>
      <c r="AG90" s="421">
        <f t="shared" si="192"/>
        <v>0</v>
      </c>
      <c r="AH90" s="421">
        <f t="shared" si="193"/>
        <v>234914</v>
      </c>
      <c r="AI90" s="16">
        <v>0</v>
      </c>
      <c r="AJ90" s="16">
        <v>0</v>
      </c>
      <c r="AK90" s="421">
        <v>0</v>
      </c>
      <c r="AL90" s="16">
        <v>0</v>
      </c>
      <c r="AM90" s="16">
        <v>0</v>
      </c>
      <c r="AN90" s="16">
        <v>0</v>
      </c>
      <c r="AO90" s="421">
        <f t="shared" si="236"/>
        <v>0</v>
      </c>
      <c r="AP90" s="16">
        <v>0</v>
      </c>
      <c r="AQ90" s="421">
        <f t="shared" si="196"/>
        <v>0</v>
      </c>
      <c r="AR90" s="421">
        <f t="shared" si="197"/>
        <v>234914</v>
      </c>
      <c r="AS90" s="421">
        <f t="shared" si="198"/>
        <v>0</v>
      </c>
      <c r="AT90" s="421">
        <f t="shared" si="199"/>
        <v>234914</v>
      </c>
      <c r="AU90" s="68">
        <f t="shared" si="237"/>
        <v>79401</v>
      </c>
      <c r="AV90" s="68">
        <f t="shared" si="201"/>
        <v>2349</v>
      </c>
      <c r="AW90" s="16">
        <v>0</v>
      </c>
      <c r="AX90" s="16">
        <v>0</v>
      </c>
      <c r="AY90" s="421">
        <f t="shared" si="202"/>
        <v>0</v>
      </c>
      <c r="AZ90" s="421">
        <f t="shared" si="203"/>
        <v>316664</v>
      </c>
      <c r="BA90" s="13">
        <v>0</v>
      </c>
      <c r="BB90" s="13">
        <v>0</v>
      </c>
      <c r="BC90" s="13">
        <v>0.6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>BA90+BC90+BD90+BF90+BH90+BI90</f>
        <v>0.6</v>
      </c>
      <c r="BL90" s="422">
        <f>BB90+BE90+BG90+BJ90</f>
        <v>0</v>
      </c>
      <c r="BM90" s="424">
        <f>SUM(BK90:BL90)</f>
        <v>0.6</v>
      </c>
      <c r="BN90" s="427">
        <f t="shared" si="207"/>
        <v>316664</v>
      </c>
      <c r="BO90" s="421">
        <f t="shared" si="208"/>
        <v>234914</v>
      </c>
      <c r="BP90" s="421">
        <f t="shared" si="238"/>
        <v>234914</v>
      </c>
      <c r="BQ90" s="421">
        <f t="shared" si="238"/>
        <v>0</v>
      </c>
      <c r="BR90" s="421">
        <f>M90+AQ90</f>
        <v>0</v>
      </c>
      <c r="BS90" s="421">
        <f t="shared" si="239"/>
        <v>0</v>
      </c>
      <c r="BT90" s="421">
        <f t="shared" si="239"/>
        <v>0</v>
      </c>
      <c r="BU90" s="421">
        <f t="shared" si="240"/>
        <v>79401</v>
      </c>
      <c r="BV90" s="421">
        <f t="shared" si="240"/>
        <v>2349</v>
      </c>
      <c r="BW90" s="421">
        <f>R90+AY90</f>
        <v>0</v>
      </c>
      <c r="BX90" s="422">
        <f>S90+BM90</f>
        <v>0.6</v>
      </c>
      <c r="BY90" s="422">
        <f t="shared" si="241"/>
        <v>0.6</v>
      </c>
      <c r="BZ90" s="611">
        <f t="shared" si="241"/>
        <v>0</v>
      </c>
      <c r="CA90" s="423"/>
      <c r="CB90" s="418"/>
      <c r="CC90" s="418"/>
      <c r="CD90" s="418"/>
      <c r="CE90" s="418"/>
      <c r="CF90" s="527"/>
    </row>
    <row r="91" spans="1:84" s="96" customFormat="1" ht="14.1" customHeight="1" x14ac:dyDescent="0.2">
      <c r="A91" s="118">
        <v>13</v>
      </c>
      <c r="B91" s="77">
        <v>2408</v>
      </c>
      <c r="C91" s="93">
        <v>600079058</v>
      </c>
      <c r="D91" s="77">
        <v>72741511</v>
      </c>
      <c r="E91" s="77" t="s">
        <v>731</v>
      </c>
      <c r="F91" s="94">
        <v>3141</v>
      </c>
      <c r="G91" s="77" t="s">
        <v>295</v>
      </c>
      <c r="H91" s="95" t="s">
        <v>272</v>
      </c>
      <c r="I91" s="669">
        <f t="shared" si="185"/>
        <v>339786</v>
      </c>
      <c r="J91" s="668">
        <f t="shared" si="186"/>
        <v>251210</v>
      </c>
      <c r="K91" s="668">
        <v>0</v>
      </c>
      <c r="L91" s="674">
        <v>251210</v>
      </c>
      <c r="M91" s="668">
        <f t="shared" ref="M91:M97" si="242">N91+O91</f>
        <v>0</v>
      </c>
      <c r="N91" s="668">
        <v>0</v>
      </c>
      <c r="O91" s="668">
        <v>0</v>
      </c>
      <c r="P91" s="668">
        <f t="shared" si="187"/>
        <v>84909</v>
      </c>
      <c r="Q91" s="668">
        <f t="shared" si="188"/>
        <v>2512</v>
      </c>
      <c r="R91" s="668">
        <v>1155</v>
      </c>
      <c r="S91" s="420">
        <f t="shared" si="189"/>
        <v>0.75329999999999997</v>
      </c>
      <c r="T91" s="420">
        <v>0</v>
      </c>
      <c r="U91" s="946">
        <v>0.75329999999999997</v>
      </c>
      <c r="V91" s="428">
        <f t="shared" si="235"/>
        <v>0</v>
      </c>
      <c r="W91" s="421">
        <f t="shared" si="235"/>
        <v>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 t="shared" si="191"/>
        <v>0</v>
      </c>
      <c r="AG91" s="421">
        <f t="shared" si="192"/>
        <v>0</v>
      </c>
      <c r="AH91" s="421">
        <f t="shared" si="193"/>
        <v>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236"/>
        <v>0</v>
      </c>
      <c r="AP91" s="421">
        <f>AJ91+AN91</f>
        <v>0</v>
      </c>
      <c r="AQ91" s="421">
        <f t="shared" si="196"/>
        <v>0</v>
      </c>
      <c r="AR91" s="421">
        <f t="shared" si="197"/>
        <v>0</v>
      </c>
      <c r="AS91" s="421">
        <f t="shared" si="198"/>
        <v>0</v>
      </c>
      <c r="AT91" s="421">
        <f t="shared" si="199"/>
        <v>0</v>
      </c>
      <c r="AU91" s="68">
        <f t="shared" si="237"/>
        <v>0</v>
      </c>
      <c r="AV91" s="68">
        <f t="shared" si="201"/>
        <v>0</v>
      </c>
      <c r="AW91" s="421">
        <v>0</v>
      </c>
      <c r="AX91" s="421">
        <v>0</v>
      </c>
      <c r="AY91" s="421">
        <f t="shared" si="202"/>
        <v>0</v>
      </c>
      <c r="AZ91" s="421">
        <f t="shared" si="203"/>
        <v>0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0</v>
      </c>
      <c r="BL91" s="422">
        <f>BB91+BE91+BG91+BJ91</f>
        <v>0</v>
      </c>
      <c r="BM91" s="424">
        <f>SUM(BK91:BL91)</f>
        <v>0</v>
      </c>
      <c r="BN91" s="427">
        <f t="shared" si="207"/>
        <v>339786</v>
      </c>
      <c r="BO91" s="421">
        <f t="shared" si="208"/>
        <v>251210</v>
      </c>
      <c r="BP91" s="421">
        <f t="shared" si="238"/>
        <v>0</v>
      </c>
      <c r="BQ91" s="421">
        <f t="shared" si="238"/>
        <v>251210</v>
      </c>
      <c r="BR91" s="421">
        <f>M91+AQ91</f>
        <v>0</v>
      </c>
      <c r="BS91" s="421">
        <f t="shared" si="239"/>
        <v>0</v>
      </c>
      <c r="BT91" s="421">
        <f t="shared" si="239"/>
        <v>0</v>
      </c>
      <c r="BU91" s="421">
        <f t="shared" si="240"/>
        <v>84909</v>
      </c>
      <c r="BV91" s="421">
        <f t="shared" si="240"/>
        <v>2512</v>
      </c>
      <c r="BW91" s="421">
        <f>R91+AY91</f>
        <v>1155</v>
      </c>
      <c r="BX91" s="422">
        <f>S91+BM91</f>
        <v>0.75329999999999997</v>
      </c>
      <c r="BY91" s="422">
        <f t="shared" si="241"/>
        <v>0</v>
      </c>
      <c r="BZ91" s="611">
        <f t="shared" si="241"/>
        <v>0.75329999999999997</v>
      </c>
      <c r="CA91" s="423"/>
      <c r="CB91" s="418"/>
      <c r="CC91" s="418"/>
      <c r="CD91" s="418"/>
      <c r="CE91" s="418"/>
      <c r="CF91" s="527"/>
    </row>
    <row r="92" spans="1:84" s="96" customFormat="1" ht="14.1" customHeight="1" x14ac:dyDescent="0.2">
      <c r="A92" s="119">
        <v>13</v>
      </c>
      <c r="B92" s="97">
        <v>2408</v>
      </c>
      <c r="C92" s="98">
        <v>600079058</v>
      </c>
      <c r="D92" s="97">
        <v>72741511</v>
      </c>
      <c r="E92" s="97" t="s">
        <v>732</v>
      </c>
      <c r="F92" s="99"/>
      <c r="G92" s="100"/>
      <c r="H92" s="101"/>
      <c r="I92" s="442">
        <f t="shared" ref="I92:U92" si="243">SUM(I89:I91)</f>
        <v>2359349</v>
      </c>
      <c r="J92" s="438">
        <f t="shared" si="243"/>
        <v>1745837</v>
      </c>
      <c r="K92" s="438">
        <f t="shared" si="243"/>
        <v>1383750</v>
      </c>
      <c r="L92" s="438">
        <f t="shared" si="243"/>
        <v>362087</v>
      </c>
      <c r="M92" s="438">
        <f t="shared" si="243"/>
        <v>0</v>
      </c>
      <c r="N92" s="438">
        <f t="shared" si="243"/>
        <v>0</v>
      </c>
      <c r="O92" s="438">
        <f t="shared" si="243"/>
        <v>0</v>
      </c>
      <c r="P92" s="438">
        <f t="shared" si="243"/>
        <v>590093</v>
      </c>
      <c r="Q92" s="438">
        <f t="shared" si="243"/>
        <v>17458</v>
      </c>
      <c r="R92" s="438">
        <f t="shared" si="243"/>
        <v>5961</v>
      </c>
      <c r="S92" s="439">
        <f t="shared" si="243"/>
        <v>3.4975999999999998</v>
      </c>
      <c r="T92" s="439">
        <f t="shared" si="243"/>
        <v>2.371</v>
      </c>
      <c r="U92" s="814">
        <f t="shared" si="243"/>
        <v>1.1265999999999998</v>
      </c>
      <c r="V92" s="442">
        <f t="shared" ref="V92:CF92" si="244">SUM(V89:V91)</f>
        <v>0</v>
      </c>
      <c r="W92" s="438">
        <f t="shared" si="244"/>
        <v>0</v>
      </c>
      <c r="X92" s="438">
        <f t="shared" si="244"/>
        <v>234914</v>
      </c>
      <c r="Y92" s="438">
        <f t="shared" si="244"/>
        <v>0</v>
      </c>
      <c r="Z92" s="438">
        <f t="shared" si="244"/>
        <v>0</v>
      </c>
      <c r="AA92" s="438">
        <f t="shared" si="244"/>
        <v>0</v>
      </c>
      <c r="AB92" s="438">
        <f t="shared" si="244"/>
        <v>0</v>
      </c>
      <c r="AC92" s="438">
        <f t="shared" si="244"/>
        <v>0</v>
      </c>
      <c r="AD92" s="438">
        <f t="shared" si="244"/>
        <v>0</v>
      </c>
      <c r="AE92" s="438">
        <f t="shared" si="244"/>
        <v>0</v>
      </c>
      <c r="AF92" s="438">
        <f t="shared" si="244"/>
        <v>234914</v>
      </c>
      <c r="AG92" s="438">
        <f t="shared" si="244"/>
        <v>0</v>
      </c>
      <c r="AH92" s="438">
        <f t="shared" si="244"/>
        <v>234914</v>
      </c>
      <c r="AI92" s="438">
        <f t="shared" si="244"/>
        <v>0</v>
      </c>
      <c r="AJ92" s="438">
        <f t="shared" si="244"/>
        <v>0</v>
      </c>
      <c r="AK92" s="438">
        <f t="shared" si="244"/>
        <v>0</v>
      </c>
      <c r="AL92" s="438">
        <f t="shared" si="244"/>
        <v>0</v>
      </c>
      <c r="AM92" s="438">
        <f t="shared" si="244"/>
        <v>0</v>
      </c>
      <c r="AN92" s="438">
        <f t="shared" si="244"/>
        <v>0</v>
      </c>
      <c r="AO92" s="438">
        <f t="shared" si="244"/>
        <v>0</v>
      </c>
      <c r="AP92" s="438">
        <f t="shared" si="244"/>
        <v>0</v>
      </c>
      <c r="AQ92" s="438">
        <f t="shared" si="244"/>
        <v>0</v>
      </c>
      <c r="AR92" s="438">
        <f t="shared" si="244"/>
        <v>234914</v>
      </c>
      <c r="AS92" s="438">
        <f t="shared" si="244"/>
        <v>0</v>
      </c>
      <c r="AT92" s="438">
        <f t="shared" si="244"/>
        <v>234914</v>
      </c>
      <c r="AU92" s="438">
        <f t="shared" si="244"/>
        <v>79401</v>
      </c>
      <c r="AV92" s="438">
        <f t="shared" si="244"/>
        <v>2349</v>
      </c>
      <c r="AW92" s="438">
        <f t="shared" si="244"/>
        <v>0</v>
      </c>
      <c r="AX92" s="438">
        <f t="shared" si="244"/>
        <v>0</v>
      </c>
      <c r="AY92" s="438">
        <f t="shared" si="244"/>
        <v>0</v>
      </c>
      <c r="AZ92" s="438">
        <f t="shared" si="244"/>
        <v>316664</v>
      </c>
      <c r="BA92" s="439">
        <f t="shared" si="244"/>
        <v>0</v>
      </c>
      <c r="BB92" s="439">
        <f t="shared" si="244"/>
        <v>0</v>
      </c>
      <c r="BC92" s="439">
        <f t="shared" si="244"/>
        <v>0.6</v>
      </c>
      <c r="BD92" s="439">
        <f t="shared" si="244"/>
        <v>0</v>
      </c>
      <c r="BE92" s="439">
        <f t="shared" si="244"/>
        <v>0</v>
      </c>
      <c r="BF92" s="439">
        <f t="shared" si="244"/>
        <v>0</v>
      </c>
      <c r="BG92" s="439">
        <f t="shared" si="244"/>
        <v>0</v>
      </c>
      <c r="BH92" s="439">
        <f t="shared" si="244"/>
        <v>0</v>
      </c>
      <c r="BI92" s="439">
        <f t="shared" si="244"/>
        <v>0</v>
      </c>
      <c r="BJ92" s="439">
        <f t="shared" si="244"/>
        <v>0</v>
      </c>
      <c r="BK92" s="439">
        <f t="shared" si="244"/>
        <v>0.6</v>
      </c>
      <c r="BL92" s="439">
        <f t="shared" si="244"/>
        <v>0</v>
      </c>
      <c r="BM92" s="103">
        <f t="shared" si="244"/>
        <v>0.6</v>
      </c>
      <c r="BN92" s="444">
        <f t="shared" si="244"/>
        <v>2676013</v>
      </c>
      <c r="BO92" s="438">
        <f t="shared" si="244"/>
        <v>1980751</v>
      </c>
      <c r="BP92" s="438">
        <f t="shared" si="244"/>
        <v>1618664</v>
      </c>
      <c r="BQ92" s="438">
        <f t="shared" si="244"/>
        <v>362087</v>
      </c>
      <c r="BR92" s="438">
        <f t="shared" si="244"/>
        <v>0</v>
      </c>
      <c r="BS92" s="438">
        <f t="shared" si="244"/>
        <v>0</v>
      </c>
      <c r="BT92" s="438">
        <f t="shared" si="244"/>
        <v>0</v>
      </c>
      <c r="BU92" s="438">
        <f t="shared" si="244"/>
        <v>669494</v>
      </c>
      <c r="BV92" s="438">
        <f t="shared" si="244"/>
        <v>19807</v>
      </c>
      <c r="BW92" s="438">
        <f t="shared" si="244"/>
        <v>5961</v>
      </c>
      <c r="BX92" s="439">
        <f t="shared" si="244"/>
        <v>4.0975999999999999</v>
      </c>
      <c r="BY92" s="439">
        <f t="shared" si="244"/>
        <v>2.9710000000000001</v>
      </c>
      <c r="BZ92" s="814">
        <f t="shared" si="244"/>
        <v>1.1265999999999998</v>
      </c>
      <c r="CA92" s="819">
        <f t="shared" si="244"/>
        <v>0</v>
      </c>
      <c r="CB92" s="817">
        <f t="shared" si="244"/>
        <v>0</v>
      </c>
      <c r="CC92" s="817">
        <f t="shared" si="244"/>
        <v>0</v>
      </c>
      <c r="CD92" s="817">
        <f t="shared" si="244"/>
        <v>0</v>
      </c>
      <c r="CE92" s="817">
        <f t="shared" si="244"/>
        <v>0</v>
      </c>
      <c r="CF92" s="802">
        <f t="shared" si="244"/>
        <v>0</v>
      </c>
    </row>
    <row r="93" spans="1:84" s="96" customFormat="1" ht="14.1" customHeight="1" x14ac:dyDescent="0.2">
      <c r="A93" s="118">
        <v>14</v>
      </c>
      <c r="B93" s="77">
        <v>2304</v>
      </c>
      <c r="C93" s="93">
        <v>600080382</v>
      </c>
      <c r="D93" s="77">
        <v>72743417</v>
      </c>
      <c r="E93" s="77" t="s">
        <v>733</v>
      </c>
      <c r="F93" s="94">
        <v>3113</v>
      </c>
      <c r="G93" s="77" t="s">
        <v>294</v>
      </c>
      <c r="H93" s="95" t="s">
        <v>271</v>
      </c>
      <c r="I93" s="669">
        <f t="shared" si="185"/>
        <v>4625599</v>
      </c>
      <c r="J93" s="668">
        <f t="shared" si="186"/>
        <v>3402475</v>
      </c>
      <c r="K93" s="668">
        <v>3116449</v>
      </c>
      <c r="L93" s="668">
        <v>286026</v>
      </c>
      <c r="M93" s="668">
        <f t="shared" si="242"/>
        <v>0</v>
      </c>
      <c r="N93" s="668">
        <v>0</v>
      </c>
      <c r="O93" s="668">
        <v>0</v>
      </c>
      <c r="P93" s="668">
        <f>ROUND(J93*33.8%,0)-1</f>
        <v>1150036</v>
      </c>
      <c r="Q93" s="668">
        <f t="shared" si="188"/>
        <v>34025</v>
      </c>
      <c r="R93" s="668">
        <v>39063</v>
      </c>
      <c r="S93" s="420">
        <f t="shared" si="189"/>
        <v>5.7157999999999998</v>
      </c>
      <c r="T93" s="420">
        <v>4.9090999999999996</v>
      </c>
      <c r="U93" s="946">
        <v>0.80669999999999997</v>
      </c>
      <c r="V93" s="428">
        <f t="shared" ref="V93:W97" si="245">AI93*-1</f>
        <v>0</v>
      </c>
      <c r="W93" s="421">
        <f t="shared" si="245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 t="shared" si="191"/>
        <v>0</v>
      </c>
      <c r="AG93" s="421">
        <f t="shared" si="192"/>
        <v>0</v>
      </c>
      <c r="AH93" s="421">
        <f t="shared" si="193"/>
        <v>0</v>
      </c>
      <c r="AI93" s="421">
        <v>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ref="AO93:AO97" si="246">AI93+AK93+AL93+AM93</f>
        <v>0</v>
      </c>
      <c r="AP93" s="421">
        <f>AJ93+AN93</f>
        <v>0</v>
      </c>
      <c r="AQ93" s="421">
        <f t="shared" si="196"/>
        <v>0</v>
      </c>
      <c r="AR93" s="421">
        <f t="shared" si="197"/>
        <v>0</v>
      </c>
      <c r="AS93" s="421">
        <f t="shared" si="198"/>
        <v>0</v>
      </c>
      <c r="AT93" s="421">
        <f t="shared" si="199"/>
        <v>0</v>
      </c>
      <c r="AU93" s="68">
        <f t="shared" ref="AU93:AU97" si="247">ROUND((AH93+AI93+AJ93+AK93+AL93)*33.8%,0)</f>
        <v>0</v>
      </c>
      <c r="AV93" s="68">
        <f t="shared" si="201"/>
        <v>0</v>
      </c>
      <c r="AW93" s="421">
        <v>0</v>
      </c>
      <c r="AX93" s="421">
        <v>0</v>
      </c>
      <c r="AY93" s="421">
        <f t="shared" si="202"/>
        <v>0</v>
      </c>
      <c r="AZ93" s="421">
        <f t="shared" si="203"/>
        <v>0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424">
        <f>SUM(BK93:BL93)</f>
        <v>0</v>
      </c>
      <c r="BN93" s="427">
        <f t="shared" si="207"/>
        <v>4625599</v>
      </c>
      <c r="BO93" s="421">
        <f t="shared" si="208"/>
        <v>3402475</v>
      </c>
      <c r="BP93" s="421">
        <f t="shared" ref="BP93:BQ97" si="248">K93+AF93</f>
        <v>3116449</v>
      </c>
      <c r="BQ93" s="421">
        <f t="shared" si="248"/>
        <v>286026</v>
      </c>
      <c r="BR93" s="421">
        <f>M93+AQ93</f>
        <v>0</v>
      </c>
      <c r="BS93" s="421">
        <f t="shared" ref="BS93:BT97" si="249">N93+AO93</f>
        <v>0</v>
      </c>
      <c r="BT93" s="421">
        <f t="shared" si="249"/>
        <v>0</v>
      </c>
      <c r="BU93" s="421">
        <f t="shared" ref="BU93:BV97" si="250">P93+AU93</f>
        <v>1150036</v>
      </c>
      <c r="BV93" s="421">
        <f t="shared" si="250"/>
        <v>34025</v>
      </c>
      <c r="BW93" s="421">
        <f>R93+AY93</f>
        <v>39063</v>
      </c>
      <c r="BX93" s="422">
        <f>S93+BM93</f>
        <v>5.7157999999999998</v>
      </c>
      <c r="BY93" s="422">
        <f t="shared" ref="BY93:BZ97" si="251">T93+BK93</f>
        <v>4.9090999999999996</v>
      </c>
      <c r="BZ93" s="611">
        <f t="shared" si="251"/>
        <v>0.80669999999999997</v>
      </c>
      <c r="CA93" s="423"/>
      <c r="CB93" s="418"/>
      <c r="CC93" s="418"/>
      <c r="CD93" s="418"/>
      <c r="CE93" s="418"/>
      <c r="CF93" s="527"/>
    </row>
    <row r="94" spans="1:84" s="96" customFormat="1" ht="14.1" customHeight="1" x14ac:dyDescent="0.2">
      <c r="A94" s="118">
        <v>14</v>
      </c>
      <c r="B94" s="77">
        <v>2304</v>
      </c>
      <c r="C94" s="93">
        <v>600080382</v>
      </c>
      <c r="D94" s="77">
        <v>72743417</v>
      </c>
      <c r="E94" s="77" t="s">
        <v>733</v>
      </c>
      <c r="F94" s="94">
        <v>3113</v>
      </c>
      <c r="G94" s="43" t="s">
        <v>293</v>
      </c>
      <c r="H94" s="95" t="s">
        <v>271</v>
      </c>
      <c r="I94" s="669">
        <f t="shared" si="185"/>
        <v>925282</v>
      </c>
      <c r="J94" s="668">
        <f t="shared" si="186"/>
        <v>686411</v>
      </c>
      <c r="K94" s="668">
        <v>686411</v>
      </c>
      <c r="L94" s="668">
        <v>0</v>
      </c>
      <c r="M94" s="668">
        <f t="shared" si="242"/>
        <v>0</v>
      </c>
      <c r="N94" s="668">
        <v>0</v>
      </c>
      <c r="O94" s="668">
        <v>0</v>
      </c>
      <c r="P94" s="668">
        <f t="shared" si="187"/>
        <v>232007</v>
      </c>
      <c r="Q94" s="668">
        <f t="shared" si="188"/>
        <v>6864</v>
      </c>
      <c r="R94" s="668">
        <v>0</v>
      </c>
      <c r="S94" s="420">
        <f t="shared" si="189"/>
        <v>1.7222</v>
      </c>
      <c r="T94" s="420">
        <v>1.7222</v>
      </c>
      <c r="U94" s="946">
        <v>0</v>
      </c>
      <c r="V94" s="428">
        <f t="shared" si="245"/>
        <v>0</v>
      </c>
      <c r="W94" s="421">
        <f t="shared" si="245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 t="shared" si="191"/>
        <v>0</v>
      </c>
      <c r="AG94" s="421">
        <f t="shared" si="192"/>
        <v>0</v>
      </c>
      <c r="AH94" s="421">
        <f t="shared" si="193"/>
        <v>0</v>
      </c>
      <c r="AI94" s="421">
        <v>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246"/>
        <v>0</v>
      </c>
      <c r="AP94" s="421">
        <f>AJ94+AN94</f>
        <v>0</v>
      </c>
      <c r="AQ94" s="421">
        <f t="shared" si="196"/>
        <v>0</v>
      </c>
      <c r="AR94" s="421">
        <f t="shared" si="197"/>
        <v>0</v>
      </c>
      <c r="AS94" s="421">
        <f t="shared" si="198"/>
        <v>0</v>
      </c>
      <c r="AT94" s="421">
        <f t="shared" si="199"/>
        <v>0</v>
      </c>
      <c r="AU94" s="68">
        <f t="shared" si="247"/>
        <v>0</v>
      </c>
      <c r="AV94" s="68">
        <f t="shared" si="201"/>
        <v>0</v>
      </c>
      <c r="AW94" s="421">
        <v>0</v>
      </c>
      <c r="AX94" s="421">
        <v>0</v>
      </c>
      <c r="AY94" s="421">
        <f t="shared" si="202"/>
        <v>0</v>
      </c>
      <c r="AZ94" s="421">
        <f t="shared" si="203"/>
        <v>0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>BA94+BC94+BD94+BF94+BH94+BI94</f>
        <v>0</v>
      </c>
      <c r="BL94" s="422">
        <f>BB94+BE94+BG94+BJ94</f>
        <v>0</v>
      </c>
      <c r="BM94" s="424">
        <f>SUM(BK94:BL94)</f>
        <v>0</v>
      </c>
      <c r="BN94" s="427">
        <f t="shared" si="207"/>
        <v>925282</v>
      </c>
      <c r="BO94" s="421">
        <f t="shared" si="208"/>
        <v>686411</v>
      </c>
      <c r="BP94" s="421">
        <f t="shared" si="248"/>
        <v>686411</v>
      </c>
      <c r="BQ94" s="421">
        <f t="shared" si="248"/>
        <v>0</v>
      </c>
      <c r="BR94" s="421">
        <f>M94+AQ94</f>
        <v>0</v>
      </c>
      <c r="BS94" s="421">
        <f t="shared" si="249"/>
        <v>0</v>
      </c>
      <c r="BT94" s="421">
        <f t="shared" si="249"/>
        <v>0</v>
      </c>
      <c r="BU94" s="421">
        <f t="shared" si="250"/>
        <v>232007</v>
      </c>
      <c r="BV94" s="421">
        <f t="shared" si="250"/>
        <v>6864</v>
      </c>
      <c r="BW94" s="421">
        <f>R94+AY94</f>
        <v>0</v>
      </c>
      <c r="BX94" s="422">
        <f>S94+BM94</f>
        <v>1.7222</v>
      </c>
      <c r="BY94" s="422">
        <f t="shared" si="251"/>
        <v>1.7222</v>
      </c>
      <c r="BZ94" s="611">
        <f t="shared" si="251"/>
        <v>0</v>
      </c>
      <c r="CA94" s="423"/>
      <c r="CB94" s="418"/>
      <c r="CC94" s="418"/>
      <c r="CD94" s="418"/>
      <c r="CE94" s="418"/>
      <c r="CF94" s="527"/>
    </row>
    <row r="95" spans="1:84" s="96" customFormat="1" ht="14.1" customHeight="1" x14ac:dyDescent="0.2">
      <c r="A95" s="118">
        <v>14</v>
      </c>
      <c r="B95" s="77">
        <v>2304</v>
      </c>
      <c r="C95" s="93">
        <v>600080382</v>
      </c>
      <c r="D95" s="77">
        <v>72743417</v>
      </c>
      <c r="E95" s="77" t="s">
        <v>733</v>
      </c>
      <c r="F95" s="94">
        <v>3113</v>
      </c>
      <c r="G95" s="77" t="s">
        <v>292</v>
      </c>
      <c r="H95" s="95" t="s">
        <v>272</v>
      </c>
      <c r="I95" s="669">
        <f t="shared" si="185"/>
        <v>0</v>
      </c>
      <c r="J95" s="668">
        <f t="shared" si="186"/>
        <v>0</v>
      </c>
      <c r="K95" s="668">
        <v>0</v>
      </c>
      <c r="L95" s="668">
        <v>0</v>
      </c>
      <c r="M95" s="668">
        <f t="shared" si="242"/>
        <v>0</v>
      </c>
      <c r="N95" s="668">
        <v>0</v>
      </c>
      <c r="O95" s="668">
        <v>0</v>
      </c>
      <c r="P95" s="668">
        <f t="shared" si="187"/>
        <v>0</v>
      </c>
      <c r="Q95" s="668">
        <f t="shared" si="188"/>
        <v>0</v>
      </c>
      <c r="R95" s="668">
        <v>0</v>
      </c>
      <c r="S95" s="420">
        <f t="shared" si="189"/>
        <v>0</v>
      </c>
      <c r="T95" s="420">
        <v>0</v>
      </c>
      <c r="U95" s="946">
        <v>0</v>
      </c>
      <c r="V95" s="428">
        <f t="shared" si="245"/>
        <v>0</v>
      </c>
      <c r="W95" s="421">
        <f t="shared" si="245"/>
        <v>0</v>
      </c>
      <c r="X95" s="16">
        <v>539763</v>
      </c>
      <c r="Y95" s="16">
        <v>0</v>
      </c>
      <c r="Z95" s="16">
        <v>0</v>
      </c>
      <c r="AA95" s="16">
        <v>0</v>
      </c>
      <c r="AB95" s="421">
        <v>0</v>
      </c>
      <c r="AC95" s="16">
        <v>0</v>
      </c>
      <c r="AD95" s="16">
        <v>0</v>
      </c>
      <c r="AE95" s="16">
        <v>0</v>
      </c>
      <c r="AF95" s="421">
        <f t="shared" si="191"/>
        <v>539763</v>
      </c>
      <c r="AG95" s="421">
        <f t="shared" si="192"/>
        <v>0</v>
      </c>
      <c r="AH95" s="421">
        <f t="shared" si="193"/>
        <v>539763</v>
      </c>
      <c r="AI95" s="16">
        <v>0</v>
      </c>
      <c r="AJ95" s="16">
        <v>0</v>
      </c>
      <c r="AK95" s="421">
        <v>0</v>
      </c>
      <c r="AL95" s="16">
        <v>0</v>
      </c>
      <c r="AM95" s="16">
        <v>0</v>
      </c>
      <c r="AN95" s="16">
        <v>0</v>
      </c>
      <c r="AO95" s="421">
        <f t="shared" si="246"/>
        <v>0</v>
      </c>
      <c r="AP95" s="16">
        <v>0</v>
      </c>
      <c r="AQ95" s="421">
        <f t="shared" si="196"/>
        <v>0</v>
      </c>
      <c r="AR95" s="421">
        <f t="shared" si="197"/>
        <v>539763</v>
      </c>
      <c r="AS95" s="421">
        <f t="shared" si="198"/>
        <v>0</v>
      </c>
      <c r="AT95" s="421">
        <f t="shared" si="199"/>
        <v>539763</v>
      </c>
      <c r="AU95" s="68">
        <f t="shared" si="247"/>
        <v>182440</v>
      </c>
      <c r="AV95" s="68">
        <f t="shared" si="201"/>
        <v>5398</v>
      </c>
      <c r="AW95" s="16">
        <v>0</v>
      </c>
      <c r="AX95" s="16">
        <v>0</v>
      </c>
      <c r="AY95" s="421">
        <f t="shared" si="202"/>
        <v>0</v>
      </c>
      <c r="AZ95" s="421">
        <f t="shared" si="203"/>
        <v>727601</v>
      </c>
      <c r="BA95" s="13">
        <v>0</v>
      </c>
      <c r="BB95" s="13">
        <v>0</v>
      </c>
      <c r="BC95" s="13">
        <v>1.4400000000000002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>BA95+BC95+BD95+BF95+BH95+BI95</f>
        <v>1.4400000000000002</v>
      </c>
      <c r="BL95" s="422">
        <f>BB95+BE95+BG95+BJ95</f>
        <v>0</v>
      </c>
      <c r="BM95" s="424">
        <f>SUM(BK95:BL95)</f>
        <v>1.4400000000000002</v>
      </c>
      <c r="BN95" s="427">
        <f t="shared" si="207"/>
        <v>727601</v>
      </c>
      <c r="BO95" s="421">
        <f t="shared" si="208"/>
        <v>539763</v>
      </c>
      <c r="BP95" s="421">
        <f t="shared" si="248"/>
        <v>539763</v>
      </c>
      <c r="BQ95" s="421">
        <f t="shared" si="248"/>
        <v>0</v>
      </c>
      <c r="BR95" s="421">
        <f>M95+AQ95</f>
        <v>0</v>
      </c>
      <c r="BS95" s="421">
        <f t="shared" si="249"/>
        <v>0</v>
      </c>
      <c r="BT95" s="421">
        <f t="shared" si="249"/>
        <v>0</v>
      </c>
      <c r="BU95" s="421">
        <f t="shared" si="250"/>
        <v>182440</v>
      </c>
      <c r="BV95" s="421">
        <f t="shared" si="250"/>
        <v>5398</v>
      </c>
      <c r="BW95" s="421">
        <f>R95+AY95</f>
        <v>0</v>
      </c>
      <c r="BX95" s="422">
        <f>S95+BM95</f>
        <v>1.4400000000000002</v>
      </c>
      <c r="BY95" s="422">
        <f t="shared" si="251"/>
        <v>1.4400000000000002</v>
      </c>
      <c r="BZ95" s="611">
        <f t="shared" si="251"/>
        <v>0</v>
      </c>
      <c r="CA95" s="423"/>
      <c r="CB95" s="418"/>
      <c r="CC95" s="418"/>
      <c r="CD95" s="418"/>
      <c r="CE95" s="418"/>
      <c r="CF95" s="527"/>
    </row>
    <row r="96" spans="1:84" s="96" customFormat="1" ht="14.1" customHeight="1" x14ac:dyDescent="0.2">
      <c r="A96" s="118">
        <v>14</v>
      </c>
      <c r="B96" s="77">
        <v>2304</v>
      </c>
      <c r="C96" s="93">
        <v>600080382</v>
      </c>
      <c r="D96" s="77">
        <v>72743417</v>
      </c>
      <c r="E96" s="77" t="s">
        <v>733</v>
      </c>
      <c r="F96" s="94">
        <v>3143</v>
      </c>
      <c r="G96" s="77" t="s">
        <v>596</v>
      </c>
      <c r="H96" s="95" t="s">
        <v>271</v>
      </c>
      <c r="I96" s="669">
        <f t="shared" si="185"/>
        <v>293282</v>
      </c>
      <c r="J96" s="668">
        <f t="shared" si="186"/>
        <v>217568</v>
      </c>
      <c r="K96" s="668">
        <v>217568</v>
      </c>
      <c r="L96" s="668">
        <v>0</v>
      </c>
      <c r="M96" s="668">
        <f t="shared" si="242"/>
        <v>0</v>
      </c>
      <c r="N96" s="668">
        <v>0</v>
      </c>
      <c r="O96" s="668">
        <v>0</v>
      </c>
      <c r="P96" s="668">
        <f t="shared" si="187"/>
        <v>73538</v>
      </c>
      <c r="Q96" s="668">
        <f t="shared" si="188"/>
        <v>2176</v>
      </c>
      <c r="R96" s="668">
        <v>0</v>
      </c>
      <c r="S96" s="420">
        <f t="shared" si="189"/>
        <v>0.5</v>
      </c>
      <c r="T96" s="420">
        <v>0.5</v>
      </c>
      <c r="U96" s="946">
        <v>0</v>
      </c>
      <c r="V96" s="428">
        <f t="shared" si="245"/>
        <v>0</v>
      </c>
      <c r="W96" s="421">
        <f t="shared" si="245"/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 t="shared" si="191"/>
        <v>0</v>
      </c>
      <c r="AG96" s="421">
        <f t="shared" si="192"/>
        <v>0</v>
      </c>
      <c r="AH96" s="421">
        <f t="shared" si="193"/>
        <v>0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si="246"/>
        <v>0</v>
      </c>
      <c r="AP96" s="421">
        <f>AJ96+AN96</f>
        <v>0</v>
      </c>
      <c r="AQ96" s="421">
        <f t="shared" si="196"/>
        <v>0</v>
      </c>
      <c r="AR96" s="421">
        <f t="shared" si="197"/>
        <v>0</v>
      </c>
      <c r="AS96" s="421">
        <f t="shared" si="198"/>
        <v>0</v>
      </c>
      <c r="AT96" s="421">
        <f t="shared" si="199"/>
        <v>0</v>
      </c>
      <c r="AU96" s="68">
        <f t="shared" si="247"/>
        <v>0</v>
      </c>
      <c r="AV96" s="68">
        <f t="shared" si="201"/>
        <v>0</v>
      </c>
      <c r="AW96" s="421">
        <v>0</v>
      </c>
      <c r="AX96" s="421">
        <v>0</v>
      </c>
      <c r="AY96" s="421">
        <f t="shared" si="202"/>
        <v>0</v>
      </c>
      <c r="AZ96" s="421">
        <f t="shared" si="203"/>
        <v>0</v>
      </c>
      <c r="BA96" s="422">
        <v>0</v>
      </c>
      <c r="BB96" s="422">
        <v>0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>BA96+BC96+BD96+BF96+BH96+BI96</f>
        <v>0</v>
      </c>
      <c r="BL96" s="422">
        <f>BB96+BE96+BG96+BJ96</f>
        <v>0</v>
      </c>
      <c r="BM96" s="424">
        <f>SUM(BK96:BL96)</f>
        <v>0</v>
      </c>
      <c r="BN96" s="427">
        <f t="shared" si="207"/>
        <v>293282</v>
      </c>
      <c r="BO96" s="421">
        <f t="shared" si="208"/>
        <v>217568</v>
      </c>
      <c r="BP96" s="421">
        <f t="shared" si="248"/>
        <v>217568</v>
      </c>
      <c r="BQ96" s="421">
        <f t="shared" si="248"/>
        <v>0</v>
      </c>
      <c r="BR96" s="421">
        <f>M96+AQ96</f>
        <v>0</v>
      </c>
      <c r="BS96" s="421">
        <f t="shared" si="249"/>
        <v>0</v>
      </c>
      <c r="BT96" s="421">
        <f t="shared" si="249"/>
        <v>0</v>
      </c>
      <c r="BU96" s="421">
        <f t="shared" si="250"/>
        <v>73538</v>
      </c>
      <c r="BV96" s="421">
        <f t="shared" si="250"/>
        <v>2176</v>
      </c>
      <c r="BW96" s="421">
        <f>R96+AY96</f>
        <v>0</v>
      </c>
      <c r="BX96" s="422">
        <f>S96+BM96</f>
        <v>0.5</v>
      </c>
      <c r="BY96" s="422">
        <f t="shared" si="251"/>
        <v>0.5</v>
      </c>
      <c r="BZ96" s="611">
        <f t="shared" si="251"/>
        <v>0</v>
      </c>
      <c r="CA96" s="423"/>
      <c r="CB96" s="418"/>
      <c r="CC96" s="418"/>
      <c r="CD96" s="418"/>
      <c r="CE96" s="418"/>
      <c r="CF96" s="527"/>
    </row>
    <row r="97" spans="1:84" s="96" customFormat="1" ht="14.1" customHeight="1" x14ac:dyDescent="0.2">
      <c r="A97" s="118">
        <v>14</v>
      </c>
      <c r="B97" s="77">
        <v>2304</v>
      </c>
      <c r="C97" s="93">
        <v>600080382</v>
      </c>
      <c r="D97" s="77">
        <v>72743417</v>
      </c>
      <c r="E97" s="77" t="s">
        <v>733</v>
      </c>
      <c r="F97" s="94">
        <v>3143</v>
      </c>
      <c r="G97" s="77" t="s">
        <v>597</v>
      </c>
      <c r="H97" s="95" t="s">
        <v>272</v>
      </c>
      <c r="I97" s="669">
        <f t="shared" si="185"/>
        <v>5127</v>
      </c>
      <c r="J97" s="668">
        <f t="shared" si="186"/>
        <v>3670</v>
      </c>
      <c r="K97" s="668">
        <v>0</v>
      </c>
      <c r="L97" s="674">
        <v>3670</v>
      </c>
      <c r="M97" s="668">
        <f t="shared" si="242"/>
        <v>0</v>
      </c>
      <c r="N97" s="675">
        <v>0</v>
      </c>
      <c r="O97" s="675">
        <v>0</v>
      </c>
      <c r="P97" s="668">
        <f t="shared" si="187"/>
        <v>1240</v>
      </c>
      <c r="Q97" s="668">
        <f t="shared" si="188"/>
        <v>37</v>
      </c>
      <c r="R97" s="675">
        <v>180</v>
      </c>
      <c r="S97" s="420">
        <f t="shared" si="189"/>
        <v>1.3899999999999999E-2</v>
      </c>
      <c r="T97" s="679">
        <v>0</v>
      </c>
      <c r="U97" s="909">
        <v>1.3899999999999999E-2</v>
      </c>
      <c r="V97" s="428">
        <f t="shared" si="245"/>
        <v>0</v>
      </c>
      <c r="W97" s="421">
        <f t="shared" si="245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 t="shared" si="191"/>
        <v>0</v>
      </c>
      <c r="AG97" s="421">
        <f t="shared" si="192"/>
        <v>0</v>
      </c>
      <c r="AH97" s="421">
        <f t="shared" si="193"/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246"/>
        <v>0</v>
      </c>
      <c r="AP97" s="421">
        <f>AJ97+AN97</f>
        <v>0</v>
      </c>
      <c r="AQ97" s="421">
        <f t="shared" si="196"/>
        <v>0</v>
      </c>
      <c r="AR97" s="421">
        <f t="shared" si="197"/>
        <v>0</v>
      </c>
      <c r="AS97" s="421">
        <f t="shared" si="198"/>
        <v>0</v>
      </c>
      <c r="AT97" s="421">
        <f t="shared" si="199"/>
        <v>0</v>
      </c>
      <c r="AU97" s="68">
        <f t="shared" si="247"/>
        <v>0</v>
      </c>
      <c r="AV97" s="68">
        <f t="shared" si="201"/>
        <v>0</v>
      </c>
      <c r="AW97" s="421">
        <v>0</v>
      </c>
      <c r="AX97" s="421">
        <v>0</v>
      </c>
      <c r="AY97" s="421">
        <f t="shared" si="202"/>
        <v>0</v>
      </c>
      <c r="AZ97" s="421">
        <f t="shared" si="203"/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>BA97+BC97+BD97+BF97+BH97+BI97</f>
        <v>0</v>
      </c>
      <c r="BL97" s="422">
        <f>BB97+BE97+BG97+BJ97</f>
        <v>0</v>
      </c>
      <c r="BM97" s="424">
        <f>SUM(BK97:BL97)</f>
        <v>0</v>
      </c>
      <c r="BN97" s="427">
        <f t="shared" si="207"/>
        <v>5127</v>
      </c>
      <c r="BO97" s="421">
        <f t="shared" si="208"/>
        <v>3670</v>
      </c>
      <c r="BP97" s="421">
        <f t="shared" si="248"/>
        <v>0</v>
      </c>
      <c r="BQ97" s="421">
        <f t="shared" si="248"/>
        <v>3670</v>
      </c>
      <c r="BR97" s="421">
        <f>M97+AQ97</f>
        <v>0</v>
      </c>
      <c r="BS97" s="421">
        <f t="shared" si="249"/>
        <v>0</v>
      </c>
      <c r="BT97" s="421">
        <f t="shared" si="249"/>
        <v>0</v>
      </c>
      <c r="BU97" s="421">
        <f t="shared" si="250"/>
        <v>1240</v>
      </c>
      <c r="BV97" s="421">
        <f t="shared" si="250"/>
        <v>37</v>
      </c>
      <c r="BW97" s="421">
        <f>R97+AY97</f>
        <v>180</v>
      </c>
      <c r="BX97" s="422">
        <f>S97+BM97</f>
        <v>1.3899999999999999E-2</v>
      </c>
      <c r="BY97" s="422">
        <f t="shared" si="251"/>
        <v>0</v>
      </c>
      <c r="BZ97" s="611">
        <f t="shared" si="251"/>
        <v>1.3899999999999999E-2</v>
      </c>
      <c r="CA97" s="423"/>
      <c r="CB97" s="418"/>
      <c r="CC97" s="418"/>
      <c r="CD97" s="418"/>
      <c r="CE97" s="418"/>
      <c r="CF97" s="527"/>
    </row>
    <row r="98" spans="1:84" s="96" customFormat="1" ht="14.1" customHeight="1" x14ac:dyDescent="0.2">
      <c r="A98" s="119">
        <v>14</v>
      </c>
      <c r="B98" s="97">
        <v>2304</v>
      </c>
      <c r="C98" s="98">
        <v>600080382</v>
      </c>
      <c r="D98" s="97">
        <v>72743417</v>
      </c>
      <c r="E98" s="97" t="s">
        <v>734</v>
      </c>
      <c r="F98" s="99"/>
      <c r="G98" s="100"/>
      <c r="H98" s="101"/>
      <c r="I98" s="442">
        <f t="shared" ref="I98:U98" si="252">SUM(I93:I97)</f>
        <v>5849290</v>
      </c>
      <c r="J98" s="438">
        <f t="shared" si="252"/>
        <v>4310124</v>
      </c>
      <c r="K98" s="438">
        <f t="shared" si="252"/>
        <v>4020428</v>
      </c>
      <c r="L98" s="438">
        <f t="shared" si="252"/>
        <v>289696</v>
      </c>
      <c r="M98" s="438">
        <f t="shared" si="252"/>
        <v>0</v>
      </c>
      <c r="N98" s="438">
        <f t="shared" si="252"/>
        <v>0</v>
      </c>
      <c r="O98" s="438">
        <f t="shared" si="252"/>
        <v>0</v>
      </c>
      <c r="P98" s="438">
        <f t="shared" si="252"/>
        <v>1456821</v>
      </c>
      <c r="Q98" s="438">
        <f t="shared" si="252"/>
        <v>43102</v>
      </c>
      <c r="R98" s="438">
        <f t="shared" si="252"/>
        <v>39243</v>
      </c>
      <c r="S98" s="439">
        <f t="shared" si="252"/>
        <v>7.9518999999999993</v>
      </c>
      <c r="T98" s="439">
        <f t="shared" si="252"/>
        <v>7.1312999999999995</v>
      </c>
      <c r="U98" s="814">
        <f t="shared" si="252"/>
        <v>0.8206</v>
      </c>
      <c r="V98" s="442">
        <f t="shared" ref="V98:CF98" si="253">SUM(V93:V97)</f>
        <v>0</v>
      </c>
      <c r="W98" s="438">
        <f t="shared" si="253"/>
        <v>0</v>
      </c>
      <c r="X98" s="438">
        <f t="shared" si="253"/>
        <v>539763</v>
      </c>
      <c r="Y98" s="438">
        <f t="shared" si="253"/>
        <v>0</v>
      </c>
      <c r="Z98" s="438">
        <f t="shared" si="253"/>
        <v>0</v>
      </c>
      <c r="AA98" s="438">
        <f t="shared" si="253"/>
        <v>0</v>
      </c>
      <c r="AB98" s="438">
        <f t="shared" si="253"/>
        <v>0</v>
      </c>
      <c r="AC98" s="438">
        <f t="shared" si="253"/>
        <v>0</v>
      </c>
      <c r="AD98" s="438">
        <f t="shared" si="253"/>
        <v>0</v>
      </c>
      <c r="AE98" s="438">
        <f t="shared" si="253"/>
        <v>0</v>
      </c>
      <c r="AF98" s="438">
        <f t="shared" si="253"/>
        <v>539763</v>
      </c>
      <c r="AG98" s="438">
        <f t="shared" si="253"/>
        <v>0</v>
      </c>
      <c r="AH98" s="438">
        <f t="shared" si="253"/>
        <v>539763</v>
      </c>
      <c r="AI98" s="438">
        <f t="shared" si="253"/>
        <v>0</v>
      </c>
      <c r="AJ98" s="438">
        <f t="shared" si="253"/>
        <v>0</v>
      </c>
      <c r="AK98" s="438">
        <f t="shared" si="253"/>
        <v>0</v>
      </c>
      <c r="AL98" s="438">
        <f t="shared" si="253"/>
        <v>0</v>
      </c>
      <c r="AM98" s="438">
        <f t="shared" si="253"/>
        <v>0</v>
      </c>
      <c r="AN98" s="438">
        <f t="shared" si="253"/>
        <v>0</v>
      </c>
      <c r="AO98" s="438">
        <f t="shared" si="253"/>
        <v>0</v>
      </c>
      <c r="AP98" s="438">
        <f t="shared" si="253"/>
        <v>0</v>
      </c>
      <c r="AQ98" s="438">
        <f t="shared" si="253"/>
        <v>0</v>
      </c>
      <c r="AR98" s="438">
        <f t="shared" si="253"/>
        <v>539763</v>
      </c>
      <c r="AS98" s="438">
        <f t="shared" si="253"/>
        <v>0</v>
      </c>
      <c r="AT98" s="438">
        <f t="shared" si="253"/>
        <v>539763</v>
      </c>
      <c r="AU98" s="438">
        <f t="shared" si="253"/>
        <v>182440</v>
      </c>
      <c r="AV98" s="438">
        <f t="shared" si="253"/>
        <v>5398</v>
      </c>
      <c r="AW98" s="438">
        <f t="shared" si="253"/>
        <v>0</v>
      </c>
      <c r="AX98" s="438">
        <f t="shared" si="253"/>
        <v>0</v>
      </c>
      <c r="AY98" s="438">
        <f t="shared" si="253"/>
        <v>0</v>
      </c>
      <c r="AZ98" s="438">
        <f t="shared" si="253"/>
        <v>727601</v>
      </c>
      <c r="BA98" s="439">
        <f t="shared" si="253"/>
        <v>0</v>
      </c>
      <c r="BB98" s="439">
        <f t="shared" si="253"/>
        <v>0</v>
      </c>
      <c r="BC98" s="439">
        <f t="shared" si="253"/>
        <v>1.4400000000000002</v>
      </c>
      <c r="BD98" s="439">
        <f t="shared" si="253"/>
        <v>0</v>
      </c>
      <c r="BE98" s="439">
        <f t="shared" si="253"/>
        <v>0</v>
      </c>
      <c r="BF98" s="439">
        <f t="shared" si="253"/>
        <v>0</v>
      </c>
      <c r="BG98" s="439">
        <f t="shared" si="253"/>
        <v>0</v>
      </c>
      <c r="BH98" s="439">
        <f t="shared" si="253"/>
        <v>0</v>
      </c>
      <c r="BI98" s="439">
        <f t="shared" si="253"/>
        <v>0</v>
      </c>
      <c r="BJ98" s="439">
        <f t="shared" si="253"/>
        <v>0</v>
      </c>
      <c r="BK98" s="439">
        <f t="shared" si="253"/>
        <v>1.4400000000000002</v>
      </c>
      <c r="BL98" s="439">
        <f t="shared" si="253"/>
        <v>0</v>
      </c>
      <c r="BM98" s="103">
        <f t="shared" si="253"/>
        <v>1.4400000000000002</v>
      </c>
      <c r="BN98" s="444">
        <f t="shared" si="253"/>
        <v>6576891</v>
      </c>
      <c r="BO98" s="438">
        <f t="shared" si="253"/>
        <v>4849887</v>
      </c>
      <c r="BP98" s="438">
        <f t="shared" si="253"/>
        <v>4560191</v>
      </c>
      <c r="BQ98" s="438">
        <f t="shared" si="253"/>
        <v>289696</v>
      </c>
      <c r="BR98" s="438">
        <f t="shared" si="253"/>
        <v>0</v>
      </c>
      <c r="BS98" s="438">
        <f t="shared" si="253"/>
        <v>0</v>
      </c>
      <c r="BT98" s="438">
        <f t="shared" si="253"/>
        <v>0</v>
      </c>
      <c r="BU98" s="438">
        <f t="shared" si="253"/>
        <v>1639261</v>
      </c>
      <c r="BV98" s="438">
        <f t="shared" si="253"/>
        <v>48500</v>
      </c>
      <c r="BW98" s="438">
        <f t="shared" si="253"/>
        <v>39243</v>
      </c>
      <c r="BX98" s="439">
        <f t="shared" si="253"/>
        <v>9.3918999999999997</v>
      </c>
      <c r="BY98" s="439">
        <f t="shared" si="253"/>
        <v>8.571299999999999</v>
      </c>
      <c r="BZ98" s="814">
        <f t="shared" si="253"/>
        <v>0.8206</v>
      </c>
      <c r="CA98" s="819">
        <f t="shared" si="253"/>
        <v>0</v>
      </c>
      <c r="CB98" s="817">
        <f t="shared" si="253"/>
        <v>0</v>
      </c>
      <c r="CC98" s="817">
        <f t="shared" si="253"/>
        <v>0</v>
      </c>
      <c r="CD98" s="817">
        <f t="shared" si="253"/>
        <v>0</v>
      </c>
      <c r="CE98" s="817">
        <f t="shared" si="253"/>
        <v>0</v>
      </c>
      <c r="CF98" s="802">
        <f t="shared" si="253"/>
        <v>0</v>
      </c>
    </row>
    <row r="99" spans="1:84" s="96" customFormat="1" ht="14.1" customHeight="1" x14ac:dyDescent="0.2">
      <c r="A99" s="118">
        <v>15</v>
      </c>
      <c r="B99" s="102">
        <v>2438</v>
      </c>
      <c r="C99" s="93">
        <v>600079384</v>
      </c>
      <c r="D99" s="77">
        <v>72741911</v>
      </c>
      <c r="E99" s="77" t="s">
        <v>735</v>
      </c>
      <c r="F99" s="94">
        <v>3111</v>
      </c>
      <c r="G99" s="77" t="s">
        <v>291</v>
      </c>
      <c r="H99" s="95" t="s">
        <v>271</v>
      </c>
      <c r="I99" s="669">
        <f t="shared" si="185"/>
        <v>8760260</v>
      </c>
      <c r="J99" s="668">
        <f t="shared" si="186"/>
        <v>6477318</v>
      </c>
      <c r="K99" s="668">
        <v>5892099</v>
      </c>
      <c r="L99" s="668">
        <v>585219</v>
      </c>
      <c r="M99" s="668">
        <f t="shared" ref="M99:M101" si="254">N99+O99</f>
        <v>0</v>
      </c>
      <c r="N99" s="668">
        <v>0</v>
      </c>
      <c r="O99" s="668">
        <v>0</v>
      </c>
      <c r="P99" s="668">
        <f t="shared" si="187"/>
        <v>2189333</v>
      </c>
      <c r="Q99" s="668">
        <f t="shared" si="188"/>
        <v>64773</v>
      </c>
      <c r="R99" s="668">
        <v>28836</v>
      </c>
      <c r="S99" s="420">
        <f t="shared" si="189"/>
        <v>12.1586</v>
      </c>
      <c r="T99" s="420">
        <v>10.165100000000001</v>
      </c>
      <c r="U99" s="946">
        <v>1.9935</v>
      </c>
      <c r="V99" s="428">
        <f t="shared" ref="V99:W101" si="255">AI99*-1</f>
        <v>0</v>
      </c>
      <c r="W99" s="421">
        <f t="shared" si="255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 t="shared" si="191"/>
        <v>0</v>
      </c>
      <c r="AG99" s="421">
        <f t="shared" si="192"/>
        <v>0</v>
      </c>
      <c r="AH99" s="421">
        <f t="shared" si="193"/>
        <v>0</v>
      </c>
      <c r="AI99" s="421">
        <v>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ref="AO99:AO101" si="256">AI99+AK99+AL99+AM99</f>
        <v>0</v>
      </c>
      <c r="AP99" s="421">
        <f>AJ99+AN99</f>
        <v>0</v>
      </c>
      <c r="AQ99" s="421">
        <f t="shared" si="196"/>
        <v>0</v>
      </c>
      <c r="AR99" s="421">
        <f t="shared" si="197"/>
        <v>0</v>
      </c>
      <c r="AS99" s="421">
        <f t="shared" si="198"/>
        <v>0</v>
      </c>
      <c r="AT99" s="421">
        <f t="shared" si="199"/>
        <v>0</v>
      </c>
      <c r="AU99" s="68">
        <f t="shared" ref="AU99:AU101" si="257">ROUND((AH99+AI99+AJ99+AK99+AL99)*33.8%,0)</f>
        <v>0</v>
      </c>
      <c r="AV99" s="68">
        <f t="shared" si="201"/>
        <v>0</v>
      </c>
      <c r="AW99" s="421">
        <v>0</v>
      </c>
      <c r="AX99" s="421">
        <v>0</v>
      </c>
      <c r="AY99" s="421">
        <f t="shared" si="202"/>
        <v>0</v>
      </c>
      <c r="AZ99" s="421">
        <f t="shared" si="203"/>
        <v>0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>BA99+BC99+BD99+BF99+BH99+BI99</f>
        <v>0</v>
      </c>
      <c r="BL99" s="422">
        <f>BB99+BE99+BG99+BJ99</f>
        <v>0</v>
      </c>
      <c r="BM99" s="424">
        <f>SUM(BK99:BL99)</f>
        <v>0</v>
      </c>
      <c r="BN99" s="427">
        <f t="shared" si="207"/>
        <v>8760260</v>
      </c>
      <c r="BO99" s="421">
        <f t="shared" si="208"/>
        <v>6477318</v>
      </c>
      <c r="BP99" s="421">
        <f t="shared" ref="BP99:BQ101" si="258">K99+AF99</f>
        <v>5892099</v>
      </c>
      <c r="BQ99" s="421">
        <f t="shared" si="258"/>
        <v>585219</v>
      </c>
      <c r="BR99" s="421">
        <f>M99+AQ99</f>
        <v>0</v>
      </c>
      <c r="BS99" s="421">
        <f t="shared" ref="BS99:BT101" si="259">N99+AO99</f>
        <v>0</v>
      </c>
      <c r="BT99" s="421">
        <f t="shared" si="259"/>
        <v>0</v>
      </c>
      <c r="BU99" s="421">
        <f t="shared" ref="BU99:BV101" si="260">P99+AU99</f>
        <v>2189333</v>
      </c>
      <c r="BV99" s="421">
        <f t="shared" si="260"/>
        <v>64773</v>
      </c>
      <c r="BW99" s="421">
        <f>R99+AY99</f>
        <v>28836</v>
      </c>
      <c r="BX99" s="422">
        <f>S99+BM99</f>
        <v>12.1586</v>
      </c>
      <c r="BY99" s="422">
        <f t="shared" ref="BY99:BZ101" si="261">T99+BK99</f>
        <v>10.165100000000001</v>
      </c>
      <c r="BZ99" s="611">
        <f t="shared" si="261"/>
        <v>1.9935</v>
      </c>
      <c r="CA99" s="423"/>
      <c r="CB99" s="418"/>
      <c r="CC99" s="418"/>
      <c r="CD99" s="418"/>
      <c r="CE99" s="418"/>
      <c r="CF99" s="527"/>
    </row>
    <row r="100" spans="1:84" s="96" customFormat="1" ht="14.1" customHeight="1" x14ac:dyDescent="0.2">
      <c r="A100" s="118">
        <v>15</v>
      </c>
      <c r="B100" s="77">
        <v>2438</v>
      </c>
      <c r="C100" s="93">
        <v>600079384</v>
      </c>
      <c r="D100" s="77">
        <v>72741911</v>
      </c>
      <c r="E100" s="77" t="s">
        <v>735</v>
      </c>
      <c r="F100" s="94">
        <v>3111</v>
      </c>
      <c r="G100" s="77" t="s">
        <v>292</v>
      </c>
      <c r="H100" s="95" t="s">
        <v>272</v>
      </c>
      <c r="I100" s="669">
        <f t="shared" si="185"/>
        <v>0</v>
      </c>
      <c r="J100" s="668">
        <f t="shared" si="186"/>
        <v>0</v>
      </c>
      <c r="K100" s="668">
        <v>0</v>
      </c>
      <c r="L100" s="668">
        <v>0</v>
      </c>
      <c r="M100" s="668">
        <f t="shared" si="254"/>
        <v>0</v>
      </c>
      <c r="N100" s="668">
        <v>0</v>
      </c>
      <c r="O100" s="668">
        <v>0</v>
      </c>
      <c r="P100" s="668">
        <f t="shared" si="187"/>
        <v>0</v>
      </c>
      <c r="Q100" s="668">
        <f t="shared" si="188"/>
        <v>0</v>
      </c>
      <c r="R100" s="668">
        <v>0</v>
      </c>
      <c r="S100" s="420">
        <f t="shared" si="189"/>
        <v>0</v>
      </c>
      <c r="T100" s="420">
        <v>0</v>
      </c>
      <c r="U100" s="946">
        <v>0</v>
      </c>
      <c r="V100" s="428">
        <f t="shared" si="255"/>
        <v>0</v>
      </c>
      <c r="W100" s="421">
        <f t="shared" si="255"/>
        <v>0</v>
      </c>
      <c r="X100" s="16">
        <v>1044460</v>
      </c>
      <c r="Y100" s="16">
        <v>0</v>
      </c>
      <c r="Z100" s="16">
        <v>0</v>
      </c>
      <c r="AA100" s="16">
        <v>0</v>
      </c>
      <c r="AB100" s="421">
        <v>0</v>
      </c>
      <c r="AC100" s="16">
        <v>0</v>
      </c>
      <c r="AD100" s="16">
        <v>0</v>
      </c>
      <c r="AE100" s="16">
        <v>0</v>
      </c>
      <c r="AF100" s="421">
        <f t="shared" si="191"/>
        <v>1044460</v>
      </c>
      <c r="AG100" s="421">
        <f t="shared" si="192"/>
        <v>0</v>
      </c>
      <c r="AH100" s="421">
        <f t="shared" si="193"/>
        <v>1044460</v>
      </c>
      <c r="AI100" s="16">
        <v>0</v>
      </c>
      <c r="AJ100" s="16">
        <v>0</v>
      </c>
      <c r="AK100" s="421">
        <v>0</v>
      </c>
      <c r="AL100" s="16">
        <v>0</v>
      </c>
      <c r="AM100" s="16">
        <v>0</v>
      </c>
      <c r="AN100" s="16">
        <v>0</v>
      </c>
      <c r="AO100" s="421">
        <f t="shared" si="256"/>
        <v>0</v>
      </c>
      <c r="AP100" s="16">
        <v>0</v>
      </c>
      <c r="AQ100" s="421">
        <f t="shared" si="196"/>
        <v>0</v>
      </c>
      <c r="AR100" s="421">
        <f t="shared" si="197"/>
        <v>1044460</v>
      </c>
      <c r="AS100" s="421">
        <f t="shared" si="198"/>
        <v>0</v>
      </c>
      <c r="AT100" s="421">
        <f t="shared" si="199"/>
        <v>1044460</v>
      </c>
      <c r="AU100" s="68">
        <f t="shared" si="257"/>
        <v>353027</v>
      </c>
      <c r="AV100" s="68">
        <f t="shared" si="201"/>
        <v>10445</v>
      </c>
      <c r="AW100" s="16">
        <v>0</v>
      </c>
      <c r="AX100" s="16">
        <v>0</v>
      </c>
      <c r="AY100" s="421">
        <f t="shared" si="202"/>
        <v>0</v>
      </c>
      <c r="AZ100" s="421">
        <f t="shared" si="203"/>
        <v>1407932</v>
      </c>
      <c r="BA100" s="13">
        <v>0</v>
      </c>
      <c r="BB100" s="13">
        <v>0</v>
      </c>
      <c r="BC100" s="13">
        <v>2.8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>BA100+BC100+BD100+BF100+BH100+BI100</f>
        <v>2.8</v>
      </c>
      <c r="BL100" s="422">
        <f>BB100+BE100+BG100+BJ100</f>
        <v>0</v>
      </c>
      <c r="BM100" s="424">
        <f>SUM(BK100:BL100)</f>
        <v>2.8</v>
      </c>
      <c r="BN100" s="427">
        <f t="shared" si="207"/>
        <v>1407932</v>
      </c>
      <c r="BO100" s="421">
        <f t="shared" si="208"/>
        <v>1044460</v>
      </c>
      <c r="BP100" s="421">
        <f t="shared" si="258"/>
        <v>1044460</v>
      </c>
      <c r="BQ100" s="421">
        <f t="shared" si="258"/>
        <v>0</v>
      </c>
      <c r="BR100" s="421">
        <f>M100+AQ100</f>
        <v>0</v>
      </c>
      <c r="BS100" s="421">
        <f t="shared" si="259"/>
        <v>0</v>
      </c>
      <c r="BT100" s="421">
        <f t="shared" si="259"/>
        <v>0</v>
      </c>
      <c r="BU100" s="421">
        <f t="shared" si="260"/>
        <v>353027</v>
      </c>
      <c r="BV100" s="421">
        <f t="shared" si="260"/>
        <v>10445</v>
      </c>
      <c r="BW100" s="421">
        <f>R100+AY100</f>
        <v>0</v>
      </c>
      <c r="BX100" s="422">
        <f>S100+BM100</f>
        <v>2.8</v>
      </c>
      <c r="BY100" s="422">
        <f t="shared" si="261"/>
        <v>2.8</v>
      </c>
      <c r="BZ100" s="611">
        <f t="shared" si="261"/>
        <v>0</v>
      </c>
      <c r="CA100" s="423"/>
      <c r="CB100" s="418"/>
      <c r="CC100" s="418"/>
      <c r="CD100" s="418"/>
      <c r="CE100" s="418"/>
      <c r="CF100" s="527"/>
    </row>
    <row r="101" spans="1:84" s="96" customFormat="1" ht="14.1" customHeight="1" x14ac:dyDescent="0.2">
      <c r="A101" s="118">
        <v>15</v>
      </c>
      <c r="B101" s="77">
        <v>2438</v>
      </c>
      <c r="C101" s="93">
        <v>600079384</v>
      </c>
      <c r="D101" s="77">
        <v>72741911</v>
      </c>
      <c r="E101" s="77" t="s">
        <v>735</v>
      </c>
      <c r="F101" s="94">
        <v>3141</v>
      </c>
      <c r="G101" s="77" t="s">
        <v>295</v>
      </c>
      <c r="H101" s="95" t="s">
        <v>272</v>
      </c>
      <c r="I101" s="669">
        <f t="shared" si="185"/>
        <v>1609396</v>
      </c>
      <c r="J101" s="668">
        <f t="shared" si="186"/>
        <v>1187189</v>
      </c>
      <c r="K101" s="668">
        <v>0</v>
      </c>
      <c r="L101" s="674">
        <v>1187189</v>
      </c>
      <c r="M101" s="668">
        <f t="shared" si="254"/>
        <v>0</v>
      </c>
      <c r="N101" s="668">
        <v>0</v>
      </c>
      <c r="O101" s="668">
        <v>0</v>
      </c>
      <c r="P101" s="668">
        <f t="shared" si="187"/>
        <v>401270</v>
      </c>
      <c r="Q101" s="668">
        <f t="shared" si="188"/>
        <v>11872</v>
      </c>
      <c r="R101" s="668">
        <v>9065</v>
      </c>
      <c r="S101" s="420">
        <f t="shared" si="189"/>
        <v>3.56</v>
      </c>
      <c r="T101" s="420">
        <v>0</v>
      </c>
      <c r="U101" s="946">
        <v>3.56</v>
      </c>
      <c r="V101" s="428">
        <f t="shared" si="255"/>
        <v>0</v>
      </c>
      <c r="W101" s="421">
        <f t="shared" si="255"/>
        <v>-66560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 t="shared" si="191"/>
        <v>0</v>
      </c>
      <c r="AG101" s="421">
        <f t="shared" si="192"/>
        <v>-66560</v>
      </c>
      <c r="AH101" s="421">
        <f t="shared" si="193"/>
        <v>-66560</v>
      </c>
      <c r="AI101" s="421">
        <v>0</v>
      </c>
      <c r="AJ101" s="421">
        <v>66560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256"/>
        <v>0</v>
      </c>
      <c r="AP101" s="421">
        <f>AJ101+AN101</f>
        <v>66560</v>
      </c>
      <c r="AQ101" s="421">
        <f t="shared" si="196"/>
        <v>66560</v>
      </c>
      <c r="AR101" s="421">
        <f t="shared" si="197"/>
        <v>0</v>
      </c>
      <c r="AS101" s="421">
        <f t="shared" si="198"/>
        <v>0</v>
      </c>
      <c r="AT101" s="421">
        <f t="shared" si="199"/>
        <v>0</v>
      </c>
      <c r="AU101" s="68">
        <f t="shared" si="257"/>
        <v>0</v>
      </c>
      <c r="AV101" s="68">
        <f t="shared" si="201"/>
        <v>-666</v>
      </c>
      <c r="AW101" s="421">
        <v>0</v>
      </c>
      <c r="AX101" s="421">
        <v>0</v>
      </c>
      <c r="AY101" s="421">
        <f t="shared" si="202"/>
        <v>0</v>
      </c>
      <c r="AZ101" s="421">
        <f t="shared" si="203"/>
        <v>-666</v>
      </c>
      <c r="BA101" s="422">
        <v>0</v>
      </c>
      <c r="BB101" s="422">
        <v>-0.2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>BA101+BC101+BD101+BF101+BH101+BI101</f>
        <v>0</v>
      </c>
      <c r="BL101" s="422">
        <f>BB101+BE101+BG101+BJ101</f>
        <v>-0.2</v>
      </c>
      <c r="BM101" s="424">
        <f>SUM(BK101:BL101)</f>
        <v>-0.2</v>
      </c>
      <c r="BN101" s="427">
        <f t="shared" si="207"/>
        <v>1608730</v>
      </c>
      <c r="BO101" s="421">
        <f t="shared" si="208"/>
        <v>1120629</v>
      </c>
      <c r="BP101" s="421">
        <f t="shared" si="258"/>
        <v>0</v>
      </c>
      <c r="BQ101" s="421">
        <f t="shared" si="258"/>
        <v>1120629</v>
      </c>
      <c r="BR101" s="421">
        <f>M101+AQ101</f>
        <v>66560</v>
      </c>
      <c r="BS101" s="421">
        <f t="shared" si="259"/>
        <v>0</v>
      </c>
      <c r="BT101" s="421">
        <f t="shared" si="259"/>
        <v>66560</v>
      </c>
      <c r="BU101" s="421">
        <f t="shared" si="260"/>
        <v>401270</v>
      </c>
      <c r="BV101" s="421">
        <f t="shared" si="260"/>
        <v>11206</v>
      </c>
      <c r="BW101" s="421">
        <f>R101+AY101</f>
        <v>9065</v>
      </c>
      <c r="BX101" s="422">
        <f>S101+BM101</f>
        <v>3.36</v>
      </c>
      <c r="BY101" s="422">
        <f t="shared" si="261"/>
        <v>0</v>
      </c>
      <c r="BZ101" s="611">
        <f t="shared" si="261"/>
        <v>3.36</v>
      </c>
      <c r="CA101" s="423"/>
      <c r="CB101" s="418"/>
      <c r="CC101" s="418"/>
      <c r="CD101" s="418"/>
      <c r="CE101" s="418"/>
      <c r="CF101" s="527"/>
    </row>
    <row r="102" spans="1:84" s="96" customFormat="1" ht="14.1" customHeight="1" x14ac:dyDescent="0.2">
      <c r="A102" s="119">
        <v>15</v>
      </c>
      <c r="B102" s="97">
        <v>2438</v>
      </c>
      <c r="C102" s="98">
        <v>600079384</v>
      </c>
      <c r="D102" s="97">
        <v>72741911</v>
      </c>
      <c r="E102" s="97" t="s">
        <v>736</v>
      </c>
      <c r="F102" s="99"/>
      <c r="G102" s="100"/>
      <c r="H102" s="101"/>
      <c r="I102" s="442">
        <f t="shared" ref="I102:U102" si="262">SUM(I99:I101)</f>
        <v>10369656</v>
      </c>
      <c r="J102" s="438">
        <f t="shared" si="262"/>
        <v>7664507</v>
      </c>
      <c r="K102" s="438">
        <f t="shared" si="262"/>
        <v>5892099</v>
      </c>
      <c r="L102" s="438">
        <f t="shared" si="262"/>
        <v>1772408</v>
      </c>
      <c r="M102" s="438">
        <f t="shared" si="262"/>
        <v>0</v>
      </c>
      <c r="N102" s="438">
        <f t="shared" si="262"/>
        <v>0</v>
      </c>
      <c r="O102" s="438">
        <f t="shared" si="262"/>
        <v>0</v>
      </c>
      <c r="P102" s="438">
        <f t="shared" si="262"/>
        <v>2590603</v>
      </c>
      <c r="Q102" s="438">
        <f t="shared" si="262"/>
        <v>76645</v>
      </c>
      <c r="R102" s="438">
        <f t="shared" si="262"/>
        <v>37901</v>
      </c>
      <c r="S102" s="439">
        <f t="shared" si="262"/>
        <v>15.7186</v>
      </c>
      <c r="T102" s="439">
        <f t="shared" si="262"/>
        <v>10.165100000000001</v>
      </c>
      <c r="U102" s="814">
        <f t="shared" si="262"/>
        <v>5.5534999999999997</v>
      </c>
      <c r="V102" s="442">
        <f t="shared" ref="V102:CF102" si="263">SUM(V99:V101)</f>
        <v>0</v>
      </c>
      <c r="W102" s="438">
        <f t="shared" si="263"/>
        <v>-66560</v>
      </c>
      <c r="X102" s="438">
        <f t="shared" si="263"/>
        <v>1044460</v>
      </c>
      <c r="Y102" s="438">
        <f t="shared" si="263"/>
        <v>0</v>
      </c>
      <c r="Z102" s="438">
        <f t="shared" si="263"/>
        <v>0</v>
      </c>
      <c r="AA102" s="438">
        <f t="shared" si="263"/>
        <v>0</v>
      </c>
      <c r="AB102" s="438">
        <f t="shared" si="263"/>
        <v>0</v>
      </c>
      <c r="AC102" s="438">
        <f t="shared" si="263"/>
        <v>0</v>
      </c>
      <c r="AD102" s="438">
        <f t="shared" si="263"/>
        <v>0</v>
      </c>
      <c r="AE102" s="438">
        <f t="shared" si="263"/>
        <v>0</v>
      </c>
      <c r="AF102" s="438">
        <f t="shared" si="263"/>
        <v>1044460</v>
      </c>
      <c r="AG102" s="438">
        <f t="shared" si="263"/>
        <v>-66560</v>
      </c>
      <c r="AH102" s="438">
        <f t="shared" si="263"/>
        <v>977900</v>
      </c>
      <c r="AI102" s="438">
        <f t="shared" si="263"/>
        <v>0</v>
      </c>
      <c r="AJ102" s="438">
        <f t="shared" si="263"/>
        <v>66560</v>
      </c>
      <c r="AK102" s="438">
        <f t="shared" si="263"/>
        <v>0</v>
      </c>
      <c r="AL102" s="438">
        <f t="shared" si="263"/>
        <v>0</v>
      </c>
      <c r="AM102" s="438">
        <f t="shared" si="263"/>
        <v>0</v>
      </c>
      <c r="AN102" s="438">
        <f t="shared" si="263"/>
        <v>0</v>
      </c>
      <c r="AO102" s="438">
        <f t="shared" si="263"/>
        <v>0</v>
      </c>
      <c r="AP102" s="438">
        <f t="shared" si="263"/>
        <v>66560</v>
      </c>
      <c r="AQ102" s="438">
        <f t="shared" si="263"/>
        <v>66560</v>
      </c>
      <c r="AR102" s="438">
        <f t="shared" si="263"/>
        <v>1044460</v>
      </c>
      <c r="AS102" s="438">
        <f t="shared" si="263"/>
        <v>0</v>
      </c>
      <c r="AT102" s="438">
        <f t="shared" si="263"/>
        <v>1044460</v>
      </c>
      <c r="AU102" s="438">
        <f t="shared" si="263"/>
        <v>353027</v>
      </c>
      <c r="AV102" s="438">
        <f t="shared" si="263"/>
        <v>9779</v>
      </c>
      <c r="AW102" s="438">
        <f t="shared" si="263"/>
        <v>0</v>
      </c>
      <c r="AX102" s="438">
        <f t="shared" si="263"/>
        <v>0</v>
      </c>
      <c r="AY102" s="438">
        <f t="shared" si="263"/>
        <v>0</v>
      </c>
      <c r="AZ102" s="438">
        <f t="shared" si="263"/>
        <v>1407266</v>
      </c>
      <c r="BA102" s="439">
        <f t="shared" si="263"/>
        <v>0</v>
      </c>
      <c r="BB102" s="439">
        <f t="shared" si="263"/>
        <v>-0.2</v>
      </c>
      <c r="BC102" s="439">
        <f t="shared" si="263"/>
        <v>2.8</v>
      </c>
      <c r="BD102" s="439">
        <f t="shared" si="263"/>
        <v>0</v>
      </c>
      <c r="BE102" s="439">
        <f t="shared" si="263"/>
        <v>0</v>
      </c>
      <c r="BF102" s="439">
        <f t="shared" si="263"/>
        <v>0</v>
      </c>
      <c r="BG102" s="439">
        <f t="shared" si="263"/>
        <v>0</v>
      </c>
      <c r="BH102" s="439">
        <f t="shared" si="263"/>
        <v>0</v>
      </c>
      <c r="BI102" s="439">
        <f t="shared" si="263"/>
        <v>0</v>
      </c>
      <c r="BJ102" s="439">
        <f t="shared" si="263"/>
        <v>0</v>
      </c>
      <c r="BK102" s="439">
        <f t="shared" si="263"/>
        <v>2.8</v>
      </c>
      <c r="BL102" s="439">
        <f t="shared" si="263"/>
        <v>-0.2</v>
      </c>
      <c r="BM102" s="103">
        <f t="shared" si="263"/>
        <v>2.5999999999999996</v>
      </c>
      <c r="BN102" s="444">
        <f t="shared" si="263"/>
        <v>11776922</v>
      </c>
      <c r="BO102" s="438">
        <f t="shared" si="263"/>
        <v>8642407</v>
      </c>
      <c r="BP102" s="438">
        <f t="shared" si="263"/>
        <v>6936559</v>
      </c>
      <c r="BQ102" s="438">
        <f t="shared" si="263"/>
        <v>1705848</v>
      </c>
      <c r="BR102" s="438">
        <f t="shared" si="263"/>
        <v>66560</v>
      </c>
      <c r="BS102" s="438">
        <f t="shared" si="263"/>
        <v>0</v>
      </c>
      <c r="BT102" s="438">
        <f t="shared" si="263"/>
        <v>66560</v>
      </c>
      <c r="BU102" s="438">
        <f t="shared" si="263"/>
        <v>2943630</v>
      </c>
      <c r="BV102" s="438">
        <f t="shared" si="263"/>
        <v>86424</v>
      </c>
      <c r="BW102" s="438">
        <f t="shared" si="263"/>
        <v>37901</v>
      </c>
      <c r="BX102" s="439">
        <f t="shared" si="263"/>
        <v>18.3186</v>
      </c>
      <c r="BY102" s="439">
        <f t="shared" si="263"/>
        <v>12.9651</v>
      </c>
      <c r="BZ102" s="814">
        <f t="shared" si="263"/>
        <v>5.3535000000000004</v>
      </c>
      <c r="CA102" s="819">
        <f t="shared" si="263"/>
        <v>0</v>
      </c>
      <c r="CB102" s="817">
        <f t="shared" si="263"/>
        <v>0</v>
      </c>
      <c r="CC102" s="817">
        <f t="shared" si="263"/>
        <v>0</v>
      </c>
      <c r="CD102" s="817">
        <f t="shared" si="263"/>
        <v>0</v>
      </c>
      <c r="CE102" s="817">
        <f t="shared" si="263"/>
        <v>0</v>
      </c>
      <c r="CF102" s="802">
        <f t="shared" si="263"/>
        <v>0</v>
      </c>
    </row>
    <row r="103" spans="1:84" s="96" customFormat="1" ht="14.1" customHeight="1" x14ac:dyDescent="0.2">
      <c r="A103" s="118">
        <v>16</v>
      </c>
      <c r="B103" s="77">
        <v>2315</v>
      </c>
      <c r="C103" s="93">
        <v>600080447</v>
      </c>
      <c r="D103" s="77">
        <v>46744819</v>
      </c>
      <c r="E103" s="77" t="s">
        <v>737</v>
      </c>
      <c r="F103" s="94">
        <v>3233</v>
      </c>
      <c r="G103" s="77" t="s">
        <v>298</v>
      </c>
      <c r="H103" s="95" t="s">
        <v>272</v>
      </c>
      <c r="I103" s="669">
        <f t="shared" si="185"/>
        <v>1895679</v>
      </c>
      <c r="J103" s="668">
        <f t="shared" si="186"/>
        <v>1405389</v>
      </c>
      <c r="K103" s="668">
        <v>1221715</v>
      </c>
      <c r="L103" s="668">
        <v>183674</v>
      </c>
      <c r="M103" s="668">
        <f t="shared" ref="M103" si="264">N103+O103</f>
        <v>0</v>
      </c>
      <c r="N103" s="668">
        <v>0</v>
      </c>
      <c r="O103" s="668">
        <v>0</v>
      </c>
      <c r="P103" s="668">
        <f t="shared" si="187"/>
        <v>475021</v>
      </c>
      <c r="Q103" s="668">
        <f t="shared" si="188"/>
        <v>14054</v>
      </c>
      <c r="R103" s="668">
        <v>1215</v>
      </c>
      <c r="S103" s="420">
        <f t="shared" si="189"/>
        <v>2.8</v>
      </c>
      <c r="T103" s="420">
        <v>2.21</v>
      </c>
      <c r="U103" s="946">
        <v>0.59</v>
      </c>
      <c r="V103" s="428">
        <f>AI103*-1</f>
        <v>-144640</v>
      </c>
      <c r="W103" s="421">
        <f>AJ103*-1</f>
        <v>-111360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 t="shared" si="191"/>
        <v>-144640</v>
      </c>
      <c r="AG103" s="421">
        <f t="shared" si="192"/>
        <v>-111360</v>
      </c>
      <c r="AH103" s="421">
        <f t="shared" si="193"/>
        <v>-256000</v>
      </c>
      <c r="AI103" s="421">
        <v>144640</v>
      </c>
      <c r="AJ103" s="421">
        <v>111360</v>
      </c>
      <c r="AK103" s="421">
        <v>0</v>
      </c>
      <c r="AL103" s="421">
        <v>0</v>
      </c>
      <c r="AM103" s="421">
        <v>0</v>
      </c>
      <c r="AN103" s="421">
        <v>0</v>
      </c>
      <c r="AO103" s="421">
        <f>AI103+AK103+AL103+AM103</f>
        <v>144640</v>
      </c>
      <c r="AP103" s="421">
        <f>AJ103+AN103</f>
        <v>111360</v>
      </c>
      <c r="AQ103" s="421">
        <f t="shared" si="196"/>
        <v>256000</v>
      </c>
      <c r="AR103" s="421">
        <f t="shared" si="197"/>
        <v>0</v>
      </c>
      <c r="AS103" s="421">
        <f t="shared" si="198"/>
        <v>0</v>
      </c>
      <c r="AT103" s="421">
        <f t="shared" si="199"/>
        <v>0</v>
      </c>
      <c r="AU103" s="68">
        <f>ROUND((AH103+AI103+AJ103+AK103+AL103)*33.8%,0)</f>
        <v>0</v>
      </c>
      <c r="AV103" s="68">
        <f t="shared" si="201"/>
        <v>-2560</v>
      </c>
      <c r="AW103" s="421">
        <v>0</v>
      </c>
      <c r="AX103" s="421">
        <v>0</v>
      </c>
      <c r="AY103" s="421">
        <f t="shared" si="202"/>
        <v>0</v>
      </c>
      <c r="AZ103" s="421">
        <f t="shared" si="203"/>
        <v>-2560</v>
      </c>
      <c r="BA103" s="422">
        <v>-0.26</v>
      </c>
      <c r="BB103" s="422">
        <v>-0.36</v>
      </c>
      <c r="BC103" s="422">
        <v>0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>BA103+BC103+BD103+BF103+BH103+BI103</f>
        <v>-0.26</v>
      </c>
      <c r="BL103" s="422">
        <f>BB103+BE103+BG103+BJ103</f>
        <v>-0.36</v>
      </c>
      <c r="BM103" s="424">
        <f>SUM(BK103:BL103)</f>
        <v>-0.62</v>
      </c>
      <c r="BN103" s="427">
        <f t="shared" si="207"/>
        <v>1893119</v>
      </c>
      <c r="BO103" s="421">
        <f t="shared" si="208"/>
        <v>1149389</v>
      </c>
      <c r="BP103" s="421">
        <f>K103+AF103</f>
        <v>1077075</v>
      </c>
      <c r="BQ103" s="421">
        <f>L103+AG103</f>
        <v>72314</v>
      </c>
      <c r="BR103" s="421">
        <f>M103+AQ103</f>
        <v>256000</v>
      </c>
      <c r="BS103" s="421">
        <f>N103+AO103</f>
        <v>144640</v>
      </c>
      <c r="BT103" s="421">
        <f>O103+AP103</f>
        <v>111360</v>
      </c>
      <c r="BU103" s="421">
        <f>P103+AU103</f>
        <v>475021</v>
      </c>
      <c r="BV103" s="421">
        <f>Q103+AV103</f>
        <v>11494</v>
      </c>
      <c r="BW103" s="421">
        <f>R103+AY103</f>
        <v>1215</v>
      </c>
      <c r="BX103" s="422">
        <f>S103+BM103</f>
        <v>2.1799999999999997</v>
      </c>
      <c r="BY103" s="422">
        <f>T103+BK103</f>
        <v>1.95</v>
      </c>
      <c r="BZ103" s="611">
        <f>U103+BL103</f>
        <v>0.22999999999999998</v>
      </c>
      <c r="CA103" s="423"/>
      <c r="CB103" s="418"/>
      <c r="CC103" s="418"/>
      <c r="CD103" s="418"/>
      <c r="CE103" s="418"/>
      <c r="CF103" s="527"/>
    </row>
    <row r="104" spans="1:84" s="96" customFormat="1" ht="14.1" customHeight="1" x14ac:dyDescent="0.2">
      <c r="A104" s="119">
        <v>16</v>
      </c>
      <c r="B104" s="97">
        <v>2315</v>
      </c>
      <c r="C104" s="98">
        <v>600080447</v>
      </c>
      <c r="D104" s="97">
        <v>46744819</v>
      </c>
      <c r="E104" s="97" t="s">
        <v>738</v>
      </c>
      <c r="F104" s="99"/>
      <c r="G104" s="100"/>
      <c r="H104" s="101"/>
      <c r="I104" s="442">
        <f t="shared" ref="I104:U104" si="265">SUM(I103:I103)</f>
        <v>1895679</v>
      </c>
      <c r="J104" s="438">
        <f t="shared" si="265"/>
        <v>1405389</v>
      </c>
      <c r="K104" s="438">
        <f t="shared" si="265"/>
        <v>1221715</v>
      </c>
      <c r="L104" s="438">
        <f t="shared" si="265"/>
        <v>183674</v>
      </c>
      <c r="M104" s="438">
        <f t="shared" si="265"/>
        <v>0</v>
      </c>
      <c r="N104" s="438">
        <f t="shared" si="265"/>
        <v>0</v>
      </c>
      <c r="O104" s="438">
        <f t="shared" si="265"/>
        <v>0</v>
      </c>
      <c r="P104" s="438">
        <f t="shared" si="265"/>
        <v>475021</v>
      </c>
      <c r="Q104" s="438">
        <f t="shared" si="265"/>
        <v>14054</v>
      </c>
      <c r="R104" s="438">
        <f t="shared" si="265"/>
        <v>1215</v>
      </c>
      <c r="S104" s="439">
        <f t="shared" si="265"/>
        <v>2.8</v>
      </c>
      <c r="T104" s="439">
        <f t="shared" si="265"/>
        <v>2.21</v>
      </c>
      <c r="U104" s="814">
        <f t="shared" si="265"/>
        <v>0.59</v>
      </c>
      <c r="V104" s="442">
        <f t="shared" ref="V104:CF104" si="266">SUM(V103:V103)</f>
        <v>-144640</v>
      </c>
      <c r="W104" s="438">
        <f t="shared" si="266"/>
        <v>-111360</v>
      </c>
      <c r="X104" s="438">
        <f t="shared" si="266"/>
        <v>0</v>
      </c>
      <c r="Y104" s="438">
        <f t="shared" si="266"/>
        <v>0</v>
      </c>
      <c r="Z104" s="438">
        <f t="shared" si="266"/>
        <v>0</v>
      </c>
      <c r="AA104" s="438">
        <f t="shared" si="266"/>
        <v>0</v>
      </c>
      <c r="AB104" s="438">
        <f t="shared" si="266"/>
        <v>0</v>
      </c>
      <c r="AC104" s="438">
        <f t="shared" si="266"/>
        <v>0</v>
      </c>
      <c r="AD104" s="438">
        <f t="shared" si="266"/>
        <v>0</v>
      </c>
      <c r="AE104" s="438">
        <f t="shared" si="266"/>
        <v>0</v>
      </c>
      <c r="AF104" s="438">
        <f t="shared" si="266"/>
        <v>-144640</v>
      </c>
      <c r="AG104" s="438">
        <f t="shared" si="266"/>
        <v>-111360</v>
      </c>
      <c r="AH104" s="438">
        <f t="shared" si="266"/>
        <v>-256000</v>
      </c>
      <c r="AI104" s="438">
        <f t="shared" si="266"/>
        <v>144640</v>
      </c>
      <c r="AJ104" s="438">
        <f t="shared" si="266"/>
        <v>111360</v>
      </c>
      <c r="AK104" s="438">
        <f t="shared" si="266"/>
        <v>0</v>
      </c>
      <c r="AL104" s="438">
        <f t="shared" si="266"/>
        <v>0</v>
      </c>
      <c r="AM104" s="438">
        <f t="shared" si="266"/>
        <v>0</v>
      </c>
      <c r="AN104" s="438">
        <f t="shared" si="266"/>
        <v>0</v>
      </c>
      <c r="AO104" s="438">
        <f t="shared" si="266"/>
        <v>144640</v>
      </c>
      <c r="AP104" s="438">
        <f t="shared" si="266"/>
        <v>111360</v>
      </c>
      <c r="AQ104" s="438">
        <f t="shared" si="266"/>
        <v>256000</v>
      </c>
      <c r="AR104" s="438">
        <f t="shared" si="266"/>
        <v>0</v>
      </c>
      <c r="AS104" s="438">
        <f t="shared" si="266"/>
        <v>0</v>
      </c>
      <c r="AT104" s="438">
        <f t="shared" si="266"/>
        <v>0</v>
      </c>
      <c r="AU104" s="438">
        <f t="shared" si="266"/>
        <v>0</v>
      </c>
      <c r="AV104" s="438">
        <f t="shared" si="266"/>
        <v>-2560</v>
      </c>
      <c r="AW104" s="438">
        <f t="shared" si="266"/>
        <v>0</v>
      </c>
      <c r="AX104" s="438">
        <f t="shared" si="266"/>
        <v>0</v>
      </c>
      <c r="AY104" s="438">
        <f t="shared" si="266"/>
        <v>0</v>
      </c>
      <c r="AZ104" s="438">
        <f t="shared" si="266"/>
        <v>-2560</v>
      </c>
      <c r="BA104" s="439">
        <f t="shared" si="266"/>
        <v>-0.26</v>
      </c>
      <c r="BB104" s="439">
        <f t="shared" si="266"/>
        <v>-0.36</v>
      </c>
      <c r="BC104" s="439">
        <f t="shared" si="266"/>
        <v>0</v>
      </c>
      <c r="BD104" s="439">
        <f t="shared" si="266"/>
        <v>0</v>
      </c>
      <c r="BE104" s="439">
        <f t="shared" si="266"/>
        <v>0</v>
      </c>
      <c r="BF104" s="439">
        <f t="shared" si="266"/>
        <v>0</v>
      </c>
      <c r="BG104" s="439">
        <f t="shared" si="266"/>
        <v>0</v>
      </c>
      <c r="BH104" s="439">
        <f t="shared" si="266"/>
        <v>0</v>
      </c>
      <c r="BI104" s="439">
        <f t="shared" si="266"/>
        <v>0</v>
      </c>
      <c r="BJ104" s="439">
        <f t="shared" si="266"/>
        <v>0</v>
      </c>
      <c r="BK104" s="439">
        <f t="shared" si="266"/>
        <v>-0.26</v>
      </c>
      <c r="BL104" s="439">
        <f t="shared" si="266"/>
        <v>-0.36</v>
      </c>
      <c r="BM104" s="103">
        <f t="shared" si="266"/>
        <v>-0.62</v>
      </c>
      <c r="BN104" s="444">
        <f t="shared" si="266"/>
        <v>1893119</v>
      </c>
      <c r="BO104" s="438">
        <f t="shared" si="266"/>
        <v>1149389</v>
      </c>
      <c r="BP104" s="438">
        <f t="shared" si="266"/>
        <v>1077075</v>
      </c>
      <c r="BQ104" s="438">
        <f t="shared" si="266"/>
        <v>72314</v>
      </c>
      <c r="BR104" s="438">
        <f t="shared" si="266"/>
        <v>256000</v>
      </c>
      <c r="BS104" s="438">
        <f t="shared" si="266"/>
        <v>144640</v>
      </c>
      <c r="BT104" s="438">
        <f t="shared" si="266"/>
        <v>111360</v>
      </c>
      <c r="BU104" s="438">
        <f t="shared" si="266"/>
        <v>475021</v>
      </c>
      <c r="BV104" s="438">
        <f t="shared" si="266"/>
        <v>11494</v>
      </c>
      <c r="BW104" s="438">
        <f t="shared" si="266"/>
        <v>1215</v>
      </c>
      <c r="BX104" s="439">
        <f t="shared" si="266"/>
        <v>2.1799999999999997</v>
      </c>
      <c r="BY104" s="439">
        <f t="shared" si="266"/>
        <v>1.95</v>
      </c>
      <c r="BZ104" s="814">
        <f t="shared" si="266"/>
        <v>0.22999999999999998</v>
      </c>
      <c r="CA104" s="819">
        <f t="shared" si="266"/>
        <v>0</v>
      </c>
      <c r="CB104" s="817">
        <f t="shared" si="266"/>
        <v>0</v>
      </c>
      <c r="CC104" s="817">
        <f t="shared" si="266"/>
        <v>0</v>
      </c>
      <c r="CD104" s="817">
        <f t="shared" si="266"/>
        <v>0</v>
      </c>
      <c r="CE104" s="817">
        <f t="shared" si="266"/>
        <v>0</v>
      </c>
      <c r="CF104" s="802">
        <f t="shared" si="266"/>
        <v>0</v>
      </c>
    </row>
    <row r="105" spans="1:84" s="96" customFormat="1" ht="14.1" customHeight="1" x14ac:dyDescent="0.2">
      <c r="A105" s="118">
        <v>17</v>
      </c>
      <c r="B105" s="77">
        <v>2494</v>
      </c>
      <c r="C105" s="93">
        <v>600080315</v>
      </c>
      <c r="D105" s="77">
        <v>72741996</v>
      </c>
      <c r="E105" s="77" t="s">
        <v>739</v>
      </c>
      <c r="F105" s="94">
        <v>3113</v>
      </c>
      <c r="G105" s="77" t="s">
        <v>294</v>
      </c>
      <c r="H105" s="95" t="s">
        <v>271</v>
      </c>
      <c r="I105" s="669">
        <f t="shared" si="185"/>
        <v>24671433</v>
      </c>
      <c r="J105" s="668">
        <f t="shared" si="186"/>
        <v>18069789</v>
      </c>
      <c r="K105" s="668">
        <v>16491346</v>
      </c>
      <c r="L105" s="668">
        <v>1578443</v>
      </c>
      <c r="M105" s="668">
        <f t="shared" ref="M105:M109" si="267">N105+O105</f>
        <v>0</v>
      </c>
      <c r="N105" s="668">
        <v>0</v>
      </c>
      <c r="O105" s="668">
        <v>0</v>
      </c>
      <c r="P105" s="668">
        <f>ROUND(J105*33.8%,0)-1</f>
        <v>6107588</v>
      </c>
      <c r="Q105" s="668">
        <f t="shared" si="188"/>
        <v>180698</v>
      </c>
      <c r="R105" s="668">
        <v>313358</v>
      </c>
      <c r="S105" s="420">
        <f t="shared" si="189"/>
        <v>30.226500000000001</v>
      </c>
      <c r="T105" s="420">
        <v>25.500299999999999</v>
      </c>
      <c r="U105" s="946">
        <v>4.7262000000000004</v>
      </c>
      <c r="V105" s="428">
        <v>-185199</v>
      </c>
      <c r="W105" s="421">
        <f t="shared" ref="V105:W109" si="268">AJ105*-1</f>
        <v>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f t="shared" si="191"/>
        <v>-185199</v>
      </c>
      <c r="AG105" s="421">
        <f t="shared" si="192"/>
        <v>0</v>
      </c>
      <c r="AH105" s="421">
        <f t="shared" si="193"/>
        <v>-185199</v>
      </c>
      <c r="AI105" s="421">
        <v>0</v>
      </c>
      <c r="AJ105" s="421">
        <v>0</v>
      </c>
      <c r="AK105" s="421">
        <v>0</v>
      </c>
      <c r="AL105" s="421">
        <v>0</v>
      </c>
      <c r="AM105" s="421">
        <v>185199</v>
      </c>
      <c r="AN105" s="421">
        <v>0</v>
      </c>
      <c r="AO105" s="421">
        <f t="shared" ref="AO105:AO109" si="269">AI105+AK105+AL105+AM105</f>
        <v>185199</v>
      </c>
      <c r="AP105" s="421">
        <f>AJ105+AN105</f>
        <v>0</v>
      </c>
      <c r="AQ105" s="421">
        <f t="shared" si="196"/>
        <v>185199</v>
      </c>
      <c r="AR105" s="421">
        <f t="shared" si="197"/>
        <v>0</v>
      </c>
      <c r="AS105" s="421">
        <f t="shared" si="198"/>
        <v>0</v>
      </c>
      <c r="AT105" s="421">
        <f t="shared" si="199"/>
        <v>0</v>
      </c>
      <c r="AU105" s="68">
        <f t="shared" ref="AU105:AU109" si="270">ROUND((AH105+AI105+AJ105+AK105+AL105)*33.8%,0)</f>
        <v>-62597</v>
      </c>
      <c r="AV105" s="68">
        <f t="shared" si="201"/>
        <v>-1852</v>
      </c>
      <c r="AW105" s="421">
        <v>0</v>
      </c>
      <c r="AX105" s="421">
        <v>0</v>
      </c>
      <c r="AY105" s="421">
        <f t="shared" si="202"/>
        <v>0</v>
      </c>
      <c r="AZ105" s="421">
        <f t="shared" si="203"/>
        <v>-64449</v>
      </c>
      <c r="BA105" s="422">
        <v>0</v>
      </c>
      <c r="BB105" s="422">
        <v>0</v>
      </c>
      <c r="BC105" s="422">
        <v>0</v>
      </c>
      <c r="BD105" s="422">
        <v>0</v>
      </c>
      <c r="BE105" s="422">
        <v>0</v>
      </c>
      <c r="BF105" s="422">
        <v>0</v>
      </c>
      <c r="BG105" s="422">
        <v>0</v>
      </c>
      <c r="BH105" s="422">
        <v>0</v>
      </c>
      <c r="BI105" s="422">
        <v>0</v>
      </c>
      <c r="BJ105" s="422">
        <v>0</v>
      </c>
      <c r="BK105" s="422">
        <f>BA105+BC105+BD105+BF105+BH105+BI105</f>
        <v>0</v>
      </c>
      <c r="BL105" s="422">
        <f>BB105+BE105+BG105+BJ105</f>
        <v>0</v>
      </c>
      <c r="BM105" s="424">
        <f>SUM(BK105:BL105)</f>
        <v>0</v>
      </c>
      <c r="BN105" s="427">
        <f t="shared" si="207"/>
        <v>24606984</v>
      </c>
      <c r="BO105" s="421">
        <f t="shared" si="208"/>
        <v>17884590</v>
      </c>
      <c r="BP105" s="421">
        <f t="shared" ref="BP105:BQ109" si="271">K105+AF105</f>
        <v>16306147</v>
      </c>
      <c r="BQ105" s="421">
        <f t="shared" si="271"/>
        <v>1578443</v>
      </c>
      <c r="BR105" s="421">
        <f>M105+AQ105</f>
        <v>185199</v>
      </c>
      <c r="BS105" s="421">
        <f t="shared" ref="BS105:BT109" si="272">N105+AO105</f>
        <v>185199</v>
      </c>
      <c r="BT105" s="421">
        <f t="shared" si="272"/>
        <v>0</v>
      </c>
      <c r="BU105" s="421">
        <f t="shared" ref="BU105:BV109" si="273">P105+AU105</f>
        <v>6044991</v>
      </c>
      <c r="BV105" s="421">
        <f t="shared" si="273"/>
        <v>178846</v>
      </c>
      <c r="BW105" s="421">
        <f>R105+AY105</f>
        <v>313358</v>
      </c>
      <c r="BX105" s="422">
        <f>S105+BM105</f>
        <v>30.226500000000001</v>
      </c>
      <c r="BY105" s="422">
        <f t="shared" ref="BY105:BZ109" si="274">T105+BK105</f>
        <v>25.500299999999999</v>
      </c>
      <c r="BZ105" s="611">
        <f t="shared" si="274"/>
        <v>4.7262000000000004</v>
      </c>
      <c r="CA105" s="423"/>
      <c r="CB105" s="418"/>
      <c r="CC105" s="418"/>
      <c r="CD105" s="418"/>
      <c r="CE105" s="418"/>
      <c r="CF105" s="527"/>
    </row>
    <row r="106" spans="1:84" s="96" customFormat="1" ht="14.1" customHeight="1" x14ac:dyDescent="0.2">
      <c r="A106" s="118">
        <v>17</v>
      </c>
      <c r="B106" s="77">
        <v>2494</v>
      </c>
      <c r="C106" s="93">
        <v>600080315</v>
      </c>
      <c r="D106" s="77">
        <v>72741996</v>
      </c>
      <c r="E106" s="77" t="s">
        <v>739</v>
      </c>
      <c r="F106" s="94">
        <v>3113</v>
      </c>
      <c r="G106" s="43" t="s">
        <v>293</v>
      </c>
      <c r="H106" s="95" t="s">
        <v>271</v>
      </c>
      <c r="I106" s="669">
        <f t="shared" si="185"/>
        <v>862100</v>
      </c>
      <c r="J106" s="668">
        <f t="shared" si="186"/>
        <v>639540</v>
      </c>
      <c r="K106" s="668">
        <v>639540</v>
      </c>
      <c r="L106" s="668">
        <v>0</v>
      </c>
      <c r="M106" s="668">
        <f t="shared" si="267"/>
        <v>0</v>
      </c>
      <c r="N106" s="668">
        <v>0</v>
      </c>
      <c r="O106" s="668">
        <v>0</v>
      </c>
      <c r="P106" s="668">
        <f t="shared" si="187"/>
        <v>216165</v>
      </c>
      <c r="Q106" s="668">
        <f t="shared" si="188"/>
        <v>6395</v>
      </c>
      <c r="R106" s="668">
        <v>0</v>
      </c>
      <c r="S106" s="420">
        <f t="shared" si="189"/>
        <v>1.5</v>
      </c>
      <c r="T106" s="420">
        <v>1.5</v>
      </c>
      <c r="U106" s="946">
        <v>0</v>
      </c>
      <c r="V106" s="428">
        <f t="shared" si="268"/>
        <v>0</v>
      </c>
      <c r="W106" s="421">
        <f t="shared" si="268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si="191"/>
        <v>0</v>
      </c>
      <c r="AG106" s="421">
        <f t="shared" si="192"/>
        <v>0</v>
      </c>
      <c r="AH106" s="421">
        <f t="shared" si="193"/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269"/>
        <v>0</v>
      </c>
      <c r="AP106" s="421">
        <f>AJ106+AN106</f>
        <v>0</v>
      </c>
      <c r="AQ106" s="421">
        <f t="shared" si="196"/>
        <v>0</v>
      </c>
      <c r="AR106" s="421">
        <f t="shared" si="197"/>
        <v>0</v>
      </c>
      <c r="AS106" s="421">
        <f t="shared" si="198"/>
        <v>0</v>
      </c>
      <c r="AT106" s="421">
        <f t="shared" si="199"/>
        <v>0</v>
      </c>
      <c r="AU106" s="68">
        <f t="shared" si="270"/>
        <v>0</v>
      </c>
      <c r="AV106" s="68">
        <f t="shared" si="201"/>
        <v>0</v>
      </c>
      <c r="AW106" s="421">
        <v>0</v>
      </c>
      <c r="AX106" s="421">
        <v>0</v>
      </c>
      <c r="AY106" s="421">
        <f t="shared" si="202"/>
        <v>0</v>
      </c>
      <c r="AZ106" s="421">
        <f t="shared" si="203"/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>BA106+BC106+BD106+BF106+BH106+BI106</f>
        <v>0</v>
      </c>
      <c r="BL106" s="422">
        <f>BB106+BE106+BG106+BJ106</f>
        <v>0</v>
      </c>
      <c r="BM106" s="424">
        <f>SUM(BK106:BL106)</f>
        <v>0</v>
      </c>
      <c r="BN106" s="427">
        <f t="shared" si="207"/>
        <v>862100</v>
      </c>
      <c r="BO106" s="421">
        <f t="shared" si="208"/>
        <v>639540</v>
      </c>
      <c r="BP106" s="421">
        <f t="shared" si="271"/>
        <v>639540</v>
      </c>
      <c r="BQ106" s="421">
        <f t="shared" si="271"/>
        <v>0</v>
      </c>
      <c r="BR106" s="421">
        <f>M106+AQ106</f>
        <v>0</v>
      </c>
      <c r="BS106" s="421">
        <f t="shared" si="272"/>
        <v>0</v>
      </c>
      <c r="BT106" s="421">
        <f t="shared" si="272"/>
        <v>0</v>
      </c>
      <c r="BU106" s="421">
        <f t="shared" si="273"/>
        <v>216165</v>
      </c>
      <c r="BV106" s="421">
        <f t="shared" si="273"/>
        <v>6395</v>
      </c>
      <c r="BW106" s="421">
        <f>R106+AY106</f>
        <v>0</v>
      </c>
      <c r="BX106" s="422">
        <f>S106+BM106</f>
        <v>1.5</v>
      </c>
      <c r="BY106" s="422">
        <f t="shared" si="274"/>
        <v>1.5</v>
      </c>
      <c r="BZ106" s="611">
        <f t="shared" si="274"/>
        <v>0</v>
      </c>
      <c r="CA106" s="423"/>
      <c r="CB106" s="418"/>
      <c r="CC106" s="418"/>
      <c r="CD106" s="418"/>
      <c r="CE106" s="418"/>
      <c r="CF106" s="527"/>
    </row>
    <row r="107" spans="1:84" s="96" customFormat="1" ht="14.1" customHeight="1" x14ac:dyDescent="0.2">
      <c r="A107" s="118">
        <v>17</v>
      </c>
      <c r="B107" s="102">
        <v>2494</v>
      </c>
      <c r="C107" s="93">
        <v>600080315</v>
      </c>
      <c r="D107" s="77">
        <v>72741996</v>
      </c>
      <c r="E107" s="102" t="s">
        <v>739</v>
      </c>
      <c r="F107" s="94">
        <v>3113</v>
      </c>
      <c r="G107" s="77" t="s">
        <v>292</v>
      </c>
      <c r="H107" s="95" t="s">
        <v>272</v>
      </c>
      <c r="I107" s="669">
        <f t="shared" si="185"/>
        <v>0</v>
      </c>
      <c r="J107" s="668">
        <f t="shared" si="186"/>
        <v>0</v>
      </c>
      <c r="K107" s="668">
        <v>0</v>
      </c>
      <c r="L107" s="668">
        <v>0</v>
      </c>
      <c r="M107" s="668">
        <f t="shared" si="267"/>
        <v>0</v>
      </c>
      <c r="N107" s="668">
        <v>0</v>
      </c>
      <c r="O107" s="668">
        <v>0</v>
      </c>
      <c r="P107" s="668">
        <f t="shared" si="187"/>
        <v>0</v>
      </c>
      <c r="Q107" s="668">
        <f t="shared" si="188"/>
        <v>0</v>
      </c>
      <c r="R107" s="668">
        <v>0</v>
      </c>
      <c r="S107" s="420">
        <f t="shared" si="189"/>
        <v>0</v>
      </c>
      <c r="T107" s="420">
        <v>0</v>
      </c>
      <c r="U107" s="946">
        <v>0</v>
      </c>
      <c r="V107" s="428">
        <f t="shared" si="268"/>
        <v>0</v>
      </c>
      <c r="W107" s="421">
        <f t="shared" si="268"/>
        <v>0</v>
      </c>
      <c r="X107" s="16">
        <v>2947413</v>
      </c>
      <c r="Y107" s="16">
        <v>0</v>
      </c>
      <c r="Z107" s="16">
        <v>0</v>
      </c>
      <c r="AA107" s="16">
        <v>0</v>
      </c>
      <c r="AB107" s="421">
        <v>0</v>
      </c>
      <c r="AC107" s="16">
        <v>0</v>
      </c>
      <c r="AD107" s="16">
        <v>0</v>
      </c>
      <c r="AE107" s="16">
        <v>0</v>
      </c>
      <c r="AF107" s="421">
        <f t="shared" si="191"/>
        <v>2947413</v>
      </c>
      <c r="AG107" s="421">
        <f t="shared" si="192"/>
        <v>0</v>
      </c>
      <c r="AH107" s="421">
        <f t="shared" si="193"/>
        <v>2947413</v>
      </c>
      <c r="AI107" s="16">
        <v>0</v>
      </c>
      <c r="AJ107" s="16">
        <v>0</v>
      </c>
      <c r="AK107" s="421">
        <v>0</v>
      </c>
      <c r="AL107" s="16">
        <v>0</v>
      </c>
      <c r="AM107" s="16">
        <v>0</v>
      </c>
      <c r="AN107" s="16">
        <v>0</v>
      </c>
      <c r="AO107" s="421">
        <f t="shared" si="269"/>
        <v>0</v>
      </c>
      <c r="AP107" s="16">
        <v>0</v>
      </c>
      <c r="AQ107" s="421">
        <f t="shared" si="196"/>
        <v>0</v>
      </c>
      <c r="AR107" s="421">
        <f t="shared" si="197"/>
        <v>2947413</v>
      </c>
      <c r="AS107" s="421">
        <f t="shared" si="198"/>
        <v>0</v>
      </c>
      <c r="AT107" s="421">
        <f t="shared" si="199"/>
        <v>2947413</v>
      </c>
      <c r="AU107" s="68">
        <f t="shared" si="270"/>
        <v>996226</v>
      </c>
      <c r="AV107" s="68">
        <f t="shared" si="201"/>
        <v>29474</v>
      </c>
      <c r="AW107" s="16">
        <v>4250</v>
      </c>
      <c r="AX107" s="16">
        <v>0</v>
      </c>
      <c r="AY107" s="421">
        <f t="shared" si="202"/>
        <v>4250</v>
      </c>
      <c r="AZ107" s="421">
        <f t="shared" si="203"/>
        <v>3977363</v>
      </c>
      <c r="BA107" s="13">
        <v>0</v>
      </c>
      <c r="BB107" s="13">
        <v>0</v>
      </c>
      <c r="BC107" s="13">
        <v>7.9399999999999995</v>
      </c>
      <c r="BD107" s="422">
        <v>0</v>
      </c>
      <c r="BE107" s="422">
        <v>0</v>
      </c>
      <c r="BF107" s="422">
        <v>0</v>
      </c>
      <c r="BG107" s="422">
        <v>0</v>
      </c>
      <c r="BH107" s="422">
        <v>0</v>
      </c>
      <c r="BI107" s="422">
        <v>0</v>
      </c>
      <c r="BJ107" s="422">
        <v>0</v>
      </c>
      <c r="BK107" s="422">
        <f>BA107+BC107+BD107+BF107+BH107+BI107</f>
        <v>7.9399999999999995</v>
      </c>
      <c r="BL107" s="422">
        <f>BB107+BE107+BG107+BJ107</f>
        <v>0</v>
      </c>
      <c r="BM107" s="424">
        <f>SUM(BK107:BL107)</f>
        <v>7.9399999999999995</v>
      </c>
      <c r="BN107" s="427">
        <f t="shared" si="207"/>
        <v>3977363</v>
      </c>
      <c r="BO107" s="421">
        <f t="shared" si="208"/>
        <v>2947413</v>
      </c>
      <c r="BP107" s="421">
        <f t="shared" si="271"/>
        <v>2947413</v>
      </c>
      <c r="BQ107" s="421">
        <f t="shared" si="271"/>
        <v>0</v>
      </c>
      <c r="BR107" s="421">
        <f>M107+AQ107</f>
        <v>0</v>
      </c>
      <c r="BS107" s="421">
        <f t="shared" si="272"/>
        <v>0</v>
      </c>
      <c r="BT107" s="421">
        <f t="shared" si="272"/>
        <v>0</v>
      </c>
      <c r="BU107" s="421">
        <f t="shared" si="273"/>
        <v>996226</v>
      </c>
      <c r="BV107" s="421">
        <f t="shared" si="273"/>
        <v>29474</v>
      </c>
      <c r="BW107" s="421">
        <f>R107+AY107</f>
        <v>4250</v>
      </c>
      <c r="BX107" s="422">
        <f>S107+BM107</f>
        <v>7.9399999999999995</v>
      </c>
      <c r="BY107" s="422">
        <f t="shared" si="274"/>
        <v>7.9399999999999995</v>
      </c>
      <c r="BZ107" s="611">
        <f t="shared" si="274"/>
        <v>0</v>
      </c>
      <c r="CA107" s="423"/>
      <c r="CB107" s="418"/>
      <c r="CC107" s="418"/>
      <c r="CD107" s="418"/>
      <c r="CE107" s="418"/>
      <c r="CF107" s="527"/>
    </row>
    <row r="108" spans="1:84" s="96" customFormat="1" ht="14.1" customHeight="1" x14ac:dyDescent="0.2">
      <c r="A108" s="118">
        <v>17</v>
      </c>
      <c r="B108" s="77">
        <v>2494</v>
      </c>
      <c r="C108" s="93">
        <v>600080315</v>
      </c>
      <c r="D108" s="77">
        <v>72741996</v>
      </c>
      <c r="E108" s="77" t="s">
        <v>739</v>
      </c>
      <c r="F108" s="94">
        <v>3143</v>
      </c>
      <c r="G108" s="77" t="s">
        <v>596</v>
      </c>
      <c r="H108" s="95" t="s">
        <v>271</v>
      </c>
      <c r="I108" s="669">
        <f t="shared" si="185"/>
        <v>1336774</v>
      </c>
      <c r="J108" s="668">
        <f t="shared" si="186"/>
        <v>991672</v>
      </c>
      <c r="K108" s="668">
        <v>991672</v>
      </c>
      <c r="L108" s="668">
        <v>0</v>
      </c>
      <c r="M108" s="668">
        <f t="shared" si="267"/>
        <v>0</v>
      </c>
      <c r="N108" s="668">
        <v>0</v>
      </c>
      <c r="O108" s="668">
        <v>0</v>
      </c>
      <c r="P108" s="668">
        <f t="shared" si="187"/>
        <v>335185</v>
      </c>
      <c r="Q108" s="668">
        <f t="shared" si="188"/>
        <v>9917</v>
      </c>
      <c r="R108" s="668">
        <v>0</v>
      </c>
      <c r="S108" s="420">
        <f t="shared" si="189"/>
        <v>2.0487000000000002</v>
      </c>
      <c r="T108" s="420">
        <v>2.0487000000000002</v>
      </c>
      <c r="U108" s="946">
        <v>0</v>
      </c>
      <c r="V108" s="428">
        <f t="shared" si="268"/>
        <v>0</v>
      </c>
      <c r="W108" s="421">
        <f t="shared" si="268"/>
        <v>0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 t="shared" si="191"/>
        <v>0</v>
      </c>
      <c r="AG108" s="421">
        <f t="shared" si="192"/>
        <v>0</v>
      </c>
      <c r="AH108" s="421">
        <f t="shared" si="193"/>
        <v>0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si="269"/>
        <v>0</v>
      </c>
      <c r="AP108" s="421">
        <f>AJ108+AN108</f>
        <v>0</v>
      </c>
      <c r="AQ108" s="421">
        <f t="shared" si="196"/>
        <v>0</v>
      </c>
      <c r="AR108" s="421">
        <f t="shared" si="197"/>
        <v>0</v>
      </c>
      <c r="AS108" s="421">
        <f t="shared" si="198"/>
        <v>0</v>
      </c>
      <c r="AT108" s="421">
        <f t="shared" si="199"/>
        <v>0</v>
      </c>
      <c r="AU108" s="68">
        <f t="shared" si="270"/>
        <v>0</v>
      </c>
      <c r="AV108" s="68">
        <f t="shared" si="201"/>
        <v>0</v>
      </c>
      <c r="AW108" s="421">
        <v>0</v>
      </c>
      <c r="AX108" s="421">
        <v>0</v>
      </c>
      <c r="AY108" s="421">
        <f t="shared" si="202"/>
        <v>0</v>
      </c>
      <c r="AZ108" s="421">
        <f t="shared" si="203"/>
        <v>0</v>
      </c>
      <c r="BA108" s="422">
        <v>0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>BA108+BC108+BD108+BF108+BH108+BI108</f>
        <v>0</v>
      </c>
      <c r="BL108" s="422">
        <f>BB108+BE108+BG108+BJ108</f>
        <v>0</v>
      </c>
      <c r="BM108" s="424">
        <f>SUM(BK108:BL108)</f>
        <v>0</v>
      </c>
      <c r="BN108" s="427">
        <f t="shared" si="207"/>
        <v>1336774</v>
      </c>
      <c r="BO108" s="421">
        <f t="shared" si="208"/>
        <v>991672</v>
      </c>
      <c r="BP108" s="421">
        <f t="shared" si="271"/>
        <v>991672</v>
      </c>
      <c r="BQ108" s="421">
        <f t="shared" si="271"/>
        <v>0</v>
      </c>
      <c r="BR108" s="421">
        <f>M108+AQ108</f>
        <v>0</v>
      </c>
      <c r="BS108" s="421">
        <f t="shared" si="272"/>
        <v>0</v>
      </c>
      <c r="BT108" s="421">
        <f t="shared" si="272"/>
        <v>0</v>
      </c>
      <c r="BU108" s="421">
        <f t="shared" si="273"/>
        <v>335185</v>
      </c>
      <c r="BV108" s="421">
        <f t="shared" si="273"/>
        <v>9917</v>
      </c>
      <c r="BW108" s="421">
        <f>R108+AY108</f>
        <v>0</v>
      </c>
      <c r="BX108" s="422">
        <f>S108+BM108</f>
        <v>2.0487000000000002</v>
      </c>
      <c r="BY108" s="422">
        <f t="shared" si="274"/>
        <v>2.0487000000000002</v>
      </c>
      <c r="BZ108" s="611">
        <f t="shared" si="274"/>
        <v>0</v>
      </c>
      <c r="CA108" s="423"/>
      <c r="CB108" s="418"/>
      <c r="CC108" s="418"/>
      <c r="CD108" s="418"/>
      <c r="CE108" s="418"/>
      <c r="CF108" s="527"/>
    </row>
    <row r="109" spans="1:84" s="96" customFormat="1" ht="14.1" customHeight="1" x14ac:dyDescent="0.2">
      <c r="A109" s="118">
        <v>17</v>
      </c>
      <c r="B109" s="77">
        <v>2494</v>
      </c>
      <c r="C109" s="93">
        <v>600080315</v>
      </c>
      <c r="D109" s="77">
        <v>72741996</v>
      </c>
      <c r="E109" s="77" t="s">
        <v>739</v>
      </c>
      <c r="F109" s="94">
        <v>3143</v>
      </c>
      <c r="G109" s="77" t="s">
        <v>597</v>
      </c>
      <c r="H109" s="95" t="s">
        <v>272</v>
      </c>
      <c r="I109" s="669">
        <f t="shared" si="185"/>
        <v>36366</v>
      </c>
      <c r="J109" s="668">
        <f t="shared" si="186"/>
        <v>26030</v>
      </c>
      <c r="K109" s="668">
        <v>0</v>
      </c>
      <c r="L109" s="674">
        <v>26030</v>
      </c>
      <c r="M109" s="668">
        <f t="shared" si="267"/>
        <v>0</v>
      </c>
      <c r="N109" s="675">
        <v>0</v>
      </c>
      <c r="O109" s="675">
        <v>0</v>
      </c>
      <c r="P109" s="668">
        <f t="shared" si="187"/>
        <v>8798</v>
      </c>
      <c r="Q109" s="668">
        <f t="shared" si="188"/>
        <v>260</v>
      </c>
      <c r="R109" s="675">
        <v>1278</v>
      </c>
      <c r="S109" s="420">
        <f t="shared" si="189"/>
        <v>9.8599999999999993E-2</v>
      </c>
      <c r="T109" s="679">
        <v>0</v>
      </c>
      <c r="U109" s="909">
        <v>9.8599999999999993E-2</v>
      </c>
      <c r="V109" s="428">
        <f t="shared" si="268"/>
        <v>0</v>
      </c>
      <c r="W109" s="421">
        <f t="shared" si="268"/>
        <v>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 t="shared" si="191"/>
        <v>0</v>
      </c>
      <c r="AG109" s="421">
        <f t="shared" si="192"/>
        <v>0</v>
      </c>
      <c r="AH109" s="421">
        <f t="shared" si="193"/>
        <v>0</v>
      </c>
      <c r="AI109" s="421">
        <v>0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f t="shared" si="269"/>
        <v>0</v>
      </c>
      <c r="AP109" s="421">
        <f>AJ109+AN109</f>
        <v>0</v>
      </c>
      <c r="AQ109" s="421">
        <f t="shared" si="196"/>
        <v>0</v>
      </c>
      <c r="AR109" s="421">
        <f t="shared" si="197"/>
        <v>0</v>
      </c>
      <c r="AS109" s="421">
        <f t="shared" si="198"/>
        <v>0</v>
      </c>
      <c r="AT109" s="421">
        <f t="shared" si="199"/>
        <v>0</v>
      </c>
      <c r="AU109" s="68">
        <f t="shared" si="270"/>
        <v>0</v>
      </c>
      <c r="AV109" s="68">
        <f t="shared" si="201"/>
        <v>0</v>
      </c>
      <c r="AW109" s="421">
        <v>0</v>
      </c>
      <c r="AX109" s="421">
        <v>0</v>
      </c>
      <c r="AY109" s="421">
        <f t="shared" si="202"/>
        <v>0</v>
      </c>
      <c r="AZ109" s="421">
        <f t="shared" si="203"/>
        <v>0</v>
      </c>
      <c r="BA109" s="422">
        <v>0</v>
      </c>
      <c r="BB109" s="422">
        <v>0</v>
      </c>
      <c r="BC109" s="422">
        <v>0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>BA109+BC109+BD109+BF109+BH109+BI109</f>
        <v>0</v>
      </c>
      <c r="BL109" s="422">
        <f>BB109+BE109+BG109+BJ109</f>
        <v>0</v>
      </c>
      <c r="BM109" s="424">
        <f>SUM(BK109:BL109)</f>
        <v>0</v>
      </c>
      <c r="BN109" s="427">
        <f t="shared" si="207"/>
        <v>36366</v>
      </c>
      <c r="BO109" s="421">
        <f t="shared" si="208"/>
        <v>26030</v>
      </c>
      <c r="BP109" s="421">
        <f t="shared" si="271"/>
        <v>0</v>
      </c>
      <c r="BQ109" s="421">
        <f t="shared" si="271"/>
        <v>26030</v>
      </c>
      <c r="BR109" s="421">
        <f>M109+AQ109</f>
        <v>0</v>
      </c>
      <c r="BS109" s="421">
        <f t="shared" si="272"/>
        <v>0</v>
      </c>
      <c r="BT109" s="421">
        <f t="shared" si="272"/>
        <v>0</v>
      </c>
      <c r="BU109" s="421">
        <f t="shared" si="273"/>
        <v>8798</v>
      </c>
      <c r="BV109" s="421">
        <f t="shared" si="273"/>
        <v>260</v>
      </c>
      <c r="BW109" s="421">
        <f>R109+AY109</f>
        <v>1278</v>
      </c>
      <c r="BX109" s="422">
        <f>S109+BM109</f>
        <v>9.8599999999999993E-2</v>
      </c>
      <c r="BY109" s="422">
        <f t="shared" si="274"/>
        <v>0</v>
      </c>
      <c r="BZ109" s="611">
        <f t="shared" si="274"/>
        <v>9.8599999999999993E-2</v>
      </c>
      <c r="CA109" s="423"/>
      <c r="CB109" s="418"/>
      <c r="CC109" s="418"/>
      <c r="CD109" s="418"/>
      <c r="CE109" s="418"/>
      <c r="CF109" s="527"/>
    </row>
    <row r="110" spans="1:84" s="96" customFormat="1" ht="14.1" customHeight="1" x14ac:dyDescent="0.2">
      <c r="A110" s="119">
        <v>17</v>
      </c>
      <c r="B110" s="97">
        <v>2494</v>
      </c>
      <c r="C110" s="98">
        <v>600080315</v>
      </c>
      <c r="D110" s="97">
        <v>72741996</v>
      </c>
      <c r="E110" s="97" t="s">
        <v>740</v>
      </c>
      <c r="F110" s="99"/>
      <c r="G110" s="100"/>
      <c r="H110" s="101"/>
      <c r="I110" s="442">
        <f t="shared" ref="I110:U110" si="275">SUM(I105:I109)</f>
        <v>26906673</v>
      </c>
      <c r="J110" s="438">
        <f t="shared" si="275"/>
        <v>19727031</v>
      </c>
      <c r="K110" s="438">
        <f t="shared" si="275"/>
        <v>18122558</v>
      </c>
      <c r="L110" s="438">
        <f t="shared" si="275"/>
        <v>1604473</v>
      </c>
      <c r="M110" s="438">
        <f t="shared" si="275"/>
        <v>0</v>
      </c>
      <c r="N110" s="438">
        <f t="shared" si="275"/>
        <v>0</v>
      </c>
      <c r="O110" s="438">
        <f t="shared" si="275"/>
        <v>0</v>
      </c>
      <c r="P110" s="438">
        <f t="shared" si="275"/>
        <v>6667736</v>
      </c>
      <c r="Q110" s="438">
        <f t="shared" si="275"/>
        <v>197270</v>
      </c>
      <c r="R110" s="438">
        <f t="shared" si="275"/>
        <v>314636</v>
      </c>
      <c r="S110" s="439">
        <f t="shared" si="275"/>
        <v>33.873799999999996</v>
      </c>
      <c r="T110" s="439">
        <f t="shared" si="275"/>
        <v>29.048999999999999</v>
      </c>
      <c r="U110" s="814">
        <f t="shared" si="275"/>
        <v>4.8248000000000006</v>
      </c>
      <c r="V110" s="442">
        <f t="shared" ref="V110:CF110" si="276">SUM(V105:V109)</f>
        <v>-185199</v>
      </c>
      <c r="W110" s="438">
        <f t="shared" si="276"/>
        <v>0</v>
      </c>
      <c r="X110" s="438">
        <f t="shared" si="276"/>
        <v>2947413</v>
      </c>
      <c r="Y110" s="438">
        <f t="shared" si="276"/>
        <v>0</v>
      </c>
      <c r="Z110" s="438">
        <f t="shared" si="276"/>
        <v>0</v>
      </c>
      <c r="AA110" s="438">
        <f t="shared" si="276"/>
        <v>0</v>
      </c>
      <c r="AB110" s="438">
        <f t="shared" si="276"/>
        <v>0</v>
      </c>
      <c r="AC110" s="438">
        <f t="shared" si="276"/>
        <v>0</v>
      </c>
      <c r="AD110" s="438">
        <f t="shared" si="276"/>
        <v>0</v>
      </c>
      <c r="AE110" s="438">
        <f t="shared" si="276"/>
        <v>0</v>
      </c>
      <c r="AF110" s="438">
        <f t="shared" si="276"/>
        <v>2762214</v>
      </c>
      <c r="AG110" s="438">
        <f t="shared" si="276"/>
        <v>0</v>
      </c>
      <c r="AH110" s="438">
        <f t="shared" si="276"/>
        <v>2762214</v>
      </c>
      <c r="AI110" s="438">
        <f t="shared" si="276"/>
        <v>0</v>
      </c>
      <c r="AJ110" s="438">
        <f t="shared" si="276"/>
        <v>0</v>
      </c>
      <c r="AK110" s="438">
        <f t="shared" si="276"/>
        <v>0</v>
      </c>
      <c r="AL110" s="438">
        <f t="shared" si="276"/>
        <v>0</v>
      </c>
      <c r="AM110" s="438">
        <f t="shared" si="276"/>
        <v>185199</v>
      </c>
      <c r="AN110" s="438">
        <f t="shared" si="276"/>
        <v>0</v>
      </c>
      <c r="AO110" s="438">
        <f t="shared" si="276"/>
        <v>185199</v>
      </c>
      <c r="AP110" s="438">
        <f t="shared" si="276"/>
        <v>0</v>
      </c>
      <c r="AQ110" s="438">
        <f t="shared" si="276"/>
        <v>185199</v>
      </c>
      <c r="AR110" s="438">
        <f t="shared" si="276"/>
        <v>2947413</v>
      </c>
      <c r="AS110" s="438">
        <f t="shared" si="276"/>
        <v>0</v>
      </c>
      <c r="AT110" s="438">
        <f t="shared" si="276"/>
        <v>2947413</v>
      </c>
      <c r="AU110" s="438">
        <f t="shared" si="276"/>
        <v>933629</v>
      </c>
      <c r="AV110" s="438">
        <f t="shared" si="276"/>
        <v>27622</v>
      </c>
      <c r="AW110" s="438">
        <f t="shared" si="276"/>
        <v>4250</v>
      </c>
      <c r="AX110" s="438">
        <f t="shared" si="276"/>
        <v>0</v>
      </c>
      <c r="AY110" s="438">
        <f t="shared" si="276"/>
        <v>4250</v>
      </c>
      <c r="AZ110" s="438">
        <f t="shared" si="276"/>
        <v>3912914</v>
      </c>
      <c r="BA110" s="439">
        <f t="shared" si="276"/>
        <v>0</v>
      </c>
      <c r="BB110" s="439">
        <f t="shared" si="276"/>
        <v>0</v>
      </c>
      <c r="BC110" s="439">
        <f t="shared" si="276"/>
        <v>7.9399999999999995</v>
      </c>
      <c r="BD110" s="439">
        <f t="shared" si="276"/>
        <v>0</v>
      </c>
      <c r="BE110" s="439">
        <f t="shared" si="276"/>
        <v>0</v>
      </c>
      <c r="BF110" s="439">
        <f t="shared" si="276"/>
        <v>0</v>
      </c>
      <c r="BG110" s="439">
        <f t="shared" si="276"/>
        <v>0</v>
      </c>
      <c r="BH110" s="439">
        <f t="shared" si="276"/>
        <v>0</v>
      </c>
      <c r="BI110" s="439">
        <f t="shared" si="276"/>
        <v>0</v>
      </c>
      <c r="BJ110" s="439">
        <f t="shared" si="276"/>
        <v>0</v>
      </c>
      <c r="BK110" s="439">
        <f t="shared" si="276"/>
        <v>7.9399999999999995</v>
      </c>
      <c r="BL110" s="439">
        <f t="shared" si="276"/>
        <v>0</v>
      </c>
      <c r="BM110" s="103">
        <f t="shared" si="276"/>
        <v>7.9399999999999995</v>
      </c>
      <c r="BN110" s="444">
        <f t="shared" si="276"/>
        <v>30819587</v>
      </c>
      <c r="BO110" s="438">
        <f t="shared" si="276"/>
        <v>22489245</v>
      </c>
      <c r="BP110" s="438">
        <f t="shared" si="276"/>
        <v>20884772</v>
      </c>
      <c r="BQ110" s="438">
        <f t="shared" si="276"/>
        <v>1604473</v>
      </c>
      <c r="BR110" s="438">
        <f t="shared" si="276"/>
        <v>185199</v>
      </c>
      <c r="BS110" s="438">
        <f t="shared" si="276"/>
        <v>185199</v>
      </c>
      <c r="BT110" s="438">
        <f t="shared" si="276"/>
        <v>0</v>
      </c>
      <c r="BU110" s="438">
        <f t="shared" si="276"/>
        <v>7601365</v>
      </c>
      <c r="BV110" s="438">
        <f t="shared" si="276"/>
        <v>224892</v>
      </c>
      <c r="BW110" s="438">
        <f t="shared" si="276"/>
        <v>318886</v>
      </c>
      <c r="BX110" s="439">
        <f t="shared" si="276"/>
        <v>41.813799999999993</v>
      </c>
      <c r="BY110" s="439">
        <f t="shared" si="276"/>
        <v>36.989000000000004</v>
      </c>
      <c r="BZ110" s="814">
        <f t="shared" si="276"/>
        <v>4.8248000000000006</v>
      </c>
      <c r="CA110" s="819">
        <f t="shared" si="276"/>
        <v>0</v>
      </c>
      <c r="CB110" s="817">
        <f t="shared" si="276"/>
        <v>0</v>
      </c>
      <c r="CC110" s="817">
        <f t="shared" si="276"/>
        <v>0</v>
      </c>
      <c r="CD110" s="817">
        <f t="shared" si="276"/>
        <v>0</v>
      </c>
      <c r="CE110" s="817">
        <f t="shared" si="276"/>
        <v>0</v>
      </c>
      <c r="CF110" s="802">
        <f t="shared" si="276"/>
        <v>0</v>
      </c>
    </row>
    <row r="111" spans="1:84" s="96" customFormat="1" ht="14.1" customHeight="1" x14ac:dyDescent="0.2">
      <c r="A111" s="118">
        <v>18</v>
      </c>
      <c r="B111" s="77">
        <v>2301</v>
      </c>
      <c r="C111" s="93">
        <v>600080226</v>
      </c>
      <c r="D111" s="77">
        <v>72741830</v>
      </c>
      <c r="E111" s="77" t="s">
        <v>741</v>
      </c>
      <c r="F111" s="94">
        <v>3231</v>
      </c>
      <c r="G111" s="77" t="s">
        <v>296</v>
      </c>
      <c r="H111" s="95" t="s">
        <v>271</v>
      </c>
      <c r="I111" s="669">
        <f t="shared" si="185"/>
        <v>5379230</v>
      </c>
      <c r="J111" s="668">
        <f t="shared" si="186"/>
        <v>3985738</v>
      </c>
      <c r="K111" s="16">
        <v>3833564</v>
      </c>
      <c r="L111" s="16">
        <v>152174</v>
      </c>
      <c r="M111" s="668">
        <f t="shared" ref="M111" si="277">N111+O111</f>
        <v>0</v>
      </c>
      <c r="N111" s="668">
        <v>0</v>
      </c>
      <c r="O111" s="668">
        <v>0</v>
      </c>
      <c r="P111" s="668">
        <f t="shared" si="187"/>
        <v>1347179</v>
      </c>
      <c r="Q111" s="668">
        <f t="shared" si="188"/>
        <v>39857</v>
      </c>
      <c r="R111" s="16">
        <v>6456</v>
      </c>
      <c r="S111" s="420">
        <f t="shared" si="189"/>
        <v>6.4650999999999996</v>
      </c>
      <c r="T111" s="13">
        <v>6.0381</v>
      </c>
      <c r="U111" s="169">
        <v>0.42699999999999999</v>
      </c>
      <c r="V111" s="428">
        <f>AI111*-1</f>
        <v>0</v>
      </c>
      <c r="W111" s="421">
        <f>AJ111*-1</f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 t="shared" si="191"/>
        <v>0</v>
      </c>
      <c r="AG111" s="421">
        <f t="shared" si="192"/>
        <v>0</v>
      </c>
      <c r="AH111" s="421">
        <f t="shared" si="193"/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>AI111+AK111+AL111+AM111</f>
        <v>0</v>
      </c>
      <c r="AP111" s="421">
        <f>AJ111+AN111</f>
        <v>0</v>
      </c>
      <c r="AQ111" s="421">
        <f t="shared" si="196"/>
        <v>0</v>
      </c>
      <c r="AR111" s="421">
        <f t="shared" si="197"/>
        <v>0</v>
      </c>
      <c r="AS111" s="421">
        <f t="shared" si="198"/>
        <v>0</v>
      </c>
      <c r="AT111" s="421">
        <f t="shared" si="199"/>
        <v>0</v>
      </c>
      <c r="AU111" s="68">
        <f>ROUND((AH111+AI111+AJ111+AK111+AL111)*33.8%,0)</f>
        <v>0</v>
      </c>
      <c r="AV111" s="68">
        <f t="shared" si="201"/>
        <v>0</v>
      </c>
      <c r="AW111" s="421">
        <v>0</v>
      </c>
      <c r="AX111" s="421">
        <v>0</v>
      </c>
      <c r="AY111" s="421">
        <f t="shared" si="202"/>
        <v>0</v>
      </c>
      <c r="AZ111" s="421">
        <f t="shared" si="203"/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>BA111+BC111+BD111+BF111+BH111+BI111</f>
        <v>0</v>
      </c>
      <c r="BL111" s="422">
        <f>BB111+BE111+BG111+BJ111</f>
        <v>0</v>
      </c>
      <c r="BM111" s="424">
        <f>SUM(BK111:BL111)</f>
        <v>0</v>
      </c>
      <c r="BN111" s="427">
        <f t="shared" si="207"/>
        <v>5379230</v>
      </c>
      <c r="BO111" s="421">
        <f t="shared" si="208"/>
        <v>3985738</v>
      </c>
      <c r="BP111" s="421">
        <f>K111+AF111</f>
        <v>3833564</v>
      </c>
      <c r="BQ111" s="421">
        <f>L111+AG111</f>
        <v>152174</v>
      </c>
      <c r="BR111" s="421">
        <f>M111+AQ111</f>
        <v>0</v>
      </c>
      <c r="BS111" s="421">
        <f>N111+AO111</f>
        <v>0</v>
      </c>
      <c r="BT111" s="421">
        <f>O111+AP111</f>
        <v>0</v>
      </c>
      <c r="BU111" s="421">
        <f>P111+AU111</f>
        <v>1347179</v>
      </c>
      <c r="BV111" s="421">
        <f>Q111+AV111</f>
        <v>39857</v>
      </c>
      <c r="BW111" s="421">
        <f>R111+AY111</f>
        <v>6456</v>
      </c>
      <c r="BX111" s="422">
        <f>S111+BM111</f>
        <v>6.4650999999999996</v>
      </c>
      <c r="BY111" s="422">
        <f>T111+BK111</f>
        <v>6.0381</v>
      </c>
      <c r="BZ111" s="611">
        <f>U111+BL111</f>
        <v>0.42699999999999999</v>
      </c>
      <c r="CA111" s="423"/>
      <c r="CB111" s="418"/>
      <c r="CC111" s="418"/>
      <c r="CD111" s="418"/>
      <c r="CE111" s="418"/>
      <c r="CF111" s="527"/>
    </row>
    <row r="112" spans="1:84" s="96" customFormat="1" ht="14.1" customHeight="1" x14ac:dyDescent="0.2">
      <c r="A112" s="119">
        <v>18</v>
      </c>
      <c r="B112" s="97">
        <v>2301</v>
      </c>
      <c r="C112" s="98">
        <v>600080226</v>
      </c>
      <c r="D112" s="97">
        <v>72741830</v>
      </c>
      <c r="E112" s="97" t="s">
        <v>742</v>
      </c>
      <c r="F112" s="99"/>
      <c r="G112" s="100"/>
      <c r="H112" s="101"/>
      <c r="I112" s="443">
        <f t="shared" ref="I112:U112" si="278">SUM(I111)</f>
        <v>5379230</v>
      </c>
      <c r="J112" s="440">
        <f t="shared" si="278"/>
        <v>3985738</v>
      </c>
      <c r="K112" s="440">
        <f t="shared" si="278"/>
        <v>3833564</v>
      </c>
      <c r="L112" s="440">
        <f t="shared" si="278"/>
        <v>152174</v>
      </c>
      <c r="M112" s="440">
        <f t="shared" si="278"/>
        <v>0</v>
      </c>
      <c r="N112" s="440">
        <f t="shared" si="278"/>
        <v>0</v>
      </c>
      <c r="O112" s="440">
        <f t="shared" si="278"/>
        <v>0</v>
      </c>
      <c r="P112" s="440">
        <f t="shared" si="278"/>
        <v>1347179</v>
      </c>
      <c r="Q112" s="440">
        <f t="shared" si="278"/>
        <v>39857</v>
      </c>
      <c r="R112" s="440">
        <f t="shared" si="278"/>
        <v>6456</v>
      </c>
      <c r="S112" s="441">
        <f t="shared" si="278"/>
        <v>6.4650999999999996</v>
      </c>
      <c r="T112" s="441">
        <f t="shared" si="278"/>
        <v>6.0381</v>
      </c>
      <c r="U112" s="815">
        <f t="shared" si="278"/>
        <v>0.42699999999999999</v>
      </c>
      <c r="V112" s="443">
        <f t="shared" ref="V112:CF112" si="279">SUM(V111)</f>
        <v>0</v>
      </c>
      <c r="W112" s="440">
        <f t="shared" si="279"/>
        <v>0</v>
      </c>
      <c r="X112" s="440">
        <f t="shared" si="279"/>
        <v>0</v>
      </c>
      <c r="Y112" s="440">
        <f t="shared" si="279"/>
        <v>0</v>
      </c>
      <c r="Z112" s="440">
        <f t="shared" si="279"/>
        <v>0</v>
      </c>
      <c r="AA112" s="440">
        <f t="shared" si="279"/>
        <v>0</v>
      </c>
      <c r="AB112" s="440">
        <f t="shared" si="279"/>
        <v>0</v>
      </c>
      <c r="AC112" s="440">
        <f t="shared" si="279"/>
        <v>0</v>
      </c>
      <c r="AD112" s="440">
        <f t="shared" si="279"/>
        <v>0</v>
      </c>
      <c r="AE112" s="440">
        <f t="shared" si="279"/>
        <v>0</v>
      </c>
      <c r="AF112" s="440">
        <f t="shared" si="279"/>
        <v>0</v>
      </c>
      <c r="AG112" s="440">
        <f t="shared" si="279"/>
        <v>0</v>
      </c>
      <c r="AH112" s="440">
        <f t="shared" si="279"/>
        <v>0</v>
      </c>
      <c r="AI112" s="440">
        <f t="shared" si="279"/>
        <v>0</v>
      </c>
      <c r="AJ112" s="440">
        <f t="shared" si="279"/>
        <v>0</v>
      </c>
      <c r="AK112" s="440">
        <f t="shared" si="279"/>
        <v>0</v>
      </c>
      <c r="AL112" s="440">
        <f t="shared" si="279"/>
        <v>0</v>
      </c>
      <c r="AM112" s="440">
        <f t="shared" si="279"/>
        <v>0</v>
      </c>
      <c r="AN112" s="440">
        <f t="shared" si="279"/>
        <v>0</v>
      </c>
      <c r="AO112" s="440">
        <f t="shared" si="279"/>
        <v>0</v>
      </c>
      <c r="AP112" s="440">
        <f t="shared" si="279"/>
        <v>0</v>
      </c>
      <c r="AQ112" s="440">
        <f t="shared" si="279"/>
        <v>0</v>
      </c>
      <c r="AR112" s="440">
        <f t="shared" si="279"/>
        <v>0</v>
      </c>
      <c r="AS112" s="440">
        <f t="shared" si="279"/>
        <v>0</v>
      </c>
      <c r="AT112" s="440">
        <f t="shared" si="279"/>
        <v>0</v>
      </c>
      <c r="AU112" s="440">
        <f t="shared" si="279"/>
        <v>0</v>
      </c>
      <c r="AV112" s="440">
        <f t="shared" si="279"/>
        <v>0</v>
      </c>
      <c r="AW112" s="440">
        <f t="shared" si="279"/>
        <v>0</v>
      </c>
      <c r="AX112" s="440">
        <f t="shared" si="279"/>
        <v>0</v>
      </c>
      <c r="AY112" s="440">
        <f t="shared" si="279"/>
        <v>0</v>
      </c>
      <c r="AZ112" s="440">
        <f t="shared" si="279"/>
        <v>0</v>
      </c>
      <c r="BA112" s="441">
        <f t="shared" si="279"/>
        <v>0</v>
      </c>
      <c r="BB112" s="441">
        <f t="shared" si="279"/>
        <v>0</v>
      </c>
      <c r="BC112" s="441">
        <f t="shared" si="279"/>
        <v>0</v>
      </c>
      <c r="BD112" s="441">
        <f t="shared" si="279"/>
        <v>0</v>
      </c>
      <c r="BE112" s="441">
        <f t="shared" si="279"/>
        <v>0</v>
      </c>
      <c r="BF112" s="441">
        <f t="shared" si="279"/>
        <v>0</v>
      </c>
      <c r="BG112" s="441">
        <f t="shared" si="279"/>
        <v>0</v>
      </c>
      <c r="BH112" s="441">
        <f t="shared" si="279"/>
        <v>0</v>
      </c>
      <c r="BI112" s="441">
        <f t="shared" si="279"/>
        <v>0</v>
      </c>
      <c r="BJ112" s="441">
        <f t="shared" si="279"/>
        <v>0</v>
      </c>
      <c r="BK112" s="441">
        <f t="shared" si="279"/>
        <v>0</v>
      </c>
      <c r="BL112" s="441">
        <f t="shared" si="279"/>
        <v>0</v>
      </c>
      <c r="BM112" s="107">
        <f t="shared" si="279"/>
        <v>0</v>
      </c>
      <c r="BN112" s="445">
        <f t="shared" si="279"/>
        <v>5379230</v>
      </c>
      <c r="BO112" s="440">
        <f t="shared" si="279"/>
        <v>3985738</v>
      </c>
      <c r="BP112" s="440">
        <f t="shared" si="279"/>
        <v>3833564</v>
      </c>
      <c r="BQ112" s="440">
        <f t="shared" si="279"/>
        <v>152174</v>
      </c>
      <c r="BR112" s="440">
        <f t="shared" si="279"/>
        <v>0</v>
      </c>
      <c r="BS112" s="440">
        <f t="shared" si="279"/>
        <v>0</v>
      </c>
      <c r="BT112" s="440">
        <f t="shared" si="279"/>
        <v>0</v>
      </c>
      <c r="BU112" s="440">
        <f t="shared" si="279"/>
        <v>1347179</v>
      </c>
      <c r="BV112" s="440">
        <f t="shared" si="279"/>
        <v>39857</v>
      </c>
      <c r="BW112" s="440">
        <f t="shared" si="279"/>
        <v>6456</v>
      </c>
      <c r="BX112" s="441">
        <f t="shared" si="279"/>
        <v>6.4650999999999996</v>
      </c>
      <c r="BY112" s="441">
        <f t="shared" si="279"/>
        <v>6.0381</v>
      </c>
      <c r="BZ112" s="815">
        <f t="shared" si="279"/>
        <v>0.42699999999999999</v>
      </c>
      <c r="CA112" s="820">
        <f t="shared" si="279"/>
        <v>0</v>
      </c>
      <c r="CB112" s="818">
        <f t="shared" si="279"/>
        <v>0</v>
      </c>
      <c r="CC112" s="818">
        <f t="shared" si="279"/>
        <v>0</v>
      </c>
      <c r="CD112" s="818">
        <f t="shared" si="279"/>
        <v>0</v>
      </c>
      <c r="CE112" s="818">
        <f t="shared" si="279"/>
        <v>0</v>
      </c>
      <c r="CF112" s="803">
        <f t="shared" si="279"/>
        <v>0</v>
      </c>
    </row>
    <row r="113" spans="1:84" s="96" customFormat="1" ht="14.1" customHeight="1" x14ac:dyDescent="0.2">
      <c r="A113" s="118">
        <v>19</v>
      </c>
      <c r="B113" s="102">
        <v>2497</v>
      </c>
      <c r="C113" s="93">
        <v>600080064</v>
      </c>
      <c r="D113" s="77">
        <v>72744189</v>
      </c>
      <c r="E113" s="77" t="s">
        <v>743</v>
      </c>
      <c r="F113" s="94">
        <v>3111</v>
      </c>
      <c r="G113" s="77" t="s">
        <v>291</v>
      </c>
      <c r="H113" s="95" t="s">
        <v>271</v>
      </c>
      <c r="I113" s="669">
        <f t="shared" si="185"/>
        <v>6841641</v>
      </c>
      <c r="J113" s="668">
        <f t="shared" si="186"/>
        <v>5058367</v>
      </c>
      <c r="K113" s="668">
        <v>4792095</v>
      </c>
      <c r="L113" s="668">
        <v>266272</v>
      </c>
      <c r="M113" s="668">
        <f t="shared" ref="M113:M120" si="280">N113+O113</f>
        <v>0</v>
      </c>
      <c r="N113" s="668">
        <v>0</v>
      </c>
      <c r="O113" s="668">
        <v>0</v>
      </c>
      <c r="P113" s="668">
        <f t="shared" si="187"/>
        <v>1709728</v>
      </c>
      <c r="Q113" s="668">
        <f t="shared" si="188"/>
        <v>50584</v>
      </c>
      <c r="R113" s="668">
        <v>22962</v>
      </c>
      <c r="S113" s="420">
        <f t="shared" si="189"/>
        <v>9.0668000000000006</v>
      </c>
      <c r="T113" s="420">
        <v>8</v>
      </c>
      <c r="U113" s="946">
        <v>1.0668</v>
      </c>
      <c r="V113" s="428">
        <f t="shared" ref="V113:W120" si="281">AI113*-1</f>
        <v>-57600</v>
      </c>
      <c r="W113" s="421">
        <f t="shared" si="281"/>
        <v>-3200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f t="shared" si="191"/>
        <v>-57600</v>
      </c>
      <c r="AG113" s="421">
        <f t="shared" si="192"/>
        <v>-3200</v>
      </c>
      <c r="AH113" s="421">
        <f t="shared" si="193"/>
        <v>-60800</v>
      </c>
      <c r="AI113" s="421">
        <v>57600</v>
      </c>
      <c r="AJ113" s="421">
        <v>3200</v>
      </c>
      <c r="AK113" s="421">
        <v>0</v>
      </c>
      <c r="AL113" s="421">
        <v>0</v>
      </c>
      <c r="AM113" s="421">
        <v>0</v>
      </c>
      <c r="AN113" s="421">
        <v>0</v>
      </c>
      <c r="AO113" s="421">
        <f t="shared" ref="AO113:AO120" si="282">AI113+AK113+AL113+AM113</f>
        <v>57600</v>
      </c>
      <c r="AP113" s="421">
        <f t="shared" ref="AP113:AP120" si="283">AJ113+AN113</f>
        <v>3200</v>
      </c>
      <c r="AQ113" s="421">
        <f t="shared" si="196"/>
        <v>60800</v>
      </c>
      <c r="AR113" s="421">
        <f t="shared" si="197"/>
        <v>0</v>
      </c>
      <c r="AS113" s="421">
        <f t="shared" si="198"/>
        <v>0</v>
      </c>
      <c r="AT113" s="421">
        <f t="shared" si="199"/>
        <v>0</v>
      </c>
      <c r="AU113" s="68">
        <f t="shared" ref="AU113:AU120" si="284">ROUND((AH113+AI113+AJ113+AK113+AL113)*33.8%,0)</f>
        <v>0</v>
      </c>
      <c r="AV113" s="68">
        <f t="shared" si="201"/>
        <v>-608</v>
      </c>
      <c r="AW113" s="421">
        <v>0</v>
      </c>
      <c r="AX113" s="421">
        <v>0</v>
      </c>
      <c r="AY113" s="421">
        <f t="shared" si="202"/>
        <v>0</v>
      </c>
      <c r="AZ113" s="421">
        <f t="shared" si="203"/>
        <v>-608</v>
      </c>
      <c r="BA113" s="422">
        <v>-0.08</v>
      </c>
      <c r="BB113" s="422">
        <v>0</v>
      </c>
      <c r="BC113" s="422">
        <v>0</v>
      </c>
      <c r="BD113" s="422">
        <v>0</v>
      </c>
      <c r="BE113" s="422">
        <v>0</v>
      </c>
      <c r="BF113" s="422">
        <v>0</v>
      </c>
      <c r="BG113" s="422">
        <v>0</v>
      </c>
      <c r="BH113" s="422">
        <v>0</v>
      </c>
      <c r="BI113" s="422">
        <v>0</v>
      </c>
      <c r="BJ113" s="422">
        <v>0</v>
      </c>
      <c r="BK113" s="422">
        <f t="shared" ref="BK113:BK120" si="285">BA113+BC113+BD113+BF113+BH113+BI113</f>
        <v>-0.08</v>
      </c>
      <c r="BL113" s="422">
        <f t="shared" ref="BL113:BL120" si="286">BB113+BE113+BG113+BJ113</f>
        <v>0</v>
      </c>
      <c r="BM113" s="424">
        <f t="shared" ref="BM113:BM120" si="287">SUM(BK113:BL113)</f>
        <v>-0.08</v>
      </c>
      <c r="BN113" s="427">
        <f t="shared" si="207"/>
        <v>6841033</v>
      </c>
      <c r="BO113" s="421">
        <f t="shared" si="208"/>
        <v>4997567</v>
      </c>
      <c r="BP113" s="421">
        <f t="shared" ref="BP113:BQ120" si="288">K113+AF113</f>
        <v>4734495</v>
      </c>
      <c r="BQ113" s="421">
        <f t="shared" si="288"/>
        <v>263072</v>
      </c>
      <c r="BR113" s="421">
        <f t="shared" ref="BR113:BR120" si="289">M113+AQ113</f>
        <v>60800</v>
      </c>
      <c r="BS113" s="421">
        <f t="shared" ref="BS113:BT120" si="290">N113+AO113</f>
        <v>57600</v>
      </c>
      <c r="BT113" s="421">
        <f t="shared" si="290"/>
        <v>3200</v>
      </c>
      <c r="BU113" s="421">
        <f t="shared" ref="BU113:BV120" si="291">P113+AU113</f>
        <v>1709728</v>
      </c>
      <c r="BV113" s="421">
        <f t="shared" si="291"/>
        <v>49976</v>
      </c>
      <c r="BW113" s="421">
        <f t="shared" ref="BW113:BW120" si="292">R113+AY113</f>
        <v>22962</v>
      </c>
      <c r="BX113" s="422">
        <f t="shared" ref="BX113:BX120" si="293">S113+BM113</f>
        <v>8.9868000000000006</v>
      </c>
      <c r="BY113" s="422">
        <f t="shared" ref="BY113:BZ120" si="294">T113+BK113</f>
        <v>7.92</v>
      </c>
      <c r="BZ113" s="611">
        <f t="shared" si="294"/>
        <v>1.0668</v>
      </c>
      <c r="CA113" s="423"/>
      <c r="CB113" s="418"/>
      <c r="CC113" s="418"/>
      <c r="CD113" s="418"/>
      <c r="CE113" s="418"/>
      <c r="CF113" s="527"/>
    </row>
    <row r="114" spans="1:84" s="96" customFormat="1" ht="14.1" customHeight="1" x14ac:dyDescent="0.2">
      <c r="A114" s="118">
        <v>19</v>
      </c>
      <c r="B114" s="77">
        <v>2497</v>
      </c>
      <c r="C114" s="93">
        <v>600080064</v>
      </c>
      <c r="D114" s="77">
        <v>72744189</v>
      </c>
      <c r="E114" s="77" t="s">
        <v>743</v>
      </c>
      <c r="F114" s="94">
        <v>3113</v>
      </c>
      <c r="G114" s="77" t="s">
        <v>294</v>
      </c>
      <c r="H114" s="95" t="s">
        <v>271</v>
      </c>
      <c r="I114" s="669">
        <f t="shared" si="185"/>
        <v>20618658</v>
      </c>
      <c r="J114" s="668">
        <f t="shared" si="186"/>
        <v>15111306</v>
      </c>
      <c r="K114" s="668">
        <v>13704395</v>
      </c>
      <c r="L114" s="668">
        <v>1406911</v>
      </c>
      <c r="M114" s="668">
        <f t="shared" si="280"/>
        <v>0</v>
      </c>
      <c r="N114" s="668">
        <v>0</v>
      </c>
      <c r="O114" s="668">
        <v>0</v>
      </c>
      <c r="P114" s="668">
        <f t="shared" si="187"/>
        <v>5107621</v>
      </c>
      <c r="Q114" s="668">
        <f t="shared" si="188"/>
        <v>151113</v>
      </c>
      <c r="R114" s="668">
        <v>248618</v>
      </c>
      <c r="S114" s="420">
        <f t="shared" si="189"/>
        <v>24.140999999999998</v>
      </c>
      <c r="T114" s="420">
        <v>19.954499999999999</v>
      </c>
      <c r="U114" s="946">
        <v>4.1864999999999997</v>
      </c>
      <c r="V114" s="428">
        <f t="shared" si="281"/>
        <v>-60800</v>
      </c>
      <c r="W114" s="421">
        <f t="shared" si="281"/>
        <v>-3200</v>
      </c>
      <c r="X114" s="421">
        <v>0</v>
      </c>
      <c r="Y114" s="421">
        <v>0</v>
      </c>
      <c r="Z114" s="421">
        <v>0</v>
      </c>
      <c r="AA114" s="421">
        <v>0</v>
      </c>
      <c r="AB114" s="421">
        <v>282000</v>
      </c>
      <c r="AC114" s="421">
        <v>0</v>
      </c>
      <c r="AD114" s="421">
        <v>0</v>
      </c>
      <c r="AE114" s="421">
        <v>0</v>
      </c>
      <c r="AF114" s="421">
        <f t="shared" si="191"/>
        <v>221200</v>
      </c>
      <c r="AG114" s="421">
        <f t="shared" si="192"/>
        <v>-3200</v>
      </c>
      <c r="AH114" s="421">
        <f t="shared" si="193"/>
        <v>218000</v>
      </c>
      <c r="AI114" s="421">
        <v>60800</v>
      </c>
      <c r="AJ114" s="421">
        <v>3200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si="282"/>
        <v>60800</v>
      </c>
      <c r="AP114" s="421">
        <f t="shared" si="283"/>
        <v>3200</v>
      </c>
      <c r="AQ114" s="421">
        <f t="shared" si="196"/>
        <v>64000</v>
      </c>
      <c r="AR114" s="421">
        <f t="shared" si="197"/>
        <v>282000</v>
      </c>
      <c r="AS114" s="421">
        <f t="shared" si="198"/>
        <v>0</v>
      </c>
      <c r="AT114" s="421">
        <f t="shared" si="199"/>
        <v>282000</v>
      </c>
      <c r="AU114" s="68">
        <f t="shared" si="284"/>
        <v>95316</v>
      </c>
      <c r="AV114" s="68">
        <f t="shared" si="201"/>
        <v>2180</v>
      </c>
      <c r="AW114" s="421">
        <v>0</v>
      </c>
      <c r="AX114" s="421">
        <v>0</v>
      </c>
      <c r="AY114" s="421">
        <f t="shared" si="202"/>
        <v>0</v>
      </c>
      <c r="AZ114" s="421">
        <f t="shared" si="203"/>
        <v>379496</v>
      </c>
      <c r="BA114" s="422">
        <v>0</v>
      </c>
      <c r="BB114" s="422">
        <v>0</v>
      </c>
      <c r="BC114" s="422">
        <v>0</v>
      </c>
      <c r="BD114" s="422">
        <v>0.5</v>
      </c>
      <c r="BE114" s="422">
        <v>0</v>
      </c>
      <c r="BF114" s="422">
        <v>0</v>
      </c>
      <c r="BG114" s="422">
        <v>0</v>
      </c>
      <c r="BH114" s="422">
        <v>0</v>
      </c>
      <c r="BI114" s="422">
        <v>0</v>
      </c>
      <c r="BJ114" s="422">
        <v>0</v>
      </c>
      <c r="BK114" s="422">
        <f t="shared" si="285"/>
        <v>0.5</v>
      </c>
      <c r="BL114" s="422">
        <f t="shared" si="286"/>
        <v>0</v>
      </c>
      <c r="BM114" s="424">
        <f t="shared" si="287"/>
        <v>0.5</v>
      </c>
      <c r="BN114" s="427">
        <f t="shared" si="207"/>
        <v>20998154</v>
      </c>
      <c r="BO114" s="421">
        <f t="shared" si="208"/>
        <v>15329306</v>
      </c>
      <c r="BP114" s="421">
        <f t="shared" si="288"/>
        <v>13925595</v>
      </c>
      <c r="BQ114" s="421">
        <f t="shared" si="288"/>
        <v>1403711</v>
      </c>
      <c r="BR114" s="421">
        <f t="shared" si="289"/>
        <v>64000</v>
      </c>
      <c r="BS114" s="421">
        <f t="shared" si="290"/>
        <v>60800</v>
      </c>
      <c r="BT114" s="421">
        <f t="shared" si="290"/>
        <v>3200</v>
      </c>
      <c r="BU114" s="421">
        <f t="shared" si="291"/>
        <v>5202937</v>
      </c>
      <c r="BV114" s="421">
        <f t="shared" si="291"/>
        <v>153293</v>
      </c>
      <c r="BW114" s="421">
        <f t="shared" si="292"/>
        <v>248618</v>
      </c>
      <c r="BX114" s="422">
        <f t="shared" si="293"/>
        <v>24.640999999999998</v>
      </c>
      <c r="BY114" s="422">
        <f t="shared" si="294"/>
        <v>20.454499999999999</v>
      </c>
      <c r="BZ114" s="611">
        <f t="shared" si="294"/>
        <v>4.1864999999999997</v>
      </c>
      <c r="CA114" s="423">
        <v>380136</v>
      </c>
      <c r="CB114" s="418">
        <v>282000</v>
      </c>
      <c r="CC114" s="418">
        <v>0</v>
      </c>
      <c r="CD114" s="418">
        <v>95316</v>
      </c>
      <c r="CE114" s="418">
        <v>2820</v>
      </c>
      <c r="CF114" s="527">
        <v>0.5</v>
      </c>
    </row>
    <row r="115" spans="1:84" s="96" customFormat="1" ht="14.1" customHeight="1" x14ac:dyDescent="0.2">
      <c r="A115" s="118">
        <v>19</v>
      </c>
      <c r="B115" s="77">
        <v>2497</v>
      </c>
      <c r="C115" s="93">
        <v>600080064</v>
      </c>
      <c r="D115" s="77">
        <v>72744189</v>
      </c>
      <c r="E115" s="77" t="s">
        <v>743</v>
      </c>
      <c r="F115" s="94">
        <v>3113</v>
      </c>
      <c r="G115" s="43" t="s">
        <v>293</v>
      </c>
      <c r="H115" s="95" t="s">
        <v>271</v>
      </c>
      <c r="I115" s="669">
        <f t="shared" si="185"/>
        <v>2139562</v>
      </c>
      <c r="J115" s="668">
        <f t="shared" si="186"/>
        <v>1587212</v>
      </c>
      <c r="K115" s="668">
        <v>1587212</v>
      </c>
      <c r="L115" s="668">
        <v>0</v>
      </c>
      <c r="M115" s="668">
        <f t="shared" si="280"/>
        <v>0</v>
      </c>
      <c r="N115" s="668">
        <v>0</v>
      </c>
      <c r="O115" s="668">
        <v>0</v>
      </c>
      <c r="P115" s="668">
        <f t="shared" si="187"/>
        <v>536478</v>
      </c>
      <c r="Q115" s="668">
        <f t="shared" si="188"/>
        <v>15872</v>
      </c>
      <c r="R115" s="668">
        <v>0</v>
      </c>
      <c r="S115" s="420">
        <f t="shared" si="189"/>
        <v>3.7584</v>
      </c>
      <c r="T115" s="420">
        <v>3.7584</v>
      </c>
      <c r="U115" s="946">
        <v>0</v>
      </c>
      <c r="V115" s="428">
        <f t="shared" si="281"/>
        <v>-3200</v>
      </c>
      <c r="W115" s="421">
        <f t="shared" si="281"/>
        <v>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 t="shared" si="191"/>
        <v>-3200</v>
      </c>
      <c r="AG115" s="421">
        <f t="shared" si="192"/>
        <v>0</v>
      </c>
      <c r="AH115" s="421">
        <f t="shared" si="193"/>
        <v>-3200</v>
      </c>
      <c r="AI115" s="421">
        <v>3200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si="282"/>
        <v>3200</v>
      </c>
      <c r="AP115" s="421">
        <f t="shared" si="283"/>
        <v>0</v>
      </c>
      <c r="AQ115" s="421">
        <f t="shared" si="196"/>
        <v>3200</v>
      </c>
      <c r="AR115" s="421">
        <f t="shared" si="197"/>
        <v>0</v>
      </c>
      <c r="AS115" s="421">
        <f t="shared" si="198"/>
        <v>0</v>
      </c>
      <c r="AT115" s="421">
        <f t="shared" si="199"/>
        <v>0</v>
      </c>
      <c r="AU115" s="68">
        <f t="shared" si="284"/>
        <v>0</v>
      </c>
      <c r="AV115" s="68">
        <f t="shared" si="201"/>
        <v>-32</v>
      </c>
      <c r="AW115" s="421">
        <v>0</v>
      </c>
      <c r="AX115" s="421">
        <v>0</v>
      </c>
      <c r="AY115" s="421">
        <f t="shared" si="202"/>
        <v>0</v>
      </c>
      <c r="AZ115" s="421">
        <f t="shared" si="203"/>
        <v>-32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 t="shared" si="285"/>
        <v>0</v>
      </c>
      <c r="BL115" s="422">
        <f t="shared" si="286"/>
        <v>0</v>
      </c>
      <c r="BM115" s="424">
        <f t="shared" si="287"/>
        <v>0</v>
      </c>
      <c r="BN115" s="427">
        <f t="shared" si="207"/>
        <v>2139530</v>
      </c>
      <c r="BO115" s="421">
        <f t="shared" si="208"/>
        <v>1584012</v>
      </c>
      <c r="BP115" s="421">
        <f t="shared" si="288"/>
        <v>1584012</v>
      </c>
      <c r="BQ115" s="421">
        <f t="shared" si="288"/>
        <v>0</v>
      </c>
      <c r="BR115" s="421">
        <f t="shared" si="289"/>
        <v>3200</v>
      </c>
      <c r="BS115" s="421">
        <f t="shared" si="290"/>
        <v>3200</v>
      </c>
      <c r="BT115" s="421">
        <f t="shared" si="290"/>
        <v>0</v>
      </c>
      <c r="BU115" s="421">
        <f t="shared" si="291"/>
        <v>536478</v>
      </c>
      <c r="BV115" s="421">
        <f t="shared" si="291"/>
        <v>15840</v>
      </c>
      <c r="BW115" s="421">
        <f t="shared" si="292"/>
        <v>0</v>
      </c>
      <c r="BX115" s="422">
        <f t="shared" si="293"/>
        <v>3.7584</v>
      </c>
      <c r="BY115" s="422">
        <f t="shared" si="294"/>
        <v>3.7584</v>
      </c>
      <c r="BZ115" s="611">
        <f t="shared" si="294"/>
        <v>0</v>
      </c>
      <c r="CA115" s="423"/>
      <c r="CB115" s="418"/>
      <c r="CC115" s="418"/>
      <c r="CD115" s="418"/>
      <c r="CE115" s="418"/>
      <c r="CF115" s="527"/>
    </row>
    <row r="116" spans="1:84" s="96" customFormat="1" ht="14.1" customHeight="1" x14ac:dyDescent="0.2">
      <c r="A116" s="118">
        <v>19</v>
      </c>
      <c r="B116" s="102">
        <v>2497</v>
      </c>
      <c r="C116" s="93">
        <v>600080064</v>
      </c>
      <c r="D116" s="77">
        <v>72744189</v>
      </c>
      <c r="E116" s="102" t="s">
        <v>743</v>
      </c>
      <c r="F116" s="94">
        <v>3113</v>
      </c>
      <c r="G116" s="77" t="s">
        <v>292</v>
      </c>
      <c r="H116" s="95" t="s">
        <v>272</v>
      </c>
      <c r="I116" s="669">
        <f t="shared" si="185"/>
        <v>0</v>
      </c>
      <c r="J116" s="668">
        <f t="shared" si="186"/>
        <v>0</v>
      </c>
      <c r="K116" s="668">
        <v>0</v>
      </c>
      <c r="L116" s="668">
        <v>0</v>
      </c>
      <c r="M116" s="668">
        <f t="shared" si="280"/>
        <v>0</v>
      </c>
      <c r="N116" s="668">
        <v>0</v>
      </c>
      <c r="O116" s="668">
        <v>0</v>
      </c>
      <c r="P116" s="668">
        <f t="shared" si="187"/>
        <v>0</v>
      </c>
      <c r="Q116" s="668">
        <f t="shared" si="188"/>
        <v>0</v>
      </c>
      <c r="R116" s="668">
        <v>0</v>
      </c>
      <c r="S116" s="420">
        <f t="shared" si="189"/>
        <v>0</v>
      </c>
      <c r="T116" s="420">
        <v>0</v>
      </c>
      <c r="U116" s="946">
        <v>0</v>
      </c>
      <c r="V116" s="428">
        <f t="shared" si="281"/>
        <v>0</v>
      </c>
      <c r="W116" s="421">
        <f t="shared" si="281"/>
        <v>0</v>
      </c>
      <c r="X116" s="16">
        <f>3922706+20630</f>
        <v>3943336</v>
      </c>
      <c r="Y116" s="16">
        <v>0</v>
      </c>
      <c r="Z116" s="16">
        <v>0</v>
      </c>
      <c r="AA116" s="16">
        <v>0</v>
      </c>
      <c r="AB116" s="421">
        <v>0</v>
      </c>
      <c r="AC116" s="16">
        <v>0</v>
      </c>
      <c r="AD116" s="16">
        <v>0</v>
      </c>
      <c r="AE116" s="16">
        <v>0</v>
      </c>
      <c r="AF116" s="421">
        <f t="shared" si="191"/>
        <v>3943336</v>
      </c>
      <c r="AG116" s="421">
        <f t="shared" si="192"/>
        <v>0</v>
      </c>
      <c r="AH116" s="421">
        <f t="shared" si="193"/>
        <v>3943336</v>
      </c>
      <c r="AI116" s="16">
        <v>0</v>
      </c>
      <c r="AJ116" s="16">
        <v>0</v>
      </c>
      <c r="AK116" s="421">
        <v>0</v>
      </c>
      <c r="AL116" s="16">
        <v>0</v>
      </c>
      <c r="AM116" s="16">
        <v>0</v>
      </c>
      <c r="AN116" s="16">
        <v>0</v>
      </c>
      <c r="AO116" s="421">
        <f t="shared" si="282"/>
        <v>0</v>
      </c>
      <c r="AP116" s="16">
        <v>0</v>
      </c>
      <c r="AQ116" s="421">
        <f t="shared" si="196"/>
        <v>0</v>
      </c>
      <c r="AR116" s="421">
        <f t="shared" si="197"/>
        <v>3943336</v>
      </c>
      <c r="AS116" s="421">
        <f t="shared" si="198"/>
        <v>0</v>
      </c>
      <c r="AT116" s="421">
        <f t="shared" si="199"/>
        <v>3943336</v>
      </c>
      <c r="AU116" s="68">
        <f t="shared" si="284"/>
        <v>1332848</v>
      </c>
      <c r="AV116" s="68">
        <f t="shared" si="201"/>
        <v>39433</v>
      </c>
      <c r="AW116" s="16">
        <v>9250</v>
      </c>
      <c r="AX116" s="16">
        <v>0</v>
      </c>
      <c r="AY116" s="421">
        <f t="shared" si="202"/>
        <v>9250</v>
      </c>
      <c r="AZ116" s="421">
        <f t="shared" si="203"/>
        <v>5324867</v>
      </c>
      <c r="BA116" s="13">
        <v>0</v>
      </c>
      <c r="BB116" s="13">
        <v>0</v>
      </c>
      <c r="BC116" s="13">
        <f>10.38+0.04</f>
        <v>10.42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 t="shared" si="285"/>
        <v>10.42</v>
      </c>
      <c r="BL116" s="422">
        <f t="shared" si="286"/>
        <v>0</v>
      </c>
      <c r="BM116" s="424">
        <f t="shared" si="287"/>
        <v>10.42</v>
      </c>
      <c r="BN116" s="427">
        <f t="shared" si="207"/>
        <v>5324867</v>
      </c>
      <c r="BO116" s="421">
        <f t="shared" si="208"/>
        <v>3943336</v>
      </c>
      <c r="BP116" s="421">
        <f t="shared" si="288"/>
        <v>3943336</v>
      </c>
      <c r="BQ116" s="421">
        <f t="shared" si="288"/>
        <v>0</v>
      </c>
      <c r="BR116" s="421">
        <f t="shared" si="289"/>
        <v>0</v>
      </c>
      <c r="BS116" s="421">
        <f t="shared" si="290"/>
        <v>0</v>
      </c>
      <c r="BT116" s="421">
        <f t="shared" si="290"/>
        <v>0</v>
      </c>
      <c r="BU116" s="421">
        <f t="shared" si="291"/>
        <v>1332848</v>
      </c>
      <c r="BV116" s="421">
        <f t="shared" si="291"/>
        <v>39433</v>
      </c>
      <c r="BW116" s="421">
        <f t="shared" si="292"/>
        <v>9250</v>
      </c>
      <c r="BX116" s="422">
        <f t="shared" si="293"/>
        <v>10.42</v>
      </c>
      <c r="BY116" s="422">
        <f t="shared" si="294"/>
        <v>10.42</v>
      </c>
      <c r="BZ116" s="611">
        <f t="shared" si="294"/>
        <v>0</v>
      </c>
      <c r="CA116" s="423"/>
      <c r="CB116" s="418"/>
      <c r="CC116" s="418"/>
      <c r="CD116" s="418"/>
      <c r="CE116" s="418"/>
      <c r="CF116" s="527"/>
    </row>
    <row r="117" spans="1:84" s="96" customFormat="1" ht="14.1" customHeight="1" x14ac:dyDescent="0.2">
      <c r="A117" s="118">
        <v>19</v>
      </c>
      <c r="B117" s="77">
        <v>2497</v>
      </c>
      <c r="C117" s="93">
        <v>600080064</v>
      </c>
      <c r="D117" s="77">
        <v>72744189</v>
      </c>
      <c r="E117" s="77" t="s">
        <v>743</v>
      </c>
      <c r="F117" s="94">
        <v>3141</v>
      </c>
      <c r="G117" s="77" t="s">
        <v>295</v>
      </c>
      <c r="H117" s="95" t="s">
        <v>272</v>
      </c>
      <c r="I117" s="669">
        <f t="shared" si="185"/>
        <v>1644849</v>
      </c>
      <c r="J117" s="668">
        <f t="shared" si="186"/>
        <v>1211633</v>
      </c>
      <c r="K117" s="668">
        <v>0</v>
      </c>
      <c r="L117" s="674">
        <v>1211633</v>
      </c>
      <c r="M117" s="668">
        <f t="shared" si="280"/>
        <v>0</v>
      </c>
      <c r="N117" s="668">
        <v>0</v>
      </c>
      <c r="O117" s="668">
        <v>0</v>
      </c>
      <c r="P117" s="668">
        <f t="shared" si="187"/>
        <v>409532</v>
      </c>
      <c r="Q117" s="668">
        <f t="shared" si="188"/>
        <v>12116</v>
      </c>
      <c r="R117" s="668">
        <v>11568</v>
      </c>
      <c r="S117" s="420">
        <f t="shared" si="189"/>
        <v>3.6332999999999998</v>
      </c>
      <c r="T117" s="420">
        <v>0</v>
      </c>
      <c r="U117" s="946">
        <v>3.6332999999999998</v>
      </c>
      <c r="V117" s="428">
        <f t="shared" si="281"/>
        <v>0</v>
      </c>
      <c r="W117" s="421">
        <f t="shared" si="281"/>
        <v>-16000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 t="shared" si="191"/>
        <v>0</v>
      </c>
      <c r="AG117" s="421">
        <f t="shared" si="192"/>
        <v>-16000</v>
      </c>
      <c r="AH117" s="421">
        <f t="shared" si="193"/>
        <v>-16000</v>
      </c>
      <c r="AI117" s="421">
        <v>0</v>
      </c>
      <c r="AJ117" s="421">
        <v>16000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282"/>
        <v>0</v>
      </c>
      <c r="AP117" s="421">
        <f t="shared" si="283"/>
        <v>16000</v>
      </c>
      <c r="AQ117" s="421">
        <f t="shared" si="196"/>
        <v>16000</v>
      </c>
      <c r="AR117" s="421">
        <f t="shared" si="197"/>
        <v>0</v>
      </c>
      <c r="AS117" s="421">
        <f t="shared" si="198"/>
        <v>0</v>
      </c>
      <c r="AT117" s="421">
        <f t="shared" si="199"/>
        <v>0</v>
      </c>
      <c r="AU117" s="68">
        <f t="shared" si="284"/>
        <v>0</v>
      </c>
      <c r="AV117" s="68">
        <f t="shared" si="201"/>
        <v>-160</v>
      </c>
      <c r="AW117" s="421">
        <v>0</v>
      </c>
      <c r="AX117" s="421">
        <v>0</v>
      </c>
      <c r="AY117" s="421">
        <f t="shared" si="202"/>
        <v>0</v>
      </c>
      <c r="AZ117" s="421">
        <f t="shared" si="203"/>
        <v>-160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 t="shared" si="285"/>
        <v>0</v>
      </c>
      <c r="BL117" s="422">
        <f t="shared" si="286"/>
        <v>0</v>
      </c>
      <c r="BM117" s="424">
        <f t="shared" si="287"/>
        <v>0</v>
      </c>
      <c r="BN117" s="427">
        <f t="shared" si="207"/>
        <v>1644689</v>
      </c>
      <c r="BO117" s="421">
        <f t="shared" si="208"/>
        <v>1195633</v>
      </c>
      <c r="BP117" s="421">
        <f t="shared" si="288"/>
        <v>0</v>
      </c>
      <c r="BQ117" s="421">
        <f t="shared" si="288"/>
        <v>1195633</v>
      </c>
      <c r="BR117" s="421">
        <f t="shared" si="289"/>
        <v>16000</v>
      </c>
      <c r="BS117" s="421">
        <f t="shared" si="290"/>
        <v>0</v>
      </c>
      <c r="BT117" s="421">
        <f t="shared" si="290"/>
        <v>16000</v>
      </c>
      <c r="BU117" s="421">
        <f t="shared" si="291"/>
        <v>409532</v>
      </c>
      <c r="BV117" s="421">
        <f t="shared" si="291"/>
        <v>11956</v>
      </c>
      <c r="BW117" s="421">
        <f t="shared" si="292"/>
        <v>11568</v>
      </c>
      <c r="BX117" s="422">
        <f t="shared" si="293"/>
        <v>3.6332999999999998</v>
      </c>
      <c r="BY117" s="422">
        <f t="shared" si="294"/>
        <v>0</v>
      </c>
      <c r="BZ117" s="611">
        <f t="shared" si="294"/>
        <v>3.6332999999999998</v>
      </c>
      <c r="CA117" s="423"/>
      <c r="CB117" s="418"/>
      <c r="CC117" s="418"/>
      <c r="CD117" s="418"/>
      <c r="CE117" s="418"/>
      <c r="CF117" s="527"/>
    </row>
    <row r="118" spans="1:84" s="96" customFormat="1" ht="14.1" customHeight="1" x14ac:dyDescent="0.2">
      <c r="A118" s="118">
        <v>19</v>
      </c>
      <c r="B118" s="77">
        <v>2497</v>
      </c>
      <c r="C118" s="93">
        <v>600080064</v>
      </c>
      <c r="D118" s="77">
        <v>72744189</v>
      </c>
      <c r="E118" s="77" t="s">
        <v>743</v>
      </c>
      <c r="F118" s="94">
        <v>3143</v>
      </c>
      <c r="G118" s="77" t="s">
        <v>596</v>
      </c>
      <c r="H118" s="95" t="s">
        <v>271</v>
      </c>
      <c r="I118" s="669">
        <f t="shared" si="185"/>
        <v>1084753</v>
      </c>
      <c r="J118" s="668">
        <f t="shared" si="186"/>
        <v>804713</v>
      </c>
      <c r="K118" s="668">
        <v>804713</v>
      </c>
      <c r="L118" s="668">
        <v>0</v>
      </c>
      <c r="M118" s="668">
        <f t="shared" si="280"/>
        <v>0</v>
      </c>
      <c r="N118" s="668">
        <v>0</v>
      </c>
      <c r="O118" s="668">
        <v>0</v>
      </c>
      <c r="P118" s="668">
        <f t="shared" si="187"/>
        <v>271993</v>
      </c>
      <c r="Q118" s="668">
        <f t="shared" si="188"/>
        <v>8047</v>
      </c>
      <c r="R118" s="668">
        <v>0</v>
      </c>
      <c r="S118" s="420">
        <f t="shared" si="189"/>
        <v>1.76</v>
      </c>
      <c r="T118" s="420">
        <v>1.76</v>
      </c>
      <c r="U118" s="946">
        <v>0</v>
      </c>
      <c r="V118" s="428">
        <f t="shared" si="281"/>
        <v>-16000</v>
      </c>
      <c r="W118" s="421">
        <f t="shared" si="281"/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f t="shared" si="191"/>
        <v>-16000</v>
      </c>
      <c r="AG118" s="421">
        <f t="shared" si="192"/>
        <v>0</v>
      </c>
      <c r="AH118" s="421">
        <f t="shared" si="193"/>
        <v>-16000</v>
      </c>
      <c r="AI118" s="421">
        <v>16000</v>
      </c>
      <c r="AJ118" s="421">
        <v>0</v>
      </c>
      <c r="AK118" s="421">
        <v>0</v>
      </c>
      <c r="AL118" s="421">
        <v>0</v>
      </c>
      <c r="AM118" s="421">
        <v>0</v>
      </c>
      <c r="AN118" s="421">
        <v>0</v>
      </c>
      <c r="AO118" s="421">
        <f t="shared" si="282"/>
        <v>16000</v>
      </c>
      <c r="AP118" s="421">
        <f t="shared" si="283"/>
        <v>0</v>
      </c>
      <c r="AQ118" s="421">
        <f t="shared" si="196"/>
        <v>16000</v>
      </c>
      <c r="AR118" s="421">
        <f t="shared" si="197"/>
        <v>0</v>
      </c>
      <c r="AS118" s="421">
        <f t="shared" si="198"/>
        <v>0</v>
      </c>
      <c r="AT118" s="421">
        <f t="shared" si="199"/>
        <v>0</v>
      </c>
      <c r="AU118" s="68">
        <f t="shared" si="284"/>
        <v>0</v>
      </c>
      <c r="AV118" s="68">
        <f t="shared" si="201"/>
        <v>-160</v>
      </c>
      <c r="AW118" s="421">
        <v>0</v>
      </c>
      <c r="AX118" s="421">
        <v>0</v>
      </c>
      <c r="AY118" s="421">
        <f t="shared" si="202"/>
        <v>0</v>
      </c>
      <c r="AZ118" s="421">
        <f t="shared" si="203"/>
        <v>-160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 t="shared" si="285"/>
        <v>0</v>
      </c>
      <c r="BL118" s="422">
        <f t="shared" si="286"/>
        <v>0</v>
      </c>
      <c r="BM118" s="424">
        <f t="shared" si="287"/>
        <v>0</v>
      </c>
      <c r="BN118" s="427">
        <f t="shared" si="207"/>
        <v>1084593</v>
      </c>
      <c r="BO118" s="421">
        <f t="shared" si="208"/>
        <v>788713</v>
      </c>
      <c r="BP118" s="421">
        <f t="shared" si="288"/>
        <v>788713</v>
      </c>
      <c r="BQ118" s="421">
        <f t="shared" si="288"/>
        <v>0</v>
      </c>
      <c r="BR118" s="421">
        <f t="shared" si="289"/>
        <v>16000</v>
      </c>
      <c r="BS118" s="421">
        <f t="shared" si="290"/>
        <v>16000</v>
      </c>
      <c r="BT118" s="421">
        <f t="shared" si="290"/>
        <v>0</v>
      </c>
      <c r="BU118" s="421">
        <f t="shared" si="291"/>
        <v>271993</v>
      </c>
      <c r="BV118" s="421">
        <f t="shared" si="291"/>
        <v>7887</v>
      </c>
      <c r="BW118" s="421">
        <f t="shared" si="292"/>
        <v>0</v>
      </c>
      <c r="BX118" s="422">
        <f t="shared" si="293"/>
        <v>1.76</v>
      </c>
      <c r="BY118" s="422">
        <f t="shared" si="294"/>
        <v>1.76</v>
      </c>
      <c r="BZ118" s="611">
        <f t="shared" si="294"/>
        <v>0</v>
      </c>
      <c r="CA118" s="423"/>
      <c r="CB118" s="418"/>
      <c r="CC118" s="418"/>
      <c r="CD118" s="418"/>
      <c r="CE118" s="418"/>
      <c r="CF118" s="527"/>
    </row>
    <row r="119" spans="1:84" s="96" customFormat="1" ht="14.1" customHeight="1" x14ac:dyDescent="0.2">
      <c r="A119" s="118">
        <v>19</v>
      </c>
      <c r="B119" s="77">
        <v>2497</v>
      </c>
      <c r="C119" s="93">
        <v>600080064</v>
      </c>
      <c r="D119" s="77">
        <v>72744189</v>
      </c>
      <c r="E119" s="77" t="s">
        <v>743</v>
      </c>
      <c r="F119" s="94">
        <v>3143</v>
      </c>
      <c r="G119" s="77" t="s">
        <v>597</v>
      </c>
      <c r="H119" s="95" t="s">
        <v>272</v>
      </c>
      <c r="I119" s="669">
        <f t="shared" si="185"/>
        <v>29727</v>
      </c>
      <c r="J119" s="668">
        <f t="shared" si="186"/>
        <v>21278</v>
      </c>
      <c r="K119" s="668">
        <v>0</v>
      </c>
      <c r="L119" s="674">
        <v>21278</v>
      </c>
      <c r="M119" s="668">
        <f t="shared" si="280"/>
        <v>0</v>
      </c>
      <c r="N119" s="674">
        <v>0</v>
      </c>
      <c r="O119" s="674">
        <v>0</v>
      </c>
      <c r="P119" s="668">
        <f t="shared" si="187"/>
        <v>7192</v>
      </c>
      <c r="Q119" s="668">
        <f t="shared" si="188"/>
        <v>213</v>
      </c>
      <c r="R119" s="675">
        <v>1044</v>
      </c>
      <c r="S119" s="420">
        <f t="shared" si="189"/>
        <v>8.0600000000000005E-2</v>
      </c>
      <c r="T119" s="676">
        <v>0</v>
      </c>
      <c r="U119" s="909">
        <v>8.0600000000000005E-2</v>
      </c>
      <c r="V119" s="428">
        <f t="shared" si="281"/>
        <v>0</v>
      </c>
      <c r="W119" s="421">
        <f t="shared" si="281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 t="shared" si="191"/>
        <v>0</v>
      </c>
      <c r="AG119" s="421">
        <f t="shared" si="192"/>
        <v>0</v>
      </c>
      <c r="AH119" s="421">
        <f t="shared" si="193"/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si="282"/>
        <v>0</v>
      </c>
      <c r="AP119" s="421">
        <f t="shared" si="283"/>
        <v>0</v>
      </c>
      <c r="AQ119" s="421">
        <f t="shared" si="196"/>
        <v>0</v>
      </c>
      <c r="AR119" s="421">
        <f t="shared" si="197"/>
        <v>0</v>
      </c>
      <c r="AS119" s="421">
        <f t="shared" si="198"/>
        <v>0</v>
      </c>
      <c r="AT119" s="421">
        <f t="shared" si="199"/>
        <v>0</v>
      </c>
      <c r="AU119" s="68">
        <f t="shared" si="284"/>
        <v>0</v>
      </c>
      <c r="AV119" s="68">
        <f t="shared" si="201"/>
        <v>0</v>
      </c>
      <c r="AW119" s="421">
        <v>0</v>
      </c>
      <c r="AX119" s="421">
        <v>0</v>
      </c>
      <c r="AY119" s="421">
        <f t="shared" si="202"/>
        <v>0</v>
      </c>
      <c r="AZ119" s="421">
        <f t="shared" si="203"/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 t="shared" si="285"/>
        <v>0</v>
      </c>
      <c r="BL119" s="422">
        <f t="shared" si="286"/>
        <v>0</v>
      </c>
      <c r="BM119" s="424">
        <f t="shared" si="287"/>
        <v>0</v>
      </c>
      <c r="BN119" s="427">
        <f t="shared" si="207"/>
        <v>29727</v>
      </c>
      <c r="BO119" s="421">
        <f t="shared" si="208"/>
        <v>21278</v>
      </c>
      <c r="BP119" s="421">
        <f t="shared" si="288"/>
        <v>0</v>
      </c>
      <c r="BQ119" s="421">
        <f t="shared" si="288"/>
        <v>21278</v>
      </c>
      <c r="BR119" s="421">
        <f t="shared" si="289"/>
        <v>0</v>
      </c>
      <c r="BS119" s="421">
        <f t="shared" si="290"/>
        <v>0</v>
      </c>
      <c r="BT119" s="421">
        <f t="shared" si="290"/>
        <v>0</v>
      </c>
      <c r="BU119" s="421">
        <f t="shared" si="291"/>
        <v>7192</v>
      </c>
      <c r="BV119" s="421">
        <f t="shared" si="291"/>
        <v>213</v>
      </c>
      <c r="BW119" s="421">
        <f t="shared" si="292"/>
        <v>1044</v>
      </c>
      <c r="BX119" s="422">
        <f t="shared" si="293"/>
        <v>8.0600000000000005E-2</v>
      </c>
      <c r="BY119" s="422">
        <f t="shared" si="294"/>
        <v>0</v>
      </c>
      <c r="BZ119" s="611">
        <f t="shared" si="294"/>
        <v>8.0600000000000005E-2</v>
      </c>
      <c r="CA119" s="423"/>
      <c r="CB119" s="418"/>
      <c r="CC119" s="418"/>
      <c r="CD119" s="418"/>
      <c r="CE119" s="418"/>
      <c r="CF119" s="527"/>
    </row>
    <row r="120" spans="1:84" s="96" customFormat="1" ht="14.1" customHeight="1" x14ac:dyDescent="0.2">
      <c r="A120" s="118">
        <v>19</v>
      </c>
      <c r="B120" s="77">
        <v>2497</v>
      </c>
      <c r="C120" s="93">
        <v>600080064</v>
      </c>
      <c r="D120" s="77">
        <v>72744189</v>
      </c>
      <c r="E120" s="77" t="s">
        <v>743</v>
      </c>
      <c r="F120" s="94">
        <v>3143</v>
      </c>
      <c r="G120" s="77" t="s">
        <v>297</v>
      </c>
      <c r="H120" s="95" t="s">
        <v>272</v>
      </c>
      <c r="I120" s="669">
        <f t="shared" si="185"/>
        <v>411702</v>
      </c>
      <c r="J120" s="668">
        <f t="shared" si="186"/>
        <v>305123</v>
      </c>
      <c r="K120" s="668">
        <v>293032</v>
      </c>
      <c r="L120" s="668">
        <v>12091</v>
      </c>
      <c r="M120" s="668">
        <f t="shared" si="280"/>
        <v>0</v>
      </c>
      <c r="N120" s="668">
        <v>0</v>
      </c>
      <c r="O120" s="668">
        <v>0</v>
      </c>
      <c r="P120" s="668">
        <f t="shared" si="187"/>
        <v>103132</v>
      </c>
      <c r="Q120" s="668">
        <f t="shared" si="188"/>
        <v>3051</v>
      </c>
      <c r="R120" s="668">
        <v>396</v>
      </c>
      <c r="S120" s="420">
        <f t="shared" si="189"/>
        <v>0.63</v>
      </c>
      <c r="T120" s="420">
        <v>0.57999999999999996</v>
      </c>
      <c r="U120" s="946">
        <v>0.05</v>
      </c>
      <c r="V120" s="428">
        <f t="shared" si="281"/>
        <v>-6400</v>
      </c>
      <c r="W120" s="421">
        <f t="shared" si="281"/>
        <v>0</v>
      </c>
      <c r="X120" s="421">
        <v>0</v>
      </c>
      <c r="Y120" s="421">
        <v>0</v>
      </c>
      <c r="Z120" s="421">
        <v>0</v>
      </c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f t="shared" si="191"/>
        <v>-6400</v>
      </c>
      <c r="AG120" s="421">
        <f t="shared" si="192"/>
        <v>0</v>
      </c>
      <c r="AH120" s="421">
        <f t="shared" si="193"/>
        <v>-6400</v>
      </c>
      <c r="AI120" s="421">
        <v>6400</v>
      </c>
      <c r="AJ120" s="421">
        <v>0</v>
      </c>
      <c r="AK120" s="421">
        <v>0</v>
      </c>
      <c r="AL120" s="421">
        <v>0</v>
      </c>
      <c r="AM120" s="421">
        <v>0</v>
      </c>
      <c r="AN120" s="421">
        <v>0</v>
      </c>
      <c r="AO120" s="421">
        <f t="shared" si="282"/>
        <v>6400</v>
      </c>
      <c r="AP120" s="421">
        <f t="shared" si="283"/>
        <v>0</v>
      </c>
      <c r="AQ120" s="421">
        <f t="shared" si="196"/>
        <v>6400</v>
      </c>
      <c r="AR120" s="421">
        <f t="shared" si="197"/>
        <v>0</v>
      </c>
      <c r="AS120" s="421">
        <f t="shared" si="198"/>
        <v>0</v>
      </c>
      <c r="AT120" s="421">
        <f t="shared" si="199"/>
        <v>0</v>
      </c>
      <c r="AU120" s="68">
        <f t="shared" si="284"/>
        <v>0</v>
      </c>
      <c r="AV120" s="68">
        <f t="shared" si="201"/>
        <v>-64</v>
      </c>
      <c r="AW120" s="421">
        <v>0</v>
      </c>
      <c r="AX120" s="421">
        <v>0</v>
      </c>
      <c r="AY120" s="421">
        <f t="shared" si="202"/>
        <v>0</v>
      </c>
      <c r="AZ120" s="421">
        <f t="shared" si="203"/>
        <v>-64</v>
      </c>
      <c r="BA120" s="422">
        <v>0</v>
      </c>
      <c r="BB120" s="422">
        <v>0</v>
      </c>
      <c r="BC120" s="422">
        <v>0</v>
      </c>
      <c r="BD120" s="422">
        <v>0</v>
      </c>
      <c r="BE120" s="422">
        <v>0</v>
      </c>
      <c r="BF120" s="422">
        <v>0</v>
      </c>
      <c r="BG120" s="422">
        <v>0</v>
      </c>
      <c r="BH120" s="422">
        <v>0</v>
      </c>
      <c r="BI120" s="422">
        <v>0</v>
      </c>
      <c r="BJ120" s="422">
        <v>0</v>
      </c>
      <c r="BK120" s="422">
        <f t="shared" si="285"/>
        <v>0</v>
      </c>
      <c r="BL120" s="422">
        <f t="shared" si="286"/>
        <v>0</v>
      </c>
      <c r="BM120" s="424">
        <f t="shared" si="287"/>
        <v>0</v>
      </c>
      <c r="BN120" s="427">
        <f t="shared" si="207"/>
        <v>411638</v>
      </c>
      <c r="BO120" s="421">
        <f t="shared" si="208"/>
        <v>298723</v>
      </c>
      <c r="BP120" s="421">
        <f t="shared" si="288"/>
        <v>286632</v>
      </c>
      <c r="BQ120" s="421">
        <f t="shared" si="288"/>
        <v>12091</v>
      </c>
      <c r="BR120" s="421">
        <f t="shared" si="289"/>
        <v>6400</v>
      </c>
      <c r="BS120" s="421">
        <f t="shared" si="290"/>
        <v>6400</v>
      </c>
      <c r="BT120" s="421">
        <f t="shared" si="290"/>
        <v>0</v>
      </c>
      <c r="BU120" s="421">
        <f t="shared" si="291"/>
        <v>103132</v>
      </c>
      <c r="BV120" s="421">
        <f t="shared" si="291"/>
        <v>2987</v>
      </c>
      <c r="BW120" s="421">
        <f t="shared" si="292"/>
        <v>396</v>
      </c>
      <c r="BX120" s="422">
        <f t="shared" si="293"/>
        <v>0.63</v>
      </c>
      <c r="BY120" s="422">
        <f t="shared" si="294"/>
        <v>0.57999999999999996</v>
      </c>
      <c r="BZ120" s="611">
        <f t="shared" si="294"/>
        <v>0.05</v>
      </c>
      <c r="CA120" s="423"/>
      <c r="CB120" s="418"/>
      <c r="CC120" s="418"/>
      <c r="CD120" s="418"/>
      <c r="CE120" s="418"/>
      <c r="CF120" s="527"/>
    </row>
    <row r="121" spans="1:84" s="96" customFormat="1" ht="14.1" customHeight="1" x14ac:dyDescent="0.2">
      <c r="A121" s="119">
        <v>19</v>
      </c>
      <c r="B121" s="97">
        <v>2497</v>
      </c>
      <c r="C121" s="98">
        <v>600080064</v>
      </c>
      <c r="D121" s="97">
        <v>72744189</v>
      </c>
      <c r="E121" s="97" t="s">
        <v>744</v>
      </c>
      <c r="F121" s="99"/>
      <c r="G121" s="100"/>
      <c r="H121" s="101"/>
      <c r="I121" s="442">
        <f t="shared" ref="I121:U121" si="295">SUM(I113:I120)</f>
        <v>32770892</v>
      </c>
      <c r="J121" s="438">
        <f t="shared" si="295"/>
        <v>24099632</v>
      </c>
      <c r="K121" s="438">
        <f t="shared" si="295"/>
        <v>21181447</v>
      </c>
      <c r="L121" s="438">
        <f t="shared" si="295"/>
        <v>2918185</v>
      </c>
      <c r="M121" s="438">
        <f t="shared" si="295"/>
        <v>0</v>
      </c>
      <c r="N121" s="438">
        <f t="shared" si="295"/>
        <v>0</v>
      </c>
      <c r="O121" s="438">
        <f t="shared" si="295"/>
        <v>0</v>
      </c>
      <c r="P121" s="438">
        <f t="shared" si="295"/>
        <v>8145676</v>
      </c>
      <c r="Q121" s="438">
        <f t="shared" si="295"/>
        <v>240996</v>
      </c>
      <c r="R121" s="438">
        <f t="shared" si="295"/>
        <v>284588</v>
      </c>
      <c r="S121" s="439">
        <f t="shared" si="295"/>
        <v>43.070099999999996</v>
      </c>
      <c r="T121" s="439">
        <f t="shared" si="295"/>
        <v>34.052899999999994</v>
      </c>
      <c r="U121" s="814">
        <f t="shared" si="295"/>
        <v>9.0172000000000008</v>
      </c>
      <c r="V121" s="442">
        <f t="shared" ref="V121:CF121" si="296">SUM(V113:V120)</f>
        <v>-144000</v>
      </c>
      <c r="W121" s="438">
        <f t="shared" si="296"/>
        <v>-22400</v>
      </c>
      <c r="X121" s="438">
        <f t="shared" si="296"/>
        <v>3943336</v>
      </c>
      <c r="Y121" s="438">
        <f t="shared" si="296"/>
        <v>0</v>
      </c>
      <c r="Z121" s="438">
        <f t="shared" si="296"/>
        <v>0</v>
      </c>
      <c r="AA121" s="438">
        <f t="shared" si="296"/>
        <v>0</v>
      </c>
      <c r="AB121" s="438">
        <f t="shared" si="296"/>
        <v>282000</v>
      </c>
      <c r="AC121" s="438">
        <f t="shared" si="296"/>
        <v>0</v>
      </c>
      <c r="AD121" s="438">
        <f t="shared" si="296"/>
        <v>0</v>
      </c>
      <c r="AE121" s="438">
        <f t="shared" si="296"/>
        <v>0</v>
      </c>
      <c r="AF121" s="438">
        <f t="shared" si="296"/>
        <v>4081336</v>
      </c>
      <c r="AG121" s="438">
        <f t="shared" si="296"/>
        <v>-22400</v>
      </c>
      <c r="AH121" s="438">
        <f t="shared" si="296"/>
        <v>4058936</v>
      </c>
      <c r="AI121" s="438">
        <f t="shared" si="296"/>
        <v>144000</v>
      </c>
      <c r="AJ121" s="438">
        <f t="shared" si="296"/>
        <v>22400</v>
      </c>
      <c r="AK121" s="438">
        <f t="shared" si="296"/>
        <v>0</v>
      </c>
      <c r="AL121" s="438">
        <f t="shared" si="296"/>
        <v>0</v>
      </c>
      <c r="AM121" s="438">
        <f t="shared" si="296"/>
        <v>0</v>
      </c>
      <c r="AN121" s="438">
        <f t="shared" si="296"/>
        <v>0</v>
      </c>
      <c r="AO121" s="438">
        <f t="shared" si="296"/>
        <v>144000</v>
      </c>
      <c r="AP121" s="438">
        <f t="shared" si="296"/>
        <v>22400</v>
      </c>
      <c r="AQ121" s="438">
        <f t="shared" si="296"/>
        <v>166400</v>
      </c>
      <c r="AR121" s="438">
        <f t="shared" si="296"/>
        <v>4225336</v>
      </c>
      <c r="AS121" s="438">
        <f t="shared" si="296"/>
        <v>0</v>
      </c>
      <c r="AT121" s="438">
        <f t="shared" si="296"/>
        <v>4225336</v>
      </c>
      <c r="AU121" s="438">
        <f t="shared" si="296"/>
        <v>1428164</v>
      </c>
      <c r="AV121" s="438">
        <f t="shared" si="296"/>
        <v>40589</v>
      </c>
      <c r="AW121" s="438">
        <f t="shared" si="296"/>
        <v>9250</v>
      </c>
      <c r="AX121" s="438">
        <f t="shared" si="296"/>
        <v>0</v>
      </c>
      <c r="AY121" s="438">
        <f t="shared" si="296"/>
        <v>9250</v>
      </c>
      <c r="AZ121" s="438">
        <f t="shared" si="296"/>
        <v>5703339</v>
      </c>
      <c r="BA121" s="439">
        <f t="shared" si="296"/>
        <v>-0.08</v>
      </c>
      <c r="BB121" s="439">
        <f t="shared" si="296"/>
        <v>0</v>
      </c>
      <c r="BC121" s="439">
        <f t="shared" si="296"/>
        <v>10.42</v>
      </c>
      <c r="BD121" s="439">
        <f t="shared" si="296"/>
        <v>0.5</v>
      </c>
      <c r="BE121" s="439">
        <f t="shared" si="296"/>
        <v>0</v>
      </c>
      <c r="BF121" s="439">
        <f t="shared" si="296"/>
        <v>0</v>
      </c>
      <c r="BG121" s="439">
        <f t="shared" si="296"/>
        <v>0</v>
      </c>
      <c r="BH121" s="439">
        <f t="shared" si="296"/>
        <v>0</v>
      </c>
      <c r="BI121" s="439">
        <f t="shared" si="296"/>
        <v>0</v>
      </c>
      <c r="BJ121" s="439">
        <f t="shared" si="296"/>
        <v>0</v>
      </c>
      <c r="BK121" s="439">
        <f t="shared" si="296"/>
        <v>10.84</v>
      </c>
      <c r="BL121" s="439">
        <f t="shared" si="296"/>
        <v>0</v>
      </c>
      <c r="BM121" s="103">
        <f t="shared" si="296"/>
        <v>10.84</v>
      </c>
      <c r="BN121" s="444">
        <f t="shared" si="296"/>
        <v>38474231</v>
      </c>
      <c r="BO121" s="438">
        <f t="shared" si="296"/>
        <v>28158568</v>
      </c>
      <c r="BP121" s="438">
        <f t="shared" si="296"/>
        <v>25262783</v>
      </c>
      <c r="BQ121" s="438">
        <f t="shared" si="296"/>
        <v>2895785</v>
      </c>
      <c r="BR121" s="438">
        <f t="shared" si="296"/>
        <v>166400</v>
      </c>
      <c r="BS121" s="438">
        <f t="shared" si="296"/>
        <v>144000</v>
      </c>
      <c r="BT121" s="438">
        <f t="shared" si="296"/>
        <v>22400</v>
      </c>
      <c r="BU121" s="438">
        <f t="shared" si="296"/>
        <v>9573840</v>
      </c>
      <c r="BV121" s="438">
        <f t="shared" si="296"/>
        <v>281585</v>
      </c>
      <c r="BW121" s="438">
        <f t="shared" si="296"/>
        <v>293838</v>
      </c>
      <c r="BX121" s="439">
        <f t="shared" si="296"/>
        <v>53.9101</v>
      </c>
      <c r="BY121" s="439">
        <f t="shared" si="296"/>
        <v>44.892899999999997</v>
      </c>
      <c r="BZ121" s="814">
        <f t="shared" si="296"/>
        <v>9.0172000000000008</v>
      </c>
      <c r="CA121" s="819">
        <f t="shared" si="296"/>
        <v>380136</v>
      </c>
      <c r="CB121" s="817">
        <f t="shared" si="296"/>
        <v>282000</v>
      </c>
      <c r="CC121" s="817">
        <f t="shared" si="296"/>
        <v>0</v>
      </c>
      <c r="CD121" s="817">
        <f t="shared" si="296"/>
        <v>95316</v>
      </c>
      <c r="CE121" s="817">
        <f t="shared" si="296"/>
        <v>2820</v>
      </c>
      <c r="CF121" s="802">
        <f t="shared" si="296"/>
        <v>0.5</v>
      </c>
    </row>
    <row r="122" spans="1:84" s="96" customFormat="1" ht="14.1" customHeight="1" x14ac:dyDescent="0.2">
      <c r="A122" s="118">
        <v>20</v>
      </c>
      <c r="B122" s="102">
        <v>2446</v>
      </c>
      <c r="C122" s="93">
        <v>600080129</v>
      </c>
      <c r="D122" s="77">
        <v>72743522</v>
      </c>
      <c r="E122" s="77" t="s">
        <v>745</v>
      </c>
      <c r="F122" s="94">
        <v>3111</v>
      </c>
      <c r="G122" s="77" t="s">
        <v>291</v>
      </c>
      <c r="H122" s="95" t="s">
        <v>271</v>
      </c>
      <c r="I122" s="669">
        <f t="shared" si="185"/>
        <v>3277805</v>
      </c>
      <c r="J122" s="668">
        <f t="shared" si="186"/>
        <v>2423287</v>
      </c>
      <c r="K122" s="668">
        <v>2290151</v>
      </c>
      <c r="L122" s="668">
        <v>133136</v>
      </c>
      <c r="M122" s="668">
        <f t="shared" ref="M122:M127" si="297">N122+O122</f>
        <v>0</v>
      </c>
      <c r="N122" s="668">
        <v>0</v>
      </c>
      <c r="O122" s="668">
        <v>0</v>
      </c>
      <c r="P122" s="668">
        <f t="shared" si="187"/>
        <v>819071</v>
      </c>
      <c r="Q122" s="668">
        <f t="shared" si="188"/>
        <v>24233</v>
      </c>
      <c r="R122" s="668">
        <v>11214</v>
      </c>
      <c r="S122" s="420">
        <f t="shared" si="189"/>
        <v>4.5334000000000003</v>
      </c>
      <c r="T122" s="420">
        <v>4</v>
      </c>
      <c r="U122" s="946">
        <v>0.53339999999999999</v>
      </c>
      <c r="V122" s="428">
        <f t="shared" ref="V122:W127" si="298">AI122*-1</f>
        <v>-6400</v>
      </c>
      <c r="W122" s="421">
        <f t="shared" si="298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 t="shared" si="191"/>
        <v>-6400</v>
      </c>
      <c r="AG122" s="421">
        <f t="shared" si="192"/>
        <v>0</v>
      </c>
      <c r="AH122" s="421">
        <f t="shared" si="193"/>
        <v>-6400</v>
      </c>
      <c r="AI122" s="421">
        <v>6400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ref="AO122:AO127" si="299">AI122+AK122+AL122+AM122</f>
        <v>6400</v>
      </c>
      <c r="AP122" s="421">
        <f t="shared" ref="AP122:AP127" si="300">AJ122+AN122</f>
        <v>0</v>
      </c>
      <c r="AQ122" s="421">
        <f t="shared" si="196"/>
        <v>6400</v>
      </c>
      <c r="AR122" s="421">
        <f t="shared" si="197"/>
        <v>0</v>
      </c>
      <c r="AS122" s="421">
        <f t="shared" si="198"/>
        <v>0</v>
      </c>
      <c r="AT122" s="421">
        <f t="shared" si="199"/>
        <v>0</v>
      </c>
      <c r="AU122" s="68">
        <f t="shared" ref="AU122:AU127" si="301">ROUND((AH122+AI122+AJ122+AK122+AL122)*33.8%,0)</f>
        <v>0</v>
      </c>
      <c r="AV122" s="68">
        <f t="shared" si="201"/>
        <v>-64</v>
      </c>
      <c r="AW122" s="421">
        <v>0</v>
      </c>
      <c r="AX122" s="421">
        <v>0</v>
      </c>
      <c r="AY122" s="421">
        <f t="shared" si="202"/>
        <v>0</v>
      </c>
      <c r="AZ122" s="421">
        <f t="shared" si="203"/>
        <v>-64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 t="shared" ref="BK122:BK127" si="302">BA122+BC122+BD122+BF122+BH122+BI122</f>
        <v>0</v>
      </c>
      <c r="BL122" s="422">
        <f t="shared" ref="BL122:BL127" si="303">BB122+BE122+BG122+BJ122</f>
        <v>0</v>
      </c>
      <c r="BM122" s="424">
        <f t="shared" ref="BM122:BM127" si="304">SUM(BK122:BL122)</f>
        <v>0</v>
      </c>
      <c r="BN122" s="427">
        <f t="shared" si="207"/>
        <v>3277741</v>
      </c>
      <c r="BO122" s="421">
        <f t="shared" si="208"/>
        <v>2416887</v>
      </c>
      <c r="BP122" s="421">
        <f t="shared" ref="BP122:BQ127" si="305">K122+AF122</f>
        <v>2283751</v>
      </c>
      <c r="BQ122" s="421">
        <f t="shared" si="305"/>
        <v>133136</v>
      </c>
      <c r="BR122" s="421">
        <f t="shared" ref="BR122:BR127" si="306">M122+AQ122</f>
        <v>6400</v>
      </c>
      <c r="BS122" s="421">
        <f t="shared" ref="BS122:BT127" si="307">N122+AO122</f>
        <v>6400</v>
      </c>
      <c r="BT122" s="421">
        <f t="shared" si="307"/>
        <v>0</v>
      </c>
      <c r="BU122" s="421">
        <f t="shared" ref="BU122:BV127" si="308">P122+AU122</f>
        <v>819071</v>
      </c>
      <c r="BV122" s="421">
        <f t="shared" si="308"/>
        <v>24169</v>
      </c>
      <c r="BW122" s="421">
        <f t="shared" ref="BW122:BW127" si="309">R122+AY122</f>
        <v>11214</v>
      </c>
      <c r="BX122" s="422">
        <f t="shared" ref="BX122:BX127" si="310">S122+BM122</f>
        <v>4.5334000000000003</v>
      </c>
      <c r="BY122" s="422">
        <f t="shared" ref="BY122:BZ127" si="311">T122+BK122</f>
        <v>4</v>
      </c>
      <c r="BZ122" s="611">
        <f t="shared" si="311"/>
        <v>0.53339999999999999</v>
      </c>
      <c r="CA122" s="423"/>
      <c r="CB122" s="418"/>
      <c r="CC122" s="418"/>
      <c r="CD122" s="418"/>
      <c r="CE122" s="418"/>
      <c r="CF122" s="527"/>
    </row>
    <row r="123" spans="1:84" s="96" customFormat="1" ht="14.1" customHeight="1" x14ac:dyDescent="0.2">
      <c r="A123" s="118">
        <v>20</v>
      </c>
      <c r="B123" s="104">
        <v>2446</v>
      </c>
      <c r="C123" s="93">
        <v>600080129</v>
      </c>
      <c r="D123" s="77">
        <v>72743522</v>
      </c>
      <c r="E123" s="104" t="s">
        <v>745</v>
      </c>
      <c r="F123" s="105">
        <v>3117</v>
      </c>
      <c r="G123" s="104" t="s">
        <v>309</v>
      </c>
      <c r="H123" s="95" t="s">
        <v>271</v>
      </c>
      <c r="I123" s="669">
        <f t="shared" si="185"/>
        <v>5664623</v>
      </c>
      <c r="J123" s="668">
        <f t="shared" si="186"/>
        <v>4147171</v>
      </c>
      <c r="K123" s="668">
        <v>3629144</v>
      </c>
      <c r="L123" s="668">
        <v>518027</v>
      </c>
      <c r="M123" s="668">
        <f t="shared" si="297"/>
        <v>0</v>
      </c>
      <c r="N123" s="668">
        <v>0</v>
      </c>
      <c r="O123" s="668">
        <v>0</v>
      </c>
      <c r="P123" s="668">
        <f t="shared" si="187"/>
        <v>1401744</v>
      </c>
      <c r="Q123" s="668">
        <f>ROUND(J123*1%,0)-1</f>
        <v>41471</v>
      </c>
      <c r="R123" s="668">
        <v>74237</v>
      </c>
      <c r="S123" s="420">
        <f t="shared" si="189"/>
        <v>7.0446999999999997</v>
      </c>
      <c r="T123" s="420">
        <v>5.6360000000000001</v>
      </c>
      <c r="U123" s="946">
        <v>1.4086999999999998</v>
      </c>
      <c r="V123" s="428">
        <f t="shared" si="298"/>
        <v>-6400</v>
      </c>
      <c r="W123" s="421">
        <f t="shared" si="298"/>
        <v>-6400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f t="shared" si="191"/>
        <v>-6400</v>
      </c>
      <c r="AG123" s="421">
        <f t="shared" si="192"/>
        <v>-6400</v>
      </c>
      <c r="AH123" s="421">
        <f t="shared" si="193"/>
        <v>-12800</v>
      </c>
      <c r="AI123" s="421">
        <v>6400</v>
      </c>
      <c r="AJ123" s="421">
        <v>6400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299"/>
        <v>6400</v>
      </c>
      <c r="AP123" s="421">
        <f t="shared" si="300"/>
        <v>6400</v>
      </c>
      <c r="AQ123" s="421">
        <f t="shared" si="196"/>
        <v>12800</v>
      </c>
      <c r="AR123" s="421">
        <f t="shared" si="197"/>
        <v>0</v>
      </c>
      <c r="AS123" s="421">
        <f t="shared" si="198"/>
        <v>0</v>
      </c>
      <c r="AT123" s="421">
        <f t="shared" si="199"/>
        <v>0</v>
      </c>
      <c r="AU123" s="68">
        <f t="shared" si="301"/>
        <v>0</v>
      </c>
      <c r="AV123" s="68">
        <f t="shared" si="201"/>
        <v>-128</v>
      </c>
      <c r="AW123" s="421">
        <v>0</v>
      </c>
      <c r="AX123" s="421">
        <v>0</v>
      </c>
      <c r="AY123" s="421">
        <f t="shared" si="202"/>
        <v>0</v>
      </c>
      <c r="AZ123" s="421">
        <f t="shared" si="203"/>
        <v>-128</v>
      </c>
      <c r="BA123" s="422">
        <v>0</v>
      </c>
      <c r="BB123" s="422">
        <v>0</v>
      </c>
      <c r="BC123" s="422">
        <v>0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 t="shared" si="302"/>
        <v>0</v>
      </c>
      <c r="BL123" s="422">
        <f t="shared" si="303"/>
        <v>0</v>
      </c>
      <c r="BM123" s="424">
        <f t="shared" si="304"/>
        <v>0</v>
      </c>
      <c r="BN123" s="427">
        <f t="shared" si="207"/>
        <v>5664495</v>
      </c>
      <c r="BO123" s="421">
        <f t="shared" si="208"/>
        <v>4134371</v>
      </c>
      <c r="BP123" s="421">
        <f t="shared" si="305"/>
        <v>3622744</v>
      </c>
      <c r="BQ123" s="421">
        <f t="shared" si="305"/>
        <v>511627</v>
      </c>
      <c r="BR123" s="421">
        <f t="shared" si="306"/>
        <v>12800</v>
      </c>
      <c r="BS123" s="421">
        <f t="shared" si="307"/>
        <v>6400</v>
      </c>
      <c r="BT123" s="421">
        <f t="shared" si="307"/>
        <v>6400</v>
      </c>
      <c r="BU123" s="421">
        <f t="shared" si="308"/>
        <v>1401744</v>
      </c>
      <c r="BV123" s="421">
        <f t="shared" si="308"/>
        <v>41343</v>
      </c>
      <c r="BW123" s="421">
        <f t="shared" si="309"/>
        <v>74237</v>
      </c>
      <c r="BX123" s="422">
        <f t="shared" si="310"/>
        <v>7.0446999999999997</v>
      </c>
      <c r="BY123" s="422">
        <f t="shared" si="311"/>
        <v>5.6360000000000001</v>
      </c>
      <c r="BZ123" s="611">
        <f t="shared" si="311"/>
        <v>1.4086999999999998</v>
      </c>
      <c r="CA123" s="423"/>
      <c r="CB123" s="418"/>
      <c r="CC123" s="418"/>
      <c r="CD123" s="418"/>
      <c r="CE123" s="418"/>
      <c r="CF123" s="527"/>
    </row>
    <row r="124" spans="1:84" s="96" customFormat="1" ht="14.1" customHeight="1" x14ac:dyDescent="0.2">
      <c r="A124" s="118">
        <v>20</v>
      </c>
      <c r="B124" s="102">
        <v>2446</v>
      </c>
      <c r="C124" s="93">
        <v>600080129</v>
      </c>
      <c r="D124" s="77">
        <v>72743522</v>
      </c>
      <c r="E124" s="102" t="s">
        <v>745</v>
      </c>
      <c r="F124" s="94">
        <v>3117</v>
      </c>
      <c r="G124" s="77" t="s">
        <v>292</v>
      </c>
      <c r="H124" s="95" t="s">
        <v>272</v>
      </c>
      <c r="I124" s="669">
        <f t="shared" si="185"/>
        <v>0</v>
      </c>
      <c r="J124" s="668">
        <f t="shared" si="186"/>
        <v>0</v>
      </c>
      <c r="K124" s="668">
        <v>0</v>
      </c>
      <c r="L124" s="668">
        <v>0</v>
      </c>
      <c r="M124" s="668">
        <f t="shared" si="297"/>
        <v>0</v>
      </c>
      <c r="N124" s="668">
        <v>0</v>
      </c>
      <c r="O124" s="668">
        <v>0</v>
      </c>
      <c r="P124" s="668">
        <f t="shared" si="187"/>
        <v>0</v>
      </c>
      <c r="Q124" s="668">
        <f t="shared" si="188"/>
        <v>0</v>
      </c>
      <c r="R124" s="668">
        <v>0</v>
      </c>
      <c r="S124" s="420">
        <f t="shared" si="189"/>
        <v>0</v>
      </c>
      <c r="T124" s="420">
        <v>0</v>
      </c>
      <c r="U124" s="946">
        <v>0</v>
      </c>
      <c r="V124" s="428">
        <f t="shared" si="298"/>
        <v>0</v>
      </c>
      <c r="W124" s="421">
        <f t="shared" si="298"/>
        <v>0</v>
      </c>
      <c r="X124" s="16">
        <v>1349446</v>
      </c>
      <c r="Y124" s="16">
        <v>0</v>
      </c>
      <c r="Z124" s="16">
        <v>0</v>
      </c>
      <c r="AA124" s="16">
        <v>0</v>
      </c>
      <c r="AB124" s="421">
        <v>0</v>
      </c>
      <c r="AC124" s="16">
        <v>0</v>
      </c>
      <c r="AD124" s="16">
        <v>0</v>
      </c>
      <c r="AE124" s="16">
        <v>0</v>
      </c>
      <c r="AF124" s="421">
        <f t="shared" si="191"/>
        <v>1349446</v>
      </c>
      <c r="AG124" s="421">
        <f t="shared" si="192"/>
        <v>0</v>
      </c>
      <c r="AH124" s="421">
        <f t="shared" si="193"/>
        <v>1349446</v>
      </c>
      <c r="AI124" s="16">
        <v>0</v>
      </c>
      <c r="AJ124" s="16">
        <v>0</v>
      </c>
      <c r="AK124" s="421">
        <v>0</v>
      </c>
      <c r="AL124" s="16">
        <v>0</v>
      </c>
      <c r="AM124" s="16">
        <v>0</v>
      </c>
      <c r="AN124" s="16">
        <v>0</v>
      </c>
      <c r="AO124" s="421">
        <f t="shared" si="299"/>
        <v>0</v>
      </c>
      <c r="AP124" s="16">
        <v>0</v>
      </c>
      <c r="AQ124" s="421">
        <f t="shared" si="196"/>
        <v>0</v>
      </c>
      <c r="AR124" s="421">
        <f t="shared" si="197"/>
        <v>1349446</v>
      </c>
      <c r="AS124" s="421">
        <f t="shared" si="198"/>
        <v>0</v>
      </c>
      <c r="AT124" s="421">
        <f t="shared" si="199"/>
        <v>1349446</v>
      </c>
      <c r="AU124" s="68">
        <f t="shared" si="301"/>
        <v>456113</v>
      </c>
      <c r="AV124" s="68">
        <f t="shared" si="201"/>
        <v>13494</v>
      </c>
      <c r="AW124" s="16">
        <v>0</v>
      </c>
      <c r="AX124" s="16">
        <v>0</v>
      </c>
      <c r="AY124" s="421">
        <f t="shared" si="202"/>
        <v>0</v>
      </c>
      <c r="AZ124" s="421">
        <f t="shared" si="203"/>
        <v>1819053</v>
      </c>
      <c r="BA124" s="13">
        <v>0</v>
      </c>
      <c r="BB124" s="13">
        <v>0</v>
      </c>
      <c r="BC124" s="13">
        <v>3.58</v>
      </c>
      <c r="BD124" s="422">
        <v>0</v>
      </c>
      <c r="BE124" s="422">
        <v>0</v>
      </c>
      <c r="BF124" s="422">
        <v>0</v>
      </c>
      <c r="BG124" s="422">
        <v>0</v>
      </c>
      <c r="BH124" s="422">
        <v>0</v>
      </c>
      <c r="BI124" s="422">
        <v>0</v>
      </c>
      <c r="BJ124" s="422">
        <v>0</v>
      </c>
      <c r="BK124" s="422">
        <f t="shared" si="302"/>
        <v>3.58</v>
      </c>
      <c r="BL124" s="422">
        <f t="shared" si="303"/>
        <v>0</v>
      </c>
      <c r="BM124" s="424">
        <f t="shared" si="304"/>
        <v>3.58</v>
      </c>
      <c r="BN124" s="427">
        <f t="shared" si="207"/>
        <v>1819053</v>
      </c>
      <c r="BO124" s="421">
        <f t="shared" si="208"/>
        <v>1349446</v>
      </c>
      <c r="BP124" s="421">
        <f t="shared" si="305"/>
        <v>1349446</v>
      </c>
      <c r="BQ124" s="421">
        <f t="shared" si="305"/>
        <v>0</v>
      </c>
      <c r="BR124" s="421">
        <f t="shared" si="306"/>
        <v>0</v>
      </c>
      <c r="BS124" s="421">
        <f t="shared" si="307"/>
        <v>0</v>
      </c>
      <c r="BT124" s="421">
        <f t="shared" si="307"/>
        <v>0</v>
      </c>
      <c r="BU124" s="421">
        <f t="shared" si="308"/>
        <v>456113</v>
      </c>
      <c r="BV124" s="421">
        <f t="shared" si="308"/>
        <v>13494</v>
      </c>
      <c r="BW124" s="421">
        <f t="shared" si="309"/>
        <v>0</v>
      </c>
      <c r="BX124" s="422">
        <f t="shared" si="310"/>
        <v>3.58</v>
      </c>
      <c r="BY124" s="422">
        <f t="shared" si="311"/>
        <v>3.58</v>
      </c>
      <c r="BZ124" s="611">
        <f t="shared" si="311"/>
        <v>0</v>
      </c>
      <c r="CA124" s="423"/>
      <c r="CB124" s="418"/>
      <c r="CC124" s="418"/>
      <c r="CD124" s="418"/>
      <c r="CE124" s="418"/>
      <c r="CF124" s="527"/>
    </row>
    <row r="125" spans="1:84" s="96" customFormat="1" ht="14.1" customHeight="1" x14ac:dyDescent="0.2">
      <c r="A125" s="118">
        <v>20</v>
      </c>
      <c r="B125" s="102">
        <v>2446</v>
      </c>
      <c r="C125" s="93">
        <v>600080129</v>
      </c>
      <c r="D125" s="77">
        <v>72743522</v>
      </c>
      <c r="E125" s="102" t="s">
        <v>745</v>
      </c>
      <c r="F125" s="94">
        <v>3141</v>
      </c>
      <c r="G125" s="77" t="s">
        <v>295</v>
      </c>
      <c r="H125" s="95" t="s">
        <v>272</v>
      </c>
      <c r="I125" s="669">
        <f t="shared" si="185"/>
        <v>1366967</v>
      </c>
      <c r="J125" s="668">
        <f t="shared" si="186"/>
        <v>1009344</v>
      </c>
      <c r="K125" s="668">
        <v>0</v>
      </c>
      <c r="L125" s="674">
        <v>1009344</v>
      </c>
      <c r="M125" s="668">
        <f t="shared" si="297"/>
        <v>0</v>
      </c>
      <c r="N125" s="668">
        <v>0</v>
      </c>
      <c r="O125" s="668">
        <v>0</v>
      </c>
      <c r="P125" s="668">
        <f t="shared" si="187"/>
        <v>341158</v>
      </c>
      <c r="Q125" s="668">
        <f t="shared" si="188"/>
        <v>10093</v>
      </c>
      <c r="R125" s="668">
        <v>6372</v>
      </c>
      <c r="S125" s="420">
        <f t="shared" si="189"/>
        <v>3.0266999999999999</v>
      </c>
      <c r="T125" s="420">
        <v>0</v>
      </c>
      <c r="U125" s="946">
        <v>3.0266999999999999</v>
      </c>
      <c r="V125" s="428">
        <f t="shared" si="298"/>
        <v>0</v>
      </c>
      <c r="W125" s="421">
        <f t="shared" si="298"/>
        <v>-3200</v>
      </c>
      <c r="X125" s="421">
        <v>0</v>
      </c>
      <c r="Y125" s="421">
        <v>0</v>
      </c>
      <c r="Z125" s="421">
        <v>0</v>
      </c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f t="shared" si="191"/>
        <v>0</v>
      </c>
      <c r="AG125" s="421">
        <f t="shared" si="192"/>
        <v>-3200</v>
      </c>
      <c r="AH125" s="421">
        <f t="shared" si="193"/>
        <v>-3200</v>
      </c>
      <c r="AI125" s="421">
        <v>0</v>
      </c>
      <c r="AJ125" s="421">
        <v>3200</v>
      </c>
      <c r="AK125" s="421">
        <v>0</v>
      </c>
      <c r="AL125" s="421">
        <v>0</v>
      </c>
      <c r="AM125" s="421">
        <v>0</v>
      </c>
      <c r="AN125" s="421">
        <v>0</v>
      </c>
      <c r="AO125" s="421">
        <f t="shared" si="299"/>
        <v>0</v>
      </c>
      <c r="AP125" s="421">
        <f t="shared" si="300"/>
        <v>3200</v>
      </c>
      <c r="AQ125" s="421">
        <f t="shared" si="196"/>
        <v>3200</v>
      </c>
      <c r="AR125" s="421">
        <f t="shared" si="197"/>
        <v>0</v>
      </c>
      <c r="AS125" s="421">
        <f t="shared" si="198"/>
        <v>0</v>
      </c>
      <c r="AT125" s="421">
        <f t="shared" si="199"/>
        <v>0</v>
      </c>
      <c r="AU125" s="68">
        <f t="shared" si="301"/>
        <v>0</v>
      </c>
      <c r="AV125" s="68">
        <f t="shared" si="201"/>
        <v>-32</v>
      </c>
      <c r="AW125" s="421">
        <v>0</v>
      </c>
      <c r="AX125" s="421">
        <v>0</v>
      </c>
      <c r="AY125" s="421">
        <f t="shared" si="202"/>
        <v>0</v>
      </c>
      <c r="AZ125" s="421">
        <f t="shared" si="203"/>
        <v>-32</v>
      </c>
      <c r="BA125" s="422">
        <v>0</v>
      </c>
      <c r="BB125" s="422">
        <v>0</v>
      </c>
      <c r="BC125" s="422">
        <v>0</v>
      </c>
      <c r="BD125" s="422">
        <v>0</v>
      </c>
      <c r="BE125" s="422">
        <v>0</v>
      </c>
      <c r="BF125" s="422">
        <v>0</v>
      </c>
      <c r="BG125" s="422">
        <v>0</v>
      </c>
      <c r="BH125" s="422">
        <v>0</v>
      </c>
      <c r="BI125" s="422">
        <v>0</v>
      </c>
      <c r="BJ125" s="422">
        <v>0</v>
      </c>
      <c r="BK125" s="422">
        <f t="shared" si="302"/>
        <v>0</v>
      </c>
      <c r="BL125" s="422">
        <f t="shared" si="303"/>
        <v>0</v>
      </c>
      <c r="BM125" s="424">
        <f t="shared" si="304"/>
        <v>0</v>
      </c>
      <c r="BN125" s="427">
        <f t="shared" si="207"/>
        <v>1366935</v>
      </c>
      <c r="BO125" s="421">
        <f t="shared" si="208"/>
        <v>1006144</v>
      </c>
      <c r="BP125" s="421">
        <f t="shared" si="305"/>
        <v>0</v>
      </c>
      <c r="BQ125" s="421">
        <f t="shared" si="305"/>
        <v>1006144</v>
      </c>
      <c r="BR125" s="421">
        <f t="shared" si="306"/>
        <v>3200</v>
      </c>
      <c r="BS125" s="421">
        <f t="shared" si="307"/>
        <v>0</v>
      </c>
      <c r="BT125" s="421">
        <f t="shared" si="307"/>
        <v>3200</v>
      </c>
      <c r="BU125" s="421">
        <f t="shared" si="308"/>
        <v>341158</v>
      </c>
      <c r="BV125" s="421">
        <f t="shared" si="308"/>
        <v>10061</v>
      </c>
      <c r="BW125" s="421">
        <f t="shared" si="309"/>
        <v>6372</v>
      </c>
      <c r="BX125" s="422">
        <f t="shared" si="310"/>
        <v>3.0266999999999999</v>
      </c>
      <c r="BY125" s="422">
        <f t="shared" si="311"/>
        <v>0</v>
      </c>
      <c r="BZ125" s="611">
        <f t="shared" si="311"/>
        <v>3.0266999999999999</v>
      </c>
      <c r="CA125" s="423"/>
      <c r="CB125" s="418"/>
      <c r="CC125" s="418"/>
      <c r="CD125" s="418"/>
      <c r="CE125" s="418"/>
      <c r="CF125" s="527"/>
    </row>
    <row r="126" spans="1:84" s="96" customFormat="1" ht="14.1" customHeight="1" x14ac:dyDescent="0.2">
      <c r="A126" s="118">
        <v>20</v>
      </c>
      <c r="B126" s="77">
        <v>2446</v>
      </c>
      <c r="C126" s="93">
        <v>600080129</v>
      </c>
      <c r="D126" s="77">
        <v>72743522</v>
      </c>
      <c r="E126" s="77" t="s">
        <v>745</v>
      </c>
      <c r="F126" s="94">
        <v>3143</v>
      </c>
      <c r="G126" s="77" t="s">
        <v>596</v>
      </c>
      <c r="H126" s="95" t="s">
        <v>271</v>
      </c>
      <c r="I126" s="669">
        <f t="shared" si="185"/>
        <v>917250</v>
      </c>
      <c r="J126" s="668">
        <f t="shared" si="186"/>
        <v>680452</v>
      </c>
      <c r="K126" s="668">
        <v>680452</v>
      </c>
      <c r="L126" s="668">
        <v>0</v>
      </c>
      <c r="M126" s="668">
        <f t="shared" si="297"/>
        <v>0</v>
      </c>
      <c r="N126" s="668">
        <v>0</v>
      </c>
      <c r="O126" s="668">
        <v>0</v>
      </c>
      <c r="P126" s="668">
        <f t="shared" si="187"/>
        <v>229993</v>
      </c>
      <c r="Q126" s="668">
        <f t="shared" si="188"/>
        <v>6805</v>
      </c>
      <c r="R126" s="668">
        <v>0</v>
      </c>
      <c r="S126" s="420">
        <f t="shared" si="189"/>
        <v>1.3959999999999999</v>
      </c>
      <c r="T126" s="420">
        <v>1.3959999999999999</v>
      </c>
      <c r="U126" s="946">
        <v>0</v>
      </c>
      <c r="V126" s="428">
        <f t="shared" si="298"/>
        <v>0</v>
      </c>
      <c r="W126" s="421">
        <f t="shared" si="298"/>
        <v>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 t="shared" si="191"/>
        <v>0</v>
      </c>
      <c r="AG126" s="421">
        <f t="shared" si="192"/>
        <v>0</v>
      </c>
      <c r="AH126" s="421">
        <f t="shared" si="193"/>
        <v>0</v>
      </c>
      <c r="AI126" s="421">
        <v>0</v>
      </c>
      <c r="AJ126" s="421">
        <v>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si="299"/>
        <v>0</v>
      </c>
      <c r="AP126" s="421">
        <f t="shared" si="300"/>
        <v>0</v>
      </c>
      <c r="AQ126" s="421">
        <f t="shared" si="196"/>
        <v>0</v>
      </c>
      <c r="AR126" s="421">
        <f t="shared" si="197"/>
        <v>0</v>
      </c>
      <c r="AS126" s="421">
        <f t="shared" si="198"/>
        <v>0</v>
      </c>
      <c r="AT126" s="421">
        <f t="shared" si="199"/>
        <v>0</v>
      </c>
      <c r="AU126" s="68">
        <f t="shared" si="301"/>
        <v>0</v>
      </c>
      <c r="AV126" s="68">
        <f t="shared" si="201"/>
        <v>0</v>
      </c>
      <c r="AW126" s="421">
        <v>0</v>
      </c>
      <c r="AX126" s="421">
        <v>0</v>
      </c>
      <c r="AY126" s="421">
        <f t="shared" si="202"/>
        <v>0</v>
      </c>
      <c r="AZ126" s="421">
        <f t="shared" si="203"/>
        <v>0</v>
      </c>
      <c r="BA126" s="422">
        <v>0</v>
      </c>
      <c r="BB126" s="422">
        <v>0</v>
      </c>
      <c r="BC126" s="422">
        <v>0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 t="shared" si="302"/>
        <v>0</v>
      </c>
      <c r="BL126" s="422">
        <f t="shared" si="303"/>
        <v>0</v>
      </c>
      <c r="BM126" s="424">
        <f t="shared" si="304"/>
        <v>0</v>
      </c>
      <c r="BN126" s="427">
        <f t="shared" si="207"/>
        <v>917250</v>
      </c>
      <c r="BO126" s="421">
        <f t="shared" si="208"/>
        <v>680452</v>
      </c>
      <c r="BP126" s="421">
        <f t="shared" si="305"/>
        <v>680452</v>
      </c>
      <c r="BQ126" s="421">
        <f t="shared" si="305"/>
        <v>0</v>
      </c>
      <c r="BR126" s="421">
        <f t="shared" si="306"/>
        <v>0</v>
      </c>
      <c r="BS126" s="421">
        <f t="shared" si="307"/>
        <v>0</v>
      </c>
      <c r="BT126" s="421">
        <f t="shared" si="307"/>
        <v>0</v>
      </c>
      <c r="BU126" s="421">
        <f t="shared" si="308"/>
        <v>229993</v>
      </c>
      <c r="BV126" s="421">
        <f t="shared" si="308"/>
        <v>6805</v>
      </c>
      <c r="BW126" s="421">
        <f t="shared" si="309"/>
        <v>0</v>
      </c>
      <c r="BX126" s="422">
        <f t="shared" si="310"/>
        <v>1.3959999999999999</v>
      </c>
      <c r="BY126" s="422">
        <f t="shared" si="311"/>
        <v>1.3959999999999999</v>
      </c>
      <c r="BZ126" s="611">
        <f t="shared" si="311"/>
        <v>0</v>
      </c>
      <c r="CA126" s="423"/>
      <c r="CB126" s="418"/>
      <c r="CC126" s="418"/>
      <c r="CD126" s="418"/>
      <c r="CE126" s="418"/>
      <c r="CF126" s="527"/>
    </row>
    <row r="127" spans="1:84" s="96" customFormat="1" ht="14.1" customHeight="1" x14ac:dyDescent="0.2">
      <c r="A127" s="118">
        <v>20</v>
      </c>
      <c r="B127" s="77">
        <v>2446</v>
      </c>
      <c r="C127" s="93">
        <v>600080129</v>
      </c>
      <c r="D127" s="77">
        <v>72743522</v>
      </c>
      <c r="E127" s="77" t="s">
        <v>745</v>
      </c>
      <c r="F127" s="94">
        <v>3143</v>
      </c>
      <c r="G127" s="77" t="s">
        <v>597</v>
      </c>
      <c r="H127" s="95" t="s">
        <v>272</v>
      </c>
      <c r="I127" s="669">
        <f t="shared" si="185"/>
        <v>19990</v>
      </c>
      <c r="J127" s="668">
        <f t="shared" si="186"/>
        <v>14309</v>
      </c>
      <c r="K127" s="668">
        <v>0</v>
      </c>
      <c r="L127" s="674">
        <v>14309</v>
      </c>
      <c r="M127" s="668">
        <f t="shared" si="297"/>
        <v>0</v>
      </c>
      <c r="N127" s="675">
        <v>0</v>
      </c>
      <c r="O127" s="675">
        <v>0</v>
      </c>
      <c r="P127" s="668">
        <f t="shared" si="187"/>
        <v>4836</v>
      </c>
      <c r="Q127" s="668">
        <f t="shared" si="188"/>
        <v>143</v>
      </c>
      <c r="R127" s="675">
        <v>702</v>
      </c>
      <c r="S127" s="420">
        <f t="shared" si="189"/>
        <v>5.4199999999999998E-2</v>
      </c>
      <c r="T127" s="679">
        <v>0</v>
      </c>
      <c r="U127" s="909">
        <v>5.4199999999999998E-2</v>
      </c>
      <c r="V127" s="428">
        <f t="shared" si="298"/>
        <v>0</v>
      </c>
      <c r="W127" s="421">
        <f t="shared" si="298"/>
        <v>0</v>
      </c>
      <c r="X127" s="421">
        <v>0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f t="shared" si="191"/>
        <v>0</v>
      </c>
      <c r="AG127" s="421">
        <f t="shared" si="192"/>
        <v>0</v>
      </c>
      <c r="AH127" s="421">
        <f t="shared" si="193"/>
        <v>0</v>
      </c>
      <c r="AI127" s="421">
        <v>0</v>
      </c>
      <c r="AJ127" s="421">
        <v>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299"/>
        <v>0</v>
      </c>
      <c r="AP127" s="421">
        <f t="shared" si="300"/>
        <v>0</v>
      </c>
      <c r="AQ127" s="421">
        <f t="shared" si="196"/>
        <v>0</v>
      </c>
      <c r="AR127" s="421">
        <f t="shared" si="197"/>
        <v>0</v>
      </c>
      <c r="AS127" s="421">
        <f t="shared" si="198"/>
        <v>0</v>
      </c>
      <c r="AT127" s="421">
        <f t="shared" si="199"/>
        <v>0</v>
      </c>
      <c r="AU127" s="68">
        <f t="shared" si="301"/>
        <v>0</v>
      </c>
      <c r="AV127" s="68">
        <f t="shared" si="201"/>
        <v>0</v>
      </c>
      <c r="AW127" s="421">
        <v>0</v>
      </c>
      <c r="AX127" s="421">
        <v>0</v>
      </c>
      <c r="AY127" s="421">
        <f t="shared" si="202"/>
        <v>0</v>
      </c>
      <c r="AZ127" s="421">
        <f t="shared" si="203"/>
        <v>0</v>
      </c>
      <c r="BA127" s="422">
        <v>0</v>
      </c>
      <c r="BB127" s="422">
        <v>0</v>
      </c>
      <c r="BC127" s="422">
        <v>0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f t="shared" si="302"/>
        <v>0</v>
      </c>
      <c r="BL127" s="422">
        <f t="shared" si="303"/>
        <v>0</v>
      </c>
      <c r="BM127" s="424">
        <f t="shared" si="304"/>
        <v>0</v>
      </c>
      <c r="BN127" s="427">
        <f t="shared" si="207"/>
        <v>19990</v>
      </c>
      <c r="BO127" s="421">
        <f t="shared" si="208"/>
        <v>14309</v>
      </c>
      <c r="BP127" s="421">
        <f t="shared" si="305"/>
        <v>0</v>
      </c>
      <c r="BQ127" s="421">
        <f t="shared" si="305"/>
        <v>14309</v>
      </c>
      <c r="BR127" s="421">
        <f t="shared" si="306"/>
        <v>0</v>
      </c>
      <c r="BS127" s="421">
        <f t="shared" si="307"/>
        <v>0</v>
      </c>
      <c r="BT127" s="421">
        <f t="shared" si="307"/>
        <v>0</v>
      </c>
      <c r="BU127" s="421">
        <f t="shared" si="308"/>
        <v>4836</v>
      </c>
      <c r="BV127" s="421">
        <f t="shared" si="308"/>
        <v>143</v>
      </c>
      <c r="BW127" s="421">
        <f t="shared" si="309"/>
        <v>702</v>
      </c>
      <c r="BX127" s="422">
        <f t="shared" si="310"/>
        <v>5.4199999999999998E-2</v>
      </c>
      <c r="BY127" s="422">
        <f t="shared" si="311"/>
        <v>0</v>
      </c>
      <c r="BZ127" s="611">
        <f t="shared" si="311"/>
        <v>5.4199999999999998E-2</v>
      </c>
      <c r="CA127" s="423"/>
      <c r="CB127" s="418"/>
      <c r="CC127" s="418"/>
      <c r="CD127" s="418"/>
      <c r="CE127" s="418"/>
      <c r="CF127" s="527"/>
    </row>
    <row r="128" spans="1:84" s="96" customFormat="1" ht="14.1" customHeight="1" thickBot="1" x14ac:dyDescent="0.25">
      <c r="A128" s="120">
        <v>20</v>
      </c>
      <c r="B128" s="108">
        <v>2446</v>
      </c>
      <c r="C128" s="109">
        <v>600080129</v>
      </c>
      <c r="D128" s="108">
        <v>72743522</v>
      </c>
      <c r="E128" s="108" t="s">
        <v>746</v>
      </c>
      <c r="F128" s="110"/>
      <c r="G128" s="111"/>
      <c r="H128" s="112"/>
      <c r="I128" s="921">
        <f t="shared" ref="I128:U128" si="312">SUM(I122:I127)</f>
        <v>11246635</v>
      </c>
      <c r="J128" s="512">
        <f t="shared" si="312"/>
        <v>8274563</v>
      </c>
      <c r="K128" s="512">
        <f t="shared" si="312"/>
        <v>6599747</v>
      </c>
      <c r="L128" s="512">
        <f t="shared" si="312"/>
        <v>1674816</v>
      </c>
      <c r="M128" s="512">
        <f t="shared" si="312"/>
        <v>0</v>
      </c>
      <c r="N128" s="512">
        <f t="shared" si="312"/>
        <v>0</v>
      </c>
      <c r="O128" s="512">
        <f t="shared" si="312"/>
        <v>0</v>
      </c>
      <c r="P128" s="512">
        <f t="shared" si="312"/>
        <v>2796802</v>
      </c>
      <c r="Q128" s="512">
        <f t="shared" si="312"/>
        <v>82745</v>
      </c>
      <c r="R128" s="512">
        <f t="shared" si="312"/>
        <v>92525</v>
      </c>
      <c r="S128" s="513">
        <f t="shared" si="312"/>
        <v>16.055</v>
      </c>
      <c r="T128" s="513">
        <f t="shared" si="312"/>
        <v>11.032</v>
      </c>
      <c r="U128" s="816">
        <f t="shared" si="312"/>
        <v>5.0229999999999997</v>
      </c>
      <c r="V128" s="921">
        <f t="shared" ref="V128:CF128" si="313">SUM(V122:V127)</f>
        <v>-12800</v>
      </c>
      <c r="W128" s="512">
        <f t="shared" si="313"/>
        <v>-9600</v>
      </c>
      <c r="X128" s="512">
        <f t="shared" si="313"/>
        <v>1349446</v>
      </c>
      <c r="Y128" s="512">
        <f t="shared" si="313"/>
        <v>0</v>
      </c>
      <c r="Z128" s="512">
        <f t="shared" si="313"/>
        <v>0</v>
      </c>
      <c r="AA128" s="512">
        <f t="shared" si="313"/>
        <v>0</v>
      </c>
      <c r="AB128" s="512">
        <f t="shared" si="313"/>
        <v>0</v>
      </c>
      <c r="AC128" s="512">
        <f t="shared" si="313"/>
        <v>0</v>
      </c>
      <c r="AD128" s="512">
        <f t="shared" si="313"/>
        <v>0</v>
      </c>
      <c r="AE128" s="512">
        <f t="shared" si="313"/>
        <v>0</v>
      </c>
      <c r="AF128" s="512">
        <f t="shared" si="313"/>
        <v>1336646</v>
      </c>
      <c r="AG128" s="512">
        <f t="shared" si="313"/>
        <v>-9600</v>
      </c>
      <c r="AH128" s="512">
        <f t="shared" si="313"/>
        <v>1327046</v>
      </c>
      <c r="AI128" s="512">
        <f t="shared" si="313"/>
        <v>12800</v>
      </c>
      <c r="AJ128" s="512">
        <f t="shared" si="313"/>
        <v>9600</v>
      </c>
      <c r="AK128" s="512">
        <f t="shared" si="313"/>
        <v>0</v>
      </c>
      <c r="AL128" s="512">
        <f t="shared" si="313"/>
        <v>0</v>
      </c>
      <c r="AM128" s="512">
        <f t="shared" si="313"/>
        <v>0</v>
      </c>
      <c r="AN128" s="512">
        <f t="shared" si="313"/>
        <v>0</v>
      </c>
      <c r="AO128" s="512">
        <f t="shared" si="313"/>
        <v>12800</v>
      </c>
      <c r="AP128" s="512">
        <f t="shared" si="313"/>
        <v>9600</v>
      </c>
      <c r="AQ128" s="512">
        <f t="shared" si="313"/>
        <v>22400</v>
      </c>
      <c r="AR128" s="512">
        <f t="shared" si="313"/>
        <v>1349446</v>
      </c>
      <c r="AS128" s="512">
        <f t="shared" si="313"/>
        <v>0</v>
      </c>
      <c r="AT128" s="512">
        <f t="shared" si="313"/>
        <v>1349446</v>
      </c>
      <c r="AU128" s="512">
        <f t="shared" si="313"/>
        <v>456113</v>
      </c>
      <c r="AV128" s="512">
        <f t="shared" si="313"/>
        <v>13270</v>
      </c>
      <c r="AW128" s="512">
        <f t="shared" si="313"/>
        <v>0</v>
      </c>
      <c r="AX128" s="512">
        <f t="shared" si="313"/>
        <v>0</v>
      </c>
      <c r="AY128" s="512">
        <f t="shared" si="313"/>
        <v>0</v>
      </c>
      <c r="AZ128" s="512">
        <f t="shared" si="313"/>
        <v>1818829</v>
      </c>
      <c r="BA128" s="513">
        <f t="shared" si="313"/>
        <v>0</v>
      </c>
      <c r="BB128" s="513">
        <f t="shared" si="313"/>
        <v>0</v>
      </c>
      <c r="BC128" s="513">
        <f t="shared" si="313"/>
        <v>3.58</v>
      </c>
      <c r="BD128" s="513">
        <f t="shared" si="313"/>
        <v>0</v>
      </c>
      <c r="BE128" s="513">
        <f t="shared" si="313"/>
        <v>0</v>
      </c>
      <c r="BF128" s="513">
        <f t="shared" si="313"/>
        <v>0</v>
      </c>
      <c r="BG128" s="513">
        <f t="shared" si="313"/>
        <v>0</v>
      </c>
      <c r="BH128" s="513">
        <f t="shared" si="313"/>
        <v>0</v>
      </c>
      <c r="BI128" s="513">
        <f t="shared" si="313"/>
        <v>0</v>
      </c>
      <c r="BJ128" s="513">
        <f t="shared" si="313"/>
        <v>0</v>
      </c>
      <c r="BK128" s="513">
        <f t="shared" si="313"/>
        <v>3.58</v>
      </c>
      <c r="BL128" s="513">
        <f t="shared" si="313"/>
        <v>0</v>
      </c>
      <c r="BM128" s="922">
        <f t="shared" si="313"/>
        <v>3.58</v>
      </c>
      <c r="BN128" s="578">
        <f t="shared" si="313"/>
        <v>13065464</v>
      </c>
      <c r="BO128" s="512">
        <f t="shared" si="313"/>
        <v>9601609</v>
      </c>
      <c r="BP128" s="512">
        <f t="shared" si="313"/>
        <v>7936393</v>
      </c>
      <c r="BQ128" s="512">
        <f t="shared" si="313"/>
        <v>1665216</v>
      </c>
      <c r="BR128" s="512">
        <f t="shared" si="313"/>
        <v>22400</v>
      </c>
      <c r="BS128" s="512">
        <f t="shared" si="313"/>
        <v>12800</v>
      </c>
      <c r="BT128" s="512">
        <f t="shared" si="313"/>
        <v>9600</v>
      </c>
      <c r="BU128" s="512">
        <f t="shared" si="313"/>
        <v>3252915</v>
      </c>
      <c r="BV128" s="512">
        <f t="shared" si="313"/>
        <v>96015</v>
      </c>
      <c r="BW128" s="512">
        <f t="shared" si="313"/>
        <v>92525</v>
      </c>
      <c r="BX128" s="513">
        <f t="shared" si="313"/>
        <v>19.635000000000002</v>
      </c>
      <c r="BY128" s="513">
        <f t="shared" si="313"/>
        <v>14.611999999999998</v>
      </c>
      <c r="BZ128" s="816">
        <f t="shared" si="313"/>
        <v>5.0229999999999997</v>
      </c>
      <c r="CA128" s="822">
        <f t="shared" si="313"/>
        <v>0</v>
      </c>
      <c r="CB128" s="823">
        <f t="shared" si="313"/>
        <v>0</v>
      </c>
      <c r="CC128" s="823">
        <f t="shared" si="313"/>
        <v>0</v>
      </c>
      <c r="CD128" s="823">
        <f t="shared" si="313"/>
        <v>0</v>
      </c>
      <c r="CE128" s="823">
        <f t="shared" si="313"/>
        <v>0</v>
      </c>
      <c r="CF128" s="824">
        <f t="shared" si="313"/>
        <v>0</v>
      </c>
    </row>
    <row r="129" spans="1:84" s="96" customFormat="1" ht="14.1" customHeight="1" thickBot="1" x14ac:dyDescent="0.25">
      <c r="A129" s="246"/>
      <c r="B129" s="247"/>
      <c r="C129" s="247"/>
      <c r="D129" s="247"/>
      <c r="E129" s="247" t="s">
        <v>747</v>
      </c>
      <c r="F129" s="247"/>
      <c r="G129" s="247"/>
      <c r="H129" s="248"/>
      <c r="I129" s="916">
        <f t="shared" ref="I129:AO129" si="314">I128+I121+I112+I110+I104+I102+I98+I92+I88+I84+I77+I70+I63+I56+I49+I42+I35+I28+I19+I13</f>
        <v>304381083</v>
      </c>
      <c r="J129" s="917">
        <f t="shared" si="314"/>
        <v>223761928</v>
      </c>
      <c r="K129" s="917">
        <f t="shared" si="314"/>
        <v>195878675</v>
      </c>
      <c r="L129" s="917">
        <f t="shared" si="314"/>
        <v>27883253</v>
      </c>
      <c r="M129" s="917">
        <f t="shared" si="314"/>
        <v>0</v>
      </c>
      <c r="N129" s="917">
        <f t="shared" si="314"/>
        <v>0</v>
      </c>
      <c r="O129" s="917">
        <f t="shared" si="314"/>
        <v>0</v>
      </c>
      <c r="P129" s="917">
        <f t="shared" si="314"/>
        <v>75631530</v>
      </c>
      <c r="Q129" s="917">
        <f t="shared" si="314"/>
        <v>2237618</v>
      </c>
      <c r="R129" s="917">
        <f t="shared" si="314"/>
        <v>2750007</v>
      </c>
      <c r="S129" s="918">
        <f t="shared" si="314"/>
        <v>397.17889999999994</v>
      </c>
      <c r="T129" s="918">
        <f t="shared" si="314"/>
        <v>311.28449999999998</v>
      </c>
      <c r="U129" s="919">
        <f t="shared" si="314"/>
        <v>85.89439999999999</v>
      </c>
      <c r="V129" s="916">
        <f t="shared" si="314"/>
        <v>-916719</v>
      </c>
      <c r="W129" s="917">
        <f t="shared" si="314"/>
        <v>-577413</v>
      </c>
      <c r="X129" s="917">
        <f t="shared" si="314"/>
        <v>25324862</v>
      </c>
      <c r="Y129" s="917">
        <f t="shared" si="314"/>
        <v>0</v>
      </c>
      <c r="Z129" s="917">
        <f t="shared" si="314"/>
        <v>0</v>
      </c>
      <c r="AA129" s="917">
        <f t="shared" si="314"/>
        <v>0</v>
      </c>
      <c r="AB129" s="947">
        <f t="shared" si="314"/>
        <v>1410000</v>
      </c>
      <c r="AC129" s="917">
        <f t="shared" si="314"/>
        <v>0</v>
      </c>
      <c r="AD129" s="917">
        <f t="shared" si="314"/>
        <v>54177</v>
      </c>
      <c r="AE129" s="917">
        <f t="shared" si="314"/>
        <v>340150</v>
      </c>
      <c r="AF129" s="917">
        <f t="shared" si="314"/>
        <v>25872320</v>
      </c>
      <c r="AG129" s="917">
        <f t="shared" si="314"/>
        <v>-237263</v>
      </c>
      <c r="AH129" s="917">
        <f t="shared" si="314"/>
        <v>25635057</v>
      </c>
      <c r="AI129" s="917">
        <f t="shared" si="314"/>
        <v>731520</v>
      </c>
      <c r="AJ129" s="917">
        <f t="shared" si="314"/>
        <v>577413</v>
      </c>
      <c r="AK129" s="947">
        <f t="shared" ref="AK129" si="315">AK128+AK121+AK112+AK110+AK104+AK102+AK98+AK92+AK88+AK84+AK77+AK70+AK63+AK56+AK49+AK42+AK35+AK28+AK19+AK13</f>
        <v>0</v>
      </c>
      <c r="AL129" s="917">
        <f t="shared" si="314"/>
        <v>46311</v>
      </c>
      <c r="AM129" s="917">
        <f t="shared" si="314"/>
        <v>185199</v>
      </c>
      <c r="AN129" s="917">
        <f t="shared" si="314"/>
        <v>0</v>
      </c>
      <c r="AO129" s="917">
        <f t="shared" si="314"/>
        <v>963030</v>
      </c>
      <c r="AP129" s="917">
        <f t="shared" ref="AP129:BU129" si="316">AP128+AP121+AP112+AP110+AP104+AP102+AP98+AP92+AP88+AP84+AP77+AP70+AP63+AP56+AP49+AP42+AP35+AP28+AP19+AP13</f>
        <v>577413</v>
      </c>
      <c r="AQ129" s="917">
        <f t="shared" si="316"/>
        <v>1540443</v>
      </c>
      <c r="AR129" s="917">
        <f t="shared" si="316"/>
        <v>26835350</v>
      </c>
      <c r="AS129" s="917">
        <f t="shared" si="316"/>
        <v>340150</v>
      </c>
      <c r="AT129" s="917">
        <f t="shared" si="316"/>
        <v>27175500</v>
      </c>
      <c r="AU129" s="917">
        <f t="shared" si="316"/>
        <v>9122723</v>
      </c>
      <c r="AV129" s="917">
        <f t="shared" si="316"/>
        <v>256351</v>
      </c>
      <c r="AW129" s="917">
        <f t="shared" si="316"/>
        <v>64000</v>
      </c>
      <c r="AX129" s="917">
        <f t="shared" si="316"/>
        <v>0</v>
      </c>
      <c r="AY129" s="917">
        <f t="shared" si="316"/>
        <v>64000</v>
      </c>
      <c r="AZ129" s="917">
        <f t="shared" si="316"/>
        <v>36618574</v>
      </c>
      <c r="BA129" s="918">
        <f t="shared" si="316"/>
        <v>-0.65</v>
      </c>
      <c r="BB129" s="918">
        <f t="shared" si="316"/>
        <v>-0.98000000000000009</v>
      </c>
      <c r="BC129" s="918">
        <f t="shared" si="316"/>
        <v>67.940000000000012</v>
      </c>
      <c r="BD129" s="918">
        <f t="shared" si="316"/>
        <v>2.5</v>
      </c>
      <c r="BE129" s="918">
        <f t="shared" si="316"/>
        <v>0</v>
      </c>
      <c r="BF129" s="918">
        <f t="shared" si="316"/>
        <v>0</v>
      </c>
      <c r="BG129" s="918">
        <f t="shared" si="316"/>
        <v>0</v>
      </c>
      <c r="BH129" s="918">
        <f t="shared" si="316"/>
        <v>0</v>
      </c>
      <c r="BI129" s="918">
        <f t="shared" si="316"/>
        <v>0.1</v>
      </c>
      <c r="BJ129" s="918">
        <f t="shared" si="316"/>
        <v>1.02</v>
      </c>
      <c r="BK129" s="918">
        <f t="shared" si="316"/>
        <v>69.890000000000015</v>
      </c>
      <c r="BL129" s="918">
        <f t="shared" si="316"/>
        <v>3.9999999999999925E-2</v>
      </c>
      <c r="BM129" s="948">
        <f t="shared" si="316"/>
        <v>69.930000000000007</v>
      </c>
      <c r="BN129" s="582">
        <f t="shared" si="316"/>
        <v>340999657</v>
      </c>
      <c r="BO129" s="582">
        <f t="shared" si="316"/>
        <v>249396985</v>
      </c>
      <c r="BP129" s="582">
        <f t="shared" si="316"/>
        <v>221750995</v>
      </c>
      <c r="BQ129" s="582">
        <f t="shared" si="316"/>
        <v>27645990</v>
      </c>
      <c r="BR129" s="582">
        <f t="shared" si="316"/>
        <v>1540443</v>
      </c>
      <c r="BS129" s="582">
        <f t="shared" si="316"/>
        <v>963030</v>
      </c>
      <c r="BT129" s="582">
        <f t="shared" si="316"/>
        <v>577413</v>
      </c>
      <c r="BU129" s="582">
        <f t="shared" si="316"/>
        <v>84754253</v>
      </c>
      <c r="BV129" s="582">
        <f t="shared" ref="BV129:CF129" si="317">BV128+BV121+BV112+BV110+BV104+BV102+BV98+BV92+BV88+BV84+BV77+BV70+BV63+BV56+BV49+BV42+BV35+BV28+BV19+BV13</f>
        <v>2493969</v>
      </c>
      <c r="BW129" s="582">
        <f t="shared" si="317"/>
        <v>2814007</v>
      </c>
      <c r="BX129" s="571">
        <f t="shared" si="317"/>
        <v>467.10890000000001</v>
      </c>
      <c r="BY129" s="571">
        <f t="shared" si="317"/>
        <v>381.17450000000002</v>
      </c>
      <c r="BZ129" s="612">
        <f t="shared" si="317"/>
        <v>85.934399999999997</v>
      </c>
      <c r="CA129" s="825">
        <f t="shared" si="317"/>
        <v>1900680</v>
      </c>
      <c r="CB129" s="826">
        <f t="shared" si="317"/>
        <v>1410000</v>
      </c>
      <c r="CC129" s="826">
        <f t="shared" si="317"/>
        <v>0</v>
      </c>
      <c r="CD129" s="826">
        <f t="shared" si="317"/>
        <v>476580</v>
      </c>
      <c r="CE129" s="826">
        <f t="shared" si="317"/>
        <v>14100</v>
      </c>
      <c r="CF129" s="827">
        <f t="shared" si="317"/>
        <v>2.5</v>
      </c>
    </row>
    <row r="130" spans="1:84" s="96" customFormat="1" ht="14.1" customHeight="1" x14ac:dyDescent="0.2">
      <c r="A130" s="114"/>
      <c r="E130" s="113"/>
      <c r="F130" s="113"/>
      <c r="G130" s="113"/>
      <c r="H130" s="113"/>
      <c r="I130" s="660">
        <f>J129+M129+P129+Q129+R129</f>
        <v>304381083</v>
      </c>
      <c r="J130" s="660">
        <f>SUM(K129:L129)</f>
        <v>223761928</v>
      </c>
      <c r="K130" s="660"/>
      <c r="L130" s="660"/>
      <c r="M130" s="660">
        <f>SUM(N129:O129)</f>
        <v>0</v>
      </c>
      <c r="N130" s="660"/>
      <c r="O130" s="660"/>
      <c r="P130" s="660"/>
      <c r="Q130" s="660"/>
      <c r="R130" s="660"/>
      <c r="S130" s="661">
        <f>SUM(T129:U129)</f>
        <v>397.1789</v>
      </c>
      <c r="T130" s="661"/>
      <c r="U130" s="661"/>
      <c r="V130" s="432">
        <f>AI129</f>
        <v>731520</v>
      </c>
      <c r="W130" s="432">
        <f>AJ129</f>
        <v>577413</v>
      </c>
      <c r="X130" s="432"/>
      <c r="Y130" s="432"/>
      <c r="Z130" s="432"/>
      <c r="AA130" s="432"/>
      <c r="AB130" s="432"/>
      <c r="AC130" s="432"/>
      <c r="AD130" s="432"/>
      <c r="AE130" s="432"/>
      <c r="AF130" s="434"/>
      <c r="AG130" s="434"/>
      <c r="AH130" s="434">
        <f>SUM(AF129:AG129)</f>
        <v>25635057</v>
      </c>
      <c r="AI130" s="434">
        <f>V129</f>
        <v>-916719</v>
      </c>
      <c r="AJ130" s="434">
        <f>W129</f>
        <v>-577413</v>
      </c>
      <c r="AK130" s="434"/>
      <c r="AL130" s="435"/>
      <c r="AM130" s="435"/>
      <c r="AN130" s="435"/>
      <c r="AO130" s="434"/>
      <c r="AP130" s="434"/>
      <c r="AQ130" s="434">
        <f>SUM(AO129:AP129)</f>
        <v>1540443</v>
      </c>
      <c r="AR130" s="434"/>
      <c r="AS130" s="434"/>
      <c r="AT130" s="434">
        <f>SUM(AR129:AS129)</f>
        <v>27175500</v>
      </c>
      <c r="AU130" s="436"/>
      <c r="AV130" s="436"/>
      <c r="AW130" s="435"/>
      <c r="AX130" s="435"/>
      <c r="AY130" s="434">
        <f>SUM(AW129:AX129)</f>
        <v>64000</v>
      </c>
      <c r="AZ130" s="434">
        <f>AH129+AQ129+AU129+AV129+AY129</f>
        <v>36618574</v>
      </c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525">
        <f>BA129+BC129+BD129+BF129+BH129+BI129</f>
        <v>69.89</v>
      </c>
      <c r="BL130" s="525">
        <f>BB129+BE129+BG129+BJ129</f>
        <v>3.9999999999999925E-2</v>
      </c>
      <c r="BM130" s="525">
        <f>SUM(BK129:BL129)</f>
        <v>69.930000000000021</v>
      </c>
      <c r="BN130" s="432">
        <f>BO129+BR129+BU129+BV129+BW129</f>
        <v>340999657</v>
      </c>
      <c r="BO130" s="432">
        <f>SUM(BP129:BQ129)</f>
        <v>249396985</v>
      </c>
      <c r="BP130" s="434">
        <f>K129+AF129</f>
        <v>221750995</v>
      </c>
      <c r="BQ130" s="434">
        <f>L129+AG129</f>
        <v>27645990</v>
      </c>
      <c r="BR130" s="86">
        <f>SUM(BS129:BT129)</f>
        <v>1540443</v>
      </c>
      <c r="BS130" s="434">
        <f>N129+AO129</f>
        <v>963030</v>
      </c>
      <c r="BT130" s="434">
        <f>O129+AP129</f>
        <v>577413</v>
      </c>
      <c r="BU130" s="434">
        <f>P129+AU129</f>
        <v>84754253</v>
      </c>
      <c r="BV130" s="434">
        <f>Q129+AV129</f>
        <v>2493969</v>
      </c>
      <c r="BW130" s="434">
        <f>R129+AY129</f>
        <v>2814007</v>
      </c>
      <c r="BX130" s="433">
        <f>SUM(BY129:BZ129)</f>
        <v>467.10890000000001</v>
      </c>
      <c r="BY130" s="525">
        <f>T129+BK129</f>
        <v>381.17449999999997</v>
      </c>
      <c r="BZ130" s="525">
        <f>U129+BL129</f>
        <v>85.934399999999997</v>
      </c>
      <c r="CA130" s="236">
        <f>SUM(CB129:CE129)</f>
        <v>1900680</v>
      </c>
      <c r="CB130" s="236">
        <f>AB129</f>
        <v>1410000</v>
      </c>
      <c r="CC130" s="236">
        <f>AK129</f>
        <v>0</v>
      </c>
      <c r="CD130" s="943"/>
      <c r="CE130" s="943"/>
      <c r="CF130" s="944">
        <f>BD129</f>
        <v>2.5</v>
      </c>
    </row>
    <row r="131" spans="1:84" customFormat="1" ht="13.5" thickBot="1" x14ac:dyDescent="0.25">
      <c r="D131" s="23"/>
      <c r="E131" s="24"/>
      <c r="F131" s="23"/>
      <c r="G131" s="41"/>
      <c r="H131" s="24"/>
      <c r="I131" s="660">
        <f>J132+M132+P132+Q132+R132</f>
        <v>304381083</v>
      </c>
      <c r="J131" s="660">
        <f>SUM(K132:L132)</f>
        <v>223761928</v>
      </c>
      <c r="K131" s="660"/>
      <c r="L131" s="660"/>
      <c r="M131" s="660">
        <f>SUM(N132:O132)</f>
        <v>0</v>
      </c>
      <c r="N131" s="660"/>
      <c r="O131" s="660"/>
      <c r="P131" s="660"/>
      <c r="Q131" s="660"/>
      <c r="R131" s="660"/>
      <c r="S131" s="661">
        <f>SUM(T132:U132)</f>
        <v>397.1789</v>
      </c>
      <c r="T131" s="661"/>
      <c r="U131" s="661"/>
      <c r="V131" s="432">
        <f>AI132</f>
        <v>731520</v>
      </c>
      <c r="W131" s="432">
        <f>AJ132</f>
        <v>577413</v>
      </c>
      <c r="X131" s="432"/>
      <c r="Y131" s="432"/>
      <c r="Z131" s="432"/>
      <c r="AA131" s="432"/>
      <c r="AB131" s="432"/>
      <c r="AC131" s="432"/>
      <c r="AD131" s="432"/>
      <c r="AE131" s="432"/>
      <c r="AF131" s="434"/>
      <c r="AG131" s="434"/>
      <c r="AH131" s="434">
        <f>SUM(AF132:AG132)</f>
        <v>25635057</v>
      </c>
      <c r="AI131" s="434"/>
      <c r="AJ131" s="434"/>
      <c r="AK131" s="434"/>
      <c r="AL131" s="435"/>
      <c r="AM131" s="435"/>
      <c r="AN131" s="435"/>
      <c r="AO131" s="434"/>
      <c r="AP131" s="434"/>
      <c r="AQ131" s="434">
        <f>SUM(AO132:AP132)</f>
        <v>1540443</v>
      </c>
      <c r="AR131" s="434"/>
      <c r="AS131" s="434"/>
      <c r="AT131" s="434">
        <f>SUM(AR132:AS132)</f>
        <v>27175500</v>
      </c>
      <c r="AU131" s="436"/>
      <c r="AV131" s="436"/>
      <c r="AW131" s="435"/>
      <c r="AX131" s="435"/>
      <c r="AY131" s="434">
        <f>SUM(AW132:AX132)</f>
        <v>64000</v>
      </c>
      <c r="AZ131" s="434">
        <f>AH132+AQ132+AU132+AV132+AY132</f>
        <v>36618574</v>
      </c>
      <c r="BA131" s="437"/>
      <c r="BB131" s="437"/>
      <c r="BC131" s="437"/>
      <c r="BD131" s="437"/>
      <c r="BE131" s="437"/>
      <c r="BF131" s="437"/>
      <c r="BG131" s="437"/>
      <c r="BH131" s="437"/>
      <c r="BI131" s="437"/>
      <c r="BJ131" s="437"/>
      <c r="BK131" s="525">
        <f>BA132+BC132+BD132+BF132+BH132+BI132</f>
        <v>69.889999999999986</v>
      </c>
      <c r="BL131" s="525">
        <f>BB132+BE132+BG132+BJ132</f>
        <v>4.0000000000000036E-2</v>
      </c>
      <c r="BM131" s="525">
        <f>SUM(BK132:BL132)</f>
        <v>69.930000000000007</v>
      </c>
      <c r="BN131" s="432">
        <f>BO132+BR132+BU132+BV132+BW132</f>
        <v>340999657</v>
      </c>
      <c r="BO131" s="432">
        <f>SUM(BP132:BQ132)</f>
        <v>249396985</v>
      </c>
      <c r="BP131" s="432"/>
      <c r="BQ131" s="432"/>
      <c r="BR131" s="86">
        <f>SUM(BS132:BT132)</f>
        <v>1540443</v>
      </c>
      <c r="BS131" s="432"/>
      <c r="BT131" s="432"/>
      <c r="BU131" s="432"/>
      <c r="BV131" s="432"/>
      <c r="BW131" s="432"/>
      <c r="BX131" s="433">
        <f>SUM(BY132:BZ132)</f>
        <v>467.10889999999995</v>
      </c>
      <c r="BY131" s="433"/>
      <c r="BZ131" s="433"/>
      <c r="CA131" s="236">
        <f>SUM(CB132:CE132)</f>
        <v>1900680</v>
      </c>
      <c r="CF131" s="7"/>
    </row>
    <row r="132" spans="1:84" customFormat="1" ht="13.5" thickBot="1" x14ac:dyDescent="0.25">
      <c r="D132" s="23"/>
      <c r="E132" s="24"/>
      <c r="F132" s="23"/>
      <c r="G132" s="41"/>
      <c r="H132" s="446" t="s">
        <v>0</v>
      </c>
      <c r="I132" s="662">
        <f>SUM(I133:I142)</f>
        <v>304381083</v>
      </c>
      <c r="J132" s="663">
        <f t="shared" ref="J132:BV132" si="318">SUM(J133:J142)</f>
        <v>223761928</v>
      </c>
      <c r="K132" s="663">
        <f t="shared" si="318"/>
        <v>195878675</v>
      </c>
      <c r="L132" s="663">
        <f t="shared" si="318"/>
        <v>27883253</v>
      </c>
      <c r="M132" s="663">
        <f t="shared" si="318"/>
        <v>0</v>
      </c>
      <c r="N132" s="663">
        <f t="shared" si="318"/>
        <v>0</v>
      </c>
      <c r="O132" s="663">
        <f t="shared" si="318"/>
        <v>0</v>
      </c>
      <c r="P132" s="663">
        <f t="shared" si="318"/>
        <v>75631530</v>
      </c>
      <c r="Q132" s="663">
        <f t="shared" si="318"/>
        <v>2237618</v>
      </c>
      <c r="R132" s="663">
        <f t="shared" si="318"/>
        <v>2750007</v>
      </c>
      <c r="S132" s="664">
        <f t="shared" si="318"/>
        <v>397.1789</v>
      </c>
      <c r="T132" s="664">
        <f t="shared" si="318"/>
        <v>311.28449999999998</v>
      </c>
      <c r="U132" s="665">
        <f t="shared" si="318"/>
        <v>85.89439999999999</v>
      </c>
      <c r="V132" s="149">
        <f t="shared" si="318"/>
        <v>-916719</v>
      </c>
      <c r="W132" s="34">
        <f t="shared" si="318"/>
        <v>-577413</v>
      </c>
      <c r="X132" s="34">
        <f t="shared" si="318"/>
        <v>25324862</v>
      </c>
      <c r="Y132" s="34">
        <f t="shared" si="318"/>
        <v>0</v>
      </c>
      <c r="Z132" s="34">
        <f t="shared" si="318"/>
        <v>0</v>
      </c>
      <c r="AA132" s="34">
        <f t="shared" si="318"/>
        <v>0</v>
      </c>
      <c r="AB132" s="768">
        <f t="shared" si="318"/>
        <v>1410000</v>
      </c>
      <c r="AC132" s="34">
        <f t="shared" si="318"/>
        <v>0</v>
      </c>
      <c r="AD132" s="34">
        <f t="shared" si="318"/>
        <v>54177</v>
      </c>
      <c r="AE132" s="34">
        <f t="shared" si="318"/>
        <v>340150</v>
      </c>
      <c r="AF132" s="34">
        <f t="shared" si="318"/>
        <v>25872320</v>
      </c>
      <c r="AG132" s="34">
        <f t="shared" si="318"/>
        <v>-237263</v>
      </c>
      <c r="AH132" s="34">
        <f t="shared" si="318"/>
        <v>25635057</v>
      </c>
      <c r="AI132" s="34">
        <f t="shared" si="318"/>
        <v>731520</v>
      </c>
      <c r="AJ132" s="34">
        <f t="shared" si="318"/>
        <v>577413</v>
      </c>
      <c r="AK132" s="768">
        <f t="shared" ref="AK132" si="319">SUM(AK133:AK142)</f>
        <v>0</v>
      </c>
      <c r="AL132" s="34">
        <f t="shared" si="318"/>
        <v>46311</v>
      </c>
      <c r="AM132" s="34">
        <f t="shared" si="318"/>
        <v>185199</v>
      </c>
      <c r="AN132" s="34">
        <f t="shared" si="318"/>
        <v>0</v>
      </c>
      <c r="AO132" s="34">
        <f t="shared" si="318"/>
        <v>963030</v>
      </c>
      <c r="AP132" s="34">
        <f t="shared" si="318"/>
        <v>577413</v>
      </c>
      <c r="AQ132" s="34">
        <f t="shared" si="318"/>
        <v>1540443</v>
      </c>
      <c r="AR132" s="34">
        <f t="shared" si="318"/>
        <v>26835350</v>
      </c>
      <c r="AS132" s="34">
        <f t="shared" si="318"/>
        <v>340150</v>
      </c>
      <c r="AT132" s="34">
        <f t="shared" si="318"/>
        <v>27175500</v>
      </c>
      <c r="AU132" s="34">
        <f t="shared" si="318"/>
        <v>9122723</v>
      </c>
      <c r="AV132" s="34">
        <f t="shared" si="318"/>
        <v>256351</v>
      </c>
      <c r="AW132" s="34">
        <f t="shared" si="318"/>
        <v>64000</v>
      </c>
      <c r="AX132" s="34">
        <f t="shared" si="318"/>
        <v>0</v>
      </c>
      <c r="AY132" s="34">
        <f t="shared" si="318"/>
        <v>64000</v>
      </c>
      <c r="AZ132" s="34">
        <f t="shared" si="318"/>
        <v>36618574</v>
      </c>
      <c r="BA132" s="35">
        <f t="shared" si="318"/>
        <v>-0.65</v>
      </c>
      <c r="BB132" s="35">
        <f t="shared" si="318"/>
        <v>-0.98</v>
      </c>
      <c r="BC132" s="35">
        <f t="shared" si="318"/>
        <v>67.94</v>
      </c>
      <c r="BD132" s="35">
        <f t="shared" si="318"/>
        <v>2.5</v>
      </c>
      <c r="BE132" s="35">
        <f t="shared" si="318"/>
        <v>0</v>
      </c>
      <c r="BF132" s="35">
        <f t="shared" si="318"/>
        <v>0</v>
      </c>
      <c r="BG132" s="35">
        <f t="shared" si="318"/>
        <v>0</v>
      </c>
      <c r="BH132" s="35">
        <f t="shared" si="318"/>
        <v>0</v>
      </c>
      <c r="BI132" s="35">
        <f t="shared" si="318"/>
        <v>0.1</v>
      </c>
      <c r="BJ132" s="35">
        <f t="shared" si="318"/>
        <v>1.02</v>
      </c>
      <c r="BK132" s="35">
        <f t="shared" si="318"/>
        <v>69.89</v>
      </c>
      <c r="BL132" s="35">
        <f t="shared" si="318"/>
        <v>4.0000000000000036E-2</v>
      </c>
      <c r="BM132" s="148">
        <f t="shared" si="318"/>
        <v>69.929999999999993</v>
      </c>
      <c r="BN132" s="139">
        <f t="shared" si="318"/>
        <v>340999657</v>
      </c>
      <c r="BO132" s="34">
        <f t="shared" si="318"/>
        <v>249396985</v>
      </c>
      <c r="BP132" s="34">
        <f t="shared" si="318"/>
        <v>221750995</v>
      </c>
      <c r="BQ132" s="34">
        <f t="shared" si="318"/>
        <v>27645990</v>
      </c>
      <c r="BR132" s="34">
        <f t="shared" si="318"/>
        <v>1540443</v>
      </c>
      <c r="BS132" s="34">
        <f t="shared" si="318"/>
        <v>963030</v>
      </c>
      <c r="BT132" s="34">
        <f t="shared" si="318"/>
        <v>577413</v>
      </c>
      <c r="BU132" s="34">
        <f t="shared" si="318"/>
        <v>84754253</v>
      </c>
      <c r="BV132" s="34">
        <f t="shared" si="318"/>
        <v>2493969</v>
      </c>
      <c r="BW132" s="34">
        <f t="shared" ref="BW132:BZ132" si="320">SUM(BW133:BW142)</f>
        <v>2814007</v>
      </c>
      <c r="BX132" s="35">
        <f t="shared" si="320"/>
        <v>467.10890000000001</v>
      </c>
      <c r="BY132" s="35">
        <f t="shared" si="320"/>
        <v>381.17449999999997</v>
      </c>
      <c r="BZ132" s="148">
        <f t="shared" si="320"/>
        <v>85.934399999999982</v>
      </c>
      <c r="CA132" s="779">
        <f t="shared" ref="CA132:CF132" si="321">SUM(CA133:CA142)</f>
        <v>1900680</v>
      </c>
      <c r="CB132" s="768">
        <f t="shared" si="321"/>
        <v>1410000</v>
      </c>
      <c r="CC132" s="768">
        <f t="shared" si="321"/>
        <v>0</v>
      </c>
      <c r="CD132" s="768">
        <f t="shared" si="321"/>
        <v>476580</v>
      </c>
      <c r="CE132" s="768">
        <f t="shared" si="321"/>
        <v>14100</v>
      </c>
      <c r="CF132" s="781">
        <f t="shared" si="321"/>
        <v>2.5</v>
      </c>
    </row>
    <row r="133" spans="1:84" customFormat="1" ht="12.75" x14ac:dyDescent="0.2">
      <c r="D133" s="23"/>
      <c r="E133" s="24"/>
      <c r="F133" s="23"/>
      <c r="G133" s="41"/>
      <c r="H133" s="447">
        <v>3111</v>
      </c>
      <c r="I133" s="503">
        <f t="shared" ref="I133:AO133" si="322">SUMIF($F$12:$F$395,"=3111",I$12:I$395)</f>
        <v>64085661</v>
      </c>
      <c r="J133" s="504">
        <f t="shared" si="322"/>
        <v>47380761</v>
      </c>
      <c r="K133" s="504">
        <f t="shared" si="322"/>
        <v>44576820</v>
      </c>
      <c r="L133" s="504">
        <f t="shared" si="322"/>
        <v>2803941</v>
      </c>
      <c r="M133" s="504">
        <f t="shared" si="322"/>
        <v>0</v>
      </c>
      <c r="N133" s="504">
        <f t="shared" si="322"/>
        <v>0</v>
      </c>
      <c r="O133" s="504">
        <f t="shared" si="322"/>
        <v>0</v>
      </c>
      <c r="P133" s="504">
        <f t="shared" si="322"/>
        <v>16014697</v>
      </c>
      <c r="Q133" s="504">
        <f t="shared" si="322"/>
        <v>473807</v>
      </c>
      <c r="R133" s="504">
        <f t="shared" si="322"/>
        <v>216396</v>
      </c>
      <c r="S133" s="507">
        <f t="shared" si="322"/>
        <v>88.436599999999999</v>
      </c>
      <c r="T133" s="507">
        <f t="shared" si="322"/>
        <v>77.695800000000006</v>
      </c>
      <c r="U133" s="510">
        <f t="shared" si="322"/>
        <v>10.740800000000004</v>
      </c>
      <c r="V133" s="32">
        <f t="shared" si="322"/>
        <v>-179200</v>
      </c>
      <c r="W133" s="146">
        <f t="shared" si="322"/>
        <v>-73600</v>
      </c>
      <c r="X133" s="146">
        <f t="shared" si="322"/>
        <v>1279374</v>
      </c>
      <c r="Y133" s="146">
        <f t="shared" si="322"/>
        <v>0</v>
      </c>
      <c r="Z133" s="146">
        <f t="shared" si="322"/>
        <v>0</v>
      </c>
      <c r="AA133" s="146">
        <f t="shared" si="322"/>
        <v>0</v>
      </c>
      <c r="AB133" s="146">
        <f t="shared" si="322"/>
        <v>0</v>
      </c>
      <c r="AC133" s="146">
        <f t="shared" si="322"/>
        <v>0</v>
      </c>
      <c r="AD133" s="146">
        <f t="shared" si="322"/>
        <v>0</v>
      </c>
      <c r="AE133" s="146">
        <f t="shared" si="322"/>
        <v>0</v>
      </c>
      <c r="AF133" s="146">
        <f t="shared" si="322"/>
        <v>1100174</v>
      </c>
      <c r="AG133" s="146">
        <f t="shared" si="322"/>
        <v>-73600</v>
      </c>
      <c r="AH133" s="146">
        <f t="shared" si="322"/>
        <v>1026574</v>
      </c>
      <c r="AI133" s="146">
        <f t="shared" si="322"/>
        <v>179200</v>
      </c>
      <c r="AJ133" s="146">
        <f t="shared" si="322"/>
        <v>73600</v>
      </c>
      <c r="AK133" s="146">
        <f t="shared" si="322"/>
        <v>0</v>
      </c>
      <c r="AL133" s="146">
        <f t="shared" si="322"/>
        <v>0</v>
      </c>
      <c r="AM133" s="146">
        <f t="shared" si="322"/>
        <v>0</v>
      </c>
      <c r="AN133" s="146">
        <f t="shared" si="322"/>
        <v>0</v>
      </c>
      <c r="AO133" s="146">
        <f t="shared" si="322"/>
        <v>179200</v>
      </c>
      <c r="AP133" s="146">
        <f t="shared" ref="AP133:CF133" si="323">SUMIF($F$12:$F$395,"=3111",AP$12:AP$395)</f>
        <v>73600</v>
      </c>
      <c r="AQ133" s="146">
        <f t="shared" si="323"/>
        <v>252800</v>
      </c>
      <c r="AR133" s="146">
        <f t="shared" si="323"/>
        <v>1279374</v>
      </c>
      <c r="AS133" s="146">
        <f t="shared" si="323"/>
        <v>0</v>
      </c>
      <c r="AT133" s="146">
        <f t="shared" si="323"/>
        <v>1279374</v>
      </c>
      <c r="AU133" s="146">
        <f t="shared" si="323"/>
        <v>432428</v>
      </c>
      <c r="AV133" s="146">
        <f t="shared" si="323"/>
        <v>10266</v>
      </c>
      <c r="AW133" s="146">
        <f t="shared" si="323"/>
        <v>0</v>
      </c>
      <c r="AX133" s="146">
        <f t="shared" si="323"/>
        <v>0</v>
      </c>
      <c r="AY133" s="146">
        <f t="shared" si="323"/>
        <v>0</v>
      </c>
      <c r="AZ133" s="146">
        <f t="shared" si="323"/>
        <v>1722068</v>
      </c>
      <c r="BA133" s="147">
        <f t="shared" si="323"/>
        <v>-0.16</v>
      </c>
      <c r="BB133" s="147">
        <f t="shared" si="323"/>
        <v>0</v>
      </c>
      <c r="BC133" s="147">
        <f t="shared" si="323"/>
        <v>3.4</v>
      </c>
      <c r="BD133" s="147">
        <f t="shared" si="323"/>
        <v>0</v>
      </c>
      <c r="BE133" s="147">
        <f t="shared" si="323"/>
        <v>0</v>
      </c>
      <c r="BF133" s="147">
        <f t="shared" si="323"/>
        <v>0</v>
      </c>
      <c r="BG133" s="147">
        <f t="shared" si="323"/>
        <v>0</v>
      </c>
      <c r="BH133" s="147">
        <f t="shared" si="323"/>
        <v>0</v>
      </c>
      <c r="BI133" s="147">
        <f t="shared" si="323"/>
        <v>0</v>
      </c>
      <c r="BJ133" s="147">
        <f t="shared" si="323"/>
        <v>0</v>
      </c>
      <c r="BK133" s="147">
        <f t="shared" si="323"/>
        <v>3.2399999999999998</v>
      </c>
      <c r="BL133" s="147">
        <f t="shared" si="323"/>
        <v>0</v>
      </c>
      <c r="BM133" s="429">
        <f t="shared" si="323"/>
        <v>3.2399999999999998</v>
      </c>
      <c r="BN133" s="31">
        <f t="shared" si="323"/>
        <v>65807729</v>
      </c>
      <c r="BO133" s="146">
        <f t="shared" si="323"/>
        <v>48407335</v>
      </c>
      <c r="BP133" s="146">
        <f t="shared" si="323"/>
        <v>45676994</v>
      </c>
      <c r="BQ133" s="146">
        <f t="shared" si="323"/>
        <v>2730341</v>
      </c>
      <c r="BR133" s="146">
        <f t="shared" si="323"/>
        <v>252800</v>
      </c>
      <c r="BS133" s="146">
        <f t="shared" si="323"/>
        <v>179200</v>
      </c>
      <c r="BT133" s="146">
        <f t="shared" si="323"/>
        <v>73600</v>
      </c>
      <c r="BU133" s="146">
        <f t="shared" si="323"/>
        <v>16447125</v>
      </c>
      <c r="BV133" s="146">
        <f t="shared" si="323"/>
        <v>484073</v>
      </c>
      <c r="BW133" s="146">
        <f t="shared" si="323"/>
        <v>216396</v>
      </c>
      <c r="BX133" s="147">
        <f t="shared" si="323"/>
        <v>91.676600000000008</v>
      </c>
      <c r="BY133" s="147">
        <f t="shared" si="323"/>
        <v>80.9358</v>
      </c>
      <c r="BZ133" s="429">
        <f t="shared" si="323"/>
        <v>10.740800000000004</v>
      </c>
      <c r="CA133" s="31">
        <f t="shared" si="323"/>
        <v>0</v>
      </c>
      <c r="CB133" s="146">
        <f t="shared" si="323"/>
        <v>0</v>
      </c>
      <c r="CC133" s="146">
        <f t="shared" si="323"/>
        <v>0</v>
      </c>
      <c r="CD133" s="146">
        <f t="shared" si="323"/>
        <v>0</v>
      </c>
      <c r="CE133" s="146">
        <f t="shared" si="323"/>
        <v>0</v>
      </c>
      <c r="CF133" s="240">
        <f t="shared" si="323"/>
        <v>0</v>
      </c>
    </row>
    <row r="134" spans="1:84" customFormat="1" ht="12.75" x14ac:dyDescent="0.2">
      <c r="D134" s="23"/>
      <c r="E134" s="24"/>
      <c r="F134" s="23"/>
      <c r="G134" s="41"/>
      <c r="H134" s="2">
        <v>3113</v>
      </c>
      <c r="I134" s="167">
        <f t="shared" ref="I134:AO134" si="324">SUMIF($F$12:$F$395,"=3113",I$12:I$395)</f>
        <v>142232772</v>
      </c>
      <c r="J134" s="16">
        <f t="shared" si="324"/>
        <v>104140220</v>
      </c>
      <c r="K134" s="16">
        <f t="shared" si="324"/>
        <v>96031609</v>
      </c>
      <c r="L134" s="16">
        <f t="shared" si="324"/>
        <v>8108611</v>
      </c>
      <c r="M134" s="16">
        <f t="shared" si="324"/>
        <v>0</v>
      </c>
      <c r="N134" s="16">
        <f t="shared" si="324"/>
        <v>0</v>
      </c>
      <c r="O134" s="16">
        <f t="shared" si="324"/>
        <v>0</v>
      </c>
      <c r="P134" s="16">
        <f t="shared" si="324"/>
        <v>35199395</v>
      </c>
      <c r="Q134" s="16">
        <f t="shared" si="324"/>
        <v>1041402</v>
      </c>
      <c r="R134" s="16">
        <f t="shared" si="324"/>
        <v>1851755</v>
      </c>
      <c r="S134" s="13">
        <f t="shared" si="324"/>
        <v>165.10829999999999</v>
      </c>
      <c r="T134" s="13">
        <f t="shared" si="324"/>
        <v>140.24939999999998</v>
      </c>
      <c r="U134" s="17">
        <f t="shared" si="324"/>
        <v>24.858899999999998</v>
      </c>
      <c r="V134" s="38">
        <f t="shared" si="324"/>
        <v>-364399</v>
      </c>
      <c r="W134" s="26">
        <f t="shared" si="324"/>
        <v>-128000</v>
      </c>
      <c r="X134" s="26">
        <f t="shared" si="324"/>
        <v>17335894</v>
      </c>
      <c r="Y134" s="26">
        <f t="shared" si="324"/>
        <v>0</v>
      </c>
      <c r="Z134" s="26">
        <f t="shared" si="324"/>
        <v>0</v>
      </c>
      <c r="AA134" s="26">
        <f t="shared" si="324"/>
        <v>0</v>
      </c>
      <c r="AB134" s="26">
        <f t="shared" si="324"/>
        <v>1297200</v>
      </c>
      <c r="AC134" s="26">
        <f t="shared" si="324"/>
        <v>0</v>
      </c>
      <c r="AD134" s="26">
        <f t="shared" si="324"/>
        <v>0</v>
      </c>
      <c r="AE134" s="26">
        <f t="shared" si="324"/>
        <v>0</v>
      </c>
      <c r="AF134" s="26">
        <f t="shared" si="324"/>
        <v>18268695</v>
      </c>
      <c r="AG134" s="26">
        <f t="shared" si="324"/>
        <v>-128000</v>
      </c>
      <c r="AH134" s="26">
        <f t="shared" si="324"/>
        <v>18140695</v>
      </c>
      <c r="AI134" s="26">
        <f t="shared" si="324"/>
        <v>179200</v>
      </c>
      <c r="AJ134" s="26">
        <f t="shared" si="324"/>
        <v>128000</v>
      </c>
      <c r="AK134" s="26">
        <f t="shared" si="324"/>
        <v>0</v>
      </c>
      <c r="AL134" s="26">
        <f t="shared" si="324"/>
        <v>0</v>
      </c>
      <c r="AM134" s="26">
        <f t="shared" si="324"/>
        <v>185199</v>
      </c>
      <c r="AN134" s="26">
        <f t="shared" si="324"/>
        <v>0</v>
      </c>
      <c r="AO134" s="26">
        <f t="shared" si="324"/>
        <v>364399</v>
      </c>
      <c r="AP134" s="26">
        <f t="shared" ref="AP134:CF134" si="325">SUMIF($F$12:$F$395,"=3113",AP$12:AP$395)</f>
        <v>128000</v>
      </c>
      <c r="AQ134" s="26">
        <f t="shared" si="325"/>
        <v>492399</v>
      </c>
      <c r="AR134" s="26">
        <f t="shared" si="325"/>
        <v>18633094</v>
      </c>
      <c r="AS134" s="26">
        <f t="shared" si="325"/>
        <v>0</v>
      </c>
      <c r="AT134" s="26">
        <f t="shared" si="325"/>
        <v>18633094</v>
      </c>
      <c r="AU134" s="26">
        <f t="shared" si="325"/>
        <v>6235390</v>
      </c>
      <c r="AV134" s="26">
        <f t="shared" si="325"/>
        <v>181407</v>
      </c>
      <c r="AW134" s="26">
        <f t="shared" si="325"/>
        <v>55500</v>
      </c>
      <c r="AX134" s="26">
        <f t="shared" si="325"/>
        <v>0</v>
      </c>
      <c r="AY134" s="26">
        <f t="shared" si="325"/>
        <v>55500</v>
      </c>
      <c r="AZ134" s="26">
        <f t="shared" si="325"/>
        <v>25105391</v>
      </c>
      <c r="BA134" s="27">
        <f t="shared" si="325"/>
        <v>-0.05</v>
      </c>
      <c r="BB134" s="27">
        <f t="shared" si="325"/>
        <v>-0.15</v>
      </c>
      <c r="BC134" s="27">
        <f t="shared" si="325"/>
        <v>46.760000000000005</v>
      </c>
      <c r="BD134" s="27">
        <f t="shared" si="325"/>
        <v>2.2999999999999998</v>
      </c>
      <c r="BE134" s="27">
        <f t="shared" si="325"/>
        <v>0</v>
      </c>
      <c r="BF134" s="27">
        <f t="shared" si="325"/>
        <v>0</v>
      </c>
      <c r="BG134" s="27">
        <f t="shared" si="325"/>
        <v>0</v>
      </c>
      <c r="BH134" s="27">
        <f t="shared" si="325"/>
        <v>0</v>
      </c>
      <c r="BI134" s="27">
        <f t="shared" si="325"/>
        <v>0</v>
      </c>
      <c r="BJ134" s="27">
        <f t="shared" si="325"/>
        <v>0</v>
      </c>
      <c r="BK134" s="27">
        <f t="shared" si="325"/>
        <v>49.010000000000005</v>
      </c>
      <c r="BL134" s="27">
        <f t="shared" si="325"/>
        <v>-0.15</v>
      </c>
      <c r="BM134" s="430">
        <f t="shared" si="325"/>
        <v>48.860000000000007</v>
      </c>
      <c r="BN134" s="25">
        <f t="shared" si="325"/>
        <v>167338163</v>
      </c>
      <c r="BO134" s="26">
        <f t="shared" si="325"/>
        <v>122280915</v>
      </c>
      <c r="BP134" s="26">
        <f t="shared" si="325"/>
        <v>114300304</v>
      </c>
      <c r="BQ134" s="26">
        <f t="shared" si="325"/>
        <v>7980611</v>
      </c>
      <c r="BR134" s="26">
        <f t="shared" si="325"/>
        <v>492399</v>
      </c>
      <c r="BS134" s="26">
        <f t="shared" si="325"/>
        <v>364399</v>
      </c>
      <c r="BT134" s="26">
        <f t="shared" si="325"/>
        <v>128000</v>
      </c>
      <c r="BU134" s="26">
        <f t="shared" si="325"/>
        <v>41434785</v>
      </c>
      <c r="BV134" s="26">
        <f t="shared" si="325"/>
        <v>1222809</v>
      </c>
      <c r="BW134" s="26">
        <f t="shared" si="325"/>
        <v>1907255</v>
      </c>
      <c r="BX134" s="27">
        <f t="shared" si="325"/>
        <v>213.96829999999994</v>
      </c>
      <c r="BY134" s="27">
        <f t="shared" si="325"/>
        <v>189.25939999999997</v>
      </c>
      <c r="BZ134" s="430">
        <f t="shared" si="325"/>
        <v>24.708899999999996</v>
      </c>
      <c r="CA134" s="25">
        <f t="shared" si="325"/>
        <v>1748626</v>
      </c>
      <c r="CB134" s="26">
        <f t="shared" si="325"/>
        <v>1297200</v>
      </c>
      <c r="CC134" s="26">
        <f t="shared" si="325"/>
        <v>0</v>
      </c>
      <c r="CD134" s="26">
        <f t="shared" si="325"/>
        <v>438454</v>
      </c>
      <c r="CE134" s="26">
        <f t="shared" si="325"/>
        <v>12972</v>
      </c>
      <c r="CF134" s="241">
        <f t="shared" si="325"/>
        <v>2.2999999999999998</v>
      </c>
    </row>
    <row r="135" spans="1:84" customFormat="1" ht="12.75" x14ac:dyDescent="0.2">
      <c r="D135" s="23"/>
      <c r="E135" s="24"/>
      <c r="F135" s="23"/>
      <c r="G135" s="41"/>
      <c r="H135" s="2">
        <v>3114</v>
      </c>
      <c r="I135" s="167">
        <f t="shared" ref="I135:AO135" si="326">SUMIF($F$12:$F$395,"=3114",I$12:I$395)</f>
        <v>14707147</v>
      </c>
      <c r="J135" s="16">
        <f t="shared" si="326"/>
        <v>10838286</v>
      </c>
      <c r="K135" s="16">
        <f t="shared" si="326"/>
        <v>10038092</v>
      </c>
      <c r="L135" s="16">
        <f t="shared" si="326"/>
        <v>800194</v>
      </c>
      <c r="M135" s="16">
        <f t="shared" si="326"/>
        <v>0</v>
      </c>
      <c r="N135" s="16">
        <f t="shared" si="326"/>
        <v>0</v>
      </c>
      <c r="O135" s="16">
        <f t="shared" si="326"/>
        <v>0</v>
      </c>
      <c r="P135" s="16">
        <f t="shared" si="326"/>
        <v>3663340</v>
      </c>
      <c r="Q135" s="16">
        <f t="shared" si="326"/>
        <v>108383</v>
      </c>
      <c r="R135" s="16">
        <f t="shared" si="326"/>
        <v>97138</v>
      </c>
      <c r="S135" s="13">
        <f t="shared" si="326"/>
        <v>18.285499999999999</v>
      </c>
      <c r="T135" s="13">
        <f t="shared" si="326"/>
        <v>15.9922</v>
      </c>
      <c r="U135" s="17">
        <f t="shared" si="326"/>
        <v>2.2932999999999999</v>
      </c>
      <c r="V135" s="38">
        <f t="shared" si="326"/>
        <v>-38400</v>
      </c>
      <c r="W135" s="26">
        <f t="shared" si="326"/>
        <v>-34693</v>
      </c>
      <c r="X135" s="26">
        <f t="shared" si="326"/>
        <v>0</v>
      </c>
      <c r="Y135" s="26">
        <f t="shared" si="326"/>
        <v>0</v>
      </c>
      <c r="Z135" s="26">
        <f t="shared" si="326"/>
        <v>0</v>
      </c>
      <c r="AA135" s="26">
        <f t="shared" si="326"/>
        <v>0</v>
      </c>
      <c r="AB135" s="26">
        <f t="shared" si="326"/>
        <v>0</v>
      </c>
      <c r="AC135" s="26">
        <f t="shared" si="326"/>
        <v>0</v>
      </c>
      <c r="AD135" s="26">
        <f t="shared" si="326"/>
        <v>72019</v>
      </c>
      <c r="AE135" s="26">
        <f t="shared" si="326"/>
        <v>0</v>
      </c>
      <c r="AF135" s="26">
        <f t="shared" si="326"/>
        <v>33619</v>
      </c>
      <c r="AG135" s="26">
        <f t="shared" si="326"/>
        <v>-34693</v>
      </c>
      <c r="AH135" s="26">
        <f t="shared" si="326"/>
        <v>-1074</v>
      </c>
      <c r="AI135" s="26">
        <f t="shared" si="326"/>
        <v>38400</v>
      </c>
      <c r="AJ135" s="26">
        <f t="shared" si="326"/>
        <v>34693</v>
      </c>
      <c r="AK135" s="26">
        <f t="shared" si="326"/>
        <v>0</v>
      </c>
      <c r="AL135" s="26">
        <f t="shared" si="326"/>
        <v>0</v>
      </c>
      <c r="AM135" s="26">
        <f t="shared" si="326"/>
        <v>0</v>
      </c>
      <c r="AN135" s="26">
        <f t="shared" si="326"/>
        <v>0</v>
      </c>
      <c r="AO135" s="26">
        <f t="shared" si="326"/>
        <v>38400</v>
      </c>
      <c r="AP135" s="26">
        <f t="shared" ref="AP135:CF135" si="327">SUMIF($F$12:$F$395,"=3114",AP$12:AP$395)</f>
        <v>34693</v>
      </c>
      <c r="AQ135" s="26">
        <f t="shared" si="327"/>
        <v>73093</v>
      </c>
      <c r="AR135" s="26">
        <f t="shared" si="327"/>
        <v>72019</v>
      </c>
      <c r="AS135" s="26">
        <f t="shared" si="327"/>
        <v>0</v>
      </c>
      <c r="AT135" s="26">
        <f t="shared" si="327"/>
        <v>72019</v>
      </c>
      <c r="AU135" s="26">
        <f t="shared" si="327"/>
        <v>24342</v>
      </c>
      <c r="AV135" s="26">
        <f t="shared" si="327"/>
        <v>-11</v>
      </c>
      <c r="AW135" s="26">
        <f t="shared" si="327"/>
        <v>0</v>
      </c>
      <c r="AX135" s="26">
        <f t="shared" si="327"/>
        <v>0</v>
      </c>
      <c r="AY135" s="26">
        <f t="shared" si="327"/>
        <v>0</v>
      </c>
      <c r="AZ135" s="26">
        <f t="shared" si="327"/>
        <v>96350</v>
      </c>
      <c r="BA135" s="27">
        <f t="shared" si="327"/>
        <v>0</v>
      </c>
      <c r="BB135" s="27">
        <f t="shared" si="327"/>
        <v>-0.1</v>
      </c>
      <c r="BC135" s="27">
        <f t="shared" si="327"/>
        <v>0</v>
      </c>
      <c r="BD135" s="27">
        <f t="shared" si="327"/>
        <v>0</v>
      </c>
      <c r="BE135" s="27">
        <f t="shared" si="327"/>
        <v>0</v>
      </c>
      <c r="BF135" s="27">
        <f t="shared" si="327"/>
        <v>0</v>
      </c>
      <c r="BG135" s="27">
        <f t="shared" si="327"/>
        <v>0</v>
      </c>
      <c r="BH135" s="27">
        <f t="shared" si="327"/>
        <v>0</v>
      </c>
      <c r="BI135" s="27">
        <f t="shared" si="327"/>
        <v>0.1</v>
      </c>
      <c r="BJ135" s="27">
        <f t="shared" si="327"/>
        <v>0</v>
      </c>
      <c r="BK135" s="27">
        <f t="shared" si="327"/>
        <v>0.1</v>
      </c>
      <c r="BL135" s="27">
        <f t="shared" si="327"/>
        <v>-0.1</v>
      </c>
      <c r="BM135" s="430">
        <f t="shared" si="327"/>
        <v>0</v>
      </c>
      <c r="BN135" s="25">
        <f t="shared" si="327"/>
        <v>14803497</v>
      </c>
      <c r="BO135" s="26">
        <f t="shared" si="327"/>
        <v>10837212</v>
      </c>
      <c r="BP135" s="26">
        <f t="shared" si="327"/>
        <v>10071711</v>
      </c>
      <c r="BQ135" s="26">
        <f t="shared" si="327"/>
        <v>765501</v>
      </c>
      <c r="BR135" s="26">
        <f t="shared" si="327"/>
        <v>73093</v>
      </c>
      <c r="BS135" s="26">
        <f t="shared" si="327"/>
        <v>38400</v>
      </c>
      <c r="BT135" s="26">
        <f t="shared" si="327"/>
        <v>34693</v>
      </c>
      <c r="BU135" s="26">
        <f t="shared" si="327"/>
        <v>3687682</v>
      </c>
      <c r="BV135" s="26">
        <f t="shared" si="327"/>
        <v>108372</v>
      </c>
      <c r="BW135" s="26">
        <f t="shared" si="327"/>
        <v>97138</v>
      </c>
      <c r="BX135" s="27">
        <f t="shared" si="327"/>
        <v>18.285499999999999</v>
      </c>
      <c r="BY135" s="27">
        <f t="shared" si="327"/>
        <v>16.092199999999998</v>
      </c>
      <c r="BZ135" s="430">
        <f t="shared" si="327"/>
        <v>2.1932999999999998</v>
      </c>
      <c r="CA135" s="25">
        <f t="shared" si="327"/>
        <v>0</v>
      </c>
      <c r="CB135" s="26">
        <f t="shared" si="327"/>
        <v>0</v>
      </c>
      <c r="CC135" s="26">
        <f t="shared" si="327"/>
        <v>0</v>
      </c>
      <c r="CD135" s="26">
        <f t="shared" si="327"/>
        <v>0</v>
      </c>
      <c r="CE135" s="26">
        <f t="shared" si="327"/>
        <v>0</v>
      </c>
      <c r="CF135" s="241">
        <f t="shared" si="327"/>
        <v>0</v>
      </c>
    </row>
    <row r="136" spans="1:84" customFormat="1" ht="12.75" x14ac:dyDescent="0.2">
      <c r="D136" s="23"/>
      <c r="E136" s="24"/>
      <c r="F136" s="23"/>
      <c r="G136" s="41"/>
      <c r="H136" s="2">
        <v>3117</v>
      </c>
      <c r="I136" s="167">
        <f t="shared" ref="I136:AO136" si="328">SUMIF($F$12:$F$395,"=3117",I$12:I$395)</f>
        <v>30671562</v>
      </c>
      <c r="J136" s="16">
        <f t="shared" si="328"/>
        <v>22425242</v>
      </c>
      <c r="K136" s="16">
        <f t="shared" si="328"/>
        <v>19615356</v>
      </c>
      <c r="L136" s="16">
        <f t="shared" si="328"/>
        <v>2809886</v>
      </c>
      <c r="M136" s="16">
        <f t="shared" si="328"/>
        <v>0</v>
      </c>
      <c r="N136" s="16">
        <f t="shared" si="328"/>
        <v>0</v>
      </c>
      <c r="O136" s="16">
        <f t="shared" si="328"/>
        <v>0</v>
      </c>
      <c r="P136" s="16">
        <f t="shared" si="328"/>
        <v>7579732</v>
      </c>
      <c r="Q136" s="16">
        <f t="shared" si="328"/>
        <v>224251</v>
      </c>
      <c r="R136" s="16">
        <f t="shared" si="328"/>
        <v>442337</v>
      </c>
      <c r="S136" s="13">
        <f t="shared" si="328"/>
        <v>38.224800000000002</v>
      </c>
      <c r="T136" s="13">
        <f t="shared" si="328"/>
        <v>30.502000000000002</v>
      </c>
      <c r="U136" s="17">
        <f t="shared" si="328"/>
        <v>7.7228000000000003</v>
      </c>
      <c r="V136" s="38">
        <f t="shared" si="328"/>
        <v>-35200</v>
      </c>
      <c r="W136" s="26">
        <f t="shared" si="328"/>
        <v>-38400</v>
      </c>
      <c r="X136" s="26">
        <f t="shared" si="328"/>
        <v>6709594</v>
      </c>
      <c r="Y136" s="26">
        <f t="shared" si="328"/>
        <v>0</v>
      </c>
      <c r="Z136" s="26">
        <f t="shared" si="328"/>
        <v>0</v>
      </c>
      <c r="AA136" s="26">
        <f t="shared" si="328"/>
        <v>0</v>
      </c>
      <c r="AB136" s="26">
        <f t="shared" si="328"/>
        <v>112800</v>
      </c>
      <c r="AC136" s="26">
        <f t="shared" si="328"/>
        <v>0</v>
      </c>
      <c r="AD136" s="26">
        <f t="shared" si="328"/>
        <v>0</v>
      </c>
      <c r="AE136" s="26">
        <f t="shared" si="328"/>
        <v>0</v>
      </c>
      <c r="AF136" s="26">
        <f t="shared" si="328"/>
        <v>6787194</v>
      </c>
      <c r="AG136" s="26">
        <f t="shared" si="328"/>
        <v>-38400</v>
      </c>
      <c r="AH136" s="26">
        <f t="shared" si="328"/>
        <v>6748794</v>
      </c>
      <c r="AI136" s="26">
        <f t="shared" si="328"/>
        <v>35200</v>
      </c>
      <c r="AJ136" s="26">
        <f t="shared" si="328"/>
        <v>38400</v>
      </c>
      <c r="AK136" s="26">
        <f t="shared" si="328"/>
        <v>0</v>
      </c>
      <c r="AL136" s="26">
        <f t="shared" si="328"/>
        <v>46311</v>
      </c>
      <c r="AM136" s="26">
        <f t="shared" si="328"/>
        <v>0</v>
      </c>
      <c r="AN136" s="26">
        <f t="shared" si="328"/>
        <v>0</v>
      </c>
      <c r="AO136" s="26">
        <f t="shared" si="328"/>
        <v>81511</v>
      </c>
      <c r="AP136" s="26">
        <f t="shared" ref="AP136:CF136" si="329">SUMIF($F$12:$F$395,"=3117",AP$12:AP$395)</f>
        <v>38400</v>
      </c>
      <c r="AQ136" s="26">
        <f t="shared" si="329"/>
        <v>119911</v>
      </c>
      <c r="AR136" s="26">
        <f t="shared" si="329"/>
        <v>6868705</v>
      </c>
      <c r="AS136" s="26">
        <f t="shared" si="329"/>
        <v>0</v>
      </c>
      <c r="AT136" s="26">
        <f t="shared" si="329"/>
        <v>6868705</v>
      </c>
      <c r="AU136" s="26">
        <f t="shared" si="329"/>
        <v>2321623</v>
      </c>
      <c r="AV136" s="26">
        <f t="shared" si="329"/>
        <v>67488</v>
      </c>
      <c r="AW136" s="26">
        <f t="shared" si="329"/>
        <v>8500</v>
      </c>
      <c r="AX136" s="26">
        <f t="shared" si="329"/>
        <v>0</v>
      </c>
      <c r="AY136" s="26">
        <f t="shared" si="329"/>
        <v>8500</v>
      </c>
      <c r="AZ136" s="26">
        <f t="shared" si="329"/>
        <v>9266316</v>
      </c>
      <c r="BA136" s="27">
        <f t="shared" si="329"/>
        <v>-0.03</v>
      </c>
      <c r="BB136" s="27">
        <f t="shared" si="329"/>
        <v>-0.06</v>
      </c>
      <c r="BC136" s="27">
        <f t="shared" si="329"/>
        <v>17.78</v>
      </c>
      <c r="BD136" s="27">
        <f t="shared" si="329"/>
        <v>0.2</v>
      </c>
      <c r="BE136" s="27">
        <f t="shared" si="329"/>
        <v>0</v>
      </c>
      <c r="BF136" s="27">
        <f t="shared" si="329"/>
        <v>0</v>
      </c>
      <c r="BG136" s="27">
        <f t="shared" si="329"/>
        <v>0</v>
      </c>
      <c r="BH136" s="27">
        <f t="shared" si="329"/>
        <v>0</v>
      </c>
      <c r="BI136" s="27">
        <f t="shared" si="329"/>
        <v>0</v>
      </c>
      <c r="BJ136" s="27">
        <f t="shared" si="329"/>
        <v>0</v>
      </c>
      <c r="BK136" s="27">
        <f t="shared" si="329"/>
        <v>17.950000000000003</v>
      </c>
      <c r="BL136" s="27">
        <f t="shared" si="329"/>
        <v>-0.06</v>
      </c>
      <c r="BM136" s="430">
        <f t="shared" si="329"/>
        <v>17.89</v>
      </c>
      <c r="BN136" s="25">
        <f t="shared" si="329"/>
        <v>39937878</v>
      </c>
      <c r="BO136" s="26">
        <f t="shared" si="329"/>
        <v>29174036</v>
      </c>
      <c r="BP136" s="26">
        <f t="shared" si="329"/>
        <v>26402550</v>
      </c>
      <c r="BQ136" s="26">
        <f t="shared" si="329"/>
        <v>2771486</v>
      </c>
      <c r="BR136" s="26">
        <f t="shared" si="329"/>
        <v>119911</v>
      </c>
      <c r="BS136" s="26">
        <f t="shared" si="329"/>
        <v>81511</v>
      </c>
      <c r="BT136" s="26">
        <f t="shared" si="329"/>
        <v>38400</v>
      </c>
      <c r="BU136" s="26">
        <f t="shared" si="329"/>
        <v>9901355</v>
      </c>
      <c r="BV136" s="26">
        <f t="shared" si="329"/>
        <v>291739</v>
      </c>
      <c r="BW136" s="26">
        <f t="shared" si="329"/>
        <v>450837</v>
      </c>
      <c r="BX136" s="27">
        <f t="shared" si="329"/>
        <v>56.114799999999995</v>
      </c>
      <c r="BY136" s="27">
        <f t="shared" si="329"/>
        <v>48.452000000000005</v>
      </c>
      <c r="BZ136" s="430">
        <f t="shared" si="329"/>
        <v>7.6627999999999998</v>
      </c>
      <c r="CA136" s="25">
        <f t="shared" si="329"/>
        <v>152054</v>
      </c>
      <c r="CB136" s="26">
        <f t="shared" si="329"/>
        <v>112800</v>
      </c>
      <c r="CC136" s="26">
        <f t="shared" si="329"/>
        <v>0</v>
      </c>
      <c r="CD136" s="26">
        <f t="shared" si="329"/>
        <v>38126</v>
      </c>
      <c r="CE136" s="26">
        <f t="shared" si="329"/>
        <v>1128</v>
      </c>
      <c r="CF136" s="241">
        <f t="shared" si="329"/>
        <v>0.2</v>
      </c>
    </row>
    <row r="137" spans="1:84" customFormat="1" x14ac:dyDescent="0.25">
      <c r="D137" s="23"/>
      <c r="E137" s="24"/>
      <c r="F137" s="90"/>
      <c r="G137" s="41"/>
      <c r="H137" s="2">
        <v>3122</v>
      </c>
      <c r="I137" s="167">
        <f t="shared" ref="I137:AO137" si="330">SUMIF($F$12:$F$395,"=3122",I$12:I$395)</f>
        <v>0</v>
      </c>
      <c r="J137" s="16">
        <f t="shared" si="330"/>
        <v>0</v>
      </c>
      <c r="K137" s="16">
        <f t="shared" si="330"/>
        <v>0</v>
      </c>
      <c r="L137" s="16">
        <f t="shared" si="330"/>
        <v>0</v>
      </c>
      <c r="M137" s="16">
        <f t="shared" si="330"/>
        <v>0</v>
      </c>
      <c r="N137" s="16">
        <f t="shared" si="330"/>
        <v>0</v>
      </c>
      <c r="O137" s="16">
        <f t="shared" si="330"/>
        <v>0</v>
      </c>
      <c r="P137" s="16">
        <f t="shared" si="330"/>
        <v>0</v>
      </c>
      <c r="Q137" s="16">
        <f t="shared" si="330"/>
        <v>0</v>
      </c>
      <c r="R137" s="16">
        <f t="shared" si="330"/>
        <v>0</v>
      </c>
      <c r="S137" s="13">
        <f t="shared" si="330"/>
        <v>0</v>
      </c>
      <c r="T137" s="13">
        <f t="shared" si="330"/>
        <v>0</v>
      </c>
      <c r="U137" s="17">
        <f t="shared" si="330"/>
        <v>0</v>
      </c>
      <c r="V137" s="38">
        <f t="shared" si="330"/>
        <v>0</v>
      </c>
      <c r="W137" s="26">
        <f t="shared" si="330"/>
        <v>0</v>
      </c>
      <c r="X137" s="26">
        <f t="shared" si="330"/>
        <v>0</v>
      </c>
      <c r="Y137" s="26">
        <f t="shared" si="330"/>
        <v>0</v>
      </c>
      <c r="Z137" s="26">
        <f t="shared" si="330"/>
        <v>0</v>
      </c>
      <c r="AA137" s="26">
        <f t="shared" si="330"/>
        <v>0</v>
      </c>
      <c r="AB137" s="26">
        <f t="shared" si="330"/>
        <v>0</v>
      </c>
      <c r="AC137" s="26">
        <f t="shared" si="330"/>
        <v>0</v>
      </c>
      <c r="AD137" s="26">
        <f t="shared" si="330"/>
        <v>0</v>
      </c>
      <c r="AE137" s="26">
        <f t="shared" si="330"/>
        <v>0</v>
      </c>
      <c r="AF137" s="26">
        <f t="shared" si="330"/>
        <v>0</v>
      </c>
      <c r="AG137" s="26">
        <f t="shared" si="330"/>
        <v>0</v>
      </c>
      <c r="AH137" s="26">
        <f t="shared" si="330"/>
        <v>0</v>
      </c>
      <c r="AI137" s="26">
        <f t="shared" si="330"/>
        <v>0</v>
      </c>
      <c r="AJ137" s="26">
        <f t="shared" si="330"/>
        <v>0</v>
      </c>
      <c r="AK137" s="26">
        <f t="shared" si="330"/>
        <v>0</v>
      </c>
      <c r="AL137" s="26">
        <f t="shared" si="330"/>
        <v>0</v>
      </c>
      <c r="AM137" s="26">
        <f t="shared" si="330"/>
        <v>0</v>
      </c>
      <c r="AN137" s="26">
        <f t="shared" si="330"/>
        <v>0</v>
      </c>
      <c r="AO137" s="26">
        <f t="shared" si="330"/>
        <v>0</v>
      </c>
      <c r="AP137" s="26">
        <f t="shared" ref="AP137:CF137" si="331">SUMIF($F$12:$F$395,"=3122",AP$12:AP$395)</f>
        <v>0</v>
      </c>
      <c r="AQ137" s="26">
        <f t="shared" si="331"/>
        <v>0</v>
      </c>
      <c r="AR137" s="26">
        <f t="shared" si="331"/>
        <v>0</v>
      </c>
      <c r="AS137" s="26">
        <f t="shared" si="331"/>
        <v>0</v>
      </c>
      <c r="AT137" s="26">
        <f t="shared" si="331"/>
        <v>0</v>
      </c>
      <c r="AU137" s="26">
        <f t="shared" si="331"/>
        <v>0</v>
      </c>
      <c r="AV137" s="26">
        <f t="shared" si="331"/>
        <v>0</v>
      </c>
      <c r="AW137" s="26">
        <f t="shared" si="331"/>
        <v>0</v>
      </c>
      <c r="AX137" s="26">
        <f t="shared" si="331"/>
        <v>0</v>
      </c>
      <c r="AY137" s="26">
        <f t="shared" si="331"/>
        <v>0</v>
      </c>
      <c r="AZ137" s="26">
        <f t="shared" si="331"/>
        <v>0</v>
      </c>
      <c r="BA137" s="27">
        <f t="shared" si="331"/>
        <v>0</v>
      </c>
      <c r="BB137" s="27">
        <f t="shared" si="331"/>
        <v>0</v>
      </c>
      <c r="BC137" s="27">
        <f t="shared" si="331"/>
        <v>0</v>
      </c>
      <c r="BD137" s="27">
        <f t="shared" si="331"/>
        <v>0</v>
      </c>
      <c r="BE137" s="27">
        <f t="shared" si="331"/>
        <v>0</v>
      </c>
      <c r="BF137" s="27">
        <f t="shared" si="331"/>
        <v>0</v>
      </c>
      <c r="BG137" s="27">
        <f t="shared" si="331"/>
        <v>0</v>
      </c>
      <c r="BH137" s="27">
        <f t="shared" si="331"/>
        <v>0</v>
      </c>
      <c r="BI137" s="27">
        <f t="shared" si="331"/>
        <v>0</v>
      </c>
      <c r="BJ137" s="27">
        <f t="shared" si="331"/>
        <v>0</v>
      </c>
      <c r="BK137" s="27">
        <f t="shared" si="331"/>
        <v>0</v>
      </c>
      <c r="BL137" s="27">
        <f t="shared" si="331"/>
        <v>0</v>
      </c>
      <c r="BM137" s="430">
        <f t="shared" si="331"/>
        <v>0</v>
      </c>
      <c r="BN137" s="25">
        <f t="shared" si="331"/>
        <v>0</v>
      </c>
      <c r="BO137" s="26">
        <f t="shared" si="331"/>
        <v>0</v>
      </c>
      <c r="BP137" s="26">
        <f t="shared" si="331"/>
        <v>0</v>
      </c>
      <c r="BQ137" s="26">
        <f t="shared" si="331"/>
        <v>0</v>
      </c>
      <c r="BR137" s="26">
        <f t="shared" si="331"/>
        <v>0</v>
      </c>
      <c r="BS137" s="26">
        <f t="shared" si="331"/>
        <v>0</v>
      </c>
      <c r="BT137" s="26">
        <f t="shared" si="331"/>
        <v>0</v>
      </c>
      <c r="BU137" s="26">
        <f t="shared" si="331"/>
        <v>0</v>
      </c>
      <c r="BV137" s="26">
        <f t="shared" si="331"/>
        <v>0</v>
      </c>
      <c r="BW137" s="26">
        <f t="shared" si="331"/>
        <v>0</v>
      </c>
      <c r="BX137" s="27">
        <f t="shared" si="331"/>
        <v>0</v>
      </c>
      <c r="BY137" s="27">
        <f t="shared" si="331"/>
        <v>0</v>
      </c>
      <c r="BZ137" s="430">
        <f t="shared" si="331"/>
        <v>0</v>
      </c>
      <c r="CA137" s="25">
        <f t="shared" si="331"/>
        <v>0</v>
      </c>
      <c r="CB137" s="26">
        <f t="shared" si="331"/>
        <v>0</v>
      </c>
      <c r="CC137" s="26">
        <f t="shared" si="331"/>
        <v>0</v>
      </c>
      <c r="CD137" s="26">
        <f t="shared" si="331"/>
        <v>0</v>
      </c>
      <c r="CE137" s="26">
        <f t="shared" si="331"/>
        <v>0</v>
      </c>
      <c r="CF137" s="241">
        <f t="shared" si="331"/>
        <v>0</v>
      </c>
    </row>
    <row r="138" spans="1:84" customFormat="1" ht="12.75" x14ac:dyDescent="0.2">
      <c r="C138" s="8"/>
      <c r="D138" s="23"/>
      <c r="E138" s="24"/>
      <c r="F138" s="23"/>
      <c r="G138" s="41"/>
      <c r="H138" s="2">
        <v>3124</v>
      </c>
      <c r="I138" s="167">
        <f t="shared" ref="I138:AO138" si="332">SUMIF($F$12:$F$395,"=3124",I$12:I$395)</f>
        <v>0</v>
      </c>
      <c r="J138" s="16">
        <f t="shared" si="332"/>
        <v>0</v>
      </c>
      <c r="K138" s="16">
        <f t="shared" si="332"/>
        <v>0</v>
      </c>
      <c r="L138" s="16">
        <f t="shared" si="332"/>
        <v>0</v>
      </c>
      <c r="M138" s="16">
        <f t="shared" si="332"/>
        <v>0</v>
      </c>
      <c r="N138" s="16">
        <f t="shared" si="332"/>
        <v>0</v>
      </c>
      <c r="O138" s="16">
        <f t="shared" si="332"/>
        <v>0</v>
      </c>
      <c r="P138" s="16">
        <f t="shared" si="332"/>
        <v>0</v>
      </c>
      <c r="Q138" s="16">
        <f t="shared" si="332"/>
        <v>0</v>
      </c>
      <c r="R138" s="16">
        <f t="shared" si="332"/>
        <v>0</v>
      </c>
      <c r="S138" s="13">
        <f t="shared" si="332"/>
        <v>0</v>
      </c>
      <c r="T138" s="13">
        <f t="shared" si="332"/>
        <v>0</v>
      </c>
      <c r="U138" s="17">
        <f t="shared" si="332"/>
        <v>0</v>
      </c>
      <c r="V138" s="38">
        <f t="shared" si="332"/>
        <v>0</v>
      </c>
      <c r="W138" s="26">
        <f t="shared" si="332"/>
        <v>0</v>
      </c>
      <c r="X138" s="26">
        <f t="shared" si="332"/>
        <v>0</v>
      </c>
      <c r="Y138" s="26">
        <f t="shared" si="332"/>
        <v>0</v>
      </c>
      <c r="Z138" s="26">
        <f t="shared" si="332"/>
        <v>0</v>
      </c>
      <c r="AA138" s="26">
        <f t="shared" si="332"/>
        <v>0</v>
      </c>
      <c r="AB138" s="26">
        <f t="shared" si="332"/>
        <v>0</v>
      </c>
      <c r="AC138" s="26">
        <f t="shared" si="332"/>
        <v>0</v>
      </c>
      <c r="AD138" s="26">
        <f t="shared" si="332"/>
        <v>0</v>
      </c>
      <c r="AE138" s="26">
        <f t="shared" si="332"/>
        <v>0</v>
      </c>
      <c r="AF138" s="26">
        <f t="shared" si="332"/>
        <v>0</v>
      </c>
      <c r="AG138" s="26">
        <f t="shared" si="332"/>
        <v>0</v>
      </c>
      <c r="AH138" s="26">
        <f t="shared" si="332"/>
        <v>0</v>
      </c>
      <c r="AI138" s="26">
        <f t="shared" si="332"/>
        <v>0</v>
      </c>
      <c r="AJ138" s="26">
        <f t="shared" si="332"/>
        <v>0</v>
      </c>
      <c r="AK138" s="26">
        <f t="shared" si="332"/>
        <v>0</v>
      </c>
      <c r="AL138" s="26">
        <f t="shared" si="332"/>
        <v>0</v>
      </c>
      <c r="AM138" s="26">
        <f t="shared" si="332"/>
        <v>0</v>
      </c>
      <c r="AN138" s="26">
        <f t="shared" si="332"/>
        <v>0</v>
      </c>
      <c r="AO138" s="26">
        <f t="shared" si="332"/>
        <v>0</v>
      </c>
      <c r="AP138" s="26">
        <f t="shared" ref="AP138:CF138" si="333">SUMIF($F$12:$F$395,"=3124",AP$12:AP$395)</f>
        <v>0</v>
      </c>
      <c r="AQ138" s="26">
        <f t="shared" si="333"/>
        <v>0</v>
      </c>
      <c r="AR138" s="26">
        <f t="shared" si="333"/>
        <v>0</v>
      </c>
      <c r="AS138" s="26">
        <f t="shared" si="333"/>
        <v>0</v>
      </c>
      <c r="AT138" s="26">
        <f t="shared" si="333"/>
        <v>0</v>
      </c>
      <c r="AU138" s="26">
        <f t="shared" si="333"/>
        <v>0</v>
      </c>
      <c r="AV138" s="26">
        <f t="shared" si="333"/>
        <v>0</v>
      </c>
      <c r="AW138" s="26">
        <f t="shared" si="333"/>
        <v>0</v>
      </c>
      <c r="AX138" s="26">
        <f t="shared" si="333"/>
        <v>0</v>
      </c>
      <c r="AY138" s="26">
        <f t="shared" si="333"/>
        <v>0</v>
      </c>
      <c r="AZ138" s="26">
        <f t="shared" si="333"/>
        <v>0</v>
      </c>
      <c r="BA138" s="27">
        <f t="shared" si="333"/>
        <v>0</v>
      </c>
      <c r="BB138" s="27">
        <f t="shared" si="333"/>
        <v>0</v>
      </c>
      <c r="BC138" s="27">
        <f t="shared" si="333"/>
        <v>0</v>
      </c>
      <c r="BD138" s="27">
        <f t="shared" si="333"/>
        <v>0</v>
      </c>
      <c r="BE138" s="27">
        <f t="shared" si="333"/>
        <v>0</v>
      </c>
      <c r="BF138" s="27">
        <f t="shared" si="333"/>
        <v>0</v>
      </c>
      <c r="BG138" s="27">
        <f t="shared" si="333"/>
        <v>0</v>
      </c>
      <c r="BH138" s="27">
        <f t="shared" si="333"/>
        <v>0</v>
      </c>
      <c r="BI138" s="27">
        <f t="shared" si="333"/>
        <v>0</v>
      </c>
      <c r="BJ138" s="27">
        <f t="shared" si="333"/>
        <v>0</v>
      </c>
      <c r="BK138" s="27">
        <f t="shared" si="333"/>
        <v>0</v>
      </c>
      <c r="BL138" s="27">
        <f t="shared" si="333"/>
        <v>0</v>
      </c>
      <c r="BM138" s="430">
        <f t="shared" si="333"/>
        <v>0</v>
      </c>
      <c r="BN138" s="25">
        <f t="shared" si="333"/>
        <v>0</v>
      </c>
      <c r="BO138" s="26">
        <f t="shared" si="333"/>
        <v>0</v>
      </c>
      <c r="BP138" s="26">
        <f t="shared" si="333"/>
        <v>0</v>
      </c>
      <c r="BQ138" s="26">
        <f t="shared" si="333"/>
        <v>0</v>
      </c>
      <c r="BR138" s="26">
        <f t="shared" si="333"/>
        <v>0</v>
      </c>
      <c r="BS138" s="26">
        <f t="shared" si="333"/>
        <v>0</v>
      </c>
      <c r="BT138" s="26">
        <f t="shared" si="333"/>
        <v>0</v>
      </c>
      <c r="BU138" s="26">
        <f t="shared" si="333"/>
        <v>0</v>
      </c>
      <c r="BV138" s="26">
        <f t="shared" si="333"/>
        <v>0</v>
      </c>
      <c r="BW138" s="26">
        <f t="shared" si="333"/>
        <v>0</v>
      </c>
      <c r="BX138" s="27">
        <f t="shared" si="333"/>
        <v>0</v>
      </c>
      <c r="BY138" s="27">
        <f t="shared" si="333"/>
        <v>0</v>
      </c>
      <c r="BZ138" s="430">
        <f t="shared" si="333"/>
        <v>0</v>
      </c>
      <c r="CA138" s="25">
        <f t="shared" si="333"/>
        <v>0</v>
      </c>
      <c r="CB138" s="26">
        <f t="shared" si="333"/>
        <v>0</v>
      </c>
      <c r="CC138" s="26">
        <f t="shared" si="333"/>
        <v>0</v>
      </c>
      <c r="CD138" s="26">
        <f t="shared" si="333"/>
        <v>0</v>
      </c>
      <c r="CE138" s="26">
        <f t="shared" si="333"/>
        <v>0</v>
      </c>
      <c r="CF138" s="241">
        <f t="shared" si="333"/>
        <v>0</v>
      </c>
    </row>
    <row r="139" spans="1:84" customFormat="1" ht="12.75" x14ac:dyDescent="0.2">
      <c r="D139" s="23"/>
      <c r="E139" s="24"/>
      <c r="F139" s="24"/>
      <c r="G139" s="41"/>
      <c r="H139" s="2">
        <v>3141</v>
      </c>
      <c r="I139" s="167">
        <f t="shared" ref="I139:AO139" si="334">SUMIF($F$12:$F$395,"=3141",I$12:I$395)</f>
        <v>16739259</v>
      </c>
      <c r="J139" s="16">
        <f t="shared" si="334"/>
        <v>12343230</v>
      </c>
      <c r="K139" s="16">
        <f t="shared" si="334"/>
        <v>0</v>
      </c>
      <c r="L139" s="16">
        <f t="shared" si="334"/>
        <v>12343230</v>
      </c>
      <c r="M139" s="16">
        <f t="shared" si="334"/>
        <v>0</v>
      </c>
      <c r="N139" s="16">
        <f t="shared" si="334"/>
        <v>0</v>
      </c>
      <c r="O139" s="16">
        <f t="shared" si="334"/>
        <v>0</v>
      </c>
      <c r="P139" s="16">
        <f t="shared" si="334"/>
        <v>4172012</v>
      </c>
      <c r="Q139" s="16">
        <f t="shared" si="334"/>
        <v>123430</v>
      </c>
      <c r="R139" s="16">
        <f t="shared" si="334"/>
        <v>100587</v>
      </c>
      <c r="S139" s="13">
        <f t="shared" si="334"/>
        <v>37.01339999999999</v>
      </c>
      <c r="T139" s="13">
        <f t="shared" si="334"/>
        <v>0</v>
      </c>
      <c r="U139" s="17">
        <f t="shared" si="334"/>
        <v>37.01339999999999</v>
      </c>
      <c r="V139" s="38">
        <f t="shared" si="334"/>
        <v>0</v>
      </c>
      <c r="W139" s="26">
        <f t="shared" si="334"/>
        <v>-159360</v>
      </c>
      <c r="X139" s="26">
        <f t="shared" si="334"/>
        <v>0</v>
      </c>
      <c r="Y139" s="26">
        <f t="shared" si="334"/>
        <v>0</v>
      </c>
      <c r="Z139" s="26">
        <f t="shared" si="334"/>
        <v>0</v>
      </c>
      <c r="AA139" s="26">
        <f t="shared" si="334"/>
        <v>0</v>
      </c>
      <c r="AB139" s="26">
        <f t="shared" si="334"/>
        <v>0</v>
      </c>
      <c r="AC139" s="26">
        <f t="shared" si="334"/>
        <v>0</v>
      </c>
      <c r="AD139" s="26">
        <f t="shared" si="334"/>
        <v>0</v>
      </c>
      <c r="AE139" s="26">
        <f t="shared" si="334"/>
        <v>340150</v>
      </c>
      <c r="AF139" s="26">
        <f t="shared" si="334"/>
        <v>0</v>
      </c>
      <c r="AG139" s="26">
        <f t="shared" si="334"/>
        <v>180790</v>
      </c>
      <c r="AH139" s="26">
        <f t="shared" si="334"/>
        <v>180790</v>
      </c>
      <c r="AI139" s="26">
        <f t="shared" si="334"/>
        <v>0</v>
      </c>
      <c r="AJ139" s="26">
        <f t="shared" si="334"/>
        <v>159360</v>
      </c>
      <c r="AK139" s="26">
        <f t="shared" si="334"/>
        <v>0</v>
      </c>
      <c r="AL139" s="26">
        <f t="shared" si="334"/>
        <v>0</v>
      </c>
      <c r="AM139" s="26">
        <f t="shared" si="334"/>
        <v>0</v>
      </c>
      <c r="AN139" s="26">
        <f t="shared" si="334"/>
        <v>0</v>
      </c>
      <c r="AO139" s="26">
        <f t="shared" si="334"/>
        <v>0</v>
      </c>
      <c r="AP139" s="26">
        <f t="shared" ref="AP139:CF139" si="335">SUMIF($F$12:$F$395,"=3141",AP$12:AP$395)</f>
        <v>159360</v>
      </c>
      <c r="AQ139" s="26">
        <f t="shared" si="335"/>
        <v>159360</v>
      </c>
      <c r="AR139" s="26">
        <f t="shared" si="335"/>
        <v>0</v>
      </c>
      <c r="AS139" s="26">
        <f t="shared" si="335"/>
        <v>340150</v>
      </c>
      <c r="AT139" s="26">
        <f t="shared" si="335"/>
        <v>340150</v>
      </c>
      <c r="AU139" s="26">
        <f t="shared" si="335"/>
        <v>114971</v>
      </c>
      <c r="AV139" s="26">
        <f t="shared" si="335"/>
        <v>1808</v>
      </c>
      <c r="AW139" s="26">
        <f t="shared" si="335"/>
        <v>0</v>
      </c>
      <c r="AX139" s="26">
        <f t="shared" si="335"/>
        <v>0</v>
      </c>
      <c r="AY139" s="26">
        <f t="shared" si="335"/>
        <v>0</v>
      </c>
      <c r="AZ139" s="26">
        <f t="shared" si="335"/>
        <v>456929</v>
      </c>
      <c r="BA139" s="27">
        <f t="shared" si="335"/>
        <v>0</v>
      </c>
      <c r="BB139" s="27">
        <f t="shared" si="335"/>
        <v>-0.22</v>
      </c>
      <c r="BC139" s="27">
        <f t="shared" si="335"/>
        <v>0</v>
      </c>
      <c r="BD139" s="27">
        <f t="shared" si="335"/>
        <v>0</v>
      </c>
      <c r="BE139" s="27">
        <f t="shared" si="335"/>
        <v>0</v>
      </c>
      <c r="BF139" s="27">
        <f t="shared" si="335"/>
        <v>0</v>
      </c>
      <c r="BG139" s="27">
        <f t="shared" si="335"/>
        <v>0</v>
      </c>
      <c r="BH139" s="27">
        <f t="shared" si="335"/>
        <v>0</v>
      </c>
      <c r="BI139" s="27">
        <f t="shared" si="335"/>
        <v>0</v>
      </c>
      <c r="BJ139" s="27">
        <f t="shared" si="335"/>
        <v>1.02</v>
      </c>
      <c r="BK139" s="27">
        <f t="shared" si="335"/>
        <v>0</v>
      </c>
      <c r="BL139" s="27">
        <f t="shared" si="335"/>
        <v>0.8</v>
      </c>
      <c r="BM139" s="430">
        <f t="shared" si="335"/>
        <v>0.8</v>
      </c>
      <c r="BN139" s="25">
        <f t="shared" si="335"/>
        <v>17196188</v>
      </c>
      <c r="BO139" s="26">
        <f t="shared" si="335"/>
        <v>12524020</v>
      </c>
      <c r="BP139" s="26">
        <f t="shared" si="335"/>
        <v>0</v>
      </c>
      <c r="BQ139" s="26">
        <f t="shared" si="335"/>
        <v>12524020</v>
      </c>
      <c r="BR139" s="26">
        <f t="shared" si="335"/>
        <v>159360</v>
      </c>
      <c r="BS139" s="26">
        <f t="shared" si="335"/>
        <v>0</v>
      </c>
      <c r="BT139" s="26">
        <f t="shared" si="335"/>
        <v>159360</v>
      </c>
      <c r="BU139" s="26">
        <f t="shared" si="335"/>
        <v>4286983</v>
      </c>
      <c r="BV139" s="26">
        <f t="shared" si="335"/>
        <v>125238</v>
      </c>
      <c r="BW139" s="26">
        <f t="shared" si="335"/>
        <v>100587</v>
      </c>
      <c r="BX139" s="27">
        <f t="shared" si="335"/>
        <v>37.813399999999994</v>
      </c>
      <c r="BY139" s="27">
        <f t="shared" si="335"/>
        <v>0</v>
      </c>
      <c r="BZ139" s="430">
        <f t="shared" si="335"/>
        <v>37.813399999999994</v>
      </c>
      <c r="CA139" s="25">
        <f t="shared" si="335"/>
        <v>0</v>
      </c>
      <c r="CB139" s="26">
        <f t="shared" si="335"/>
        <v>0</v>
      </c>
      <c r="CC139" s="26">
        <f t="shared" si="335"/>
        <v>0</v>
      </c>
      <c r="CD139" s="26">
        <f t="shared" si="335"/>
        <v>0</v>
      </c>
      <c r="CE139" s="26">
        <f t="shared" si="335"/>
        <v>0</v>
      </c>
      <c r="CF139" s="241">
        <f t="shared" si="335"/>
        <v>0</v>
      </c>
    </row>
    <row r="140" spans="1:84" customFormat="1" ht="12.75" x14ac:dyDescent="0.2">
      <c r="C140" s="8"/>
      <c r="D140" s="23"/>
      <c r="E140" s="24"/>
      <c r="F140" s="23"/>
      <c r="G140" s="41"/>
      <c r="H140" s="2">
        <v>3143</v>
      </c>
      <c r="I140" s="167">
        <f t="shared" ref="I140:AO140" si="336">SUMIF($F$12:$F$395,"=3143",I$12:I$395)</f>
        <v>17736439</v>
      </c>
      <c r="J140" s="16">
        <f t="shared" si="336"/>
        <v>13147632</v>
      </c>
      <c r="K140" s="16">
        <f t="shared" si="336"/>
        <v>12870036</v>
      </c>
      <c r="L140" s="16">
        <f t="shared" si="336"/>
        <v>277596</v>
      </c>
      <c r="M140" s="16">
        <f t="shared" si="336"/>
        <v>0</v>
      </c>
      <c r="N140" s="16">
        <f t="shared" si="336"/>
        <v>0</v>
      </c>
      <c r="O140" s="16">
        <f t="shared" si="336"/>
        <v>0</v>
      </c>
      <c r="P140" s="16">
        <f t="shared" si="336"/>
        <v>4443899</v>
      </c>
      <c r="Q140" s="16">
        <f t="shared" si="336"/>
        <v>131480</v>
      </c>
      <c r="R140" s="16">
        <f t="shared" si="336"/>
        <v>13428</v>
      </c>
      <c r="S140" s="13">
        <f t="shared" si="336"/>
        <v>27.370200000000004</v>
      </c>
      <c r="T140" s="13">
        <f t="shared" si="336"/>
        <v>26.314500000000002</v>
      </c>
      <c r="U140" s="17">
        <f t="shared" si="336"/>
        <v>1.0557000000000001</v>
      </c>
      <c r="V140" s="38">
        <f t="shared" si="336"/>
        <v>-97280</v>
      </c>
      <c r="W140" s="26">
        <f t="shared" si="336"/>
        <v>0</v>
      </c>
      <c r="X140" s="26">
        <f t="shared" si="336"/>
        <v>0</v>
      </c>
      <c r="Y140" s="26">
        <f t="shared" si="336"/>
        <v>0</v>
      </c>
      <c r="Z140" s="26">
        <f t="shared" si="336"/>
        <v>0</v>
      </c>
      <c r="AA140" s="26">
        <f t="shared" si="336"/>
        <v>0</v>
      </c>
      <c r="AB140" s="26">
        <f t="shared" si="336"/>
        <v>0</v>
      </c>
      <c r="AC140" s="26">
        <f t="shared" si="336"/>
        <v>0</v>
      </c>
      <c r="AD140" s="26">
        <f t="shared" si="336"/>
        <v>-17842</v>
      </c>
      <c r="AE140" s="26">
        <f t="shared" si="336"/>
        <v>0</v>
      </c>
      <c r="AF140" s="26">
        <f t="shared" si="336"/>
        <v>-115122</v>
      </c>
      <c r="AG140" s="26">
        <f t="shared" si="336"/>
        <v>0</v>
      </c>
      <c r="AH140" s="26">
        <f t="shared" si="336"/>
        <v>-115122</v>
      </c>
      <c r="AI140" s="26">
        <f t="shared" si="336"/>
        <v>97280</v>
      </c>
      <c r="AJ140" s="26">
        <f t="shared" si="336"/>
        <v>0</v>
      </c>
      <c r="AK140" s="26">
        <f t="shared" si="336"/>
        <v>0</v>
      </c>
      <c r="AL140" s="26">
        <f t="shared" si="336"/>
        <v>0</v>
      </c>
      <c r="AM140" s="26">
        <f t="shared" si="336"/>
        <v>0</v>
      </c>
      <c r="AN140" s="26">
        <f t="shared" si="336"/>
        <v>0</v>
      </c>
      <c r="AO140" s="26">
        <f t="shared" si="336"/>
        <v>97280</v>
      </c>
      <c r="AP140" s="26">
        <f t="shared" ref="AP140:CF140" si="337">SUMIF($F$12:$F$395,"=3143",AP$12:AP$395)</f>
        <v>0</v>
      </c>
      <c r="AQ140" s="26">
        <f t="shared" si="337"/>
        <v>97280</v>
      </c>
      <c r="AR140" s="26">
        <f t="shared" si="337"/>
        <v>-17842</v>
      </c>
      <c r="AS140" s="26">
        <f t="shared" si="337"/>
        <v>0</v>
      </c>
      <c r="AT140" s="26">
        <f t="shared" si="337"/>
        <v>-17842</v>
      </c>
      <c r="AU140" s="26">
        <f t="shared" si="337"/>
        <v>-6031</v>
      </c>
      <c r="AV140" s="26">
        <f t="shared" si="337"/>
        <v>-1151</v>
      </c>
      <c r="AW140" s="26">
        <f t="shared" si="337"/>
        <v>0</v>
      </c>
      <c r="AX140" s="26">
        <f t="shared" si="337"/>
        <v>0</v>
      </c>
      <c r="AY140" s="26">
        <f t="shared" si="337"/>
        <v>0</v>
      </c>
      <c r="AZ140" s="26">
        <f t="shared" si="337"/>
        <v>-25024</v>
      </c>
      <c r="BA140" s="27">
        <f t="shared" si="337"/>
        <v>-0.06</v>
      </c>
      <c r="BB140" s="27">
        <f t="shared" si="337"/>
        <v>0</v>
      </c>
      <c r="BC140" s="27">
        <f t="shared" si="337"/>
        <v>0</v>
      </c>
      <c r="BD140" s="27">
        <f t="shared" si="337"/>
        <v>0</v>
      </c>
      <c r="BE140" s="27">
        <f t="shared" si="337"/>
        <v>0</v>
      </c>
      <c r="BF140" s="27">
        <f t="shared" si="337"/>
        <v>0</v>
      </c>
      <c r="BG140" s="27">
        <f t="shared" si="337"/>
        <v>0</v>
      </c>
      <c r="BH140" s="27">
        <f t="shared" si="337"/>
        <v>0</v>
      </c>
      <c r="BI140" s="27">
        <f t="shared" si="337"/>
        <v>0</v>
      </c>
      <c r="BJ140" s="27">
        <f t="shared" si="337"/>
        <v>0</v>
      </c>
      <c r="BK140" s="27">
        <f t="shared" si="337"/>
        <v>-0.06</v>
      </c>
      <c r="BL140" s="27">
        <f t="shared" si="337"/>
        <v>0</v>
      </c>
      <c r="BM140" s="430">
        <f t="shared" si="337"/>
        <v>-0.06</v>
      </c>
      <c r="BN140" s="25">
        <f t="shared" si="337"/>
        <v>17711415</v>
      </c>
      <c r="BO140" s="26">
        <f t="shared" si="337"/>
        <v>13032510</v>
      </c>
      <c r="BP140" s="26">
        <f t="shared" si="337"/>
        <v>12754914</v>
      </c>
      <c r="BQ140" s="26">
        <f t="shared" si="337"/>
        <v>277596</v>
      </c>
      <c r="BR140" s="26">
        <f t="shared" si="337"/>
        <v>97280</v>
      </c>
      <c r="BS140" s="26">
        <f t="shared" si="337"/>
        <v>97280</v>
      </c>
      <c r="BT140" s="26">
        <f t="shared" si="337"/>
        <v>0</v>
      </c>
      <c r="BU140" s="26">
        <f t="shared" si="337"/>
        <v>4437868</v>
      </c>
      <c r="BV140" s="26">
        <f t="shared" si="337"/>
        <v>130329</v>
      </c>
      <c r="BW140" s="26">
        <f t="shared" si="337"/>
        <v>13428</v>
      </c>
      <c r="BX140" s="27">
        <f t="shared" si="337"/>
        <v>27.310200000000009</v>
      </c>
      <c r="BY140" s="27">
        <f t="shared" si="337"/>
        <v>26.254500000000004</v>
      </c>
      <c r="BZ140" s="430">
        <f t="shared" si="337"/>
        <v>1.0557000000000001</v>
      </c>
      <c r="CA140" s="25">
        <f t="shared" si="337"/>
        <v>0</v>
      </c>
      <c r="CB140" s="26">
        <f t="shared" si="337"/>
        <v>0</v>
      </c>
      <c r="CC140" s="26">
        <f t="shared" si="337"/>
        <v>0</v>
      </c>
      <c r="CD140" s="26">
        <f t="shared" si="337"/>
        <v>0</v>
      </c>
      <c r="CE140" s="26">
        <f t="shared" si="337"/>
        <v>0</v>
      </c>
      <c r="CF140" s="241">
        <f t="shared" si="337"/>
        <v>0</v>
      </c>
    </row>
    <row r="141" spans="1:84" customFormat="1" ht="12.75" x14ac:dyDescent="0.2">
      <c r="D141" s="23"/>
      <c r="E141" s="24"/>
      <c r="F141" s="23"/>
      <c r="G141" s="41"/>
      <c r="H141" s="2">
        <v>3231</v>
      </c>
      <c r="I141" s="167">
        <f t="shared" ref="I141:AO141" si="338">SUMIF($F$12:$F$395,"=3231",I$12:I$395)</f>
        <v>14761264</v>
      </c>
      <c r="J141" s="16">
        <f t="shared" si="338"/>
        <v>10931049</v>
      </c>
      <c r="K141" s="16">
        <f t="shared" si="338"/>
        <v>10524955</v>
      </c>
      <c r="L141" s="16">
        <f t="shared" si="338"/>
        <v>406094</v>
      </c>
      <c r="M141" s="16">
        <f t="shared" si="338"/>
        <v>0</v>
      </c>
      <c r="N141" s="16">
        <f t="shared" si="338"/>
        <v>0</v>
      </c>
      <c r="O141" s="16">
        <f t="shared" si="338"/>
        <v>0</v>
      </c>
      <c r="P141" s="16">
        <f t="shared" si="338"/>
        <v>3694694</v>
      </c>
      <c r="Q141" s="16">
        <f t="shared" si="338"/>
        <v>109310</v>
      </c>
      <c r="R141" s="16">
        <f t="shared" si="338"/>
        <v>26211</v>
      </c>
      <c r="S141" s="13">
        <f t="shared" si="338"/>
        <v>17.650100000000002</v>
      </c>
      <c r="T141" s="13">
        <f t="shared" si="338"/>
        <v>16.5106</v>
      </c>
      <c r="U141" s="17">
        <f t="shared" si="338"/>
        <v>1.1395</v>
      </c>
      <c r="V141" s="38">
        <f t="shared" si="338"/>
        <v>-57600</v>
      </c>
      <c r="W141" s="26">
        <f t="shared" si="338"/>
        <v>-32000</v>
      </c>
      <c r="X141" s="26">
        <f t="shared" si="338"/>
        <v>0</v>
      </c>
      <c r="Y141" s="26">
        <f t="shared" si="338"/>
        <v>0</v>
      </c>
      <c r="Z141" s="26">
        <f t="shared" si="338"/>
        <v>0</v>
      </c>
      <c r="AA141" s="26">
        <f t="shared" si="338"/>
        <v>0</v>
      </c>
      <c r="AB141" s="26">
        <f t="shared" si="338"/>
        <v>0</v>
      </c>
      <c r="AC141" s="26">
        <f t="shared" si="338"/>
        <v>0</v>
      </c>
      <c r="AD141" s="26">
        <f t="shared" si="338"/>
        <v>0</v>
      </c>
      <c r="AE141" s="26">
        <f t="shared" si="338"/>
        <v>0</v>
      </c>
      <c r="AF141" s="26">
        <f t="shared" si="338"/>
        <v>-57600</v>
      </c>
      <c r="AG141" s="26">
        <f t="shared" si="338"/>
        <v>-32000</v>
      </c>
      <c r="AH141" s="26">
        <f t="shared" si="338"/>
        <v>-89600</v>
      </c>
      <c r="AI141" s="26">
        <f t="shared" si="338"/>
        <v>57600</v>
      </c>
      <c r="AJ141" s="26">
        <f t="shared" si="338"/>
        <v>32000</v>
      </c>
      <c r="AK141" s="26">
        <f t="shared" si="338"/>
        <v>0</v>
      </c>
      <c r="AL141" s="26">
        <f t="shared" si="338"/>
        <v>0</v>
      </c>
      <c r="AM141" s="26">
        <f t="shared" si="338"/>
        <v>0</v>
      </c>
      <c r="AN141" s="26">
        <f t="shared" si="338"/>
        <v>0</v>
      </c>
      <c r="AO141" s="26">
        <f t="shared" si="338"/>
        <v>57600</v>
      </c>
      <c r="AP141" s="26">
        <f t="shared" ref="AP141:CF141" si="339">SUMIF($F$12:$F$395,"=3231",AP$12:AP$395)</f>
        <v>32000</v>
      </c>
      <c r="AQ141" s="26">
        <f t="shared" si="339"/>
        <v>89600</v>
      </c>
      <c r="AR141" s="26">
        <f t="shared" si="339"/>
        <v>0</v>
      </c>
      <c r="AS141" s="26">
        <f t="shared" si="339"/>
        <v>0</v>
      </c>
      <c r="AT141" s="26">
        <f t="shared" si="339"/>
        <v>0</v>
      </c>
      <c r="AU141" s="26">
        <f t="shared" si="339"/>
        <v>0</v>
      </c>
      <c r="AV141" s="26">
        <f t="shared" si="339"/>
        <v>-896</v>
      </c>
      <c r="AW141" s="26">
        <f t="shared" si="339"/>
        <v>0</v>
      </c>
      <c r="AX141" s="26">
        <f t="shared" si="339"/>
        <v>0</v>
      </c>
      <c r="AY141" s="26">
        <f t="shared" si="339"/>
        <v>0</v>
      </c>
      <c r="AZ141" s="26">
        <f t="shared" si="339"/>
        <v>-896</v>
      </c>
      <c r="BA141" s="27">
        <f t="shared" si="339"/>
        <v>-0.09</v>
      </c>
      <c r="BB141" s="27">
        <f t="shared" si="339"/>
        <v>-0.09</v>
      </c>
      <c r="BC141" s="27">
        <f t="shared" si="339"/>
        <v>0</v>
      </c>
      <c r="BD141" s="27">
        <f t="shared" si="339"/>
        <v>0</v>
      </c>
      <c r="BE141" s="27">
        <f t="shared" si="339"/>
        <v>0</v>
      </c>
      <c r="BF141" s="27">
        <f t="shared" si="339"/>
        <v>0</v>
      </c>
      <c r="BG141" s="27">
        <f t="shared" si="339"/>
        <v>0</v>
      </c>
      <c r="BH141" s="27">
        <f t="shared" si="339"/>
        <v>0</v>
      </c>
      <c r="BI141" s="27">
        <f t="shared" si="339"/>
        <v>0</v>
      </c>
      <c r="BJ141" s="27">
        <f t="shared" si="339"/>
        <v>0</v>
      </c>
      <c r="BK141" s="27">
        <f t="shared" si="339"/>
        <v>-0.09</v>
      </c>
      <c r="BL141" s="27">
        <f t="shared" si="339"/>
        <v>-0.09</v>
      </c>
      <c r="BM141" s="430">
        <f t="shared" si="339"/>
        <v>-0.18</v>
      </c>
      <c r="BN141" s="25">
        <f t="shared" si="339"/>
        <v>14760368</v>
      </c>
      <c r="BO141" s="26">
        <f t="shared" si="339"/>
        <v>10841449</v>
      </c>
      <c r="BP141" s="26">
        <f t="shared" si="339"/>
        <v>10467355</v>
      </c>
      <c r="BQ141" s="26">
        <f t="shared" si="339"/>
        <v>374094</v>
      </c>
      <c r="BR141" s="26">
        <f t="shared" si="339"/>
        <v>89600</v>
      </c>
      <c r="BS141" s="26">
        <f t="shared" si="339"/>
        <v>57600</v>
      </c>
      <c r="BT141" s="26">
        <f t="shared" si="339"/>
        <v>32000</v>
      </c>
      <c r="BU141" s="26">
        <f t="shared" si="339"/>
        <v>3694694</v>
      </c>
      <c r="BV141" s="26">
        <f t="shared" si="339"/>
        <v>108414</v>
      </c>
      <c r="BW141" s="26">
        <f t="shared" si="339"/>
        <v>26211</v>
      </c>
      <c r="BX141" s="27">
        <f t="shared" si="339"/>
        <v>17.470100000000002</v>
      </c>
      <c r="BY141" s="27">
        <f t="shared" si="339"/>
        <v>16.4206</v>
      </c>
      <c r="BZ141" s="430">
        <f t="shared" si="339"/>
        <v>1.0495000000000001</v>
      </c>
      <c r="CA141" s="25">
        <f t="shared" si="339"/>
        <v>0</v>
      </c>
      <c r="CB141" s="26">
        <f t="shared" si="339"/>
        <v>0</v>
      </c>
      <c r="CC141" s="26">
        <f t="shared" si="339"/>
        <v>0</v>
      </c>
      <c r="CD141" s="26">
        <f t="shared" si="339"/>
        <v>0</v>
      </c>
      <c r="CE141" s="26">
        <f t="shared" si="339"/>
        <v>0</v>
      </c>
      <c r="CF141" s="241">
        <f t="shared" si="339"/>
        <v>0</v>
      </c>
    </row>
    <row r="142" spans="1:84" customFormat="1" ht="13.5" thickBot="1" x14ac:dyDescent="0.25">
      <c r="D142" s="23"/>
      <c r="E142" s="24"/>
      <c r="F142" s="23"/>
      <c r="G142" s="41"/>
      <c r="H142" s="151">
        <v>3233</v>
      </c>
      <c r="I142" s="170">
        <f t="shared" ref="I142:AO142" si="340">SUMIF($F$12:$F$395,"=3233",I$12:I$395)</f>
        <v>3446979</v>
      </c>
      <c r="J142" s="171">
        <f t="shared" si="340"/>
        <v>2555508</v>
      </c>
      <c r="K142" s="171">
        <f t="shared" si="340"/>
        <v>2221807</v>
      </c>
      <c r="L142" s="171">
        <f t="shared" si="340"/>
        <v>333701</v>
      </c>
      <c r="M142" s="171">
        <f t="shared" si="340"/>
        <v>0</v>
      </c>
      <c r="N142" s="171">
        <f t="shared" si="340"/>
        <v>0</v>
      </c>
      <c r="O142" s="171">
        <f t="shared" si="340"/>
        <v>0</v>
      </c>
      <c r="P142" s="171">
        <f t="shared" si="340"/>
        <v>863761</v>
      </c>
      <c r="Q142" s="171">
        <f t="shared" si="340"/>
        <v>25555</v>
      </c>
      <c r="R142" s="171">
        <f t="shared" si="340"/>
        <v>2155</v>
      </c>
      <c r="S142" s="172">
        <f t="shared" si="340"/>
        <v>5.09</v>
      </c>
      <c r="T142" s="172">
        <f t="shared" si="340"/>
        <v>4.0199999999999996</v>
      </c>
      <c r="U142" s="173">
        <f t="shared" si="340"/>
        <v>1.0699999999999998</v>
      </c>
      <c r="V142" s="150">
        <f t="shared" si="340"/>
        <v>-144640</v>
      </c>
      <c r="W142" s="29">
        <f t="shared" si="340"/>
        <v>-111360</v>
      </c>
      <c r="X142" s="29">
        <f t="shared" si="340"/>
        <v>0</v>
      </c>
      <c r="Y142" s="29">
        <f t="shared" si="340"/>
        <v>0</v>
      </c>
      <c r="Z142" s="29">
        <f t="shared" si="340"/>
        <v>0</v>
      </c>
      <c r="AA142" s="29">
        <f t="shared" si="340"/>
        <v>0</v>
      </c>
      <c r="AB142" s="29">
        <f t="shared" si="340"/>
        <v>0</v>
      </c>
      <c r="AC142" s="29">
        <f t="shared" si="340"/>
        <v>0</v>
      </c>
      <c r="AD142" s="29">
        <f t="shared" si="340"/>
        <v>0</v>
      </c>
      <c r="AE142" s="29">
        <f t="shared" si="340"/>
        <v>0</v>
      </c>
      <c r="AF142" s="29">
        <f t="shared" si="340"/>
        <v>-144640</v>
      </c>
      <c r="AG142" s="29">
        <f t="shared" si="340"/>
        <v>-111360</v>
      </c>
      <c r="AH142" s="29">
        <f t="shared" si="340"/>
        <v>-256000</v>
      </c>
      <c r="AI142" s="29">
        <f t="shared" si="340"/>
        <v>144640</v>
      </c>
      <c r="AJ142" s="29">
        <f t="shared" si="340"/>
        <v>111360</v>
      </c>
      <c r="AK142" s="29">
        <f t="shared" si="340"/>
        <v>0</v>
      </c>
      <c r="AL142" s="29">
        <f t="shared" si="340"/>
        <v>0</v>
      </c>
      <c r="AM142" s="29">
        <f t="shared" si="340"/>
        <v>0</v>
      </c>
      <c r="AN142" s="29">
        <f t="shared" si="340"/>
        <v>0</v>
      </c>
      <c r="AO142" s="29">
        <f t="shared" si="340"/>
        <v>144640</v>
      </c>
      <c r="AP142" s="29">
        <f t="shared" ref="AP142:CF142" si="341">SUMIF($F$12:$F$395,"=3233",AP$12:AP$395)</f>
        <v>111360</v>
      </c>
      <c r="AQ142" s="29">
        <f t="shared" si="341"/>
        <v>256000</v>
      </c>
      <c r="AR142" s="29">
        <f t="shared" si="341"/>
        <v>0</v>
      </c>
      <c r="AS142" s="29">
        <f t="shared" si="341"/>
        <v>0</v>
      </c>
      <c r="AT142" s="29">
        <f t="shared" si="341"/>
        <v>0</v>
      </c>
      <c r="AU142" s="29">
        <f t="shared" si="341"/>
        <v>0</v>
      </c>
      <c r="AV142" s="29">
        <f t="shared" si="341"/>
        <v>-2560</v>
      </c>
      <c r="AW142" s="29">
        <f t="shared" si="341"/>
        <v>0</v>
      </c>
      <c r="AX142" s="29">
        <f t="shared" si="341"/>
        <v>0</v>
      </c>
      <c r="AY142" s="29">
        <f t="shared" si="341"/>
        <v>0</v>
      </c>
      <c r="AZ142" s="29">
        <f t="shared" si="341"/>
        <v>-2560</v>
      </c>
      <c r="BA142" s="145">
        <f t="shared" si="341"/>
        <v>-0.26</v>
      </c>
      <c r="BB142" s="145">
        <f t="shared" si="341"/>
        <v>-0.36</v>
      </c>
      <c r="BC142" s="145">
        <f t="shared" si="341"/>
        <v>0</v>
      </c>
      <c r="BD142" s="145">
        <f t="shared" si="341"/>
        <v>0</v>
      </c>
      <c r="BE142" s="145">
        <f t="shared" si="341"/>
        <v>0</v>
      </c>
      <c r="BF142" s="145">
        <f t="shared" si="341"/>
        <v>0</v>
      </c>
      <c r="BG142" s="145">
        <f t="shared" si="341"/>
        <v>0</v>
      </c>
      <c r="BH142" s="145">
        <f t="shared" si="341"/>
        <v>0</v>
      </c>
      <c r="BI142" s="145">
        <f t="shared" si="341"/>
        <v>0</v>
      </c>
      <c r="BJ142" s="145">
        <f t="shared" si="341"/>
        <v>0</v>
      </c>
      <c r="BK142" s="145">
        <f t="shared" si="341"/>
        <v>-0.26</v>
      </c>
      <c r="BL142" s="145">
        <f t="shared" si="341"/>
        <v>-0.36</v>
      </c>
      <c r="BM142" s="431">
        <f t="shared" si="341"/>
        <v>-0.62</v>
      </c>
      <c r="BN142" s="28">
        <f t="shared" si="341"/>
        <v>3444419</v>
      </c>
      <c r="BO142" s="29">
        <f t="shared" si="341"/>
        <v>2299508</v>
      </c>
      <c r="BP142" s="29">
        <f t="shared" si="341"/>
        <v>2077167</v>
      </c>
      <c r="BQ142" s="29">
        <f t="shared" si="341"/>
        <v>222341</v>
      </c>
      <c r="BR142" s="29">
        <f t="shared" si="341"/>
        <v>256000</v>
      </c>
      <c r="BS142" s="29">
        <f t="shared" si="341"/>
        <v>144640</v>
      </c>
      <c r="BT142" s="29">
        <f t="shared" si="341"/>
        <v>111360</v>
      </c>
      <c r="BU142" s="29">
        <f t="shared" si="341"/>
        <v>863761</v>
      </c>
      <c r="BV142" s="29">
        <f t="shared" si="341"/>
        <v>22995</v>
      </c>
      <c r="BW142" s="29">
        <f t="shared" si="341"/>
        <v>2155</v>
      </c>
      <c r="BX142" s="145">
        <f t="shared" si="341"/>
        <v>4.47</v>
      </c>
      <c r="BY142" s="145">
        <f t="shared" si="341"/>
        <v>3.76</v>
      </c>
      <c r="BZ142" s="431">
        <f t="shared" si="341"/>
        <v>0.71</v>
      </c>
      <c r="CA142" s="28">
        <f t="shared" si="341"/>
        <v>0</v>
      </c>
      <c r="CB142" s="29">
        <f t="shared" si="341"/>
        <v>0</v>
      </c>
      <c r="CC142" s="29">
        <f t="shared" si="341"/>
        <v>0</v>
      </c>
      <c r="CD142" s="29">
        <f t="shared" si="341"/>
        <v>0</v>
      </c>
      <c r="CE142" s="29">
        <f t="shared" si="341"/>
        <v>0</v>
      </c>
      <c r="CF142" s="242">
        <f t="shared" si="341"/>
        <v>0</v>
      </c>
    </row>
    <row r="144" spans="1:84" s="54" customFormat="1" x14ac:dyDescent="0.25">
      <c r="A144" s="90"/>
      <c r="B144" s="89"/>
      <c r="C144" s="89"/>
      <c r="D144" s="89"/>
      <c r="E144" s="90"/>
      <c r="F144" s="113"/>
      <c r="G144" s="90"/>
      <c r="H144" s="90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655"/>
      <c r="T144" s="655"/>
      <c r="U144" s="6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X144" s="55"/>
      <c r="BY144" s="55"/>
      <c r="BZ144" s="55"/>
      <c r="CF144" s="55"/>
    </row>
    <row r="145" spans="5:47" x14ac:dyDescent="0.25">
      <c r="E145" s="511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655"/>
      <c r="T145" s="655"/>
      <c r="U145" s="655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</row>
    <row r="146" spans="5:47" x14ac:dyDescent="0.25">
      <c r="E146" s="511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655"/>
      <c r="AI146" s="238"/>
      <c r="AJ146" s="238"/>
      <c r="AK146" s="238"/>
      <c r="AL146" s="238"/>
      <c r="AM146" s="238"/>
      <c r="AN146" s="238"/>
      <c r="AO146" s="238"/>
      <c r="AP146" s="238"/>
      <c r="AQ146" s="238"/>
      <c r="AR146" s="238"/>
      <c r="AS146" s="238"/>
      <c r="AT146" s="238"/>
      <c r="AU146" s="238"/>
    </row>
    <row r="147" spans="5:47" x14ac:dyDescent="0.25">
      <c r="E147" s="511"/>
      <c r="AI147" s="238"/>
      <c r="AJ147" s="238"/>
      <c r="AK147" s="238"/>
      <c r="AL147" s="238"/>
      <c r="AM147" s="238"/>
      <c r="AN147" s="238"/>
      <c r="AO147" s="238"/>
      <c r="AP147" s="238"/>
      <c r="AQ147" s="238"/>
      <c r="AR147" s="238"/>
      <c r="AS147" s="238"/>
      <c r="AT147" s="238"/>
      <c r="AU147" s="238"/>
    </row>
    <row r="148" spans="5:47" x14ac:dyDescent="0.25">
      <c r="E148" s="511"/>
      <c r="AI148" s="547"/>
      <c r="AJ148" s="547"/>
      <c r="AK148" s="547"/>
      <c r="AL148" s="547"/>
      <c r="AM148" s="547"/>
      <c r="AN148" s="547"/>
      <c r="AO148" s="547"/>
      <c r="AP148" s="547"/>
      <c r="AQ148" s="547"/>
      <c r="AR148" s="238"/>
      <c r="AS148" s="238"/>
      <c r="AT148" s="238"/>
      <c r="AU148" s="238"/>
    </row>
    <row r="149" spans="5:47" x14ac:dyDescent="0.25">
      <c r="E149" s="511"/>
      <c r="AI149" s="547"/>
      <c r="AJ149" s="547"/>
      <c r="AK149" s="547"/>
      <c r="AL149" s="547"/>
      <c r="AM149" s="547"/>
      <c r="AN149" s="547"/>
      <c r="AO149" s="547"/>
      <c r="AP149" s="547"/>
      <c r="AQ149" s="547"/>
      <c r="AR149" s="238"/>
      <c r="AS149" s="238"/>
      <c r="AT149" s="238"/>
      <c r="AU149" s="238"/>
    </row>
    <row r="150" spans="5:47" x14ac:dyDescent="0.25">
      <c r="E150" s="511"/>
      <c r="AI150" s="547"/>
      <c r="AJ150" s="547"/>
      <c r="AK150" s="547"/>
      <c r="AL150" s="547"/>
      <c r="AM150" s="547"/>
      <c r="AN150" s="547"/>
      <c r="AO150" s="547"/>
      <c r="AP150" s="547"/>
      <c r="AQ150" s="547"/>
      <c r="AR150" s="238"/>
      <c r="AS150" s="238"/>
      <c r="AT150" s="238"/>
      <c r="AU150" s="238"/>
    </row>
    <row r="151" spans="5:47" x14ac:dyDescent="0.25">
      <c r="E151" s="511"/>
      <c r="AI151" s="547"/>
      <c r="AJ151" s="547"/>
      <c r="AK151" s="547"/>
      <c r="AL151" s="547"/>
      <c r="AM151" s="547"/>
      <c r="AN151" s="547"/>
      <c r="AO151" s="547"/>
      <c r="AP151" s="547"/>
      <c r="AQ151" s="547"/>
      <c r="AR151" s="238"/>
      <c r="AS151" s="238"/>
      <c r="AT151" s="238"/>
      <c r="AU151" s="238"/>
    </row>
    <row r="152" spans="5:47" x14ac:dyDescent="0.25">
      <c r="E152" s="511"/>
      <c r="AI152" s="547"/>
      <c r="AJ152" s="547"/>
      <c r="AK152" s="547"/>
      <c r="AL152" s="547"/>
      <c r="AM152" s="547"/>
      <c r="AN152" s="547"/>
      <c r="AO152" s="547"/>
      <c r="AP152" s="547"/>
      <c r="AQ152" s="547"/>
      <c r="AR152" s="238"/>
      <c r="AS152" s="238"/>
      <c r="AT152" s="238"/>
      <c r="AU152" s="238"/>
    </row>
    <row r="153" spans="5:47" x14ac:dyDescent="0.25">
      <c r="E153" s="511"/>
      <c r="AI153" s="547"/>
      <c r="AJ153" s="547"/>
      <c r="AK153" s="547"/>
      <c r="AL153" s="547"/>
      <c r="AM153" s="547"/>
      <c r="AN153" s="547"/>
      <c r="AO153" s="547"/>
      <c r="AP153" s="547"/>
      <c r="AQ153" s="547"/>
      <c r="AR153" s="238"/>
      <c r="AS153" s="238"/>
      <c r="AT153" s="238"/>
      <c r="AU153" s="238"/>
    </row>
    <row r="154" spans="5:47" x14ac:dyDescent="0.25">
      <c r="E154" s="51"/>
      <c r="AI154" s="547"/>
      <c r="AJ154" s="547"/>
      <c r="AK154" s="547"/>
      <c r="AL154" s="547"/>
      <c r="AM154" s="547"/>
      <c r="AN154" s="547"/>
      <c r="AO154" s="547"/>
      <c r="AP154" s="547"/>
      <c r="AQ154" s="547"/>
      <c r="AR154" s="238"/>
      <c r="AS154" s="238"/>
      <c r="AT154" s="238"/>
      <c r="AU154" s="238"/>
    </row>
    <row r="155" spans="5:47" x14ac:dyDescent="0.25">
      <c r="E155" s="51"/>
      <c r="AI155" s="547"/>
      <c r="AJ155" s="547"/>
      <c r="AK155" s="547"/>
      <c r="AL155" s="547"/>
      <c r="AM155" s="547"/>
      <c r="AN155" s="547"/>
      <c r="AO155" s="547"/>
      <c r="AP155" s="547"/>
      <c r="AQ155" s="547"/>
      <c r="AR155" s="238"/>
      <c r="AS155" s="238"/>
      <c r="AT155" s="238"/>
      <c r="AU155" s="238"/>
    </row>
    <row r="156" spans="5:47" x14ac:dyDescent="0.25">
      <c r="E156" s="51"/>
      <c r="AI156" s="547"/>
      <c r="AJ156" s="547"/>
      <c r="AK156" s="547"/>
      <c r="AL156" s="547"/>
      <c r="AM156" s="547"/>
      <c r="AN156" s="547"/>
      <c r="AO156" s="547"/>
      <c r="AP156" s="547"/>
      <c r="AQ156" s="547"/>
      <c r="AR156" s="238"/>
      <c r="AS156" s="238"/>
      <c r="AT156" s="238"/>
      <c r="AU156" s="238"/>
    </row>
    <row r="157" spans="5:47" x14ac:dyDescent="0.25">
      <c r="E157" s="51"/>
      <c r="AI157" s="547"/>
      <c r="AJ157" s="547"/>
      <c r="AK157" s="547"/>
      <c r="AL157" s="547"/>
      <c r="AM157" s="547"/>
      <c r="AN157" s="547"/>
      <c r="AO157" s="547"/>
      <c r="AP157" s="547"/>
      <c r="AQ157" s="547"/>
      <c r="AR157" s="238"/>
      <c r="AS157" s="238"/>
      <c r="AT157" s="238"/>
      <c r="AU157" s="238"/>
    </row>
    <row r="158" spans="5:47" x14ac:dyDescent="0.25">
      <c r="E158" s="546"/>
      <c r="AI158" s="547"/>
      <c r="AJ158" s="547"/>
      <c r="AK158" s="547"/>
      <c r="AL158" s="547"/>
      <c r="AM158" s="547"/>
      <c r="AN158" s="547"/>
      <c r="AO158" s="547"/>
      <c r="AP158" s="547"/>
      <c r="AQ158" s="547"/>
      <c r="AR158" s="238"/>
      <c r="AS158" s="238"/>
      <c r="AT158" s="238"/>
      <c r="AU158" s="238"/>
    </row>
    <row r="159" spans="5:47" x14ac:dyDescent="0.25">
      <c r="E159" s="546"/>
      <c r="AI159" s="547"/>
      <c r="AJ159" s="547"/>
      <c r="AK159" s="547"/>
      <c r="AL159" s="547"/>
      <c r="AM159" s="547"/>
      <c r="AN159" s="547"/>
      <c r="AO159" s="547"/>
      <c r="AP159" s="547"/>
      <c r="AQ159" s="547"/>
      <c r="AR159" s="238"/>
      <c r="AS159" s="238"/>
      <c r="AT159" s="238"/>
      <c r="AU159" s="238"/>
    </row>
    <row r="160" spans="5:47" x14ac:dyDescent="0.25">
      <c r="E160" s="237"/>
    </row>
    <row r="161" spans="1:84" x14ac:dyDescent="0.25">
      <c r="E161" s="237"/>
    </row>
    <row r="162" spans="1:84" x14ac:dyDescent="0.25">
      <c r="E162" s="237"/>
    </row>
    <row r="163" spans="1:84" x14ac:dyDescent="0.25">
      <c r="E163" s="237"/>
    </row>
    <row r="164" spans="1:84" x14ac:dyDescent="0.25">
      <c r="E164" s="237"/>
    </row>
    <row r="165" spans="1:84" x14ac:dyDescent="0.25">
      <c r="E165" s="237"/>
    </row>
    <row r="166" spans="1:84" x14ac:dyDescent="0.25">
      <c r="E166" s="237"/>
    </row>
    <row r="167" spans="1:84" x14ac:dyDescent="0.25">
      <c r="E167" s="237"/>
    </row>
    <row r="168" spans="1:84" x14ac:dyDescent="0.25">
      <c r="E168" s="237"/>
    </row>
    <row r="169" spans="1:84" x14ac:dyDescent="0.25">
      <c r="E169" s="237"/>
    </row>
    <row r="171" spans="1:84" s="96" customFormat="1" ht="11.25" x14ac:dyDescent="0.2">
      <c r="A171" s="113"/>
      <c r="H171" s="113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9"/>
      <c r="T171" s="239"/>
      <c r="U171" s="239"/>
      <c r="V171" s="238"/>
      <c r="W171" s="238"/>
      <c r="X171" s="238"/>
      <c r="Y171" s="238"/>
      <c r="Z171" s="238"/>
      <c r="AA171" s="238"/>
      <c r="AB171" s="238"/>
      <c r="AC171" s="238"/>
      <c r="AD171" s="238"/>
      <c r="AE171" s="238"/>
      <c r="AF171" s="238"/>
      <c r="AG171" s="238"/>
      <c r="AH171" s="238"/>
      <c r="AI171" s="238"/>
      <c r="AJ171" s="238"/>
      <c r="AK171" s="238"/>
      <c r="AL171" s="238"/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8"/>
      <c r="AX171" s="238"/>
      <c r="AY171" s="238"/>
      <c r="AZ171" s="238"/>
      <c r="BA171" s="239"/>
      <c r="BB171" s="239"/>
      <c r="BC171" s="239"/>
      <c r="BD171" s="239"/>
      <c r="BE171" s="239"/>
      <c r="BF171" s="239"/>
      <c r="BG171" s="239"/>
      <c r="BH171" s="239"/>
      <c r="BI171" s="239"/>
      <c r="BJ171" s="239"/>
      <c r="BK171" s="239"/>
      <c r="BL171" s="239"/>
      <c r="BM171" s="239"/>
      <c r="BN171" s="238"/>
      <c r="BO171" s="238"/>
      <c r="BP171" s="238"/>
      <c r="BQ171" s="238"/>
      <c r="BR171" s="238"/>
      <c r="BS171" s="238"/>
      <c r="BT171" s="238"/>
      <c r="BU171" s="238"/>
      <c r="BV171" s="238"/>
      <c r="BW171" s="238"/>
      <c r="BX171" s="239"/>
      <c r="BY171" s="239"/>
      <c r="BZ171" s="239"/>
      <c r="CA171" s="238"/>
      <c r="CB171" s="238"/>
      <c r="CC171" s="238"/>
      <c r="CD171" s="238"/>
      <c r="CE171" s="238"/>
      <c r="CF171" s="239"/>
    </row>
    <row r="172" spans="1:84" s="96" customFormat="1" ht="11.25" x14ac:dyDescent="0.2">
      <c r="A172" s="113"/>
      <c r="H172" s="113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9"/>
      <c r="T172" s="239"/>
      <c r="U172" s="239"/>
      <c r="V172" s="238"/>
      <c r="W172" s="238"/>
      <c r="X172" s="238"/>
      <c r="Y172" s="238"/>
      <c r="Z172" s="238"/>
      <c r="AA172" s="238"/>
      <c r="AB172" s="238"/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8"/>
      <c r="AX172" s="238"/>
      <c r="AY172" s="238"/>
      <c r="AZ172" s="238"/>
      <c r="BA172" s="239"/>
      <c r="BB172" s="239"/>
      <c r="BC172" s="239"/>
      <c r="BD172" s="239"/>
      <c r="BE172" s="239"/>
      <c r="BF172" s="239"/>
      <c r="BG172" s="239"/>
      <c r="BH172" s="239"/>
      <c r="BI172" s="239"/>
      <c r="BJ172" s="239"/>
      <c r="BK172" s="239"/>
      <c r="BL172" s="239"/>
      <c r="BM172" s="239"/>
      <c r="BN172" s="238"/>
      <c r="BO172" s="238"/>
      <c r="BP172" s="238"/>
      <c r="BQ172" s="238"/>
      <c r="BR172" s="238"/>
      <c r="BS172" s="238"/>
      <c r="BT172" s="238"/>
      <c r="BU172" s="238"/>
      <c r="BV172" s="238"/>
      <c r="BW172" s="238"/>
      <c r="BX172" s="239"/>
      <c r="BY172" s="239"/>
      <c r="BZ172" s="239"/>
      <c r="CA172" s="238"/>
      <c r="CB172" s="238"/>
      <c r="CC172" s="238"/>
      <c r="CD172" s="238"/>
      <c r="CE172" s="238"/>
      <c r="CF172" s="239"/>
    </row>
    <row r="173" spans="1:84" s="96" customFormat="1" ht="11.25" x14ac:dyDescent="0.2">
      <c r="A173" s="113"/>
      <c r="H173" s="113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9"/>
      <c r="T173" s="239"/>
      <c r="U173" s="239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  <c r="AH173" s="238"/>
      <c r="AI173" s="238"/>
      <c r="AJ173" s="238"/>
      <c r="AK173" s="238"/>
      <c r="AL173" s="238"/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8"/>
      <c r="AX173" s="238"/>
      <c r="AY173" s="238"/>
      <c r="AZ173" s="238"/>
      <c r="BA173" s="239"/>
      <c r="BB173" s="239"/>
      <c r="BC173" s="239"/>
      <c r="BD173" s="239"/>
      <c r="BE173" s="239"/>
      <c r="BF173" s="239"/>
      <c r="BG173" s="239"/>
      <c r="BH173" s="239"/>
      <c r="BI173" s="239"/>
      <c r="BJ173" s="239"/>
      <c r="BK173" s="239"/>
      <c r="BL173" s="239"/>
      <c r="BM173" s="239"/>
      <c r="BN173" s="238"/>
      <c r="BO173" s="238"/>
      <c r="BP173" s="238"/>
      <c r="BQ173" s="238"/>
      <c r="BR173" s="238"/>
      <c r="BS173" s="238"/>
      <c r="BT173" s="238"/>
      <c r="BU173" s="238"/>
      <c r="BV173" s="238"/>
      <c r="BW173" s="238"/>
      <c r="BX173" s="239"/>
      <c r="BY173" s="239"/>
      <c r="BZ173" s="239"/>
      <c r="CA173" s="238"/>
      <c r="CB173" s="238"/>
      <c r="CC173" s="238"/>
      <c r="CD173" s="238"/>
      <c r="CE173" s="238"/>
      <c r="CF173" s="239"/>
    </row>
    <row r="174" spans="1:84" s="96" customFormat="1" ht="11.25" x14ac:dyDescent="0.2">
      <c r="A174" s="113"/>
      <c r="H174" s="113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9"/>
      <c r="T174" s="239"/>
      <c r="U174" s="239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38"/>
      <c r="AG174" s="238"/>
      <c r="AH174" s="238"/>
      <c r="AI174" s="238"/>
      <c r="AJ174" s="238"/>
      <c r="AK174" s="238"/>
      <c r="AL174" s="238"/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8"/>
      <c r="AX174" s="238"/>
      <c r="AY174" s="238"/>
      <c r="AZ174" s="238"/>
      <c r="BA174" s="239"/>
      <c r="BB174" s="239"/>
      <c r="BC174" s="239"/>
      <c r="BD174" s="239"/>
      <c r="BE174" s="239"/>
      <c r="BF174" s="239"/>
      <c r="BG174" s="239"/>
      <c r="BH174" s="239"/>
      <c r="BI174" s="239"/>
      <c r="BJ174" s="239"/>
      <c r="BK174" s="239"/>
      <c r="BL174" s="239"/>
      <c r="BM174" s="239"/>
      <c r="BN174" s="238"/>
      <c r="BO174" s="238"/>
      <c r="BP174" s="238"/>
      <c r="BQ174" s="238"/>
      <c r="BR174" s="238"/>
      <c r="BS174" s="238"/>
      <c r="BT174" s="238"/>
      <c r="BU174" s="238"/>
      <c r="BV174" s="238"/>
      <c r="BW174" s="238"/>
      <c r="BX174" s="239"/>
      <c r="BY174" s="239"/>
      <c r="BZ174" s="239"/>
      <c r="CA174" s="238"/>
      <c r="CB174" s="238"/>
      <c r="CC174" s="238"/>
      <c r="CD174" s="238"/>
      <c r="CE174" s="238"/>
      <c r="CF174" s="239"/>
    </row>
    <row r="175" spans="1:84" s="96" customFormat="1" ht="11.25" x14ac:dyDescent="0.2">
      <c r="A175" s="113"/>
      <c r="H175" s="113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9"/>
      <c r="T175" s="239"/>
      <c r="U175" s="239"/>
      <c r="V175" s="238"/>
      <c r="W175" s="238"/>
      <c r="X175" s="238"/>
      <c r="Y175" s="238"/>
      <c r="Z175" s="238"/>
      <c r="AA175" s="238"/>
      <c r="AB175" s="238"/>
      <c r="AC175" s="238"/>
      <c r="AD175" s="238"/>
      <c r="AE175" s="238"/>
      <c r="AF175" s="238"/>
      <c r="AG175" s="238"/>
      <c r="AH175" s="238"/>
      <c r="AI175" s="238"/>
      <c r="AJ175" s="238"/>
      <c r="AK175" s="238"/>
      <c r="AL175" s="238"/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8"/>
      <c r="AX175" s="238"/>
      <c r="AY175" s="238"/>
      <c r="AZ175" s="238"/>
      <c r="BA175" s="239"/>
      <c r="BB175" s="239"/>
      <c r="BC175" s="239"/>
      <c r="BD175" s="239"/>
      <c r="BE175" s="239"/>
      <c r="BF175" s="239"/>
      <c r="BG175" s="239"/>
      <c r="BH175" s="239"/>
      <c r="BI175" s="239"/>
      <c r="BJ175" s="239"/>
      <c r="BK175" s="239"/>
      <c r="BL175" s="239"/>
      <c r="BM175" s="239"/>
      <c r="BN175" s="238"/>
      <c r="BO175" s="238"/>
      <c r="BP175" s="238"/>
      <c r="BQ175" s="238"/>
      <c r="BR175" s="238"/>
      <c r="BS175" s="238"/>
      <c r="BT175" s="238"/>
      <c r="BU175" s="238"/>
      <c r="BV175" s="238"/>
      <c r="BW175" s="238"/>
      <c r="BX175" s="239"/>
      <c r="BY175" s="239"/>
      <c r="BZ175" s="239"/>
      <c r="CA175" s="238"/>
      <c r="CB175" s="238"/>
      <c r="CC175" s="238"/>
      <c r="CD175" s="238"/>
      <c r="CE175" s="238"/>
      <c r="CF175" s="239"/>
    </row>
    <row r="178" spans="5:5" x14ac:dyDescent="0.25">
      <c r="E178" s="51"/>
    </row>
    <row r="179" spans="5:5" x14ac:dyDescent="0.25">
      <c r="E179" s="51"/>
    </row>
    <row r="180" spans="5:5" x14ac:dyDescent="0.25">
      <c r="E180" s="51"/>
    </row>
    <row r="181" spans="5:5" x14ac:dyDescent="0.25">
      <c r="E181" s="51"/>
    </row>
    <row r="182" spans="5:5" x14ac:dyDescent="0.25">
      <c r="E182" s="51"/>
    </row>
    <row r="183" spans="5:5" x14ac:dyDescent="0.25">
      <c r="E183" s="51"/>
    </row>
    <row r="184" spans="5:5" x14ac:dyDescent="0.25">
      <c r="E184" s="51"/>
    </row>
    <row r="185" spans="5:5" x14ac:dyDescent="0.25">
      <c r="E185" s="51"/>
    </row>
    <row r="186" spans="5:5" x14ac:dyDescent="0.25">
      <c r="E186" s="51"/>
    </row>
    <row r="187" spans="5:5" x14ac:dyDescent="0.25">
      <c r="E187" s="51"/>
    </row>
    <row r="188" spans="5:5" x14ac:dyDescent="0.25">
      <c r="E188" s="51"/>
    </row>
    <row r="189" spans="5:5" x14ac:dyDescent="0.25">
      <c r="E189" s="51"/>
    </row>
    <row r="190" spans="5:5" x14ac:dyDescent="0.25">
      <c r="E190" s="51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4:42" x14ac:dyDescent="0.25">
      <c r="E225"/>
    </row>
    <row r="226" spans="4:42" x14ac:dyDescent="0.25">
      <c r="E226"/>
    </row>
    <row r="227" spans="4:42" x14ac:dyDescent="0.25">
      <c r="E227"/>
    </row>
    <row r="228" spans="4:42" x14ac:dyDescent="0.25">
      <c r="E228"/>
    </row>
    <row r="230" spans="4:42" x14ac:dyDescent="0.25">
      <c r="D230"/>
      <c r="E230"/>
    </row>
    <row r="232" spans="4:42" x14ac:dyDescent="0.25">
      <c r="E232" s="89"/>
      <c r="F232" s="89"/>
      <c r="AP232" s="8"/>
    </row>
    <row r="233" spans="4:42" x14ac:dyDescent="0.25">
      <c r="E233" s="89"/>
      <c r="F233" s="89"/>
      <c r="AP233" s="8"/>
    </row>
    <row r="234" spans="4:42" x14ac:dyDescent="0.25">
      <c r="E234" s="89"/>
      <c r="F234" s="89"/>
      <c r="AP234" s="8"/>
    </row>
    <row r="235" spans="4:42" x14ac:dyDescent="0.25">
      <c r="E235" s="89"/>
      <c r="F235" s="89"/>
      <c r="AP235" s="8"/>
    </row>
    <row r="236" spans="4:42" x14ac:dyDescent="0.25">
      <c r="E236" s="89"/>
      <c r="F236" s="89"/>
      <c r="AP236" s="8"/>
    </row>
    <row r="237" spans="4:42" x14ac:dyDescent="0.25">
      <c r="E237" s="89"/>
      <c r="F237" s="89"/>
      <c r="AP237" s="8"/>
    </row>
    <row r="238" spans="4:42" x14ac:dyDescent="0.25">
      <c r="E238" s="89"/>
      <c r="F238" s="89"/>
      <c r="AP238" s="8"/>
    </row>
    <row r="239" spans="4:42" x14ac:dyDescent="0.25">
      <c r="E239" s="89"/>
      <c r="F239" s="89"/>
      <c r="AP239" s="8"/>
    </row>
    <row r="240" spans="4:42" x14ac:dyDescent="0.25">
      <c r="E240" s="89"/>
      <c r="F240" s="89"/>
      <c r="AP240" s="8"/>
    </row>
    <row r="241" spans="5:45" x14ac:dyDescent="0.25">
      <c r="E241" s="89"/>
      <c r="F241" s="89"/>
      <c r="AP241" s="8"/>
    </row>
    <row r="242" spans="5:45" x14ac:dyDescent="0.25">
      <c r="E242" s="89"/>
      <c r="F242" s="89"/>
      <c r="AP242" s="8"/>
    </row>
    <row r="243" spans="5:45" x14ac:dyDescent="0.25">
      <c r="E243" s="89"/>
      <c r="F243" s="89"/>
      <c r="AP243" s="8"/>
    </row>
    <row r="244" spans="5:45" x14ac:dyDescent="0.25">
      <c r="E244" s="89"/>
      <c r="F244" s="89"/>
      <c r="AP244" s="8"/>
    </row>
    <row r="245" spans="5:45" x14ac:dyDescent="0.25">
      <c r="E245" s="89"/>
      <c r="F245" s="89"/>
      <c r="AP245" s="8"/>
    </row>
    <row r="246" spans="5:45" x14ac:dyDescent="0.25">
      <c r="E246" s="89"/>
      <c r="F246" s="89"/>
      <c r="AP246" s="8"/>
    </row>
    <row r="248" spans="5:45" x14ac:dyDescent="0.25">
      <c r="E248" s="89"/>
      <c r="F248" s="89"/>
      <c r="G248" s="89"/>
      <c r="AP248" s="238"/>
      <c r="AQ248" s="238"/>
      <c r="AR248" s="238"/>
      <c r="AS248" s="238"/>
    </row>
    <row r="249" spans="5:45" x14ac:dyDescent="0.25">
      <c r="E249" s="89"/>
      <c r="F249" s="89"/>
      <c r="G249" s="89"/>
      <c r="AP249" s="238"/>
      <c r="AQ249" s="238"/>
      <c r="AR249" s="238"/>
      <c r="AS249" s="238"/>
    </row>
    <row r="250" spans="5:45" x14ac:dyDescent="0.25">
      <c r="E250" s="89"/>
      <c r="F250" s="89"/>
      <c r="G250" s="89"/>
      <c r="AP250" s="238"/>
      <c r="AQ250" s="238"/>
      <c r="AR250" s="238"/>
      <c r="AS250" s="238"/>
    </row>
    <row r="251" spans="5:45" x14ac:dyDescent="0.25">
      <c r="E251" s="89"/>
      <c r="F251" s="89"/>
      <c r="G251" s="89"/>
    </row>
    <row r="253" spans="5:45" x14ac:dyDescent="0.25">
      <c r="E253" s="511"/>
    </row>
    <row r="254" spans="5:45" x14ac:dyDescent="0.25">
      <c r="E254" s="511"/>
    </row>
    <row r="255" spans="5:45" x14ac:dyDescent="0.25">
      <c r="E255" s="511"/>
    </row>
    <row r="256" spans="5:45" x14ac:dyDescent="0.25">
      <c r="E256" s="511"/>
    </row>
    <row r="257" spans="5:7" x14ac:dyDescent="0.25">
      <c r="E257" s="511"/>
    </row>
    <row r="258" spans="5:7" x14ac:dyDescent="0.25">
      <c r="E258" s="511"/>
    </row>
    <row r="259" spans="5:7" x14ac:dyDescent="0.25">
      <c r="E259" s="511"/>
    </row>
    <row r="260" spans="5:7" x14ac:dyDescent="0.25">
      <c r="E260" s="511"/>
    </row>
    <row r="261" spans="5:7" x14ac:dyDescent="0.25">
      <c r="E261" s="511"/>
    </row>
    <row r="262" spans="5:7" x14ac:dyDescent="0.25">
      <c r="E262" s="511"/>
    </row>
    <row r="263" spans="5:7" x14ac:dyDescent="0.25">
      <c r="E263" s="511"/>
    </row>
    <row r="264" spans="5:7" x14ac:dyDescent="0.25">
      <c r="E264" s="511"/>
    </row>
    <row r="267" spans="5:7" x14ac:dyDescent="0.25">
      <c r="E267" s="89"/>
      <c r="F267" s="89"/>
      <c r="G267" s="89"/>
    </row>
    <row r="268" spans="5:7" x14ac:dyDescent="0.25">
      <c r="E268" s="89"/>
      <c r="F268" s="89"/>
      <c r="G268" s="89"/>
    </row>
    <row r="269" spans="5:7" x14ac:dyDescent="0.25">
      <c r="E269" s="89"/>
      <c r="F269" s="89"/>
      <c r="G269" s="89"/>
    </row>
    <row r="270" spans="5:7" x14ac:dyDescent="0.25">
      <c r="E270" s="89"/>
      <c r="F270" s="89"/>
      <c r="G270" s="89"/>
    </row>
    <row r="271" spans="5:7" x14ac:dyDescent="0.25">
      <c r="E271" s="89"/>
      <c r="F271" s="89"/>
      <c r="G271" s="89"/>
    </row>
    <row r="272" spans="5:7" x14ac:dyDescent="0.25">
      <c r="E272" s="89"/>
      <c r="F272" s="89"/>
      <c r="G272" s="89"/>
    </row>
    <row r="273" spans="5:34" x14ac:dyDescent="0.25">
      <c r="E273" s="89"/>
      <c r="F273" s="89"/>
      <c r="G273" s="89"/>
    </row>
    <row r="274" spans="5:34" x14ac:dyDescent="0.25">
      <c r="E274" s="89"/>
      <c r="F274" s="89"/>
      <c r="G274" s="89"/>
    </row>
    <row r="275" spans="5:34" x14ac:dyDescent="0.25">
      <c r="E275" s="89"/>
      <c r="F275" s="89"/>
      <c r="G275" s="89"/>
    </row>
    <row r="276" spans="5:34" x14ac:dyDescent="0.25">
      <c r="E276" s="89"/>
      <c r="F276" s="89"/>
      <c r="G276" s="89"/>
    </row>
    <row r="277" spans="5:34" x14ac:dyDescent="0.25">
      <c r="E277" s="89"/>
      <c r="F277" s="89"/>
      <c r="G277" s="89"/>
    </row>
    <row r="278" spans="5:34" x14ac:dyDescent="0.25">
      <c r="E278" s="89"/>
      <c r="F278" s="89"/>
      <c r="G278" s="89"/>
    </row>
    <row r="280" spans="5:34" x14ac:dyDescent="0.25">
      <c r="G280" s="514"/>
      <c r="H280" s="511"/>
      <c r="I280" s="666"/>
      <c r="J280" s="666"/>
      <c r="K280" s="666"/>
      <c r="L280" s="666"/>
      <c r="M280" s="666"/>
      <c r="N280" s="666"/>
      <c r="O280" s="666"/>
      <c r="P280" s="666"/>
      <c r="Q280" s="666"/>
      <c r="R280" s="666"/>
      <c r="S280" s="667"/>
      <c r="T280" s="667"/>
      <c r="U280" s="667"/>
      <c r="V280" s="514"/>
      <c r="W280" s="514"/>
      <c r="X280" s="514"/>
      <c r="Y280" s="514"/>
      <c r="Z280" s="514"/>
      <c r="AA280" s="514"/>
      <c r="AB280" s="514"/>
      <c r="AC280" s="514"/>
      <c r="AD280" s="514"/>
      <c r="AE280" s="514"/>
      <c r="AF280" s="514"/>
      <c r="AG280" s="514"/>
      <c r="AH280" s="514"/>
    </row>
    <row r="281" spans="5:34" x14ac:dyDescent="0.25">
      <c r="G281" s="514"/>
      <c r="H281" s="511"/>
      <c r="I281" s="666"/>
      <c r="J281" s="666"/>
      <c r="K281" s="666"/>
      <c r="L281" s="666"/>
      <c r="M281" s="666"/>
      <c r="N281" s="666"/>
      <c r="O281" s="666"/>
      <c r="P281" s="666"/>
      <c r="Q281" s="666"/>
      <c r="R281" s="666"/>
      <c r="S281" s="667"/>
      <c r="T281" s="667"/>
      <c r="U281" s="667"/>
      <c r="V281" s="514"/>
      <c r="W281" s="514"/>
      <c r="X281" s="514"/>
      <c r="Y281" s="514"/>
      <c r="Z281" s="514"/>
      <c r="AA281" s="514"/>
      <c r="AB281" s="514"/>
      <c r="AC281" s="514"/>
      <c r="AD281" s="514"/>
      <c r="AE281" s="514"/>
      <c r="AF281" s="514"/>
      <c r="AG281" s="514"/>
      <c r="AH281" s="514"/>
    </row>
    <row r="282" spans="5:34" x14ac:dyDescent="0.25">
      <c r="G282" s="514"/>
      <c r="H282" s="511"/>
      <c r="I282" s="666"/>
      <c r="J282" s="666"/>
      <c r="K282" s="666"/>
      <c r="L282" s="666"/>
      <c r="M282" s="666"/>
      <c r="N282" s="666"/>
      <c r="O282" s="666"/>
      <c r="P282" s="666"/>
      <c r="Q282" s="666"/>
      <c r="R282" s="666"/>
      <c r="S282" s="667"/>
      <c r="T282" s="667"/>
      <c r="U282" s="667"/>
      <c r="V282" s="514"/>
      <c r="W282" s="514"/>
      <c r="X282" s="514"/>
      <c r="Y282" s="514"/>
      <c r="Z282" s="514"/>
      <c r="AA282" s="514"/>
      <c r="AB282" s="514"/>
      <c r="AC282" s="514"/>
      <c r="AD282" s="514"/>
      <c r="AE282" s="514"/>
      <c r="AF282" s="514"/>
      <c r="AG282" s="514"/>
      <c r="AH282" s="514"/>
    </row>
    <row r="283" spans="5:34" x14ac:dyDescent="0.25">
      <c r="G283" s="514"/>
      <c r="H283" s="511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7"/>
      <c r="T283" s="667"/>
      <c r="U283" s="667"/>
      <c r="V283" s="514"/>
      <c r="W283" s="514"/>
      <c r="X283" s="514"/>
      <c r="Y283" s="514"/>
      <c r="Z283" s="514"/>
      <c r="AA283" s="514"/>
      <c r="AB283" s="514"/>
      <c r="AC283" s="514"/>
      <c r="AD283" s="514"/>
      <c r="AE283" s="514"/>
      <c r="AF283" s="514"/>
      <c r="AG283" s="514"/>
      <c r="AH283" s="514"/>
    </row>
    <row r="284" spans="5:34" x14ac:dyDescent="0.25">
      <c r="G284" s="514"/>
      <c r="H284" s="511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7"/>
      <c r="T284" s="667"/>
      <c r="U284" s="667"/>
      <c r="V284" s="514"/>
      <c r="W284" s="514"/>
      <c r="X284" s="514"/>
      <c r="Y284" s="514"/>
      <c r="Z284" s="514"/>
      <c r="AA284" s="514"/>
      <c r="AB284" s="514"/>
      <c r="AC284" s="514"/>
      <c r="AD284" s="514"/>
      <c r="AE284" s="514"/>
      <c r="AF284" s="514"/>
      <c r="AG284" s="514"/>
      <c r="AH284" s="514"/>
    </row>
    <row r="285" spans="5:34" x14ac:dyDescent="0.25">
      <c r="G285" s="514"/>
      <c r="H285" s="511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7"/>
      <c r="T285" s="667"/>
      <c r="U285" s="667"/>
      <c r="V285" s="514"/>
      <c r="W285" s="514"/>
      <c r="X285" s="514"/>
      <c r="Y285" s="514"/>
      <c r="Z285" s="514"/>
      <c r="AA285" s="514"/>
      <c r="AB285" s="514"/>
      <c r="AC285" s="514"/>
      <c r="AD285" s="514"/>
      <c r="AE285" s="514"/>
      <c r="AF285" s="514"/>
      <c r="AG285" s="514"/>
      <c r="AH285" s="514"/>
    </row>
    <row r="286" spans="5:34" x14ac:dyDescent="0.25">
      <c r="G286" s="514"/>
      <c r="H286" s="511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7"/>
      <c r="T286" s="667"/>
      <c r="U286" s="667"/>
      <c r="V286" s="514"/>
      <c r="W286" s="514"/>
      <c r="X286" s="514"/>
      <c r="Y286" s="514"/>
      <c r="Z286" s="514"/>
      <c r="AA286" s="514"/>
      <c r="AB286" s="514"/>
      <c r="AC286" s="514"/>
      <c r="AD286" s="514"/>
      <c r="AE286" s="514"/>
      <c r="AF286" s="514"/>
      <c r="AG286" s="514"/>
      <c r="AH286" s="514"/>
    </row>
    <row r="287" spans="5:34" x14ac:dyDescent="0.25">
      <c r="G287" s="514"/>
      <c r="H287" s="511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7"/>
      <c r="T287" s="667"/>
      <c r="U287" s="667"/>
      <c r="V287" s="514"/>
      <c r="W287" s="514"/>
      <c r="X287" s="514"/>
      <c r="Y287" s="514"/>
      <c r="Z287" s="514"/>
      <c r="AA287" s="514"/>
      <c r="AB287" s="514"/>
      <c r="AC287" s="514"/>
      <c r="AD287" s="514"/>
      <c r="AE287" s="514"/>
      <c r="AF287" s="514"/>
      <c r="AG287" s="514"/>
      <c r="AH287" s="514"/>
    </row>
    <row r="288" spans="5:34" x14ac:dyDescent="0.25">
      <c r="G288" s="514"/>
      <c r="H288" s="511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7"/>
      <c r="T288" s="667"/>
      <c r="U288" s="667"/>
      <c r="V288" s="514"/>
      <c r="W288" s="514"/>
      <c r="X288" s="514"/>
      <c r="Y288" s="514"/>
      <c r="Z288" s="514"/>
      <c r="AA288" s="514"/>
      <c r="AB288" s="514"/>
      <c r="AC288" s="514"/>
      <c r="AD288" s="514"/>
      <c r="AE288" s="514"/>
      <c r="AF288" s="514"/>
      <c r="AG288" s="514"/>
      <c r="AH288" s="514"/>
    </row>
    <row r="289" spans="1:84" x14ac:dyDescent="0.25">
      <c r="G289" s="514"/>
      <c r="H289" s="511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7"/>
      <c r="T289" s="667"/>
      <c r="U289" s="667"/>
      <c r="V289" s="514"/>
      <c r="W289" s="514"/>
      <c r="X289" s="514"/>
      <c r="Y289" s="514"/>
      <c r="Z289" s="514"/>
      <c r="AA289" s="514"/>
      <c r="AB289" s="514"/>
      <c r="AC289" s="514"/>
      <c r="AD289" s="514"/>
      <c r="AE289" s="514"/>
      <c r="AF289" s="514"/>
      <c r="AG289" s="514"/>
      <c r="AH289" s="514"/>
    </row>
    <row r="290" spans="1:84" x14ac:dyDescent="0.25">
      <c r="G290" s="514"/>
      <c r="H290" s="511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7"/>
      <c r="T290" s="667"/>
      <c r="U290" s="667"/>
      <c r="V290" s="514"/>
      <c r="W290" s="514"/>
      <c r="X290" s="514"/>
      <c r="Y290" s="514"/>
      <c r="Z290" s="514"/>
      <c r="AA290" s="514"/>
      <c r="AB290" s="514"/>
      <c r="AC290" s="514"/>
      <c r="AD290" s="514"/>
      <c r="AE290" s="514"/>
      <c r="AF290" s="514"/>
      <c r="AG290" s="514"/>
      <c r="AH290" s="514"/>
    </row>
    <row r="291" spans="1:84" x14ac:dyDescent="0.25">
      <c r="G291" s="514"/>
      <c r="H291" s="511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7"/>
      <c r="T291" s="667"/>
      <c r="U291" s="667"/>
      <c r="V291" s="514"/>
      <c r="W291" s="514"/>
      <c r="X291" s="514"/>
      <c r="Y291" s="514"/>
      <c r="Z291" s="514"/>
      <c r="AA291" s="514"/>
      <c r="AB291" s="514"/>
      <c r="AC291" s="514"/>
      <c r="AD291" s="514"/>
      <c r="AE291" s="514"/>
      <c r="AF291" s="514"/>
      <c r="AG291" s="514"/>
      <c r="AH291" s="514"/>
    </row>
    <row r="292" spans="1:84" x14ac:dyDescent="0.25">
      <c r="G292" s="514"/>
      <c r="H292" s="511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7"/>
      <c r="T292" s="667"/>
      <c r="U292" s="667"/>
      <c r="V292" s="514"/>
      <c r="W292" s="514"/>
      <c r="X292" s="514"/>
      <c r="Y292" s="514"/>
      <c r="Z292" s="514"/>
      <c r="AA292" s="514"/>
      <c r="AB292" s="514"/>
      <c r="AC292" s="514"/>
      <c r="AD292" s="514"/>
      <c r="AE292" s="514"/>
      <c r="AF292" s="514"/>
      <c r="AG292" s="514"/>
      <c r="AH292" s="514"/>
    </row>
    <row r="293" spans="1:84" x14ac:dyDescent="0.25">
      <c r="G293" s="514"/>
      <c r="H293" s="511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7"/>
      <c r="T293" s="667"/>
      <c r="U293" s="667"/>
      <c r="V293" s="514"/>
      <c r="W293" s="514"/>
      <c r="X293" s="514"/>
      <c r="Y293" s="514"/>
      <c r="Z293" s="514"/>
      <c r="AA293" s="514"/>
      <c r="AB293" s="514"/>
      <c r="AC293" s="514"/>
      <c r="AD293" s="514"/>
      <c r="AE293" s="514"/>
      <c r="AF293" s="514"/>
      <c r="AG293" s="514"/>
      <c r="AH293" s="514"/>
    </row>
    <row r="294" spans="1:84" x14ac:dyDescent="0.25">
      <c r="G294" s="514"/>
      <c r="H294" s="511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7"/>
      <c r="T294" s="667"/>
      <c r="U294" s="667"/>
      <c r="V294" s="514"/>
      <c r="W294" s="514"/>
      <c r="X294" s="514"/>
      <c r="Y294" s="514"/>
      <c r="Z294" s="514"/>
      <c r="AA294" s="514"/>
      <c r="AB294" s="514"/>
      <c r="AC294" s="514"/>
      <c r="AD294" s="514"/>
      <c r="AE294" s="514"/>
      <c r="AF294" s="514"/>
      <c r="AG294" s="514"/>
      <c r="AH294" s="514"/>
    </row>
    <row r="295" spans="1:84" x14ac:dyDescent="0.25">
      <c r="G295" s="514"/>
      <c r="H295" s="511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7"/>
      <c r="T295" s="667"/>
      <c r="U295" s="667"/>
      <c r="V295" s="514"/>
      <c r="W295" s="514"/>
      <c r="X295" s="514"/>
      <c r="Y295" s="514"/>
      <c r="Z295" s="514"/>
      <c r="AA295" s="514"/>
      <c r="AB295" s="514"/>
      <c r="AC295" s="514"/>
      <c r="AD295" s="514"/>
      <c r="AE295" s="514"/>
      <c r="AF295" s="514"/>
      <c r="AG295" s="514"/>
      <c r="AH295" s="514"/>
    </row>
    <row r="296" spans="1:84" x14ac:dyDescent="0.25">
      <c r="G296" s="514"/>
      <c r="H296" s="511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7"/>
      <c r="T296" s="667"/>
      <c r="U296" s="667"/>
      <c r="V296" s="514"/>
      <c r="W296" s="514"/>
      <c r="X296" s="514"/>
      <c r="Y296" s="514"/>
      <c r="Z296" s="514"/>
      <c r="AA296" s="514"/>
      <c r="AB296" s="514"/>
      <c r="AC296" s="514"/>
      <c r="AD296" s="514"/>
      <c r="AE296" s="514"/>
      <c r="AF296" s="514"/>
      <c r="AG296" s="514"/>
      <c r="AH296" s="514"/>
    </row>
    <row r="297" spans="1:84" x14ac:dyDescent="0.25">
      <c r="G297" s="514"/>
      <c r="H297" s="511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7"/>
      <c r="T297" s="667"/>
      <c r="U297" s="667"/>
      <c r="V297" s="514"/>
      <c r="W297" s="514"/>
      <c r="X297" s="514"/>
      <c r="Y297" s="514"/>
      <c r="Z297" s="514"/>
      <c r="AA297" s="514"/>
      <c r="AB297" s="514"/>
      <c r="AC297" s="514"/>
      <c r="AD297" s="514"/>
      <c r="AE297" s="514"/>
      <c r="AF297" s="514"/>
      <c r="AG297" s="514"/>
      <c r="AH297" s="514"/>
    </row>
    <row r="299" spans="1:84" s="96" customFormat="1" x14ac:dyDescent="0.25">
      <c r="A299" s="113"/>
      <c r="E299" s="515"/>
      <c r="F299" s="113"/>
      <c r="G299" s="90"/>
      <c r="H299" s="90"/>
      <c r="I299" s="238"/>
      <c r="J299" s="238"/>
      <c r="K299" s="238"/>
      <c r="L299" s="238"/>
      <c r="M299" s="238"/>
      <c r="N299" s="238"/>
      <c r="O299" s="238"/>
      <c r="P299" s="238"/>
      <c r="Q299" s="238"/>
      <c r="R299" s="238"/>
      <c r="S299" s="239"/>
      <c r="T299" s="239"/>
      <c r="U299" s="239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238"/>
      <c r="AJ299" s="238"/>
      <c r="AK299" s="238"/>
      <c r="AL299" s="238"/>
      <c r="AM299" s="238"/>
      <c r="AN299" s="238"/>
      <c r="AO299" s="238"/>
      <c r="AP299" s="54"/>
      <c r="AQ299" s="54"/>
      <c r="AR299" s="238"/>
      <c r="AS299" s="54"/>
      <c r="AT299" s="54"/>
      <c r="AU299" s="238"/>
      <c r="AV299" s="54"/>
      <c r="AW299" s="54"/>
      <c r="AX299" s="54"/>
      <c r="AY299" s="54"/>
      <c r="AZ299" s="54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5"/>
      <c r="BY299" s="55"/>
      <c r="BZ299" s="55"/>
      <c r="CA299" s="238"/>
      <c r="CB299" s="238"/>
      <c r="CC299" s="238"/>
      <c r="CD299" s="238"/>
      <c r="CE299" s="238"/>
      <c r="CF299" s="239"/>
    </row>
    <row r="300" spans="1:84" s="96" customFormat="1" x14ac:dyDescent="0.25">
      <c r="A300" s="113"/>
      <c r="E300" s="515"/>
      <c r="F300" s="113"/>
      <c r="G300" s="90"/>
      <c r="H300" s="90"/>
      <c r="I300" s="238"/>
      <c r="J300" s="238"/>
      <c r="K300" s="238"/>
      <c r="L300" s="238"/>
      <c r="M300" s="238"/>
      <c r="N300" s="238"/>
      <c r="O300" s="238"/>
      <c r="P300" s="238"/>
      <c r="Q300" s="238"/>
      <c r="R300" s="238"/>
      <c r="S300" s="239"/>
      <c r="T300" s="239"/>
      <c r="U300" s="239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238"/>
      <c r="AJ300" s="238"/>
      <c r="AK300" s="238"/>
      <c r="AL300" s="238"/>
      <c r="AM300" s="238"/>
      <c r="AN300" s="238"/>
      <c r="AO300" s="238"/>
      <c r="AP300" s="54"/>
      <c r="AQ300" s="54"/>
      <c r="AR300" s="238"/>
      <c r="AS300" s="54"/>
      <c r="AT300" s="54"/>
      <c r="AU300" s="238"/>
      <c r="AV300" s="54"/>
      <c r="AW300" s="54"/>
      <c r="AX300" s="54"/>
      <c r="AY300" s="54"/>
      <c r="AZ300" s="54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5"/>
      <c r="BY300" s="55"/>
      <c r="BZ300" s="55"/>
      <c r="CA300" s="238"/>
      <c r="CB300" s="238"/>
      <c r="CC300" s="238"/>
      <c r="CD300" s="238"/>
      <c r="CE300" s="238"/>
      <c r="CF300" s="239"/>
    </row>
    <row r="301" spans="1:84" s="96" customFormat="1" x14ac:dyDescent="0.25">
      <c r="A301" s="113"/>
      <c r="E301" s="515"/>
      <c r="F301" s="113"/>
      <c r="G301" s="90"/>
      <c r="H301" s="90"/>
      <c r="I301" s="238"/>
      <c r="J301" s="238"/>
      <c r="K301" s="238"/>
      <c r="L301" s="238"/>
      <c r="M301" s="238"/>
      <c r="N301" s="238"/>
      <c r="O301" s="238"/>
      <c r="P301" s="238"/>
      <c r="Q301" s="238"/>
      <c r="R301" s="238"/>
      <c r="S301" s="239"/>
      <c r="T301" s="239"/>
      <c r="U301" s="239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238"/>
      <c r="AJ301" s="238"/>
      <c r="AK301" s="238"/>
      <c r="AL301" s="238"/>
      <c r="AM301" s="238"/>
      <c r="AN301" s="238"/>
      <c r="AO301" s="238"/>
      <c r="AP301" s="54"/>
      <c r="AQ301" s="54"/>
      <c r="AR301" s="238"/>
      <c r="AS301" s="54"/>
      <c r="AT301" s="54"/>
      <c r="AU301" s="238"/>
      <c r="AV301" s="54"/>
      <c r="AW301" s="54"/>
      <c r="AX301" s="54"/>
      <c r="AY301" s="54"/>
      <c r="AZ301" s="54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5"/>
      <c r="BY301" s="55"/>
      <c r="BZ301" s="55"/>
      <c r="CA301" s="238"/>
      <c r="CB301" s="238"/>
      <c r="CC301" s="238"/>
      <c r="CD301" s="238"/>
      <c r="CE301" s="238"/>
      <c r="CF301" s="239"/>
    </row>
    <row r="302" spans="1:84" s="96" customFormat="1" x14ac:dyDescent="0.25">
      <c r="A302" s="113"/>
      <c r="E302" s="515"/>
      <c r="F302" s="113"/>
      <c r="G302" s="90"/>
      <c r="H302" s="90"/>
      <c r="I302" s="238"/>
      <c r="J302" s="238"/>
      <c r="K302" s="238"/>
      <c r="L302" s="238"/>
      <c r="M302" s="238"/>
      <c r="N302" s="238"/>
      <c r="O302" s="238"/>
      <c r="P302" s="238"/>
      <c r="Q302" s="238"/>
      <c r="R302" s="238"/>
      <c r="S302" s="239"/>
      <c r="T302" s="239"/>
      <c r="U302" s="239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238"/>
      <c r="AJ302" s="238"/>
      <c r="AK302" s="238"/>
      <c r="AL302" s="238"/>
      <c r="AM302" s="238"/>
      <c r="AN302" s="238"/>
      <c r="AO302" s="238"/>
      <c r="AP302" s="54"/>
      <c r="AQ302" s="54"/>
      <c r="AR302" s="238"/>
      <c r="AS302" s="54"/>
      <c r="AT302" s="54"/>
      <c r="AU302" s="238"/>
      <c r="AV302" s="54"/>
      <c r="AW302" s="54"/>
      <c r="AX302" s="54"/>
      <c r="AY302" s="54"/>
      <c r="AZ302" s="54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5"/>
      <c r="BY302" s="55"/>
      <c r="BZ302" s="55"/>
      <c r="CA302" s="238"/>
      <c r="CB302" s="238"/>
      <c r="CC302" s="238"/>
      <c r="CD302" s="238"/>
      <c r="CE302" s="238"/>
      <c r="CF302" s="239"/>
    </row>
    <row r="303" spans="1:84" s="96" customFormat="1" x14ac:dyDescent="0.25">
      <c r="A303" s="113"/>
      <c r="E303" s="515"/>
      <c r="F303" s="113"/>
      <c r="G303" s="90"/>
      <c r="H303" s="90"/>
      <c r="I303" s="238"/>
      <c r="J303" s="238"/>
      <c r="K303" s="238"/>
      <c r="L303" s="238"/>
      <c r="M303" s="238"/>
      <c r="N303" s="238"/>
      <c r="O303" s="238"/>
      <c r="P303" s="238"/>
      <c r="Q303" s="238"/>
      <c r="R303" s="238"/>
      <c r="S303" s="239"/>
      <c r="T303" s="239"/>
      <c r="U303" s="239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238"/>
      <c r="AJ303" s="238"/>
      <c r="AK303" s="238"/>
      <c r="AL303" s="238"/>
      <c r="AM303" s="238"/>
      <c r="AN303" s="238"/>
      <c r="AO303" s="238"/>
      <c r="AP303" s="54"/>
      <c r="AQ303" s="54"/>
      <c r="AR303" s="238"/>
      <c r="AS303" s="54"/>
      <c r="AT303" s="54"/>
      <c r="AU303" s="238"/>
      <c r="AV303" s="54"/>
      <c r="AW303" s="54"/>
      <c r="AX303" s="54"/>
      <c r="AY303" s="54"/>
      <c r="AZ303" s="54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5"/>
      <c r="BY303" s="55"/>
      <c r="BZ303" s="55"/>
      <c r="CA303" s="238"/>
      <c r="CB303" s="238"/>
      <c r="CC303" s="238"/>
      <c r="CD303" s="238"/>
      <c r="CE303" s="238"/>
      <c r="CF303" s="239"/>
    </row>
    <row r="304" spans="1:84" s="96" customFormat="1" x14ac:dyDescent="0.25">
      <c r="A304" s="113"/>
      <c r="E304" s="515"/>
      <c r="F304" s="113"/>
      <c r="G304" s="90"/>
      <c r="H304" s="90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9"/>
      <c r="T304" s="239"/>
      <c r="U304" s="239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238"/>
      <c r="AJ304" s="238"/>
      <c r="AK304" s="238"/>
      <c r="AL304" s="238"/>
      <c r="AM304" s="238"/>
      <c r="AN304" s="238"/>
      <c r="AO304" s="238"/>
      <c r="AP304" s="54"/>
      <c r="AQ304" s="54"/>
      <c r="AR304" s="238"/>
      <c r="AS304" s="54"/>
      <c r="AT304" s="54"/>
      <c r="AU304" s="238"/>
      <c r="AV304" s="54"/>
      <c r="AW304" s="54"/>
      <c r="AX304" s="54"/>
      <c r="AY304" s="54"/>
      <c r="AZ304" s="54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5"/>
      <c r="BY304" s="55"/>
      <c r="BZ304" s="55"/>
      <c r="CA304" s="238"/>
      <c r="CB304" s="238"/>
      <c r="CC304" s="238"/>
      <c r="CD304" s="238"/>
      <c r="CE304" s="238"/>
      <c r="CF304" s="239"/>
    </row>
    <row r="305" spans="1:84" s="96" customFormat="1" x14ac:dyDescent="0.25">
      <c r="A305" s="113"/>
      <c r="E305" s="515"/>
      <c r="F305" s="113"/>
      <c r="G305" s="90"/>
      <c r="H305" s="90"/>
      <c r="I305" s="238"/>
      <c r="J305" s="238"/>
      <c r="K305" s="238"/>
      <c r="L305" s="238"/>
      <c r="M305" s="238"/>
      <c r="N305" s="238"/>
      <c r="O305" s="238"/>
      <c r="P305" s="238"/>
      <c r="Q305" s="238"/>
      <c r="R305" s="238"/>
      <c r="S305" s="239"/>
      <c r="T305" s="239"/>
      <c r="U305" s="239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238"/>
      <c r="AJ305" s="238"/>
      <c r="AK305" s="238"/>
      <c r="AL305" s="238"/>
      <c r="AM305" s="238"/>
      <c r="AN305" s="238"/>
      <c r="AO305" s="238"/>
      <c r="AP305" s="54"/>
      <c r="AQ305" s="54"/>
      <c r="AR305" s="238"/>
      <c r="AS305" s="54"/>
      <c r="AT305" s="54"/>
      <c r="AU305" s="238"/>
      <c r="AV305" s="54"/>
      <c r="AW305" s="54"/>
      <c r="AX305" s="54"/>
      <c r="AY305" s="54"/>
      <c r="AZ305" s="54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5"/>
      <c r="BY305" s="55"/>
      <c r="BZ305" s="55"/>
      <c r="CA305" s="238"/>
      <c r="CB305" s="238"/>
      <c r="CC305" s="238"/>
      <c r="CD305" s="238"/>
      <c r="CE305" s="238"/>
      <c r="CF305" s="239"/>
    </row>
    <row r="306" spans="1:84" s="96" customFormat="1" x14ac:dyDescent="0.25">
      <c r="A306" s="113"/>
      <c r="E306" s="515"/>
      <c r="F306" s="113"/>
      <c r="G306" s="90"/>
      <c r="H306" s="90"/>
      <c r="I306" s="238"/>
      <c r="J306" s="238"/>
      <c r="K306" s="238"/>
      <c r="L306" s="238"/>
      <c r="M306" s="238"/>
      <c r="N306" s="238"/>
      <c r="O306" s="238"/>
      <c r="P306" s="238"/>
      <c r="Q306" s="238"/>
      <c r="R306" s="238"/>
      <c r="S306" s="239"/>
      <c r="T306" s="239"/>
      <c r="U306" s="239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238"/>
      <c r="AJ306" s="238"/>
      <c r="AK306" s="238"/>
      <c r="AL306" s="238"/>
      <c r="AM306" s="238"/>
      <c r="AN306" s="238"/>
      <c r="AO306" s="238"/>
      <c r="AP306" s="54"/>
      <c r="AQ306" s="54"/>
      <c r="AR306" s="238"/>
      <c r="AS306" s="54"/>
      <c r="AT306" s="54"/>
      <c r="AU306" s="238"/>
      <c r="AV306" s="54"/>
      <c r="AW306" s="54"/>
      <c r="AX306" s="54"/>
      <c r="AY306" s="54"/>
      <c r="AZ306" s="54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5"/>
      <c r="BY306" s="55"/>
      <c r="BZ306" s="55"/>
      <c r="CA306" s="238"/>
      <c r="CB306" s="238"/>
      <c r="CC306" s="238"/>
      <c r="CD306" s="238"/>
      <c r="CE306" s="238"/>
      <c r="CF306" s="239"/>
    </row>
    <row r="307" spans="1:84" s="96" customFormat="1" x14ac:dyDescent="0.25">
      <c r="A307" s="113"/>
      <c r="E307" s="515"/>
      <c r="F307" s="113"/>
      <c r="G307" s="90"/>
      <c r="H307" s="90"/>
      <c r="I307" s="238"/>
      <c r="J307" s="238"/>
      <c r="K307" s="238"/>
      <c r="L307" s="238"/>
      <c r="M307" s="238"/>
      <c r="N307" s="238"/>
      <c r="O307" s="238"/>
      <c r="P307" s="238"/>
      <c r="Q307" s="238"/>
      <c r="R307" s="238"/>
      <c r="S307" s="239"/>
      <c r="T307" s="239"/>
      <c r="U307" s="239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238"/>
      <c r="AJ307" s="238"/>
      <c r="AK307" s="238"/>
      <c r="AL307" s="238"/>
      <c r="AM307" s="238"/>
      <c r="AN307" s="238"/>
      <c r="AO307" s="238"/>
      <c r="AP307" s="54"/>
      <c r="AQ307" s="54"/>
      <c r="AR307" s="238"/>
      <c r="AS307" s="54"/>
      <c r="AT307" s="54"/>
      <c r="AU307" s="238"/>
      <c r="AV307" s="54"/>
      <c r="AW307" s="54"/>
      <c r="AX307" s="54"/>
      <c r="AY307" s="54"/>
      <c r="AZ307" s="54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5"/>
      <c r="BY307" s="55"/>
      <c r="BZ307" s="55"/>
      <c r="CA307" s="238"/>
      <c r="CB307" s="238"/>
      <c r="CC307" s="238"/>
      <c r="CD307" s="238"/>
      <c r="CE307" s="238"/>
      <c r="CF307" s="239"/>
    </row>
    <row r="308" spans="1:84" s="96" customFormat="1" x14ac:dyDescent="0.25">
      <c r="A308" s="113"/>
      <c r="E308" s="113"/>
      <c r="F308" s="113"/>
      <c r="G308" s="90"/>
      <c r="H308" s="90"/>
      <c r="I308" s="238"/>
      <c r="J308" s="238"/>
      <c r="K308" s="238"/>
      <c r="L308" s="238"/>
      <c r="M308" s="238"/>
      <c r="N308" s="238"/>
      <c r="O308" s="238"/>
      <c r="P308" s="238"/>
      <c r="Q308" s="238"/>
      <c r="R308" s="238"/>
      <c r="S308" s="239"/>
      <c r="T308" s="239"/>
      <c r="U308" s="239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238"/>
      <c r="AJ308" s="238"/>
      <c r="AK308" s="238"/>
      <c r="AL308" s="238"/>
      <c r="AM308" s="238"/>
      <c r="AN308" s="238"/>
      <c r="AO308" s="238"/>
      <c r="AP308" s="54"/>
      <c r="AQ308" s="54"/>
      <c r="AR308" s="238"/>
      <c r="AS308" s="54"/>
      <c r="AT308" s="54"/>
      <c r="AU308" s="238"/>
      <c r="AV308" s="54"/>
      <c r="AW308" s="54"/>
      <c r="AX308" s="54"/>
      <c r="AY308" s="54"/>
      <c r="AZ308" s="54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5"/>
      <c r="BY308" s="55"/>
      <c r="BZ308" s="55"/>
      <c r="CA308" s="238"/>
      <c r="CB308" s="238"/>
      <c r="CC308" s="238"/>
      <c r="CD308" s="238"/>
      <c r="CE308" s="238"/>
      <c r="CF308" s="239"/>
    </row>
    <row r="309" spans="1:84" s="96" customFormat="1" x14ac:dyDescent="0.25">
      <c r="A309" s="113"/>
      <c r="E309" s="113"/>
      <c r="F309" s="113"/>
      <c r="G309" s="90"/>
      <c r="H309" s="90"/>
      <c r="I309" s="238"/>
      <c r="J309" s="238"/>
      <c r="K309" s="238"/>
      <c r="L309" s="238"/>
      <c r="M309" s="238"/>
      <c r="N309" s="238"/>
      <c r="O309" s="238"/>
      <c r="P309" s="238"/>
      <c r="Q309" s="238"/>
      <c r="R309" s="238"/>
      <c r="S309" s="239"/>
      <c r="T309" s="239"/>
      <c r="U309" s="239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238"/>
      <c r="AJ309" s="238"/>
      <c r="AK309" s="238"/>
      <c r="AL309" s="238"/>
      <c r="AM309" s="238"/>
      <c r="AN309" s="238"/>
      <c r="AO309" s="238"/>
      <c r="AP309" s="54"/>
      <c r="AQ309" s="54"/>
      <c r="AR309" s="238"/>
      <c r="AS309" s="54"/>
      <c r="AT309" s="54"/>
      <c r="AU309" s="238"/>
      <c r="AV309" s="54"/>
      <c r="AW309" s="54"/>
      <c r="AX309" s="54"/>
      <c r="AY309" s="54"/>
      <c r="AZ309" s="54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5"/>
      <c r="BY309" s="55"/>
      <c r="BZ309" s="55"/>
      <c r="CA309" s="238"/>
      <c r="CB309" s="238"/>
      <c r="CC309" s="238"/>
      <c r="CD309" s="238"/>
      <c r="CE309" s="238"/>
      <c r="CF309" s="239"/>
    </row>
    <row r="310" spans="1:84" s="96" customFormat="1" x14ac:dyDescent="0.25">
      <c r="A310" s="113"/>
      <c r="E310" s="113"/>
      <c r="F310" s="113"/>
      <c r="G310" s="90"/>
      <c r="H310" s="90"/>
      <c r="I310" s="238"/>
      <c r="J310" s="238"/>
      <c r="K310" s="238"/>
      <c r="L310" s="238"/>
      <c r="M310" s="238"/>
      <c r="N310" s="238"/>
      <c r="O310" s="238"/>
      <c r="P310" s="238"/>
      <c r="Q310" s="238"/>
      <c r="R310" s="238"/>
      <c r="S310" s="239"/>
      <c r="T310" s="239"/>
      <c r="U310" s="239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238"/>
      <c r="AJ310" s="238"/>
      <c r="AK310" s="238"/>
      <c r="AL310" s="238"/>
      <c r="AM310" s="238"/>
      <c r="AN310" s="238"/>
      <c r="AO310" s="238"/>
      <c r="AP310" s="54"/>
      <c r="AQ310" s="54"/>
      <c r="AR310" s="238"/>
      <c r="AS310" s="54"/>
      <c r="AT310" s="54"/>
      <c r="AU310" s="238"/>
      <c r="AV310" s="54"/>
      <c r="AW310" s="54"/>
      <c r="AX310" s="54"/>
      <c r="AY310" s="54"/>
      <c r="AZ310" s="54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5"/>
      <c r="BY310" s="55"/>
      <c r="BZ310" s="55"/>
      <c r="CA310" s="238"/>
      <c r="CB310" s="238"/>
      <c r="CC310" s="238"/>
      <c r="CD310" s="238"/>
      <c r="CE310" s="238"/>
      <c r="CF310" s="239"/>
    </row>
    <row r="311" spans="1:84" s="96" customFormat="1" x14ac:dyDescent="0.25">
      <c r="A311" s="113"/>
      <c r="E311" s="113"/>
      <c r="F311" s="113"/>
      <c r="G311" s="90"/>
      <c r="H311" s="90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9"/>
      <c r="T311" s="239"/>
      <c r="U311" s="239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238"/>
      <c r="AJ311" s="238"/>
      <c r="AK311" s="238"/>
      <c r="AL311" s="238"/>
      <c r="AM311" s="238"/>
      <c r="AN311" s="238"/>
      <c r="AO311" s="238"/>
      <c r="AP311" s="54"/>
      <c r="AQ311" s="54"/>
      <c r="AR311" s="238"/>
      <c r="AS311" s="54"/>
      <c r="AT311" s="54"/>
      <c r="AU311" s="238"/>
      <c r="AV311" s="54"/>
      <c r="AW311" s="54"/>
      <c r="AX311" s="54"/>
      <c r="AY311" s="54"/>
      <c r="AZ311" s="54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5"/>
      <c r="BY311" s="55"/>
      <c r="BZ311" s="55"/>
      <c r="CA311" s="238"/>
      <c r="CB311" s="238"/>
      <c r="CC311" s="238"/>
      <c r="CD311" s="238"/>
      <c r="CE311" s="238"/>
      <c r="CF311" s="239"/>
    </row>
    <row r="312" spans="1:84" s="96" customFormat="1" x14ac:dyDescent="0.25">
      <c r="A312" s="113"/>
      <c r="E312" s="113"/>
      <c r="F312" s="113"/>
      <c r="G312" s="90"/>
      <c r="H312" s="90"/>
      <c r="I312" s="238"/>
      <c r="J312" s="238"/>
      <c r="K312" s="238"/>
      <c r="L312" s="238"/>
      <c r="M312" s="238"/>
      <c r="N312" s="238"/>
      <c r="O312" s="238"/>
      <c r="P312" s="238"/>
      <c r="Q312" s="238"/>
      <c r="R312" s="238"/>
      <c r="S312" s="239"/>
      <c r="T312" s="239"/>
      <c r="U312" s="239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238"/>
      <c r="AJ312" s="238"/>
      <c r="AK312" s="238"/>
      <c r="AL312" s="238"/>
      <c r="AM312" s="238"/>
      <c r="AN312" s="238"/>
      <c r="AO312" s="238"/>
      <c r="AP312" s="54"/>
      <c r="AQ312" s="54"/>
      <c r="AR312" s="238"/>
      <c r="AS312" s="54"/>
      <c r="AT312" s="54"/>
      <c r="AU312" s="238"/>
      <c r="AV312" s="54"/>
      <c r="AW312" s="54"/>
      <c r="AX312" s="54"/>
      <c r="AY312" s="54"/>
      <c r="AZ312" s="54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5"/>
      <c r="BY312" s="55"/>
      <c r="BZ312" s="55"/>
      <c r="CA312" s="238"/>
      <c r="CB312" s="238"/>
      <c r="CC312" s="238"/>
      <c r="CD312" s="238"/>
      <c r="CE312" s="238"/>
      <c r="CF312" s="239"/>
    </row>
    <row r="313" spans="1:84" s="96" customFormat="1" x14ac:dyDescent="0.25">
      <c r="A313" s="113"/>
      <c r="E313" s="113"/>
      <c r="F313" s="113"/>
      <c r="G313" s="90"/>
      <c r="H313" s="90"/>
      <c r="I313" s="238"/>
      <c r="J313" s="238"/>
      <c r="K313" s="238"/>
      <c r="L313" s="238"/>
      <c r="M313" s="238"/>
      <c r="N313" s="238"/>
      <c r="O313" s="238"/>
      <c r="P313" s="238"/>
      <c r="Q313" s="238"/>
      <c r="R313" s="238"/>
      <c r="S313" s="239"/>
      <c r="T313" s="239"/>
      <c r="U313" s="239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238"/>
      <c r="AJ313" s="238"/>
      <c r="AK313" s="238"/>
      <c r="AL313" s="238"/>
      <c r="AM313" s="238"/>
      <c r="AN313" s="238"/>
      <c r="AO313" s="238"/>
      <c r="AP313" s="54"/>
      <c r="AQ313" s="54"/>
      <c r="AR313" s="238"/>
      <c r="AS313" s="54"/>
      <c r="AT313" s="54"/>
      <c r="AU313" s="238"/>
      <c r="AV313" s="54"/>
      <c r="AW313" s="54"/>
      <c r="AX313" s="54"/>
      <c r="AY313" s="54"/>
      <c r="AZ313" s="54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5"/>
      <c r="BY313" s="55"/>
      <c r="BZ313" s="55"/>
      <c r="CA313" s="238"/>
      <c r="CB313" s="238"/>
      <c r="CC313" s="238"/>
      <c r="CD313" s="238"/>
      <c r="CE313" s="238"/>
      <c r="CF313" s="239"/>
    </row>
    <row r="314" spans="1:84" s="96" customFormat="1" x14ac:dyDescent="0.25">
      <c r="A314" s="113"/>
      <c r="E314" s="113"/>
      <c r="F314" s="113"/>
      <c r="G314" s="90"/>
      <c r="H314" s="90"/>
      <c r="I314" s="238"/>
      <c r="J314" s="238"/>
      <c r="K314" s="238"/>
      <c r="L314" s="238"/>
      <c r="M314" s="238"/>
      <c r="N314" s="238"/>
      <c r="O314" s="238"/>
      <c r="P314" s="238"/>
      <c r="Q314" s="238"/>
      <c r="R314" s="238"/>
      <c r="S314" s="239"/>
      <c r="T314" s="239"/>
      <c r="U314" s="239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238"/>
      <c r="AJ314" s="238"/>
      <c r="AK314" s="238"/>
      <c r="AL314" s="238"/>
      <c r="AM314" s="238"/>
      <c r="AN314" s="238"/>
      <c r="AO314" s="238"/>
      <c r="AP314" s="54"/>
      <c r="AQ314" s="54"/>
      <c r="AR314" s="238"/>
      <c r="AS314" s="54"/>
      <c r="AT314" s="54"/>
      <c r="AU314" s="238"/>
      <c r="AV314" s="54"/>
      <c r="AW314" s="54"/>
      <c r="AX314" s="54"/>
      <c r="AY314" s="54"/>
      <c r="AZ314" s="54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5"/>
      <c r="BY314" s="55"/>
      <c r="BZ314" s="55"/>
      <c r="CA314" s="238"/>
      <c r="CB314" s="238"/>
      <c r="CC314" s="238"/>
      <c r="CD314" s="238"/>
      <c r="CE314" s="238"/>
      <c r="CF314" s="239"/>
    </row>
    <row r="315" spans="1:84" s="96" customFormat="1" x14ac:dyDescent="0.25">
      <c r="A315" s="113"/>
      <c r="E315" s="113"/>
      <c r="F315" s="113"/>
      <c r="G315" s="90"/>
      <c r="H315" s="90"/>
      <c r="I315" s="238"/>
      <c r="J315" s="238"/>
      <c r="K315" s="238"/>
      <c r="L315" s="238"/>
      <c r="M315" s="238"/>
      <c r="N315" s="238"/>
      <c r="O315" s="238"/>
      <c r="P315" s="238"/>
      <c r="Q315" s="238"/>
      <c r="R315" s="238"/>
      <c r="S315" s="239"/>
      <c r="T315" s="239"/>
      <c r="U315" s="239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238"/>
      <c r="AJ315" s="238"/>
      <c r="AK315" s="238"/>
      <c r="AL315" s="238"/>
      <c r="AM315" s="238"/>
      <c r="AN315" s="238"/>
      <c r="AO315" s="238"/>
      <c r="AP315" s="54"/>
      <c r="AQ315" s="54"/>
      <c r="AR315" s="238"/>
      <c r="AS315" s="54"/>
      <c r="AT315" s="54"/>
      <c r="AU315" s="238"/>
      <c r="AV315" s="54"/>
      <c r="AW315" s="54"/>
      <c r="AX315" s="54"/>
      <c r="AY315" s="54"/>
      <c r="AZ315" s="54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5"/>
      <c r="BY315" s="55"/>
      <c r="BZ315" s="55"/>
      <c r="CA315" s="238"/>
      <c r="CB315" s="238"/>
      <c r="CC315" s="238"/>
      <c r="CD315" s="238"/>
      <c r="CE315" s="238"/>
      <c r="CF315" s="239"/>
    </row>
    <row r="316" spans="1:84" s="96" customFormat="1" x14ac:dyDescent="0.25">
      <c r="A316" s="113"/>
      <c r="E316" s="515"/>
      <c r="F316" s="113"/>
      <c r="G316" s="113"/>
      <c r="H316" s="113"/>
      <c r="I316" s="238"/>
      <c r="J316" s="238"/>
      <c r="K316" s="238"/>
      <c r="L316" s="238"/>
      <c r="M316" s="238"/>
      <c r="N316" s="238"/>
      <c r="O316" s="238"/>
      <c r="P316" s="238"/>
      <c r="Q316" s="238"/>
      <c r="R316" s="238"/>
      <c r="S316" s="239"/>
      <c r="T316" s="239"/>
      <c r="U316" s="239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238"/>
      <c r="AJ316" s="238"/>
      <c r="AK316" s="238"/>
      <c r="AL316" s="238"/>
      <c r="AM316" s="238"/>
      <c r="AN316" s="238"/>
      <c r="AO316" s="238"/>
      <c r="AP316" s="54"/>
      <c r="AQ316" s="54"/>
      <c r="AR316" s="238"/>
      <c r="AS316" s="54"/>
      <c r="AT316" s="238"/>
      <c r="AU316" s="238"/>
      <c r="AV316" s="238"/>
      <c r="AW316" s="238"/>
      <c r="AX316" s="238"/>
      <c r="AY316" s="238"/>
      <c r="AZ316" s="238"/>
      <c r="BA316" s="239"/>
      <c r="BB316" s="239"/>
      <c r="BC316" s="239"/>
      <c r="BD316" s="239"/>
      <c r="BE316" s="239"/>
      <c r="BF316" s="239"/>
      <c r="BG316" s="239"/>
      <c r="BH316" s="239"/>
      <c r="BI316" s="239"/>
      <c r="BJ316" s="239"/>
      <c r="BK316" s="239"/>
      <c r="BL316" s="239"/>
      <c r="BM316" s="239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9"/>
      <c r="BY316" s="239"/>
      <c r="BZ316" s="239"/>
      <c r="CA316" s="238"/>
      <c r="CB316" s="238"/>
      <c r="CC316" s="238"/>
      <c r="CD316" s="238"/>
      <c r="CE316" s="238"/>
      <c r="CF316" s="239"/>
    </row>
    <row r="317" spans="1:84" s="96" customFormat="1" x14ac:dyDescent="0.25">
      <c r="A317" s="113"/>
      <c r="E317" s="515"/>
      <c r="F317" s="113"/>
      <c r="G317" s="113"/>
      <c r="H317" s="113"/>
      <c r="I317" s="238"/>
      <c r="J317" s="238"/>
      <c r="K317" s="238"/>
      <c r="L317" s="238"/>
      <c r="M317" s="238"/>
      <c r="N317" s="238"/>
      <c r="O317" s="238"/>
      <c r="P317" s="238"/>
      <c r="Q317" s="238"/>
      <c r="R317" s="238"/>
      <c r="S317" s="239"/>
      <c r="T317" s="239"/>
      <c r="U317" s="239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238"/>
      <c r="AJ317" s="238"/>
      <c r="AK317" s="238"/>
      <c r="AL317" s="238"/>
      <c r="AM317" s="238"/>
      <c r="AN317" s="238"/>
      <c r="AO317" s="238"/>
      <c r="AP317" s="54"/>
      <c r="AQ317" s="54"/>
      <c r="AR317" s="238"/>
      <c r="AS317" s="54"/>
      <c r="AT317" s="238"/>
      <c r="AU317" s="238"/>
      <c r="AV317" s="238"/>
      <c r="AW317" s="238"/>
      <c r="AX317" s="238"/>
      <c r="AY317" s="238"/>
      <c r="AZ317" s="238"/>
      <c r="BA317" s="239"/>
      <c r="BB317" s="239"/>
      <c r="BC317" s="239"/>
      <c r="BD317" s="239"/>
      <c r="BE317" s="239"/>
      <c r="BF317" s="239"/>
      <c r="BG317" s="239"/>
      <c r="BH317" s="239"/>
      <c r="BI317" s="239"/>
      <c r="BJ317" s="239"/>
      <c r="BK317" s="239"/>
      <c r="BL317" s="239"/>
      <c r="BM317" s="239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9"/>
      <c r="BY317" s="239"/>
      <c r="BZ317" s="239"/>
      <c r="CA317" s="238"/>
      <c r="CB317" s="238"/>
      <c r="CC317" s="238"/>
      <c r="CD317" s="238"/>
      <c r="CE317" s="238"/>
      <c r="CF317" s="239"/>
    </row>
    <row r="318" spans="1:84" s="96" customFormat="1" x14ac:dyDescent="0.25">
      <c r="A318" s="113"/>
      <c r="E318" s="515"/>
      <c r="F318" s="113"/>
      <c r="G318" s="113"/>
      <c r="H318" s="113"/>
      <c r="I318" s="238"/>
      <c r="J318" s="238"/>
      <c r="K318" s="238"/>
      <c r="L318" s="238"/>
      <c r="M318" s="238"/>
      <c r="N318" s="238"/>
      <c r="O318" s="238"/>
      <c r="P318" s="238"/>
      <c r="Q318" s="238"/>
      <c r="R318" s="238"/>
      <c r="S318" s="239"/>
      <c r="T318" s="239"/>
      <c r="U318" s="239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238"/>
      <c r="AJ318" s="238"/>
      <c r="AK318" s="238"/>
      <c r="AL318" s="238"/>
      <c r="AM318" s="238"/>
      <c r="AN318" s="238"/>
      <c r="AO318" s="238"/>
      <c r="AP318" s="54"/>
      <c r="AQ318" s="54"/>
      <c r="AR318" s="238"/>
      <c r="AS318" s="54"/>
      <c r="AT318" s="238"/>
      <c r="AU318" s="238"/>
      <c r="AV318" s="238"/>
      <c r="AW318" s="238"/>
      <c r="AX318" s="238"/>
      <c r="AY318" s="238"/>
      <c r="AZ318" s="238"/>
      <c r="BA318" s="239"/>
      <c r="BB318" s="239"/>
      <c r="BC318" s="239"/>
      <c r="BD318" s="239"/>
      <c r="BE318" s="239"/>
      <c r="BF318" s="239"/>
      <c r="BG318" s="239"/>
      <c r="BH318" s="239"/>
      <c r="BI318" s="239"/>
      <c r="BJ318" s="239"/>
      <c r="BK318" s="239"/>
      <c r="BL318" s="239"/>
      <c r="BM318" s="239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9"/>
      <c r="BY318" s="239"/>
      <c r="BZ318" s="239"/>
      <c r="CA318" s="238"/>
      <c r="CB318" s="238"/>
      <c r="CC318" s="238"/>
      <c r="CD318" s="238"/>
      <c r="CE318" s="238"/>
      <c r="CF318" s="239"/>
    </row>
    <row r="319" spans="1:84" s="96" customFormat="1" x14ac:dyDescent="0.25">
      <c r="A319" s="113"/>
      <c r="E319" s="515"/>
      <c r="F319" s="113"/>
      <c r="G319" s="113"/>
      <c r="H319" s="113"/>
      <c r="I319" s="238"/>
      <c r="J319" s="238"/>
      <c r="K319" s="238"/>
      <c r="L319" s="238"/>
      <c r="M319" s="238"/>
      <c r="N319" s="238"/>
      <c r="O319" s="238"/>
      <c r="P319" s="238"/>
      <c r="Q319" s="238"/>
      <c r="R319" s="238"/>
      <c r="S319" s="239"/>
      <c r="T319" s="239"/>
      <c r="U319" s="239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238"/>
      <c r="AJ319" s="238"/>
      <c r="AK319" s="238"/>
      <c r="AL319" s="238"/>
      <c r="AM319" s="238"/>
      <c r="AN319" s="238"/>
      <c r="AO319" s="238"/>
      <c r="AP319" s="54"/>
      <c r="AQ319" s="54"/>
      <c r="AR319" s="238"/>
      <c r="AS319" s="54"/>
      <c r="AT319" s="238"/>
      <c r="AU319" s="238"/>
      <c r="AV319" s="238"/>
      <c r="AW319" s="238"/>
      <c r="AX319" s="238"/>
      <c r="AY319" s="238"/>
      <c r="AZ319" s="238"/>
      <c r="BA319" s="239"/>
      <c r="BB319" s="239"/>
      <c r="BC319" s="239"/>
      <c r="BD319" s="239"/>
      <c r="BE319" s="239"/>
      <c r="BF319" s="239"/>
      <c r="BG319" s="239"/>
      <c r="BH319" s="239"/>
      <c r="BI319" s="239"/>
      <c r="BJ319" s="239"/>
      <c r="BK319" s="239"/>
      <c r="BL319" s="239"/>
      <c r="BM319" s="239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9"/>
      <c r="BY319" s="239"/>
      <c r="BZ319" s="239"/>
      <c r="CA319" s="238"/>
      <c r="CB319" s="238"/>
      <c r="CC319" s="238"/>
      <c r="CD319" s="238"/>
      <c r="CE319" s="238"/>
      <c r="CF319" s="239"/>
    </row>
    <row r="320" spans="1:84" s="96" customFormat="1" x14ac:dyDescent="0.25">
      <c r="A320" s="113"/>
      <c r="E320" s="515"/>
      <c r="F320" s="113"/>
      <c r="G320" s="113"/>
      <c r="H320" s="113"/>
      <c r="I320" s="238"/>
      <c r="J320" s="238"/>
      <c r="K320" s="238"/>
      <c r="L320" s="238"/>
      <c r="M320" s="238"/>
      <c r="N320" s="238"/>
      <c r="O320" s="238"/>
      <c r="P320" s="238"/>
      <c r="Q320" s="238"/>
      <c r="R320" s="238"/>
      <c r="S320" s="239"/>
      <c r="T320" s="239"/>
      <c r="U320" s="239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238"/>
      <c r="AJ320" s="238"/>
      <c r="AK320" s="238"/>
      <c r="AL320" s="238"/>
      <c r="AM320" s="238"/>
      <c r="AN320" s="238"/>
      <c r="AO320" s="238"/>
      <c r="AP320" s="54"/>
      <c r="AQ320" s="54"/>
      <c r="AR320" s="238"/>
      <c r="AS320" s="54"/>
      <c r="AT320" s="238"/>
      <c r="AU320" s="238"/>
      <c r="AV320" s="238"/>
      <c r="AW320" s="238"/>
      <c r="AX320" s="238"/>
      <c r="AY320" s="238"/>
      <c r="AZ320" s="238"/>
      <c r="BA320" s="239"/>
      <c r="BB320" s="239"/>
      <c r="BC320" s="239"/>
      <c r="BD320" s="239"/>
      <c r="BE320" s="239"/>
      <c r="BF320" s="239"/>
      <c r="BG320" s="239"/>
      <c r="BH320" s="239"/>
      <c r="BI320" s="239"/>
      <c r="BJ320" s="239"/>
      <c r="BK320" s="239"/>
      <c r="BL320" s="239"/>
      <c r="BM320" s="239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9"/>
      <c r="BY320" s="239"/>
      <c r="BZ320" s="239"/>
      <c r="CA320" s="238"/>
      <c r="CB320" s="238"/>
      <c r="CC320" s="238"/>
      <c r="CD320" s="238"/>
      <c r="CE320" s="238"/>
      <c r="CF320" s="239"/>
    </row>
    <row r="321" spans="1:84" s="96" customFormat="1" x14ac:dyDescent="0.25">
      <c r="A321" s="113"/>
      <c r="E321" s="515"/>
      <c r="F321" s="113"/>
      <c r="G321" s="113"/>
      <c r="H321" s="113"/>
      <c r="I321" s="238"/>
      <c r="J321" s="238"/>
      <c r="K321" s="238"/>
      <c r="L321" s="238"/>
      <c r="M321" s="238"/>
      <c r="N321" s="238"/>
      <c r="O321" s="238"/>
      <c r="P321" s="238"/>
      <c r="Q321" s="238"/>
      <c r="R321" s="238"/>
      <c r="S321" s="239"/>
      <c r="T321" s="239"/>
      <c r="U321" s="239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238"/>
      <c r="AJ321" s="238"/>
      <c r="AK321" s="238"/>
      <c r="AL321" s="238"/>
      <c r="AM321" s="238"/>
      <c r="AN321" s="238"/>
      <c r="AO321" s="238"/>
      <c r="AP321" s="54"/>
      <c r="AQ321" s="54"/>
      <c r="AR321" s="238"/>
      <c r="AS321" s="54"/>
      <c r="AT321" s="238"/>
      <c r="AU321" s="238"/>
      <c r="AV321" s="238"/>
      <c r="AW321" s="238"/>
      <c r="AX321" s="238"/>
      <c r="AY321" s="238"/>
      <c r="AZ321" s="238"/>
      <c r="BA321" s="239"/>
      <c r="BB321" s="239"/>
      <c r="BC321" s="239"/>
      <c r="BD321" s="239"/>
      <c r="BE321" s="239"/>
      <c r="BF321" s="239"/>
      <c r="BG321" s="239"/>
      <c r="BH321" s="239"/>
      <c r="BI321" s="239"/>
      <c r="BJ321" s="239"/>
      <c r="BK321" s="239"/>
      <c r="BL321" s="239"/>
      <c r="BM321" s="239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9"/>
      <c r="BY321" s="239"/>
      <c r="BZ321" s="239"/>
      <c r="CA321" s="238"/>
      <c r="CB321" s="238"/>
      <c r="CC321" s="238"/>
      <c r="CD321" s="238"/>
      <c r="CE321" s="238"/>
      <c r="CF321" s="239"/>
    </row>
    <row r="322" spans="1:84" s="96" customFormat="1" x14ac:dyDescent="0.25">
      <c r="A322" s="113"/>
      <c r="E322" s="515"/>
      <c r="F322" s="113"/>
      <c r="G322" s="113"/>
      <c r="H322" s="113"/>
      <c r="I322" s="238"/>
      <c r="J322" s="238"/>
      <c r="K322" s="238"/>
      <c r="L322" s="238"/>
      <c r="M322" s="238"/>
      <c r="N322" s="238"/>
      <c r="O322" s="238"/>
      <c r="P322" s="238"/>
      <c r="Q322" s="238"/>
      <c r="R322" s="238"/>
      <c r="S322" s="239"/>
      <c r="T322" s="239"/>
      <c r="U322" s="239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238"/>
      <c r="AJ322" s="238"/>
      <c r="AK322" s="238"/>
      <c r="AL322" s="238"/>
      <c r="AM322" s="238"/>
      <c r="AN322" s="238"/>
      <c r="AO322" s="238"/>
      <c r="AP322" s="54"/>
      <c r="AQ322" s="54"/>
      <c r="AR322" s="238"/>
      <c r="AS322" s="54"/>
      <c r="AT322" s="238"/>
      <c r="AU322" s="238"/>
      <c r="AV322" s="238"/>
      <c r="AW322" s="238"/>
      <c r="AX322" s="238"/>
      <c r="AY322" s="238"/>
      <c r="AZ322" s="238"/>
      <c r="BA322" s="239"/>
      <c r="BB322" s="239"/>
      <c r="BC322" s="239"/>
      <c r="BD322" s="239"/>
      <c r="BE322" s="239"/>
      <c r="BF322" s="239"/>
      <c r="BG322" s="239"/>
      <c r="BH322" s="239"/>
      <c r="BI322" s="239"/>
      <c r="BJ322" s="239"/>
      <c r="BK322" s="239"/>
      <c r="BL322" s="239"/>
      <c r="BM322" s="239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9"/>
      <c r="BY322" s="239"/>
      <c r="BZ322" s="239"/>
      <c r="CA322" s="238"/>
      <c r="CB322" s="238"/>
      <c r="CC322" s="238"/>
      <c r="CD322" s="238"/>
      <c r="CE322" s="238"/>
      <c r="CF322" s="239"/>
    </row>
    <row r="323" spans="1:84" s="96" customFormat="1" x14ac:dyDescent="0.25">
      <c r="A323" s="113"/>
      <c r="E323" s="515"/>
      <c r="F323" s="113"/>
      <c r="G323" s="113"/>
      <c r="H323" s="113"/>
      <c r="I323" s="238"/>
      <c r="J323" s="238"/>
      <c r="K323" s="238"/>
      <c r="L323" s="238"/>
      <c r="M323" s="238"/>
      <c r="N323" s="238"/>
      <c r="O323" s="238"/>
      <c r="P323" s="238"/>
      <c r="Q323" s="238"/>
      <c r="R323" s="238"/>
      <c r="S323" s="239"/>
      <c r="T323" s="239"/>
      <c r="U323" s="239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238"/>
      <c r="AJ323" s="238"/>
      <c r="AK323" s="238"/>
      <c r="AL323" s="238"/>
      <c r="AM323" s="238"/>
      <c r="AN323" s="238"/>
      <c r="AO323" s="238"/>
      <c r="AP323" s="54"/>
      <c r="AQ323" s="54"/>
      <c r="AR323" s="238"/>
      <c r="AS323" s="54"/>
      <c r="AT323" s="238"/>
      <c r="AU323" s="238"/>
      <c r="AV323" s="238"/>
      <c r="AW323" s="238"/>
      <c r="AX323" s="238"/>
      <c r="AY323" s="238"/>
      <c r="AZ323" s="238"/>
      <c r="BA323" s="239"/>
      <c r="BB323" s="239"/>
      <c r="BC323" s="239"/>
      <c r="BD323" s="239"/>
      <c r="BE323" s="239"/>
      <c r="BF323" s="239"/>
      <c r="BG323" s="239"/>
      <c r="BH323" s="239"/>
      <c r="BI323" s="239"/>
      <c r="BJ323" s="239"/>
      <c r="BK323" s="239"/>
      <c r="BL323" s="239"/>
      <c r="BM323" s="239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9"/>
      <c r="BY323" s="239"/>
      <c r="BZ323" s="239"/>
      <c r="CA323" s="238"/>
      <c r="CB323" s="238"/>
      <c r="CC323" s="238"/>
      <c r="CD323" s="238"/>
      <c r="CE323" s="238"/>
      <c r="CF323" s="239"/>
    </row>
    <row r="324" spans="1:84" s="96" customFormat="1" x14ac:dyDescent="0.25">
      <c r="A324" s="113"/>
      <c r="E324" s="515"/>
      <c r="F324" s="113"/>
      <c r="G324" s="113"/>
      <c r="H324" s="113"/>
      <c r="I324" s="238"/>
      <c r="J324" s="238"/>
      <c r="K324" s="238"/>
      <c r="L324" s="238"/>
      <c r="M324" s="238"/>
      <c r="N324" s="238"/>
      <c r="O324" s="238"/>
      <c r="P324" s="238"/>
      <c r="Q324" s="238"/>
      <c r="R324" s="238"/>
      <c r="S324" s="239"/>
      <c r="T324" s="239"/>
      <c r="U324" s="239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238"/>
      <c r="AJ324" s="238"/>
      <c r="AK324" s="238"/>
      <c r="AL324" s="238"/>
      <c r="AM324" s="238"/>
      <c r="AN324" s="238"/>
      <c r="AO324" s="238"/>
      <c r="AP324" s="54"/>
      <c r="AQ324" s="54"/>
      <c r="AR324" s="238"/>
      <c r="AS324" s="54"/>
      <c r="AT324" s="238"/>
      <c r="AU324" s="238"/>
      <c r="AV324" s="238"/>
      <c r="AW324" s="238"/>
      <c r="AX324" s="238"/>
      <c r="AY324" s="238"/>
      <c r="AZ324" s="238"/>
      <c r="BA324" s="239"/>
      <c r="BB324" s="239"/>
      <c r="BC324" s="239"/>
      <c r="BD324" s="239"/>
      <c r="BE324" s="239"/>
      <c r="BF324" s="239"/>
      <c r="BG324" s="239"/>
      <c r="BH324" s="239"/>
      <c r="BI324" s="239"/>
      <c r="BJ324" s="239"/>
      <c r="BK324" s="239"/>
      <c r="BL324" s="239"/>
      <c r="BM324" s="239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9"/>
      <c r="BY324" s="239"/>
      <c r="BZ324" s="239"/>
      <c r="CA324" s="238"/>
      <c r="CB324" s="238"/>
      <c r="CC324" s="238"/>
      <c r="CD324" s="238"/>
      <c r="CE324" s="238"/>
      <c r="CF324" s="239"/>
    </row>
    <row r="325" spans="1:84" s="96" customFormat="1" x14ac:dyDescent="0.25">
      <c r="A325" s="113"/>
      <c r="E325" s="515"/>
      <c r="F325" s="113"/>
      <c r="G325" s="113"/>
      <c r="H325" s="113"/>
      <c r="I325" s="238"/>
      <c r="J325" s="238"/>
      <c r="K325" s="238"/>
      <c r="L325" s="238"/>
      <c r="M325" s="238"/>
      <c r="N325" s="238"/>
      <c r="O325" s="238"/>
      <c r="P325" s="238"/>
      <c r="Q325" s="238"/>
      <c r="R325" s="238"/>
      <c r="S325" s="239"/>
      <c r="T325" s="239"/>
      <c r="U325" s="239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238"/>
      <c r="AJ325" s="238"/>
      <c r="AK325" s="238"/>
      <c r="AL325" s="238"/>
      <c r="AM325" s="238"/>
      <c r="AN325" s="238"/>
      <c r="AO325" s="238"/>
      <c r="AP325" s="54"/>
      <c r="AQ325" s="54"/>
      <c r="AR325" s="238"/>
      <c r="AS325" s="54"/>
      <c r="AT325" s="238"/>
      <c r="AU325" s="238"/>
      <c r="AV325" s="238"/>
      <c r="AW325" s="238"/>
      <c r="AX325" s="238"/>
      <c r="AY325" s="238"/>
      <c r="AZ325" s="238"/>
      <c r="BA325" s="239"/>
      <c r="BB325" s="239"/>
      <c r="BC325" s="239"/>
      <c r="BD325" s="239"/>
      <c r="BE325" s="239"/>
      <c r="BF325" s="239"/>
      <c r="BG325" s="239"/>
      <c r="BH325" s="239"/>
      <c r="BI325" s="239"/>
      <c r="BJ325" s="239"/>
      <c r="BK325" s="239"/>
      <c r="BL325" s="239"/>
      <c r="BM325" s="239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9"/>
      <c r="BY325" s="239"/>
      <c r="BZ325" s="239"/>
      <c r="CA325" s="238"/>
      <c r="CB325" s="238"/>
      <c r="CC325" s="238"/>
      <c r="CD325" s="238"/>
      <c r="CE325" s="238"/>
      <c r="CF325" s="239"/>
    </row>
    <row r="326" spans="1:84" s="96" customFormat="1" x14ac:dyDescent="0.25">
      <c r="A326" s="113"/>
      <c r="E326" s="515"/>
      <c r="F326" s="113"/>
      <c r="G326" s="113"/>
      <c r="H326" s="113"/>
      <c r="I326" s="238"/>
      <c r="J326" s="238"/>
      <c r="K326" s="238"/>
      <c r="L326" s="238"/>
      <c r="M326" s="238"/>
      <c r="N326" s="238"/>
      <c r="O326" s="238"/>
      <c r="P326" s="238"/>
      <c r="Q326" s="238"/>
      <c r="R326" s="238"/>
      <c r="S326" s="239"/>
      <c r="T326" s="239"/>
      <c r="U326" s="239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238"/>
      <c r="AJ326" s="238"/>
      <c r="AK326" s="238"/>
      <c r="AL326" s="238"/>
      <c r="AM326" s="238"/>
      <c r="AN326" s="238"/>
      <c r="AO326" s="238"/>
      <c r="AP326" s="54"/>
      <c r="AQ326" s="54"/>
      <c r="AR326" s="238"/>
      <c r="AS326" s="54"/>
      <c r="AT326" s="238"/>
      <c r="AU326" s="238"/>
      <c r="AV326" s="238"/>
      <c r="AW326" s="238"/>
      <c r="AX326" s="238"/>
      <c r="AY326" s="238"/>
      <c r="AZ326" s="238"/>
      <c r="BA326" s="239"/>
      <c r="BB326" s="239"/>
      <c r="BC326" s="239"/>
      <c r="BD326" s="239"/>
      <c r="BE326" s="239"/>
      <c r="BF326" s="239"/>
      <c r="BG326" s="239"/>
      <c r="BH326" s="239"/>
      <c r="BI326" s="239"/>
      <c r="BJ326" s="239"/>
      <c r="BK326" s="239"/>
      <c r="BL326" s="239"/>
      <c r="BM326" s="239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9"/>
      <c r="BY326" s="239"/>
      <c r="BZ326" s="239"/>
      <c r="CA326" s="238"/>
      <c r="CB326" s="238"/>
      <c r="CC326" s="238"/>
      <c r="CD326" s="238"/>
      <c r="CE326" s="238"/>
      <c r="CF326" s="239"/>
    </row>
    <row r="327" spans="1:84" s="96" customFormat="1" x14ac:dyDescent="0.25">
      <c r="A327" s="113"/>
      <c r="E327" s="515"/>
      <c r="F327" s="113"/>
      <c r="G327" s="113"/>
      <c r="H327" s="113"/>
      <c r="I327" s="238"/>
      <c r="J327" s="238"/>
      <c r="K327" s="238"/>
      <c r="L327" s="238"/>
      <c r="M327" s="238"/>
      <c r="N327" s="238"/>
      <c r="O327" s="238"/>
      <c r="P327" s="238"/>
      <c r="Q327" s="238"/>
      <c r="R327" s="238"/>
      <c r="S327" s="239"/>
      <c r="T327" s="239"/>
      <c r="U327" s="239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238"/>
      <c r="AJ327" s="238"/>
      <c r="AK327" s="238"/>
      <c r="AL327" s="238"/>
      <c r="AM327" s="238"/>
      <c r="AN327" s="238"/>
      <c r="AO327" s="238"/>
      <c r="AP327" s="54"/>
      <c r="AQ327" s="54"/>
      <c r="AR327" s="238"/>
      <c r="AS327" s="54"/>
      <c r="AT327" s="238"/>
      <c r="AU327" s="238"/>
      <c r="AV327" s="238"/>
      <c r="AW327" s="238"/>
      <c r="AX327" s="238"/>
      <c r="AY327" s="238"/>
      <c r="AZ327" s="238"/>
      <c r="BA327" s="239"/>
      <c r="BB327" s="239"/>
      <c r="BC327" s="239"/>
      <c r="BD327" s="239"/>
      <c r="BE327" s="239"/>
      <c r="BF327" s="239"/>
      <c r="BG327" s="239"/>
      <c r="BH327" s="239"/>
      <c r="BI327" s="239"/>
      <c r="BJ327" s="239"/>
      <c r="BK327" s="239"/>
      <c r="BL327" s="239"/>
      <c r="BM327" s="239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9"/>
      <c r="BY327" s="239"/>
      <c r="BZ327" s="239"/>
      <c r="CA327" s="238"/>
      <c r="CB327" s="238"/>
      <c r="CC327" s="238"/>
      <c r="CD327" s="238"/>
      <c r="CE327" s="238"/>
      <c r="CF327" s="239"/>
    </row>
    <row r="361" spans="1:84" s="96" customFormat="1" x14ac:dyDescent="0.25">
      <c r="A361" s="113"/>
      <c r="E361" s="545"/>
      <c r="F361" s="113"/>
      <c r="G361" s="113"/>
      <c r="H361" s="113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9"/>
      <c r="T361" s="239"/>
      <c r="U361" s="239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238"/>
      <c r="AW361" s="238"/>
      <c r="AX361" s="238"/>
      <c r="AY361" s="238"/>
      <c r="AZ361" s="238"/>
      <c r="BA361" s="239"/>
      <c r="BB361" s="239"/>
      <c r="BC361" s="239"/>
      <c r="BD361" s="239"/>
      <c r="BE361" s="239"/>
      <c r="BF361" s="239"/>
      <c r="BG361" s="239"/>
      <c r="BH361" s="239"/>
      <c r="BI361" s="239"/>
      <c r="BJ361" s="239"/>
      <c r="BK361" s="239"/>
      <c r="BL361" s="239"/>
      <c r="BM361" s="239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9"/>
      <c r="BY361" s="239"/>
      <c r="BZ361" s="239"/>
      <c r="CA361" s="238"/>
      <c r="CB361" s="238"/>
      <c r="CC361" s="238"/>
      <c r="CD361" s="238"/>
      <c r="CE361" s="238"/>
      <c r="CF361" s="239"/>
    </row>
    <row r="362" spans="1:84" s="96" customFormat="1" x14ac:dyDescent="0.25">
      <c r="A362" s="113"/>
      <c r="E362" s="545"/>
      <c r="F362" s="113"/>
      <c r="G362" s="113"/>
      <c r="H362" s="113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9"/>
      <c r="T362" s="239"/>
      <c r="U362" s="239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238"/>
      <c r="AW362" s="238"/>
      <c r="AX362" s="238"/>
      <c r="AY362" s="238"/>
      <c r="AZ362" s="238"/>
      <c r="BA362" s="239"/>
      <c r="BB362" s="239"/>
      <c r="BC362" s="239"/>
      <c r="BD362" s="239"/>
      <c r="BE362" s="239"/>
      <c r="BF362" s="239"/>
      <c r="BG362" s="239"/>
      <c r="BH362" s="239"/>
      <c r="BI362" s="239"/>
      <c r="BJ362" s="239"/>
      <c r="BK362" s="239"/>
      <c r="BL362" s="239"/>
      <c r="BM362" s="239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9"/>
      <c r="BY362" s="239"/>
      <c r="BZ362" s="239"/>
      <c r="CA362" s="238"/>
      <c r="CB362" s="238"/>
      <c r="CC362" s="238"/>
      <c r="CD362" s="238"/>
      <c r="CE362" s="238"/>
      <c r="CF362" s="239"/>
    </row>
    <row r="363" spans="1:84" s="96" customFormat="1" x14ac:dyDescent="0.25">
      <c r="A363" s="113"/>
      <c r="E363" s="545"/>
      <c r="F363" s="113"/>
      <c r="G363" s="113"/>
      <c r="H363" s="113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9"/>
      <c r="T363" s="239"/>
      <c r="U363" s="239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238"/>
      <c r="AW363" s="238"/>
      <c r="AX363" s="238"/>
      <c r="AY363" s="238"/>
      <c r="AZ363" s="238"/>
      <c r="BA363" s="239"/>
      <c r="BB363" s="239"/>
      <c r="BC363" s="239"/>
      <c r="BD363" s="239"/>
      <c r="BE363" s="239"/>
      <c r="BF363" s="239"/>
      <c r="BG363" s="239"/>
      <c r="BH363" s="239"/>
      <c r="BI363" s="239"/>
      <c r="BJ363" s="239"/>
      <c r="BK363" s="239"/>
      <c r="BL363" s="239"/>
      <c r="BM363" s="239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9"/>
      <c r="BY363" s="239"/>
      <c r="BZ363" s="239"/>
      <c r="CA363" s="238"/>
      <c r="CB363" s="238"/>
      <c r="CC363" s="238"/>
      <c r="CD363" s="238"/>
      <c r="CE363" s="238"/>
      <c r="CF363" s="239"/>
    </row>
    <row r="364" spans="1:84" s="96" customFormat="1" x14ac:dyDescent="0.25">
      <c r="A364" s="113"/>
      <c r="E364" s="545"/>
      <c r="F364" s="113"/>
      <c r="G364" s="113"/>
      <c r="H364" s="113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9"/>
      <c r="T364" s="239"/>
      <c r="U364" s="239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238"/>
      <c r="AW364" s="238"/>
      <c r="AX364" s="238"/>
      <c r="AY364" s="238"/>
      <c r="AZ364" s="238"/>
      <c r="BA364" s="239"/>
      <c r="BB364" s="239"/>
      <c r="BC364" s="239"/>
      <c r="BD364" s="239"/>
      <c r="BE364" s="239"/>
      <c r="BF364" s="239"/>
      <c r="BG364" s="239"/>
      <c r="BH364" s="239"/>
      <c r="BI364" s="239"/>
      <c r="BJ364" s="239"/>
      <c r="BK364" s="239"/>
      <c r="BL364" s="239"/>
      <c r="BM364" s="239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9"/>
      <c r="BY364" s="239"/>
      <c r="BZ364" s="239"/>
      <c r="CA364" s="238"/>
      <c r="CB364" s="238"/>
      <c r="CC364" s="238"/>
      <c r="CD364" s="238"/>
      <c r="CE364" s="238"/>
      <c r="CF364" s="239"/>
    </row>
    <row r="365" spans="1:84" s="96" customFormat="1" x14ac:dyDescent="0.25">
      <c r="A365" s="113"/>
      <c r="E365" s="545"/>
      <c r="F365" s="113"/>
      <c r="G365" s="113"/>
      <c r="H365" s="113"/>
      <c r="I365" s="238"/>
      <c r="J365" s="238"/>
      <c r="K365" s="238"/>
      <c r="L365" s="238"/>
      <c r="M365" s="238"/>
      <c r="N365" s="238"/>
      <c r="O365" s="238"/>
      <c r="P365" s="238"/>
      <c r="Q365" s="238"/>
      <c r="R365" s="238"/>
      <c r="S365" s="239"/>
      <c r="T365" s="239"/>
      <c r="U365" s="239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238"/>
      <c r="AW365" s="238"/>
      <c r="AX365" s="238"/>
      <c r="AY365" s="238"/>
      <c r="AZ365" s="238"/>
      <c r="BA365" s="239"/>
      <c r="BB365" s="239"/>
      <c r="BC365" s="239"/>
      <c r="BD365" s="239"/>
      <c r="BE365" s="239"/>
      <c r="BF365" s="239"/>
      <c r="BG365" s="239"/>
      <c r="BH365" s="239"/>
      <c r="BI365" s="239"/>
      <c r="BJ365" s="239"/>
      <c r="BK365" s="239"/>
      <c r="BL365" s="239"/>
      <c r="BM365" s="239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9"/>
      <c r="BY365" s="239"/>
      <c r="BZ365" s="239"/>
      <c r="CA365" s="238"/>
      <c r="CB365" s="238"/>
      <c r="CC365" s="238"/>
      <c r="CD365" s="238"/>
      <c r="CE365" s="238"/>
      <c r="CF365" s="239"/>
    </row>
    <row r="366" spans="1:84" s="96" customFormat="1" x14ac:dyDescent="0.25">
      <c r="A366" s="113"/>
      <c r="E366" s="545"/>
      <c r="F366" s="113"/>
      <c r="G366" s="113"/>
      <c r="H366" s="113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9"/>
      <c r="T366" s="239"/>
      <c r="U366" s="239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238"/>
      <c r="AW366" s="238"/>
      <c r="AX366" s="238"/>
      <c r="AY366" s="238"/>
      <c r="AZ366" s="238"/>
      <c r="BA366" s="239"/>
      <c r="BB366" s="239"/>
      <c r="BC366" s="239"/>
      <c r="BD366" s="239"/>
      <c r="BE366" s="239"/>
      <c r="BF366" s="239"/>
      <c r="BG366" s="239"/>
      <c r="BH366" s="239"/>
      <c r="BI366" s="239"/>
      <c r="BJ366" s="239"/>
      <c r="BK366" s="239"/>
      <c r="BL366" s="239"/>
      <c r="BM366" s="239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9"/>
      <c r="BY366" s="239"/>
      <c r="BZ366" s="239"/>
      <c r="CA366" s="238"/>
      <c r="CB366" s="238"/>
      <c r="CC366" s="238"/>
      <c r="CD366" s="238"/>
      <c r="CE366" s="238"/>
      <c r="CF366" s="239"/>
    </row>
    <row r="367" spans="1:84" s="96" customFormat="1" x14ac:dyDescent="0.25">
      <c r="A367" s="113"/>
      <c r="E367" s="545"/>
      <c r="F367" s="113"/>
      <c r="G367" s="113"/>
      <c r="H367" s="113"/>
      <c r="I367" s="238"/>
      <c r="J367" s="238"/>
      <c r="K367" s="238"/>
      <c r="L367" s="238"/>
      <c r="M367" s="238"/>
      <c r="N367" s="238"/>
      <c r="O367" s="238"/>
      <c r="P367" s="238"/>
      <c r="Q367" s="238"/>
      <c r="R367" s="238"/>
      <c r="S367" s="239"/>
      <c r="T367" s="239"/>
      <c r="U367" s="239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238"/>
      <c r="AW367" s="238"/>
      <c r="AX367" s="238"/>
      <c r="AY367" s="238"/>
      <c r="AZ367" s="238"/>
      <c r="BA367" s="239"/>
      <c r="BB367" s="239"/>
      <c r="BC367" s="239"/>
      <c r="BD367" s="239"/>
      <c r="BE367" s="239"/>
      <c r="BF367" s="239"/>
      <c r="BG367" s="239"/>
      <c r="BH367" s="239"/>
      <c r="BI367" s="239"/>
      <c r="BJ367" s="239"/>
      <c r="BK367" s="239"/>
      <c r="BL367" s="239"/>
      <c r="BM367" s="239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9"/>
      <c r="BY367" s="239"/>
      <c r="BZ367" s="239"/>
      <c r="CA367" s="238"/>
      <c r="CB367" s="238"/>
      <c r="CC367" s="238"/>
      <c r="CD367" s="238"/>
      <c r="CE367" s="238"/>
      <c r="CF367" s="239"/>
    </row>
    <row r="368" spans="1:84" s="96" customFormat="1" x14ac:dyDescent="0.25">
      <c r="A368" s="113"/>
      <c r="E368" s="545"/>
      <c r="F368" s="113"/>
      <c r="G368" s="113"/>
      <c r="H368" s="113"/>
      <c r="I368" s="238"/>
      <c r="J368" s="238"/>
      <c r="K368" s="238"/>
      <c r="L368" s="238"/>
      <c r="M368" s="238"/>
      <c r="N368" s="238"/>
      <c r="O368" s="238"/>
      <c r="P368" s="238"/>
      <c r="Q368" s="238"/>
      <c r="R368" s="238"/>
      <c r="S368" s="239"/>
      <c r="T368" s="239"/>
      <c r="U368" s="239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238"/>
      <c r="AW368" s="238"/>
      <c r="AX368" s="238"/>
      <c r="AY368" s="238"/>
      <c r="AZ368" s="238"/>
      <c r="BA368" s="239"/>
      <c r="BB368" s="239"/>
      <c r="BC368" s="239"/>
      <c r="BD368" s="239"/>
      <c r="BE368" s="239"/>
      <c r="BF368" s="239"/>
      <c r="BG368" s="239"/>
      <c r="BH368" s="239"/>
      <c r="BI368" s="239"/>
      <c r="BJ368" s="239"/>
      <c r="BK368" s="239"/>
      <c r="BL368" s="239"/>
      <c r="BM368" s="239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9"/>
      <c r="BY368" s="239"/>
      <c r="BZ368" s="239"/>
      <c r="CA368" s="238"/>
      <c r="CB368" s="238"/>
      <c r="CC368" s="238"/>
      <c r="CD368" s="238"/>
      <c r="CE368" s="238"/>
      <c r="CF368" s="239"/>
    </row>
    <row r="369" spans="1:84" s="96" customFormat="1" x14ac:dyDescent="0.25">
      <c r="A369" s="113"/>
      <c r="E369" s="545"/>
      <c r="F369" s="113"/>
      <c r="G369" s="113"/>
      <c r="H369" s="113"/>
      <c r="I369" s="238"/>
      <c r="J369" s="238"/>
      <c r="K369" s="238"/>
      <c r="L369" s="238"/>
      <c r="M369" s="238"/>
      <c r="N369" s="238"/>
      <c r="O369" s="238"/>
      <c r="P369" s="238"/>
      <c r="Q369" s="238"/>
      <c r="R369" s="238"/>
      <c r="S369" s="239"/>
      <c r="T369" s="239"/>
      <c r="U369" s="239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238"/>
      <c r="AW369" s="238"/>
      <c r="AX369" s="238"/>
      <c r="AY369" s="238"/>
      <c r="AZ369" s="238"/>
      <c r="BA369" s="239"/>
      <c r="BB369" s="239"/>
      <c r="BC369" s="239"/>
      <c r="BD369" s="239"/>
      <c r="BE369" s="239"/>
      <c r="BF369" s="239"/>
      <c r="BG369" s="239"/>
      <c r="BH369" s="239"/>
      <c r="BI369" s="239"/>
      <c r="BJ369" s="239"/>
      <c r="BK369" s="239"/>
      <c r="BL369" s="239"/>
      <c r="BM369" s="239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9"/>
      <c r="BY369" s="239"/>
      <c r="BZ369" s="239"/>
      <c r="CA369" s="238"/>
      <c r="CB369" s="238"/>
      <c r="CC369" s="238"/>
      <c r="CD369" s="238"/>
      <c r="CE369" s="238"/>
      <c r="CF369" s="239"/>
    </row>
    <row r="370" spans="1:84" s="96" customFormat="1" x14ac:dyDescent="0.25">
      <c r="A370" s="113"/>
      <c r="E370" s="545"/>
      <c r="F370" s="113"/>
      <c r="G370" s="113"/>
      <c r="H370" s="113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9"/>
      <c r="T370" s="239"/>
      <c r="U370" s="239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238"/>
      <c r="AW370" s="238"/>
      <c r="AX370" s="238"/>
      <c r="AY370" s="238"/>
      <c r="AZ370" s="238"/>
      <c r="BA370" s="239"/>
      <c r="BB370" s="239"/>
      <c r="BC370" s="239"/>
      <c r="BD370" s="239"/>
      <c r="BE370" s="239"/>
      <c r="BF370" s="239"/>
      <c r="BG370" s="239"/>
      <c r="BH370" s="239"/>
      <c r="BI370" s="239"/>
      <c r="BJ370" s="239"/>
      <c r="BK370" s="239"/>
      <c r="BL370" s="239"/>
      <c r="BM370" s="239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9"/>
      <c r="BY370" s="239"/>
      <c r="BZ370" s="239"/>
      <c r="CA370" s="238"/>
      <c r="CB370" s="238"/>
      <c r="CC370" s="238"/>
      <c r="CD370" s="238"/>
      <c r="CE370" s="238"/>
      <c r="CF370" s="239"/>
    </row>
    <row r="371" spans="1:84" s="96" customFormat="1" x14ac:dyDescent="0.25">
      <c r="A371" s="113"/>
      <c r="E371" s="545"/>
      <c r="F371" s="113"/>
      <c r="G371" s="113"/>
      <c r="H371" s="113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9"/>
      <c r="T371" s="239"/>
      <c r="U371" s="239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238"/>
      <c r="AW371" s="238"/>
      <c r="AX371" s="238"/>
      <c r="AY371" s="238"/>
      <c r="AZ371" s="238"/>
      <c r="BA371" s="239"/>
      <c r="BB371" s="239"/>
      <c r="BC371" s="239"/>
      <c r="BD371" s="239"/>
      <c r="BE371" s="239"/>
      <c r="BF371" s="239"/>
      <c r="BG371" s="239"/>
      <c r="BH371" s="239"/>
      <c r="BI371" s="239"/>
      <c r="BJ371" s="239"/>
      <c r="BK371" s="239"/>
      <c r="BL371" s="239"/>
      <c r="BM371" s="239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9"/>
      <c r="BY371" s="239"/>
      <c r="BZ371" s="239"/>
      <c r="CA371" s="238"/>
      <c r="CB371" s="238"/>
      <c r="CC371" s="238"/>
      <c r="CD371" s="238"/>
      <c r="CE371" s="238"/>
      <c r="CF371" s="239"/>
    </row>
    <row r="372" spans="1:84" s="96" customFormat="1" x14ac:dyDescent="0.25">
      <c r="A372" s="113"/>
      <c r="E372" s="545"/>
      <c r="F372" s="113"/>
      <c r="G372" s="113"/>
      <c r="H372" s="113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9"/>
      <c r="T372" s="239"/>
      <c r="U372" s="239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238"/>
      <c r="AW372" s="238"/>
      <c r="AX372" s="238"/>
      <c r="AY372" s="238"/>
      <c r="AZ372" s="238"/>
      <c r="BA372" s="239"/>
      <c r="BB372" s="239"/>
      <c r="BC372" s="239"/>
      <c r="BD372" s="239"/>
      <c r="BE372" s="239"/>
      <c r="BF372" s="239"/>
      <c r="BG372" s="239"/>
      <c r="BH372" s="239"/>
      <c r="BI372" s="239"/>
      <c r="BJ372" s="239"/>
      <c r="BK372" s="239"/>
      <c r="BL372" s="239"/>
      <c r="BM372" s="239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9"/>
      <c r="BY372" s="239"/>
      <c r="BZ372" s="239"/>
      <c r="CA372" s="238"/>
      <c r="CB372" s="238"/>
      <c r="CC372" s="238"/>
      <c r="CD372" s="238"/>
      <c r="CE372" s="238"/>
      <c r="CF372" s="239"/>
    </row>
    <row r="373" spans="1:84" s="96" customFormat="1" x14ac:dyDescent="0.25">
      <c r="A373" s="113"/>
      <c r="E373" s="545"/>
      <c r="F373" s="113"/>
      <c r="G373" s="113"/>
      <c r="H373" s="113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9"/>
      <c r="T373" s="239"/>
      <c r="U373" s="239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238"/>
      <c r="AW373" s="238"/>
      <c r="AX373" s="238"/>
      <c r="AY373" s="238"/>
      <c r="AZ373" s="238"/>
      <c r="BA373" s="239"/>
      <c r="BB373" s="239"/>
      <c r="BC373" s="239"/>
      <c r="BD373" s="239"/>
      <c r="BE373" s="239"/>
      <c r="BF373" s="239"/>
      <c r="BG373" s="239"/>
      <c r="BH373" s="239"/>
      <c r="BI373" s="239"/>
      <c r="BJ373" s="239"/>
      <c r="BK373" s="239"/>
      <c r="BL373" s="239"/>
      <c r="BM373" s="239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9"/>
      <c r="BY373" s="239"/>
      <c r="BZ373" s="239"/>
      <c r="CA373" s="238"/>
      <c r="CB373" s="238"/>
      <c r="CC373" s="238"/>
      <c r="CD373" s="238"/>
      <c r="CE373" s="238"/>
      <c r="CF373" s="239"/>
    </row>
    <row r="374" spans="1:84" s="96" customFormat="1" x14ac:dyDescent="0.25">
      <c r="A374" s="113"/>
      <c r="E374" s="545"/>
      <c r="F374" s="113"/>
      <c r="G374" s="113"/>
      <c r="H374" s="113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9"/>
      <c r="T374" s="239"/>
      <c r="U374" s="239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238"/>
      <c r="AW374" s="238"/>
      <c r="AX374" s="238"/>
      <c r="AY374" s="238"/>
      <c r="AZ374" s="238"/>
      <c r="BA374" s="239"/>
      <c r="BB374" s="239"/>
      <c r="BC374" s="239"/>
      <c r="BD374" s="239"/>
      <c r="BE374" s="239"/>
      <c r="BF374" s="239"/>
      <c r="BG374" s="239"/>
      <c r="BH374" s="239"/>
      <c r="BI374" s="239"/>
      <c r="BJ374" s="239"/>
      <c r="BK374" s="239"/>
      <c r="BL374" s="239"/>
      <c r="BM374" s="239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9"/>
      <c r="BY374" s="239"/>
      <c r="BZ374" s="239"/>
      <c r="CA374" s="238"/>
      <c r="CB374" s="238"/>
      <c r="CC374" s="238"/>
      <c r="CD374" s="238"/>
      <c r="CE374" s="238"/>
      <c r="CF374" s="239"/>
    </row>
    <row r="375" spans="1:84" s="96" customFormat="1" x14ac:dyDescent="0.25">
      <c r="A375" s="113"/>
      <c r="E375" s="545"/>
      <c r="F375" s="113"/>
      <c r="G375" s="113"/>
      <c r="H375" s="113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9"/>
      <c r="T375" s="239"/>
      <c r="U375" s="239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238"/>
      <c r="AW375" s="238"/>
      <c r="AX375" s="238"/>
      <c r="AY375" s="238"/>
      <c r="AZ375" s="238"/>
      <c r="BA375" s="239"/>
      <c r="BB375" s="239"/>
      <c r="BC375" s="239"/>
      <c r="BD375" s="239"/>
      <c r="BE375" s="239"/>
      <c r="BF375" s="239"/>
      <c r="BG375" s="239"/>
      <c r="BH375" s="239"/>
      <c r="BI375" s="239"/>
      <c r="BJ375" s="239"/>
      <c r="BK375" s="239"/>
      <c r="BL375" s="239"/>
      <c r="BM375" s="239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9"/>
      <c r="BY375" s="239"/>
      <c r="BZ375" s="239"/>
      <c r="CA375" s="238"/>
      <c r="CB375" s="238"/>
      <c r="CC375" s="238"/>
      <c r="CD375" s="238"/>
      <c r="CE375" s="238"/>
      <c r="CF375" s="239"/>
    </row>
    <row r="376" spans="1:84" s="96" customFormat="1" x14ac:dyDescent="0.25">
      <c r="A376" s="113"/>
      <c r="E376" s="545"/>
      <c r="F376" s="113"/>
      <c r="G376" s="113"/>
      <c r="H376" s="113"/>
      <c r="I376" s="238"/>
      <c r="J376" s="238"/>
      <c r="K376" s="238"/>
      <c r="L376" s="238"/>
      <c r="M376" s="238"/>
      <c r="N376" s="238"/>
      <c r="O376" s="238"/>
      <c r="P376" s="238"/>
      <c r="Q376" s="238"/>
      <c r="R376" s="238"/>
      <c r="S376" s="239"/>
      <c r="T376" s="239"/>
      <c r="U376" s="239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238"/>
      <c r="AW376" s="238"/>
      <c r="AX376" s="238"/>
      <c r="AY376" s="238"/>
      <c r="AZ376" s="238"/>
      <c r="BA376" s="239"/>
      <c r="BB376" s="239"/>
      <c r="BC376" s="239"/>
      <c r="BD376" s="239"/>
      <c r="BE376" s="239"/>
      <c r="BF376" s="239"/>
      <c r="BG376" s="239"/>
      <c r="BH376" s="239"/>
      <c r="BI376" s="239"/>
      <c r="BJ376" s="239"/>
      <c r="BK376" s="239"/>
      <c r="BL376" s="239"/>
      <c r="BM376" s="239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9"/>
      <c r="BY376" s="239"/>
      <c r="BZ376" s="239"/>
      <c r="CA376" s="238"/>
      <c r="CB376" s="238"/>
      <c r="CC376" s="238"/>
      <c r="CD376" s="238"/>
      <c r="CE376" s="238"/>
      <c r="CF376" s="239"/>
    </row>
    <row r="377" spans="1:84" s="96" customFormat="1" x14ac:dyDescent="0.25">
      <c r="A377" s="113"/>
      <c r="E377" s="545"/>
      <c r="F377" s="113"/>
      <c r="G377" s="113"/>
      <c r="H377" s="113"/>
      <c r="I377" s="238"/>
      <c r="J377" s="238"/>
      <c r="K377" s="238"/>
      <c r="L377" s="238"/>
      <c r="M377" s="238"/>
      <c r="N377" s="238"/>
      <c r="O377" s="238"/>
      <c r="P377" s="238"/>
      <c r="Q377" s="238"/>
      <c r="R377" s="238"/>
      <c r="S377" s="239"/>
      <c r="T377" s="239"/>
      <c r="U377" s="239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238"/>
      <c r="AW377" s="238"/>
      <c r="AX377" s="238"/>
      <c r="AY377" s="238"/>
      <c r="AZ377" s="238"/>
      <c r="BA377" s="239"/>
      <c r="BB377" s="239"/>
      <c r="BC377" s="239"/>
      <c r="BD377" s="239"/>
      <c r="BE377" s="239"/>
      <c r="BF377" s="239"/>
      <c r="BG377" s="239"/>
      <c r="BH377" s="239"/>
      <c r="BI377" s="239"/>
      <c r="BJ377" s="239"/>
      <c r="BK377" s="239"/>
      <c r="BL377" s="239"/>
      <c r="BM377" s="239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9"/>
      <c r="BY377" s="239"/>
      <c r="BZ377" s="239"/>
      <c r="CA377" s="238"/>
      <c r="CB377" s="238"/>
      <c r="CC377" s="238"/>
      <c r="CD377" s="238"/>
      <c r="CE377" s="238"/>
      <c r="CF377" s="239"/>
    </row>
    <row r="378" spans="1:84" s="96" customFormat="1" x14ac:dyDescent="0.25">
      <c r="A378" s="113"/>
      <c r="E378" s="545"/>
      <c r="F378" s="113"/>
      <c r="G378" s="113"/>
      <c r="H378" s="113"/>
      <c r="I378" s="238"/>
      <c r="J378" s="238"/>
      <c r="K378" s="238"/>
      <c r="L378" s="238"/>
      <c r="M378" s="238"/>
      <c r="N378" s="238"/>
      <c r="O378" s="238"/>
      <c r="P378" s="238"/>
      <c r="Q378" s="238"/>
      <c r="R378" s="238"/>
      <c r="S378" s="239"/>
      <c r="T378" s="239"/>
      <c r="U378" s="239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238"/>
      <c r="AW378" s="238"/>
      <c r="AX378" s="238"/>
      <c r="AY378" s="238"/>
      <c r="AZ378" s="238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9"/>
      <c r="BY378" s="239"/>
      <c r="BZ378" s="239"/>
      <c r="CA378" s="238"/>
      <c r="CB378" s="238"/>
      <c r="CC378" s="238"/>
      <c r="CD378" s="238"/>
      <c r="CE378" s="238"/>
      <c r="CF378" s="239"/>
    </row>
    <row r="380" spans="1:84" x14ac:dyDescent="0.25">
      <c r="E380" s="89"/>
      <c r="F380" s="89"/>
      <c r="G380" s="89"/>
      <c r="H380" s="89"/>
      <c r="I380" s="96"/>
      <c r="J380" s="96"/>
      <c r="K380" s="96"/>
      <c r="L380" s="96"/>
      <c r="M380" s="96"/>
      <c r="N380" s="96"/>
      <c r="O380" s="96"/>
      <c r="P380" s="96"/>
      <c r="Q380" s="96"/>
      <c r="R380" s="96"/>
    </row>
    <row r="381" spans="1:84" x14ac:dyDescent="0.25">
      <c r="E381" s="89"/>
      <c r="F381" s="89"/>
      <c r="G381" s="89"/>
      <c r="H381" s="89"/>
      <c r="I381" s="96"/>
      <c r="J381" s="96"/>
      <c r="K381" s="96"/>
      <c r="L381" s="96"/>
      <c r="M381" s="96"/>
      <c r="N381" s="96"/>
      <c r="O381" s="96"/>
      <c r="P381" s="96"/>
      <c r="Q381" s="96"/>
      <c r="R381" s="96"/>
    </row>
    <row r="382" spans="1:84" x14ac:dyDescent="0.25">
      <c r="E382" s="89"/>
      <c r="F382" s="89"/>
      <c r="G382" s="89"/>
      <c r="H382" s="89"/>
      <c r="I382" s="96"/>
      <c r="J382" s="96"/>
      <c r="K382" s="96"/>
      <c r="L382" s="96"/>
      <c r="M382" s="96"/>
      <c r="N382" s="96"/>
      <c r="O382" s="96"/>
      <c r="P382" s="96"/>
      <c r="Q382" s="96"/>
      <c r="R382" s="96"/>
    </row>
    <row r="383" spans="1:84" x14ac:dyDescent="0.25">
      <c r="E383" s="89"/>
      <c r="F383" s="89"/>
      <c r="G383" s="89"/>
      <c r="H383" s="89"/>
      <c r="I383" s="96"/>
      <c r="J383" s="96"/>
      <c r="K383" s="96"/>
      <c r="L383" s="96"/>
      <c r="M383" s="96"/>
      <c r="N383" s="96"/>
      <c r="O383" s="96"/>
      <c r="P383" s="96"/>
      <c r="Q383" s="96"/>
      <c r="R383" s="96"/>
    </row>
    <row r="384" spans="1:84" x14ac:dyDescent="0.25">
      <c r="E384" s="89"/>
      <c r="F384" s="89"/>
      <c r="G384" s="89"/>
      <c r="I384" s="96"/>
      <c r="J384" s="96"/>
      <c r="K384" s="96"/>
      <c r="L384" s="96"/>
      <c r="M384" s="96"/>
      <c r="N384" s="96"/>
      <c r="O384" s="96"/>
      <c r="P384" s="96"/>
      <c r="Q384" s="96"/>
      <c r="R384" s="96"/>
    </row>
    <row r="385" spans="5:18" x14ac:dyDescent="0.25">
      <c r="E385" s="89"/>
      <c r="F385" s="89"/>
      <c r="G385" s="89"/>
      <c r="H385" s="89"/>
      <c r="I385" s="96"/>
      <c r="J385" s="96"/>
      <c r="K385" s="96"/>
      <c r="L385" s="96"/>
      <c r="M385" s="96"/>
      <c r="N385" s="96"/>
      <c r="O385" s="96"/>
      <c r="P385" s="96"/>
      <c r="Q385" s="96"/>
      <c r="R385" s="96"/>
    </row>
    <row r="386" spans="5:18" x14ac:dyDescent="0.25">
      <c r="E386" s="89"/>
      <c r="F386" s="89"/>
      <c r="G386" s="89"/>
      <c r="H386" s="89"/>
      <c r="I386" s="96"/>
      <c r="J386" s="96"/>
      <c r="K386" s="96"/>
      <c r="L386" s="96"/>
      <c r="M386" s="96"/>
      <c r="N386" s="96"/>
      <c r="O386" s="96"/>
      <c r="P386" s="96"/>
      <c r="Q386" s="96"/>
      <c r="R386" s="96"/>
    </row>
    <row r="387" spans="5:18" x14ac:dyDescent="0.25">
      <c r="E387" s="89"/>
      <c r="F387" s="89"/>
      <c r="G387" s="89"/>
      <c r="H387" s="89"/>
      <c r="I387" s="96"/>
      <c r="J387" s="96"/>
      <c r="K387" s="96"/>
      <c r="L387" s="96"/>
      <c r="M387" s="96"/>
      <c r="N387" s="96"/>
      <c r="O387" s="96"/>
      <c r="P387" s="96"/>
      <c r="Q387" s="96"/>
      <c r="R387" s="96"/>
    </row>
    <row r="388" spans="5:18" x14ac:dyDescent="0.25">
      <c r="E388" s="89"/>
      <c r="F388" s="89"/>
      <c r="G388" s="89"/>
      <c r="H388" s="89"/>
      <c r="I388" s="96"/>
      <c r="J388" s="96"/>
      <c r="K388" s="96"/>
      <c r="L388" s="96"/>
      <c r="M388" s="96"/>
      <c r="N388" s="96"/>
      <c r="O388" s="96"/>
      <c r="P388" s="96"/>
      <c r="Q388" s="96"/>
      <c r="R388" s="96"/>
    </row>
    <row r="389" spans="5:18" x14ac:dyDescent="0.25">
      <c r="E389" s="89"/>
      <c r="F389" s="89"/>
      <c r="G389" s="89"/>
      <c r="H389" s="89"/>
      <c r="I389" s="96"/>
      <c r="J389" s="96"/>
      <c r="K389" s="96"/>
      <c r="L389" s="96"/>
      <c r="M389" s="96"/>
      <c r="N389" s="96"/>
      <c r="O389" s="96"/>
      <c r="P389" s="96"/>
      <c r="Q389" s="96"/>
      <c r="R389" s="96"/>
    </row>
    <row r="390" spans="5:18" x14ac:dyDescent="0.25">
      <c r="E390" s="89"/>
      <c r="F390" s="89"/>
      <c r="G390" s="89"/>
      <c r="H390" s="89"/>
      <c r="I390" s="96"/>
      <c r="J390" s="96"/>
      <c r="K390" s="96"/>
      <c r="L390" s="96"/>
      <c r="M390" s="96"/>
      <c r="N390" s="96"/>
      <c r="O390" s="96"/>
      <c r="P390" s="96"/>
      <c r="Q390" s="96"/>
      <c r="R390" s="96"/>
    </row>
    <row r="391" spans="5:18" x14ac:dyDescent="0.25">
      <c r="E391" s="89"/>
      <c r="F391" s="89"/>
      <c r="G391" s="89"/>
      <c r="H391" s="89"/>
      <c r="I391" s="96"/>
      <c r="J391" s="96"/>
      <c r="K391" s="96"/>
      <c r="L391" s="96"/>
      <c r="M391" s="96"/>
      <c r="N391" s="96"/>
      <c r="O391" s="96"/>
      <c r="P391" s="96"/>
      <c r="Q391" s="96"/>
      <c r="R391" s="96"/>
    </row>
    <row r="392" spans="5:18" x14ac:dyDescent="0.25">
      <c r="E392" s="51"/>
    </row>
    <row r="393" spans="5:18" x14ac:dyDescent="0.25">
      <c r="E393" s="546"/>
    </row>
    <row r="394" spans="5:18" x14ac:dyDescent="0.25">
      <c r="E394" s="546"/>
    </row>
    <row r="413" spans="5:18" x14ac:dyDescent="0.25">
      <c r="E413" s="89"/>
      <c r="F413" s="89"/>
      <c r="G413" s="89"/>
      <c r="H413" s="89"/>
      <c r="I413" s="96"/>
      <c r="J413" s="96"/>
      <c r="K413" s="96"/>
      <c r="L413" s="96"/>
      <c r="M413" s="96"/>
      <c r="N413" s="96"/>
      <c r="O413" s="96"/>
      <c r="P413" s="96"/>
      <c r="Q413" s="96"/>
      <c r="R413" s="96"/>
    </row>
    <row r="414" spans="5:18" x14ac:dyDescent="0.25">
      <c r="E414" s="89"/>
      <c r="F414" s="89"/>
      <c r="G414" s="89"/>
      <c r="H414" s="89"/>
      <c r="I414" s="96"/>
      <c r="J414" s="96"/>
      <c r="K414" s="96"/>
      <c r="L414" s="96"/>
      <c r="M414" s="96"/>
      <c r="N414" s="96"/>
      <c r="O414" s="96"/>
      <c r="P414" s="96"/>
      <c r="Q414" s="96"/>
      <c r="R414" s="96"/>
    </row>
    <row r="415" spans="5:18" x14ac:dyDescent="0.25">
      <c r="E415" s="89"/>
      <c r="F415" s="89"/>
      <c r="G415" s="89"/>
      <c r="H415" s="89"/>
      <c r="I415" s="96"/>
      <c r="J415" s="96"/>
      <c r="K415" s="96"/>
      <c r="L415" s="96"/>
      <c r="M415" s="96"/>
      <c r="N415" s="96"/>
      <c r="O415" s="96"/>
      <c r="P415" s="96"/>
      <c r="Q415" s="96"/>
      <c r="R415" s="96"/>
    </row>
    <row r="416" spans="5:18" x14ac:dyDescent="0.25">
      <c r="E416" s="89"/>
      <c r="F416" s="89"/>
      <c r="G416" s="89"/>
      <c r="H416" s="89"/>
      <c r="I416" s="96"/>
      <c r="J416" s="96"/>
      <c r="K416" s="96"/>
      <c r="L416" s="96"/>
      <c r="M416" s="96"/>
      <c r="N416" s="96"/>
      <c r="O416" s="96"/>
      <c r="P416" s="96"/>
      <c r="Q416" s="96"/>
      <c r="R416" s="96"/>
    </row>
    <row r="417" spans="5:18" x14ac:dyDescent="0.25">
      <c r="E417" s="89"/>
      <c r="F417" s="89"/>
      <c r="G417" s="89"/>
      <c r="H417" s="89"/>
      <c r="I417" s="96"/>
      <c r="J417" s="96"/>
      <c r="K417" s="96"/>
      <c r="L417" s="96"/>
      <c r="M417" s="96"/>
      <c r="N417" s="96"/>
      <c r="O417" s="96"/>
      <c r="P417" s="96"/>
      <c r="Q417" s="96"/>
      <c r="R417" s="96"/>
    </row>
    <row r="418" spans="5:18" x14ac:dyDescent="0.25">
      <c r="E418" s="89"/>
      <c r="F418" s="89"/>
      <c r="G418" s="89"/>
      <c r="H418" s="89"/>
      <c r="I418" s="96"/>
      <c r="J418" s="96"/>
      <c r="K418" s="96"/>
      <c r="L418" s="96"/>
      <c r="M418" s="96"/>
      <c r="N418" s="96"/>
      <c r="O418" s="96"/>
      <c r="P418" s="96"/>
      <c r="Q418" s="96"/>
      <c r="R418" s="96"/>
    </row>
    <row r="419" spans="5:18" x14ac:dyDescent="0.25">
      <c r="E419" s="89"/>
      <c r="F419" s="89"/>
      <c r="G419" s="89"/>
      <c r="H419" s="89"/>
      <c r="I419" s="96"/>
      <c r="J419" s="96"/>
      <c r="K419" s="96"/>
      <c r="L419" s="96"/>
      <c r="M419" s="96"/>
      <c r="N419" s="96"/>
      <c r="O419" s="96"/>
      <c r="P419" s="96"/>
      <c r="Q419" s="96"/>
      <c r="R419" s="96"/>
    </row>
    <row r="420" spans="5:18" x14ac:dyDescent="0.25">
      <c r="E420" s="89"/>
      <c r="F420" s="89"/>
      <c r="G420" s="89"/>
      <c r="H420" s="89"/>
      <c r="I420" s="96"/>
      <c r="J420" s="96"/>
      <c r="K420" s="96"/>
      <c r="L420" s="96"/>
      <c r="M420" s="96"/>
      <c r="N420" s="96"/>
      <c r="O420" s="96"/>
      <c r="P420" s="96"/>
      <c r="Q420" s="96"/>
      <c r="R420" s="96"/>
    </row>
    <row r="422" spans="5:18" x14ac:dyDescent="0.25">
      <c r="E422" s="89"/>
      <c r="F422" s="89"/>
      <c r="G422" s="89"/>
      <c r="H422" s="89"/>
      <c r="I422" s="96"/>
      <c r="J422" s="96"/>
      <c r="K422" s="96"/>
      <c r="L422" s="96"/>
      <c r="M422" s="96"/>
      <c r="N422" s="96"/>
      <c r="O422" s="96"/>
      <c r="P422" s="96"/>
      <c r="Q422" s="96"/>
      <c r="R422" s="96"/>
    </row>
    <row r="423" spans="5:18" x14ac:dyDescent="0.25">
      <c r="E423" s="89"/>
      <c r="F423" s="89"/>
      <c r="G423" s="89"/>
      <c r="H423" s="89"/>
      <c r="I423" s="96"/>
      <c r="J423" s="96"/>
      <c r="K423" s="96"/>
      <c r="L423" s="96"/>
      <c r="M423" s="96"/>
      <c r="N423" s="96"/>
      <c r="O423" s="96"/>
      <c r="P423" s="96"/>
      <c r="Q423" s="96"/>
      <c r="R423" s="96"/>
    </row>
    <row r="424" spans="5:18" x14ac:dyDescent="0.25">
      <c r="E424" s="89"/>
      <c r="F424" s="89"/>
      <c r="G424" s="89"/>
      <c r="H424" s="89"/>
      <c r="I424" s="96"/>
      <c r="J424" s="96"/>
      <c r="K424" s="96"/>
      <c r="L424" s="96"/>
      <c r="M424" s="96"/>
      <c r="N424" s="96"/>
      <c r="O424" s="96"/>
      <c r="P424" s="96"/>
      <c r="Q424" s="96"/>
      <c r="R424" s="96"/>
    </row>
    <row r="425" spans="5:18" x14ac:dyDescent="0.25">
      <c r="E425" s="89"/>
      <c r="F425" s="89"/>
      <c r="G425" s="89"/>
      <c r="H425" s="89"/>
      <c r="I425" s="96"/>
      <c r="J425" s="96"/>
      <c r="K425" s="96"/>
      <c r="L425" s="96"/>
      <c r="M425" s="96"/>
      <c r="N425" s="96"/>
      <c r="O425" s="96"/>
      <c r="P425" s="96"/>
      <c r="Q425" s="96"/>
      <c r="R425" s="96"/>
    </row>
    <row r="426" spans="5:18" x14ac:dyDescent="0.25">
      <c r="E426" s="89"/>
      <c r="F426" s="89"/>
      <c r="G426" s="89"/>
      <c r="H426" s="89"/>
      <c r="I426" s="96"/>
      <c r="J426" s="96"/>
      <c r="K426" s="96"/>
      <c r="L426" s="96"/>
      <c r="M426" s="96"/>
      <c r="N426" s="96"/>
      <c r="O426" s="96"/>
      <c r="P426" s="96"/>
      <c r="Q426" s="96"/>
      <c r="R426" s="96"/>
    </row>
    <row r="427" spans="5:18" x14ac:dyDescent="0.25">
      <c r="E427" s="89"/>
      <c r="F427" s="89"/>
      <c r="G427" s="89"/>
      <c r="H427" s="89"/>
      <c r="I427" s="96"/>
      <c r="J427" s="96"/>
      <c r="K427" s="96"/>
      <c r="L427" s="96"/>
      <c r="M427" s="96"/>
      <c r="N427" s="96"/>
      <c r="O427" s="96"/>
      <c r="P427" s="96"/>
      <c r="Q427" s="96"/>
      <c r="R427" s="96"/>
    </row>
    <row r="428" spans="5:18" x14ac:dyDescent="0.25">
      <c r="E428" s="89"/>
      <c r="F428" s="89"/>
      <c r="G428" s="89"/>
      <c r="H428" s="89"/>
      <c r="I428" s="96"/>
      <c r="J428" s="96"/>
      <c r="K428" s="96"/>
      <c r="L428" s="96"/>
      <c r="M428" s="96"/>
      <c r="N428" s="96"/>
      <c r="O428" s="96"/>
      <c r="P428" s="96"/>
      <c r="Q428" s="96"/>
      <c r="R428" s="96"/>
    </row>
    <row r="429" spans="5:18" x14ac:dyDescent="0.25">
      <c r="E429" s="89"/>
      <c r="F429" s="89"/>
      <c r="G429" s="89"/>
      <c r="H429" s="89"/>
      <c r="I429" s="96"/>
      <c r="J429" s="96"/>
      <c r="K429" s="96"/>
      <c r="L429" s="96"/>
      <c r="M429" s="96"/>
      <c r="N429" s="96"/>
      <c r="O429" s="96"/>
      <c r="P429" s="96"/>
      <c r="Q429" s="96"/>
      <c r="R429" s="96"/>
    </row>
    <row r="430" spans="5:18" x14ac:dyDescent="0.25">
      <c r="E430" s="89"/>
      <c r="F430" s="89"/>
      <c r="G430" s="89"/>
      <c r="H430" s="89"/>
      <c r="I430" s="96"/>
      <c r="J430" s="96"/>
      <c r="K430" s="96"/>
      <c r="L430" s="96"/>
      <c r="M430" s="96"/>
      <c r="N430" s="96"/>
      <c r="O430" s="96"/>
      <c r="P430" s="96"/>
      <c r="Q430" s="96"/>
      <c r="R430" s="96"/>
    </row>
    <row r="431" spans="5:18" x14ac:dyDescent="0.25">
      <c r="E431" s="89"/>
      <c r="F431" s="89"/>
      <c r="G431" s="89"/>
      <c r="H431" s="89"/>
      <c r="I431" s="96"/>
      <c r="J431" s="96"/>
      <c r="K431" s="96"/>
      <c r="L431" s="96"/>
      <c r="M431" s="96"/>
      <c r="N431" s="96"/>
      <c r="O431" s="96"/>
      <c r="P431" s="96"/>
      <c r="Q431" s="96"/>
      <c r="R431" s="96"/>
    </row>
    <row r="432" spans="5:18" x14ac:dyDescent="0.25">
      <c r="E432" s="89"/>
      <c r="F432" s="89"/>
      <c r="G432" s="89"/>
      <c r="H432" s="89"/>
      <c r="I432" s="96"/>
      <c r="J432" s="96"/>
      <c r="K432" s="96"/>
      <c r="L432" s="96"/>
      <c r="M432" s="96"/>
      <c r="N432" s="96"/>
      <c r="O432" s="96"/>
      <c r="P432" s="96"/>
      <c r="Q432" s="96"/>
      <c r="R432" s="96"/>
    </row>
    <row r="433" spans="5:18" x14ac:dyDescent="0.25">
      <c r="E433" s="89"/>
      <c r="F433" s="89"/>
      <c r="G433" s="89"/>
      <c r="H433" s="89"/>
      <c r="I433" s="96"/>
      <c r="J433" s="96"/>
      <c r="K433" s="96"/>
      <c r="L433" s="96"/>
      <c r="M433" s="96"/>
      <c r="N433" s="96"/>
      <c r="O433" s="96"/>
      <c r="P433" s="96"/>
      <c r="Q433" s="96"/>
      <c r="R433" s="96"/>
    </row>
    <row r="434" spans="5:18" x14ac:dyDescent="0.25">
      <c r="E434" s="89"/>
      <c r="F434" s="89"/>
      <c r="G434" s="89"/>
      <c r="H434" s="89"/>
    </row>
    <row r="435" spans="5:18" x14ac:dyDescent="0.25">
      <c r="E435" s="89"/>
      <c r="F435" s="89"/>
      <c r="G435" s="89"/>
      <c r="H435" s="89"/>
    </row>
    <row r="436" spans="5:18" x14ac:dyDescent="0.25">
      <c r="E436" s="89"/>
      <c r="F436" s="89"/>
      <c r="G436" s="89"/>
      <c r="H436" s="89"/>
    </row>
    <row r="437" spans="5:18" x14ac:dyDescent="0.25">
      <c r="E437" s="89"/>
      <c r="F437" s="89"/>
      <c r="G437" s="89"/>
      <c r="H437" s="89"/>
    </row>
    <row r="438" spans="5:18" x14ac:dyDescent="0.25">
      <c r="E438" s="89"/>
      <c r="F438" s="89"/>
      <c r="G438" s="89"/>
      <c r="H438" s="89"/>
    </row>
    <row r="439" spans="5:18" x14ac:dyDescent="0.25">
      <c r="E439" s="89"/>
      <c r="F439" s="89"/>
      <c r="G439" s="89"/>
      <c r="H439" s="89"/>
    </row>
    <row r="440" spans="5:18" x14ac:dyDescent="0.25">
      <c r="E440" s="89"/>
      <c r="F440" s="89"/>
      <c r="G440" s="89"/>
      <c r="H440" s="89"/>
    </row>
    <row r="441" spans="5:18" x14ac:dyDescent="0.25">
      <c r="E441" s="89"/>
      <c r="F441" s="89"/>
      <c r="G441" s="89"/>
      <c r="H441" s="89"/>
    </row>
    <row r="442" spans="5:18" x14ac:dyDescent="0.25">
      <c r="E442" s="89"/>
      <c r="F442" s="89"/>
      <c r="G442" s="89"/>
      <c r="H442" s="89"/>
    </row>
    <row r="444" spans="5:18" x14ac:dyDescent="0.25">
      <c r="I444" s="666"/>
      <c r="J444" s="515"/>
    </row>
    <row r="445" spans="5:18" x14ac:dyDescent="0.25">
      <c r="I445" s="666"/>
      <c r="J445" s="515"/>
    </row>
    <row r="446" spans="5:18" x14ac:dyDescent="0.25">
      <c r="I446" s="666"/>
      <c r="J446" s="515"/>
    </row>
    <row r="447" spans="5:18" x14ac:dyDescent="0.25">
      <c r="I447" s="666"/>
      <c r="J447" s="515"/>
    </row>
    <row r="448" spans="5:18" x14ac:dyDescent="0.25">
      <c r="I448" s="666"/>
      <c r="J448" s="515"/>
    </row>
    <row r="449" spans="9:10" x14ac:dyDescent="0.25">
      <c r="I449" s="666"/>
      <c r="J449" s="515"/>
    </row>
    <row r="450" spans="9:10" x14ac:dyDescent="0.25">
      <c r="I450" s="666"/>
      <c r="J450" s="515"/>
    </row>
    <row r="451" spans="9:10" x14ac:dyDescent="0.25">
      <c r="I451" s="666"/>
      <c r="J451" s="515"/>
    </row>
    <row r="452" spans="9:10" x14ac:dyDescent="0.25">
      <c r="I452" s="666"/>
      <c r="J452" s="515"/>
    </row>
    <row r="453" spans="9:10" x14ac:dyDescent="0.25">
      <c r="I453" s="666"/>
      <c r="J453" s="515"/>
    </row>
    <row r="454" spans="9:10" x14ac:dyDescent="0.25">
      <c r="I454" s="666"/>
      <c r="J454" s="515"/>
    </row>
    <row r="455" spans="9:10" x14ac:dyDescent="0.25">
      <c r="I455" s="666"/>
      <c r="J455" s="515"/>
    </row>
    <row r="456" spans="9:10" x14ac:dyDescent="0.25">
      <c r="I456" s="666"/>
      <c r="J456" s="515"/>
    </row>
    <row r="457" spans="9:10" x14ac:dyDescent="0.25">
      <c r="I457" s="666"/>
      <c r="J457" s="515"/>
    </row>
    <row r="459" spans="9:10" x14ac:dyDescent="0.25">
      <c r="I459" s="666"/>
    </row>
    <row r="460" spans="9:10" x14ac:dyDescent="0.25">
      <c r="I460" s="666"/>
    </row>
    <row r="461" spans="9:10" x14ac:dyDescent="0.25">
      <c r="I461" s="666"/>
    </row>
    <row r="462" spans="9:10" x14ac:dyDescent="0.25">
      <c r="I462" s="666"/>
    </row>
    <row r="463" spans="9:10" x14ac:dyDescent="0.25">
      <c r="I463" s="666"/>
    </row>
    <row r="464" spans="9:10" x14ac:dyDescent="0.25">
      <c r="I464" s="666"/>
    </row>
    <row r="465" spans="5:9" x14ac:dyDescent="0.25">
      <c r="I465" s="666"/>
    </row>
    <row r="466" spans="5:9" x14ac:dyDescent="0.25">
      <c r="I466" s="666"/>
    </row>
    <row r="467" spans="5:9" x14ac:dyDescent="0.25">
      <c r="I467" s="666"/>
    </row>
    <row r="468" spans="5:9" x14ac:dyDescent="0.25">
      <c r="I468" s="666"/>
    </row>
    <row r="469" spans="5:9" x14ac:dyDescent="0.25">
      <c r="I469" s="666"/>
    </row>
    <row r="470" spans="5:9" x14ac:dyDescent="0.25">
      <c r="I470" s="666"/>
    </row>
    <row r="471" spans="5:9" x14ac:dyDescent="0.25">
      <c r="I471" s="666"/>
    </row>
    <row r="472" spans="5:9" x14ac:dyDescent="0.25">
      <c r="I472" s="666"/>
    </row>
    <row r="474" spans="5:9" x14ac:dyDescent="0.25">
      <c r="E474" s="89"/>
      <c r="F474" s="89"/>
      <c r="G474" s="89"/>
      <c r="I474" s="5"/>
    </row>
    <row r="475" spans="5:9" x14ac:dyDescent="0.25">
      <c r="E475" s="89"/>
      <c r="F475" s="89"/>
      <c r="G475" s="89"/>
      <c r="I475" s="5"/>
    </row>
    <row r="476" spans="5:9" x14ac:dyDescent="0.25">
      <c r="E476" s="89"/>
      <c r="F476" s="89"/>
      <c r="G476" s="89"/>
      <c r="I476" s="5"/>
    </row>
    <row r="477" spans="5:9" x14ac:dyDescent="0.25">
      <c r="E477" s="89"/>
      <c r="F477" s="89"/>
      <c r="G477" s="89"/>
      <c r="I477" s="5"/>
    </row>
    <row r="478" spans="5:9" x14ac:dyDescent="0.25">
      <c r="E478" s="89"/>
      <c r="F478" s="89"/>
      <c r="G478" s="89"/>
      <c r="I478" s="5"/>
    </row>
    <row r="479" spans="5:9" x14ac:dyDescent="0.25">
      <c r="E479" s="89"/>
      <c r="F479" s="89"/>
      <c r="G479" s="89"/>
      <c r="I479" s="5"/>
    </row>
    <row r="480" spans="5:9" x14ac:dyDescent="0.25">
      <c r="E480" s="89"/>
      <c r="F480" s="89"/>
      <c r="G480" s="89"/>
      <c r="I480" s="5"/>
    </row>
    <row r="481" spans="5:23" x14ac:dyDescent="0.25">
      <c r="E481" s="89"/>
      <c r="F481" s="89"/>
      <c r="G481" s="89"/>
      <c r="I481" s="5"/>
    </row>
    <row r="482" spans="5:23" x14ac:dyDescent="0.25">
      <c r="E482" s="89"/>
      <c r="F482" s="89"/>
      <c r="G482" s="89"/>
      <c r="I482" s="5"/>
    </row>
    <row r="483" spans="5:23" x14ac:dyDescent="0.25">
      <c r="E483" s="89"/>
      <c r="F483" s="89"/>
      <c r="G483" s="89"/>
      <c r="I483" s="5"/>
    </row>
    <row r="484" spans="5:23" x14ac:dyDescent="0.25">
      <c r="E484" s="89"/>
      <c r="F484" s="89"/>
      <c r="G484" s="89"/>
      <c r="I484" s="5"/>
    </row>
    <row r="485" spans="5:23" x14ac:dyDescent="0.25">
      <c r="E485" s="89"/>
      <c r="F485" s="89"/>
      <c r="G485" s="89"/>
      <c r="I485" s="5"/>
    </row>
    <row r="486" spans="5:23" x14ac:dyDescent="0.25">
      <c r="E486" s="89"/>
      <c r="F486" s="89"/>
      <c r="G486" s="89"/>
      <c r="I486" s="5"/>
    </row>
    <row r="487" spans="5:23" x14ac:dyDescent="0.25">
      <c r="E487" s="89"/>
      <c r="F487" s="89"/>
      <c r="G487" s="89"/>
      <c r="I487" s="5"/>
    </row>
    <row r="489" spans="5:23" x14ac:dyDescent="0.25">
      <c r="V489" s="238"/>
      <c r="W489" s="238"/>
    </row>
    <row r="490" spans="5:23" x14ac:dyDescent="0.25">
      <c r="V490" s="238"/>
      <c r="W490" s="238"/>
    </row>
    <row r="491" spans="5:23" x14ac:dyDescent="0.25">
      <c r="V491" s="238"/>
      <c r="W491" s="238"/>
    </row>
    <row r="492" spans="5:23" x14ac:dyDescent="0.25">
      <c r="V492" s="238"/>
      <c r="W492" s="238"/>
    </row>
    <row r="493" spans="5:23" x14ac:dyDescent="0.25">
      <c r="V493" s="238"/>
      <c r="W493" s="238"/>
    </row>
    <row r="494" spans="5:23" x14ac:dyDescent="0.25">
      <c r="V494" s="238"/>
      <c r="W494" s="238"/>
    </row>
    <row r="495" spans="5:23" x14ac:dyDescent="0.25">
      <c r="V495" s="238"/>
      <c r="W495" s="238"/>
    </row>
    <row r="496" spans="5:23" x14ac:dyDescent="0.25">
      <c r="V496" s="238"/>
      <c r="W496" s="238"/>
    </row>
    <row r="497" spans="5:80" x14ac:dyDescent="0.25">
      <c r="V497" s="238"/>
      <c r="W497" s="238"/>
    </row>
    <row r="498" spans="5:80" x14ac:dyDescent="0.25">
      <c r="V498" s="238"/>
      <c r="W498" s="238"/>
    </row>
    <row r="499" spans="5:80" x14ac:dyDescent="0.25">
      <c r="V499" s="238"/>
      <c r="W499" s="238"/>
    </row>
    <row r="500" spans="5:80" x14ac:dyDescent="0.25">
      <c r="V500" s="238"/>
      <c r="W500" s="238"/>
    </row>
    <row r="501" spans="5:80" x14ac:dyDescent="0.25">
      <c r="V501" s="238"/>
      <c r="W501" s="238"/>
    </row>
    <row r="502" spans="5:80" x14ac:dyDescent="0.25">
      <c r="V502" s="238"/>
      <c r="W502" s="238"/>
    </row>
    <row r="503" spans="5:80" x14ac:dyDescent="0.25">
      <c r="V503" s="238"/>
      <c r="W503" s="238"/>
    </row>
    <row r="504" spans="5:80" x14ac:dyDescent="0.25">
      <c r="V504" s="238"/>
      <c r="W504" s="238"/>
    </row>
    <row r="505" spans="5:80" x14ac:dyDescent="0.25">
      <c r="V505" s="238"/>
      <c r="W505" s="238"/>
    </row>
    <row r="506" spans="5:80" x14ac:dyDescent="0.25">
      <c r="V506" s="238"/>
      <c r="W506" s="238"/>
    </row>
    <row r="507" spans="5:80" x14ac:dyDescent="0.25">
      <c r="V507" s="238"/>
      <c r="W507" s="238"/>
    </row>
    <row r="508" spans="5:80" x14ac:dyDescent="0.25">
      <c r="V508" s="238"/>
      <c r="W508" s="238"/>
    </row>
    <row r="509" spans="5:80" x14ac:dyDescent="0.25">
      <c r="V509" s="238">
        <f t="shared" ref="V509:BX509" si="342">SUBTOTAL(9,V18:V127)</f>
        <v>-1782238</v>
      </c>
      <c r="W509" s="238">
        <f t="shared" si="342"/>
        <v>-1072133</v>
      </c>
      <c r="X509" s="238">
        <f t="shared" si="342"/>
        <v>49300278</v>
      </c>
      <c r="Y509" s="238">
        <f t="shared" si="342"/>
        <v>0</v>
      </c>
      <c r="Z509" s="238">
        <f t="shared" si="342"/>
        <v>0</v>
      </c>
      <c r="AA509" s="238">
        <f t="shared" si="342"/>
        <v>0</v>
      </c>
      <c r="AB509" s="238">
        <f t="shared" si="342"/>
        <v>2820000</v>
      </c>
      <c r="AC509" s="238">
        <f t="shared" si="342"/>
        <v>0</v>
      </c>
      <c r="AD509" s="238">
        <f t="shared" si="342"/>
        <v>36335</v>
      </c>
      <c r="AE509" s="238">
        <f t="shared" si="342"/>
        <v>0</v>
      </c>
      <c r="AF509" s="238">
        <f t="shared" si="342"/>
        <v>50374375</v>
      </c>
      <c r="AG509" s="238">
        <f t="shared" si="342"/>
        <v>-1072133</v>
      </c>
      <c r="AH509" s="238">
        <f t="shared" si="342"/>
        <v>49302242</v>
      </c>
      <c r="AI509" s="238">
        <f t="shared" si="342"/>
        <v>1411840</v>
      </c>
      <c r="AJ509" s="238">
        <f t="shared" si="342"/>
        <v>1072133</v>
      </c>
      <c r="AK509" s="238"/>
      <c r="AL509" s="238">
        <f t="shared" si="342"/>
        <v>92622</v>
      </c>
      <c r="AM509" s="238">
        <f t="shared" si="342"/>
        <v>370398</v>
      </c>
      <c r="AN509" s="238">
        <f t="shared" si="342"/>
        <v>0</v>
      </c>
      <c r="AO509" s="238">
        <f t="shared" si="342"/>
        <v>1874860</v>
      </c>
      <c r="AP509" s="238">
        <f t="shared" si="342"/>
        <v>1072133</v>
      </c>
      <c r="AQ509" s="238">
        <f t="shared" si="342"/>
        <v>2946993</v>
      </c>
      <c r="AR509" s="238">
        <f t="shared" si="342"/>
        <v>52249235</v>
      </c>
      <c r="AS509" s="238">
        <f t="shared" si="342"/>
        <v>0</v>
      </c>
      <c r="AT509" s="238">
        <f t="shared" si="342"/>
        <v>52249235</v>
      </c>
      <c r="AU509" s="238">
        <f t="shared" si="342"/>
        <v>17535049</v>
      </c>
      <c r="AV509" s="238">
        <f t="shared" si="342"/>
        <v>493023</v>
      </c>
      <c r="AW509" s="238">
        <f t="shared" si="342"/>
        <v>128000</v>
      </c>
      <c r="AX509" s="238">
        <f t="shared" si="342"/>
        <v>0</v>
      </c>
      <c r="AY509" s="238">
        <f t="shared" si="342"/>
        <v>128000</v>
      </c>
      <c r="AZ509" s="238">
        <f t="shared" si="342"/>
        <v>70405307</v>
      </c>
      <c r="BA509" s="238">
        <f t="shared" si="342"/>
        <v>-1.3000000000000003</v>
      </c>
      <c r="BB509" s="238">
        <f t="shared" si="342"/>
        <v>-1.8199999999999998</v>
      </c>
      <c r="BC509" s="238">
        <f t="shared" si="342"/>
        <v>132.29999999999998</v>
      </c>
      <c r="BD509" s="238">
        <f t="shared" si="342"/>
        <v>5</v>
      </c>
      <c r="BE509" s="238">
        <f t="shared" si="342"/>
        <v>0</v>
      </c>
      <c r="BF509" s="238">
        <f t="shared" si="342"/>
        <v>0</v>
      </c>
      <c r="BG509" s="238">
        <f t="shared" si="342"/>
        <v>0</v>
      </c>
      <c r="BH509" s="238">
        <f t="shared" si="342"/>
        <v>0</v>
      </c>
      <c r="BI509" s="238">
        <f t="shared" si="342"/>
        <v>0.1</v>
      </c>
      <c r="BJ509" s="238">
        <f t="shared" si="342"/>
        <v>0</v>
      </c>
      <c r="BK509" s="238">
        <f t="shared" si="342"/>
        <v>136.10000000000002</v>
      </c>
      <c r="BL509" s="238">
        <f t="shared" si="342"/>
        <v>-1.8199999999999998</v>
      </c>
      <c r="BM509" s="238">
        <f t="shared" si="342"/>
        <v>134.28</v>
      </c>
      <c r="BN509" s="238">
        <f t="shared" si="342"/>
        <v>646562830</v>
      </c>
      <c r="BO509" s="238">
        <f t="shared" si="342"/>
        <v>472815676</v>
      </c>
      <c r="BP509" s="238">
        <f t="shared" si="342"/>
        <v>424931553</v>
      </c>
      <c r="BQ509" s="238">
        <f t="shared" si="342"/>
        <v>47884123</v>
      </c>
      <c r="BR509" s="238">
        <f t="shared" si="342"/>
        <v>2946993</v>
      </c>
      <c r="BS509" s="238">
        <f t="shared" si="342"/>
        <v>1874860</v>
      </c>
      <c r="BT509" s="238">
        <f t="shared" si="342"/>
        <v>1072133</v>
      </c>
      <c r="BU509" s="238">
        <f t="shared" si="342"/>
        <v>160682586</v>
      </c>
      <c r="BV509" s="238">
        <f t="shared" si="342"/>
        <v>4728156</v>
      </c>
      <c r="BW509" s="238">
        <f t="shared" si="342"/>
        <v>5389419</v>
      </c>
      <c r="BX509" s="238">
        <f t="shared" si="342"/>
        <v>880.05599999999993</v>
      </c>
      <c r="BY509" s="238">
        <f t="shared" ref="BY509:BZ509" si="343">SUBTOTAL(9,BY18:BY127)</f>
        <v>730.40350000000024</v>
      </c>
      <c r="BZ509" s="238">
        <f t="shared" si="343"/>
        <v>149.65250000000006</v>
      </c>
      <c r="CA509" s="238"/>
      <c r="CB509" s="238"/>
    </row>
    <row r="511" spans="5:80" x14ac:dyDescent="0.25"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55"/>
      <c r="T511" s="55"/>
      <c r="U511" s="55"/>
    </row>
    <row r="512" spans="5:80" x14ac:dyDescent="0.25"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55"/>
      <c r="T512" s="55"/>
      <c r="U512" s="55"/>
    </row>
    <row r="513" spans="5:21" x14ac:dyDescent="0.25"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55"/>
      <c r="T513" s="55"/>
      <c r="U513" s="55"/>
    </row>
  </sheetData>
  <mergeCells count="59">
    <mergeCell ref="AB11:AC11"/>
    <mergeCell ref="BD8:BE10"/>
    <mergeCell ref="BD11:BE11"/>
    <mergeCell ref="CA6:CF7"/>
    <mergeCell ref="CA8:CF9"/>
    <mergeCell ref="BA7:BM7"/>
    <mergeCell ref="BC8:BC9"/>
    <mergeCell ref="BF8:BG8"/>
    <mergeCell ref="BH8:BH9"/>
    <mergeCell ref="BI8:BJ9"/>
    <mergeCell ref="BK8:BM9"/>
    <mergeCell ref="BW9:BW10"/>
    <mergeCell ref="V6:BM6"/>
    <mergeCell ref="BN6:BZ7"/>
    <mergeCell ref="V7:AH8"/>
    <mergeCell ref="AI7:AQ8"/>
    <mergeCell ref="BV9:BV10"/>
    <mergeCell ref="BN8:BN10"/>
    <mergeCell ref="BO8:BW8"/>
    <mergeCell ref="BY8:BZ9"/>
    <mergeCell ref="BS9:BT9"/>
    <mergeCell ref="BU9:BU10"/>
    <mergeCell ref="BX8:BX10"/>
    <mergeCell ref="BO9:BO10"/>
    <mergeCell ref="BP9:BQ9"/>
    <mergeCell ref="BR9:BR10"/>
    <mergeCell ref="A3:E3"/>
    <mergeCell ref="I8:I10"/>
    <mergeCell ref="Q9:Q10"/>
    <mergeCell ref="R9:R10"/>
    <mergeCell ref="J9:J10"/>
    <mergeCell ref="K9:L9"/>
    <mergeCell ref="M9:M10"/>
    <mergeCell ref="N9:O9"/>
    <mergeCell ref="P9:P10"/>
    <mergeCell ref="I6:U7"/>
    <mergeCell ref="J8:R8"/>
    <mergeCell ref="S8:S10"/>
    <mergeCell ref="T8:U9"/>
    <mergeCell ref="BA8:BB9"/>
    <mergeCell ref="AH9:AH10"/>
    <mergeCell ref="AI9:AJ9"/>
    <mergeCell ref="AL9:AL10"/>
    <mergeCell ref="AQ9:AQ10"/>
    <mergeCell ref="AO9:AP9"/>
    <mergeCell ref="AM9:AN9"/>
    <mergeCell ref="AK9:AK10"/>
    <mergeCell ref="AR7:AT9"/>
    <mergeCell ref="AU7:AU10"/>
    <mergeCell ref="AV7:AV10"/>
    <mergeCell ref="AW7:AY9"/>
    <mergeCell ref="AZ7:AZ10"/>
    <mergeCell ref="AD9:AE9"/>
    <mergeCell ref="AF9:AG9"/>
    <mergeCell ref="V9:W9"/>
    <mergeCell ref="X9:X10"/>
    <mergeCell ref="Y9:Z9"/>
    <mergeCell ref="AA9:AA10"/>
    <mergeCell ref="AB9:AC10"/>
  </mergeCells>
  <phoneticPr fontId="40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CF206"/>
  <sheetViews>
    <sheetView zoomScaleNormal="100" workbookViewId="0">
      <pane xSplit="8" ySplit="11" topLeftCell="BO176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12" width="10.85546875" style="8" customWidth="1"/>
    <col min="13" max="15" width="10.85546875" style="8" hidden="1" customWidth="1"/>
    <col min="16" max="18" width="10.85546875" style="8" customWidth="1"/>
    <col min="19" max="21" width="9.28515625" style="7" customWidth="1"/>
    <col min="22" max="27" width="10.28515625" style="8" customWidth="1"/>
    <col min="28" max="28" width="10.5703125" style="8" customWidth="1"/>
    <col min="29" max="29" width="10.28515625" style="8" hidden="1" customWidth="1"/>
    <col min="30" max="44" width="10.28515625" style="8" customWidth="1"/>
    <col min="45" max="45" width="10.28515625" style="7" customWidth="1"/>
    <col min="46" max="47" width="9.28515625" style="7" customWidth="1"/>
    <col min="48" max="48" width="9.140625" style="8" customWidth="1"/>
    <col min="49" max="49" width="9.7109375" style="8" customWidth="1"/>
    <col min="50" max="50" width="10.140625" style="8" customWidth="1"/>
    <col min="51" max="51" width="9.140625" style="8" customWidth="1"/>
    <col min="52" max="52" width="9.7109375" style="8" customWidth="1"/>
    <col min="53" max="56" width="9.140625" style="7" customWidth="1"/>
    <col min="57" max="57" width="9.140625" style="7" hidden="1" customWidth="1"/>
    <col min="58" max="58" width="10.140625" style="7" customWidth="1"/>
    <col min="59" max="65" width="9.28515625" style="7" customWidth="1"/>
    <col min="66" max="75" width="10.85546875" style="7" customWidth="1"/>
    <col min="76" max="78" width="9.28515625" style="7" customWidth="1"/>
    <col min="79" max="83" width="9.7109375" style="8" customWidth="1"/>
    <col min="84" max="84" width="9.7109375" style="7" customWidth="1"/>
    <col min="202" max="202" width="6.85546875" customWidth="1"/>
    <col min="203" max="203" width="35" customWidth="1"/>
    <col min="204" max="204" width="8" customWidth="1"/>
    <col min="205" max="205" width="31.85546875" customWidth="1"/>
    <col min="206" max="206" width="12" customWidth="1"/>
    <col min="207" max="207" width="11.5703125" customWidth="1"/>
    <col min="208" max="208" width="12" customWidth="1"/>
    <col min="209" max="209" width="11.140625" customWidth="1"/>
    <col min="210" max="211" width="10" customWidth="1"/>
    <col min="214" max="214" width="10.7109375" customWidth="1"/>
    <col min="458" max="458" width="6.85546875" customWidth="1"/>
    <col min="459" max="459" width="35" customWidth="1"/>
    <col min="460" max="460" width="8" customWidth="1"/>
    <col min="461" max="461" width="31.85546875" customWidth="1"/>
    <col min="462" max="462" width="12" customWidth="1"/>
    <col min="463" max="463" width="11.5703125" customWidth="1"/>
    <col min="464" max="464" width="12" customWidth="1"/>
    <col min="465" max="465" width="11.140625" customWidth="1"/>
    <col min="466" max="467" width="10" customWidth="1"/>
    <col min="470" max="470" width="10.7109375" customWidth="1"/>
    <col min="714" max="714" width="6.85546875" customWidth="1"/>
    <col min="715" max="715" width="35" customWidth="1"/>
    <col min="716" max="716" width="8" customWidth="1"/>
    <col min="717" max="717" width="31.85546875" customWidth="1"/>
    <col min="718" max="718" width="12" customWidth="1"/>
    <col min="719" max="719" width="11.5703125" customWidth="1"/>
    <col min="720" max="720" width="12" customWidth="1"/>
    <col min="721" max="721" width="11.140625" customWidth="1"/>
    <col min="722" max="723" width="10" customWidth="1"/>
    <col min="726" max="726" width="10.7109375" customWidth="1"/>
    <col min="970" max="970" width="6.85546875" customWidth="1"/>
    <col min="971" max="971" width="35" customWidth="1"/>
    <col min="972" max="972" width="8" customWidth="1"/>
    <col min="973" max="973" width="31.85546875" customWidth="1"/>
    <col min="974" max="974" width="12" customWidth="1"/>
    <col min="975" max="975" width="11.5703125" customWidth="1"/>
    <col min="976" max="976" width="12" customWidth="1"/>
    <col min="977" max="977" width="11.140625" customWidth="1"/>
    <col min="978" max="979" width="10" customWidth="1"/>
    <col min="982" max="982" width="10.7109375" customWidth="1"/>
    <col min="1226" max="1226" width="6.85546875" customWidth="1"/>
    <col min="1227" max="1227" width="35" customWidth="1"/>
    <col min="1228" max="1228" width="8" customWidth="1"/>
    <col min="1229" max="1229" width="31.85546875" customWidth="1"/>
    <col min="1230" max="1230" width="12" customWidth="1"/>
    <col min="1231" max="1231" width="11.5703125" customWidth="1"/>
    <col min="1232" max="1232" width="12" customWidth="1"/>
    <col min="1233" max="1233" width="11.140625" customWidth="1"/>
    <col min="1234" max="1235" width="10" customWidth="1"/>
    <col min="1238" max="1238" width="10.7109375" customWidth="1"/>
    <col min="1482" max="1482" width="6.85546875" customWidth="1"/>
    <col min="1483" max="1483" width="35" customWidth="1"/>
    <col min="1484" max="1484" width="8" customWidth="1"/>
    <col min="1485" max="1485" width="31.85546875" customWidth="1"/>
    <col min="1486" max="1486" width="12" customWidth="1"/>
    <col min="1487" max="1487" width="11.5703125" customWidth="1"/>
    <col min="1488" max="1488" width="12" customWidth="1"/>
    <col min="1489" max="1489" width="11.140625" customWidth="1"/>
    <col min="1490" max="1491" width="10" customWidth="1"/>
    <col min="1494" max="1494" width="10.7109375" customWidth="1"/>
    <col min="1738" max="1738" width="6.85546875" customWidth="1"/>
    <col min="1739" max="1739" width="35" customWidth="1"/>
    <col min="1740" max="1740" width="8" customWidth="1"/>
    <col min="1741" max="1741" width="31.85546875" customWidth="1"/>
    <col min="1742" max="1742" width="12" customWidth="1"/>
    <col min="1743" max="1743" width="11.5703125" customWidth="1"/>
    <col min="1744" max="1744" width="12" customWidth="1"/>
    <col min="1745" max="1745" width="11.140625" customWidth="1"/>
    <col min="1746" max="1747" width="10" customWidth="1"/>
    <col min="1750" max="1750" width="10.7109375" customWidth="1"/>
    <col min="1994" max="1994" width="6.85546875" customWidth="1"/>
    <col min="1995" max="1995" width="35" customWidth="1"/>
    <col min="1996" max="1996" width="8" customWidth="1"/>
    <col min="1997" max="1997" width="31.85546875" customWidth="1"/>
    <col min="1998" max="1998" width="12" customWidth="1"/>
    <col min="1999" max="1999" width="11.5703125" customWidth="1"/>
    <col min="2000" max="2000" width="12" customWidth="1"/>
    <col min="2001" max="2001" width="11.140625" customWidth="1"/>
    <col min="2002" max="2003" width="10" customWidth="1"/>
    <col min="2006" max="2006" width="10.7109375" customWidth="1"/>
    <col min="2250" max="2250" width="6.85546875" customWidth="1"/>
    <col min="2251" max="2251" width="35" customWidth="1"/>
    <col min="2252" max="2252" width="8" customWidth="1"/>
    <col min="2253" max="2253" width="31.85546875" customWidth="1"/>
    <col min="2254" max="2254" width="12" customWidth="1"/>
    <col min="2255" max="2255" width="11.5703125" customWidth="1"/>
    <col min="2256" max="2256" width="12" customWidth="1"/>
    <col min="2257" max="2257" width="11.140625" customWidth="1"/>
    <col min="2258" max="2259" width="10" customWidth="1"/>
    <col min="2262" max="2262" width="10.7109375" customWidth="1"/>
    <col min="2506" max="2506" width="6.85546875" customWidth="1"/>
    <col min="2507" max="2507" width="35" customWidth="1"/>
    <col min="2508" max="2508" width="8" customWidth="1"/>
    <col min="2509" max="2509" width="31.85546875" customWidth="1"/>
    <col min="2510" max="2510" width="12" customWidth="1"/>
    <col min="2511" max="2511" width="11.5703125" customWidth="1"/>
    <col min="2512" max="2512" width="12" customWidth="1"/>
    <col min="2513" max="2513" width="11.140625" customWidth="1"/>
    <col min="2514" max="2515" width="10" customWidth="1"/>
    <col min="2518" max="2518" width="10.7109375" customWidth="1"/>
    <col min="2762" max="2762" width="6.85546875" customWidth="1"/>
    <col min="2763" max="2763" width="35" customWidth="1"/>
    <col min="2764" max="2764" width="8" customWidth="1"/>
    <col min="2765" max="2765" width="31.85546875" customWidth="1"/>
    <col min="2766" max="2766" width="12" customWidth="1"/>
    <col min="2767" max="2767" width="11.5703125" customWidth="1"/>
    <col min="2768" max="2768" width="12" customWidth="1"/>
    <col min="2769" max="2769" width="11.140625" customWidth="1"/>
    <col min="2770" max="2771" width="10" customWidth="1"/>
    <col min="2774" max="2774" width="10.7109375" customWidth="1"/>
    <col min="3018" max="3018" width="6.85546875" customWidth="1"/>
    <col min="3019" max="3019" width="35" customWidth="1"/>
    <col min="3020" max="3020" width="8" customWidth="1"/>
    <col min="3021" max="3021" width="31.85546875" customWidth="1"/>
    <col min="3022" max="3022" width="12" customWidth="1"/>
    <col min="3023" max="3023" width="11.5703125" customWidth="1"/>
    <col min="3024" max="3024" width="12" customWidth="1"/>
    <col min="3025" max="3025" width="11.140625" customWidth="1"/>
    <col min="3026" max="3027" width="10" customWidth="1"/>
    <col min="3030" max="3030" width="10.7109375" customWidth="1"/>
    <col min="3274" max="3274" width="6.85546875" customWidth="1"/>
    <col min="3275" max="3275" width="35" customWidth="1"/>
    <col min="3276" max="3276" width="8" customWidth="1"/>
    <col min="3277" max="3277" width="31.85546875" customWidth="1"/>
    <col min="3278" max="3278" width="12" customWidth="1"/>
    <col min="3279" max="3279" width="11.5703125" customWidth="1"/>
    <col min="3280" max="3280" width="12" customWidth="1"/>
    <col min="3281" max="3281" width="11.140625" customWidth="1"/>
    <col min="3282" max="3283" width="10" customWidth="1"/>
    <col min="3286" max="3286" width="10.7109375" customWidth="1"/>
    <col min="3530" max="3530" width="6.85546875" customWidth="1"/>
    <col min="3531" max="3531" width="35" customWidth="1"/>
    <col min="3532" max="3532" width="8" customWidth="1"/>
    <col min="3533" max="3533" width="31.85546875" customWidth="1"/>
    <col min="3534" max="3534" width="12" customWidth="1"/>
    <col min="3535" max="3535" width="11.5703125" customWidth="1"/>
    <col min="3536" max="3536" width="12" customWidth="1"/>
    <col min="3537" max="3537" width="11.140625" customWidth="1"/>
    <col min="3538" max="3539" width="10" customWidth="1"/>
    <col min="3542" max="3542" width="10.7109375" customWidth="1"/>
    <col min="3786" max="3786" width="6.85546875" customWidth="1"/>
    <col min="3787" max="3787" width="35" customWidth="1"/>
    <col min="3788" max="3788" width="8" customWidth="1"/>
    <col min="3789" max="3789" width="31.85546875" customWidth="1"/>
    <col min="3790" max="3790" width="12" customWidth="1"/>
    <col min="3791" max="3791" width="11.5703125" customWidth="1"/>
    <col min="3792" max="3792" width="12" customWidth="1"/>
    <col min="3793" max="3793" width="11.140625" customWidth="1"/>
    <col min="3794" max="3795" width="10" customWidth="1"/>
    <col min="3798" max="3798" width="10.7109375" customWidth="1"/>
    <col min="4042" max="4042" width="6.85546875" customWidth="1"/>
    <col min="4043" max="4043" width="35" customWidth="1"/>
    <col min="4044" max="4044" width="8" customWidth="1"/>
    <col min="4045" max="4045" width="31.85546875" customWidth="1"/>
    <col min="4046" max="4046" width="12" customWidth="1"/>
    <col min="4047" max="4047" width="11.5703125" customWidth="1"/>
    <col min="4048" max="4048" width="12" customWidth="1"/>
    <col min="4049" max="4049" width="11.140625" customWidth="1"/>
    <col min="4050" max="4051" width="10" customWidth="1"/>
    <col min="4054" max="4054" width="10.7109375" customWidth="1"/>
    <col min="4298" max="4298" width="6.85546875" customWidth="1"/>
    <col min="4299" max="4299" width="35" customWidth="1"/>
    <col min="4300" max="4300" width="8" customWidth="1"/>
    <col min="4301" max="4301" width="31.85546875" customWidth="1"/>
    <col min="4302" max="4302" width="12" customWidth="1"/>
    <col min="4303" max="4303" width="11.5703125" customWidth="1"/>
    <col min="4304" max="4304" width="12" customWidth="1"/>
    <col min="4305" max="4305" width="11.140625" customWidth="1"/>
    <col min="4306" max="4307" width="10" customWidth="1"/>
    <col min="4310" max="4310" width="10.7109375" customWidth="1"/>
    <col min="4554" max="4554" width="6.85546875" customWidth="1"/>
    <col min="4555" max="4555" width="35" customWidth="1"/>
    <col min="4556" max="4556" width="8" customWidth="1"/>
    <col min="4557" max="4557" width="31.85546875" customWidth="1"/>
    <col min="4558" max="4558" width="12" customWidth="1"/>
    <col min="4559" max="4559" width="11.5703125" customWidth="1"/>
    <col min="4560" max="4560" width="12" customWidth="1"/>
    <col min="4561" max="4561" width="11.140625" customWidth="1"/>
    <col min="4562" max="4563" width="10" customWidth="1"/>
    <col min="4566" max="4566" width="10.7109375" customWidth="1"/>
    <col min="4810" max="4810" width="6.85546875" customWidth="1"/>
    <col min="4811" max="4811" width="35" customWidth="1"/>
    <col min="4812" max="4812" width="8" customWidth="1"/>
    <col min="4813" max="4813" width="31.85546875" customWidth="1"/>
    <col min="4814" max="4814" width="12" customWidth="1"/>
    <col min="4815" max="4815" width="11.5703125" customWidth="1"/>
    <col min="4816" max="4816" width="12" customWidth="1"/>
    <col min="4817" max="4817" width="11.140625" customWidth="1"/>
    <col min="4818" max="4819" width="10" customWidth="1"/>
    <col min="4822" max="4822" width="10.7109375" customWidth="1"/>
    <col min="5066" max="5066" width="6.85546875" customWidth="1"/>
    <col min="5067" max="5067" width="35" customWidth="1"/>
    <col min="5068" max="5068" width="8" customWidth="1"/>
    <col min="5069" max="5069" width="31.85546875" customWidth="1"/>
    <col min="5070" max="5070" width="12" customWidth="1"/>
    <col min="5071" max="5071" width="11.5703125" customWidth="1"/>
    <col min="5072" max="5072" width="12" customWidth="1"/>
    <col min="5073" max="5073" width="11.140625" customWidth="1"/>
    <col min="5074" max="5075" width="10" customWidth="1"/>
    <col min="5078" max="5078" width="10.7109375" customWidth="1"/>
    <col min="5322" max="5322" width="6.85546875" customWidth="1"/>
    <col min="5323" max="5323" width="35" customWidth="1"/>
    <col min="5324" max="5324" width="8" customWidth="1"/>
    <col min="5325" max="5325" width="31.85546875" customWidth="1"/>
    <col min="5326" max="5326" width="12" customWidth="1"/>
    <col min="5327" max="5327" width="11.5703125" customWidth="1"/>
    <col min="5328" max="5328" width="12" customWidth="1"/>
    <col min="5329" max="5329" width="11.140625" customWidth="1"/>
    <col min="5330" max="5331" width="10" customWidth="1"/>
    <col min="5334" max="5334" width="10.7109375" customWidth="1"/>
    <col min="5578" max="5578" width="6.85546875" customWidth="1"/>
    <col min="5579" max="5579" width="35" customWidth="1"/>
    <col min="5580" max="5580" width="8" customWidth="1"/>
    <col min="5581" max="5581" width="31.85546875" customWidth="1"/>
    <col min="5582" max="5582" width="12" customWidth="1"/>
    <col min="5583" max="5583" width="11.5703125" customWidth="1"/>
    <col min="5584" max="5584" width="12" customWidth="1"/>
    <col min="5585" max="5585" width="11.140625" customWidth="1"/>
    <col min="5586" max="5587" width="10" customWidth="1"/>
    <col min="5590" max="5590" width="10.7109375" customWidth="1"/>
    <col min="5834" max="5834" width="6.85546875" customWidth="1"/>
    <col min="5835" max="5835" width="35" customWidth="1"/>
    <col min="5836" max="5836" width="8" customWidth="1"/>
    <col min="5837" max="5837" width="31.85546875" customWidth="1"/>
    <col min="5838" max="5838" width="12" customWidth="1"/>
    <col min="5839" max="5839" width="11.5703125" customWidth="1"/>
    <col min="5840" max="5840" width="12" customWidth="1"/>
    <col min="5841" max="5841" width="11.140625" customWidth="1"/>
    <col min="5842" max="5843" width="10" customWidth="1"/>
    <col min="5846" max="5846" width="10.7109375" customWidth="1"/>
    <col min="6090" max="6090" width="6.85546875" customWidth="1"/>
    <col min="6091" max="6091" width="35" customWidth="1"/>
    <col min="6092" max="6092" width="8" customWidth="1"/>
    <col min="6093" max="6093" width="31.85546875" customWidth="1"/>
    <col min="6094" max="6094" width="12" customWidth="1"/>
    <col min="6095" max="6095" width="11.5703125" customWidth="1"/>
    <col min="6096" max="6096" width="12" customWidth="1"/>
    <col min="6097" max="6097" width="11.140625" customWidth="1"/>
    <col min="6098" max="6099" width="10" customWidth="1"/>
    <col min="6102" max="6102" width="10.7109375" customWidth="1"/>
    <col min="6346" max="6346" width="6.85546875" customWidth="1"/>
    <col min="6347" max="6347" width="35" customWidth="1"/>
    <col min="6348" max="6348" width="8" customWidth="1"/>
    <col min="6349" max="6349" width="31.85546875" customWidth="1"/>
    <col min="6350" max="6350" width="12" customWidth="1"/>
    <col min="6351" max="6351" width="11.5703125" customWidth="1"/>
    <col min="6352" max="6352" width="12" customWidth="1"/>
    <col min="6353" max="6353" width="11.140625" customWidth="1"/>
    <col min="6354" max="6355" width="10" customWidth="1"/>
    <col min="6358" max="6358" width="10.7109375" customWidth="1"/>
    <col min="6602" max="6602" width="6.85546875" customWidth="1"/>
    <col min="6603" max="6603" width="35" customWidth="1"/>
    <col min="6604" max="6604" width="8" customWidth="1"/>
    <col min="6605" max="6605" width="31.85546875" customWidth="1"/>
    <col min="6606" max="6606" width="12" customWidth="1"/>
    <col min="6607" max="6607" width="11.5703125" customWidth="1"/>
    <col min="6608" max="6608" width="12" customWidth="1"/>
    <col min="6609" max="6609" width="11.140625" customWidth="1"/>
    <col min="6610" max="6611" width="10" customWidth="1"/>
    <col min="6614" max="6614" width="10.7109375" customWidth="1"/>
    <col min="6858" max="6858" width="6.85546875" customWidth="1"/>
    <col min="6859" max="6859" width="35" customWidth="1"/>
    <col min="6860" max="6860" width="8" customWidth="1"/>
    <col min="6861" max="6861" width="31.85546875" customWidth="1"/>
    <col min="6862" max="6862" width="12" customWidth="1"/>
    <col min="6863" max="6863" width="11.5703125" customWidth="1"/>
    <col min="6864" max="6864" width="12" customWidth="1"/>
    <col min="6865" max="6865" width="11.140625" customWidth="1"/>
    <col min="6866" max="6867" width="10" customWidth="1"/>
    <col min="6870" max="6870" width="10.7109375" customWidth="1"/>
    <col min="7114" max="7114" width="6.85546875" customWidth="1"/>
    <col min="7115" max="7115" width="35" customWidth="1"/>
    <col min="7116" max="7116" width="8" customWidth="1"/>
    <col min="7117" max="7117" width="31.85546875" customWidth="1"/>
    <col min="7118" max="7118" width="12" customWidth="1"/>
    <col min="7119" max="7119" width="11.5703125" customWidth="1"/>
    <col min="7120" max="7120" width="12" customWidth="1"/>
    <col min="7121" max="7121" width="11.140625" customWidth="1"/>
    <col min="7122" max="7123" width="10" customWidth="1"/>
    <col min="7126" max="7126" width="10.7109375" customWidth="1"/>
    <col min="7370" max="7370" width="6.85546875" customWidth="1"/>
    <col min="7371" max="7371" width="35" customWidth="1"/>
    <col min="7372" max="7372" width="8" customWidth="1"/>
    <col min="7373" max="7373" width="31.85546875" customWidth="1"/>
    <col min="7374" max="7374" width="12" customWidth="1"/>
    <col min="7375" max="7375" width="11.5703125" customWidth="1"/>
    <col min="7376" max="7376" width="12" customWidth="1"/>
    <col min="7377" max="7377" width="11.140625" customWidth="1"/>
    <col min="7378" max="7379" width="10" customWidth="1"/>
    <col min="7382" max="7382" width="10.7109375" customWidth="1"/>
    <col min="7626" max="7626" width="6.85546875" customWidth="1"/>
    <col min="7627" max="7627" width="35" customWidth="1"/>
    <col min="7628" max="7628" width="8" customWidth="1"/>
    <col min="7629" max="7629" width="31.85546875" customWidth="1"/>
    <col min="7630" max="7630" width="12" customWidth="1"/>
    <col min="7631" max="7631" width="11.5703125" customWidth="1"/>
    <col min="7632" max="7632" width="12" customWidth="1"/>
    <col min="7633" max="7633" width="11.140625" customWidth="1"/>
    <col min="7634" max="7635" width="10" customWidth="1"/>
    <col min="7638" max="7638" width="10.7109375" customWidth="1"/>
    <col min="7882" max="7882" width="6.85546875" customWidth="1"/>
    <col min="7883" max="7883" width="35" customWidth="1"/>
    <col min="7884" max="7884" width="8" customWidth="1"/>
    <col min="7885" max="7885" width="31.85546875" customWidth="1"/>
    <col min="7886" max="7886" width="12" customWidth="1"/>
    <col min="7887" max="7887" width="11.5703125" customWidth="1"/>
    <col min="7888" max="7888" width="12" customWidth="1"/>
    <col min="7889" max="7889" width="11.140625" customWidth="1"/>
    <col min="7890" max="7891" width="10" customWidth="1"/>
    <col min="7894" max="7894" width="10.7109375" customWidth="1"/>
    <col min="8138" max="8138" width="6.85546875" customWidth="1"/>
    <col min="8139" max="8139" width="35" customWidth="1"/>
    <col min="8140" max="8140" width="8" customWidth="1"/>
    <col min="8141" max="8141" width="31.85546875" customWidth="1"/>
    <col min="8142" max="8142" width="12" customWidth="1"/>
    <col min="8143" max="8143" width="11.5703125" customWidth="1"/>
    <col min="8144" max="8144" width="12" customWidth="1"/>
    <col min="8145" max="8145" width="11.140625" customWidth="1"/>
    <col min="8146" max="8147" width="10" customWidth="1"/>
    <col min="8150" max="8150" width="10.7109375" customWidth="1"/>
    <col min="8394" max="8394" width="6.85546875" customWidth="1"/>
    <col min="8395" max="8395" width="35" customWidth="1"/>
    <col min="8396" max="8396" width="8" customWidth="1"/>
    <col min="8397" max="8397" width="31.85546875" customWidth="1"/>
    <col min="8398" max="8398" width="12" customWidth="1"/>
    <col min="8399" max="8399" width="11.5703125" customWidth="1"/>
    <col min="8400" max="8400" width="12" customWidth="1"/>
    <col min="8401" max="8401" width="11.140625" customWidth="1"/>
    <col min="8402" max="8403" width="10" customWidth="1"/>
    <col min="8406" max="8406" width="10.7109375" customWidth="1"/>
    <col min="8650" max="8650" width="6.85546875" customWidth="1"/>
    <col min="8651" max="8651" width="35" customWidth="1"/>
    <col min="8652" max="8652" width="8" customWidth="1"/>
    <col min="8653" max="8653" width="31.85546875" customWidth="1"/>
    <col min="8654" max="8654" width="12" customWidth="1"/>
    <col min="8655" max="8655" width="11.5703125" customWidth="1"/>
    <col min="8656" max="8656" width="12" customWidth="1"/>
    <col min="8657" max="8657" width="11.140625" customWidth="1"/>
    <col min="8658" max="8659" width="10" customWidth="1"/>
    <col min="8662" max="8662" width="10.7109375" customWidth="1"/>
    <col min="8906" max="8906" width="6.85546875" customWidth="1"/>
    <col min="8907" max="8907" width="35" customWidth="1"/>
    <col min="8908" max="8908" width="8" customWidth="1"/>
    <col min="8909" max="8909" width="31.85546875" customWidth="1"/>
    <col min="8910" max="8910" width="12" customWidth="1"/>
    <col min="8911" max="8911" width="11.5703125" customWidth="1"/>
    <col min="8912" max="8912" width="12" customWidth="1"/>
    <col min="8913" max="8913" width="11.140625" customWidth="1"/>
    <col min="8914" max="8915" width="10" customWidth="1"/>
    <col min="8918" max="8918" width="10.7109375" customWidth="1"/>
    <col min="9162" max="9162" width="6.85546875" customWidth="1"/>
    <col min="9163" max="9163" width="35" customWidth="1"/>
    <col min="9164" max="9164" width="8" customWidth="1"/>
    <col min="9165" max="9165" width="31.85546875" customWidth="1"/>
    <col min="9166" max="9166" width="12" customWidth="1"/>
    <col min="9167" max="9167" width="11.5703125" customWidth="1"/>
    <col min="9168" max="9168" width="12" customWidth="1"/>
    <col min="9169" max="9169" width="11.140625" customWidth="1"/>
    <col min="9170" max="9171" width="10" customWidth="1"/>
    <col min="9174" max="9174" width="10.7109375" customWidth="1"/>
    <col min="9418" max="9418" width="6.85546875" customWidth="1"/>
    <col min="9419" max="9419" width="35" customWidth="1"/>
    <col min="9420" max="9420" width="8" customWidth="1"/>
    <col min="9421" max="9421" width="31.85546875" customWidth="1"/>
    <col min="9422" max="9422" width="12" customWidth="1"/>
    <col min="9423" max="9423" width="11.5703125" customWidth="1"/>
    <col min="9424" max="9424" width="12" customWidth="1"/>
    <col min="9425" max="9425" width="11.140625" customWidth="1"/>
    <col min="9426" max="9427" width="10" customWidth="1"/>
    <col min="9430" max="9430" width="10.7109375" customWidth="1"/>
    <col min="9674" max="9674" width="6.85546875" customWidth="1"/>
    <col min="9675" max="9675" width="35" customWidth="1"/>
    <col min="9676" max="9676" width="8" customWidth="1"/>
    <col min="9677" max="9677" width="31.85546875" customWidth="1"/>
    <col min="9678" max="9678" width="12" customWidth="1"/>
    <col min="9679" max="9679" width="11.5703125" customWidth="1"/>
    <col min="9680" max="9680" width="12" customWidth="1"/>
    <col min="9681" max="9681" width="11.140625" customWidth="1"/>
    <col min="9682" max="9683" width="10" customWidth="1"/>
    <col min="9686" max="9686" width="10.7109375" customWidth="1"/>
    <col min="9930" max="9930" width="6.85546875" customWidth="1"/>
    <col min="9931" max="9931" width="35" customWidth="1"/>
    <col min="9932" max="9932" width="8" customWidth="1"/>
    <col min="9933" max="9933" width="31.85546875" customWidth="1"/>
    <col min="9934" max="9934" width="12" customWidth="1"/>
    <col min="9935" max="9935" width="11.5703125" customWidth="1"/>
    <col min="9936" max="9936" width="12" customWidth="1"/>
    <col min="9937" max="9937" width="11.140625" customWidth="1"/>
    <col min="9938" max="9939" width="10" customWidth="1"/>
    <col min="9942" max="9942" width="10.7109375" customWidth="1"/>
    <col min="10186" max="10186" width="6.85546875" customWidth="1"/>
    <col min="10187" max="10187" width="35" customWidth="1"/>
    <col min="10188" max="10188" width="8" customWidth="1"/>
    <col min="10189" max="10189" width="31.85546875" customWidth="1"/>
    <col min="10190" max="10190" width="12" customWidth="1"/>
    <col min="10191" max="10191" width="11.5703125" customWidth="1"/>
    <col min="10192" max="10192" width="12" customWidth="1"/>
    <col min="10193" max="10193" width="11.140625" customWidth="1"/>
    <col min="10194" max="10195" width="10" customWidth="1"/>
    <col min="10198" max="10198" width="10.7109375" customWidth="1"/>
    <col min="10442" max="10442" width="6.85546875" customWidth="1"/>
    <col min="10443" max="10443" width="35" customWidth="1"/>
    <col min="10444" max="10444" width="8" customWidth="1"/>
    <col min="10445" max="10445" width="31.85546875" customWidth="1"/>
    <col min="10446" max="10446" width="12" customWidth="1"/>
    <col min="10447" max="10447" width="11.5703125" customWidth="1"/>
    <col min="10448" max="10448" width="12" customWidth="1"/>
    <col min="10449" max="10449" width="11.140625" customWidth="1"/>
    <col min="10450" max="10451" width="10" customWidth="1"/>
    <col min="10454" max="10454" width="10.7109375" customWidth="1"/>
    <col min="10698" max="10698" width="6.85546875" customWidth="1"/>
    <col min="10699" max="10699" width="35" customWidth="1"/>
    <col min="10700" max="10700" width="8" customWidth="1"/>
    <col min="10701" max="10701" width="31.85546875" customWidth="1"/>
    <col min="10702" max="10702" width="12" customWidth="1"/>
    <col min="10703" max="10703" width="11.5703125" customWidth="1"/>
    <col min="10704" max="10704" width="12" customWidth="1"/>
    <col min="10705" max="10705" width="11.140625" customWidth="1"/>
    <col min="10706" max="10707" width="10" customWidth="1"/>
    <col min="10710" max="10710" width="10.7109375" customWidth="1"/>
    <col min="10954" max="10954" width="6.85546875" customWidth="1"/>
    <col min="10955" max="10955" width="35" customWidth="1"/>
    <col min="10956" max="10956" width="8" customWidth="1"/>
    <col min="10957" max="10957" width="31.85546875" customWidth="1"/>
    <col min="10958" max="10958" width="12" customWidth="1"/>
    <col min="10959" max="10959" width="11.5703125" customWidth="1"/>
    <col min="10960" max="10960" width="12" customWidth="1"/>
    <col min="10961" max="10961" width="11.140625" customWidth="1"/>
    <col min="10962" max="10963" width="10" customWidth="1"/>
    <col min="10966" max="10966" width="10.7109375" customWidth="1"/>
    <col min="11210" max="11210" width="6.85546875" customWidth="1"/>
    <col min="11211" max="11211" width="35" customWidth="1"/>
    <col min="11212" max="11212" width="8" customWidth="1"/>
    <col min="11213" max="11213" width="31.85546875" customWidth="1"/>
    <col min="11214" max="11214" width="12" customWidth="1"/>
    <col min="11215" max="11215" width="11.5703125" customWidth="1"/>
    <col min="11216" max="11216" width="12" customWidth="1"/>
    <col min="11217" max="11217" width="11.140625" customWidth="1"/>
    <col min="11218" max="11219" width="10" customWidth="1"/>
    <col min="11222" max="11222" width="10.7109375" customWidth="1"/>
    <col min="11466" max="11466" width="6.85546875" customWidth="1"/>
    <col min="11467" max="11467" width="35" customWidth="1"/>
    <col min="11468" max="11468" width="8" customWidth="1"/>
    <col min="11469" max="11469" width="31.85546875" customWidth="1"/>
    <col min="11470" max="11470" width="12" customWidth="1"/>
    <col min="11471" max="11471" width="11.5703125" customWidth="1"/>
    <col min="11472" max="11472" width="12" customWidth="1"/>
    <col min="11473" max="11473" width="11.140625" customWidth="1"/>
    <col min="11474" max="11475" width="10" customWidth="1"/>
    <col min="11478" max="11478" width="10.7109375" customWidth="1"/>
    <col min="11722" max="11722" width="6.85546875" customWidth="1"/>
    <col min="11723" max="11723" width="35" customWidth="1"/>
    <col min="11724" max="11724" width="8" customWidth="1"/>
    <col min="11725" max="11725" width="31.85546875" customWidth="1"/>
    <col min="11726" max="11726" width="12" customWidth="1"/>
    <col min="11727" max="11727" width="11.5703125" customWidth="1"/>
    <col min="11728" max="11728" width="12" customWidth="1"/>
    <col min="11729" max="11729" width="11.140625" customWidth="1"/>
    <col min="11730" max="11731" width="10" customWidth="1"/>
    <col min="11734" max="11734" width="10.7109375" customWidth="1"/>
    <col min="11978" max="11978" width="6.85546875" customWidth="1"/>
    <col min="11979" max="11979" width="35" customWidth="1"/>
    <col min="11980" max="11980" width="8" customWidth="1"/>
    <col min="11981" max="11981" width="31.85546875" customWidth="1"/>
    <col min="11982" max="11982" width="12" customWidth="1"/>
    <col min="11983" max="11983" width="11.5703125" customWidth="1"/>
    <col min="11984" max="11984" width="12" customWidth="1"/>
    <col min="11985" max="11985" width="11.140625" customWidth="1"/>
    <col min="11986" max="11987" width="10" customWidth="1"/>
    <col min="11990" max="11990" width="10.7109375" customWidth="1"/>
    <col min="12234" max="12234" width="6.85546875" customWidth="1"/>
    <col min="12235" max="12235" width="35" customWidth="1"/>
    <col min="12236" max="12236" width="8" customWidth="1"/>
    <col min="12237" max="12237" width="31.85546875" customWidth="1"/>
    <col min="12238" max="12238" width="12" customWidth="1"/>
    <col min="12239" max="12239" width="11.5703125" customWidth="1"/>
    <col min="12240" max="12240" width="12" customWidth="1"/>
    <col min="12241" max="12241" width="11.140625" customWidth="1"/>
    <col min="12242" max="12243" width="10" customWidth="1"/>
    <col min="12246" max="12246" width="10.7109375" customWidth="1"/>
    <col min="12490" max="12490" width="6.85546875" customWidth="1"/>
    <col min="12491" max="12491" width="35" customWidth="1"/>
    <col min="12492" max="12492" width="8" customWidth="1"/>
    <col min="12493" max="12493" width="31.85546875" customWidth="1"/>
    <col min="12494" max="12494" width="12" customWidth="1"/>
    <col min="12495" max="12495" width="11.5703125" customWidth="1"/>
    <col min="12496" max="12496" width="12" customWidth="1"/>
    <col min="12497" max="12497" width="11.140625" customWidth="1"/>
    <col min="12498" max="12499" width="10" customWidth="1"/>
    <col min="12502" max="12502" width="10.7109375" customWidth="1"/>
    <col min="12746" max="12746" width="6.85546875" customWidth="1"/>
    <col min="12747" max="12747" width="35" customWidth="1"/>
    <col min="12748" max="12748" width="8" customWidth="1"/>
    <col min="12749" max="12749" width="31.85546875" customWidth="1"/>
    <col min="12750" max="12750" width="12" customWidth="1"/>
    <col min="12751" max="12751" width="11.5703125" customWidth="1"/>
    <col min="12752" max="12752" width="12" customWidth="1"/>
    <col min="12753" max="12753" width="11.140625" customWidth="1"/>
    <col min="12754" max="12755" width="10" customWidth="1"/>
    <col min="12758" max="12758" width="10.7109375" customWidth="1"/>
    <col min="13002" max="13002" width="6.85546875" customWidth="1"/>
    <col min="13003" max="13003" width="35" customWidth="1"/>
    <col min="13004" max="13004" width="8" customWidth="1"/>
    <col min="13005" max="13005" width="31.85546875" customWidth="1"/>
    <col min="13006" max="13006" width="12" customWidth="1"/>
    <col min="13007" max="13007" width="11.5703125" customWidth="1"/>
    <col min="13008" max="13008" width="12" customWidth="1"/>
    <col min="13009" max="13009" width="11.140625" customWidth="1"/>
    <col min="13010" max="13011" width="10" customWidth="1"/>
    <col min="13014" max="13014" width="10.7109375" customWidth="1"/>
    <col min="13258" max="13258" width="6.85546875" customWidth="1"/>
    <col min="13259" max="13259" width="35" customWidth="1"/>
    <col min="13260" max="13260" width="8" customWidth="1"/>
    <col min="13261" max="13261" width="31.85546875" customWidth="1"/>
    <col min="13262" max="13262" width="12" customWidth="1"/>
    <col min="13263" max="13263" width="11.5703125" customWidth="1"/>
    <col min="13264" max="13264" width="12" customWidth="1"/>
    <col min="13265" max="13265" width="11.140625" customWidth="1"/>
    <col min="13266" max="13267" width="10" customWidth="1"/>
    <col min="13270" max="13270" width="10.7109375" customWidth="1"/>
    <col min="13514" max="13514" width="6.85546875" customWidth="1"/>
    <col min="13515" max="13515" width="35" customWidth="1"/>
    <col min="13516" max="13516" width="8" customWidth="1"/>
    <col min="13517" max="13517" width="31.85546875" customWidth="1"/>
    <col min="13518" max="13518" width="12" customWidth="1"/>
    <col min="13519" max="13519" width="11.5703125" customWidth="1"/>
    <col min="13520" max="13520" width="12" customWidth="1"/>
    <col min="13521" max="13521" width="11.140625" customWidth="1"/>
    <col min="13522" max="13523" width="10" customWidth="1"/>
    <col min="13526" max="13526" width="10.7109375" customWidth="1"/>
    <col min="13770" max="13770" width="6.85546875" customWidth="1"/>
    <col min="13771" max="13771" width="35" customWidth="1"/>
    <col min="13772" max="13772" width="8" customWidth="1"/>
    <col min="13773" max="13773" width="31.85546875" customWidth="1"/>
    <col min="13774" max="13774" width="12" customWidth="1"/>
    <col min="13775" max="13775" width="11.5703125" customWidth="1"/>
    <col min="13776" max="13776" width="12" customWidth="1"/>
    <col min="13777" max="13777" width="11.140625" customWidth="1"/>
    <col min="13778" max="13779" width="10" customWidth="1"/>
    <col min="13782" max="13782" width="10.7109375" customWidth="1"/>
    <col min="14026" max="14026" width="6.85546875" customWidth="1"/>
    <col min="14027" max="14027" width="35" customWidth="1"/>
    <col min="14028" max="14028" width="8" customWidth="1"/>
    <col min="14029" max="14029" width="31.85546875" customWidth="1"/>
    <col min="14030" max="14030" width="12" customWidth="1"/>
    <col min="14031" max="14031" width="11.5703125" customWidth="1"/>
    <col min="14032" max="14032" width="12" customWidth="1"/>
    <col min="14033" max="14033" width="11.140625" customWidth="1"/>
    <col min="14034" max="14035" width="10" customWidth="1"/>
    <col min="14038" max="14038" width="10.7109375" customWidth="1"/>
    <col min="14282" max="14282" width="6.85546875" customWidth="1"/>
    <col min="14283" max="14283" width="35" customWidth="1"/>
    <col min="14284" max="14284" width="8" customWidth="1"/>
    <col min="14285" max="14285" width="31.85546875" customWidth="1"/>
    <col min="14286" max="14286" width="12" customWidth="1"/>
    <col min="14287" max="14287" width="11.5703125" customWidth="1"/>
    <col min="14288" max="14288" width="12" customWidth="1"/>
    <col min="14289" max="14289" width="11.140625" customWidth="1"/>
    <col min="14290" max="14291" width="10" customWidth="1"/>
    <col min="14294" max="14294" width="10.7109375" customWidth="1"/>
    <col min="14538" max="14538" width="6.85546875" customWidth="1"/>
    <col min="14539" max="14539" width="35" customWidth="1"/>
    <col min="14540" max="14540" width="8" customWidth="1"/>
    <col min="14541" max="14541" width="31.85546875" customWidth="1"/>
    <col min="14542" max="14542" width="12" customWidth="1"/>
    <col min="14543" max="14543" width="11.5703125" customWidth="1"/>
    <col min="14544" max="14544" width="12" customWidth="1"/>
    <col min="14545" max="14545" width="11.140625" customWidth="1"/>
    <col min="14546" max="14547" width="10" customWidth="1"/>
    <col min="14550" max="14550" width="10.7109375" customWidth="1"/>
    <col min="14794" max="14794" width="6.85546875" customWidth="1"/>
    <col min="14795" max="14795" width="35" customWidth="1"/>
    <col min="14796" max="14796" width="8" customWidth="1"/>
    <col min="14797" max="14797" width="31.85546875" customWidth="1"/>
    <col min="14798" max="14798" width="12" customWidth="1"/>
    <col min="14799" max="14799" width="11.5703125" customWidth="1"/>
    <col min="14800" max="14800" width="12" customWidth="1"/>
    <col min="14801" max="14801" width="11.140625" customWidth="1"/>
    <col min="14802" max="14803" width="10" customWidth="1"/>
    <col min="14806" max="14806" width="10.7109375" customWidth="1"/>
    <col min="15050" max="15050" width="6.85546875" customWidth="1"/>
    <col min="15051" max="15051" width="35" customWidth="1"/>
    <col min="15052" max="15052" width="8" customWidth="1"/>
    <col min="15053" max="15053" width="31.85546875" customWidth="1"/>
    <col min="15054" max="15054" width="12" customWidth="1"/>
    <col min="15055" max="15055" width="11.5703125" customWidth="1"/>
    <col min="15056" max="15056" width="12" customWidth="1"/>
    <col min="15057" max="15057" width="11.140625" customWidth="1"/>
    <col min="15058" max="15059" width="10" customWidth="1"/>
    <col min="15062" max="15062" width="10.7109375" customWidth="1"/>
    <col min="15306" max="15306" width="6.85546875" customWidth="1"/>
    <col min="15307" max="15307" width="35" customWidth="1"/>
    <col min="15308" max="15308" width="8" customWidth="1"/>
    <col min="15309" max="15309" width="31.85546875" customWidth="1"/>
    <col min="15310" max="15310" width="12" customWidth="1"/>
    <col min="15311" max="15311" width="11.5703125" customWidth="1"/>
    <col min="15312" max="15312" width="12" customWidth="1"/>
    <col min="15313" max="15313" width="11.140625" customWidth="1"/>
    <col min="15314" max="15315" width="10" customWidth="1"/>
    <col min="15318" max="15318" width="10.7109375" customWidth="1"/>
    <col min="15562" max="15562" width="6.85546875" customWidth="1"/>
    <col min="15563" max="15563" width="35" customWidth="1"/>
    <col min="15564" max="15564" width="8" customWidth="1"/>
    <col min="15565" max="15565" width="31.85546875" customWidth="1"/>
    <col min="15566" max="15566" width="12" customWidth="1"/>
    <col min="15567" max="15567" width="11.5703125" customWidth="1"/>
    <col min="15568" max="15568" width="12" customWidth="1"/>
    <col min="15569" max="15569" width="11.140625" customWidth="1"/>
    <col min="15570" max="15571" width="10" customWidth="1"/>
    <col min="15574" max="15574" width="10.7109375" customWidth="1"/>
    <col min="15818" max="15818" width="6.85546875" customWidth="1"/>
    <col min="15819" max="15819" width="35" customWidth="1"/>
    <col min="15820" max="15820" width="8" customWidth="1"/>
    <col min="15821" max="15821" width="31.85546875" customWidth="1"/>
    <col min="15822" max="15822" width="12" customWidth="1"/>
    <col min="15823" max="15823" width="11.5703125" customWidth="1"/>
    <col min="15824" max="15824" width="12" customWidth="1"/>
    <col min="15825" max="15825" width="11.140625" customWidth="1"/>
    <col min="15826" max="15827" width="10" customWidth="1"/>
    <col min="15830" max="15830" width="10.7109375" customWidth="1"/>
    <col min="16074" max="16074" width="6.85546875" customWidth="1"/>
    <col min="16075" max="16075" width="35" customWidth="1"/>
    <col min="16076" max="16076" width="8" customWidth="1"/>
    <col min="16077" max="16077" width="31.85546875" customWidth="1"/>
    <col min="16078" max="16078" width="12" customWidth="1"/>
    <col min="16079" max="16079" width="11.5703125" customWidth="1"/>
    <col min="16080" max="16080" width="12" customWidth="1"/>
    <col min="16081" max="16081" width="11.140625" customWidth="1"/>
    <col min="16082" max="16083" width="10" customWidth="1"/>
    <col min="16086" max="16086" width="10.7109375" customWidth="1"/>
  </cols>
  <sheetData>
    <row r="1" spans="1:84" ht="15" x14ac:dyDescent="0.25">
      <c r="A1" s="50" t="s">
        <v>2</v>
      </c>
      <c r="B1" s="50"/>
      <c r="C1" s="42"/>
      <c r="D1" s="50"/>
      <c r="E1" s="50"/>
      <c r="F1" s="90"/>
      <c r="G1" s="89"/>
      <c r="H1" s="90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5" customHeight="1" x14ac:dyDescent="0.25">
      <c r="A2" s="50" t="s">
        <v>3</v>
      </c>
      <c r="B2" s="50"/>
      <c r="C2" s="42"/>
      <c r="D2" s="50"/>
      <c r="E2" s="50"/>
      <c r="F2" s="90"/>
      <c r="G2" s="89"/>
      <c r="H2" s="90"/>
    </row>
    <row r="3" spans="1:84" ht="12.75" customHeight="1" x14ac:dyDescent="0.25">
      <c r="A3" s="965" t="s">
        <v>4</v>
      </c>
      <c r="B3" s="965"/>
      <c r="C3" s="965"/>
      <c r="D3" s="965"/>
      <c r="E3" s="965"/>
      <c r="F3" s="90"/>
      <c r="G3" s="89"/>
      <c r="H3" s="90"/>
      <c r="AX3" s="524"/>
      <c r="AY3" s="524"/>
    </row>
    <row r="4" spans="1:84" ht="15" x14ac:dyDescent="0.25">
      <c r="A4" s="89"/>
      <c r="B4" s="50"/>
      <c r="C4" s="50"/>
      <c r="D4" s="50"/>
      <c r="E4" s="50"/>
      <c r="F4" s="90"/>
      <c r="G4" s="89"/>
      <c r="H4" s="90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52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90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89"/>
      <c r="B7" s="6"/>
      <c r="D7" s="10"/>
      <c r="E7" s="6"/>
      <c r="F7" s="90"/>
      <c r="G7" s="89"/>
      <c r="H7" s="90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117"/>
      <c r="B8" s="91"/>
      <c r="C8" s="91"/>
      <c r="D8" s="91"/>
      <c r="E8" s="91"/>
      <c r="F8" s="91"/>
      <c r="G8" s="91"/>
      <c r="H8" s="91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25">
      <c r="A9" s="12" t="s">
        <v>772</v>
      </c>
      <c r="D9" s="12"/>
      <c r="F9" s="59"/>
      <c r="G9" s="60"/>
      <c r="H9" s="60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217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218" t="s">
        <v>532</v>
      </c>
      <c r="H11" s="249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821" t="s">
        <v>889</v>
      </c>
      <c r="CB11" s="758" t="s">
        <v>882</v>
      </c>
      <c r="CC11" s="758" t="s">
        <v>883</v>
      </c>
      <c r="CD11" s="758" t="s">
        <v>890</v>
      </c>
      <c r="CE11" s="758" t="s">
        <v>891</v>
      </c>
      <c r="CF11" s="828" t="s">
        <v>884</v>
      </c>
    </row>
    <row r="12" spans="1:84" s="222" customFormat="1" ht="14.1" customHeight="1" x14ac:dyDescent="0.2">
      <c r="A12" s="219">
        <v>1</v>
      </c>
      <c r="B12" s="220">
        <v>3454</v>
      </c>
      <c r="C12" s="220">
        <v>600029085</v>
      </c>
      <c r="D12" s="220">
        <v>75122294</v>
      </c>
      <c r="E12" s="221" t="s">
        <v>8</v>
      </c>
      <c r="F12" s="220">
        <v>3233</v>
      </c>
      <c r="G12" s="221" t="s">
        <v>298</v>
      </c>
      <c r="H12" s="613" t="s">
        <v>272</v>
      </c>
      <c r="I12" s="598">
        <f>J12+P12+Q12+R12</f>
        <v>5472326</v>
      </c>
      <c r="J12" s="599">
        <f>K12+L12</f>
        <v>4053343</v>
      </c>
      <c r="K12" s="599">
        <v>3170701</v>
      </c>
      <c r="L12" s="599">
        <v>882642</v>
      </c>
      <c r="M12" s="599">
        <f>N12+O12</f>
        <v>0</v>
      </c>
      <c r="N12" s="599"/>
      <c r="O12" s="599"/>
      <c r="P12" s="700">
        <f>ROUND(J12*33.8%,0)</f>
        <v>1370030</v>
      </c>
      <c r="Q12" s="700">
        <f>ROUND(J12*1%,0)</f>
        <v>40533</v>
      </c>
      <c r="R12" s="599">
        <v>8420</v>
      </c>
      <c r="S12" s="569">
        <f>T12+U12</f>
        <v>8.58</v>
      </c>
      <c r="T12" s="573">
        <v>5.74</v>
      </c>
      <c r="U12" s="600">
        <v>2.84</v>
      </c>
      <c r="V12" s="412">
        <f>AI12*-1</f>
        <v>0</v>
      </c>
      <c r="W12" s="413">
        <f>AJ12*-1</f>
        <v>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0</v>
      </c>
      <c r="AG12" s="413">
        <f>W12+Z12+AC12+AE12</f>
        <v>0</v>
      </c>
      <c r="AH12" s="413">
        <f>SUM(AF12:AG12)</f>
        <v>0</v>
      </c>
      <c r="AI12" s="413">
        <v>0</v>
      </c>
      <c r="AJ12" s="413">
        <v>0</v>
      </c>
      <c r="AK12" s="413">
        <v>0</v>
      </c>
      <c r="AL12" s="413">
        <v>0</v>
      </c>
      <c r="AM12" s="413">
        <v>0</v>
      </c>
      <c r="AN12" s="413">
        <v>0</v>
      </c>
      <c r="AO12" s="413">
        <f>AI12+AK12+AL12+AM12</f>
        <v>0</v>
      </c>
      <c r="AP12" s="413">
        <f>AJ12+AN12</f>
        <v>0</v>
      </c>
      <c r="AQ12" s="413">
        <f>SUM(AO12:AP12)</f>
        <v>0</v>
      </c>
      <c r="AR12" s="413">
        <f>AF12+AO12</f>
        <v>0</v>
      </c>
      <c r="AS12" s="413">
        <f>AG12+AP12</f>
        <v>0</v>
      </c>
      <c r="AT12" s="413">
        <f>SUM(AR12:AS12)</f>
        <v>0</v>
      </c>
      <c r="AU12" s="144">
        <f>ROUND((AH12+AI12+AJ12+AK12+AL12)*33.8%,0)</f>
        <v>0</v>
      </c>
      <c r="AV12" s="144">
        <f>ROUND(AH12*1%,0)</f>
        <v>0</v>
      </c>
      <c r="AW12" s="413">
        <v>0</v>
      </c>
      <c r="AX12" s="413">
        <v>0</v>
      </c>
      <c r="AY12" s="413">
        <f>AW12+AX12</f>
        <v>0</v>
      </c>
      <c r="AZ12" s="413">
        <f>AT12+AU12+AV12+AY12</f>
        <v>0</v>
      </c>
      <c r="BA12" s="414">
        <v>0</v>
      </c>
      <c r="BB12" s="414">
        <v>0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0</v>
      </c>
      <c r="BL12" s="414">
        <f>BB12+BE12+BG12+BJ12</f>
        <v>0</v>
      </c>
      <c r="BM12" s="610">
        <f>SUM(BK12:BL12)</f>
        <v>0</v>
      </c>
      <c r="BN12" s="415">
        <f>I12+AZ12</f>
        <v>5472326</v>
      </c>
      <c r="BO12" s="413">
        <f>J12+AH12</f>
        <v>4053343</v>
      </c>
      <c r="BP12" s="413">
        <f>K12+AF12</f>
        <v>3170701</v>
      </c>
      <c r="BQ12" s="413">
        <f>L12+AG12</f>
        <v>882642</v>
      </c>
      <c r="BR12" s="413">
        <f>M12+AQ12</f>
        <v>0</v>
      </c>
      <c r="BS12" s="413">
        <f>N12+AO12</f>
        <v>0</v>
      </c>
      <c r="BT12" s="413">
        <f>O12+AP12</f>
        <v>0</v>
      </c>
      <c r="BU12" s="413">
        <f>P12+AU12</f>
        <v>1370030</v>
      </c>
      <c r="BV12" s="413">
        <f>Q12+AV12</f>
        <v>40533</v>
      </c>
      <c r="BW12" s="413">
        <f>R12+AY12</f>
        <v>8420</v>
      </c>
      <c r="BX12" s="414">
        <f>S12+BM12</f>
        <v>8.58</v>
      </c>
      <c r="BY12" s="414">
        <f>T12+BK12</f>
        <v>5.74</v>
      </c>
      <c r="BZ12" s="610">
        <f>U12+BL12</f>
        <v>2.84</v>
      </c>
      <c r="CA12" s="408"/>
      <c r="CB12" s="409"/>
      <c r="CC12" s="409"/>
      <c r="CD12" s="409"/>
      <c r="CE12" s="409"/>
      <c r="CF12" s="509"/>
    </row>
    <row r="13" spans="1:84" s="222" customFormat="1" ht="12.75" customHeight="1" x14ac:dyDescent="0.2">
      <c r="A13" s="153">
        <v>1</v>
      </c>
      <c r="B13" s="14">
        <v>3454</v>
      </c>
      <c r="C13" s="152">
        <v>600029085</v>
      </c>
      <c r="D13" s="152">
        <v>75122294</v>
      </c>
      <c r="E13" s="223" t="s">
        <v>9</v>
      </c>
      <c r="F13" s="14"/>
      <c r="G13" s="223"/>
      <c r="H13" s="592"/>
      <c r="I13" s="633">
        <f t="shared" ref="I13:BU13" si="0">SUM(I12)</f>
        <v>5472326</v>
      </c>
      <c r="J13" s="634">
        <f t="shared" si="0"/>
        <v>4053343</v>
      </c>
      <c r="K13" s="521">
        <f t="shared" si="0"/>
        <v>3170701</v>
      </c>
      <c r="L13" s="521">
        <f t="shared" si="0"/>
        <v>882642</v>
      </c>
      <c r="M13" s="634">
        <f t="shared" si="0"/>
        <v>0</v>
      </c>
      <c r="N13" s="634">
        <f t="shared" si="0"/>
        <v>0</v>
      </c>
      <c r="O13" s="634">
        <f t="shared" si="0"/>
        <v>0</v>
      </c>
      <c r="P13" s="680">
        <f t="shared" si="0"/>
        <v>1370030</v>
      </c>
      <c r="Q13" s="680">
        <f t="shared" si="0"/>
        <v>40533</v>
      </c>
      <c r="R13" s="521">
        <f t="shared" si="0"/>
        <v>8420</v>
      </c>
      <c r="S13" s="572">
        <f t="shared" si="0"/>
        <v>8.58</v>
      </c>
      <c r="T13" s="572">
        <f t="shared" si="0"/>
        <v>5.74</v>
      </c>
      <c r="U13" s="572">
        <f t="shared" si="0"/>
        <v>2.84</v>
      </c>
      <c r="V13" s="614">
        <f t="shared" si="0"/>
        <v>0</v>
      </c>
      <c r="W13" s="521">
        <f t="shared" si="0"/>
        <v>0</v>
      </c>
      <c r="X13" s="521">
        <f t="shared" si="0"/>
        <v>0</v>
      </c>
      <c r="Y13" s="521">
        <f t="shared" si="0"/>
        <v>0</v>
      </c>
      <c r="Z13" s="521">
        <f t="shared" si="0"/>
        <v>0</v>
      </c>
      <c r="AA13" s="521">
        <f t="shared" si="0"/>
        <v>0</v>
      </c>
      <c r="AB13" s="521">
        <f t="shared" si="0"/>
        <v>0</v>
      </c>
      <c r="AC13" s="521">
        <f t="shared" si="0"/>
        <v>0</v>
      </c>
      <c r="AD13" s="521">
        <f t="shared" si="0"/>
        <v>0</v>
      </c>
      <c r="AE13" s="521">
        <f t="shared" si="0"/>
        <v>0</v>
      </c>
      <c r="AF13" s="521">
        <f t="shared" si="0"/>
        <v>0</v>
      </c>
      <c r="AG13" s="521">
        <f t="shared" si="0"/>
        <v>0</v>
      </c>
      <c r="AH13" s="521">
        <f t="shared" si="0"/>
        <v>0</v>
      </c>
      <c r="AI13" s="521">
        <f t="shared" si="0"/>
        <v>0</v>
      </c>
      <c r="AJ13" s="521">
        <f t="shared" si="0"/>
        <v>0</v>
      </c>
      <c r="AK13" s="521">
        <f t="shared" ref="AK13" si="1">SUM(AK12)</f>
        <v>0</v>
      </c>
      <c r="AL13" s="521">
        <f t="shared" si="0"/>
        <v>0</v>
      </c>
      <c r="AM13" s="521">
        <f t="shared" si="0"/>
        <v>0</v>
      </c>
      <c r="AN13" s="521">
        <f t="shared" si="0"/>
        <v>0</v>
      </c>
      <c r="AO13" s="521">
        <f t="shared" si="0"/>
        <v>0</v>
      </c>
      <c r="AP13" s="521">
        <f t="shared" si="0"/>
        <v>0</v>
      </c>
      <c r="AQ13" s="521">
        <f t="shared" si="0"/>
        <v>0</v>
      </c>
      <c r="AR13" s="521">
        <f t="shared" si="0"/>
        <v>0</v>
      </c>
      <c r="AS13" s="521">
        <f t="shared" si="0"/>
        <v>0</v>
      </c>
      <c r="AT13" s="521">
        <f t="shared" si="0"/>
        <v>0</v>
      </c>
      <c r="AU13" s="521">
        <f t="shared" si="0"/>
        <v>0</v>
      </c>
      <c r="AV13" s="521">
        <f t="shared" si="0"/>
        <v>0</v>
      </c>
      <c r="AW13" s="521">
        <f t="shared" si="0"/>
        <v>0</v>
      </c>
      <c r="AX13" s="521">
        <f t="shared" si="0"/>
        <v>0</v>
      </c>
      <c r="AY13" s="521">
        <f t="shared" si="0"/>
        <v>0</v>
      </c>
      <c r="AZ13" s="521">
        <f t="shared" si="0"/>
        <v>0</v>
      </c>
      <c r="BA13" s="572">
        <f t="shared" si="0"/>
        <v>0</v>
      </c>
      <c r="BB13" s="572">
        <f t="shared" si="0"/>
        <v>0</v>
      </c>
      <c r="BC13" s="572">
        <f t="shared" si="0"/>
        <v>0</v>
      </c>
      <c r="BD13" s="572">
        <f t="shared" si="0"/>
        <v>0</v>
      </c>
      <c r="BE13" s="572">
        <f t="shared" si="0"/>
        <v>0</v>
      </c>
      <c r="BF13" s="572">
        <f t="shared" si="0"/>
        <v>0</v>
      </c>
      <c r="BG13" s="572">
        <f t="shared" si="0"/>
        <v>0</v>
      </c>
      <c r="BH13" s="572">
        <f t="shared" si="0"/>
        <v>0</v>
      </c>
      <c r="BI13" s="572">
        <f t="shared" si="0"/>
        <v>0</v>
      </c>
      <c r="BJ13" s="572">
        <f t="shared" si="0"/>
        <v>0</v>
      </c>
      <c r="BK13" s="572">
        <f t="shared" si="0"/>
        <v>0</v>
      </c>
      <c r="BL13" s="572">
        <f t="shared" si="0"/>
        <v>0</v>
      </c>
      <c r="BM13" s="403">
        <f t="shared" si="0"/>
        <v>0</v>
      </c>
      <c r="BN13" s="522">
        <f t="shared" si="0"/>
        <v>5472326</v>
      </c>
      <c r="BO13" s="521">
        <f t="shared" si="0"/>
        <v>4053343</v>
      </c>
      <c r="BP13" s="521">
        <f t="shared" si="0"/>
        <v>3170701</v>
      </c>
      <c r="BQ13" s="521">
        <f t="shared" si="0"/>
        <v>882642</v>
      </c>
      <c r="BR13" s="521">
        <f t="shared" si="0"/>
        <v>0</v>
      </c>
      <c r="BS13" s="521">
        <f t="shared" si="0"/>
        <v>0</v>
      </c>
      <c r="BT13" s="521">
        <f t="shared" si="0"/>
        <v>0</v>
      </c>
      <c r="BU13" s="521">
        <f t="shared" si="0"/>
        <v>1370030</v>
      </c>
      <c r="BV13" s="521">
        <f t="shared" ref="BV13:CF13" si="2">SUM(BV12)</f>
        <v>40533</v>
      </c>
      <c r="BW13" s="521">
        <f t="shared" si="2"/>
        <v>8420</v>
      </c>
      <c r="BX13" s="572">
        <f t="shared" si="2"/>
        <v>8.58</v>
      </c>
      <c r="BY13" s="572">
        <f t="shared" si="2"/>
        <v>5.74</v>
      </c>
      <c r="BZ13" s="403">
        <f t="shared" si="2"/>
        <v>2.84</v>
      </c>
      <c r="CA13" s="833">
        <f t="shared" si="2"/>
        <v>0</v>
      </c>
      <c r="CB13" s="834">
        <f t="shared" si="2"/>
        <v>0</v>
      </c>
      <c r="CC13" s="834">
        <f t="shared" si="2"/>
        <v>0</v>
      </c>
      <c r="CD13" s="834">
        <f t="shared" si="2"/>
        <v>0</v>
      </c>
      <c r="CE13" s="834">
        <f t="shared" si="2"/>
        <v>0</v>
      </c>
      <c r="CF13" s="829">
        <f t="shared" si="2"/>
        <v>0</v>
      </c>
    </row>
    <row r="14" spans="1:84" s="222" customFormat="1" ht="12.75" customHeight="1" x14ac:dyDescent="0.2">
      <c r="A14" s="224">
        <v>2</v>
      </c>
      <c r="B14" s="225">
        <v>3470</v>
      </c>
      <c r="C14" s="225">
        <v>691003572</v>
      </c>
      <c r="D14" s="225">
        <v>72550341</v>
      </c>
      <c r="E14" s="226" t="s">
        <v>10</v>
      </c>
      <c r="F14" s="225">
        <v>3111</v>
      </c>
      <c r="G14" s="226" t="s">
        <v>291</v>
      </c>
      <c r="H14" s="227" t="s">
        <v>271</v>
      </c>
      <c r="I14" s="423">
        <f>J14+P14+Q14+R14</f>
        <v>5204843</v>
      </c>
      <c r="J14" s="418">
        <f>K14+L14</f>
        <v>3848681</v>
      </c>
      <c r="K14" s="418">
        <v>3496020</v>
      </c>
      <c r="L14" s="418">
        <v>352661</v>
      </c>
      <c r="M14" s="418">
        <f>N14+O14</f>
        <v>0</v>
      </c>
      <c r="N14" s="418"/>
      <c r="O14" s="418"/>
      <c r="P14" s="68">
        <f>ROUND(J14*33.8%,0)</f>
        <v>1300854</v>
      </c>
      <c r="Q14" s="68">
        <f>ROUND(J14*1%,0)</f>
        <v>38487</v>
      </c>
      <c r="R14" s="599">
        <v>16821</v>
      </c>
      <c r="S14" s="569">
        <f>T14+U14</f>
        <v>7.2000999999999999</v>
      </c>
      <c r="T14" s="573">
        <v>6</v>
      </c>
      <c r="U14" s="600">
        <v>1.2000999999999999</v>
      </c>
      <c r="V14" s="427">
        <f t="shared" ref="V14:W16" si="3">AI14*-1</f>
        <v>0</v>
      </c>
      <c r="W14" s="421">
        <f t="shared" si="3"/>
        <v>-15360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-15360</v>
      </c>
      <c r="AH14" s="421">
        <f>SUM(AF14:AG14)</f>
        <v>-15360</v>
      </c>
      <c r="AI14" s="421">
        <v>0</v>
      </c>
      <c r="AJ14" s="421">
        <v>15360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15360</v>
      </c>
      <c r="AQ14" s="421">
        <f>SUM(AO14:AP14)</f>
        <v>15360</v>
      </c>
      <c r="AR14" s="421">
        <f t="shared" ref="AR14:AS16" si="4">AF14+AO14</f>
        <v>0</v>
      </c>
      <c r="AS14" s="421">
        <f t="shared" si="4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-154</v>
      </c>
      <c r="AW14" s="421">
        <v>0</v>
      </c>
      <c r="AX14" s="421">
        <v>0</v>
      </c>
      <c r="AY14" s="421">
        <f>AW14+AX14</f>
        <v>0</v>
      </c>
      <c r="AZ14" s="421">
        <f>AT14+AU14+AV14+AY14</f>
        <v>-154</v>
      </c>
      <c r="BA14" s="422">
        <v>0</v>
      </c>
      <c r="BB14" s="422">
        <v>-0.06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-0.06</v>
      </c>
      <c r="BM14" s="611">
        <f>SUM(BK14:BL14)</f>
        <v>-0.06</v>
      </c>
      <c r="BN14" s="428">
        <f>I14+AZ14</f>
        <v>5204689</v>
      </c>
      <c r="BO14" s="421">
        <f>J14+AH14</f>
        <v>3833321</v>
      </c>
      <c r="BP14" s="421">
        <f t="shared" ref="BP14:BQ16" si="5">K14+AF14</f>
        <v>3496020</v>
      </c>
      <c r="BQ14" s="421">
        <f t="shared" si="5"/>
        <v>337301</v>
      </c>
      <c r="BR14" s="421">
        <f>M14+AQ14</f>
        <v>15360</v>
      </c>
      <c r="BS14" s="421">
        <f t="shared" ref="BS14:BT16" si="6">N14+AO14</f>
        <v>0</v>
      </c>
      <c r="BT14" s="421">
        <f t="shared" si="6"/>
        <v>15360</v>
      </c>
      <c r="BU14" s="421">
        <f t="shared" ref="BU14:BV16" si="7">P14+AU14</f>
        <v>1300854</v>
      </c>
      <c r="BV14" s="421">
        <f t="shared" si="7"/>
        <v>38333</v>
      </c>
      <c r="BW14" s="421">
        <f>R14+AY14</f>
        <v>16821</v>
      </c>
      <c r="BX14" s="422">
        <f>S14+BM14</f>
        <v>7.1401000000000003</v>
      </c>
      <c r="BY14" s="422">
        <f t="shared" ref="BY14:BZ16" si="8">T14+BK14</f>
        <v>6</v>
      </c>
      <c r="BZ14" s="611">
        <f t="shared" si="8"/>
        <v>1.1400999999999999</v>
      </c>
      <c r="CA14" s="423"/>
      <c r="CB14" s="418"/>
      <c r="CC14" s="418"/>
      <c r="CD14" s="418"/>
      <c r="CE14" s="418"/>
      <c r="CF14" s="527"/>
    </row>
    <row r="15" spans="1:84" s="222" customFormat="1" ht="12.75" customHeight="1" x14ac:dyDescent="0.2">
      <c r="A15" s="224">
        <v>2</v>
      </c>
      <c r="B15" s="225">
        <v>3470</v>
      </c>
      <c r="C15" s="225">
        <v>691003572</v>
      </c>
      <c r="D15" s="225">
        <v>72550341</v>
      </c>
      <c r="E15" s="226" t="s">
        <v>10</v>
      </c>
      <c r="F15" s="225">
        <v>3111</v>
      </c>
      <c r="G15" s="226" t="s">
        <v>299</v>
      </c>
      <c r="H15" s="227" t="s">
        <v>272</v>
      </c>
      <c r="I15" s="423">
        <f t="shared" ref="I15:I16" si="9">J15+P15+Q15+R15</f>
        <v>0</v>
      </c>
      <c r="J15" s="418">
        <f>K15+L15</f>
        <v>0</v>
      </c>
      <c r="K15" s="418">
        <v>0</v>
      </c>
      <c r="L15" s="418">
        <v>0</v>
      </c>
      <c r="M15" s="418">
        <f>N15+O15</f>
        <v>0</v>
      </c>
      <c r="N15" s="418"/>
      <c r="O15" s="418"/>
      <c r="P15" s="68">
        <f t="shared" ref="P15:P16" si="10">ROUND(J15*33.8%,0)</f>
        <v>0</v>
      </c>
      <c r="Q15" s="68">
        <f t="shared" ref="Q15:Q16" si="11">ROUND(J15*1%,0)</f>
        <v>0</v>
      </c>
      <c r="R15" s="418">
        <v>0</v>
      </c>
      <c r="S15" s="419">
        <f>T15+U15</f>
        <v>0</v>
      </c>
      <c r="T15" s="420">
        <v>0</v>
      </c>
      <c r="U15" s="527">
        <v>0</v>
      </c>
      <c r="V15" s="427">
        <f t="shared" si="3"/>
        <v>0</v>
      </c>
      <c r="W15" s="421">
        <f t="shared" si="3"/>
        <v>0</v>
      </c>
      <c r="X15" s="421">
        <v>135961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>V15+X15+Y15+AA15+AB15+AD15</f>
        <v>135961</v>
      </c>
      <c r="AG15" s="421">
        <f>W15+Z15+AC15+AE15</f>
        <v>0</v>
      </c>
      <c r="AH15" s="421">
        <f>SUM(AF15:AG15)</f>
        <v>135961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ref="AO15:AO16" si="12">AI15+AK15+AL15+AM15</f>
        <v>0</v>
      </c>
      <c r="AP15" s="421">
        <f>AJ15+AN15</f>
        <v>0</v>
      </c>
      <c r="AQ15" s="421">
        <f>SUM(AO15:AP15)</f>
        <v>0</v>
      </c>
      <c r="AR15" s="421">
        <f t="shared" si="4"/>
        <v>135961</v>
      </c>
      <c r="AS15" s="421">
        <f t="shared" si="4"/>
        <v>0</v>
      </c>
      <c r="AT15" s="421">
        <f>SUM(AR15:AS15)</f>
        <v>135961</v>
      </c>
      <c r="AU15" s="68">
        <f t="shared" ref="AU15:AU16" si="13">ROUND((AH15+AI15+AJ15+AK15+AL15)*33.8%,0)</f>
        <v>45955</v>
      </c>
      <c r="AV15" s="68">
        <f>ROUND(AH15*1%,0)</f>
        <v>1360</v>
      </c>
      <c r="AW15" s="421">
        <v>0</v>
      </c>
      <c r="AX15" s="421">
        <v>0</v>
      </c>
      <c r="AY15" s="421">
        <f>AW15+AX15</f>
        <v>0</v>
      </c>
      <c r="AZ15" s="421">
        <f>AT15+AU15+AV15+AY15</f>
        <v>183276</v>
      </c>
      <c r="BA15" s="422">
        <v>0</v>
      </c>
      <c r="BB15" s="422">
        <v>0</v>
      </c>
      <c r="BC15" s="422">
        <v>0.5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0.5</v>
      </c>
      <c r="BL15" s="422">
        <f>BB15+BE15+BG15+BJ15</f>
        <v>0</v>
      </c>
      <c r="BM15" s="611">
        <f>SUM(BK15:BL15)</f>
        <v>0.5</v>
      </c>
      <c r="BN15" s="428">
        <f>I15+AZ15</f>
        <v>183276</v>
      </c>
      <c r="BO15" s="421">
        <f>J15+AH15</f>
        <v>135961</v>
      </c>
      <c r="BP15" s="421">
        <f t="shared" si="5"/>
        <v>135961</v>
      </c>
      <c r="BQ15" s="421">
        <f t="shared" si="5"/>
        <v>0</v>
      </c>
      <c r="BR15" s="421">
        <f>M15+AQ15</f>
        <v>0</v>
      </c>
      <c r="BS15" s="421">
        <f t="shared" si="6"/>
        <v>0</v>
      </c>
      <c r="BT15" s="421">
        <f t="shared" si="6"/>
        <v>0</v>
      </c>
      <c r="BU15" s="421">
        <f t="shared" si="7"/>
        <v>45955</v>
      </c>
      <c r="BV15" s="421">
        <f t="shared" si="7"/>
        <v>1360</v>
      </c>
      <c r="BW15" s="421">
        <f>R15+AY15</f>
        <v>0</v>
      </c>
      <c r="BX15" s="422">
        <f>S15+BM15</f>
        <v>0.5</v>
      </c>
      <c r="BY15" s="422">
        <f t="shared" si="8"/>
        <v>0.5</v>
      </c>
      <c r="BZ15" s="611">
        <f t="shared" si="8"/>
        <v>0</v>
      </c>
      <c r="CA15" s="423"/>
      <c r="CB15" s="418"/>
      <c r="CC15" s="418"/>
      <c r="CD15" s="418"/>
      <c r="CE15" s="418"/>
      <c r="CF15" s="527"/>
    </row>
    <row r="16" spans="1:84" s="222" customFormat="1" ht="12.75" customHeight="1" x14ac:dyDescent="0.2">
      <c r="A16" s="224">
        <v>2</v>
      </c>
      <c r="B16" s="225">
        <v>3470</v>
      </c>
      <c r="C16" s="225">
        <v>691003572</v>
      </c>
      <c r="D16" s="225">
        <v>72550341</v>
      </c>
      <c r="E16" s="226" t="s">
        <v>10</v>
      </c>
      <c r="F16" s="225">
        <v>3141</v>
      </c>
      <c r="G16" s="226" t="s">
        <v>295</v>
      </c>
      <c r="H16" s="227" t="s">
        <v>272</v>
      </c>
      <c r="I16" s="423">
        <f t="shared" si="9"/>
        <v>535628</v>
      </c>
      <c r="J16" s="418">
        <f>K16+L16</f>
        <v>395741</v>
      </c>
      <c r="K16" s="418">
        <v>0</v>
      </c>
      <c r="L16" s="418">
        <v>395741</v>
      </c>
      <c r="M16" s="418">
        <f>N16+O16</f>
        <v>0</v>
      </c>
      <c r="N16" s="418"/>
      <c r="O16" s="418"/>
      <c r="P16" s="68">
        <f t="shared" si="10"/>
        <v>133760</v>
      </c>
      <c r="Q16" s="68">
        <f t="shared" si="11"/>
        <v>3957</v>
      </c>
      <c r="R16" s="418">
        <v>2170</v>
      </c>
      <c r="S16" s="419">
        <f>T16+U16</f>
        <v>1.19</v>
      </c>
      <c r="T16" s="420">
        <v>0</v>
      </c>
      <c r="U16" s="527">
        <v>1.19</v>
      </c>
      <c r="V16" s="427">
        <f t="shared" si="3"/>
        <v>0</v>
      </c>
      <c r="W16" s="421">
        <f t="shared" si="3"/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0</v>
      </c>
      <c r="AG16" s="421">
        <f>W16+Z16+AC16+AE16</f>
        <v>0</v>
      </c>
      <c r="AH16" s="421">
        <f>SUM(AF16:AG16)</f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si="12"/>
        <v>0</v>
      </c>
      <c r="AP16" s="421">
        <f>AJ16+AN16</f>
        <v>0</v>
      </c>
      <c r="AQ16" s="421">
        <f>SUM(AO16:AP16)</f>
        <v>0</v>
      </c>
      <c r="AR16" s="421">
        <f t="shared" si="4"/>
        <v>0</v>
      </c>
      <c r="AS16" s="421">
        <f t="shared" si="4"/>
        <v>0</v>
      </c>
      <c r="AT16" s="421">
        <f>SUM(AR16:AS16)</f>
        <v>0</v>
      </c>
      <c r="AU16" s="68">
        <f t="shared" si="13"/>
        <v>0</v>
      </c>
      <c r="AV16" s="68">
        <f>ROUND(AH16*1%,0)</f>
        <v>0</v>
      </c>
      <c r="AW16" s="421">
        <v>0</v>
      </c>
      <c r="AX16" s="421">
        <v>0</v>
      </c>
      <c r="AY16" s="421">
        <f>AW16+AX16</f>
        <v>0</v>
      </c>
      <c r="AZ16" s="421">
        <f>AT16+AU16+AV16+AY16</f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611">
        <f>SUM(BK16:BL16)</f>
        <v>0</v>
      </c>
      <c r="BN16" s="428">
        <f>I16+AZ16</f>
        <v>535628</v>
      </c>
      <c r="BO16" s="421">
        <f>J16+AH16</f>
        <v>395741</v>
      </c>
      <c r="BP16" s="421">
        <f t="shared" si="5"/>
        <v>0</v>
      </c>
      <c r="BQ16" s="421">
        <f t="shared" si="5"/>
        <v>395741</v>
      </c>
      <c r="BR16" s="421">
        <f>M16+AQ16</f>
        <v>0</v>
      </c>
      <c r="BS16" s="421">
        <f t="shared" si="6"/>
        <v>0</v>
      </c>
      <c r="BT16" s="421">
        <f t="shared" si="6"/>
        <v>0</v>
      </c>
      <c r="BU16" s="421">
        <f t="shared" si="7"/>
        <v>133760</v>
      </c>
      <c r="BV16" s="421">
        <f t="shared" si="7"/>
        <v>3957</v>
      </c>
      <c r="BW16" s="421">
        <f>R16+AY16</f>
        <v>2170</v>
      </c>
      <c r="BX16" s="422">
        <f>S16+BM16</f>
        <v>1.19</v>
      </c>
      <c r="BY16" s="422">
        <f t="shared" si="8"/>
        <v>0</v>
      </c>
      <c r="BZ16" s="611">
        <f t="shared" si="8"/>
        <v>1.19</v>
      </c>
      <c r="CA16" s="423"/>
      <c r="CB16" s="418"/>
      <c r="CC16" s="418"/>
      <c r="CD16" s="418"/>
      <c r="CE16" s="418"/>
      <c r="CF16" s="527"/>
    </row>
    <row r="17" spans="1:84" s="222" customFormat="1" ht="12.75" customHeight="1" x14ac:dyDescent="0.2">
      <c r="A17" s="153">
        <v>2</v>
      </c>
      <c r="B17" s="14">
        <v>3470</v>
      </c>
      <c r="C17" s="152">
        <v>691003572</v>
      </c>
      <c r="D17" s="152">
        <v>72550341</v>
      </c>
      <c r="E17" s="223" t="s">
        <v>11</v>
      </c>
      <c r="F17" s="14"/>
      <c r="G17" s="223"/>
      <c r="H17" s="592"/>
      <c r="I17" s="522">
        <f t="shared" ref="I17:BU17" si="14">SUM(I14:I16)</f>
        <v>5740471</v>
      </c>
      <c r="J17" s="521">
        <f t="shared" si="14"/>
        <v>4244422</v>
      </c>
      <c r="K17" s="521">
        <f t="shared" si="14"/>
        <v>3496020</v>
      </c>
      <c r="L17" s="521">
        <f t="shared" si="14"/>
        <v>748402</v>
      </c>
      <c r="M17" s="521">
        <f t="shared" si="14"/>
        <v>0</v>
      </c>
      <c r="N17" s="521">
        <f t="shared" si="14"/>
        <v>0</v>
      </c>
      <c r="O17" s="521">
        <f t="shared" si="14"/>
        <v>0</v>
      </c>
      <c r="P17" s="521">
        <f t="shared" si="14"/>
        <v>1434614</v>
      </c>
      <c r="Q17" s="521">
        <f t="shared" si="14"/>
        <v>42444</v>
      </c>
      <c r="R17" s="521">
        <f t="shared" si="14"/>
        <v>18991</v>
      </c>
      <c r="S17" s="572">
        <f t="shared" si="14"/>
        <v>8.3901000000000003</v>
      </c>
      <c r="T17" s="572">
        <f t="shared" si="14"/>
        <v>6</v>
      </c>
      <c r="U17" s="448">
        <f t="shared" si="14"/>
        <v>2.3900999999999999</v>
      </c>
      <c r="V17" s="614">
        <f t="shared" si="14"/>
        <v>0</v>
      </c>
      <c r="W17" s="521">
        <f t="shared" si="14"/>
        <v>-15360</v>
      </c>
      <c r="X17" s="521">
        <f t="shared" si="14"/>
        <v>135961</v>
      </c>
      <c r="Y17" s="521">
        <f t="shared" si="14"/>
        <v>0</v>
      </c>
      <c r="Z17" s="521">
        <f t="shared" si="14"/>
        <v>0</v>
      </c>
      <c r="AA17" s="521">
        <f t="shared" si="14"/>
        <v>0</v>
      </c>
      <c r="AB17" s="521">
        <f t="shared" si="14"/>
        <v>0</v>
      </c>
      <c r="AC17" s="521">
        <f t="shared" si="14"/>
        <v>0</v>
      </c>
      <c r="AD17" s="521">
        <f t="shared" si="14"/>
        <v>0</v>
      </c>
      <c r="AE17" s="521">
        <f t="shared" si="14"/>
        <v>0</v>
      </c>
      <c r="AF17" s="521">
        <f t="shared" si="14"/>
        <v>135961</v>
      </c>
      <c r="AG17" s="521">
        <f t="shared" si="14"/>
        <v>-15360</v>
      </c>
      <c r="AH17" s="521">
        <f t="shared" si="14"/>
        <v>120601</v>
      </c>
      <c r="AI17" s="521">
        <f t="shared" si="14"/>
        <v>0</v>
      </c>
      <c r="AJ17" s="521">
        <f t="shared" si="14"/>
        <v>15360</v>
      </c>
      <c r="AK17" s="521">
        <f t="shared" ref="AK17" si="15">SUM(AK14:AK16)</f>
        <v>0</v>
      </c>
      <c r="AL17" s="521">
        <f t="shared" si="14"/>
        <v>0</v>
      </c>
      <c r="AM17" s="521">
        <f t="shared" si="14"/>
        <v>0</v>
      </c>
      <c r="AN17" s="521">
        <f t="shared" si="14"/>
        <v>0</v>
      </c>
      <c r="AO17" s="521">
        <f t="shared" si="14"/>
        <v>0</v>
      </c>
      <c r="AP17" s="521">
        <f t="shared" si="14"/>
        <v>15360</v>
      </c>
      <c r="AQ17" s="521">
        <f t="shared" si="14"/>
        <v>15360</v>
      </c>
      <c r="AR17" s="521">
        <f t="shared" si="14"/>
        <v>135961</v>
      </c>
      <c r="AS17" s="521">
        <f t="shared" si="14"/>
        <v>0</v>
      </c>
      <c r="AT17" s="521">
        <f t="shared" si="14"/>
        <v>135961</v>
      </c>
      <c r="AU17" s="521">
        <f t="shared" si="14"/>
        <v>45955</v>
      </c>
      <c r="AV17" s="521">
        <f t="shared" si="14"/>
        <v>1206</v>
      </c>
      <c r="AW17" s="521">
        <f t="shared" si="14"/>
        <v>0</v>
      </c>
      <c r="AX17" s="521">
        <f t="shared" si="14"/>
        <v>0</v>
      </c>
      <c r="AY17" s="521">
        <f t="shared" si="14"/>
        <v>0</v>
      </c>
      <c r="AZ17" s="521">
        <f t="shared" si="14"/>
        <v>183122</v>
      </c>
      <c r="BA17" s="572">
        <f t="shared" si="14"/>
        <v>0</v>
      </c>
      <c r="BB17" s="572">
        <f t="shared" si="14"/>
        <v>-0.06</v>
      </c>
      <c r="BC17" s="572">
        <f t="shared" si="14"/>
        <v>0.5</v>
      </c>
      <c r="BD17" s="572">
        <f t="shared" si="14"/>
        <v>0</v>
      </c>
      <c r="BE17" s="572">
        <f t="shared" si="14"/>
        <v>0</v>
      </c>
      <c r="BF17" s="572">
        <f t="shared" si="14"/>
        <v>0</v>
      </c>
      <c r="BG17" s="572">
        <f t="shared" si="14"/>
        <v>0</v>
      </c>
      <c r="BH17" s="572">
        <f t="shared" si="14"/>
        <v>0</v>
      </c>
      <c r="BI17" s="572">
        <f t="shared" si="14"/>
        <v>0</v>
      </c>
      <c r="BJ17" s="572">
        <f t="shared" si="14"/>
        <v>0</v>
      </c>
      <c r="BK17" s="572">
        <f t="shared" si="14"/>
        <v>0.5</v>
      </c>
      <c r="BL17" s="572">
        <f t="shared" si="14"/>
        <v>-0.06</v>
      </c>
      <c r="BM17" s="403">
        <f t="shared" si="14"/>
        <v>0.44</v>
      </c>
      <c r="BN17" s="522">
        <f t="shared" si="14"/>
        <v>5923593</v>
      </c>
      <c r="BO17" s="521">
        <f t="shared" si="14"/>
        <v>4365023</v>
      </c>
      <c r="BP17" s="521">
        <f t="shared" si="14"/>
        <v>3631981</v>
      </c>
      <c r="BQ17" s="521">
        <f t="shared" si="14"/>
        <v>733042</v>
      </c>
      <c r="BR17" s="521">
        <f t="shared" si="14"/>
        <v>15360</v>
      </c>
      <c r="BS17" s="521">
        <f t="shared" si="14"/>
        <v>0</v>
      </c>
      <c r="BT17" s="521">
        <f t="shared" si="14"/>
        <v>15360</v>
      </c>
      <c r="BU17" s="521">
        <f t="shared" si="14"/>
        <v>1480569</v>
      </c>
      <c r="BV17" s="521">
        <f t="shared" ref="BV17:CF17" si="16">SUM(BV14:BV16)</f>
        <v>43650</v>
      </c>
      <c r="BW17" s="521">
        <f t="shared" si="16"/>
        <v>18991</v>
      </c>
      <c r="BX17" s="572">
        <f t="shared" si="16"/>
        <v>8.8300999999999998</v>
      </c>
      <c r="BY17" s="572">
        <f t="shared" si="16"/>
        <v>6.5</v>
      </c>
      <c r="BZ17" s="403">
        <f t="shared" si="16"/>
        <v>2.3300999999999998</v>
      </c>
      <c r="CA17" s="833">
        <f t="shared" si="16"/>
        <v>0</v>
      </c>
      <c r="CB17" s="834">
        <f t="shared" si="16"/>
        <v>0</v>
      </c>
      <c r="CC17" s="834">
        <f t="shared" si="16"/>
        <v>0</v>
      </c>
      <c r="CD17" s="834">
        <f t="shared" si="16"/>
        <v>0</v>
      </c>
      <c r="CE17" s="834">
        <f t="shared" si="16"/>
        <v>0</v>
      </c>
      <c r="CF17" s="829">
        <f t="shared" si="16"/>
        <v>0</v>
      </c>
    </row>
    <row r="18" spans="1:84" s="222" customFormat="1" ht="12.75" customHeight="1" x14ac:dyDescent="0.2">
      <c r="A18" s="224">
        <v>3</v>
      </c>
      <c r="B18" s="225">
        <v>3469</v>
      </c>
      <c r="C18" s="225">
        <v>691003548</v>
      </c>
      <c r="D18" s="225">
        <v>72550384</v>
      </c>
      <c r="E18" s="226" t="s">
        <v>12</v>
      </c>
      <c r="F18" s="225">
        <v>3111</v>
      </c>
      <c r="G18" s="226" t="s">
        <v>291</v>
      </c>
      <c r="H18" s="227" t="s">
        <v>271</v>
      </c>
      <c r="I18" s="423">
        <f t="shared" ref="I18:I19" si="17">J18+P18+Q18+R18</f>
        <v>6726495</v>
      </c>
      <c r="J18" s="418">
        <f>K18+L18</f>
        <v>4973938</v>
      </c>
      <c r="K18" s="418">
        <v>4530392</v>
      </c>
      <c r="L18" s="418">
        <v>443546</v>
      </c>
      <c r="M18" s="418">
        <f>N18+O18</f>
        <v>0</v>
      </c>
      <c r="N18" s="418"/>
      <c r="O18" s="418"/>
      <c r="P18" s="68">
        <f t="shared" ref="P18:P19" si="18">ROUND(J18*33.8%,0)</f>
        <v>1681191</v>
      </c>
      <c r="Q18" s="68">
        <f t="shared" ref="Q18:Q19" si="19">ROUND(J18*1%,0)</f>
        <v>49739</v>
      </c>
      <c r="R18" s="418">
        <v>21627</v>
      </c>
      <c r="S18" s="419">
        <f>T18+U18</f>
        <v>9.4932999999999996</v>
      </c>
      <c r="T18" s="420">
        <v>8</v>
      </c>
      <c r="U18" s="527">
        <v>1.4933000000000001</v>
      </c>
      <c r="V18" s="427">
        <f>AI18*-1</f>
        <v>0</v>
      </c>
      <c r="W18" s="421">
        <f>AJ18*-1</f>
        <v>-16000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>V18+X18+Y18+AA18+AB18+AD18</f>
        <v>0</v>
      </c>
      <c r="AG18" s="421">
        <f>W18+Z18+AC18+AE18</f>
        <v>-16000</v>
      </c>
      <c r="AH18" s="421">
        <f>SUM(AF18:AG18)</f>
        <v>-16000</v>
      </c>
      <c r="AI18" s="421">
        <v>0</v>
      </c>
      <c r="AJ18" s="421">
        <v>16000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ref="AO18:AO19" si="20">AI18+AK18+AL18+AM18</f>
        <v>0</v>
      </c>
      <c r="AP18" s="421">
        <f>AJ18+AN18</f>
        <v>16000</v>
      </c>
      <c r="AQ18" s="421">
        <f>SUM(AO18:AP18)</f>
        <v>16000</v>
      </c>
      <c r="AR18" s="421">
        <f>AF18+AO18</f>
        <v>0</v>
      </c>
      <c r="AS18" s="421">
        <f>AG18+AP18</f>
        <v>0</v>
      </c>
      <c r="AT18" s="421">
        <f>SUM(AR18:AS18)</f>
        <v>0</v>
      </c>
      <c r="AU18" s="68">
        <f t="shared" ref="AU18:AU19" si="21">ROUND((AH18+AI18+AJ18+AK18+AL18)*33.8%,0)</f>
        <v>0</v>
      </c>
      <c r="AV18" s="68">
        <f>ROUND(AH18*1%,0)</f>
        <v>-160</v>
      </c>
      <c r="AW18" s="421">
        <v>0</v>
      </c>
      <c r="AX18" s="421">
        <v>0</v>
      </c>
      <c r="AY18" s="421">
        <f>AW18+AX18</f>
        <v>0</v>
      </c>
      <c r="AZ18" s="421">
        <f>AT18+AU18+AV18+AY18</f>
        <v>-160</v>
      </c>
      <c r="BA18" s="422">
        <v>0</v>
      </c>
      <c r="BB18" s="422">
        <v>-7.0000000000000007E-2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0</v>
      </c>
      <c r="BL18" s="422">
        <f>BB18+BE18+BG18+BJ18</f>
        <v>-7.0000000000000007E-2</v>
      </c>
      <c r="BM18" s="611">
        <f>SUM(BK18:BL18)</f>
        <v>-7.0000000000000007E-2</v>
      </c>
      <c r="BN18" s="428">
        <f>I18+AZ18</f>
        <v>6726335</v>
      </c>
      <c r="BO18" s="421">
        <f>J18+AH18</f>
        <v>4957938</v>
      </c>
      <c r="BP18" s="421">
        <f>K18+AF18</f>
        <v>4530392</v>
      </c>
      <c r="BQ18" s="421">
        <f>L18+AG18</f>
        <v>427546</v>
      </c>
      <c r="BR18" s="421">
        <f>M18+AQ18</f>
        <v>16000</v>
      </c>
      <c r="BS18" s="421">
        <f>N18+AO18</f>
        <v>0</v>
      </c>
      <c r="BT18" s="421">
        <f>O18+AP18</f>
        <v>16000</v>
      </c>
      <c r="BU18" s="421">
        <f>P18+AU18</f>
        <v>1681191</v>
      </c>
      <c r="BV18" s="421">
        <f>Q18+AV18</f>
        <v>49579</v>
      </c>
      <c r="BW18" s="421">
        <f>R18+AY18</f>
        <v>21627</v>
      </c>
      <c r="BX18" s="422">
        <f>S18+BM18</f>
        <v>9.4232999999999993</v>
      </c>
      <c r="BY18" s="422">
        <f>T18+BK18</f>
        <v>8</v>
      </c>
      <c r="BZ18" s="611">
        <f>U18+BL18</f>
        <v>1.4233</v>
      </c>
      <c r="CA18" s="423"/>
      <c r="CB18" s="418"/>
      <c r="CC18" s="418"/>
      <c r="CD18" s="418"/>
      <c r="CE18" s="418"/>
      <c r="CF18" s="527"/>
    </row>
    <row r="19" spans="1:84" s="222" customFormat="1" ht="12.75" customHeight="1" x14ac:dyDescent="0.2">
      <c r="A19" s="224">
        <v>3</v>
      </c>
      <c r="B19" s="225">
        <v>3469</v>
      </c>
      <c r="C19" s="225">
        <v>691003548</v>
      </c>
      <c r="D19" s="225">
        <v>72550384</v>
      </c>
      <c r="E19" s="226" t="s">
        <v>12</v>
      </c>
      <c r="F19" s="225">
        <v>3141</v>
      </c>
      <c r="G19" s="226" t="s">
        <v>295</v>
      </c>
      <c r="H19" s="227" t="s">
        <v>272</v>
      </c>
      <c r="I19" s="423">
        <f t="shared" si="17"/>
        <v>653242</v>
      </c>
      <c r="J19" s="418">
        <f>K19+L19</f>
        <v>482446</v>
      </c>
      <c r="K19" s="418">
        <v>0</v>
      </c>
      <c r="L19" s="418">
        <v>482446</v>
      </c>
      <c r="M19" s="418">
        <f>N19+O19</f>
        <v>0</v>
      </c>
      <c r="N19" s="418"/>
      <c r="O19" s="418"/>
      <c r="P19" s="68">
        <f t="shared" si="18"/>
        <v>163067</v>
      </c>
      <c r="Q19" s="68">
        <f t="shared" si="19"/>
        <v>4824</v>
      </c>
      <c r="R19" s="418">
        <v>2905</v>
      </c>
      <c r="S19" s="419">
        <f>T19+U19</f>
        <v>1.45</v>
      </c>
      <c r="T19" s="420">
        <v>0</v>
      </c>
      <c r="U19" s="527">
        <v>1.45</v>
      </c>
      <c r="V19" s="427">
        <f>AI19*-1</f>
        <v>0</v>
      </c>
      <c r="W19" s="421">
        <f>AJ19*-1</f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>V19+X19+Y19+AA19+AB19+AD19</f>
        <v>0</v>
      </c>
      <c r="AG19" s="421">
        <f>W19+Z19+AC19+AE19</f>
        <v>0</v>
      </c>
      <c r="AH19" s="421">
        <f>SUM(AF19:AG19)</f>
        <v>0</v>
      </c>
      <c r="AI19" s="421">
        <v>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20"/>
        <v>0</v>
      </c>
      <c r="AP19" s="421">
        <f>AJ19+AN19</f>
        <v>0</v>
      </c>
      <c r="AQ19" s="421">
        <f>SUM(AO19:AP19)</f>
        <v>0</v>
      </c>
      <c r="AR19" s="421">
        <f>AF19+AO19</f>
        <v>0</v>
      </c>
      <c r="AS19" s="421">
        <f>AG19+AP19</f>
        <v>0</v>
      </c>
      <c r="AT19" s="421">
        <f>SUM(AR19:AS19)</f>
        <v>0</v>
      </c>
      <c r="AU19" s="68">
        <f t="shared" si="21"/>
        <v>0</v>
      </c>
      <c r="AV19" s="68">
        <f>ROUND(AH19*1%,0)</f>
        <v>0</v>
      </c>
      <c r="AW19" s="421">
        <v>0</v>
      </c>
      <c r="AX19" s="421">
        <v>0</v>
      </c>
      <c r="AY19" s="421">
        <f>AW19+AX19</f>
        <v>0</v>
      </c>
      <c r="AZ19" s="421">
        <f>AT19+AU19+AV19+AY19</f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0</v>
      </c>
      <c r="BL19" s="422">
        <f>BB19+BE19+BG19+BJ19</f>
        <v>0</v>
      </c>
      <c r="BM19" s="611">
        <f>SUM(BK19:BL19)</f>
        <v>0</v>
      </c>
      <c r="BN19" s="428">
        <f>I19+AZ19</f>
        <v>653242</v>
      </c>
      <c r="BO19" s="421">
        <f>J19+AH19</f>
        <v>482446</v>
      </c>
      <c r="BP19" s="421">
        <f>K19+AF19</f>
        <v>0</v>
      </c>
      <c r="BQ19" s="421">
        <f>L19+AG19</f>
        <v>482446</v>
      </c>
      <c r="BR19" s="421">
        <f>M19+AQ19</f>
        <v>0</v>
      </c>
      <c r="BS19" s="421">
        <f>N19+AO19</f>
        <v>0</v>
      </c>
      <c r="BT19" s="421">
        <f>O19+AP19</f>
        <v>0</v>
      </c>
      <c r="BU19" s="421">
        <f>P19+AU19</f>
        <v>163067</v>
      </c>
      <c r="BV19" s="421">
        <f>Q19+AV19</f>
        <v>4824</v>
      </c>
      <c r="BW19" s="421">
        <f>R19+AY19</f>
        <v>2905</v>
      </c>
      <c r="BX19" s="422">
        <f>S19+BM19</f>
        <v>1.45</v>
      </c>
      <c r="BY19" s="422">
        <f>T19+BK19</f>
        <v>0</v>
      </c>
      <c r="BZ19" s="611">
        <f>U19+BL19</f>
        <v>1.45</v>
      </c>
      <c r="CA19" s="423"/>
      <c r="CB19" s="418"/>
      <c r="CC19" s="418"/>
      <c r="CD19" s="418"/>
      <c r="CE19" s="418"/>
      <c r="CF19" s="527"/>
    </row>
    <row r="20" spans="1:84" s="222" customFormat="1" ht="12.75" customHeight="1" x14ac:dyDescent="0.2">
      <c r="A20" s="153">
        <v>3</v>
      </c>
      <c r="B20" s="14">
        <v>3469</v>
      </c>
      <c r="C20" s="152">
        <v>691003548</v>
      </c>
      <c r="D20" s="152">
        <v>72550384</v>
      </c>
      <c r="E20" s="223" t="s">
        <v>13</v>
      </c>
      <c r="F20" s="14"/>
      <c r="G20" s="223"/>
      <c r="H20" s="592"/>
      <c r="I20" s="522">
        <f t="shared" ref="I20:BU20" si="22">SUM(I18:I19)</f>
        <v>7379737</v>
      </c>
      <c r="J20" s="521">
        <f t="shared" si="22"/>
        <v>5456384</v>
      </c>
      <c r="K20" s="521">
        <f t="shared" si="22"/>
        <v>4530392</v>
      </c>
      <c r="L20" s="521">
        <f t="shared" si="22"/>
        <v>925992</v>
      </c>
      <c r="M20" s="521">
        <f t="shared" si="22"/>
        <v>0</v>
      </c>
      <c r="N20" s="521">
        <f t="shared" si="22"/>
        <v>0</v>
      </c>
      <c r="O20" s="521">
        <f t="shared" si="22"/>
        <v>0</v>
      </c>
      <c r="P20" s="521">
        <f t="shared" si="22"/>
        <v>1844258</v>
      </c>
      <c r="Q20" s="521">
        <f t="shared" si="22"/>
        <v>54563</v>
      </c>
      <c r="R20" s="521">
        <f t="shared" si="22"/>
        <v>24532</v>
      </c>
      <c r="S20" s="572">
        <f t="shared" si="22"/>
        <v>10.943299999999999</v>
      </c>
      <c r="T20" s="572">
        <f t="shared" si="22"/>
        <v>8</v>
      </c>
      <c r="U20" s="448">
        <f t="shared" si="22"/>
        <v>2.9432999999999998</v>
      </c>
      <c r="V20" s="614">
        <f t="shared" si="22"/>
        <v>0</v>
      </c>
      <c r="W20" s="521">
        <f t="shared" si="22"/>
        <v>-16000</v>
      </c>
      <c r="X20" s="521">
        <f t="shared" si="22"/>
        <v>0</v>
      </c>
      <c r="Y20" s="521">
        <f t="shared" si="22"/>
        <v>0</v>
      </c>
      <c r="Z20" s="521">
        <f t="shared" si="22"/>
        <v>0</v>
      </c>
      <c r="AA20" s="521">
        <f t="shared" si="22"/>
        <v>0</v>
      </c>
      <c r="AB20" s="521">
        <f t="shared" si="22"/>
        <v>0</v>
      </c>
      <c r="AC20" s="521">
        <f t="shared" si="22"/>
        <v>0</v>
      </c>
      <c r="AD20" s="521">
        <f t="shared" si="22"/>
        <v>0</v>
      </c>
      <c r="AE20" s="521">
        <f t="shared" si="22"/>
        <v>0</v>
      </c>
      <c r="AF20" s="521">
        <f t="shared" si="22"/>
        <v>0</v>
      </c>
      <c r="AG20" s="521">
        <f t="shared" si="22"/>
        <v>-16000</v>
      </c>
      <c r="AH20" s="521">
        <f t="shared" si="22"/>
        <v>-16000</v>
      </c>
      <c r="AI20" s="521">
        <f t="shared" si="22"/>
        <v>0</v>
      </c>
      <c r="AJ20" s="521">
        <f t="shared" si="22"/>
        <v>16000</v>
      </c>
      <c r="AK20" s="521">
        <f t="shared" ref="AK20" si="23">SUM(AK18:AK19)</f>
        <v>0</v>
      </c>
      <c r="AL20" s="521">
        <f t="shared" si="22"/>
        <v>0</v>
      </c>
      <c r="AM20" s="521">
        <f t="shared" si="22"/>
        <v>0</v>
      </c>
      <c r="AN20" s="521">
        <f t="shared" si="22"/>
        <v>0</v>
      </c>
      <c r="AO20" s="521">
        <f t="shared" si="22"/>
        <v>0</v>
      </c>
      <c r="AP20" s="521">
        <f t="shared" si="22"/>
        <v>16000</v>
      </c>
      <c r="AQ20" s="521">
        <f t="shared" si="22"/>
        <v>16000</v>
      </c>
      <c r="AR20" s="521">
        <f t="shared" si="22"/>
        <v>0</v>
      </c>
      <c r="AS20" s="521">
        <f t="shared" si="22"/>
        <v>0</v>
      </c>
      <c r="AT20" s="521">
        <f t="shared" si="22"/>
        <v>0</v>
      </c>
      <c r="AU20" s="521">
        <f t="shared" si="22"/>
        <v>0</v>
      </c>
      <c r="AV20" s="521">
        <f t="shared" si="22"/>
        <v>-160</v>
      </c>
      <c r="AW20" s="521">
        <f t="shared" si="22"/>
        <v>0</v>
      </c>
      <c r="AX20" s="521">
        <f t="shared" si="22"/>
        <v>0</v>
      </c>
      <c r="AY20" s="521">
        <f t="shared" si="22"/>
        <v>0</v>
      </c>
      <c r="AZ20" s="521">
        <f t="shared" si="22"/>
        <v>-160</v>
      </c>
      <c r="BA20" s="572">
        <f t="shared" si="22"/>
        <v>0</v>
      </c>
      <c r="BB20" s="572">
        <f t="shared" si="22"/>
        <v>-7.0000000000000007E-2</v>
      </c>
      <c r="BC20" s="572">
        <f t="shared" si="22"/>
        <v>0</v>
      </c>
      <c r="BD20" s="572">
        <f t="shared" si="22"/>
        <v>0</v>
      </c>
      <c r="BE20" s="572">
        <f t="shared" si="22"/>
        <v>0</v>
      </c>
      <c r="BF20" s="572">
        <f t="shared" si="22"/>
        <v>0</v>
      </c>
      <c r="BG20" s="572">
        <f t="shared" si="22"/>
        <v>0</v>
      </c>
      <c r="BH20" s="572">
        <f t="shared" si="22"/>
        <v>0</v>
      </c>
      <c r="BI20" s="572">
        <f t="shared" si="22"/>
        <v>0</v>
      </c>
      <c r="BJ20" s="572">
        <f t="shared" si="22"/>
        <v>0</v>
      </c>
      <c r="BK20" s="572">
        <f t="shared" si="22"/>
        <v>0</v>
      </c>
      <c r="BL20" s="572">
        <f t="shared" si="22"/>
        <v>-7.0000000000000007E-2</v>
      </c>
      <c r="BM20" s="403">
        <f t="shared" si="22"/>
        <v>-7.0000000000000007E-2</v>
      </c>
      <c r="BN20" s="522">
        <f t="shared" si="22"/>
        <v>7379577</v>
      </c>
      <c r="BO20" s="521">
        <f t="shared" si="22"/>
        <v>5440384</v>
      </c>
      <c r="BP20" s="521">
        <f t="shared" si="22"/>
        <v>4530392</v>
      </c>
      <c r="BQ20" s="521">
        <f t="shared" si="22"/>
        <v>909992</v>
      </c>
      <c r="BR20" s="521">
        <f t="shared" si="22"/>
        <v>16000</v>
      </c>
      <c r="BS20" s="521">
        <f t="shared" si="22"/>
        <v>0</v>
      </c>
      <c r="BT20" s="521">
        <f t="shared" si="22"/>
        <v>16000</v>
      </c>
      <c r="BU20" s="521">
        <f t="shared" si="22"/>
        <v>1844258</v>
      </c>
      <c r="BV20" s="521">
        <f t="shared" ref="BV20:CF20" si="24">SUM(BV18:BV19)</f>
        <v>54403</v>
      </c>
      <c r="BW20" s="521">
        <f t="shared" si="24"/>
        <v>24532</v>
      </c>
      <c r="BX20" s="572">
        <f t="shared" si="24"/>
        <v>10.873299999999999</v>
      </c>
      <c r="BY20" s="572">
        <f t="shared" si="24"/>
        <v>8</v>
      </c>
      <c r="BZ20" s="403">
        <f t="shared" si="24"/>
        <v>2.8733</v>
      </c>
      <c r="CA20" s="833">
        <f t="shared" si="24"/>
        <v>0</v>
      </c>
      <c r="CB20" s="834">
        <f t="shared" si="24"/>
        <v>0</v>
      </c>
      <c r="CC20" s="834">
        <f t="shared" si="24"/>
        <v>0</v>
      </c>
      <c r="CD20" s="834">
        <f t="shared" si="24"/>
        <v>0</v>
      </c>
      <c r="CE20" s="834">
        <f t="shared" si="24"/>
        <v>0</v>
      </c>
      <c r="CF20" s="829">
        <f t="shared" si="24"/>
        <v>0</v>
      </c>
    </row>
    <row r="21" spans="1:84" s="222" customFormat="1" ht="12.75" customHeight="1" x14ac:dyDescent="0.2">
      <c r="A21" s="224">
        <v>4</v>
      </c>
      <c r="B21" s="225">
        <v>3462</v>
      </c>
      <c r="C21" s="225">
        <v>691001294</v>
      </c>
      <c r="D21" s="225">
        <v>72048115</v>
      </c>
      <c r="E21" s="226" t="s">
        <v>14</v>
      </c>
      <c r="F21" s="225">
        <v>3111</v>
      </c>
      <c r="G21" s="226" t="s">
        <v>291</v>
      </c>
      <c r="H21" s="227" t="s">
        <v>271</v>
      </c>
      <c r="I21" s="423">
        <f t="shared" ref="I21:I23" si="25">J21+P21+Q21+R21</f>
        <v>5247594</v>
      </c>
      <c r="J21" s="418">
        <f>K21+L21</f>
        <v>3879801</v>
      </c>
      <c r="K21" s="418">
        <v>3527140</v>
      </c>
      <c r="L21" s="418">
        <v>352661</v>
      </c>
      <c r="M21" s="418">
        <f>N21+O21</f>
        <v>0</v>
      </c>
      <c r="N21" s="418"/>
      <c r="O21" s="418"/>
      <c r="P21" s="68">
        <f t="shared" ref="P21:P23" si="26">ROUND(J21*33.8%,0)</f>
        <v>1311373</v>
      </c>
      <c r="Q21" s="68">
        <f t="shared" ref="Q21:Q23" si="27">ROUND(J21*1%,0)</f>
        <v>38798</v>
      </c>
      <c r="R21" s="418">
        <v>17622</v>
      </c>
      <c r="S21" s="419">
        <f>T21+U21</f>
        <v>7.2000999999999999</v>
      </c>
      <c r="T21" s="420">
        <v>6</v>
      </c>
      <c r="U21" s="527">
        <v>1.2000999999999999</v>
      </c>
      <c r="V21" s="427">
        <f t="shared" ref="V21:W23" si="28">AI21*-1</f>
        <v>-31360</v>
      </c>
      <c r="W21" s="421">
        <f t="shared" si="28"/>
        <v>0</v>
      </c>
      <c r="X21" s="421">
        <v>0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-31360</v>
      </c>
      <c r="AG21" s="421">
        <f>W21+Z21+AC21+AE21</f>
        <v>0</v>
      </c>
      <c r="AH21" s="421">
        <f>SUM(AF21:AG21)</f>
        <v>-31360</v>
      </c>
      <c r="AI21" s="421">
        <v>31360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ref="AO21:AO23" si="29">AI21+AK21+AL21+AM21</f>
        <v>31360</v>
      </c>
      <c r="AP21" s="421">
        <f>AJ21+AN21</f>
        <v>0</v>
      </c>
      <c r="AQ21" s="421">
        <f>SUM(AO21:AP21)</f>
        <v>31360</v>
      </c>
      <c r="AR21" s="421">
        <f t="shared" ref="AR21:AS23" si="30">AF21+AO21</f>
        <v>0</v>
      </c>
      <c r="AS21" s="421">
        <f t="shared" si="30"/>
        <v>0</v>
      </c>
      <c r="AT21" s="421">
        <f>SUM(AR21:AS21)</f>
        <v>0</v>
      </c>
      <c r="AU21" s="68">
        <f t="shared" ref="AU21:AU23" si="31">ROUND((AH21+AI21+AJ21+AK21+AL21)*33.8%,0)</f>
        <v>0</v>
      </c>
      <c r="AV21" s="68">
        <f>ROUND(AH21*1%,0)</f>
        <v>-314</v>
      </c>
      <c r="AW21" s="421">
        <v>0</v>
      </c>
      <c r="AX21" s="421">
        <v>0</v>
      </c>
      <c r="AY21" s="421">
        <f>AW21+AX21</f>
        <v>0</v>
      </c>
      <c r="AZ21" s="421">
        <f>AT21+AU21+AV21+AY21</f>
        <v>-314</v>
      </c>
      <c r="BA21" s="422">
        <v>-0.05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-0.05</v>
      </c>
      <c r="BL21" s="422">
        <f>BB21+BE21+BG21+BJ21</f>
        <v>0</v>
      </c>
      <c r="BM21" s="611">
        <f>SUM(BK21:BL21)</f>
        <v>-0.05</v>
      </c>
      <c r="BN21" s="428">
        <f>I21+AZ21</f>
        <v>5247280</v>
      </c>
      <c r="BO21" s="421">
        <f>J21+AH21</f>
        <v>3848441</v>
      </c>
      <c r="BP21" s="421">
        <f t="shared" ref="BP21:BQ23" si="32">K21+AF21</f>
        <v>3495780</v>
      </c>
      <c r="BQ21" s="421">
        <f t="shared" si="32"/>
        <v>352661</v>
      </c>
      <c r="BR21" s="421">
        <f>M21+AQ21</f>
        <v>31360</v>
      </c>
      <c r="BS21" s="421">
        <f t="shared" ref="BS21:BT23" si="33">N21+AO21</f>
        <v>31360</v>
      </c>
      <c r="BT21" s="421">
        <f t="shared" si="33"/>
        <v>0</v>
      </c>
      <c r="BU21" s="421">
        <f t="shared" ref="BU21:BV23" si="34">P21+AU21</f>
        <v>1311373</v>
      </c>
      <c r="BV21" s="421">
        <f t="shared" si="34"/>
        <v>38484</v>
      </c>
      <c r="BW21" s="421">
        <f>R21+AY21</f>
        <v>17622</v>
      </c>
      <c r="BX21" s="422">
        <f>S21+BM21</f>
        <v>7.1501000000000001</v>
      </c>
      <c r="BY21" s="422">
        <f t="shared" ref="BY21:BZ23" si="35">T21+BK21</f>
        <v>5.95</v>
      </c>
      <c r="BZ21" s="611">
        <f t="shared" si="35"/>
        <v>1.2000999999999999</v>
      </c>
      <c r="CA21" s="423"/>
      <c r="CB21" s="418"/>
      <c r="CC21" s="418"/>
      <c r="CD21" s="418"/>
      <c r="CE21" s="418"/>
      <c r="CF21" s="527"/>
    </row>
    <row r="22" spans="1:84" s="222" customFormat="1" ht="12.75" customHeight="1" x14ac:dyDescent="0.2">
      <c r="A22" s="224">
        <v>4</v>
      </c>
      <c r="B22" s="225">
        <v>3462</v>
      </c>
      <c r="C22" s="225">
        <v>691001294</v>
      </c>
      <c r="D22" s="225">
        <v>72048115</v>
      </c>
      <c r="E22" s="226" t="s">
        <v>14</v>
      </c>
      <c r="F22" s="225">
        <v>3111</v>
      </c>
      <c r="G22" s="226" t="s">
        <v>292</v>
      </c>
      <c r="H22" s="227" t="s">
        <v>272</v>
      </c>
      <c r="I22" s="423">
        <f t="shared" si="25"/>
        <v>0</v>
      </c>
      <c r="J22" s="418">
        <f>K22+L22</f>
        <v>0</v>
      </c>
      <c r="K22" s="418">
        <v>0</v>
      </c>
      <c r="L22" s="418">
        <v>0</v>
      </c>
      <c r="M22" s="418">
        <f>N22+O22</f>
        <v>0</v>
      </c>
      <c r="N22" s="418"/>
      <c r="O22" s="418"/>
      <c r="P22" s="68">
        <f t="shared" si="26"/>
        <v>0</v>
      </c>
      <c r="Q22" s="68">
        <f t="shared" si="27"/>
        <v>0</v>
      </c>
      <c r="R22" s="418">
        <v>0</v>
      </c>
      <c r="S22" s="419">
        <f>T22+U22</f>
        <v>0</v>
      </c>
      <c r="T22" s="420">
        <v>0</v>
      </c>
      <c r="U22" s="527">
        <v>0</v>
      </c>
      <c r="V22" s="427">
        <f t="shared" si="28"/>
        <v>0</v>
      </c>
      <c r="W22" s="421">
        <f t="shared" si="28"/>
        <v>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0</v>
      </c>
      <c r="AG22" s="421">
        <f>W22+Z22+AC22+AE22</f>
        <v>0</v>
      </c>
      <c r="AH22" s="421">
        <f>SUM(AF22:AG22)</f>
        <v>0</v>
      </c>
      <c r="AI22" s="421">
        <v>0</v>
      </c>
      <c r="AJ22" s="421">
        <v>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si="29"/>
        <v>0</v>
      </c>
      <c r="AP22" s="421">
        <f>AJ22+AN22</f>
        <v>0</v>
      </c>
      <c r="AQ22" s="421">
        <f>SUM(AO22:AP22)</f>
        <v>0</v>
      </c>
      <c r="AR22" s="421">
        <f t="shared" si="30"/>
        <v>0</v>
      </c>
      <c r="AS22" s="421">
        <f t="shared" si="30"/>
        <v>0</v>
      </c>
      <c r="AT22" s="421">
        <f>SUM(AR22:AS22)</f>
        <v>0</v>
      </c>
      <c r="AU22" s="68">
        <f t="shared" si="31"/>
        <v>0</v>
      </c>
      <c r="AV22" s="68">
        <f>ROUND(AH22*1%,0)</f>
        <v>0</v>
      </c>
      <c r="AW22" s="421">
        <v>0</v>
      </c>
      <c r="AX22" s="421">
        <v>0</v>
      </c>
      <c r="AY22" s="421">
        <f>AW22+AX22</f>
        <v>0</v>
      </c>
      <c r="AZ22" s="421">
        <f>AT22+AU22+AV22+AY22</f>
        <v>0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</v>
      </c>
      <c r="BL22" s="422">
        <f>BB22+BE22+BG22+BJ22</f>
        <v>0</v>
      </c>
      <c r="BM22" s="611">
        <f>SUM(BK22:BL22)</f>
        <v>0</v>
      </c>
      <c r="BN22" s="428">
        <f>I22+AZ22</f>
        <v>0</v>
      </c>
      <c r="BO22" s="421">
        <f>J22+AH22</f>
        <v>0</v>
      </c>
      <c r="BP22" s="421">
        <f t="shared" si="32"/>
        <v>0</v>
      </c>
      <c r="BQ22" s="421">
        <f t="shared" si="32"/>
        <v>0</v>
      </c>
      <c r="BR22" s="421">
        <f>M22+AQ22</f>
        <v>0</v>
      </c>
      <c r="BS22" s="421">
        <f t="shared" si="33"/>
        <v>0</v>
      </c>
      <c r="BT22" s="421">
        <f t="shared" si="33"/>
        <v>0</v>
      </c>
      <c r="BU22" s="421">
        <f t="shared" si="34"/>
        <v>0</v>
      </c>
      <c r="BV22" s="421">
        <f t="shared" si="34"/>
        <v>0</v>
      </c>
      <c r="BW22" s="421">
        <f>R22+AY22</f>
        <v>0</v>
      </c>
      <c r="BX22" s="422">
        <f>S22+BM22</f>
        <v>0</v>
      </c>
      <c r="BY22" s="422">
        <f t="shared" si="35"/>
        <v>0</v>
      </c>
      <c r="BZ22" s="611">
        <f t="shared" si="35"/>
        <v>0</v>
      </c>
      <c r="CA22" s="423"/>
      <c r="CB22" s="418"/>
      <c r="CC22" s="418"/>
      <c r="CD22" s="418"/>
      <c r="CE22" s="418"/>
      <c r="CF22" s="527"/>
    </row>
    <row r="23" spans="1:84" s="222" customFormat="1" ht="12.75" customHeight="1" x14ac:dyDescent="0.2">
      <c r="A23" s="224">
        <v>4</v>
      </c>
      <c r="B23" s="225">
        <v>3462</v>
      </c>
      <c r="C23" s="225">
        <v>691001294</v>
      </c>
      <c r="D23" s="225">
        <v>72048115</v>
      </c>
      <c r="E23" s="226" t="s">
        <v>14</v>
      </c>
      <c r="F23" s="225">
        <v>3141</v>
      </c>
      <c r="G23" s="226" t="s">
        <v>295</v>
      </c>
      <c r="H23" s="227" t="s">
        <v>272</v>
      </c>
      <c r="I23" s="423">
        <f t="shared" si="25"/>
        <v>559728</v>
      </c>
      <c r="J23" s="418">
        <f>K23+L23</f>
        <v>413515</v>
      </c>
      <c r="K23" s="418">
        <v>0</v>
      </c>
      <c r="L23" s="418">
        <v>413515</v>
      </c>
      <c r="M23" s="418">
        <f>N23+O23</f>
        <v>0</v>
      </c>
      <c r="N23" s="418"/>
      <c r="O23" s="418"/>
      <c r="P23" s="68">
        <f t="shared" si="26"/>
        <v>139768</v>
      </c>
      <c r="Q23" s="68">
        <f t="shared" si="27"/>
        <v>4135</v>
      </c>
      <c r="R23" s="418">
        <v>2310</v>
      </c>
      <c r="S23" s="419">
        <f>T23+U23</f>
        <v>1.24</v>
      </c>
      <c r="T23" s="420">
        <v>0</v>
      </c>
      <c r="U23" s="527">
        <v>1.24</v>
      </c>
      <c r="V23" s="427">
        <f t="shared" si="28"/>
        <v>0</v>
      </c>
      <c r="W23" s="421">
        <f t="shared" si="28"/>
        <v>0</v>
      </c>
      <c r="X23" s="421">
        <v>0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>V23+X23+Y23+AA23+AB23+AD23</f>
        <v>0</v>
      </c>
      <c r="AG23" s="421">
        <f>W23+Z23+AC23+AE23</f>
        <v>0</v>
      </c>
      <c r="AH23" s="421">
        <f>SUM(AF23:AG23)</f>
        <v>0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29"/>
        <v>0</v>
      </c>
      <c r="AP23" s="421">
        <f>AJ23+AN23</f>
        <v>0</v>
      </c>
      <c r="AQ23" s="421">
        <f>SUM(AO23:AP23)</f>
        <v>0</v>
      </c>
      <c r="AR23" s="421">
        <f t="shared" si="30"/>
        <v>0</v>
      </c>
      <c r="AS23" s="421">
        <f t="shared" si="30"/>
        <v>0</v>
      </c>
      <c r="AT23" s="421">
        <f>SUM(AR23:AS23)</f>
        <v>0</v>
      </c>
      <c r="AU23" s="68">
        <f t="shared" si="31"/>
        <v>0</v>
      </c>
      <c r="AV23" s="68">
        <f>ROUND(AH23*1%,0)</f>
        <v>0</v>
      </c>
      <c r="AW23" s="421">
        <v>0</v>
      </c>
      <c r="AX23" s="421">
        <v>0</v>
      </c>
      <c r="AY23" s="421">
        <f>AW23+AX23</f>
        <v>0</v>
      </c>
      <c r="AZ23" s="421">
        <f>AT23+AU23+AV23+AY23</f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0</v>
      </c>
      <c r="BL23" s="422">
        <f>BB23+BE23+BG23+BJ23</f>
        <v>0</v>
      </c>
      <c r="BM23" s="611">
        <f>SUM(BK23:BL23)</f>
        <v>0</v>
      </c>
      <c r="BN23" s="428">
        <f>I23+AZ23</f>
        <v>559728</v>
      </c>
      <c r="BO23" s="421">
        <f>J23+AH23</f>
        <v>413515</v>
      </c>
      <c r="BP23" s="421">
        <f t="shared" si="32"/>
        <v>0</v>
      </c>
      <c r="BQ23" s="421">
        <f t="shared" si="32"/>
        <v>413515</v>
      </c>
      <c r="BR23" s="421">
        <f>M23+AQ23</f>
        <v>0</v>
      </c>
      <c r="BS23" s="421">
        <f t="shared" si="33"/>
        <v>0</v>
      </c>
      <c r="BT23" s="421">
        <f t="shared" si="33"/>
        <v>0</v>
      </c>
      <c r="BU23" s="421">
        <f t="shared" si="34"/>
        <v>139768</v>
      </c>
      <c r="BV23" s="421">
        <f t="shared" si="34"/>
        <v>4135</v>
      </c>
      <c r="BW23" s="421">
        <f>R23+AY23</f>
        <v>2310</v>
      </c>
      <c r="BX23" s="422">
        <f>S23+BM23</f>
        <v>1.24</v>
      </c>
      <c r="BY23" s="422">
        <f t="shared" si="35"/>
        <v>0</v>
      </c>
      <c r="BZ23" s="611">
        <f t="shared" si="35"/>
        <v>1.24</v>
      </c>
      <c r="CA23" s="423"/>
      <c r="CB23" s="418"/>
      <c r="CC23" s="418"/>
      <c r="CD23" s="418"/>
      <c r="CE23" s="418"/>
      <c r="CF23" s="527"/>
    </row>
    <row r="24" spans="1:84" s="222" customFormat="1" ht="12.75" customHeight="1" x14ac:dyDescent="0.2">
      <c r="A24" s="153">
        <v>4</v>
      </c>
      <c r="B24" s="14">
        <v>3462</v>
      </c>
      <c r="C24" s="152">
        <v>691001294</v>
      </c>
      <c r="D24" s="152">
        <v>72048115</v>
      </c>
      <c r="E24" s="223" t="s">
        <v>15</v>
      </c>
      <c r="F24" s="14"/>
      <c r="G24" s="223"/>
      <c r="H24" s="592"/>
      <c r="I24" s="522">
        <f t="shared" ref="I24:BU24" si="36">SUM(I21:I23)</f>
        <v>5807322</v>
      </c>
      <c r="J24" s="521">
        <f t="shared" si="36"/>
        <v>4293316</v>
      </c>
      <c r="K24" s="521">
        <f t="shared" si="36"/>
        <v>3527140</v>
      </c>
      <c r="L24" s="521">
        <f t="shared" si="36"/>
        <v>766176</v>
      </c>
      <c r="M24" s="521">
        <f t="shared" si="36"/>
        <v>0</v>
      </c>
      <c r="N24" s="521">
        <f t="shared" si="36"/>
        <v>0</v>
      </c>
      <c r="O24" s="521">
        <f t="shared" si="36"/>
        <v>0</v>
      </c>
      <c r="P24" s="521">
        <f t="shared" si="36"/>
        <v>1451141</v>
      </c>
      <c r="Q24" s="521">
        <f t="shared" si="36"/>
        <v>42933</v>
      </c>
      <c r="R24" s="521">
        <f t="shared" si="36"/>
        <v>19932</v>
      </c>
      <c r="S24" s="572">
        <f t="shared" si="36"/>
        <v>8.4400999999999993</v>
      </c>
      <c r="T24" s="572">
        <f t="shared" si="36"/>
        <v>6</v>
      </c>
      <c r="U24" s="448">
        <f t="shared" si="36"/>
        <v>2.4401000000000002</v>
      </c>
      <c r="V24" s="614">
        <f t="shared" si="36"/>
        <v>-31360</v>
      </c>
      <c r="W24" s="521">
        <f t="shared" si="36"/>
        <v>0</v>
      </c>
      <c r="X24" s="521">
        <f t="shared" si="36"/>
        <v>0</v>
      </c>
      <c r="Y24" s="521">
        <f t="shared" si="36"/>
        <v>0</v>
      </c>
      <c r="Z24" s="521">
        <f t="shared" si="36"/>
        <v>0</v>
      </c>
      <c r="AA24" s="521">
        <f t="shared" si="36"/>
        <v>0</v>
      </c>
      <c r="AB24" s="521">
        <f t="shared" si="36"/>
        <v>0</v>
      </c>
      <c r="AC24" s="521">
        <f t="shared" si="36"/>
        <v>0</v>
      </c>
      <c r="AD24" s="521">
        <f t="shared" si="36"/>
        <v>0</v>
      </c>
      <c r="AE24" s="521">
        <f t="shared" si="36"/>
        <v>0</v>
      </c>
      <c r="AF24" s="521">
        <f t="shared" si="36"/>
        <v>-31360</v>
      </c>
      <c r="AG24" s="521">
        <f t="shared" si="36"/>
        <v>0</v>
      </c>
      <c r="AH24" s="521">
        <f t="shared" si="36"/>
        <v>-31360</v>
      </c>
      <c r="AI24" s="521">
        <f t="shared" si="36"/>
        <v>31360</v>
      </c>
      <c r="AJ24" s="521">
        <f t="shared" si="36"/>
        <v>0</v>
      </c>
      <c r="AK24" s="521">
        <f t="shared" ref="AK24" si="37">SUM(AK21:AK23)</f>
        <v>0</v>
      </c>
      <c r="AL24" s="521">
        <f t="shared" si="36"/>
        <v>0</v>
      </c>
      <c r="AM24" s="521">
        <f t="shared" si="36"/>
        <v>0</v>
      </c>
      <c r="AN24" s="521">
        <f t="shared" si="36"/>
        <v>0</v>
      </c>
      <c r="AO24" s="521">
        <f t="shared" si="36"/>
        <v>31360</v>
      </c>
      <c r="AP24" s="521">
        <f t="shared" si="36"/>
        <v>0</v>
      </c>
      <c r="AQ24" s="521">
        <f t="shared" si="36"/>
        <v>31360</v>
      </c>
      <c r="AR24" s="521">
        <f t="shared" si="36"/>
        <v>0</v>
      </c>
      <c r="AS24" s="521">
        <f t="shared" si="36"/>
        <v>0</v>
      </c>
      <c r="AT24" s="521">
        <f t="shared" si="36"/>
        <v>0</v>
      </c>
      <c r="AU24" s="521">
        <f t="shared" si="36"/>
        <v>0</v>
      </c>
      <c r="AV24" s="521">
        <f t="shared" si="36"/>
        <v>-314</v>
      </c>
      <c r="AW24" s="521">
        <f t="shared" si="36"/>
        <v>0</v>
      </c>
      <c r="AX24" s="521">
        <f t="shared" si="36"/>
        <v>0</v>
      </c>
      <c r="AY24" s="521">
        <f t="shared" si="36"/>
        <v>0</v>
      </c>
      <c r="AZ24" s="521">
        <f t="shared" si="36"/>
        <v>-314</v>
      </c>
      <c r="BA24" s="572">
        <f t="shared" si="36"/>
        <v>-0.05</v>
      </c>
      <c r="BB24" s="572">
        <f t="shared" si="36"/>
        <v>0</v>
      </c>
      <c r="BC24" s="572">
        <f t="shared" si="36"/>
        <v>0</v>
      </c>
      <c r="BD24" s="572">
        <f t="shared" si="36"/>
        <v>0</v>
      </c>
      <c r="BE24" s="572">
        <f t="shared" si="36"/>
        <v>0</v>
      </c>
      <c r="BF24" s="572">
        <f t="shared" si="36"/>
        <v>0</v>
      </c>
      <c r="BG24" s="572">
        <f t="shared" si="36"/>
        <v>0</v>
      </c>
      <c r="BH24" s="572">
        <f t="shared" si="36"/>
        <v>0</v>
      </c>
      <c r="BI24" s="572">
        <f t="shared" si="36"/>
        <v>0</v>
      </c>
      <c r="BJ24" s="572">
        <f t="shared" si="36"/>
        <v>0</v>
      </c>
      <c r="BK24" s="572">
        <f t="shared" si="36"/>
        <v>-0.05</v>
      </c>
      <c r="BL24" s="572">
        <f t="shared" si="36"/>
        <v>0</v>
      </c>
      <c r="BM24" s="403">
        <f t="shared" si="36"/>
        <v>-0.05</v>
      </c>
      <c r="BN24" s="522">
        <f t="shared" si="36"/>
        <v>5807008</v>
      </c>
      <c r="BO24" s="521">
        <f t="shared" si="36"/>
        <v>4261956</v>
      </c>
      <c r="BP24" s="521">
        <f t="shared" si="36"/>
        <v>3495780</v>
      </c>
      <c r="BQ24" s="521">
        <f t="shared" si="36"/>
        <v>766176</v>
      </c>
      <c r="BR24" s="521">
        <f t="shared" si="36"/>
        <v>31360</v>
      </c>
      <c r="BS24" s="521">
        <f t="shared" si="36"/>
        <v>31360</v>
      </c>
      <c r="BT24" s="521">
        <f t="shared" si="36"/>
        <v>0</v>
      </c>
      <c r="BU24" s="521">
        <f t="shared" si="36"/>
        <v>1451141</v>
      </c>
      <c r="BV24" s="521">
        <f t="shared" ref="BV24:CF24" si="38">SUM(BV21:BV23)</f>
        <v>42619</v>
      </c>
      <c r="BW24" s="521">
        <f t="shared" si="38"/>
        <v>19932</v>
      </c>
      <c r="BX24" s="572">
        <f t="shared" si="38"/>
        <v>8.3901000000000003</v>
      </c>
      <c r="BY24" s="572">
        <f t="shared" si="38"/>
        <v>5.95</v>
      </c>
      <c r="BZ24" s="403">
        <f t="shared" si="38"/>
        <v>2.4401000000000002</v>
      </c>
      <c r="CA24" s="833">
        <f t="shared" si="38"/>
        <v>0</v>
      </c>
      <c r="CB24" s="834">
        <f t="shared" si="38"/>
        <v>0</v>
      </c>
      <c r="CC24" s="834">
        <f t="shared" si="38"/>
        <v>0</v>
      </c>
      <c r="CD24" s="834">
        <f t="shared" si="38"/>
        <v>0</v>
      </c>
      <c r="CE24" s="834">
        <f t="shared" si="38"/>
        <v>0</v>
      </c>
      <c r="CF24" s="829">
        <f t="shared" si="38"/>
        <v>0</v>
      </c>
    </row>
    <row r="25" spans="1:84" s="222" customFormat="1" ht="12.75" customHeight="1" x14ac:dyDescent="0.2">
      <c r="A25" s="224">
        <v>5</v>
      </c>
      <c r="B25" s="225">
        <v>3464</v>
      </c>
      <c r="C25" s="225">
        <v>691001316</v>
      </c>
      <c r="D25" s="225">
        <v>72048140</v>
      </c>
      <c r="E25" s="226" t="s">
        <v>16</v>
      </c>
      <c r="F25" s="225">
        <v>3111</v>
      </c>
      <c r="G25" s="226" t="s">
        <v>291</v>
      </c>
      <c r="H25" s="227" t="s">
        <v>271</v>
      </c>
      <c r="I25" s="423">
        <f t="shared" ref="I25:I27" si="39">J25+P25+Q25+R25</f>
        <v>6938818</v>
      </c>
      <c r="J25" s="418">
        <f>K25+L25</f>
        <v>5130655</v>
      </c>
      <c r="K25" s="418">
        <v>4660453</v>
      </c>
      <c r="L25" s="418">
        <v>470202</v>
      </c>
      <c r="M25" s="418">
        <f>N25+O25</f>
        <v>0</v>
      </c>
      <c r="N25" s="418"/>
      <c r="O25" s="418"/>
      <c r="P25" s="68">
        <f t="shared" ref="P25:P27" si="40">ROUND(J25*33.8%,0)</f>
        <v>1734161</v>
      </c>
      <c r="Q25" s="68">
        <f t="shared" ref="Q25:Q27" si="41">ROUND(J25*1%,0)</f>
        <v>51307</v>
      </c>
      <c r="R25" s="418">
        <v>22695</v>
      </c>
      <c r="S25" s="419">
        <f>T25+U25</f>
        <v>9.6000999999999994</v>
      </c>
      <c r="T25" s="420">
        <v>8</v>
      </c>
      <c r="U25" s="527">
        <v>1.6000999999999999</v>
      </c>
      <c r="V25" s="427">
        <f t="shared" ref="V25:W27" si="42">AI25*-1</f>
        <v>-12800</v>
      </c>
      <c r="W25" s="421">
        <f t="shared" si="42"/>
        <v>-12288</v>
      </c>
      <c r="X25" s="421">
        <v>0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>V25+X25+Y25+AA25+AB25+AD25</f>
        <v>-12800</v>
      </c>
      <c r="AG25" s="421">
        <f>W25+Z25+AC25+AE25</f>
        <v>-12288</v>
      </c>
      <c r="AH25" s="421">
        <f>SUM(AF25:AG25)</f>
        <v>-25088</v>
      </c>
      <c r="AI25" s="421">
        <v>12800</v>
      </c>
      <c r="AJ25" s="421">
        <v>12288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ref="AO25:AO27" si="43">AI25+AK25+AL25+AM25</f>
        <v>12800</v>
      </c>
      <c r="AP25" s="421">
        <f>AJ25+AN25</f>
        <v>12288</v>
      </c>
      <c r="AQ25" s="421">
        <f>SUM(AO25:AP25)</f>
        <v>25088</v>
      </c>
      <c r="AR25" s="421">
        <f t="shared" ref="AR25:AS27" si="44">AF25+AO25</f>
        <v>0</v>
      </c>
      <c r="AS25" s="421">
        <f t="shared" si="44"/>
        <v>0</v>
      </c>
      <c r="AT25" s="421">
        <f>SUM(AR25:AS25)</f>
        <v>0</v>
      </c>
      <c r="AU25" s="68">
        <f t="shared" ref="AU25:AU27" si="45">ROUND((AH25+AI25+AJ25+AK25+AL25)*33.8%,0)</f>
        <v>0</v>
      </c>
      <c r="AV25" s="68">
        <f>ROUND(AH25*1%,0)</f>
        <v>-251</v>
      </c>
      <c r="AW25" s="421">
        <v>0</v>
      </c>
      <c r="AX25" s="421">
        <v>0</v>
      </c>
      <c r="AY25" s="421">
        <f>AW25+AX25</f>
        <v>0</v>
      </c>
      <c r="AZ25" s="421">
        <f>AT25+AU25+AV25+AY25</f>
        <v>-251</v>
      </c>
      <c r="BA25" s="422">
        <v>0</v>
      </c>
      <c r="BB25" s="422">
        <v>-0.05</v>
      </c>
      <c r="BC25" s="422">
        <v>0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0</v>
      </c>
      <c r="BL25" s="422">
        <f>BB25+BE25+BG25+BJ25</f>
        <v>-0.05</v>
      </c>
      <c r="BM25" s="611">
        <f>SUM(BK25:BL25)</f>
        <v>-0.05</v>
      </c>
      <c r="BN25" s="428">
        <f>I25+AZ25</f>
        <v>6938567</v>
      </c>
      <c r="BO25" s="421">
        <f>J25+AH25</f>
        <v>5105567</v>
      </c>
      <c r="BP25" s="421">
        <f t="shared" ref="BP25:BQ27" si="46">K25+AF25</f>
        <v>4647653</v>
      </c>
      <c r="BQ25" s="421">
        <f t="shared" si="46"/>
        <v>457914</v>
      </c>
      <c r="BR25" s="421">
        <f>M25+AQ25</f>
        <v>25088</v>
      </c>
      <c r="BS25" s="421">
        <f t="shared" ref="BS25:BT27" si="47">N25+AO25</f>
        <v>12800</v>
      </c>
      <c r="BT25" s="421">
        <f t="shared" si="47"/>
        <v>12288</v>
      </c>
      <c r="BU25" s="421">
        <f t="shared" ref="BU25:BV27" si="48">P25+AU25</f>
        <v>1734161</v>
      </c>
      <c r="BV25" s="421">
        <f t="shared" si="48"/>
        <v>51056</v>
      </c>
      <c r="BW25" s="421">
        <f>R25+AY25</f>
        <v>22695</v>
      </c>
      <c r="BX25" s="422">
        <f>S25+BM25</f>
        <v>9.5500999999999987</v>
      </c>
      <c r="BY25" s="422">
        <f t="shared" ref="BY25:BZ27" si="49">T25+BK25</f>
        <v>8</v>
      </c>
      <c r="BZ25" s="611">
        <f t="shared" si="49"/>
        <v>1.5500999999999998</v>
      </c>
      <c r="CA25" s="423"/>
      <c r="CB25" s="418"/>
      <c r="CC25" s="418"/>
      <c r="CD25" s="418"/>
      <c r="CE25" s="418"/>
      <c r="CF25" s="527"/>
    </row>
    <row r="26" spans="1:84" s="222" customFormat="1" ht="12.75" customHeight="1" x14ac:dyDescent="0.2">
      <c r="A26" s="224">
        <v>5</v>
      </c>
      <c r="B26" s="225">
        <v>3464</v>
      </c>
      <c r="C26" s="225">
        <v>691001316</v>
      </c>
      <c r="D26" s="225">
        <v>72048140</v>
      </c>
      <c r="E26" s="226" t="s">
        <v>16</v>
      </c>
      <c r="F26" s="225">
        <v>3111</v>
      </c>
      <c r="G26" s="226" t="s">
        <v>292</v>
      </c>
      <c r="H26" s="227" t="s">
        <v>272</v>
      </c>
      <c r="I26" s="423">
        <f t="shared" si="39"/>
        <v>0</v>
      </c>
      <c r="J26" s="418">
        <f>K26+L26</f>
        <v>0</v>
      </c>
      <c r="K26" s="418">
        <v>0</v>
      </c>
      <c r="L26" s="418">
        <v>0</v>
      </c>
      <c r="M26" s="418">
        <f>N26+O26</f>
        <v>0</v>
      </c>
      <c r="N26" s="418"/>
      <c r="O26" s="418"/>
      <c r="P26" s="68">
        <f t="shared" si="40"/>
        <v>0</v>
      </c>
      <c r="Q26" s="68">
        <f t="shared" si="41"/>
        <v>0</v>
      </c>
      <c r="R26" s="418">
        <v>0</v>
      </c>
      <c r="S26" s="419">
        <f>T26+U26</f>
        <v>0</v>
      </c>
      <c r="T26" s="420">
        <v>0</v>
      </c>
      <c r="U26" s="527">
        <v>0</v>
      </c>
      <c r="V26" s="427">
        <f t="shared" si="42"/>
        <v>0</v>
      </c>
      <c r="W26" s="421">
        <f t="shared" si="42"/>
        <v>0</v>
      </c>
      <c r="X26" s="421">
        <v>540752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540752</v>
      </c>
      <c r="AG26" s="421">
        <f>W26+Z26+AC26+AE26</f>
        <v>0</v>
      </c>
      <c r="AH26" s="421">
        <f>SUM(AF26:AG26)</f>
        <v>540752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43"/>
        <v>0</v>
      </c>
      <c r="AP26" s="421">
        <f>AJ26+AN26</f>
        <v>0</v>
      </c>
      <c r="AQ26" s="421">
        <f>SUM(AO26:AP26)</f>
        <v>0</v>
      </c>
      <c r="AR26" s="421">
        <f t="shared" si="44"/>
        <v>540752</v>
      </c>
      <c r="AS26" s="421">
        <f t="shared" si="44"/>
        <v>0</v>
      </c>
      <c r="AT26" s="421">
        <f>SUM(AR26:AS26)</f>
        <v>540752</v>
      </c>
      <c r="AU26" s="68">
        <f t="shared" si="45"/>
        <v>182774</v>
      </c>
      <c r="AV26" s="68">
        <f>ROUND(AH26*1%,0)</f>
        <v>5408</v>
      </c>
      <c r="AW26" s="421">
        <v>0</v>
      </c>
      <c r="AX26" s="421">
        <v>0</v>
      </c>
      <c r="AY26" s="421">
        <f>AW26+AX26</f>
        <v>0</v>
      </c>
      <c r="AZ26" s="421">
        <f>AT26+AU26+AV26+AY26</f>
        <v>728934</v>
      </c>
      <c r="BA26" s="422">
        <v>0</v>
      </c>
      <c r="BB26" s="422">
        <v>0</v>
      </c>
      <c r="BC26" s="422">
        <v>1.46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1.46</v>
      </c>
      <c r="BL26" s="422">
        <f>BB26+BE26+BG26+BJ26</f>
        <v>0</v>
      </c>
      <c r="BM26" s="611">
        <f>SUM(BK26:BL26)</f>
        <v>1.46</v>
      </c>
      <c r="BN26" s="428">
        <f>I26+AZ26</f>
        <v>728934</v>
      </c>
      <c r="BO26" s="421">
        <f>J26+AH26</f>
        <v>540752</v>
      </c>
      <c r="BP26" s="421">
        <f t="shared" si="46"/>
        <v>540752</v>
      </c>
      <c r="BQ26" s="421">
        <f t="shared" si="46"/>
        <v>0</v>
      </c>
      <c r="BR26" s="421">
        <f>M26+AQ26</f>
        <v>0</v>
      </c>
      <c r="BS26" s="421">
        <f t="shared" si="47"/>
        <v>0</v>
      </c>
      <c r="BT26" s="421">
        <f t="shared" si="47"/>
        <v>0</v>
      </c>
      <c r="BU26" s="421">
        <f t="shared" si="48"/>
        <v>182774</v>
      </c>
      <c r="BV26" s="421">
        <f t="shared" si="48"/>
        <v>5408</v>
      </c>
      <c r="BW26" s="421">
        <f>R26+AY26</f>
        <v>0</v>
      </c>
      <c r="BX26" s="422">
        <f>S26+BM26</f>
        <v>1.46</v>
      </c>
      <c r="BY26" s="422">
        <f t="shared" si="49"/>
        <v>1.46</v>
      </c>
      <c r="BZ26" s="611">
        <f t="shared" si="49"/>
        <v>0</v>
      </c>
      <c r="CA26" s="423"/>
      <c r="CB26" s="418"/>
      <c r="CC26" s="418"/>
      <c r="CD26" s="418"/>
      <c r="CE26" s="418"/>
      <c r="CF26" s="527"/>
    </row>
    <row r="27" spans="1:84" s="222" customFormat="1" ht="12.75" customHeight="1" x14ac:dyDescent="0.2">
      <c r="A27" s="224">
        <v>5</v>
      </c>
      <c r="B27" s="225">
        <v>3464</v>
      </c>
      <c r="C27" s="225">
        <v>691001316</v>
      </c>
      <c r="D27" s="225">
        <v>72048140</v>
      </c>
      <c r="E27" s="226" t="s">
        <v>16</v>
      </c>
      <c r="F27" s="225">
        <v>3141</v>
      </c>
      <c r="G27" s="226" t="s">
        <v>295</v>
      </c>
      <c r="H27" s="227" t="s">
        <v>272</v>
      </c>
      <c r="I27" s="423">
        <f t="shared" si="39"/>
        <v>659256</v>
      </c>
      <c r="J27" s="418">
        <f>K27+L27</f>
        <v>486881</v>
      </c>
      <c r="K27" s="418">
        <v>0</v>
      </c>
      <c r="L27" s="418">
        <v>486881</v>
      </c>
      <c r="M27" s="418">
        <f>N27+O27</f>
        <v>0</v>
      </c>
      <c r="N27" s="418"/>
      <c r="O27" s="418"/>
      <c r="P27" s="68">
        <f t="shared" si="40"/>
        <v>164566</v>
      </c>
      <c r="Q27" s="68">
        <f t="shared" si="41"/>
        <v>4869</v>
      </c>
      <c r="R27" s="418">
        <v>2940</v>
      </c>
      <c r="S27" s="419">
        <f>T27+U27</f>
        <v>1.46</v>
      </c>
      <c r="T27" s="420">
        <v>0</v>
      </c>
      <c r="U27" s="527">
        <v>1.46</v>
      </c>
      <c r="V27" s="427">
        <f t="shared" si="42"/>
        <v>0</v>
      </c>
      <c r="W27" s="421">
        <f t="shared" si="42"/>
        <v>-6400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>V27+X27+Y27+AA27+AB27+AD27</f>
        <v>0</v>
      </c>
      <c r="AG27" s="421">
        <f>W27+Z27+AC27+AE27</f>
        <v>-6400</v>
      </c>
      <c r="AH27" s="421">
        <f>SUM(AF27:AG27)</f>
        <v>-6400</v>
      </c>
      <c r="AI27" s="421">
        <v>0</v>
      </c>
      <c r="AJ27" s="421">
        <v>6400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43"/>
        <v>0</v>
      </c>
      <c r="AP27" s="421">
        <f>AJ27+AN27</f>
        <v>6400</v>
      </c>
      <c r="AQ27" s="421">
        <f>SUM(AO27:AP27)</f>
        <v>6400</v>
      </c>
      <c r="AR27" s="421">
        <f t="shared" si="44"/>
        <v>0</v>
      </c>
      <c r="AS27" s="421">
        <f t="shared" si="44"/>
        <v>0</v>
      </c>
      <c r="AT27" s="421">
        <f>SUM(AR27:AS27)</f>
        <v>0</v>
      </c>
      <c r="AU27" s="68">
        <f t="shared" si="45"/>
        <v>0</v>
      </c>
      <c r="AV27" s="68">
        <f>ROUND(AH27*1%,0)</f>
        <v>-64</v>
      </c>
      <c r="AW27" s="421">
        <v>0</v>
      </c>
      <c r="AX27" s="421">
        <v>0</v>
      </c>
      <c r="AY27" s="421">
        <f>AW27+AX27</f>
        <v>0</v>
      </c>
      <c r="AZ27" s="421">
        <f>AT27+AU27+AV27+AY27</f>
        <v>-64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>BA27+BC27+BD27+BF27+BH27+BI27</f>
        <v>0</v>
      </c>
      <c r="BL27" s="422">
        <f>BB27+BE27+BG27+BJ27</f>
        <v>0</v>
      </c>
      <c r="BM27" s="611">
        <f>SUM(BK27:BL27)</f>
        <v>0</v>
      </c>
      <c r="BN27" s="428">
        <f>I27+AZ27</f>
        <v>659192</v>
      </c>
      <c r="BO27" s="421">
        <f>J27+AH27</f>
        <v>480481</v>
      </c>
      <c r="BP27" s="421">
        <f t="shared" si="46"/>
        <v>0</v>
      </c>
      <c r="BQ27" s="421">
        <f t="shared" si="46"/>
        <v>480481</v>
      </c>
      <c r="BR27" s="421">
        <f>M27+AQ27</f>
        <v>6400</v>
      </c>
      <c r="BS27" s="421">
        <f t="shared" si="47"/>
        <v>0</v>
      </c>
      <c r="BT27" s="421">
        <f t="shared" si="47"/>
        <v>6400</v>
      </c>
      <c r="BU27" s="421">
        <f t="shared" si="48"/>
        <v>164566</v>
      </c>
      <c r="BV27" s="421">
        <f t="shared" si="48"/>
        <v>4805</v>
      </c>
      <c r="BW27" s="421">
        <f>R27+AY27</f>
        <v>2940</v>
      </c>
      <c r="BX27" s="422">
        <f>S27+BM27</f>
        <v>1.46</v>
      </c>
      <c r="BY27" s="422">
        <f t="shared" si="49"/>
        <v>0</v>
      </c>
      <c r="BZ27" s="611">
        <f t="shared" si="49"/>
        <v>1.46</v>
      </c>
      <c r="CA27" s="423"/>
      <c r="CB27" s="418"/>
      <c r="CC27" s="418"/>
      <c r="CD27" s="418"/>
      <c r="CE27" s="418"/>
      <c r="CF27" s="527"/>
    </row>
    <row r="28" spans="1:84" s="222" customFormat="1" ht="12.75" customHeight="1" x14ac:dyDescent="0.2">
      <c r="A28" s="153">
        <v>5</v>
      </c>
      <c r="B28" s="14">
        <v>3464</v>
      </c>
      <c r="C28" s="152">
        <v>691001316</v>
      </c>
      <c r="D28" s="152">
        <v>72048140</v>
      </c>
      <c r="E28" s="223" t="s">
        <v>17</v>
      </c>
      <c r="F28" s="14"/>
      <c r="G28" s="223"/>
      <c r="H28" s="592"/>
      <c r="I28" s="522">
        <f t="shared" ref="I28:BU28" si="50">SUM(I25:I27)</f>
        <v>7598074</v>
      </c>
      <c r="J28" s="521">
        <f t="shared" si="50"/>
        <v>5617536</v>
      </c>
      <c r="K28" s="521">
        <f t="shared" si="50"/>
        <v>4660453</v>
      </c>
      <c r="L28" s="521">
        <f t="shared" si="50"/>
        <v>957083</v>
      </c>
      <c r="M28" s="521">
        <f t="shared" si="50"/>
        <v>0</v>
      </c>
      <c r="N28" s="521">
        <f t="shared" si="50"/>
        <v>0</v>
      </c>
      <c r="O28" s="521">
        <f t="shared" si="50"/>
        <v>0</v>
      </c>
      <c r="P28" s="521">
        <f t="shared" si="50"/>
        <v>1898727</v>
      </c>
      <c r="Q28" s="521">
        <f t="shared" si="50"/>
        <v>56176</v>
      </c>
      <c r="R28" s="521">
        <f t="shared" si="50"/>
        <v>25635</v>
      </c>
      <c r="S28" s="572">
        <f t="shared" si="50"/>
        <v>11.060099999999998</v>
      </c>
      <c r="T28" s="572">
        <f t="shared" si="50"/>
        <v>8</v>
      </c>
      <c r="U28" s="448">
        <f t="shared" si="50"/>
        <v>3.0600999999999998</v>
      </c>
      <c r="V28" s="614">
        <f t="shared" si="50"/>
        <v>-12800</v>
      </c>
      <c r="W28" s="521">
        <f t="shared" si="50"/>
        <v>-18688</v>
      </c>
      <c r="X28" s="521">
        <f t="shared" si="50"/>
        <v>540752</v>
      </c>
      <c r="Y28" s="521">
        <f t="shared" si="50"/>
        <v>0</v>
      </c>
      <c r="Z28" s="521">
        <f t="shared" si="50"/>
        <v>0</v>
      </c>
      <c r="AA28" s="521">
        <f t="shared" si="50"/>
        <v>0</v>
      </c>
      <c r="AB28" s="521">
        <f t="shared" si="50"/>
        <v>0</v>
      </c>
      <c r="AC28" s="521">
        <f t="shared" si="50"/>
        <v>0</v>
      </c>
      <c r="AD28" s="521">
        <f t="shared" si="50"/>
        <v>0</v>
      </c>
      <c r="AE28" s="521">
        <f t="shared" si="50"/>
        <v>0</v>
      </c>
      <c r="AF28" s="521">
        <f t="shared" si="50"/>
        <v>527952</v>
      </c>
      <c r="AG28" s="521">
        <f t="shared" si="50"/>
        <v>-18688</v>
      </c>
      <c r="AH28" s="521">
        <f t="shared" si="50"/>
        <v>509264</v>
      </c>
      <c r="AI28" s="521">
        <f t="shared" si="50"/>
        <v>12800</v>
      </c>
      <c r="AJ28" s="521">
        <f t="shared" si="50"/>
        <v>18688</v>
      </c>
      <c r="AK28" s="521">
        <f t="shared" ref="AK28" si="51">SUM(AK25:AK27)</f>
        <v>0</v>
      </c>
      <c r="AL28" s="521">
        <f t="shared" si="50"/>
        <v>0</v>
      </c>
      <c r="AM28" s="521">
        <f t="shared" si="50"/>
        <v>0</v>
      </c>
      <c r="AN28" s="521">
        <f t="shared" si="50"/>
        <v>0</v>
      </c>
      <c r="AO28" s="521">
        <f t="shared" si="50"/>
        <v>12800</v>
      </c>
      <c r="AP28" s="521">
        <f t="shared" si="50"/>
        <v>18688</v>
      </c>
      <c r="AQ28" s="521">
        <f t="shared" si="50"/>
        <v>31488</v>
      </c>
      <c r="AR28" s="521">
        <f t="shared" si="50"/>
        <v>540752</v>
      </c>
      <c r="AS28" s="521">
        <f t="shared" si="50"/>
        <v>0</v>
      </c>
      <c r="AT28" s="521">
        <f t="shared" si="50"/>
        <v>540752</v>
      </c>
      <c r="AU28" s="521">
        <f t="shared" si="50"/>
        <v>182774</v>
      </c>
      <c r="AV28" s="521">
        <f t="shared" si="50"/>
        <v>5093</v>
      </c>
      <c r="AW28" s="521">
        <f t="shared" si="50"/>
        <v>0</v>
      </c>
      <c r="AX28" s="521">
        <f t="shared" si="50"/>
        <v>0</v>
      </c>
      <c r="AY28" s="521">
        <f t="shared" si="50"/>
        <v>0</v>
      </c>
      <c r="AZ28" s="521">
        <f t="shared" si="50"/>
        <v>728619</v>
      </c>
      <c r="BA28" s="572">
        <f t="shared" si="50"/>
        <v>0</v>
      </c>
      <c r="BB28" s="572">
        <f t="shared" si="50"/>
        <v>-0.05</v>
      </c>
      <c r="BC28" s="572">
        <f t="shared" si="50"/>
        <v>1.46</v>
      </c>
      <c r="BD28" s="572">
        <f t="shared" si="50"/>
        <v>0</v>
      </c>
      <c r="BE28" s="572">
        <f t="shared" si="50"/>
        <v>0</v>
      </c>
      <c r="BF28" s="572">
        <f t="shared" si="50"/>
        <v>0</v>
      </c>
      <c r="BG28" s="572">
        <f t="shared" si="50"/>
        <v>0</v>
      </c>
      <c r="BH28" s="572">
        <f t="shared" si="50"/>
        <v>0</v>
      </c>
      <c r="BI28" s="572">
        <f t="shared" si="50"/>
        <v>0</v>
      </c>
      <c r="BJ28" s="572">
        <f t="shared" si="50"/>
        <v>0</v>
      </c>
      <c r="BK28" s="572">
        <f t="shared" si="50"/>
        <v>1.46</v>
      </c>
      <c r="BL28" s="572">
        <f t="shared" si="50"/>
        <v>-0.05</v>
      </c>
      <c r="BM28" s="403">
        <f t="shared" si="50"/>
        <v>1.41</v>
      </c>
      <c r="BN28" s="522">
        <f t="shared" si="50"/>
        <v>8326693</v>
      </c>
      <c r="BO28" s="521">
        <f t="shared" si="50"/>
        <v>6126800</v>
      </c>
      <c r="BP28" s="521">
        <f t="shared" si="50"/>
        <v>5188405</v>
      </c>
      <c r="BQ28" s="521">
        <f t="shared" si="50"/>
        <v>938395</v>
      </c>
      <c r="BR28" s="521">
        <f t="shared" si="50"/>
        <v>31488</v>
      </c>
      <c r="BS28" s="521">
        <f t="shared" si="50"/>
        <v>12800</v>
      </c>
      <c r="BT28" s="521">
        <f t="shared" si="50"/>
        <v>18688</v>
      </c>
      <c r="BU28" s="521">
        <f t="shared" si="50"/>
        <v>2081501</v>
      </c>
      <c r="BV28" s="521">
        <f t="shared" ref="BV28:CF28" si="52">SUM(BV25:BV27)</f>
        <v>61269</v>
      </c>
      <c r="BW28" s="521">
        <f t="shared" si="52"/>
        <v>25635</v>
      </c>
      <c r="BX28" s="572">
        <f t="shared" si="52"/>
        <v>12.470099999999999</v>
      </c>
      <c r="BY28" s="572">
        <f t="shared" si="52"/>
        <v>9.4600000000000009</v>
      </c>
      <c r="BZ28" s="403">
        <f t="shared" si="52"/>
        <v>3.0100999999999996</v>
      </c>
      <c r="CA28" s="833">
        <f t="shared" si="52"/>
        <v>0</v>
      </c>
      <c r="CB28" s="834">
        <f t="shared" si="52"/>
        <v>0</v>
      </c>
      <c r="CC28" s="834">
        <f t="shared" si="52"/>
        <v>0</v>
      </c>
      <c r="CD28" s="834">
        <f t="shared" si="52"/>
        <v>0</v>
      </c>
      <c r="CE28" s="834">
        <f t="shared" si="52"/>
        <v>0</v>
      </c>
      <c r="CF28" s="829">
        <f t="shared" si="52"/>
        <v>0</v>
      </c>
    </row>
    <row r="29" spans="1:84" s="222" customFormat="1" ht="12.75" customHeight="1" x14ac:dyDescent="0.2">
      <c r="A29" s="224">
        <v>6</v>
      </c>
      <c r="B29" s="225">
        <v>3453</v>
      </c>
      <c r="C29" s="225">
        <v>667101411</v>
      </c>
      <c r="D29" s="225">
        <v>75109522</v>
      </c>
      <c r="E29" s="226" t="s">
        <v>18</v>
      </c>
      <c r="F29" s="225">
        <v>3111</v>
      </c>
      <c r="G29" s="226" t="s">
        <v>291</v>
      </c>
      <c r="H29" s="227" t="s">
        <v>271</v>
      </c>
      <c r="I29" s="423">
        <f t="shared" ref="I29:I30" si="53">J29+P29+Q29+R29</f>
        <v>6546221</v>
      </c>
      <c r="J29" s="418">
        <f>K29+L29</f>
        <v>4839807</v>
      </c>
      <c r="K29" s="418">
        <v>4322133</v>
      </c>
      <c r="L29" s="418">
        <v>517674</v>
      </c>
      <c r="M29" s="418">
        <f>N29+O29</f>
        <v>0</v>
      </c>
      <c r="N29" s="418"/>
      <c r="O29" s="418"/>
      <c r="P29" s="68">
        <f t="shared" ref="P29:P30" si="54">ROUND(J29*33.8%,0)</f>
        <v>1635855</v>
      </c>
      <c r="Q29" s="68">
        <f t="shared" ref="Q29:Q30" si="55">ROUND(J29*1%,0)</f>
        <v>48398</v>
      </c>
      <c r="R29" s="418">
        <v>22161</v>
      </c>
      <c r="S29" s="419">
        <f>T29+U29</f>
        <v>9.26</v>
      </c>
      <c r="T29" s="420">
        <v>7.5</v>
      </c>
      <c r="U29" s="527">
        <v>1.76</v>
      </c>
      <c r="V29" s="427">
        <f>AI29*-1</f>
        <v>0</v>
      </c>
      <c r="W29" s="421">
        <f>AJ29*-1</f>
        <v>-16640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>V29+X29+Y29+AA29+AB29+AD29</f>
        <v>0</v>
      </c>
      <c r="AG29" s="421">
        <f>W29+Z29+AC29+AE29</f>
        <v>-16640</v>
      </c>
      <c r="AH29" s="421">
        <f>SUM(AF29:AG29)</f>
        <v>-16640</v>
      </c>
      <c r="AI29" s="421">
        <v>0</v>
      </c>
      <c r="AJ29" s="421">
        <v>16640</v>
      </c>
      <c r="AK29" s="421">
        <v>0</v>
      </c>
      <c r="AL29" s="421">
        <v>0</v>
      </c>
      <c r="AM29" s="421">
        <v>170000</v>
      </c>
      <c r="AN29" s="421">
        <v>0</v>
      </c>
      <c r="AO29" s="421">
        <f t="shared" ref="AO29:AO30" si="56">AI29+AK29+AL29+AM29</f>
        <v>170000</v>
      </c>
      <c r="AP29" s="421">
        <f>AJ29+AN29</f>
        <v>16640</v>
      </c>
      <c r="AQ29" s="421">
        <f>SUM(AO29:AP29)</f>
        <v>186640</v>
      </c>
      <c r="AR29" s="421">
        <f>AF29+AO29</f>
        <v>170000</v>
      </c>
      <c r="AS29" s="421">
        <f>AG29+AP29</f>
        <v>0</v>
      </c>
      <c r="AT29" s="421">
        <f>SUM(AR29:AS29)</f>
        <v>170000</v>
      </c>
      <c r="AU29" s="68">
        <f t="shared" ref="AU29:AU30" si="57">ROUND((AH29+AI29+AJ29+AK29+AL29)*33.8%,0)</f>
        <v>0</v>
      </c>
      <c r="AV29" s="68">
        <f>ROUND(AH29*1%,0)</f>
        <v>-166</v>
      </c>
      <c r="AW29" s="421">
        <v>0</v>
      </c>
      <c r="AX29" s="421">
        <v>0</v>
      </c>
      <c r="AY29" s="421">
        <f>AW29+AX29</f>
        <v>0</v>
      </c>
      <c r="AZ29" s="421">
        <f>AT29+AU29+AV29+AY29</f>
        <v>169834</v>
      </c>
      <c r="BA29" s="422">
        <v>0</v>
      </c>
      <c r="BB29" s="422">
        <v>-7.0000000000000007E-2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>BA29+BC29+BD29+BF29+BH29+BI29</f>
        <v>0</v>
      </c>
      <c r="BL29" s="422">
        <f>BB29+BE29+BG29+BJ29</f>
        <v>-7.0000000000000007E-2</v>
      </c>
      <c r="BM29" s="611">
        <f>SUM(BK29:BL29)</f>
        <v>-7.0000000000000007E-2</v>
      </c>
      <c r="BN29" s="428">
        <f>I29+AZ29</f>
        <v>6716055</v>
      </c>
      <c r="BO29" s="421">
        <f>J29+AH29</f>
        <v>4823167</v>
      </c>
      <c r="BP29" s="421">
        <f>K29+AF29</f>
        <v>4322133</v>
      </c>
      <c r="BQ29" s="421">
        <f>L29+AG29</f>
        <v>501034</v>
      </c>
      <c r="BR29" s="421">
        <f>M29+AQ29</f>
        <v>186640</v>
      </c>
      <c r="BS29" s="421">
        <f>N29+AO29</f>
        <v>170000</v>
      </c>
      <c r="BT29" s="421">
        <f>O29+AP29</f>
        <v>16640</v>
      </c>
      <c r="BU29" s="421">
        <f>P29+AU29</f>
        <v>1635855</v>
      </c>
      <c r="BV29" s="421">
        <f>Q29+AV29</f>
        <v>48232</v>
      </c>
      <c r="BW29" s="421">
        <f>R29+AY29</f>
        <v>22161</v>
      </c>
      <c r="BX29" s="422">
        <f>S29+BM29</f>
        <v>9.19</v>
      </c>
      <c r="BY29" s="422">
        <f>T29+BK29</f>
        <v>7.5</v>
      </c>
      <c r="BZ29" s="611">
        <f>U29+BL29</f>
        <v>1.69</v>
      </c>
      <c r="CA29" s="423"/>
      <c r="CB29" s="418"/>
      <c r="CC29" s="418"/>
      <c r="CD29" s="418"/>
      <c r="CE29" s="418"/>
      <c r="CF29" s="527"/>
    </row>
    <row r="30" spans="1:84" s="222" customFormat="1" ht="12.75" customHeight="1" x14ac:dyDescent="0.2">
      <c r="A30" s="224">
        <v>6</v>
      </c>
      <c r="B30" s="225">
        <v>3453</v>
      </c>
      <c r="C30" s="225">
        <v>667101411</v>
      </c>
      <c r="D30" s="225">
        <v>75109522</v>
      </c>
      <c r="E30" s="226" t="s">
        <v>18</v>
      </c>
      <c r="F30" s="225">
        <v>3141</v>
      </c>
      <c r="G30" s="226" t="s">
        <v>295</v>
      </c>
      <c r="H30" s="227" t="s">
        <v>272</v>
      </c>
      <c r="I30" s="423">
        <f t="shared" si="53"/>
        <v>541642</v>
      </c>
      <c r="J30" s="418">
        <f>K30+L30</f>
        <v>400176</v>
      </c>
      <c r="K30" s="418">
        <v>0</v>
      </c>
      <c r="L30" s="418">
        <v>400176</v>
      </c>
      <c r="M30" s="418">
        <f>N30+O30</f>
        <v>0</v>
      </c>
      <c r="N30" s="418"/>
      <c r="O30" s="418"/>
      <c r="P30" s="68">
        <f t="shared" si="54"/>
        <v>135259</v>
      </c>
      <c r="Q30" s="68">
        <f t="shared" si="55"/>
        <v>4002</v>
      </c>
      <c r="R30" s="418">
        <v>2205</v>
      </c>
      <c r="S30" s="419">
        <f>T30+U30</f>
        <v>1.2</v>
      </c>
      <c r="T30" s="420">
        <v>0</v>
      </c>
      <c r="U30" s="527">
        <v>1.2</v>
      </c>
      <c r="V30" s="427">
        <f>AI30*-1</f>
        <v>0</v>
      </c>
      <c r="W30" s="421">
        <f>AJ30*-1</f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>V30+X30+Y30+AA30+AB30+AD30</f>
        <v>0</v>
      </c>
      <c r="AG30" s="421">
        <f>W30+Z30+AC30+AE30</f>
        <v>0</v>
      </c>
      <c r="AH30" s="421">
        <f>SUM(AF30:AG30)</f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56"/>
        <v>0</v>
      </c>
      <c r="AP30" s="421">
        <f>AJ30+AN30</f>
        <v>0</v>
      </c>
      <c r="AQ30" s="421">
        <f>SUM(AO30:AP30)</f>
        <v>0</v>
      </c>
      <c r="AR30" s="421">
        <f>AF30+AO30</f>
        <v>0</v>
      </c>
      <c r="AS30" s="421">
        <f>AG30+AP30</f>
        <v>0</v>
      </c>
      <c r="AT30" s="421">
        <f>SUM(AR30:AS30)</f>
        <v>0</v>
      </c>
      <c r="AU30" s="68">
        <f t="shared" si="57"/>
        <v>0</v>
      </c>
      <c r="AV30" s="68">
        <f>ROUND(AH30*1%,0)</f>
        <v>0</v>
      </c>
      <c r="AW30" s="421">
        <v>0</v>
      </c>
      <c r="AX30" s="421">
        <v>0</v>
      </c>
      <c r="AY30" s="421">
        <f>AW30+AX30</f>
        <v>0</v>
      </c>
      <c r="AZ30" s="421">
        <f>AT30+AU30+AV30+AY30</f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>BA30+BC30+BD30+BF30+BH30+BI30</f>
        <v>0</v>
      </c>
      <c r="BL30" s="422">
        <f>BB30+BE30+BG30+BJ30</f>
        <v>0</v>
      </c>
      <c r="BM30" s="611">
        <f>SUM(BK30:BL30)</f>
        <v>0</v>
      </c>
      <c r="BN30" s="428">
        <f>I30+AZ30</f>
        <v>541642</v>
      </c>
      <c r="BO30" s="421">
        <f>J30+AH30</f>
        <v>400176</v>
      </c>
      <c r="BP30" s="421">
        <f>K30+AF30</f>
        <v>0</v>
      </c>
      <c r="BQ30" s="421">
        <f>L30+AG30</f>
        <v>400176</v>
      </c>
      <c r="BR30" s="421">
        <f>M30+AQ30</f>
        <v>0</v>
      </c>
      <c r="BS30" s="421">
        <f>N30+AO30</f>
        <v>0</v>
      </c>
      <c r="BT30" s="421">
        <f>O30+AP30</f>
        <v>0</v>
      </c>
      <c r="BU30" s="421">
        <f>P30+AU30</f>
        <v>135259</v>
      </c>
      <c r="BV30" s="421">
        <f>Q30+AV30</f>
        <v>4002</v>
      </c>
      <c r="BW30" s="421">
        <f>R30+AY30</f>
        <v>2205</v>
      </c>
      <c r="BX30" s="422">
        <f>S30+BM30</f>
        <v>1.2</v>
      </c>
      <c r="BY30" s="422">
        <f>T30+BK30</f>
        <v>0</v>
      </c>
      <c r="BZ30" s="611">
        <f>U30+BL30</f>
        <v>1.2</v>
      </c>
      <c r="CA30" s="423"/>
      <c r="CB30" s="418"/>
      <c r="CC30" s="418"/>
      <c r="CD30" s="418"/>
      <c r="CE30" s="418"/>
      <c r="CF30" s="527"/>
    </row>
    <row r="31" spans="1:84" s="222" customFormat="1" ht="12.75" customHeight="1" x14ac:dyDescent="0.2">
      <c r="A31" s="153">
        <v>6</v>
      </c>
      <c r="B31" s="14">
        <v>3453</v>
      </c>
      <c r="C31" s="152">
        <v>667101411</v>
      </c>
      <c r="D31" s="152">
        <v>75109522</v>
      </c>
      <c r="E31" s="223" t="s">
        <v>19</v>
      </c>
      <c r="F31" s="14"/>
      <c r="G31" s="223"/>
      <c r="H31" s="592"/>
      <c r="I31" s="522">
        <f t="shared" ref="I31:BU31" si="58">SUM(I29:I30)</f>
        <v>7087863</v>
      </c>
      <c r="J31" s="521">
        <f t="shared" si="58"/>
        <v>5239983</v>
      </c>
      <c r="K31" s="521">
        <f t="shared" si="58"/>
        <v>4322133</v>
      </c>
      <c r="L31" s="521">
        <f t="shared" si="58"/>
        <v>917850</v>
      </c>
      <c r="M31" s="521">
        <f t="shared" si="58"/>
        <v>0</v>
      </c>
      <c r="N31" s="521">
        <f t="shared" si="58"/>
        <v>0</v>
      </c>
      <c r="O31" s="521">
        <f t="shared" si="58"/>
        <v>0</v>
      </c>
      <c r="P31" s="521">
        <f t="shared" si="58"/>
        <v>1771114</v>
      </c>
      <c r="Q31" s="521">
        <f t="shared" si="58"/>
        <v>52400</v>
      </c>
      <c r="R31" s="521">
        <f t="shared" si="58"/>
        <v>24366</v>
      </c>
      <c r="S31" s="572">
        <f t="shared" si="58"/>
        <v>10.459999999999999</v>
      </c>
      <c r="T31" s="572">
        <f t="shared" si="58"/>
        <v>7.5</v>
      </c>
      <c r="U31" s="448">
        <f t="shared" si="58"/>
        <v>2.96</v>
      </c>
      <c r="V31" s="614">
        <f t="shared" si="58"/>
        <v>0</v>
      </c>
      <c r="W31" s="521">
        <f t="shared" si="58"/>
        <v>-16640</v>
      </c>
      <c r="X31" s="521">
        <f t="shared" si="58"/>
        <v>0</v>
      </c>
      <c r="Y31" s="521">
        <f t="shared" si="58"/>
        <v>0</v>
      </c>
      <c r="Z31" s="521">
        <f t="shared" si="58"/>
        <v>0</v>
      </c>
      <c r="AA31" s="521">
        <f t="shared" si="58"/>
        <v>0</v>
      </c>
      <c r="AB31" s="521">
        <f t="shared" si="58"/>
        <v>0</v>
      </c>
      <c r="AC31" s="521">
        <f t="shared" si="58"/>
        <v>0</v>
      </c>
      <c r="AD31" s="521">
        <f t="shared" si="58"/>
        <v>0</v>
      </c>
      <c r="AE31" s="521">
        <f t="shared" si="58"/>
        <v>0</v>
      </c>
      <c r="AF31" s="521">
        <f t="shared" si="58"/>
        <v>0</v>
      </c>
      <c r="AG31" s="521">
        <f t="shared" si="58"/>
        <v>-16640</v>
      </c>
      <c r="AH31" s="521">
        <f t="shared" si="58"/>
        <v>-16640</v>
      </c>
      <c r="AI31" s="521">
        <f t="shared" si="58"/>
        <v>0</v>
      </c>
      <c r="AJ31" s="521">
        <f t="shared" si="58"/>
        <v>16640</v>
      </c>
      <c r="AK31" s="521">
        <f t="shared" ref="AK31" si="59">SUM(AK29:AK30)</f>
        <v>0</v>
      </c>
      <c r="AL31" s="521">
        <f t="shared" si="58"/>
        <v>0</v>
      </c>
      <c r="AM31" s="521">
        <f t="shared" si="58"/>
        <v>170000</v>
      </c>
      <c r="AN31" s="521">
        <f t="shared" si="58"/>
        <v>0</v>
      </c>
      <c r="AO31" s="521">
        <f t="shared" si="58"/>
        <v>170000</v>
      </c>
      <c r="AP31" s="521">
        <f t="shared" si="58"/>
        <v>16640</v>
      </c>
      <c r="AQ31" s="521">
        <f t="shared" si="58"/>
        <v>186640</v>
      </c>
      <c r="AR31" s="521">
        <f t="shared" si="58"/>
        <v>170000</v>
      </c>
      <c r="AS31" s="521">
        <f t="shared" si="58"/>
        <v>0</v>
      </c>
      <c r="AT31" s="521">
        <f t="shared" si="58"/>
        <v>170000</v>
      </c>
      <c r="AU31" s="521">
        <f t="shared" si="58"/>
        <v>0</v>
      </c>
      <c r="AV31" s="521">
        <f t="shared" si="58"/>
        <v>-166</v>
      </c>
      <c r="AW31" s="521">
        <f t="shared" si="58"/>
        <v>0</v>
      </c>
      <c r="AX31" s="521">
        <f t="shared" si="58"/>
        <v>0</v>
      </c>
      <c r="AY31" s="521">
        <f t="shared" si="58"/>
        <v>0</v>
      </c>
      <c r="AZ31" s="521">
        <f t="shared" si="58"/>
        <v>169834</v>
      </c>
      <c r="BA31" s="572">
        <f t="shared" si="58"/>
        <v>0</v>
      </c>
      <c r="BB31" s="572">
        <f t="shared" si="58"/>
        <v>-7.0000000000000007E-2</v>
      </c>
      <c r="BC31" s="572">
        <f t="shared" si="58"/>
        <v>0</v>
      </c>
      <c r="BD31" s="572">
        <f t="shared" si="58"/>
        <v>0</v>
      </c>
      <c r="BE31" s="572">
        <f t="shared" si="58"/>
        <v>0</v>
      </c>
      <c r="BF31" s="572">
        <f t="shared" si="58"/>
        <v>0</v>
      </c>
      <c r="BG31" s="572">
        <f t="shared" si="58"/>
        <v>0</v>
      </c>
      <c r="BH31" s="572">
        <f t="shared" si="58"/>
        <v>0</v>
      </c>
      <c r="BI31" s="572">
        <f t="shared" si="58"/>
        <v>0</v>
      </c>
      <c r="BJ31" s="572">
        <f t="shared" si="58"/>
        <v>0</v>
      </c>
      <c r="BK31" s="572">
        <f t="shared" si="58"/>
        <v>0</v>
      </c>
      <c r="BL31" s="572">
        <f t="shared" si="58"/>
        <v>-7.0000000000000007E-2</v>
      </c>
      <c r="BM31" s="403">
        <f t="shared" si="58"/>
        <v>-7.0000000000000007E-2</v>
      </c>
      <c r="BN31" s="522">
        <f t="shared" si="58"/>
        <v>7257697</v>
      </c>
      <c r="BO31" s="521">
        <f t="shared" si="58"/>
        <v>5223343</v>
      </c>
      <c r="BP31" s="521">
        <f t="shared" si="58"/>
        <v>4322133</v>
      </c>
      <c r="BQ31" s="521">
        <f t="shared" si="58"/>
        <v>901210</v>
      </c>
      <c r="BR31" s="521">
        <f t="shared" si="58"/>
        <v>186640</v>
      </c>
      <c r="BS31" s="521">
        <f t="shared" si="58"/>
        <v>170000</v>
      </c>
      <c r="BT31" s="521">
        <f t="shared" si="58"/>
        <v>16640</v>
      </c>
      <c r="BU31" s="521">
        <f t="shared" si="58"/>
        <v>1771114</v>
      </c>
      <c r="BV31" s="521">
        <f t="shared" ref="BV31:CF31" si="60">SUM(BV29:BV30)</f>
        <v>52234</v>
      </c>
      <c r="BW31" s="521">
        <f t="shared" si="60"/>
        <v>24366</v>
      </c>
      <c r="BX31" s="572">
        <f t="shared" si="60"/>
        <v>10.389999999999999</v>
      </c>
      <c r="BY31" s="572">
        <f t="shared" si="60"/>
        <v>7.5</v>
      </c>
      <c r="BZ31" s="403">
        <f t="shared" si="60"/>
        <v>2.8899999999999997</v>
      </c>
      <c r="CA31" s="833">
        <f t="shared" si="60"/>
        <v>0</v>
      </c>
      <c r="CB31" s="834">
        <f t="shared" si="60"/>
        <v>0</v>
      </c>
      <c r="CC31" s="834">
        <f t="shared" si="60"/>
        <v>0</v>
      </c>
      <c r="CD31" s="834">
        <f t="shared" si="60"/>
        <v>0</v>
      </c>
      <c r="CE31" s="834">
        <f t="shared" si="60"/>
        <v>0</v>
      </c>
      <c r="CF31" s="829">
        <f t="shared" si="60"/>
        <v>0</v>
      </c>
    </row>
    <row r="32" spans="1:84" s="222" customFormat="1" ht="12.75" customHeight="1" x14ac:dyDescent="0.2">
      <c r="A32" s="224">
        <v>7</v>
      </c>
      <c r="B32" s="225">
        <v>3471</v>
      </c>
      <c r="C32" s="225">
        <v>691003491</v>
      </c>
      <c r="D32" s="225">
        <v>72550376</v>
      </c>
      <c r="E32" s="226" t="s">
        <v>20</v>
      </c>
      <c r="F32" s="225">
        <v>3111</v>
      </c>
      <c r="G32" s="226" t="s">
        <v>291</v>
      </c>
      <c r="H32" s="227" t="s">
        <v>271</v>
      </c>
      <c r="I32" s="423">
        <f t="shared" ref="I32:I34" si="61">J32+P32+Q32+R32</f>
        <v>6634128</v>
      </c>
      <c r="J32" s="418">
        <f>K32+L32</f>
        <v>4901210</v>
      </c>
      <c r="K32" s="418">
        <v>4431008</v>
      </c>
      <c r="L32" s="418">
        <v>470202</v>
      </c>
      <c r="M32" s="418">
        <f>N32+O32</f>
        <v>0</v>
      </c>
      <c r="N32" s="418"/>
      <c r="O32" s="418"/>
      <c r="P32" s="68">
        <f t="shared" ref="P32:P34" si="62">ROUND(J32*33.8%,0)</f>
        <v>1656609</v>
      </c>
      <c r="Q32" s="68">
        <f t="shared" ref="Q32:Q34" si="63">ROUND(J32*1%,0)</f>
        <v>49012</v>
      </c>
      <c r="R32" s="418">
        <v>27297</v>
      </c>
      <c r="S32" s="419">
        <f>T32+U32</f>
        <v>9.1806999999999999</v>
      </c>
      <c r="T32" s="420">
        <v>7.5805999999999996</v>
      </c>
      <c r="U32" s="527">
        <v>1.6000999999999999</v>
      </c>
      <c r="V32" s="427">
        <f t="shared" ref="V32:W34" si="64">AI32*-1</f>
        <v>0</v>
      </c>
      <c r="W32" s="421">
        <f t="shared" si="64"/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>V32+X32+Y32+AA32+AB32+AD32</f>
        <v>0</v>
      </c>
      <c r="AG32" s="421">
        <f>W32+Z32+AC32+AE32</f>
        <v>0</v>
      </c>
      <c r="AH32" s="421">
        <f>SUM(AF32:AG32)</f>
        <v>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ref="AO32:AO34" si="65">AI32+AK32+AL32+AM32</f>
        <v>0</v>
      </c>
      <c r="AP32" s="421">
        <f>AJ32+AN32</f>
        <v>0</v>
      </c>
      <c r="AQ32" s="421">
        <f>SUM(AO32:AP32)</f>
        <v>0</v>
      </c>
      <c r="AR32" s="421">
        <f t="shared" ref="AR32:AS34" si="66">AF32+AO32</f>
        <v>0</v>
      </c>
      <c r="AS32" s="421">
        <f t="shared" si="66"/>
        <v>0</v>
      </c>
      <c r="AT32" s="421">
        <f>SUM(AR32:AS32)</f>
        <v>0</v>
      </c>
      <c r="AU32" s="68">
        <f t="shared" ref="AU32:AU34" si="67">ROUND((AH32+AI32+AJ32+AK32+AL32)*33.8%,0)</f>
        <v>0</v>
      </c>
      <c r="AV32" s="68">
        <f>ROUND(AH32*1%,0)</f>
        <v>0</v>
      </c>
      <c r="AW32" s="421">
        <v>0</v>
      </c>
      <c r="AX32" s="421">
        <v>0</v>
      </c>
      <c r="AY32" s="421">
        <f>AW32+AX32</f>
        <v>0</v>
      </c>
      <c r="AZ32" s="421">
        <f>AT32+AU32+AV32+AY32</f>
        <v>0</v>
      </c>
      <c r="BA32" s="422">
        <v>0</v>
      </c>
      <c r="BB32" s="422">
        <v>0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>BA32+BC32+BD32+BF32+BH32+BI32</f>
        <v>0</v>
      </c>
      <c r="BL32" s="422">
        <f>BB32+BE32+BG32+BJ32</f>
        <v>0</v>
      </c>
      <c r="BM32" s="611">
        <f>SUM(BK32:BL32)</f>
        <v>0</v>
      </c>
      <c r="BN32" s="428">
        <f>I32+AZ32</f>
        <v>6634128</v>
      </c>
      <c r="BO32" s="421">
        <f>J32+AH32</f>
        <v>4901210</v>
      </c>
      <c r="BP32" s="421">
        <f t="shared" ref="BP32:BQ34" si="68">K32+AF32</f>
        <v>4431008</v>
      </c>
      <c r="BQ32" s="421">
        <f t="shared" si="68"/>
        <v>470202</v>
      </c>
      <c r="BR32" s="421">
        <f>M32+AQ32</f>
        <v>0</v>
      </c>
      <c r="BS32" s="421">
        <f t="shared" ref="BS32:BT34" si="69">N32+AO32</f>
        <v>0</v>
      </c>
      <c r="BT32" s="421">
        <f t="shared" si="69"/>
        <v>0</v>
      </c>
      <c r="BU32" s="421">
        <f t="shared" ref="BU32:BV34" si="70">P32+AU32</f>
        <v>1656609</v>
      </c>
      <c r="BV32" s="421">
        <f t="shared" si="70"/>
        <v>49012</v>
      </c>
      <c r="BW32" s="421">
        <f>R32+AY32</f>
        <v>27297</v>
      </c>
      <c r="BX32" s="422">
        <f>S32+BM32</f>
        <v>9.1806999999999999</v>
      </c>
      <c r="BY32" s="422">
        <f t="shared" ref="BY32:BZ34" si="71">T32+BK32</f>
        <v>7.5805999999999996</v>
      </c>
      <c r="BZ32" s="611">
        <f t="shared" si="71"/>
        <v>1.6000999999999999</v>
      </c>
      <c r="CA32" s="423"/>
      <c r="CB32" s="418"/>
      <c r="CC32" s="418"/>
      <c r="CD32" s="418"/>
      <c r="CE32" s="418"/>
      <c r="CF32" s="527"/>
    </row>
    <row r="33" spans="1:84" s="222" customFormat="1" ht="12.75" customHeight="1" x14ac:dyDescent="0.2">
      <c r="A33" s="224">
        <v>7</v>
      </c>
      <c r="B33" s="225">
        <v>3471</v>
      </c>
      <c r="C33" s="225">
        <v>691003491</v>
      </c>
      <c r="D33" s="225">
        <v>72550376</v>
      </c>
      <c r="E33" s="226" t="s">
        <v>20</v>
      </c>
      <c r="F33" s="225">
        <v>3111</v>
      </c>
      <c r="G33" s="226" t="s">
        <v>292</v>
      </c>
      <c r="H33" s="227" t="s">
        <v>272</v>
      </c>
      <c r="I33" s="423">
        <f t="shared" si="61"/>
        <v>0</v>
      </c>
      <c r="J33" s="418">
        <f>K33+L33</f>
        <v>0</v>
      </c>
      <c r="K33" s="418">
        <v>0</v>
      </c>
      <c r="L33" s="418">
        <v>0</v>
      </c>
      <c r="M33" s="418">
        <f>N33+O33</f>
        <v>0</v>
      </c>
      <c r="N33" s="418"/>
      <c r="O33" s="418"/>
      <c r="P33" s="68">
        <f t="shared" si="62"/>
        <v>0</v>
      </c>
      <c r="Q33" s="68">
        <f t="shared" si="63"/>
        <v>0</v>
      </c>
      <c r="R33" s="418">
        <v>0</v>
      </c>
      <c r="S33" s="419">
        <f>T33+U33</f>
        <v>0</v>
      </c>
      <c r="T33" s="420">
        <v>0</v>
      </c>
      <c r="U33" s="527">
        <v>0</v>
      </c>
      <c r="V33" s="427">
        <f t="shared" si="64"/>
        <v>0</v>
      </c>
      <c r="W33" s="421">
        <f t="shared" si="64"/>
        <v>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>V33+X33+Y33+AA33+AB33+AD33</f>
        <v>0</v>
      </c>
      <c r="AG33" s="421">
        <f>W33+Z33+AC33+AE33</f>
        <v>0</v>
      </c>
      <c r="AH33" s="421">
        <f>SUM(AF33:AG33)</f>
        <v>0</v>
      </c>
      <c r="AI33" s="421">
        <v>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65"/>
        <v>0</v>
      </c>
      <c r="AP33" s="421">
        <f>AJ33+AN33</f>
        <v>0</v>
      </c>
      <c r="AQ33" s="421">
        <f>SUM(AO33:AP33)</f>
        <v>0</v>
      </c>
      <c r="AR33" s="421">
        <f t="shared" si="66"/>
        <v>0</v>
      </c>
      <c r="AS33" s="421">
        <f t="shared" si="66"/>
        <v>0</v>
      </c>
      <c r="AT33" s="421">
        <f>SUM(AR33:AS33)</f>
        <v>0</v>
      </c>
      <c r="AU33" s="68">
        <f t="shared" si="67"/>
        <v>0</v>
      </c>
      <c r="AV33" s="68">
        <f>ROUND(AH33*1%,0)</f>
        <v>0</v>
      </c>
      <c r="AW33" s="421">
        <v>0</v>
      </c>
      <c r="AX33" s="421">
        <v>0</v>
      </c>
      <c r="AY33" s="421">
        <f>AW33+AX33</f>
        <v>0</v>
      </c>
      <c r="AZ33" s="421">
        <f>AT33+AU33+AV33+AY33</f>
        <v>0</v>
      </c>
      <c r="BA33" s="422">
        <v>0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>BA33+BC33+BD33+BF33+BH33+BI33</f>
        <v>0</v>
      </c>
      <c r="BL33" s="422">
        <f>BB33+BE33+BG33+BJ33</f>
        <v>0</v>
      </c>
      <c r="BM33" s="611">
        <f>SUM(BK33:BL33)</f>
        <v>0</v>
      </c>
      <c r="BN33" s="428">
        <f>I33+AZ33</f>
        <v>0</v>
      </c>
      <c r="BO33" s="421">
        <f>J33+AH33</f>
        <v>0</v>
      </c>
      <c r="BP33" s="421">
        <f t="shared" si="68"/>
        <v>0</v>
      </c>
      <c r="BQ33" s="421">
        <f t="shared" si="68"/>
        <v>0</v>
      </c>
      <c r="BR33" s="421">
        <f>M33+AQ33</f>
        <v>0</v>
      </c>
      <c r="BS33" s="421">
        <f t="shared" si="69"/>
        <v>0</v>
      </c>
      <c r="BT33" s="421">
        <f t="shared" si="69"/>
        <v>0</v>
      </c>
      <c r="BU33" s="421">
        <f t="shared" si="70"/>
        <v>0</v>
      </c>
      <c r="BV33" s="421">
        <f t="shared" si="70"/>
        <v>0</v>
      </c>
      <c r="BW33" s="421">
        <f>R33+AY33</f>
        <v>0</v>
      </c>
      <c r="BX33" s="422">
        <f>S33+BM33</f>
        <v>0</v>
      </c>
      <c r="BY33" s="422">
        <f t="shared" si="71"/>
        <v>0</v>
      </c>
      <c r="BZ33" s="611">
        <f t="shared" si="71"/>
        <v>0</v>
      </c>
      <c r="CA33" s="423"/>
      <c r="CB33" s="418"/>
      <c r="CC33" s="418"/>
      <c r="CD33" s="418"/>
      <c r="CE33" s="418"/>
      <c r="CF33" s="527"/>
    </row>
    <row r="34" spans="1:84" s="222" customFormat="1" ht="12.75" customHeight="1" x14ac:dyDescent="0.2">
      <c r="A34" s="224">
        <v>7</v>
      </c>
      <c r="B34" s="225">
        <v>3471</v>
      </c>
      <c r="C34" s="225">
        <v>691003491</v>
      </c>
      <c r="D34" s="225">
        <v>72550376</v>
      </c>
      <c r="E34" s="226" t="s">
        <v>20</v>
      </c>
      <c r="F34" s="225">
        <v>3141</v>
      </c>
      <c r="G34" s="226" t="s">
        <v>295</v>
      </c>
      <c r="H34" s="227" t="s">
        <v>272</v>
      </c>
      <c r="I34" s="423">
        <f t="shared" si="61"/>
        <v>698475</v>
      </c>
      <c r="J34" s="418">
        <f>K34+L34</f>
        <v>515794</v>
      </c>
      <c r="K34" s="418">
        <v>0</v>
      </c>
      <c r="L34" s="418">
        <v>515794</v>
      </c>
      <c r="M34" s="418">
        <f>N34+O34</f>
        <v>0</v>
      </c>
      <c r="N34" s="418"/>
      <c r="O34" s="418"/>
      <c r="P34" s="68">
        <f t="shared" si="62"/>
        <v>174338</v>
      </c>
      <c r="Q34" s="68">
        <f t="shared" si="63"/>
        <v>5158</v>
      </c>
      <c r="R34" s="418">
        <v>3185</v>
      </c>
      <c r="S34" s="419">
        <f>T34+U34</f>
        <v>1.55</v>
      </c>
      <c r="T34" s="420">
        <v>0</v>
      </c>
      <c r="U34" s="527">
        <v>1.55</v>
      </c>
      <c r="V34" s="427">
        <f t="shared" si="64"/>
        <v>0</v>
      </c>
      <c r="W34" s="421">
        <f t="shared" si="64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0</v>
      </c>
      <c r="AG34" s="421">
        <f>W34+Z34+AC34+AE34</f>
        <v>0</v>
      </c>
      <c r="AH34" s="421">
        <f>SUM(AF34:AG34)</f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65"/>
        <v>0</v>
      </c>
      <c r="AP34" s="421">
        <f>AJ34+AN34</f>
        <v>0</v>
      </c>
      <c r="AQ34" s="421">
        <f>SUM(AO34:AP34)</f>
        <v>0</v>
      </c>
      <c r="AR34" s="421">
        <f t="shared" si="66"/>
        <v>0</v>
      </c>
      <c r="AS34" s="421">
        <f t="shared" si="66"/>
        <v>0</v>
      </c>
      <c r="AT34" s="421">
        <f>SUM(AR34:AS34)</f>
        <v>0</v>
      </c>
      <c r="AU34" s="68">
        <f t="shared" si="67"/>
        <v>0</v>
      </c>
      <c r="AV34" s="68">
        <f>ROUND(AH34*1%,0)</f>
        <v>0</v>
      </c>
      <c r="AW34" s="421">
        <v>0</v>
      </c>
      <c r="AX34" s="421">
        <v>0</v>
      </c>
      <c r="AY34" s="421">
        <f>AW34+AX34</f>
        <v>0</v>
      </c>
      <c r="AZ34" s="421">
        <f>AT34+AU34+AV34+AY34</f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611">
        <f>SUM(BK34:BL34)</f>
        <v>0</v>
      </c>
      <c r="BN34" s="428">
        <f>I34+AZ34</f>
        <v>698475</v>
      </c>
      <c r="BO34" s="421">
        <f>J34+AH34</f>
        <v>515794</v>
      </c>
      <c r="BP34" s="421">
        <f t="shared" si="68"/>
        <v>0</v>
      </c>
      <c r="BQ34" s="421">
        <f t="shared" si="68"/>
        <v>515794</v>
      </c>
      <c r="BR34" s="421">
        <f>M34+AQ34</f>
        <v>0</v>
      </c>
      <c r="BS34" s="421">
        <f t="shared" si="69"/>
        <v>0</v>
      </c>
      <c r="BT34" s="421">
        <f t="shared" si="69"/>
        <v>0</v>
      </c>
      <c r="BU34" s="421">
        <f t="shared" si="70"/>
        <v>174338</v>
      </c>
      <c r="BV34" s="421">
        <f t="shared" si="70"/>
        <v>5158</v>
      </c>
      <c r="BW34" s="421">
        <f>R34+AY34</f>
        <v>3185</v>
      </c>
      <c r="BX34" s="422">
        <f>S34+BM34</f>
        <v>1.55</v>
      </c>
      <c r="BY34" s="422">
        <f t="shared" si="71"/>
        <v>0</v>
      </c>
      <c r="BZ34" s="611">
        <f t="shared" si="71"/>
        <v>1.55</v>
      </c>
      <c r="CA34" s="423"/>
      <c r="CB34" s="418"/>
      <c r="CC34" s="418"/>
      <c r="CD34" s="418"/>
      <c r="CE34" s="418"/>
      <c r="CF34" s="527"/>
    </row>
    <row r="35" spans="1:84" s="222" customFormat="1" ht="12.75" customHeight="1" x14ac:dyDescent="0.2">
      <c r="A35" s="153">
        <v>7</v>
      </c>
      <c r="B35" s="14">
        <v>3471</v>
      </c>
      <c r="C35" s="152">
        <v>691003491</v>
      </c>
      <c r="D35" s="152">
        <v>72550376</v>
      </c>
      <c r="E35" s="223" t="s">
        <v>21</v>
      </c>
      <c r="F35" s="14"/>
      <c r="G35" s="223"/>
      <c r="H35" s="592"/>
      <c r="I35" s="522">
        <f t="shared" ref="I35:BU35" si="72">SUM(I32:I34)</f>
        <v>7332603</v>
      </c>
      <c r="J35" s="521">
        <f t="shared" si="72"/>
        <v>5417004</v>
      </c>
      <c r="K35" s="521">
        <f t="shared" si="72"/>
        <v>4431008</v>
      </c>
      <c r="L35" s="521">
        <f t="shared" si="72"/>
        <v>985996</v>
      </c>
      <c r="M35" s="521">
        <f t="shared" si="72"/>
        <v>0</v>
      </c>
      <c r="N35" s="521">
        <f t="shared" si="72"/>
        <v>0</v>
      </c>
      <c r="O35" s="521">
        <f t="shared" si="72"/>
        <v>0</v>
      </c>
      <c r="P35" s="521">
        <f t="shared" si="72"/>
        <v>1830947</v>
      </c>
      <c r="Q35" s="521">
        <f t="shared" si="72"/>
        <v>54170</v>
      </c>
      <c r="R35" s="521">
        <f t="shared" si="72"/>
        <v>30482</v>
      </c>
      <c r="S35" s="572">
        <f t="shared" si="72"/>
        <v>10.730700000000001</v>
      </c>
      <c r="T35" s="572">
        <f t="shared" si="72"/>
        <v>7.5805999999999996</v>
      </c>
      <c r="U35" s="448">
        <f t="shared" si="72"/>
        <v>3.1501000000000001</v>
      </c>
      <c r="V35" s="614">
        <f t="shared" si="72"/>
        <v>0</v>
      </c>
      <c r="W35" s="521">
        <f t="shared" si="72"/>
        <v>0</v>
      </c>
      <c r="X35" s="521">
        <f t="shared" si="72"/>
        <v>0</v>
      </c>
      <c r="Y35" s="521">
        <f t="shared" si="72"/>
        <v>0</v>
      </c>
      <c r="Z35" s="521">
        <f t="shared" si="72"/>
        <v>0</v>
      </c>
      <c r="AA35" s="521">
        <f t="shared" si="72"/>
        <v>0</v>
      </c>
      <c r="AB35" s="521">
        <f t="shared" si="72"/>
        <v>0</v>
      </c>
      <c r="AC35" s="521">
        <f t="shared" si="72"/>
        <v>0</v>
      </c>
      <c r="AD35" s="521">
        <f t="shared" si="72"/>
        <v>0</v>
      </c>
      <c r="AE35" s="521">
        <f t="shared" si="72"/>
        <v>0</v>
      </c>
      <c r="AF35" s="521">
        <f t="shared" si="72"/>
        <v>0</v>
      </c>
      <c r="AG35" s="521">
        <f t="shared" si="72"/>
        <v>0</v>
      </c>
      <c r="AH35" s="521">
        <f t="shared" si="72"/>
        <v>0</v>
      </c>
      <c r="AI35" s="521">
        <f t="shared" si="72"/>
        <v>0</v>
      </c>
      <c r="AJ35" s="521">
        <f t="shared" si="72"/>
        <v>0</v>
      </c>
      <c r="AK35" s="521">
        <f t="shared" ref="AK35" si="73">SUM(AK32:AK34)</f>
        <v>0</v>
      </c>
      <c r="AL35" s="521">
        <f t="shared" si="72"/>
        <v>0</v>
      </c>
      <c r="AM35" s="521">
        <f t="shared" si="72"/>
        <v>0</v>
      </c>
      <c r="AN35" s="521">
        <f t="shared" si="72"/>
        <v>0</v>
      </c>
      <c r="AO35" s="521">
        <f t="shared" si="72"/>
        <v>0</v>
      </c>
      <c r="AP35" s="521">
        <f t="shared" si="72"/>
        <v>0</v>
      </c>
      <c r="AQ35" s="521">
        <f t="shared" si="72"/>
        <v>0</v>
      </c>
      <c r="AR35" s="521">
        <f t="shared" si="72"/>
        <v>0</v>
      </c>
      <c r="AS35" s="521">
        <f t="shared" si="72"/>
        <v>0</v>
      </c>
      <c r="AT35" s="521">
        <f t="shared" si="72"/>
        <v>0</v>
      </c>
      <c r="AU35" s="521">
        <f t="shared" si="72"/>
        <v>0</v>
      </c>
      <c r="AV35" s="521">
        <f t="shared" si="72"/>
        <v>0</v>
      </c>
      <c r="AW35" s="521">
        <f t="shared" si="72"/>
        <v>0</v>
      </c>
      <c r="AX35" s="521">
        <f t="shared" si="72"/>
        <v>0</v>
      </c>
      <c r="AY35" s="521">
        <f t="shared" si="72"/>
        <v>0</v>
      </c>
      <c r="AZ35" s="521">
        <f t="shared" si="72"/>
        <v>0</v>
      </c>
      <c r="BA35" s="572">
        <f t="shared" si="72"/>
        <v>0</v>
      </c>
      <c r="BB35" s="572">
        <f t="shared" si="72"/>
        <v>0</v>
      </c>
      <c r="BC35" s="572">
        <f t="shared" si="72"/>
        <v>0</v>
      </c>
      <c r="BD35" s="572">
        <f t="shared" si="72"/>
        <v>0</v>
      </c>
      <c r="BE35" s="572">
        <f t="shared" si="72"/>
        <v>0</v>
      </c>
      <c r="BF35" s="572">
        <f t="shared" si="72"/>
        <v>0</v>
      </c>
      <c r="BG35" s="572">
        <f t="shared" si="72"/>
        <v>0</v>
      </c>
      <c r="BH35" s="572">
        <f t="shared" si="72"/>
        <v>0</v>
      </c>
      <c r="BI35" s="572">
        <f t="shared" si="72"/>
        <v>0</v>
      </c>
      <c r="BJ35" s="572">
        <f t="shared" si="72"/>
        <v>0</v>
      </c>
      <c r="BK35" s="572">
        <f t="shared" si="72"/>
        <v>0</v>
      </c>
      <c r="BL35" s="572">
        <f t="shared" si="72"/>
        <v>0</v>
      </c>
      <c r="BM35" s="403">
        <f t="shared" si="72"/>
        <v>0</v>
      </c>
      <c r="BN35" s="522">
        <f t="shared" si="72"/>
        <v>7332603</v>
      </c>
      <c r="BO35" s="521">
        <f t="shared" si="72"/>
        <v>5417004</v>
      </c>
      <c r="BP35" s="521">
        <f t="shared" si="72"/>
        <v>4431008</v>
      </c>
      <c r="BQ35" s="521">
        <f t="shared" si="72"/>
        <v>985996</v>
      </c>
      <c r="BR35" s="521">
        <f t="shared" si="72"/>
        <v>0</v>
      </c>
      <c r="BS35" s="521">
        <f t="shared" si="72"/>
        <v>0</v>
      </c>
      <c r="BT35" s="521">
        <f t="shared" si="72"/>
        <v>0</v>
      </c>
      <c r="BU35" s="521">
        <f t="shared" si="72"/>
        <v>1830947</v>
      </c>
      <c r="BV35" s="521">
        <f t="shared" ref="BV35:CF35" si="74">SUM(BV32:BV34)</f>
        <v>54170</v>
      </c>
      <c r="BW35" s="521">
        <f t="shared" si="74"/>
        <v>30482</v>
      </c>
      <c r="BX35" s="572">
        <f t="shared" si="74"/>
        <v>10.730700000000001</v>
      </c>
      <c r="BY35" s="572">
        <f t="shared" si="74"/>
        <v>7.5805999999999996</v>
      </c>
      <c r="BZ35" s="403">
        <f t="shared" si="74"/>
        <v>3.1501000000000001</v>
      </c>
      <c r="CA35" s="833">
        <f t="shared" si="74"/>
        <v>0</v>
      </c>
      <c r="CB35" s="834">
        <f t="shared" si="74"/>
        <v>0</v>
      </c>
      <c r="CC35" s="834">
        <f t="shared" si="74"/>
        <v>0</v>
      </c>
      <c r="CD35" s="834">
        <f t="shared" si="74"/>
        <v>0</v>
      </c>
      <c r="CE35" s="834">
        <f t="shared" si="74"/>
        <v>0</v>
      </c>
      <c r="CF35" s="829">
        <f t="shared" si="74"/>
        <v>0</v>
      </c>
    </row>
    <row r="36" spans="1:84" s="222" customFormat="1" ht="12.75" customHeight="1" x14ac:dyDescent="0.2">
      <c r="A36" s="224">
        <v>8</v>
      </c>
      <c r="B36" s="225">
        <v>3472</v>
      </c>
      <c r="C36" s="225">
        <v>691003564</v>
      </c>
      <c r="D36" s="225">
        <v>72550368</v>
      </c>
      <c r="E36" s="226" t="s">
        <v>22</v>
      </c>
      <c r="F36" s="225">
        <v>3111</v>
      </c>
      <c r="G36" s="226" t="s">
        <v>291</v>
      </c>
      <c r="H36" s="227" t="s">
        <v>271</v>
      </c>
      <c r="I36" s="423">
        <f t="shared" ref="I36:I38" si="75">J36+P36+Q36+R36</f>
        <v>4845354</v>
      </c>
      <c r="J36" s="418">
        <f>K36+L36</f>
        <v>3583582</v>
      </c>
      <c r="K36" s="418">
        <v>3250913</v>
      </c>
      <c r="L36" s="418">
        <v>332669</v>
      </c>
      <c r="M36" s="418">
        <f>N36+O36</f>
        <v>0</v>
      </c>
      <c r="N36" s="418"/>
      <c r="O36" s="418"/>
      <c r="P36" s="68">
        <f t="shared" ref="P36:P38" si="76">ROUND(J36*33.8%,0)</f>
        <v>1211251</v>
      </c>
      <c r="Q36" s="68">
        <f t="shared" ref="Q36:Q38" si="77">ROUND(J36*1%,0)</f>
        <v>35836</v>
      </c>
      <c r="R36" s="418">
        <v>14685</v>
      </c>
      <c r="S36" s="419">
        <f>T36+U36</f>
        <v>7.12</v>
      </c>
      <c r="T36" s="420">
        <v>6</v>
      </c>
      <c r="U36" s="527">
        <v>1.1200000000000001</v>
      </c>
      <c r="V36" s="427">
        <f t="shared" ref="V36:W38" si="78">AI36*-1</f>
        <v>0</v>
      </c>
      <c r="W36" s="421">
        <f t="shared" si="78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>V36+X36+Y36+AA36+AB36+AD36</f>
        <v>0</v>
      </c>
      <c r="AG36" s="421">
        <f>W36+Z36+AC36+AE36</f>
        <v>0</v>
      </c>
      <c r="AH36" s="421">
        <f>SUM(AF36:AG36)</f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ref="AO36:AO38" si="79">AI36+AK36+AL36+AM36</f>
        <v>0</v>
      </c>
      <c r="AP36" s="421">
        <f>AJ36+AN36</f>
        <v>0</v>
      </c>
      <c r="AQ36" s="421">
        <f>SUM(AO36:AP36)</f>
        <v>0</v>
      </c>
      <c r="AR36" s="421">
        <f t="shared" ref="AR36:AS38" si="80">AF36+AO36</f>
        <v>0</v>
      </c>
      <c r="AS36" s="421">
        <f t="shared" si="80"/>
        <v>0</v>
      </c>
      <c r="AT36" s="421">
        <f>SUM(AR36:AS36)</f>
        <v>0</v>
      </c>
      <c r="AU36" s="68">
        <f t="shared" ref="AU36:AU38" si="81">ROUND((AH36+AI36+AJ36+AK36+AL36)*33.8%,0)</f>
        <v>0</v>
      </c>
      <c r="AV36" s="68">
        <f>ROUND(AH36*1%,0)</f>
        <v>0</v>
      </c>
      <c r="AW36" s="421">
        <v>0</v>
      </c>
      <c r="AX36" s="421">
        <v>0</v>
      </c>
      <c r="AY36" s="421">
        <f>AW36+AX36</f>
        <v>0</v>
      </c>
      <c r="AZ36" s="421">
        <f>AT36+AU36+AV36+AY36</f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0</v>
      </c>
      <c r="BM36" s="611">
        <f>SUM(BK36:BL36)</f>
        <v>0</v>
      </c>
      <c r="BN36" s="428">
        <f>I36+AZ36</f>
        <v>4845354</v>
      </c>
      <c r="BO36" s="421">
        <f>J36+AH36</f>
        <v>3583582</v>
      </c>
      <c r="BP36" s="421">
        <f t="shared" ref="BP36:BQ38" si="82">K36+AF36</f>
        <v>3250913</v>
      </c>
      <c r="BQ36" s="421">
        <f t="shared" si="82"/>
        <v>332669</v>
      </c>
      <c r="BR36" s="421">
        <f>M36+AQ36</f>
        <v>0</v>
      </c>
      <c r="BS36" s="421">
        <f t="shared" ref="BS36:BT38" si="83">N36+AO36</f>
        <v>0</v>
      </c>
      <c r="BT36" s="421">
        <f t="shared" si="83"/>
        <v>0</v>
      </c>
      <c r="BU36" s="421">
        <f t="shared" ref="BU36:BV38" si="84">P36+AU36</f>
        <v>1211251</v>
      </c>
      <c r="BV36" s="421">
        <f t="shared" si="84"/>
        <v>35836</v>
      </c>
      <c r="BW36" s="421">
        <f>R36+AY36</f>
        <v>14685</v>
      </c>
      <c r="BX36" s="422">
        <f>S36+BM36</f>
        <v>7.12</v>
      </c>
      <c r="BY36" s="422">
        <f t="shared" ref="BY36:BZ38" si="85">T36+BK36</f>
        <v>6</v>
      </c>
      <c r="BZ36" s="611">
        <f t="shared" si="85"/>
        <v>1.1200000000000001</v>
      </c>
      <c r="CA36" s="423"/>
      <c r="CB36" s="418"/>
      <c r="CC36" s="418"/>
      <c r="CD36" s="418"/>
      <c r="CE36" s="418"/>
      <c r="CF36" s="527"/>
    </row>
    <row r="37" spans="1:84" s="222" customFormat="1" ht="12.75" customHeight="1" x14ac:dyDescent="0.2">
      <c r="A37" s="224">
        <v>8</v>
      </c>
      <c r="B37" s="225">
        <v>3472</v>
      </c>
      <c r="C37" s="225">
        <v>691003564</v>
      </c>
      <c r="D37" s="225">
        <v>72550368</v>
      </c>
      <c r="E37" s="226" t="s">
        <v>22</v>
      </c>
      <c r="F37" s="225">
        <v>3111</v>
      </c>
      <c r="G37" s="226" t="s">
        <v>292</v>
      </c>
      <c r="H37" s="227" t="s">
        <v>272</v>
      </c>
      <c r="I37" s="423">
        <f t="shared" si="75"/>
        <v>0</v>
      </c>
      <c r="J37" s="418">
        <f>K37+L37</f>
        <v>0</v>
      </c>
      <c r="K37" s="418">
        <v>0</v>
      </c>
      <c r="L37" s="418">
        <v>0</v>
      </c>
      <c r="M37" s="418">
        <f>N37+O37</f>
        <v>0</v>
      </c>
      <c r="N37" s="418"/>
      <c r="O37" s="418"/>
      <c r="P37" s="68">
        <f t="shared" si="76"/>
        <v>0</v>
      </c>
      <c r="Q37" s="68">
        <f t="shared" si="77"/>
        <v>0</v>
      </c>
      <c r="R37" s="418">
        <v>0</v>
      </c>
      <c r="S37" s="419">
        <f>T37+U37</f>
        <v>0</v>
      </c>
      <c r="T37" s="420">
        <v>0</v>
      </c>
      <c r="U37" s="527">
        <v>0</v>
      </c>
      <c r="V37" s="427">
        <f t="shared" si="78"/>
        <v>0</v>
      </c>
      <c r="W37" s="421">
        <f t="shared" si="78"/>
        <v>0</v>
      </c>
      <c r="X37" s="421">
        <v>169951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>V37+X37+Y37+AA37+AB37+AD37</f>
        <v>169951</v>
      </c>
      <c r="AG37" s="421">
        <f>W37+Z37+AC37+AE37</f>
        <v>0</v>
      </c>
      <c r="AH37" s="421">
        <f>SUM(AF37:AG37)</f>
        <v>169951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si="79"/>
        <v>0</v>
      </c>
      <c r="AP37" s="421">
        <f>AJ37+AN37</f>
        <v>0</v>
      </c>
      <c r="AQ37" s="421">
        <f>SUM(AO37:AP37)</f>
        <v>0</v>
      </c>
      <c r="AR37" s="421">
        <f t="shared" si="80"/>
        <v>169951</v>
      </c>
      <c r="AS37" s="421">
        <f t="shared" si="80"/>
        <v>0</v>
      </c>
      <c r="AT37" s="421">
        <f>SUM(AR37:AS37)</f>
        <v>169951</v>
      </c>
      <c r="AU37" s="68">
        <f t="shared" si="81"/>
        <v>57443</v>
      </c>
      <c r="AV37" s="68">
        <f>ROUND(AH37*1%,0)</f>
        <v>1700</v>
      </c>
      <c r="AW37" s="421">
        <v>0</v>
      </c>
      <c r="AX37" s="421">
        <v>0</v>
      </c>
      <c r="AY37" s="421">
        <f>AW37+AX37</f>
        <v>0</v>
      </c>
      <c r="AZ37" s="421">
        <f>AT37+AU37+AV37+AY37</f>
        <v>229094</v>
      </c>
      <c r="BA37" s="422">
        <v>0</v>
      </c>
      <c r="BB37" s="422">
        <v>0</v>
      </c>
      <c r="BC37" s="422">
        <v>0.46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0.46</v>
      </c>
      <c r="BL37" s="422">
        <f>BB37+BE37+BG37+BJ37</f>
        <v>0</v>
      </c>
      <c r="BM37" s="611">
        <f>SUM(BK37:BL37)</f>
        <v>0.46</v>
      </c>
      <c r="BN37" s="428">
        <f>I37+AZ37</f>
        <v>229094</v>
      </c>
      <c r="BO37" s="421">
        <f>J37+AH37</f>
        <v>169951</v>
      </c>
      <c r="BP37" s="421">
        <f t="shared" si="82"/>
        <v>169951</v>
      </c>
      <c r="BQ37" s="421">
        <f t="shared" si="82"/>
        <v>0</v>
      </c>
      <c r="BR37" s="421">
        <f>M37+AQ37</f>
        <v>0</v>
      </c>
      <c r="BS37" s="421">
        <f t="shared" si="83"/>
        <v>0</v>
      </c>
      <c r="BT37" s="421">
        <f t="shared" si="83"/>
        <v>0</v>
      </c>
      <c r="BU37" s="421">
        <f t="shared" si="84"/>
        <v>57443</v>
      </c>
      <c r="BV37" s="421">
        <f t="shared" si="84"/>
        <v>1700</v>
      </c>
      <c r="BW37" s="421">
        <f>R37+AY37</f>
        <v>0</v>
      </c>
      <c r="BX37" s="422">
        <f>S37+BM37</f>
        <v>0.46</v>
      </c>
      <c r="BY37" s="422">
        <f t="shared" si="85"/>
        <v>0.46</v>
      </c>
      <c r="BZ37" s="611">
        <f t="shared" si="85"/>
        <v>0</v>
      </c>
      <c r="CA37" s="423"/>
      <c r="CB37" s="418"/>
      <c r="CC37" s="418"/>
      <c r="CD37" s="418"/>
      <c r="CE37" s="418"/>
      <c r="CF37" s="527"/>
    </row>
    <row r="38" spans="1:84" s="222" customFormat="1" ht="12.75" customHeight="1" x14ac:dyDescent="0.2">
      <c r="A38" s="224">
        <v>8</v>
      </c>
      <c r="B38" s="225">
        <v>3472</v>
      </c>
      <c r="C38" s="225">
        <v>691003564</v>
      </c>
      <c r="D38" s="225">
        <v>72550368</v>
      </c>
      <c r="E38" s="226" t="s">
        <v>22</v>
      </c>
      <c r="F38" s="225">
        <v>3141</v>
      </c>
      <c r="G38" s="226" t="s">
        <v>295</v>
      </c>
      <c r="H38" s="227" t="s">
        <v>272</v>
      </c>
      <c r="I38" s="423">
        <f t="shared" si="75"/>
        <v>481369</v>
      </c>
      <c r="J38" s="418">
        <f>K38+L38</f>
        <v>355723</v>
      </c>
      <c r="K38" s="418">
        <v>0</v>
      </c>
      <c r="L38" s="418">
        <v>355723</v>
      </c>
      <c r="M38" s="418">
        <f>N38+O38</f>
        <v>0</v>
      </c>
      <c r="N38" s="418"/>
      <c r="O38" s="418"/>
      <c r="P38" s="68">
        <f t="shared" si="76"/>
        <v>120234</v>
      </c>
      <c r="Q38" s="68">
        <f t="shared" si="77"/>
        <v>3557</v>
      </c>
      <c r="R38" s="418">
        <v>1855</v>
      </c>
      <c r="S38" s="419">
        <f>T38+U38</f>
        <v>1.07</v>
      </c>
      <c r="T38" s="420">
        <v>0</v>
      </c>
      <c r="U38" s="527">
        <v>1.07</v>
      </c>
      <c r="V38" s="427">
        <f t="shared" si="78"/>
        <v>0</v>
      </c>
      <c r="W38" s="421">
        <f t="shared" si="78"/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>V38+X38+Y38+AA38+AB38+AD38</f>
        <v>0</v>
      </c>
      <c r="AG38" s="421">
        <f>W38+Z38+AC38+AE38</f>
        <v>0</v>
      </c>
      <c r="AH38" s="421">
        <f>SUM(AF38:AG38)</f>
        <v>0</v>
      </c>
      <c r="AI38" s="421">
        <v>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si="79"/>
        <v>0</v>
      </c>
      <c r="AP38" s="421">
        <f>AJ38+AN38</f>
        <v>0</v>
      </c>
      <c r="AQ38" s="421">
        <f>SUM(AO38:AP38)</f>
        <v>0</v>
      </c>
      <c r="AR38" s="421">
        <f t="shared" si="80"/>
        <v>0</v>
      </c>
      <c r="AS38" s="421">
        <f t="shared" si="80"/>
        <v>0</v>
      </c>
      <c r="AT38" s="421">
        <f>SUM(AR38:AS38)</f>
        <v>0</v>
      </c>
      <c r="AU38" s="68">
        <f t="shared" si="81"/>
        <v>0</v>
      </c>
      <c r="AV38" s="68">
        <f>ROUND(AH38*1%,0)</f>
        <v>0</v>
      </c>
      <c r="AW38" s="421">
        <v>0</v>
      </c>
      <c r="AX38" s="421">
        <v>0</v>
      </c>
      <c r="AY38" s="421">
        <f>AW38+AX38</f>
        <v>0</v>
      </c>
      <c r="AZ38" s="421">
        <f>AT38+AU38+AV38+AY38</f>
        <v>0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>BA38+BC38+BD38+BF38+BH38+BI38</f>
        <v>0</v>
      </c>
      <c r="BL38" s="422">
        <f>BB38+BE38+BG38+BJ38</f>
        <v>0</v>
      </c>
      <c r="BM38" s="611">
        <f>SUM(BK38:BL38)</f>
        <v>0</v>
      </c>
      <c r="BN38" s="428">
        <f>I38+AZ38</f>
        <v>481369</v>
      </c>
      <c r="BO38" s="421">
        <f>J38+AH38</f>
        <v>355723</v>
      </c>
      <c r="BP38" s="421">
        <f t="shared" si="82"/>
        <v>0</v>
      </c>
      <c r="BQ38" s="421">
        <f t="shared" si="82"/>
        <v>355723</v>
      </c>
      <c r="BR38" s="421">
        <f>M38+AQ38</f>
        <v>0</v>
      </c>
      <c r="BS38" s="421">
        <f t="shared" si="83"/>
        <v>0</v>
      </c>
      <c r="BT38" s="421">
        <f t="shared" si="83"/>
        <v>0</v>
      </c>
      <c r="BU38" s="421">
        <f t="shared" si="84"/>
        <v>120234</v>
      </c>
      <c r="BV38" s="421">
        <f t="shared" si="84"/>
        <v>3557</v>
      </c>
      <c r="BW38" s="421">
        <f>R38+AY38</f>
        <v>1855</v>
      </c>
      <c r="BX38" s="422">
        <f>S38+BM38</f>
        <v>1.07</v>
      </c>
      <c r="BY38" s="422">
        <f t="shared" si="85"/>
        <v>0</v>
      </c>
      <c r="BZ38" s="611">
        <f t="shared" si="85"/>
        <v>1.07</v>
      </c>
      <c r="CA38" s="423"/>
      <c r="CB38" s="418"/>
      <c r="CC38" s="418"/>
      <c r="CD38" s="418"/>
      <c r="CE38" s="418"/>
      <c r="CF38" s="527"/>
    </row>
    <row r="39" spans="1:84" s="222" customFormat="1" ht="12.75" customHeight="1" x14ac:dyDescent="0.2">
      <c r="A39" s="153">
        <v>8</v>
      </c>
      <c r="B39" s="14">
        <v>3472</v>
      </c>
      <c r="C39" s="152">
        <v>691003564</v>
      </c>
      <c r="D39" s="152">
        <v>72550368</v>
      </c>
      <c r="E39" s="223" t="s">
        <v>23</v>
      </c>
      <c r="F39" s="14"/>
      <c r="G39" s="223"/>
      <c r="H39" s="592"/>
      <c r="I39" s="522">
        <f t="shared" ref="I39:BU39" si="86">SUM(I36:I38)</f>
        <v>5326723</v>
      </c>
      <c r="J39" s="521">
        <f t="shared" si="86"/>
        <v>3939305</v>
      </c>
      <c r="K39" s="521">
        <f t="shared" si="86"/>
        <v>3250913</v>
      </c>
      <c r="L39" s="521">
        <f t="shared" si="86"/>
        <v>688392</v>
      </c>
      <c r="M39" s="521">
        <f t="shared" si="86"/>
        <v>0</v>
      </c>
      <c r="N39" s="521">
        <f t="shared" si="86"/>
        <v>0</v>
      </c>
      <c r="O39" s="521">
        <f t="shared" si="86"/>
        <v>0</v>
      </c>
      <c r="P39" s="521">
        <f t="shared" si="86"/>
        <v>1331485</v>
      </c>
      <c r="Q39" s="521">
        <f t="shared" si="86"/>
        <v>39393</v>
      </c>
      <c r="R39" s="521">
        <f t="shared" si="86"/>
        <v>16540</v>
      </c>
      <c r="S39" s="572">
        <f t="shared" si="86"/>
        <v>8.19</v>
      </c>
      <c r="T39" s="572">
        <f t="shared" si="86"/>
        <v>6</v>
      </c>
      <c r="U39" s="448">
        <f t="shared" si="86"/>
        <v>2.1900000000000004</v>
      </c>
      <c r="V39" s="614">
        <f t="shared" si="86"/>
        <v>0</v>
      </c>
      <c r="W39" s="521">
        <f t="shared" si="86"/>
        <v>0</v>
      </c>
      <c r="X39" s="521">
        <f t="shared" si="86"/>
        <v>169951</v>
      </c>
      <c r="Y39" s="521">
        <f t="shared" si="86"/>
        <v>0</v>
      </c>
      <c r="Z39" s="521">
        <f t="shared" si="86"/>
        <v>0</v>
      </c>
      <c r="AA39" s="521">
        <f t="shared" si="86"/>
        <v>0</v>
      </c>
      <c r="AB39" s="521">
        <f t="shared" si="86"/>
        <v>0</v>
      </c>
      <c r="AC39" s="521">
        <f t="shared" si="86"/>
        <v>0</v>
      </c>
      <c r="AD39" s="521">
        <f t="shared" si="86"/>
        <v>0</v>
      </c>
      <c r="AE39" s="521">
        <f t="shared" si="86"/>
        <v>0</v>
      </c>
      <c r="AF39" s="521">
        <f t="shared" si="86"/>
        <v>169951</v>
      </c>
      <c r="AG39" s="521">
        <f t="shared" si="86"/>
        <v>0</v>
      </c>
      <c r="AH39" s="521">
        <f t="shared" si="86"/>
        <v>169951</v>
      </c>
      <c r="AI39" s="521">
        <f t="shared" si="86"/>
        <v>0</v>
      </c>
      <c r="AJ39" s="521">
        <f t="shared" si="86"/>
        <v>0</v>
      </c>
      <c r="AK39" s="521">
        <f t="shared" ref="AK39" si="87">SUM(AK36:AK38)</f>
        <v>0</v>
      </c>
      <c r="AL39" s="521">
        <f t="shared" si="86"/>
        <v>0</v>
      </c>
      <c r="AM39" s="521">
        <f t="shared" si="86"/>
        <v>0</v>
      </c>
      <c r="AN39" s="521">
        <f t="shared" si="86"/>
        <v>0</v>
      </c>
      <c r="AO39" s="521">
        <f t="shared" si="86"/>
        <v>0</v>
      </c>
      <c r="AP39" s="521">
        <f t="shared" si="86"/>
        <v>0</v>
      </c>
      <c r="AQ39" s="521">
        <f t="shared" si="86"/>
        <v>0</v>
      </c>
      <c r="AR39" s="521">
        <f t="shared" si="86"/>
        <v>169951</v>
      </c>
      <c r="AS39" s="521">
        <f t="shared" si="86"/>
        <v>0</v>
      </c>
      <c r="AT39" s="521">
        <f t="shared" si="86"/>
        <v>169951</v>
      </c>
      <c r="AU39" s="521">
        <f t="shared" si="86"/>
        <v>57443</v>
      </c>
      <c r="AV39" s="521">
        <f t="shared" si="86"/>
        <v>1700</v>
      </c>
      <c r="AW39" s="521">
        <f t="shared" si="86"/>
        <v>0</v>
      </c>
      <c r="AX39" s="521">
        <f t="shared" si="86"/>
        <v>0</v>
      </c>
      <c r="AY39" s="521">
        <f t="shared" si="86"/>
        <v>0</v>
      </c>
      <c r="AZ39" s="521">
        <f t="shared" si="86"/>
        <v>229094</v>
      </c>
      <c r="BA39" s="572">
        <f t="shared" si="86"/>
        <v>0</v>
      </c>
      <c r="BB39" s="572">
        <f t="shared" si="86"/>
        <v>0</v>
      </c>
      <c r="BC39" s="572">
        <f t="shared" si="86"/>
        <v>0.46</v>
      </c>
      <c r="BD39" s="572">
        <f t="shared" si="86"/>
        <v>0</v>
      </c>
      <c r="BE39" s="572">
        <f t="shared" si="86"/>
        <v>0</v>
      </c>
      <c r="BF39" s="572">
        <f t="shared" si="86"/>
        <v>0</v>
      </c>
      <c r="BG39" s="572">
        <f t="shared" si="86"/>
        <v>0</v>
      </c>
      <c r="BH39" s="572">
        <f t="shared" si="86"/>
        <v>0</v>
      </c>
      <c r="BI39" s="572">
        <f t="shared" si="86"/>
        <v>0</v>
      </c>
      <c r="BJ39" s="572">
        <f t="shared" si="86"/>
        <v>0</v>
      </c>
      <c r="BK39" s="572">
        <f t="shared" si="86"/>
        <v>0.46</v>
      </c>
      <c r="BL39" s="572">
        <f t="shared" si="86"/>
        <v>0</v>
      </c>
      <c r="BM39" s="403">
        <f t="shared" si="86"/>
        <v>0.46</v>
      </c>
      <c r="BN39" s="522">
        <f t="shared" si="86"/>
        <v>5555817</v>
      </c>
      <c r="BO39" s="521">
        <f t="shared" si="86"/>
        <v>4109256</v>
      </c>
      <c r="BP39" s="521">
        <f t="shared" si="86"/>
        <v>3420864</v>
      </c>
      <c r="BQ39" s="521">
        <f t="shared" si="86"/>
        <v>688392</v>
      </c>
      <c r="BR39" s="521">
        <f t="shared" si="86"/>
        <v>0</v>
      </c>
      <c r="BS39" s="521">
        <f t="shared" si="86"/>
        <v>0</v>
      </c>
      <c r="BT39" s="521">
        <f t="shared" si="86"/>
        <v>0</v>
      </c>
      <c r="BU39" s="521">
        <f t="shared" si="86"/>
        <v>1388928</v>
      </c>
      <c r="BV39" s="521">
        <f t="shared" ref="BV39:CF39" si="88">SUM(BV36:BV38)</f>
        <v>41093</v>
      </c>
      <c r="BW39" s="521">
        <f t="shared" si="88"/>
        <v>16540</v>
      </c>
      <c r="BX39" s="572">
        <f t="shared" si="88"/>
        <v>8.65</v>
      </c>
      <c r="BY39" s="572">
        <f t="shared" si="88"/>
        <v>6.46</v>
      </c>
      <c r="BZ39" s="403">
        <f t="shared" si="88"/>
        <v>2.1900000000000004</v>
      </c>
      <c r="CA39" s="833">
        <f t="shared" si="88"/>
        <v>0</v>
      </c>
      <c r="CB39" s="834">
        <f t="shared" si="88"/>
        <v>0</v>
      </c>
      <c r="CC39" s="834">
        <f t="shared" si="88"/>
        <v>0</v>
      </c>
      <c r="CD39" s="834">
        <f t="shared" si="88"/>
        <v>0</v>
      </c>
      <c r="CE39" s="834">
        <f t="shared" si="88"/>
        <v>0</v>
      </c>
      <c r="CF39" s="829">
        <f t="shared" si="88"/>
        <v>0</v>
      </c>
    </row>
    <row r="40" spans="1:84" s="222" customFormat="1" ht="12.75" customHeight="1" x14ac:dyDescent="0.2">
      <c r="A40" s="224">
        <v>9</v>
      </c>
      <c r="B40" s="225">
        <v>3467</v>
      </c>
      <c r="C40" s="225">
        <v>691001243</v>
      </c>
      <c r="D40" s="225">
        <v>72048174</v>
      </c>
      <c r="E40" s="226" t="s">
        <v>24</v>
      </c>
      <c r="F40" s="225">
        <v>3111</v>
      </c>
      <c r="G40" s="226" t="s">
        <v>291</v>
      </c>
      <c r="H40" s="227" t="s">
        <v>271</v>
      </c>
      <c r="I40" s="423">
        <f t="shared" ref="I40:I42" si="89">J40+P40+Q40+R40</f>
        <v>9014655</v>
      </c>
      <c r="J40" s="418">
        <f>K40+L40</f>
        <v>6664803</v>
      </c>
      <c r="K40" s="418">
        <v>6038776</v>
      </c>
      <c r="L40" s="418">
        <v>626027</v>
      </c>
      <c r="M40" s="418">
        <f>N40+O40</f>
        <v>0</v>
      </c>
      <c r="N40" s="418"/>
      <c r="O40" s="418"/>
      <c r="P40" s="68">
        <f t="shared" ref="P40:P42" si="90">ROUND(J40*33.8%,0)</f>
        <v>2252703</v>
      </c>
      <c r="Q40" s="68">
        <f t="shared" ref="Q40:Q42" si="91">ROUND(J40*1%,0)</f>
        <v>66648</v>
      </c>
      <c r="R40" s="418">
        <v>30501</v>
      </c>
      <c r="S40" s="419">
        <f>T40+U40</f>
        <v>12.674799999999999</v>
      </c>
      <c r="T40" s="420">
        <v>10.5481</v>
      </c>
      <c r="U40" s="527">
        <v>2.1267</v>
      </c>
      <c r="V40" s="427">
        <f t="shared" ref="V40:W42" si="92">AI40*-1</f>
        <v>0</v>
      </c>
      <c r="W40" s="421">
        <f t="shared" si="92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>V40+X40+Y40+AA40+AB40+AD40</f>
        <v>0</v>
      </c>
      <c r="AG40" s="421">
        <f>W40+Z40+AC40+AE40</f>
        <v>0</v>
      </c>
      <c r="AH40" s="421">
        <f>SUM(AF40:AG40)</f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ref="AO40:AO42" si="93">AI40+AK40+AL40+AM40</f>
        <v>0</v>
      </c>
      <c r="AP40" s="421">
        <f>AJ40+AN40</f>
        <v>0</v>
      </c>
      <c r="AQ40" s="421">
        <f>SUM(AO40:AP40)</f>
        <v>0</v>
      </c>
      <c r="AR40" s="421">
        <f t="shared" ref="AR40:AS42" si="94">AF40+AO40</f>
        <v>0</v>
      </c>
      <c r="AS40" s="421">
        <f t="shared" si="94"/>
        <v>0</v>
      </c>
      <c r="AT40" s="421">
        <f>SUM(AR40:AS40)</f>
        <v>0</v>
      </c>
      <c r="AU40" s="68">
        <f t="shared" ref="AU40:AU42" si="95">ROUND((AH40+AI40+AJ40+AK40+AL40)*33.8%,0)</f>
        <v>0</v>
      </c>
      <c r="AV40" s="68">
        <f>ROUND(AH40*1%,0)</f>
        <v>0</v>
      </c>
      <c r="AW40" s="421">
        <v>0</v>
      </c>
      <c r="AX40" s="421">
        <v>0</v>
      </c>
      <c r="AY40" s="421">
        <f>AW40+AX40</f>
        <v>0</v>
      </c>
      <c r="AZ40" s="421">
        <f>AT40+AU40+AV40+AY40</f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>BA40+BC40+BD40+BF40+BH40+BI40</f>
        <v>0</v>
      </c>
      <c r="BL40" s="422">
        <f>BB40+BE40+BG40+BJ40</f>
        <v>0</v>
      </c>
      <c r="BM40" s="611">
        <f>SUM(BK40:BL40)</f>
        <v>0</v>
      </c>
      <c r="BN40" s="428">
        <f>I40+AZ40</f>
        <v>9014655</v>
      </c>
      <c r="BO40" s="421">
        <f>J40+AH40</f>
        <v>6664803</v>
      </c>
      <c r="BP40" s="421">
        <f t="shared" ref="BP40:BQ42" si="96">K40+AF40</f>
        <v>6038776</v>
      </c>
      <c r="BQ40" s="421">
        <f t="shared" si="96"/>
        <v>626027</v>
      </c>
      <c r="BR40" s="421">
        <f>M40+AQ40</f>
        <v>0</v>
      </c>
      <c r="BS40" s="421">
        <f t="shared" ref="BS40:BT42" si="97">N40+AO40</f>
        <v>0</v>
      </c>
      <c r="BT40" s="421">
        <f t="shared" si="97"/>
        <v>0</v>
      </c>
      <c r="BU40" s="421">
        <f t="shared" ref="BU40:BV42" si="98">P40+AU40</f>
        <v>2252703</v>
      </c>
      <c r="BV40" s="421">
        <f t="shared" si="98"/>
        <v>66648</v>
      </c>
      <c r="BW40" s="421">
        <f>R40+AY40</f>
        <v>30501</v>
      </c>
      <c r="BX40" s="422">
        <f>S40+BM40</f>
        <v>12.674799999999999</v>
      </c>
      <c r="BY40" s="422">
        <f t="shared" ref="BY40:BZ42" si="99">T40+BK40</f>
        <v>10.5481</v>
      </c>
      <c r="BZ40" s="611">
        <f t="shared" si="99"/>
        <v>2.1267</v>
      </c>
      <c r="CA40" s="423"/>
      <c r="CB40" s="418"/>
      <c r="CC40" s="418"/>
      <c r="CD40" s="418"/>
      <c r="CE40" s="418"/>
      <c r="CF40" s="527"/>
    </row>
    <row r="41" spans="1:84" s="222" customFormat="1" x14ac:dyDescent="0.2">
      <c r="A41" s="224">
        <v>9</v>
      </c>
      <c r="B41" s="225">
        <v>3467</v>
      </c>
      <c r="C41" s="225">
        <v>691001243</v>
      </c>
      <c r="D41" s="225">
        <v>72048174</v>
      </c>
      <c r="E41" s="226" t="s">
        <v>24</v>
      </c>
      <c r="F41" s="225">
        <v>3111</v>
      </c>
      <c r="G41" s="226" t="s">
        <v>292</v>
      </c>
      <c r="H41" s="227" t="s">
        <v>272</v>
      </c>
      <c r="I41" s="423">
        <f t="shared" si="89"/>
        <v>0</v>
      </c>
      <c r="J41" s="418">
        <f>K41+L41</f>
        <v>0</v>
      </c>
      <c r="K41" s="418">
        <v>0</v>
      </c>
      <c r="L41" s="418">
        <v>0</v>
      </c>
      <c r="M41" s="418">
        <f>N41+O41</f>
        <v>0</v>
      </c>
      <c r="N41" s="418"/>
      <c r="O41" s="418"/>
      <c r="P41" s="68">
        <f t="shared" si="90"/>
        <v>0</v>
      </c>
      <c r="Q41" s="68">
        <f t="shared" si="91"/>
        <v>0</v>
      </c>
      <c r="R41" s="418">
        <v>0</v>
      </c>
      <c r="S41" s="419">
        <f>T41+U41</f>
        <v>0</v>
      </c>
      <c r="T41" s="420">
        <v>0</v>
      </c>
      <c r="U41" s="527">
        <v>0</v>
      </c>
      <c r="V41" s="427">
        <f t="shared" si="92"/>
        <v>0</v>
      </c>
      <c r="W41" s="421">
        <f t="shared" si="92"/>
        <v>0</v>
      </c>
      <c r="X41" s="421">
        <v>278101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278101</v>
      </c>
      <c r="AG41" s="421">
        <f>W41+Z41+AC41+AE41</f>
        <v>0</v>
      </c>
      <c r="AH41" s="421">
        <f>SUM(AF41:AG41)</f>
        <v>278101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93"/>
        <v>0</v>
      </c>
      <c r="AP41" s="421">
        <f>AJ41+AN41</f>
        <v>0</v>
      </c>
      <c r="AQ41" s="421">
        <f>SUM(AO41:AP41)</f>
        <v>0</v>
      </c>
      <c r="AR41" s="421">
        <f t="shared" si="94"/>
        <v>278101</v>
      </c>
      <c r="AS41" s="421">
        <f t="shared" si="94"/>
        <v>0</v>
      </c>
      <c r="AT41" s="421">
        <f>SUM(AR41:AS41)</f>
        <v>278101</v>
      </c>
      <c r="AU41" s="68">
        <f t="shared" si="95"/>
        <v>93998</v>
      </c>
      <c r="AV41" s="68">
        <f>ROUND(AH41*1%,0)</f>
        <v>2781</v>
      </c>
      <c r="AW41" s="421">
        <v>0</v>
      </c>
      <c r="AX41" s="421">
        <v>0</v>
      </c>
      <c r="AY41" s="421">
        <f>AW41+AX41</f>
        <v>0</v>
      </c>
      <c r="AZ41" s="421">
        <f>AT41+AU41+AV41+AY41</f>
        <v>374880</v>
      </c>
      <c r="BA41" s="422">
        <v>0</v>
      </c>
      <c r="BB41" s="422">
        <v>0</v>
      </c>
      <c r="BC41" s="422">
        <v>0.75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0.75</v>
      </c>
      <c r="BL41" s="422">
        <f>BB41+BE41+BG41+BJ41</f>
        <v>0</v>
      </c>
      <c r="BM41" s="611">
        <f>SUM(BK41:BL41)</f>
        <v>0.75</v>
      </c>
      <c r="BN41" s="428">
        <f>I41+AZ41</f>
        <v>374880</v>
      </c>
      <c r="BO41" s="421">
        <f>J41+AH41</f>
        <v>278101</v>
      </c>
      <c r="BP41" s="421">
        <f t="shared" si="96"/>
        <v>278101</v>
      </c>
      <c r="BQ41" s="421">
        <f t="shared" si="96"/>
        <v>0</v>
      </c>
      <c r="BR41" s="421">
        <f>M41+AQ41</f>
        <v>0</v>
      </c>
      <c r="BS41" s="421">
        <f t="shared" si="97"/>
        <v>0</v>
      </c>
      <c r="BT41" s="421">
        <f t="shared" si="97"/>
        <v>0</v>
      </c>
      <c r="BU41" s="421">
        <f t="shared" si="98"/>
        <v>93998</v>
      </c>
      <c r="BV41" s="421">
        <f t="shared" si="98"/>
        <v>2781</v>
      </c>
      <c r="BW41" s="421">
        <f>R41+AY41</f>
        <v>0</v>
      </c>
      <c r="BX41" s="422">
        <f>S41+BM41</f>
        <v>0.75</v>
      </c>
      <c r="BY41" s="422">
        <f t="shared" si="99"/>
        <v>0.75</v>
      </c>
      <c r="BZ41" s="611">
        <f t="shared" si="99"/>
        <v>0</v>
      </c>
      <c r="CA41" s="423"/>
      <c r="CB41" s="418"/>
      <c r="CC41" s="418"/>
      <c r="CD41" s="418"/>
      <c r="CE41" s="418"/>
      <c r="CF41" s="527"/>
    </row>
    <row r="42" spans="1:84" s="222" customFormat="1" ht="12.75" customHeight="1" x14ac:dyDescent="0.2">
      <c r="A42" s="224">
        <v>9</v>
      </c>
      <c r="B42" s="225">
        <v>3467</v>
      </c>
      <c r="C42" s="225">
        <v>691001243</v>
      </c>
      <c r="D42" s="225">
        <v>72048174</v>
      </c>
      <c r="E42" s="226" t="s">
        <v>24</v>
      </c>
      <c r="F42" s="225">
        <v>3141</v>
      </c>
      <c r="G42" s="226" t="s">
        <v>295</v>
      </c>
      <c r="H42" s="227" t="s">
        <v>272</v>
      </c>
      <c r="I42" s="423">
        <f t="shared" si="89"/>
        <v>896919</v>
      </c>
      <c r="J42" s="418">
        <f>K42+L42</f>
        <v>662525</v>
      </c>
      <c r="K42" s="418">
        <v>0</v>
      </c>
      <c r="L42" s="418">
        <v>662525</v>
      </c>
      <c r="M42" s="418">
        <f>N42+O42</f>
        <v>0</v>
      </c>
      <c r="N42" s="418"/>
      <c r="O42" s="418"/>
      <c r="P42" s="68">
        <f t="shared" si="90"/>
        <v>223933</v>
      </c>
      <c r="Q42" s="68">
        <f t="shared" si="91"/>
        <v>6625</v>
      </c>
      <c r="R42" s="418">
        <v>3836</v>
      </c>
      <c r="S42" s="419">
        <f>T42+U42</f>
        <v>1.99</v>
      </c>
      <c r="T42" s="420">
        <v>0</v>
      </c>
      <c r="U42" s="527">
        <v>1.99</v>
      </c>
      <c r="V42" s="427">
        <f t="shared" si="92"/>
        <v>0</v>
      </c>
      <c r="W42" s="421">
        <f t="shared" si="92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>V42+X42+Y42+AA42+AB42+AD42</f>
        <v>0</v>
      </c>
      <c r="AG42" s="421">
        <f>W42+Z42+AC42+AE42</f>
        <v>0</v>
      </c>
      <c r="AH42" s="421">
        <f>SUM(AF42:AG42)</f>
        <v>0</v>
      </c>
      <c r="AI42" s="421">
        <v>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93"/>
        <v>0</v>
      </c>
      <c r="AP42" s="421">
        <f>AJ42+AN42</f>
        <v>0</v>
      </c>
      <c r="AQ42" s="421">
        <f>SUM(AO42:AP42)</f>
        <v>0</v>
      </c>
      <c r="AR42" s="421">
        <f t="shared" si="94"/>
        <v>0</v>
      </c>
      <c r="AS42" s="421">
        <f t="shared" si="94"/>
        <v>0</v>
      </c>
      <c r="AT42" s="421">
        <f>SUM(AR42:AS42)</f>
        <v>0</v>
      </c>
      <c r="AU42" s="68">
        <f t="shared" si="95"/>
        <v>0</v>
      </c>
      <c r="AV42" s="68">
        <f>ROUND(AH42*1%,0)</f>
        <v>0</v>
      </c>
      <c r="AW42" s="421">
        <v>0</v>
      </c>
      <c r="AX42" s="421">
        <v>0</v>
      </c>
      <c r="AY42" s="421">
        <f>AW42+AX42</f>
        <v>0</v>
      </c>
      <c r="AZ42" s="421">
        <f>AT42+AU42+AV42+AY42</f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>BA42+BC42+BD42+BF42+BH42+BI42</f>
        <v>0</v>
      </c>
      <c r="BL42" s="422">
        <f>BB42+BE42+BG42+BJ42</f>
        <v>0</v>
      </c>
      <c r="BM42" s="611">
        <f>SUM(BK42:BL42)</f>
        <v>0</v>
      </c>
      <c r="BN42" s="428">
        <f>I42+AZ42</f>
        <v>896919</v>
      </c>
      <c r="BO42" s="421">
        <f>J42+AH42</f>
        <v>662525</v>
      </c>
      <c r="BP42" s="421">
        <f t="shared" si="96"/>
        <v>0</v>
      </c>
      <c r="BQ42" s="421">
        <f t="shared" si="96"/>
        <v>662525</v>
      </c>
      <c r="BR42" s="421">
        <f>M42+AQ42</f>
        <v>0</v>
      </c>
      <c r="BS42" s="421">
        <f t="shared" si="97"/>
        <v>0</v>
      </c>
      <c r="BT42" s="421">
        <f t="shared" si="97"/>
        <v>0</v>
      </c>
      <c r="BU42" s="421">
        <f t="shared" si="98"/>
        <v>223933</v>
      </c>
      <c r="BV42" s="421">
        <f t="shared" si="98"/>
        <v>6625</v>
      </c>
      <c r="BW42" s="421">
        <f>R42+AY42</f>
        <v>3836</v>
      </c>
      <c r="BX42" s="422">
        <f>S42+BM42</f>
        <v>1.99</v>
      </c>
      <c r="BY42" s="422">
        <f t="shared" si="99"/>
        <v>0</v>
      </c>
      <c r="BZ42" s="611">
        <f t="shared" si="99"/>
        <v>1.99</v>
      </c>
      <c r="CA42" s="423"/>
      <c r="CB42" s="418"/>
      <c r="CC42" s="418"/>
      <c r="CD42" s="418"/>
      <c r="CE42" s="418"/>
      <c r="CF42" s="527"/>
    </row>
    <row r="43" spans="1:84" s="222" customFormat="1" ht="12.75" customHeight="1" x14ac:dyDescent="0.2">
      <c r="A43" s="153">
        <v>9</v>
      </c>
      <c r="B43" s="14">
        <v>3467</v>
      </c>
      <c r="C43" s="152">
        <v>691001243</v>
      </c>
      <c r="D43" s="152">
        <v>72048174</v>
      </c>
      <c r="E43" s="223" t="s">
        <v>25</v>
      </c>
      <c r="F43" s="14"/>
      <c r="G43" s="223"/>
      <c r="H43" s="592"/>
      <c r="I43" s="522">
        <f t="shared" ref="I43:BU43" si="100">SUM(I40:I42)</f>
        <v>9911574</v>
      </c>
      <c r="J43" s="521">
        <f t="shared" si="100"/>
        <v>7327328</v>
      </c>
      <c r="K43" s="521">
        <f t="shared" si="100"/>
        <v>6038776</v>
      </c>
      <c r="L43" s="521">
        <f t="shared" si="100"/>
        <v>1288552</v>
      </c>
      <c r="M43" s="521">
        <f t="shared" si="100"/>
        <v>0</v>
      </c>
      <c r="N43" s="521">
        <f t="shared" si="100"/>
        <v>0</v>
      </c>
      <c r="O43" s="521">
        <f t="shared" si="100"/>
        <v>0</v>
      </c>
      <c r="P43" s="521">
        <f t="shared" si="100"/>
        <v>2476636</v>
      </c>
      <c r="Q43" s="521">
        <f t="shared" si="100"/>
        <v>73273</v>
      </c>
      <c r="R43" s="521">
        <f t="shared" si="100"/>
        <v>34337</v>
      </c>
      <c r="S43" s="572">
        <f t="shared" si="100"/>
        <v>14.6648</v>
      </c>
      <c r="T43" s="572">
        <f t="shared" si="100"/>
        <v>10.5481</v>
      </c>
      <c r="U43" s="448">
        <f t="shared" si="100"/>
        <v>4.1166999999999998</v>
      </c>
      <c r="V43" s="614">
        <f t="shared" si="100"/>
        <v>0</v>
      </c>
      <c r="W43" s="521">
        <f t="shared" si="100"/>
        <v>0</v>
      </c>
      <c r="X43" s="521">
        <f t="shared" si="100"/>
        <v>278101</v>
      </c>
      <c r="Y43" s="521">
        <f t="shared" si="100"/>
        <v>0</v>
      </c>
      <c r="Z43" s="521">
        <f t="shared" si="100"/>
        <v>0</v>
      </c>
      <c r="AA43" s="521">
        <f t="shared" si="100"/>
        <v>0</v>
      </c>
      <c r="AB43" s="521">
        <f t="shared" si="100"/>
        <v>0</v>
      </c>
      <c r="AC43" s="521">
        <f t="shared" si="100"/>
        <v>0</v>
      </c>
      <c r="AD43" s="521">
        <f t="shared" si="100"/>
        <v>0</v>
      </c>
      <c r="AE43" s="521">
        <f t="shared" si="100"/>
        <v>0</v>
      </c>
      <c r="AF43" s="521">
        <f t="shared" si="100"/>
        <v>278101</v>
      </c>
      <c r="AG43" s="521">
        <f t="shared" si="100"/>
        <v>0</v>
      </c>
      <c r="AH43" s="521">
        <f t="shared" si="100"/>
        <v>278101</v>
      </c>
      <c r="AI43" s="521">
        <f t="shared" si="100"/>
        <v>0</v>
      </c>
      <c r="AJ43" s="521">
        <f t="shared" si="100"/>
        <v>0</v>
      </c>
      <c r="AK43" s="521">
        <f t="shared" ref="AK43" si="101">SUM(AK40:AK42)</f>
        <v>0</v>
      </c>
      <c r="AL43" s="521">
        <f t="shared" si="100"/>
        <v>0</v>
      </c>
      <c r="AM43" s="521">
        <f t="shared" si="100"/>
        <v>0</v>
      </c>
      <c r="AN43" s="521">
        <f t="shared" si="100"/>
        <v>0</v>
      </c>
      <c r="AO43" s="521">
        <f t="shared" si="100"/>
        <v>0</v>
      </c>
      <c r="AP43" s="521">
        <f t="shared" si="100"/>
        <v>0</v>
      </c>
      <c r="AQ43" s="521">
        <f t="shared" si="100"/>
        <v>0</v>
      </c>
      <c r="AR43" s="521">
        <f t="shared" si="100"/>
        <v>278101</v>
      </c>
      <c r="AS43" s="521">
        <f t="shared" si="100"/>
        <v>0</v>
      </c>
      <c r="AT43" s="521">
        <f t="shared" si="100"/>
        <v>278101</v>
      </c>
      <c r="AU43" s="521">
        <f t="shared" si="100"/>
        <v>93998</v>
      </c>
      <c r="AV43" s="521">
        <f t="shared" si="100"/>
        <v>2781</v>
      </c>
      <c r="AW43" s="521">
        <f t="shared" si="100"/>
        <v>0</v>
      </c>
      <c r="AX43" s="521">
        <f t="shared" si="100"/>
        <v>0</v>
      </c>
      <c r="AY43" s="521">
        <f t="shared" si="100"/>
        <v>0</v>
      </c>
      <c r="AZ43" s="521">
        <f t="shared" si="100"/>
        <v>374880</v>
      </c>
      <c r="BA43" s="572">
        <f t="shared" si="100"/>
        <v>0</v>
      </c>
      <c r="BB43" s="572">
        <f t="shared" si="100"/>
        <v>0</v>
      </c>
      <c r="BC43" s="572">
        <f t="shared" si="100"/>
        <v>0.75</v>
      </c>
      <c r="BD43" s="572">
        <f t="shared" si="100"/>
        <v>0</v>
      </c>
      <c r="BE43" s="572">
        <f t="shared" si="100"/>
        <v>0</v>
      </c>
      <c r="BF43" s="572">
        <f t="shared" si="100"/>
        <v>0</v>
      </c>
      <c r="BG43" s="572">
        <f t="shared" si="100"/>
        <v>0</v>
      </c>
      <c r="BH43" s="572">
        <f t="shared" si="100"/>
        <v>0</v>
      </c>
      <c r="BI43" s="572">
        <f t="shared" si="100"/>
        <v>0</v>
      </c>
      <c r="BJ43" s="572">
        <f t="shared" si="100"/>
        <v>0</v>
      </c>
      <c r="BK43" s="572">
        <f t="shared" si="100"/>
        <v>0.75</v>
      </c>
      <c r="BL43" s="572">
        <f t="shared" si="100"/>
        <v>0</v>
      </c>
      <c r="BM43" s="403">
        <f t="shared" si="100"/>
        <v>0.75</v>
      </c>
      <c r="BN43" s="522">
        <f t="shared" si="100"/>
        <v>10286454</v>
      </c>
      <c r="BO43" s="521">
        <f t="shared" si="100"/>
        <v>7605429</v>
      </c>
      <c r="BP43" s="521">
        <f t="shared" si="100"/>
        <v>6316877</v>
      </c>
      <c r="BQ43" s="521">
        <f t="shared" si="100"/>
        <v>1288552</v>
      </c>
      <c r="BR43" s="521">
        <f t="shared" si="100"/>
        <v>0</v>
      </c>
      <c r="BS43" s="521">
        <f t="shared" si="100"/>
        <v>0</v>
      </c>
      <c r="BT43" s="521">
        <f t="shared" si="100"/>
        <v>0</v>
      </c>
      <c r="BU43" s="521">
        <f t="shared" si="100"/>
        <v>2570634</v>
      </c>
      <c r="BV43" s="521">
        <f t="shared" ref="BV43:CF43" si="102">SUM(BV40:BV42)</f>
        <v>76054</v>
      </c>
      <c r="BW43" s="521">
        <f t="shared" si="102"/>
        <v>34337</v>
      </c>
      <c r="BX43" s="572">
        <f t="shared" si="102"/>
        <v>15.4148</v>
      </c>
      <c r="BY43" s="572">
        <f t="shared" si="102"/>
        <v>11.2981</v>
      </c>
      <c r="BZ43" s="403">
        <f t="shared" si="102"/>
        <v>4.1166999999999998</v>
      </c>
      <c r="CA43" s="833">
        <f t="shared" si="102"/>
        <v>0</v>
      </c>
      <c r="CB43" s="834">
        <f t="shared" si="102"/>
        <v>0</v>
      </c>
      <c r="CC43" s="834">
        <f t="shared" si="102"/>
        <v>0</v>
      </c>
      <c r="CD43" s="834">
        <f t="shared" si="102"/>
        <v>0</v>
      </c>
      <c r="CE43" s="834">
        <f t="shared" si="102"/>
        <v>0</v>
      </c>
      <c r="CF43" s="829">
        <f t="shared" si="102"/>
        <v>0</v>
      </c>
    </row>
    <row r="44" spans="1:84" s="222" customFormat="1" ht="12.75" customHeight="1" x14ac:dyDescent="0.2">
      <c r="A44" s="224">
        <v>10</v>
      </c>
      <c r="B44" s="225">
        <v>3461</v>
      </c>
      <c r="C44" s="225">
        <v>691001286</v>
      </c>
      <c r="D44" s="225">
        <v>72048107</v>
      </c>
      <c r="E44" s="226" t="s">
        <v>26</v>
      </c>
      <c r="F44" s="225">
        <v>3111</v>
      </c>
      <c r="G44" s="226" t="s">
        <v>291</v>
      </c>
      <c r="H44" s="227" t="s">
        <v>271</v>
      </c>
      <c r="I44" s="423">
        <f t="shared" ref="I44:I46" si="103">J44+P44+Q44+R44</f>
        <v>9060062</v>
      </c>
      <c r="J44" s="418">
        <f>K44+L44</f>
        <v>6698685</v>
      </c>
      <c r="K44" s="418">
        <v>6072658</v>
      </c>
      <c r="L44" s="418">
        <v>626027</v>
      </c>
      <c r="M44" s="418">
        <f>N44+O44</f>
        <v>0</v>
      </c>
      <c r="N44" s="418"/>
      <c r="O44" s="418"/>
      <c r="P44" s="68">
        <f t="shared" ref="P44:P46" si="104">ROUND(J44*33.8%,0)</f>
        <v>2264156</v>
      </c>
      <c r="Q44" s="68">
        <f t="shared" ref="Q44:Q46" si="105">ROUND(J44*1%,0)</f>
        <v>66987</v>
      </c>
      <c r="R44" s="418">
        <v>30234</v>
      </c>
      <c r="S44" s="419">
        <f>T44+U44</f>
        <v>12.826699999999999</v>
      </c>
      <c r="T44" s="420">
        <v>10.7</v>
      </c>
      <c r="U44" s="527">
        <v>2.1267</v>
      </c>
      <c r="V44" s="427">
        <f t="shared" ref="V44:W46" si="106">AI44*-1</f>
        <v>0</v>
      </c>
      <c r="W44" s="421">
        <f t="shared" si="106"/>
        <v>0</v>
      </c>
      <c r="X44" s="421">
        <v>0</v>
      </c>
      <c r="Y44" s="421">
        <v>0</v>
      </c>
      <c r="Z44" s="421">
        <v>0</v>
      </c>
      <c r="AA44" s="421">
        <v>0</v>
      </c>
      <c r="AB44" s="421">
        <v>0</v>
      </c>
      <c r="AC44" s="421">
        <v>0</v>
      </c>
      <c r="AD44" s="421">
        <v>0</v>
      </c>
      <c r="AE44" s="421">
        <v>0</v>
      </c>
      <c r="AF44" s="421">
        <f>V44+X44+Y44+AA44+AB44+AD44</f>
        <v>0</v>
      </c>
      <c r="AG44" s="421">
        <f>W44+Z44+AC44+AE44</f>
        <v>0</v>
      </c>
      <c r="AH44" s="421">
        <f>SUM(AF44:AG44)</f>
        <v>0</v>
      </c>
      <c r="AI44" s="421">
        <v>0</v>
      </c>
      <c r="AJ44" s="421">
        <v>0</v>
      </c>
      <c r="AK44" s="421">
        <v>0</v>
      </c>
      <c r="AL44" s="421">
        <v>0</v>
      </c>
      <c r="AM44" s="421">
        <v>0</v>
      </c>
      <c r="AN44" s="421">
        <v>0</v>
      </c>
      <c r="AO44" s="421">
        <f t="shared" ref="AO44:AO46" si="107">AI44+AK44+AL44+AM44</f>
        <v>0</v>
      </c>
      <c r="AP44" s="421">
        <f>AJ44+AN44</f>
        <v>0</v>
      </c>
      <c r="AQ44" s="421">
        <f>SUM(AO44:AP44)</f>
        <v>0</v>
      </c>
      <c r="AR44" s="421">
        <f t="shared" ref="AR44:AS46" si="108">AF44+AO44</f>
        <v>0</v>
      </c>
      <c r="AS44" s="421">
        <f t="shared" si="108"/>
        <v>0</v>
      </c>
      <c r="AT44" s="421">
        <f>SUM(AR44:AS44)</f>
        <v>0</v>
      </c>
      <c r="AU44" s="68">
        <f t="shared" ref="AU44:AU46" si="109">ROUND((AH44+AI44+AJ44+AK44+AL44)*33.8%,0)</f>
        <v>0</v>
      </c>
      <c r="AV44" s="68">
        <f>ROUND(AH44*1%,0)</f>
        <v>0</v>
      </c>
      <c r="AW44" s="421">
        <v>0</v>
      </c>
      <c r="AX44" s="421">
        <v>0</v>
      </c>
      <c r="AY44" s="421">
        <f>AW44+AX44</f>
        <v>0</v>
      </c>
      <c r="AZ44" s="421">
        <f>AT44+AU44+AV44+AY44</f>
        <v>0</v>
      </c>
      <c r="BA44" s="422">
        <v>0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</v>
      </c>
      <c r="BK44" s="422">
        <f>BA44+BC44+BD44+BF44+BH44+BI44</f>
        <v>0</v>
      </c>
      <c r="BL44" s="422">
        <f>BB44+BE44+BG44+BJ44</f>
        <v>0</v>
      </c>
      <c r="BM44" s="611">
        <f>SUM(BK44:BL44)</f>
        <v>0</v>
      </c>
      <c r="BN44" s="428">
        <f>I44+AZ44</f>
        <v>9060062</v>
      </c>
      <c r="BO44" s="421">
        <f>J44+AH44</f>
        <v>6698685</v>
      </c>
      <c r="BP44" s="421">
        <f t="shared" ref="BP44:BQ46" si="110">K44+AF44</f>
        <v>6072658</v>
      </c>
      <c r="BQ44" s="421">
        <f t="shared" si="110"/>
        <v>626027</v>
      </c>
      <c r="BR44" s="421">
        <f>M44+AQ44</f>
        <v>0</v>
      </c>
      <c r="BS44" s="421">
        <f t="shared" ref="BS44:BT46" si="111">N44+AO44</f>
        <v>0</v>
      </c>
      <c r="BT44" s="421">
        <f t="shared" si="111"/>
        <v>0</v>
      </c>
      <c r="BU44" s="421">
        <f t="shared" ref="BU44:BV46" si="112">P44+AU44</f>
        <v>2264156</v>
      </c>
      <c r="BV44" s="421">
        <f t="shared" si="112"/>
        <v>66987</v>
      </c>
      <c r="BW44" s="421">
        <f>R44+AY44</f>
        <v>30234</v>
      </c>
      <c r="BX44" s="422">
        <f>S44+BM44</f>
        <v>12.826699999999999</v>
      </c>
      <c r="BY44" s="422">
        <f t="shared" ref="BY44:BZ46" si="113">T44+BK44</f>
        <v>10.7</v>
      </c>
      <c r="BZ44" s="611">
        <f t="shared" si="113"/>
        <v>2.1267</v>
      </c>
      <c r="CA44" s="423"/>
      <c r="CB44" s="418"/>
      <c r="CC44" s="418"/>
      <c r="CD44" s="418"/>
      <c r="CE44" s="418"/>
      <c r="CF44" s="527"/>
    </row>
    <row r="45" spans="1:84" s="222" customFormat="1" x14ac:dyDescent="0.2">
      <c r="A45" s="224">
        <v>10</v>
      </c>
      <c r="B45" s="225">
        <v>3461</v>
      </c>
      <c r="C45" s="225">
        <v>691001286</v>
      </c>
      <c r="D45" s="225">
        <v>72048107</v>
      </c>
      <c r="E45" s="226" t="s">
        <v>26</v>
      </c>
      <c r="F45" s="225">
        <v>3111</v>
      </c>
      <c r="G45" s="226" t="s">
        <v>292</v>
      </c>
      <c r="H45" s="227" t="s">
        <v>272</v>
      </c>
      <c r="I45" s="423">
        <f t="shared" si="103"/>
        <v>0</v>
      </c>
      <c r="J45" s="418">
        <f>K45+L45</f>
        <v>0</v>
      </c>
      <c r="K45" s="418">
        <v>0</v>
      </c>
      <c r="L45" s="418"/>
      <c r="M45" s="418">
        <f>N45+O45</f>
        <v>0</v>
      </c>
      <c r="N45" s="418"/>
      <c r="O45" s="418"/>
      <c r="P45" s="68">
        <f t="shared" si="104"/>
        <v>0</v>
      </c>
      <c r="Q45" s="68">
        <f t="shared" si="105"/>
        <v>0</v>
      </c>
      <c r="R45" s="418">
        <v>0</v>
      </c>
      <c r="S45" s="419">
        <f>T45+U45</f>
        <v>0</v>
      </c>
      <c r="T45" s="420">
        <v>0</v>
      </c>
      <c r="U45" s="527">
        <v>0</v>
      </c>
      <c r="V45" s="427">
        <f t="shared" si="106"/>
        <v>0</v>
      </c>
      <c r="W45" s="421">
        <f t="shared" si="106"/>
        <v>0</v>
      </c>
      <c r="X45" s="421">
        <v>457322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>V45+X45+Y45+AA45+AB45+AD45</f>
        <v>457322</v>
      </c>
      <c r="AG45" s="421">
        <f>W45+Z45+AC45+AE45</f>
        <v>0</v>
      </c>
      <c r="AH45" s="421">
        <f>SUM(AF45:AG45)</f>
        <v>457322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si="107"/>
        <v>0</v>
      </c>
      <c r="AP45" s="421">
        <f>AJ45+AN45</f>
        <v>0</v>
      </c>
      <c r="AQ45" s="421">
        <f>SUM(AO45:AP45)</f>
        <v>0</v>
      </c>
      <c r="AR45" s="421">
        <f t="shared" si="108"/>
        <v>457322</v>
      </c>
      <c r="AS45" s="421">
        <f t="shared" si="108"/>
        <v>0</v>
      </c>
      <c r="AT45" s="421">
        <f>SUM(AR45:AS45)</f>
        <v>457322</v>
      </c>
      <c r="AU45" s="68">
        <f t="shared" si="109"/>
        <v>154575</v>
      </c>
      <c r="AV45" s="68">
        <f>ROUND(AH45*1%,0)</f>
        <v>4573</v>
      </c>
      <c r="AW45" s="421">
        <v>0</v>
      </c>
      <c r="AX45" s="421">
        <v>0</v>
      </c>
      <c r="AY45" s="421">
        <f>AW45+AX45</f>
        <v>0</v>
      </c>
      <c r="AZ45" s="421">
        <f>AT45+AU45+AV45+AY45</f>
        <v>616470</v>
      </c>
      <c r="BA45" s="422">
        <v>0</v>
      </c>
      <c r="BB45" s="422">
        <v>0</v>
      </c>
      <c r="BC45" s="422">
        <v>1.5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1.5</v>
      </c>
      <c r="BL45" s="422">
        <f>BB45+BE45+BG45+BJ45</f>
        <v>0</v>
      </c>
      <c r="BM45" s="611">
        <f>SUM(BK45:BL45)</f>
        <v>1.5</v>
      </c>
      <c r="BN45" s="428">
        <f>I45+AZ45</f>
        <v>616470</v>
      </c>
      <c r="BO45" s="421">
        <f>J45+AH45</f>
        <v>457322</v>
      </c>
      <c r="BP45" s="421">
        <f t="shared" si="110"/>
        <v>457322</v>
      </c>
      <c r="BQ45" s="421">
        <f t="shared" si="110"/>
        <v>0</v>
      </c>
      <c r="BR45" s="421">
        <f>M45+AQ45</f>
        <v>0</v>
      </c>
      <c r="BS45" s="421">
        <f t="shared" si="111"/>
        <v>0</v>
      </c>
      <c r="BT45" s="421">
        <f t="shared" si="111"/>
        <v>0</v>
      </c>
      <c r="BU45" s="421">
        <f t="shared" si="112"/>
        <v>154575</v>
      </c>
      <c r="BV45" s="421">
        <f t="shared" si="112"/>
        <v>4573</v>
      </c>
      <c r="BW45" s="421">
        <f>R45+AY45</f>
        <v>0</v>
      </c>
      <c r="BX45" s="422">
        <f>S45+BM45</f>
        <v>1.5</v>
      </c>
      <c r="BY45" s="422">
        <f t="shared" si="113"/>
        <v>1.5</v>
      </c>
      <c r="BZ45" s="611">
        <f t="shared" si="113"/>
        <v>0</v>
      </c>
      <c r="CA45" s="423"/>
      <c r="CB45" s="418"/>
      <c r="CC45" s="418"/>
      <c r="CD45" s="418"/>
      <c r="CE45" s="418"/>
      <c r="CF45" s="527"/>
    </row>
    <row r="46" spans="1:84" s="222" customFormat="1" ht="12.75" customHeight="1" x14ac:dyDescent="0.2">
      <c r="A46" s="224">
        <v>10</v>
      </c>
      <c r="B46" s="225">
        <v>3461</v>
      </c>
      <c r="C46" s="225">
        <v>691001286</v>
      </c>
      <c r="D46" s="225">
        <v>72048107</v>
      </c>
      <c r="E46" s="226" t="s">
        <v>26</v>
      </c>
      <c r="F46" s="225">
        <v>3141</v>
      </c>
      <c r="G46" s="226" t="s">
        <v>295</v>
      </c>
      <c r="H46" s="227" t="s">
        <v>272</v>
      </c>
      <c r="I46" s="423">
        <f t="shared" si="103"/>
        <v>929605</v>
      </c>
      <c r="J46" s="418">
        <f>K46+L46</f>
        <v>686969</v>
      </c>
      <c r="K46" s="418">
        <v>0</v>
      </c>
      <c r="L46" s="418">
        <v>686969</v>
      </c>
      <c r="M46" s="418">
        <f>N46+O46</f>
        <v>0</v>
      </c>
      <c r="N46" s="418"/>
      <c r="O46" s="418"/>
      <c r="P46" s="68">
        <f t="shared" si="104"/>
        <v>232196</v>
      </c>
      <c r="Q46" s="68">
        <f t="shared" si="105"/>
        <v>6870</v>
      </c>
      <c r="R46" s="418">
        <v>3570</v>
      </c>
      <c r="S46" s="419">
        <f>T46+U46</f>
        <v>2.06</v>
      </c>
      <c r="T46" s="420">
        <v>0</v>
      </c>
      <c r="U46" s="527">
        <v>2.06</v>
      </c>
      <c r="V46" s="427">
        <f t="shared" si="106"/>
        <v>0</v>
      </c>
      <c r="W46" s="421">
        <f t="shared" si="106"/>
        <v>0</v>
      </c>
      <c r="X46" s="421">
        <v>0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>V46+X46+Y46+AA46+AB46+AD46</f>
        <v>0</v>
      </c>
      <c r="AG46" s="421">
        <f>W46+Z46+AC46+AE46</f>
        <v>0</v>
      </c>
      <c r="AH46" s="421">
        <f>SUM(AF46:AG46)</f>
        <v>0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107"/>
        <v>0</v>
      </c>
      <c r="AP46" s="421">
        <f>AJ46+AN46</f>
        <v>0</v>
      </c>
      <c r="AQ46" s="421">
        <f>SUM(AO46:AP46)</f>
        <v>0</v>
      </c>
      <c r="AR46" s="421">
        <f t="shared" si="108"/>
        <v>0</v>
      </c>
      <c r="AS46" s="421">
        <f t="shared" si="108"/>
        <v>0</v>
      </c>
      <c r="AT46" s="421">
        <f>SUM(AR46:AS46)</f>
        <v>0</v>
      </c>
      <c r="AU46" s="68">
        <f t="shared" si="109"/>
        <v>0</v>
      </c>
      <c r="AV46" s="68">
        <f>ROUND(AH46*1%,0)</f>
        <v>0</v>
      </c>
      <c r="AW46" s="421">
        <v>0</v>
      </c>
      <c r="AX46" s="421">
        <v>0</v>
      </c>
      <c r="AY46" s="421">
        <f>AW46+AX46</f>
        <v>0</v>
      </c>
      <c r="AZ46" s="421">
        <f>AT46+AU46+AV46+AY46</f>
        <v>0</v>
      </c>
      <c r="BA46" s="422">
        <v>0</v>
      </c>
      <c r="BB46" s="422">
        <v>0</v>
      </c>
      <c r="BC46" s="422">
        <v>0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>BA46+BC46+BD46+BF46+BH46+BI46</f>
        <v>0</v>
      </c>
      <c r="BL46" s="422">
        <f>BB46+BE46+BG46+BJ46</f>
        <v>0</v>
      </c>
      <c r="BM46" s="611">
        <f>SUM(BK46:BL46)</f>
        <v>0</v>
      </c>
      <c r="BN46" s="428">
        <f>I46+AZ46</f>
        <v>929605</v>
      </c>
      <c r="BO46" s="421">
        <f>J46+AH46</f>
        <v>686969</v>
      </c>
      <c r="BP46" s="421">
        <f t="shared" si="110"/>
        <v>0</v>
      </c>
      <c r="BQ46" s="421">
        <f t="shared" si="110"/>
        <v>686969</v>
      </c>
      <c r="BR46" s="421">
        <f>M46+AQ46</f>
        <v>0</v>
      </c>
      <c r="BS46" s="421">
        <f t="shared" si="111"/>
        <v>0</v>
      </c>
      <c r="BT46" s="421">
        <f t="shared" si="111"/>
        <v>0</v>
      </c>
      <c r="BU46" s="421">
        <f t="shared" si="112"/>
        <v>232196</v>
      </c>
      <c r="BV46" s="421">
        <f t="shared" si="112"/>
        <v>6870</v>
      </c>
      <c r="BW46" s="421">
        <f>R46+AY46</f>
        <v>3570</v>
      </c>
      <c r="BX46" s="422">
        <f>S46+BM46</f>
        <v>2.06</v>
      </c>
      <c r="BY46" s="422">
        <f t="shared" si="113"/>
        <v>0</v>
      </c>
      <c r="BZ46" s="611">
        <f t="shared" si="113"/>
        <v>2.06</v>
      </c>
      <c r="CA46" s="423"/>
      <c r="CB46" s="418"/>
      <c r="CC46" s="418"/>
      <c r="CD46" s="418"/>
      <c r="CE46" s="418"/>
      <c r="CF46" s="527"/>
    </row>
    <row r="47" spans="1:84" s="222" customFormat="1" ht="12.75" customHeight="1" x14ac:dyDescent="0.2">
      <c r="A47" s="153">
        <v>10</v>
      </c>
      <c r="B47" s="14">
        <v>3461</v>
      </c>
      <c r="C47" s="152">
        <v>691001286</v>
      </c>
      <c r="D47" s="152">
        <v>72048107</v>
      </c>
      <c r="E47" s="223" t="s">
        <v>27</v>
      </c>
      <c r="F47" s="14"/>
      <c r="G47" s="223"/>
      <c r="H47" s="592"/>
      <c r="I47" s="522">
        <f t="shared" ref="I47:BU47" si="114">SUM(I44:I46)</f>
        <v>9989667</v>
      </c>
      <c r="J47" s="521">
        <f t="shared" si="114"/>
        <v>7385654</v>
      </c>
      <c r="K47" s="521">
        <f t="shared" si="114"/>
        <v>6072658</v>
      </c>
      <c r="L47" s="521">
        <f t="shared" si="114"/>
        <v>1312996</v>
      </c>
      <c r="M47" s="521">
        <f t="shared" si="114"/>
        <v>0</v>
      </c>
      <c r="N47" s="521">
        <f t="shared" si="114"/>
        <v>0</v>
      </c>
      <c r="O47" s="521">
        <f t="shared" si="114"/>
        <v>0</v>
      </c>
      <c r="P47" s="521">
        <f t="shared" si="114"/>
        <v>2496352</v>
      </c>
      <c r="Q47" s="521">
        <f t="shared" si="114"/>
        <v>73857</v>
      </c>
      <c r="R47" s="521">
        <f t="shared" si="114"/>
        <v>33804</v>
      </c>
      <c r="S47" s="572">
        <f t="shared" si="114"/>
        <v>14.886699999999999</v>
      </c>
      <c r="T47" s="572">
        <f t="shared" si="114"/>
        <v>10.7</v>
      </c>
      <c r="U47" s="448">
        <f t="shared" si="114"/>
        <v>4.1867000000000001</v>
      </c>
      <c r="V47" s="614">
        <f t="shared" si="114"/>
        <v>0</v>
      </c>
      <c r="W47" s="521">
        <f t="shared" si="114"/>
        <v>0</v>
      </c>
      <c r="X47" s="521">
        <f t="shared" si="114"/>
        <v>457322</v>
      </c>
      <c r="Y47" s="521">
        <f t="shared" si="114"/>
        <v>0</v>
      </c>
      <c r="Z47" s="521">
        <f t="shared" si="114"/>
        <v>0</v>
      </c>
      <c r="AA47" s="521">
        <f t="shared" si="114"/>
        <v>0</v>
      </c>
      <c r="AB47" s="521">
        <f t="shared" si="114"/>
        <v>0</v>
      </c>
      <c r="AC47" s="521">
        <f t="shared" si="114"/>
        <v>0</v>
      </c>
      <c r="AD47" s="521">
        <f t="shared" si="114"/>
        <v>0</v>
      </c>
      <c r="AE47" s="521">
        <f t="shared" si="114"/>
        <v>0</v>
      </c>
      <c r="AF47" s="521">
        <f t="shared" si="114"/>
        <v>457322</v>
      </c>
      <c r="AG47" s="521">
        <f t="shared" si="114"/>
        <v>0</v>
      </c>
      <c r="AH47" s="521">
        <f t="shared" si="114"/>
        <v>457322</v>
      </c>
      <c r="AI47" s="521">
        <f t="shared" si="114"/>
        <v>0</v>
      </c>
      <c r="AJ47" s="521">
        <f t="shared" si="114"/>
        <v>0</v>
      </c>
      <c r="AK47" s="521">
        <f t="shared" ref="AK47" si="115">SUM(AK44:AK46)</f>
        <v>0</v>
      </c>
      <c r="AL47" s="521">
        <f t="shared" si="114"/>
        <v>0</v>
      </c>
      <c r="AM47" s="521">
        <f t="shared" si="114"/>
        <v>0</v>
      </c>
      <c r="AN47" s="521">
        <f t="shared" si="114"/>
        <v>0</v>
      </c>
      <c r="AO47" s="521">
        <f t="shared" si="114"/>
        <v>0</v>
      </c>
      <c r="AP47" s="521">
        <f t="shared" si="114"/>
        <v>0</v>
      </c>
      <c r="AQ47" s="521">
        <f t="shared" si="114"/>
        <v>0</v>
      </c>
      <c r="AR47" s="521">
        <f t="shared" si="114"/>
        <v>457322</v>
      </c>
      <c r="AS47" s="521">
        <f t="shared" si="114"/>
        <v>0</v>
      </c>
      <c r="AT47" s="521">
        <f t="shared" si="114"/>
        <v>457322</v>
      </c>
      <c r="AU47" s="521">
        <f t="shared" si="114"/>
        <v>154575</v>
      </c>
      <c r="AV47" s="521">
        <f t="shared" si="114"/>
        <v>4573</v>
      </c>
      <c r="AW47" s="521">
        <f t="shared" si="114"/>
        <v>0</v>
      </c>
      <c r="AX47" s="521">
        <f t="shared" si="114"/>
        <v>0</v>
      </c>
      <c r="AY47" s="521">
        <f t="shared" si="114"/>
        <v>0</v>
      </c>
      <c r="AZ47" s="521">
        <f t="shared" si="114"/>
        <v>616470</v>
      </c>
      <c r="BA47" s="572">
        <f t="shared" si="114"/>
        <v>0</v>
      </c>
      <c r="BB47" s="572">
        <f t="shared" si="114"/>
        <v>0</v>
      </c>
      <c r="BC47" s="572">
        <f t="shared" si="114"/>
        <v>1.5</v>
      </c>
      <c r="BD47" s="572">
        <f t="shared" si="114"/>
        <v>0</v>
      </c>
      <c r="BE47" s="572">
        <f t="shared" si="114"/>
        <v>0</v>
      </c>
      <c r="BF47" s="572">
        <f t="shared" si="114"/>
        <v>0</v>
      </c>
      <c r="BG47" s="572">
        <f t="shared" si="114"/>
        <v>0</v>
      </c>
      <c r="BH47" s="572">
        <f t="shared" si="114"/>
        <v>0</v>
      </c>
      <c r="BI47" s="572">
        <f t="shared" si="114"/>
        <v>0</v>
      </c>
      <c r="BJ47" s="572">
        <f t="shared" si="114"/>
        <v>0</v>
      </c>
      <c r="BK47" s="572">
        <f t="shared" si="114"/>
        <v>1.5</v>
      </c>
      <c r="BL47" s="572">
        <f t="shared" si="114"/>
        <v>0</v>
      </c>
      <c r="BM47" s="403">
        <f t="shared" si="114"/>
        <v>1.5</v>
      </c>
      <c r="BN47" s="522">
        <f t="shared" si="114"/>
        <v>10606137</v>
      </c>
      <c r="BO47" s="521">
        <f t="shared" si="114"/>
        <v>7842976</v>
      </c>
      <c r="BP47" s="521">
        <f t="shared" si="114"/>
        <v>6529980</v>
      </c>
      <c r="BQ47" s="521">
        <f t="shared" si="114"/>
        <v>1312996</v>
      </c>
      <c r="BR47" s="521">
        <f t="shared" si="114"/>
        <v>0</v>
      </c>
      <c r="BS47" s="521">
        <f t="shared" si="114"/>
        <v>0</v>
      </c>
      <c r="BT47" s="521">
        <f t="shared" si="114"/>
        <v>0</v>
      </c>
      <c r="BU47" s="521">
        <f t="shared" si="114"/>
        <v>2650927</v>
      </c>
      <c r="BV47" s="521">
        <f t="shared" ref="BV47:CF47" si="116">SUM(BV44:BV46)</f>
        <v>78430</v>
      </c>
      <c r="BW47" s="521">
        <f t="shared" si="116"/>
        <v>33804</v>
      </c>
      <c r="BX47" s="572">
        <f t="shared" si="116"/>
        <v>16.386699999999998</v>
      </c>
      <c r="BY47" s="572">
        <f t="shared" si="116"/>
        <v>12.2</v>
      </c>
      <c r="BZ47" s="403">
        <f t="shared" si="116"/>
        <v>4.1867000000000001</v>
      </c>
      <c r="CA47" s="833">
        <f t="shared" si="116"/>
        <v>0</v>
      </c>
      <c r="CB47" s="834">
        <f t="shared" si="116"/>
        <v>0</v>
      </c>
      <c r="CC47" s="834">
        <f t="shared" si="116"/>
        <v>0</v>
      </c>
      <c r="CD47" s="834">
        <f t="shared" si="116"/>
        <v>0</v>
      </c>
      <c r="CE47" s="834">
        <f t="shared" si="116"/>
        <v>0</v>
      </c>
      <c r="CF47" s="829">
        <f t="shared" si="116"/>
        <v>0</v>
      </c>
    </row>
    <row r="48" spans="1:84" s="222" customFormat="1" ht="12.75" customHeight="1" x14ac:dyDescent="0.2">
      <c r="A48" s="224">
        <v>11</v>
      </c>
      <c r="B48" s="225">
        <v>3468</v>
      </c>
      <c r="C48" s="225">
        <v>691000891</v>
      </c>
      <c r="D48" s="225">
        <v>72048069</v>
      </c>
      <c r="E48" s="226" t="s">
        <v>28</v>
      </c>
      <c r="F48" s="225">
        <v>3111</v>
      </c>
      <c r="G48" s="226" t="s">
        <v>291</v>
      </c>
      <c r="H48" s="227" t="s">
        <v>271</v>
      </c>
      <c r="I48" s="423">
        <f t="shared" ref="I48:I50" si="117">J48+P48+Q48+R48</f>
        <v>6840640</v>
      </c>
      <c r="J48" s="418">
        <f>K48+L48</f>
        <v>5055154</v>
      </c>
      <c r="K48" s="418">
        <v>4611608</v>
      </c>
      <c r="L48" s="418">
        <v>443546</v>
      </c>
      <c r="M48" s="418">
        <f>N48+O48</f>
        <v>0</v>
      </c>
      <c r="N48" s="418"/>
      <c r="O48" s="418"/>
      <c r="P48" s="68">
        <f t="shared" ref="P48:P50" si="118">ROUND(J48*33.8%,0)</f>
        <v>1708642</v>
      </c>
      <c r="Q48" s="68">
        <f t="shared" ref="Q48:Q50" si="119">ROUND(J48*1%,0)</f>
        <v>50552</v>
      </c>
      <c r="R48" s="418">
        <v>26292</v>
      </c>
      <c r="S48" s="419">
        <f>T48+U48</f>
        <v>9.59</v>
      </c>
      <c r="T48" s="420">
        <v>8.0967000000000002</v>
      </c>
      <c r="U48" s="527">
        <v>1.4933000000000001</v>
      </c>
      <c r="V48" s="427">
        <f t="shared" ref="V48:W50" si="120">AI48*-1</f>
        <v>0</v>
      </c>
      <c r="W48" s="421">
        <f t="shared" si="120"/>
        <v>-12800</v>
      </c>
      <c r="X48" s="421">
        <v>0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>V48+X48+Y48+AA48+AB48+AD48</f>
        <v>0</v>
      </c>
      <c r="AG48" s="421">
        <f>W48+Z48+AC48+AE48</f>
        <v>-12800</v>
      </c>
      <c r="AH48" s="421">
        <f>SUM(AF48:AG48)</f>
        <v>-12800</v>
      </c>
      <c r="AI48" s="421">
        <v>0</v>
      </c>
      <c r="AJ48" s="421">
        <v>12800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ref="AO48:AO50" si="121">AI48+AK48+AL48+AM48</f>
        <v>0</v>
      </c>
      <c r="AP48" s="421">
        <f>AJ48+AN48</f>
        <v>12800</v>
      </c>
      <c r="AQ48" s="421">
        <f>SUM(AO48:AP48)</f>
        <v>12800</v>
      </c>
      <c r="AR48" s="421">
        <f t="shared" ref="AR48:AS50" si="122">AF48+AO48</f>
        <v>0</v>
      </c>
      <c r="AS48" s="421">
        <f t="shared" si="122"/>
        <v>0</v>
      </c>
      <c r="AT48" s="421">
        <f>SUM(AR48:AS48)</f>
        <v>0</v>
      </c>
      <c r="AU48" s="68">
        <f t="shared" ref="AU48:AU50" si="123">ROUND((AH48+AI48+AJ48+AK48+AL48)*33.8%,0)</f>
        <v>0</v>
      </c>
      <c r="AV48" s="68">
        <f>ROUND(AH48*1%,0)</f>
        <v>-128</v>
      </c>
      <c r="AW48" s="421">
        <v>0</v>
      </c>
      <c r="AX48" s="421">
        <v>0</v>
      </c>
      <c r="AY48" s="421">
        <f>AW48+AX48</f>
        <v>0</v>
      </c>
      <c r="AZ48" s="421">
        <f>AT48+AU48+AV48+AY48</f>
        <v>-128</v>
      </c>
      <c r="BA48" s="422">
        <v>0</v>
      </c>
      <c r="BB48" s="422">
        <v>-0.05</v>
      </c>
      <c r="BC48" s="422">
        <v>0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>BA48+BC48+BD48+BF48+BH48+BI48</f>
        <v>0</v>
      </c>
      <c r="BL48" s="422">
        <f>BB48+BE48+BG48+BJ48</f>
        <v>-0.05</v>
      </c>
      <c r="BM48" s="611">
        <f>SUM(BK48:BL48)</f>
        <v>-0.05</v>
      </c>
      <c r="BN48" s="428">
        <f>I48+AZ48</f>
        <v>6840512</v>
      </c>
      <c r="BO48" s="421">
        <f>J48+AH48</f>
        <v>5042354</v>
      </c>
      <c r="BP48" s="421">
        <f t="shared" ref="BP48:BQ50" si="124">K48+AF48</f>
        <v>4611608</v>
      </c>
      <c r="BQ48" s="421">
        <f t="shared" si="124"/>
        <v>430746</v>
      </c>
      <c r="BR48" s="421">
        <f>M48+AQ48</f>
        <v>12800</v>
      </c>
      <c r="BS48" s="421">
        <f t="shared" ref="BS48:BT50" si="125">N48+AO48</f>
        <v>0</v>
      </c>
      <c r="BT48" s="421">
        <f t="shared" si="125"/>
        <v>12800</v>
      </c>
      <c r="BU48" s="421">
        <f t="shared" ref="BU48:BV50" si="126">P48+AU48</f>
        <v>1708642</v>
      </c>
      <c r="BV48" s="421">
        <f t="shared" si="126"/>
        <v>50424</v>
      </c>
      <c r="BW48" s="421">
        <f>R48+AY48</f>
        <v>26292</v>
      </c>
      <c r="BX48" s="422">
        <f>S48+BM48</f>
        <v>9.5399999999999991</v>
      </c>
      <c r="BY48" s="422">
        <f t="shared" ref="BY48:BZ50" si="127">T48+BK48</f>
        <v>8.0967000000000002</v>
      </c>
      <c r="BZ48" s="611">
        <f t="shared" si="127"/>
        <v>1.4433</v>
      </c>
      <c r="CA48" s="423"/>
      <c r="CB48" s="418"/>
      <c r="CC48" s="418"/>
      <c r="CD48" s="418"/>
      <c r="CE48" s="418"/>
      <c r="CF48" s="527"/>
    </row>
    <row r="49" spans="1:84" s="222" customFormat="1" x14ac:dyDescent="0.2">
      <c r="A49" s="224">
        <v>11</v>
      </c>
      <c r="B49" s="225">
        <v>3468</v>
      </c>
      <c r="C49" s="225">
        <v>691000891</v>
      </c>
      <c r="D49" s="225">
        <v>72048069</v>
      </c>
      <c r="E49" s="226" t="s">
        <v>28</v>
      </c>
      <c r="F49" s="225">
        <v>3111</v>
      </c>
      <c r="G49" s="226" t="s">
        <v>292</v>
      </c>
      <c r="H49" s="227" t="s">
        <v>272</v>
      </c>
      <c r="I49" s="423">
        <f t="shared" si="117"/>
        <v>0</v>
      </c>
      <c r="J49" s="418">
        <f>K49+L49</f>
        <v>0</v>
      </c>
      <c r="K49" s="418">
        <v>0</v>
      </c>
      <c r="L49" s="418">
        <v>0</v>
      </c>
      <c r="M49" s="418">
        <f>N49+O49</f>
        <v>0</v>
      </c>
      <c r="N49" s="418"/>
      <c r="O49" s="418"/>
      <c r="P49" s="68">
        <f t="shared" si="118"/>
        <v>0</v>
      </c>
      <c r="Q49" s="68">
        <f t="shared" si="119"/>
        <v>0</v>
      </c>
      <c r="R49" s="418">
        <v>0</v>
      </c>
      <c r="S49" s="419">
        <f>T49+U49</f>
        <v>0</v>
      </c>
      <c r="T49" s="420">
        <v>0</v>
      </c>
      <c r="U49" s="527">
        <v>0</v>
      </c>
      <c r="V49" s="427">
        <f t="shared" si="120"/>
        <v>0</v>
      </c>
      <c r="W49" s="421">
        <f t="shared" si="120"/>
        <v>0</v>
      </c>
      <c r="X49" s="421">
        <v>1019703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>V49+X49+Y49+AA49+AB49+AD49</f>
        <v>1019703</v>
      </c>
      <c r="AG49" s="421">
        <f>W49+Z49+AC49+AE49</f>
        <v>0</v>
      </c>
      <c r="AH49" s="421">
        <f>SUM(AF49:AG49)</f>
        <v>1019703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121"/>
        <v>0</v>
      </c>
      <c r="AP49" s="421">
        <f>AJ49+AN49</f>
        <v>0</v>
      </c>
      <c r="AQ49" s="421">
        <f>SUM(AO49:AP49)</f>
        <v>0</v>
      </c>
      <c r="AR49" s="421">
        <f t="shared" si="122"/>
        <v>1019703</v>
      </c>
      <c r="AS49" s="421">
        <f t="shared" si="122"/>
        <v>0</v>
      </c>
      <c r="AT49" s="421">
        <f>SUM(AR49:AS49)</f>
        <v>1019703</v>
      </c>
      <c r="AU49" s="68">
        <f t="shared" si="123"/>
        <v>344660</v>
      </c>
      <c r="AV49" s="68">
        <f>ROUND(AH49*1%,0)</f>
        <v>10197</v>
      </c>
      <c r="AW49" s="421">
        <v>0</v>
      </c>
      <c r="AX49" s="421">
        <v>0</v>
      </c>
      <c r="AY49" s="421">
        <f>AW49+AX49</f>
        <v>0</v>
      </c>
      <c r="AZ49" s="421">
        <f>AT49+AU49+AV49+AY49</f>
        <v>1374560</v>
      </c>
      <c r="BA49" s="422">
        <v>0</v>
      </c>
      <c r="BB49" s="422">
        <v>0</v>
      </c>
      <c r="BC49" s="422">
        <v>2.75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>BA49+BC49+BD49+BF49+BH49+BI49</f>
        <v>2.75</v>
      </c>
      <c r="BL49" s="422">
        <f>BB49+BE49+BG49+BJ49</f>
        <v>0</v>
      </c>
      <c r="BM49" s="611">
        <f>SUM(BK49:BL49)</f>
        <v>2.75</v>
      </c>
      <c r="BN49" s="428">
        <f>I49+AZ49</f>
        <v>1374560</v>
      </c>
      <c r="BO49" s="421">
        <f>J49+AH49</f>
        <v>1019703</v>
      </c>
      <c r="BP49" s="421">
        <f t="shared" si="124"/>
        <v>1019703</v>
      </c>
      <c r="BQ49" s="421">
        <f t="shared" si="124"/>
        <v>0</v>
      </c>
      <c r="BR49" s="421">
        <f>M49+AQ49</f>
        <v>0</v>
      </c>
      <c r="BS49" s="421">
        <f t="shared" si="125"/>
        <v>0</v>
      </c>
      <c r="BT49" s="421">
        <f t="shared" si="125"/>
        <v>0</v>
      </c>
      <c r="BU49" s="421">
        <f t="shared" si="126"/>
        <v>344660</v>
      </c>
      <c r="BV49" s="421">
        <f t="shared" si="126"/>
        <v>10197</v>
      </c>
      <c r="BW49" s="421">
        <f>R49+AY49</f>
        <v>0</v>
      </c>
      <c r="BX49" s="422">
        <f>S49+BM49</f>
        <v>2.75</v>
      </c>
      <c r="BY49" s="422">
        <f t="shared" si="127"/>
        <v>2.75</v>
      </c>
      <c r="BZ49" s="611">
        <f t="shared" si="127"/>
        <v>0</v>
      </c>
      <c r="CA49" s="423"/>
      <c r="CB49" s="418"/>
      <c r="CC49" s="418"/>
      <c r="CD49" s="418"/>
      <c r="CE49" s="418"/>
      <c r="CF49" s="527"/>
    </row>
    <row r="50" spans="1:84" s="222" customFormat="1" ht="12.75" customHeight="1" x14ac:dyDescent="0.2">
      <c r="A50" s="224">
        <v>11</v>
      </c>
      <c r="B50" s="225">
        <v>3468</v>
      </c>
      <c r="C50" s="225">
        <v>691000891</v>
      </c>
      <c r="D50" s="225">
        <v>72048069</v>
      </c>
      <c r="E50" s="226" t="s">
        <v>28</v>
      </c>
      <c r="F50" s="225">
        <v>3141</v>
      </c>
      <c r="G50" s="226" t="s">
        <v>295</v>
      </c>
      <c r="H50" s="227" t="s">
        <v>272</v>
      </c>
      <c r="I50" s="423">
        <f t="shared" si="117"/>
        <v>617034</v>
      </c>
      <c r="J50" s="418">
        <f>K50+L50</f>
        <v>455767</v>
      </c>
      <c r="K50" s="418">
        <v>0</v>
      </c>
      <c r="L50" s="418">
        <v>455767</v>
      </c>
      <c r="M50" s="418">
        <f>N50+O50</f>
        <v>0</v>
      </c>
      <c r="N50" s="418"/>
      <c r="O50" s="418"/>
      <c r="P50" s="68">
        <f t="shared" si="118"/>
        <v>154049</v>
      </c>
      <c r="Q50" s="68">
        <f t="shared" si="119"/>
        <v>4558</v>
      </c>
      <c r="R50" s="418">
        <v>2660</v>
      </c>
      <c r="S50" s="419">
        <f>T50+U50</f>
        <v>1.37</v>
      </c>
      <c r="T50" s="420">
        <v>0</v>
      </c>
      <c r="U50" s="527">
        <v>1.37</v>
      </c>
      <c r="V50" s="427">
        <f t="shared" si="120"/>
        <v>0</v>
      </c>
      <c r="W50" s="421">
        <f t="shared" si="120"/>
        <v>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>V50+X50+Y50+AA50+AB50+AD50</f>
        <v>0</v>
      </c>
      <c r="AG50" s="421">
        <f>W50+Z50+AC50+AE50</f>
        <v>0</v>
      </c>
      <c r="AH50" s="421">
        <f>SUM(AF50:AG50)</f>
        <v>0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21"/>
        <v>0</v>
      </c>
      <c r="AP50" s="421">
        <f>AJ50+AN50</f>
        <v>0</v>
      </c>
      <c r="AQ50" s="421">
        <f>SUM(AO50:AP50)</f>
        <v>0</v>
      </c>
      <c r="AR50" s="421">
        <f t="shared" si="122"/>
        <v>0</v>
      </c>
      <c r="AS50" s="421">
        <f t="shared" si="122"/>
        <v>0</v>
      </c>
      <c r="AT50" s="421">
        <f>SUM(AR50:AS50)</f>
        <v>0</v>
      </c>
      <c r="AU50" s="68">
        <f t="shared" si="123"/>
        <v>0</v>
      </c>
      <c r="AV50" s="68">
        <f>ROUND(AH50*1%,0)</f>
        <v>0</v>
      </c>
      <c r="AW50" s="421">
        <v>0</v>
      </c>
      <c r="AX50" s="421">
        <v>0</v>
      </c>
      <c r="AY50" s="421">
        <f>AW50+AX50</f>
        <v>0</v>
      </c>
      <c r="AZ50" s="421">
        <f>AT50+AU50+AV50+AY50</f>
        <v>0</v>
      </c>
      <c r="BA50" s="422">
        <v>0</v>
      </c>
      <c r="BB50" s="422">
        <v>0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>BA50+BC50+BD50+BF50+BH50+BI50</f>
        <v>0</v>
      </c>
      <c r="BL50" s="422">
        <f>BB50+BE50+BG50+BJ50</f>
        <v>0</v>
      </c>
      <c r="BM50" s="611">
        <f>SUM(BK50:BL50)</f>
        <v>0</v>
      </c>
      <c r="BN50" s="428">
        <f>I50+AZ50</f>
        <v>617034</v>
      </c>
      <c r="BO50" s="421">
        <f>J50+AH50</f>
        <v>455767</v>
      </c>
      <c r="BP50" s="421">
        <f t="shared" si="124"/>
        <v>0</v>
      </c>
      <c r="BQ50" s="421">
        <f t="shared" si="124"/>
        <v>455767</v>
      </c>
      <c r="BR50" s="421">
        <f>M50+AQ50</f>
        <v>0</v>
      </c>
      <c r="BS50" s="421">
        <f t="shared" si="125"/>
        <v>0</v>
      </c>
      <c r="BT50" s="421">
        <f t="shared" si="125"/>
        <v>0</v>
      </c>
      <c r="BU50" s="421">
        <f t="shared" si="126"/>
        <v>154049</v>
      </c>
      <c r="BV50" s="421">
        <f t="shared" si="126"/>
        <v>4558</v>
      </c>
      <c r="BW50" s="421">
        <f>R50+AY50</f>
        <v>2660</v>
      </c>
      <c r="BX50" s="422">
        <f>S50+BM50</f>
        <v>1.37</v>
      </c>
      <c r="BY50" s="422">
        <f t="shared" si="127"/>
        <v>0</v>
      </c>
      <c r="BZ50" s="611">
        <f t="shared" si="127"/>
        <v>1.37</v>
      </c>
      <c r="CA50" s="423"/>
      <c r="CB50" s="418"/>
      <c r="CC50" s="418"/>
      <c r="CD50" s="418"/>
      <c r="CE50" s="418"/>
      <c r="CF50" s="527"/>
    </row>
    <row r="51" spans="1:84" s="222" customFormat="1" ht="12.75" customHeight="1" x14ac:dyDescent="0.2">
      <c r="A51" s="153">
        <v>11</v>
      </c>
      <c r="B51" s="14">
        <v>3468</v>
      </c>
      <c r="C51" s="152">
        <v>691000891</v>
      </c>
      <c r="D51" s="152">
        <v>72048069</v>
      </c>
      <c r="E51" s="223" t="s">
        <v>29</v>
      </c>
      <c r="F51" s="14"/>
      <c r="G51" s="223"/>
      <c r="H51" s="592"/>
      <c r="I51" s="522">
        <f t="shared" ref="I51:BU51" si="128">SUM(I48:I50)</f>
        <v>7457674</v>
      </c>
      <c r="J51" s="521">
        <f t="shared" si="128"/>
        <v>5510921</v>
      </c>
      <c r="K51" s="521">
        <f t="shared" si="128"/>
        <v>4611608</v>
      </c>
      <c r="L51" s="521">
        <f t="shared" si="128"/>
        <v>899313</v>
      </c>
      <c r="M51" s="521">
        <f t="shared" si="128"/>
        <v>0</v>
      </c>
      <c r="N51" s="521">
        <f t="shared" si="128"/>
        <v>0</v>
      </c>
      <c r="O51" s="521">
        <f t="shared" si="128"/>
        <v>0</v>
      </c>
      <c r="P51" s="521">
        <f t="shared" si="128"/>
        <v>1862691</v>
      </c>
      <c r="Q51" s="521">
        <f t="shared" si="128"/>
        <v>55110</v>
      </c>
      <c r="R51" s="521">
        <f t="shared" si="128"/>
        <v>28952</v>
      </c>
      <c r="S51" s="572">
        <f t="shared" si="128"/>
        <v>10.96</v>
      </c>
      <c r="T51" s="572">
        <f t="shared" si="128"/>
        <v>8.0967000000000002</v>
      </c>
      <c r="U51" s="448">
        <f t="shared" si="128"/>
        <v>2.8633000000000002</v>
      </c>
      <c r="V51" s="614">
        <f t="shared" si="128"/>
        <v>0</v>
      </c>
      <c r="W51" s="521">
        <f t="shared" si="128"/>
        <v>-12800</v>
      </c>
      <c r="X51" s="521">
        <f t="shared" si="128"/>
        <v>1019703</v>
      </c>
      <c r="Y51" s="521">
        <f t="shared" si="128"/>
        <v>0</v>
      </c>
      <c r="Z51" s="521">
        <f t="shared" si="128"/>
        <v>0</v>
      </c>
      <c r="AA51" s="521">
        <f t="shared" si="128"/>
        <v>0</v>
      </c>
      <c r="AB51" s="521">
        <f t="shared" si="128"/>
        <v>0</v>
      </c>
      <c r="AC51" s="521">
        <f t="shared" si="128"/>
        <v>0</v>
      </c>
      <c r="AD51" s="521">
        <f t="shared" si="128"/>
        <v>0</v>
      </c>
      <c r="AE51" s="521">
        <f t="shared" si="128"/>
        <v>0</v>
      </c>
      <c r="AF51" s="521">
        <f t="shared" si="128"/>
        <v>1019703</v>
      </c>
      <c r="AG51" s="521">
        <f t="shared" si="128"/>
        <v>-12800</v>
      </c>
      <c r="AH51" s="521">
        <f t="shared" si="128"/>
        <v>1006903</v>
      </c>
      <c r="AI51" s="521">
        <f t="shared" si="128"/>
        <v>0</v>
      </c>
      <c r="AJ51" s="521">
        <f t="shared" si="128"/>
        <v>12800</v>
      </c>
      <c r="AK51" s="521">
        <f t="shared" ref="AK51" si="129">SUM(AK48:AK50)</f>
        <v>0</v>
      </c>
      <c r="AL51" s="521">
        <f t="shared" si="128"/>
        <v>0</v>
      </c>
      <c r="AM51" s="521">
        <f t="shared" si="128"/>
        <v>0</v>
      </c>
      <c r="AN51" s="521">
        <f t="shared" si="128"/>
        <v>0</v>
      </c>
      <c r="AO51" s="521">
        <f t="shared" si="128"/>
        <v>0</v>
      </c>
      <c r="AP51" s="521">
        <f t="shared" si="128"/>
        <v>12800</v>
      </c>
      <c r="AQ51" s="521">
        <f t="shared" si="128"/>
        <v>12800</v>
      </c>
      <c r="AR51" s="521">
        <f t="shared" si="128"/>
        <v>1019703</v>
      </c>
      <c r="AS51" s="521">
        <f t="shared" si="128"/>
        <v>0</v>
      </c>
      <c r="AT51" s="521">
        <f t="shared" si="128"/>
        <v>1019703</v>
      </c>
      <c r="AU51" s="521">
        <f t="shared" si="128"/>
        <v>344660</v>
      </c>
      <c r="AV51" s="521">
        <f t="shared" si="128"/>
        <v>10069</v>
      </c>
      <c r="AW51" s="521">
        <f t="shared" si="128"/>
        <v>0</v>
      </c>
      <c r="AX51" s="521">
        <f t="shared" si="128"/>
        <v>0</v>
      </c>
      <c r="AY51" s="521">
        <f t="shared" si="128"/>
        <v>0</v>
      </c>
      <c r="AZ51" s="521">
        <f t="shared" si="128"/>
        <v>1374432</v>
      </c>
      <c r="BA51" s="572">
        <f t="shared" si="128"/>
        <v>0</v>
      </c>
      <c r="BB51" s="572">
        <f t="shared" si="128"/>
        <v>-0.05</v>
      </c>
      <c r="BC51" s="572">
        <f t="shared" si="128"/>
        <v>2.75</v>
      </c>
      <c r="BD51" s="572">
        <f t="shared" si="128"/>
        <v>0</v>
      </c>
      <c r="BE51" s="572">
        <f t="shared" si="128"/>
        <v>0</v>
      </c>
      <c r="BF51" s="572">
        <f t="shared" si="128"/>
        <v>0</v>
      </c>
      <c r="BG51" s="572">
        <f t="shared" si="128"/>
        <v>0</v>
      </c>
      <c r="BH51" s="572">
        <f t="shared" si="128"/>
        <v>0</v>
      </c>
      <c r="BI51" s="572">
        <f t="shared" si="128"/>
        <v>0</v>
      </c>
      <c r="BJ51" s="572">
        <f t="shared" si="128"/>
        <v>0</v>
      </c>
      <c r="BK51" s="572">
        <f t="shared" si="128"/>
        <v>2.75</v>
      </c>
      <c r="BL51" s="572">
        <f t="shared" si="128"/>
        <v>-0.05</v>
      </c>
      <c r="BM51" s="403">
        <f t="shared" si="128"/>
        <v>2.7</v>
      </c>
      <c r="BN51" s="522">
        <f t="shared" si="128"/>
        <v>8832106</v>
      </c>
      <c r="BO51" s="521">
        <f t="shared" si="128"/>
        <v>6517824</v>
      </c>
      <c r="BP51" s="521">
        <f t="shared" si="128"/>
        <v>5631311</v>
      </c>
      <c r="BQ51" s="521">
        <f t="shared" si="128"/>
        <v>886513</v>
      </c>
      <c r="BR51" s="521">
        <f t="shared" si="128"/>
        <v>12800</v>
      </c>
      <c r="BS51" s="521">
        <f t="shared" si="128"/>
        <v>0</v>
      </c>
      <c r="BT51" s="521">
        <f t="shared" si="128"/>
        <v>12800</v>
      </c>
      <c r="BU51" s="521">
        <f t="shared" si="128"/>
        <v>2207351</v>
      </c>
      <c r="BV51" s="521">
        <f t="shared" ref="BV51:CF51" si="130">SUM(BV48:BV50)</f>
        <v>65179</v>
      </c>
      <c r="BW51" s="521">
        <f t="shared" si="130"/>
        <v>28952</v>
      </c>
      <c r="BX51" s="572">
        <f t="shared" si="130"/>
        <v>13.66</v>
      </c>
      <c r="BY51" s="572">
        <f t="shared" si="130"/>
        <v>10.8467</v>
      </c>
      <c r="BZ51" s="403">
        <f t="shared" si="130"/>
        <v>2.8132999999999999</v>
      </c>
      <c r="CA51" s="833">
        <f t="shared" si="130"/>
        <v>0</v>
      </c>
      <c r="CB51" s="834">
        <f t="shared" si="130"/>
        <v>0</v>
      </c>
      <c r="CC51" s="834">
        <f t="shared" si="130"/>
        <v>0</v>
      </c>
      <c r="CD51" s="834">
        <f t="shared" si="130"/>
        <v>0</v>
      </c>
      <c r="CE51" s="834">
        <f t="shared" si="130"/>
        <v>0</v>
      </c>
      <c r="CF51" s="829">
        <f t="shared" si="130"/>
        <v>0</v>
      </c>
    </row>
    <row r="52" spans="1:84" s="222" customFormat="1" ht="12.75" customHeight="1" x14ac:dyDescent="0.2">
      <c r="A52" s="224">
        <v>12</v>
      </c>
      <c r="B52" s="225">
        <v>3465</v>
      </c>
      <c r="C52" s="225">
        <v>691001278</v>
      </c>
      <c r="D52" s="225">
        <v>72048131</v>
      </c>
      <c r="E52" s="226" t="s">
        <v>30</v>
      </c>
      <c r="F52" s="225">
        <v>3111</v>
      </c>
      <c r="G52" s="226" t="s">
        <v>291</v>
      </c>
      <c r="H52" s="227" t="s">
        <v>271</v>
      </c>
      <c r="I52" s="423">
        <f t="shared" ref="I52:I54" si="131">J52+P52+Q52+R52</f>
        <v>7031096</v>
      </c>
      <c r="J52" s="418">
        <f>K52+L52</f>
        <v>5197724</v>
      </c>
      <c r="K52" s="418">
        <v>4727522</v>
      </c>
      <c r="L52" s="418">
        <v>470202</v>
      </c>
      <c r="M52" s="418">
        <f>N52+O52</f>
        <v>0</v>
      </c>
      <c r="N52" s="418"/>
      <c r="O52" s="418"/>
      <c r="P52" s="68">
        <f t="shared" ref="P52:P54" si="132">ROUND(J52*33.8%,0)</f>
        <v>1756831</v>
      </c>
      <c r="Q52" s="68">
        <f t="shared" ref="Q52:Q54" si="133">ROUND(J52*1%,0)</f>
        <v>51977</v>
      </c>
      <c r="R52" s="418">
        <v>24564</v>
      </c>
      <c r="S52" s="419">
        <f>T52+U52</f>
        <v>9.6000999999999994</v>
      </c>
      <c r="T52" s="420">
        <v>8</v>
      </c>
      <c r="U52" s="527">
        <v>1.6000999999999999</v>
      </c>
      <c r="V52" s="427">
        <f t="shared" ref="V52:W54" si="134">AI52*-1</f>
        <v>-12800</v>
      </c>
      <c r="W52" s="421">
        <f t="shared" si="134"/>
        <v>0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f>V52+X52+Y52+AA52+AB52+AD52</f>
        <v>-12800</v>
      </c>
      <c r="AG52" s="421">
        <f>W52+Z52+AC52+AE52</f>
        <v>0</v>
      </c>
      <c r="AH52" s="421">
        <f>SUM(AF52:AG52)</f>
        <v>-12800</v>
      </c>
      <c r="AI52" s="421">
        <v>12800</v>
      </c>
      <c r="AJ52" s="421">
        <v>0</v>
      </c>
      <c r="AK52" s="421">
        <v>0</v>
      </c>
      <c r="AL52" s="421">
        <v>0</v>
      </c>
      <c r="AM52" s="421">
        <v>0</v>
      </c>
      <c r="AN52" s="421">
        <v>0</v>
      </c>
      <c r="AO52" s="421">
        <f t="shared" ref="AO52:AO54" si="135">AI52+AK52+AL52+AM52</f>
        <v>12800</v>
      </c>
      <c r="AP52" s="421">
        <f>AJ52+AN52</f>
        <v>0</v>
      </c>
      <c r="AQ52" s="421">
        <f>SUM(AO52:AP52)</f>
        <v>12800</v>
      </c>
      <c r="AR52" s="421">
        <f t="shared" ref="AR52:AS54" si="136">AF52+AO52</f>
        <v>0</v>
      </c>
      <c r="AS52" s="421">
        <f t="shared" si="136"/>
        <v>0</v>
      </c>
      <c r="AT52" s="421">
        <f>SUM(AR52:AS52)</f>
        <v>0</v>
      </c>
      <c r="AU52" s="68">
        <f t="shared" ref="AU52:AU54" si="137">ROUND((AH52+AI52+AJ52+AK52+AL52)*33.8%,0)</f>
        <v>0</v>
      </c>
      <c r="AV52" s="68">
        <f>ROUND(AH52*1%,0)</f>
        <v>-128</v>
      </c>
      <c r="AW52" s="421">
        <v>0</v>
      </c>
      <c r="AX52" s="421">
        <v>0</v>
      </c>
      <c r="AY52" s="421">
        <f>AW52+AX52</f>
        <v>0</v>
      </c>
      <c r="AZ52" s="421">
        <f>AT52+AU52+AV52+AY52</f>
        <v>-128</v>
      </c>
      <c r="BA52" s="422">
        <v>0</v>
      </c>
      <c r="BB52" s="422">
        <v>0</v>
      </c>
      <c r="BC52" s="422">
        <v>0</v>
      </c>
      <c r="BD52" s="422">
        <v>0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f>BA52+BC52+BD52+BF52+BH52+BI52</f>
        <v>0</v>
      </c>
      <c r="BL52" s="422">
        <f>BB52+BE52+BG52+BJ52</f>
        <v>0</v>
      </c>
      <c r="BM52" s="611">
        <f>SUM(BK52:BL52)</f>
        <v>0</v>
      </c>
      <c r="BN52" s="428">
        <f>I52+AZ52</f>
        <v>7030968</v>
      </c>
      <c r="BO52" s="421">
        <f>J52+AH52</f>
        <v>5184924</v>
      </c>
      <c r="BP52" s="421">
        <f t="shared" ref="BP52:BQ54" si="138">K52+AF52</f>
        <v>4714722</v>
      </c>
      <c r="BQ52" s="421">
        <f t="shared" si="138"/>
        <v>470202</v>
      </c>
      <c r="BR52" s="421">
        <f>M52+AQ52</f>
        <v>12800</v>
      </c>
      <c r="BS52" s="421">
        <f t="shared" ref="BS52:BT54" si="139">N52+AO52</f>
        <v>12800</v>
      </c>
      <c r="BT52" s="421">
        <f t="shared" si="139"/>
        <v>0</v>
      </c>
      <c r="BU52" s="421">
        <f t="shared" ref="BU52:BV54" si="140">P52+AU52</f>
        <v>1756831</v>
      </c>
      <c r="BV52" s="421">
        <f t="shared" si="140"/>
        <v>51849</v>
      </c>
      <c r="BW52" s="421">
        <f>R52+AY52</f>
        <v>24564</v>
      </c>
      <c r="BX52" s="422">
        <f>S52+BM52</f>
        <v>9.6000999999999994</v>
      </c>
      <c r="BY52" s="422">
        <f t="shared" ref="BY52:BZ54" si="141">T52+BK52</f>
        <v>8</v>
      </c>
      <c r="BZ52" s="611">
        <f t="shared" si="141"/>
        <v>1.6000999999999999</v>
      </c>
      <c r="CA52" s="423"/>
      <c r="CB52" s="418"/>
      <c r="CC52" s="418"/>
      <c r="CD52" s="418"/>
      <c r="CE52" s="418"/>
      <c r="CF52" s="527"/>
    </row>
    <row r="53" spans="1:84" s="222" customFormat="1" x14ac:dyDescent="0.2">
      <c r="A53" s="224">
        <v>12</v>
      </c>
      <c r="B53" s="225">
        <v>3465</v>
      </c>
      <c r="C53" s="225">
        <v>691001278</v>
      </c>
      <c r="D53" s="225">
        <v>72048131</v>
      </c>
      <c r="E53" s="226" t="s">
        <v>30</v>
      </c>
      <c r="F53" s="225">
        <v>3111</v>
      </c>
      <c r="G53" s="226" t="s">
        <v>292</v>
      </c>
      <c r="H53" s="227" t="s">
        <v>272</v>
      </c>
      <c r="I53" s="423">
        <f t="shared" si="131"/>
        <v>0</v>
      </c>
      <c r="J53" s="418">
        <f>K53+L53</f>
        <v>0</v>
      </c>
      <c r="K53" s="418">
        <v>0</v>
      </c>
      <c r="L53" s="418">
        <v>0</v>
      </c>
      <c r="M53" s="418">
        <f>N53+O53</f>
        <v>0</v>
      </c>
      <c r="N53" s="418"/>
      <c r="O53" s="418"/>
      <c r="P53" s="68">
        <f t="shared" si="132"/>
        <v>0</v>
      </c>
      <c r="Q53" s="68">
        <f t="shared" si="133"/>
        <v>0</v>
      </c>
      <c r="R53" s="418">
        <v>0</v>
      </c>
      <c r="S53" s="419">
        <f>T53+U53</f>
        <v>0</v>
      </c>
      <c r="T53" s="420">
        <v>0</v>
      </c>
      <c r="U53" s="527">
        <v>0</v>
      </c>
      <c r="V53" s="427">
        <f t="shared" si="134"/>
        <v>0</v>
      </c>
      <c r="W53" s="421">
        <f t="shared" si="134"/>
        <v>0</v>
      </c>
      <c r="X53" s="421">
        <v>203941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>V53+X53+Y53+AA53+AB53+AD53</f>
        <v>203941</v>
      </c>
      <c r="AG53" s="421">
        <f>W53+Z53+AC53+AE53</f>
        <v>0</v>
      </c>
      <c r="AH53" s="421">
        <f>SUM(AF53:AG53)</f>
        <v>203941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35"/>
        <v>0</v>
      </c>
      <c r="AP53" s="421">
        <f>AJ53+AN53</f>
        <v>0</v>
      </c>
      <c r="AQ53" s="421">
        <f>SUM(AO53:AP53)</f>
        <v>0</v>
      </c>
      <c r="AR53" s="421">
        <f t="shared" si="136"/>
        <v>203941</v>
      </c>
      <c r="AS53" s="421">
        <f t="shared" si="136"/>
        <v>0</v>
      </c>
      <c r="AT53" s="421">
        <f>SUM(AR53:AS53)</f>
        <v>203941</v>
      </c>
      <c r="AU53" s="68">
        <f t="shared" si="137"/>
        <v>68932</v>
      </c>
      <c r="AV53" s="68">
        <f>ROUND(AH53*1%,0)</f>
        <v>2039</v>
      </c>
      <c r="AW53" s="421">
        <v>0</v>
      </c>
      <c r="AX53" s="421">
        <v>0</v>
      </c>
      <c r="AY53" s="421">
        <f>AW53+AX53</f>
        <v>0</v>
      </c>
      <c r="AZ53" s="421">
        <f>AT53+AU53+AV53+AY53</f>
        <v>274912</v>
      </c>
      <c r="BA53" s="422">
        <v>0</v>
      </c>
      <c r="BB53" s="422">
        <v>0</v>
      </c>
      <c r="BC53" s="422">
        <v>0.75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>BA53+BC53+BD53+BF53+BH53+BI53</f>
        <v>0.75</v>
      </c>
      <c r="BL53" s="422">
        <f>BB53+BE53+BG53+BJ53</f>
        <v>0</v>
      </c>
      <c r="BM53" s="611">
        <f>SUM(BK53:BL53)</f>
        <v>0.75</v>
      </c>
      <c r="BN53" s="428">
        <f>I53+AZ53</f>
        <v>274912</v>
      </c>
      <c r="BO53" s="421">
        <f>J53+AH53</f>
        <v>203941</v>
      </c>
      <c r="BP53" s="421">
        <f t="shared" si="138"/>
        <v>203941</v>
      </c>
      <c r="BQ53" s="421">
        <f t="shared" si="138"/>
        <v>0</v>
      </c>
      <c r="BR53" s="421">
        <f>M53+AQ53</f>
        <v>0</v>
      </c>
      <c r="BS53" s="421">
        <f t="shared" si="139"/>
        <v>0</v>
      </c>
      <c r="BT53" s="421">
        <f t="shared" si="139"/>
        <v>0</v>
      </c>
      <c r="BU53" s="421">
        <f t="shared" si="140"/>
        <v>68932</v>
      </c>
      <c r="BV53" s="421">
        <f t="shared" si="140"/>
        <v>2039</v>
      </c>
      <c r="BW53" s="421">
        <f>R53+AY53</f>
        <v>0</v>
      </c>
      <c r="BX53" s="422">
        <f>S53+BM53</f>
        <v>0.75</v>
      </c>
      <c r="BY53" s="422">
        <f t="shared" si="141"/>
        <v>0.75</v>
      </c>
      <c r="BZ53" s="611">
        <f t="shared" si="141"/>
        <v>0</v>
      </c>
      <c r="CA53" s="423"/>
      <c r="CB53" s="418"/>
      <c r="CC53" s="418"/>
      <c r="CD53" s="418"/>
      <c r="CE53" s="418"/>
      <c r="CF53" s="527"/>
    </row>
    <row r="54" spans="1:84" s="222" customFormat="1" ht="12.75" customHeight="1" x14ac:dyDescent="0.2">
      <c r="A54" s="224">
        <v>12</v>
      </c>
      <c r="B54" s="225">
        <v>3465</v>
      </c>
      <c r="C54" s="225">
        <v>691001278</v>
      </c>
      <c r="D54" s="225">
        <v>72048131</v>
      </c>
      <c r="E54" s="226" t="s">
        <v>30</v>
      </c>
      <c r="F54" s="225">
        <v>3141</v>
      </c>
      <c r="G54" s="226" t="s">
        <v>295</v>
      </c>
      <c r="H54" s="227" t="s">
        <v>272</v>
      </c>
      <c r="I54" s="423">
        <f t="shared" si="131"/>
        <v>701476</v>
      </c>
      <c r="J54" s="418">
        <f>K54+L54</f>
        <v>517994</v>
      </c>
      <c r="K54" s="418">
        <v>0</v>
      </c>
      <c r="L54" s="418">
        <v>517994</v>
      </c>
      <c r="M54" s="418">
        <f>N54+O54</f>
        <v>0</v>
      </c>
      <c r="N54" s="418"/>
      <c r="O54" s="418"/>
      <c r="P54" s="68">
        <f t="shared" si="132"/>
        <v>175082</v>
      </c>
      <c r="Q54" s="68">
        <f t="shared" si="133"/>
        <v>5180</v>
      </c>
      <c r="R54" s="418">
        <v>3220</v>
      </c>
      <c r="S54" s="419">
        <f>T54+U54</f>
        <v>1.55</v>
      </c>
      <c r="T54" s="420">
        <v>0</v>
      </c>
      <c r="U54" s="527">
        <v>1.55</v>
      </c>
      <c r="V54" s="427">
        <f t="shared" si="134"/>
        <v>0</v>
      </c>
      <c r="W54" s="421">
        <f t="shared" si="134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>V54+X54+Y54+AA54+AB54+AD54</f>
        <v>0</v>
      </c>
      <c r="AG54" s="421">
        <f>W54+Z54+AC54+AE54</f>
        <v>0</v>
      </c>
      <c r="AH54" s="421">
        <f>SUM(AF54:AG54)</f>
        <v>0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35"/>
        <v>0</v>
      </c>
      <c r="AP54" s="421">
        <f>AJ54+AN54</f>
        <v>0</v>
      </c>
      <c r="AQ54" s="421">
        <f>SUM(AO54:AP54)</f>
        <v>0</v>
      </c>
      <c r="AR54" s="421">
        <f t="shared" si="136"/>
        <v>0</v>
      </c>
      <c r="AS54" s="421">
        <f t="shared" si="136"/>
        <v>0</v>
      </c>
      <c r="AT54" s="421">
        <f>SUM(AR54:AS54)</f>
        <v>0</v>
      </c>
      <c r="AU54" s="68">
        <f t="shared" si="137"/>
        <v>0</v>
      </c>
      <c r="AV54" s="68">
        <f>ROUND(AH54*1%,0)</f>
        <v>0</v>
      </c>
      <c r="AW54" s="421">
        <v>0</v>
      </c>
      <c r="AX54" s="421">
        <v>0</v>
      </c>
      <c r="AY54" s="421">
        <f>AW54+AX54</f>
        <v>0</v>
      </c>
      <c r="AZ54" s="421">
        <f>AT54+AU54+AV54+AY54</f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0</v>
      </c>
      <c r="BL54" s="422">
        <f>BB54+BE54+BG54+BJ54</f>
        <v>0</v>
      </c>
      <c r="BM54" s="611">
        <f>SUM(BK54:BL54)</f>
        <v>0</v>
      </c>
      <c r="BN54" s="428">
        <f>I54+AZ54</f>
        <v>701476</v>
      </c>
      <c r="BO54" s="421">
        <f>J54+AH54</f>
        <v>517994</v>
      </c>
      <c r="BP54" s="421">
        <f t="shared" si="138"/>
        <v>0</v>
      </c>
      <c r="BQ54" s="421">
        <f t="shared" si="138"/>
        <v>517994</v>
      </c>
      <c r="BR54" s="421">
        <f>M54+AQ54</f>
        <v>0</v>
      </c>
      <c r="BS54" s="421">
        <f t="shared" si="139"/>
        <v>0</v>
      </c>
      <c r="BT54" s="421">
        <f t="shared" si="139"/>
        <v>0</v>
      </c>
      <c r="BU54" s="421">
        <f t="shared" si="140"/>
        <v>175082</v>
      </c>
      <c r="BV54" s="421">
        <f t="shared" si="140"/>
        <v>5180</v>
      </c>
      <c r="BW54" s="421">
        <f>R54+AY54</f>
        <v>3220</v>
      </c>
      <c r="BX54" s="422">
        <f>S54+BM54</f>
        <v>1.55</v>
      </c>
      <c r="BY54" s="422">
        <f t="shared" si="141"/>
        <v>0</v>
      </c>
      <c r="BZ54" s="611">
        <f t="shared" si="141"/>
        <v>1.55</v>
      </c>
      <c r="CA54" s="423"/>
      <c r="CB54" s="418"/>
      <c r="CC54" s="418"/>
      <c r="CD54" s="418"/>
      <c r="CE54" s="418"/>
      <c r="CF54" s="527"/>
    </row>
    <row r="55" spans="1:84" s="222" customFormat="1" ht="12.75" customHeight="1" x14ac:dyDescent="0.2">
      <c r="A55" s="153">
        <v>12</v>
      </c>
      <c r="B55" s="14">
        <v>3465</v>
      </c>
      <c r="C55" s="152">
        <v>691001278</v>
      </c>
      <c r="D55" s="152">
        <v>72048131</v>
      </c>
      <c r="E55" s="223" t="s">
        <v>31</v>
      </c>
      <c r="F55" s="14"/>
      <c r="G55" s="223"/>
      <c r="H55" s="592"/>
      <c r="I55" s="522">
        <f t="shared" ref="I55:BU55" si="142">SUM(I52:I54)</f>
        <v>7732572</v>
      </c>
      <c r="J55" s="521">
        <f t="shared" si="142"/>
        <v>5715718</v>
      </c>
      <c r="K55" s="521">
        <f t="shared" si="142"/>
        <v>4727522</v>
      </c>
      <c r="L55" s="521">
        <f t="shared" si="142"/>
        <v>988196</v>
      </c>
      <c r="M55" s="521">
        <f t="shared" si="142"/>
        <v>0</v>
      </c>
      <c r="N55" s="521">
        <f t="shared" si="142"/>
        <v>0</v>
      </c>
      <c r="O55" s="521">
        <f t="shared" si="142"/>
        <v>0</v>
      </c>
      <c r="P55" s="521">
        <f t="shared" si="142"/>
        <v>1931913</v>
      </c>
      <c r="Q55" s="521">
        <f t="shared" si="142"/>
        <v>57157</v>
      </c>
      <c r="R55" s="521">
        <f t="shared" si="142"/>
        <v>27784</v>
      </c>
      <c r="S55" s="572">
        <f t="shared" si="142"/>
        <v>11.1501</v>
      </c>
      <c r="T55" s="572">
        <f t="shared" si="142"/>
        <v>8</v>
      </c>
      <c r="U55" s="448">
        <f t="shared" si="142"/>
        <v>3.1501000000000001</v>
      </c>
      <c r="V55" s="614">
        <f t="shared" si="142"/>
        <v>-12800</v>
      </c>
      <c r="W55" s="521">
        <f t="shared" si="142"/>
        <v>0</v>
      </c>
      <c r="X55" s="521">
        <f t="shared" si="142"/>
        <v>203941</v>
      </c>
      <c r="Y55" s="521">
        <f t="shared" si="142"/>
        <v>0</v>
      </c>
      <c r="Z55" s="521">
        <f t="shared" si="142"/>
        <v>0</v>
      </c>
      <c r="AA55" s="521">
        <f t="shared" si="142"/>
        <v>0</v>
      </c>
      <c r="AB55" s="521">
        <f t="shared" si="142"/>
        <v>0</v>
      </c>
      <c r="AC55" s="521">
        <f t="shared" si="142"/>
        <v>0</v>
      </c>
      <c r="AD55" s="521">
        <f t="shared" si="142"/>
        <v>0</v>
      </c>
      <c r="AE55" s="521">
        <f t="shared" si="142"/>
        <v>0</v>
      </c>
      <c r="AF55" s="521">
        <f t="shared" si="142"/>
        <v>191141</v>
      </c>
      <c r="AG55" s="521">
        <f t="shared" si="142"/>
        <v>0</v>
      </c>
      <c r="AH55" s="521">
        <f t="shared" si="142"/>
        <v>191141</v>
      </c>
      <c r="AI55" s="521">
        <f t="shared" si="142"/>
        <v>12800</v>
      </c>
      <c r="AJ55" s="521">
        <f t="shared" si="142"/>
        <v>0</v>
      </c>
      <c r="AK55" s="521">
        <f t="shared" ref="AK55" si="143">SUM(AK52:AK54)</f>
        <v>0</v>
      </c>
      <c r="AL55" s="521">
        <f t="shared" si="142"/>
        <v>0</v>
      </c>
      <c r="AM55" s="521">
        <f t="shared" si="142"/>
        <v>0</v>
      </c>
      <c r="AN55" s="521">
        <f t="shared" si="142"/>
        <v>0</v>
      </c>
      <c r="AO55" s="521">
        <f t="shared" si="142"/>
        <v>12800</v>
      </c>
      <c r="AP55" s="521">
        <f t="shared" si="142"/>
        <v>0</v>
      </c>
      <c r="AQ55" s="521">
        <f t="shared" si="142"/>
        <v>12800</v>
      </c>
      <c r="AR55" s="521">
        <f t="shared" si="142"/>
        <v>203941</v>
      </c>
      <c r="AS55" s="521">
        <f t="shared" si="142"/>
        <v>0</v>
      </c>
      <c r="AT55" s="521">
        <f t="shared" si="142"/>
        <v>203941</v>
      </c>
      <c r="AU55" s="521">
        <f t="shared" si="142"/>
        <v>68932</v>
      </c>
      <c r="AV55" s="521">
        <f t="shared" si="142"/>
        <v>1911</v>
      </c>
      <c r="AW55" s="521">
        <f t="shared" si="142"/>
        <v>0</v>
      </c>
      <c r="AX55" s="521">
        <f t="shared" si="142"/>
        <v>0</v>
      </c>
      <c r="AY55" s="521">
        <f t="shared" si="142"/>
        <v>0</v>
      </c>
      <c r="AZ55" s="521">
        <f t="shared" si="142"/>
        <v>274784</v>
      </c>
      <c r="BA55" s="572">
        <f t="shared" si="142"/>
        <v>0</v>
      </c>
      <c r="BB55" s="572">
        <f t="shared" si="142"/>
        <v>0</v>
      </c>
      <c r="BC55" s="572">
        <f t="shared" si="142"/>
        <v>0.75</v>
      </c>
      <c r="BD55" s="572">
        <f t="shared" si="142"/>
        <v>0</v>
      </c>
      <c r="BE55" s="572">
        <f t="shared" si="142"/>
        <v>0</v>
      </c>
      <c r="BF55" s="572">
        <f t="shared" si="142"/>
        <v>0</v>
      </c>
      <c r="BG55" s="572">
        <f t="shared" si="142"/>
        <v>0</v>
      </c>
      <c r="BH55" s="572">
        <f t="shared" si="142"/>
        <v>0</v>
      </c>
      <c r="BI55" s="572">
        <f t="shared" si="142"/>
        <v>0</v>
      </c>
      <c r="BJ55" s="572">
        <f t="shared" si="142"/>
        <v>0</v>
      </c>
      <c r="BK55" s="572">
        <f t="shared" si="142"/>
        <v>0.75</v>
      </c>
      <c r="BL55" s="572">
        <f t="shared" si="142"/>
        <v>0</v>
      </c>
      <c r="BM55" s="403">
        <f t="shared" si="142"/>
        <v>0.75</v>
      </c>
      <c r="BN55" s="522">
        <f t="shared" si="142"/>
        <v>8007356</v>
      </c>
      <c r="BO55" s="521">
        <f t="shared" si="142"/>
        <v>5906859</v>
      </c>
      <c r="BP55" s="521">
        <f t="shared" si="142"/>
        <v>4918663</v>
      </c>
      <c r="BQ55" s="521">
        <f t="shared" si="142"/>
        <v>988196</v>
      </c>
      <c r="BR55" s="521">
        <f t="shared" si="142"/>
        <v>12800</v>
      </c>
      <c r="BS55" s="521">
        <f t="shared" si="142"/>
        <v>12800</v>
      </c>
      <c r="BT55" s="521">
        <f t="shared" si="142"/>
        <v>0</v>
      </c>
      <c r="BU55" s="521">
        <f t="shared" si="142"/>
        <v>2000845</v>
      </c>
      <c r="BV55" s="521">
        <f t="shared" ref="BV55:CF55" si="144">SUM(BV52:BV54)</f>
        <v>59068</v>
      </c>
      <c r="BW55" s="521">
        <f t="shared" si="144"/>
        <v>27784</v>
      </c>
      <c r="BX55" s="572">
        <f t="shared" si="144"/>
        <v>11.9001</v>
      </c>
      <c r="BY55" s="572">
        <f t="shared" si="144"/>
        <v>8.75</v>
      </c>
      <c r="BZ55" s="403">
        <f t="shared" si="144"/>
        <v>3.1501000000000001</v>
      </c>
      <c r="CA55" s="833">
        <f t="shared" si="144"/>
        <v>0</v>
      </c>
      <c r="CB55" s="834">
        <f t="shared" si="144"/>
        <v>0</v>
      </c>
      <c r="CC55" s="834">
        <f t="shared" si="144"/>
        <v>0</v>
      </c>
      <c r="CD55" s="834">
        <f t="shared" si="144"/>
        <v>0</v>
      </c>
      <c r="CE55" s="834">
        <f t="shared" si="144"/>
        <v>0</v>
      </c>
      <c r="CF55" s="829">
        <f t="shared" si="144"/>
        <v>0</v>
      </c>
    </row>
    <row r="56" spans="1:84" s="222" customFormat="1" ht="12.75" customHeight="1" x14ac:dyDescent="0.2">
      <c r="A56" s="224">
        <v>13</v>
      </c>
      <c r="B56" s="225">
        <v>3473</v>
      </c>
      <c r="C56" s="225">
        <v>691003530</v>
      </c>
      <c r="D56" s="225">
        <v>72550392</v>
      </c>
      <c r="E56" s="226" t="s">
        <v>32</v>
      </c>
      <c r="F56" s="225">
        <v>3111</v>
      </c>
      <c r="G56" s="226" t="s">
        <v>291</v>
      </c>
      <c r="H56" s="227" t="s">
        <v>271</v>
      </c>
      <c r="I56" s="423">
        <f t="shared" ref="I56:I57" si="145">J56+P56+Q56+R56</f>
        <v>8550194</v>
      </c>
      <c r="J56" s="418">
        <f>K56+L56</f>
        <v>6322274</v>
      </c>
      <c r="K56" s="418">
        <v>5770375</v>
      </c>
      <c r="L56" s="418">
        <v>551899</v>
      </c>
      <c r="M56" s="418">
        <f>N56+O56</f>
        <v>0</v>
      </c>
      <c r="N56" s="418"/>
      <c r="O56" s="418"/>
      <c r="P56" s="68">
        <f t="shared" ref="P56:P57" si="146">ROUND(J56*33.8%,0)</f>
        <v>2136929</v>
      </c>
      <c r="Q56" s="68">
        <f t="shared" ref="Q56:Q57" si="147">ROUND(J56*1%,0)</f>
        <v>63223</v>
      </c>
      <c r="R56" s="418">
        <v>27768</v>
      </c>
      <c r="S56" s="419">
        <f>T56+U56</f>
        <v>11.86</v>
      </c>
      <c r="T56" s="420">
        <v>10</v>
      </c>
      <c r="U56" s="527">
        <v>1.86</v>
      </c>
      <c r="V56" s="427">
        <f>AI56*-1</f>
        <v>0</v>
      </c>
      <c r="W56" s="421">
        <f>AJ56*-1</f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>V56+X56+Y56+AA56+AB56+AD56</f>
        <v>0</v>
      </c>
      <c r="AG56" s="421">
        <f>W56+Z56+AC56+AE56</f>
        <v>0</v>
      </c>
      <c r="AH56" s="421">
        <f>SUM(AF56:AG56)</f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ref="AO56:AO57" si="148">AI56+AK56+AL56+AM56</f>
        <v>0</v>
      </c>
      <c r="AP56" s="421">
        <f>AJ56+AN56</f>
        <v>0</v>
      </c>
      <c r="AQ56" s="421">
        <f>SUM(AO56:AP56)</f>
        <v>0</v>
      </c>
      <c r="AR56" s="421">
        <f>AF56+AO56</f>
        <v>0</v>
      </c>
      <c r="AS56" s="421">
        <f>AG56+AP56</f>
        <v>0</v>
      </c>
      <c r="AT56" s="421">
        <f>SUM(AR56:AS56)</f>
        <v>0</v>
      </c>
      <c r="AU56" s="68">
        <f t="shared" ref="AU56:AU57" si="149">ROUND((AH56+AI56+AJ56+AK56+AL56)*33.8%,0)</f>
        <v>0</v>
      </c>
      <c r="AV56" s="68">
        <f>ROUND(AH56*1%,0)</f>
        <v>0</v>
      </c>
      <c r="AW56" s="421">
        <v>0</v>
      </c>
      <c r="AX56" s="421">
        <v>0</v>
      </c>
      <c r="AY56" s="421">
        <f>AW56+AX56</f>
        <v>0</v>
      </c>
      <c r="AZ56" s="421">
        <f>AT56+AU56+AV56+AY56</f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>BA56+BC56+BD56+BF56+BH56+BI56</f>
        <v>0</v>
      </c>
      <c r="BL56" s="422">
        <f>BB56+BE56+BG56+BJ56</f>
        <v>0</v>
      </c>
      <c r="BM56" s="611">
        <f>SUM(BK56:BL56)</f>
        <v>0</v>
      </c>
      <c r="BN56" s="428">
        <f>I56+AZ56</f>
        <v>8550194</v>
      </c>
      <c r="BO56" s="421">
        <f>J56+AH56</f>
        <v>6322274</v>
      </c>
      <c r="BP56" s="421">
        <f>K56+AF56</f>
        <v>5770375</v>
      </c>
      <c r="BQ56" s="421">
        <f>L56+AG56</f>
        <v>551899</v>
      </c>
      <c r="BR56" s="421">
        <f>M56+AQ56</f>
        <v>0</v>
      </c>
      <c r="BS56" s="421">
        <f>N56+AO56</f>
        <v>0</v>
      </c>
      <c r="BT56" s="421">
        <f>O56+AP56</f>
        <v>0</v>
      </c>
      <c r="BU56" s="421">
        <f>P56+AU56</f>
        <v>2136929</v>
      </c>
      <c r="BV56" s="421">
        <f>Q56+AV56</f>
        <v>63223</v>
      </c>
      <c r="BW56" s="421">
        <f>R56+AY56</f>
        <v>27768</v>
      </c>
      <c r="BX56" s="422">
        <f>S56+BM56</f>
        <v>11.86</v>
      </c>
      <c r="BY56" s="422">
        <f>T56+BK56</f>
        <v>10</v>
      </c>
      <c r="BZ56" s="611">
        <f>U56+BL56</f>
        <v>1.86</v>
      </c>
      <c r="CA56" s="423"/>
      <c r="CB56" s="418"/>
      <c r="CC56" s="418"/>
      <c r="CD56" s="418"/>
      <c r="CE56" s="418"/>
      <c r="CF56" s="527"/>
    </row>
    <row r="57" spans="1:84" s="222" customFormat="1" ht="12.75" customHeight="1" x14ac:dyDescent="0.2">
      <c r="A57" s="224">
        <v>13</v>
      </c>
      <c r="B57" s="225">
        <v>3473</v>
      </c>
      <c r="C57" s="225">
        <v>691003530</v>
      </c>
      <c r="D57" s="225">
        <v>72550392</v>
      </c>
      <c r="E57" s="226" t="s">
        <v>33</v>
      </c>
      <c r="F57" s="225">
        <v>3141</v>
      </c>
      <c r="G57" s="226" t="s">
        <v>295</v>
      </c>
      <c r="H57" s="227" t="s">
        <v>272</v>
      </c>
      <c r="I57" s="423">
        <f t="shared" si="145"/>
        <v>755770</v>
      </c>
      <c r="J57" s="418">
        <f>K57+L57</f>
        <v>558012</v>
      </c>
      <c r="K57" s="418"/>
      <c r="L57" s="418">
        <v>558012</v>
      </c>
      <c r="M57" s="418">
        <f>N57+O57</f>
        <v>0</v>
      </c>
      <c r="N57" s="418"/>
      <c r="O57" s="418"/>
      <c r="P57" s="68">
        <f t="shared" si="146"/>
        <v>188608</v>
      </c>
      <c r="Q57" s="68">
        <f t="shared" si="147"/>
        <v>5580</v>
      </c>
      <c r="R57" s="418">
        <v>3570</v>
      </c>
      <c r="S57" s="419">
        <f>T57+U57</f>
        <v>1.67</v>
      </c>
      <c r="T57" s="420"/>
      <c r="U57" s="527">
        <v>1.67</v>
      </c>
      <c r="V57" s="427">
        <f>AI57*-1</f>
        <v>0</v>
      </c>
      <c r="W57" s="421">
        <f>AJ57*-1</f>
        <v>-9600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>V57+X57+Y57+AA57+AB57+AD57</f>
        <v>0</v>
      </c>
      <c r="AG57" s="421">
        <f>W57+Z57+AC57+AE57</f>
        <v>-9600</v>
      </c>
      <c r="AH57" s="421">
        <f>SUM(AF57:AG57)</f>
        <v>-9600</v>
      </c>
      <c r="AI57" s="421">
        <v>0</v>
      </c>
      <c r="AJ57" s="421">
        <v>9600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48"/>
        <v>0</v>
      </c>
      <c r="AP57" s="421">
        <f>AJ57+AN57</f>
        <v>9600</v>
      </c>
      <c r="AQ57" s="421">
        <f>SUM(AO57:AP57)</f>
        <v>9600</v>
      </c>
      <c r="AR57" s="421">
        <f>AF57+AO57</f>
        <v>0</v>
      </c>
      <c r="AS57" s="421">
        <f>AG57+AP57</f>
        <v>0</v>
      </c>
      <c r="AT57" s="421">
        <f>SUM(AR57:AS57)</f>
        <v>0</v>
      </c>
      <c r="AU57" s="68">
        <f t="shared" si="149"/>
        <v>0</v>
      </c>
      <c r="AV57" s="68">
        <f>ROUND(AH57*1%,0)</f>
        <v>-96</v>
      </c>
      <c r="AW57" s="421">
        <v>0</v>
      </c>
      <c r="AX57" s="421">
        <v>0</v>
      </c>
      <c r="AY57" s="421">
        <f>AW57+AX57</f>
        <v>0</v>
      </c>
      <c r="AZ57" s="421">
        <f>AT57+AU57+AV57+AY57</f>
        <v>-96</v>
      </c>
      <c r="BA57" s="422">
        <v>0</v>
      </c>
      <c r="BB57" s="422">
        <v>-0.03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>BA57+BC57+BD57+BF57+BH57+BI57</f>
        <v>0</v>
      </c>
      <c r="BL57" s="422">
        <f>BB57+BE57+BG57+BJ57</f>
        <v>-0.03</v>
      </c>
      <c r="BM57" s="611">
        <f>SUM(BK57:BL57)</f>
        <v>-0.03</v>
      </c>
      <c r="BN57" s="428">
        <f>I57+AZ57</f>
        <v>755674</v>
      </c>
      <c r="BO57" s="421">
        <f>J57+AH57</f>
        <v>548412</v>
      </c>
      <c r="BP57" s="421">
        <f>K57+AF57</f>
        <v>0</v>
      </c>
      <c r="BQ57" s="421">
        <f>L57+AG57</f>
        <v>548412</v>
      </c>
      <c r="BR57" s="421">
        <f>M57+AQ57</f>
        <v>9600</v>
      </c>
      <c r="BS57" s="421">
        <f>N57+AO57</f>
        <v>0</v>
      </c>
      <c r="BT57" s="421">
        <f>O57+AP57</f>
        <v>9600</v>
      </c>
      <c r="BU57" s="421">
        <f>P57+AU57</f>
        <v>188608</v>
      </c>
      <c r="BV57" s="421">
        <f>Q57+AV57</f>
        <v>5484</v>
      </c>
      <c r="BW57" s="421">
        <f>R57+AY57</f>
        <v>3570</v>
      </c>
      <c r="BX57" s="422">
        <f>S57+BM57</f>
        <v>1.64</v>
      </c>
      <c r="BY57" s="422">
        <f>T57+BK57</f>
        <v>0</v>
      </c>
      <c r="BZ57" s="611">
        <f>U57+BL57</f>
        <v>1.64</v>
      </c>
      <c r="CA57" s="423"/>
      <c r="CB57" s="418"/>
      <c r="CC57" s="418"/>
      <c r="CD57" s="418"/>
      <c r="CE57" s="418"/>
      <c r="CF57" s="527"/>
    </row>
    <row r="58" spans="1:84" s="222" customFormat="1" ht="12.75" customHeight="1" x14ac:dyDescent="0.2">
      <c r="A58" s="153">
        <v>13</v>
      </c>
      <c r="B58" s="14">
        <v>3473</v>
      </c>
      <c r="C58" s="152">
        <v>691003530</v>
      </c>
      <c r="D58" s="152">
        <v>72550392</v>
      </c>
      <c r="E58" s="223" t="s">
        <v>34</v>
      </c>
      <c r="F58" s="14"/>
      <c r="G58" s="223"/>
      <c r="H58" s="592"/>
      <c r="I58" s="522">
        <f t="shared" ref="I58:BU58" si="150">SUM(I56:I57)</f>
        <v>9305964</v>
      </c>
      <c r="J58" s="521">
        <f t="shared" si="150"/>
        <v>6880286</v>
      </c>
      <c r="K58" s="521">
        <f t="shared" si="150"/>
        <v>5770375</v>
      </c>
      <c r="L58" s="521">
        <f t="shared" si="150"/>
        <v>1109911</v>
      </c>
      <c r="M58" s="521">
        <f t="shared" si="150"/>
        <v>0</v>
      </c>
      <c r="N58" s="521">
        <f t="shared" si="150"/>
        <v>0</v>
      </c>
      <c r="O58" s="521">
        <f t="shared" si="150"/>
        <v>0</v>
      </c>
      <c r="P58" s="521">
        <f t="shared" si="150"/>
        <v>2325537</v>
      </c>
      <c r="Q58" s="521">
        <f t="shared" si="150"/>
        <v>68803</v>
      </c>
      <c r="R58" s="521">
        <f t="shared" si="150"/>
        <v>31338</v>
      </c>
      <c r="S58" s="572">
        <f t="shared" si="150"/>
        <v>13.53</v>
      </c>
      <c r="T58" s="572">
        <f t="shared" si="150"/>
        <v>10</v>
      </c>
      <c r="U58" s="448">
        <f t="shared" si="150"/>
        <v>3.5300000000000002</v>
      </c>
      <c r="V58" s="614">
        <f t="shared" si="150"/>
        <v>0</v>
      </c>
      <c r="W58" s="521">
        <f t="shared" si="150"/>
        <v>-9600</v>
      </c>
      <c r="X58" s="521">
        <f t="shared" si="150"/>
        <v>0</v>
      </c>
      <c r="Y58" s="521">
        <f t="shared" si="150"/>
        <v>0</v>
      </c>
      <c r="Z58" s="521">
        <f t="shared" si="150"/>
        <v>0</v>
      </c>
      <c r="AA58" s="521">
        <f t="shared" si="150"/>
        <v>0</v>
      </c>
      <c r="AB58" s="521">
        <f t="shared" si="150"/>
        <v>0</v>
      </c>
      <c r="AC58" s="521">
        <f t="shared" si="150"/>
        <v>0</v>
      </c>
      <c r="AD58" s="521">
        <f t="shared" si="150"/>
        <v>0</v>
      </c>
      <c r="AE58" s="521">
        <f t="shared" si="150"/>
        <v>0</v>
      </c>
      <c r="AF58" s="521">
        <f t="shared" si="150"/>
        <v>0</v>
      </c>
      <c r="AG58" s="521">
        <f t="shared" si="150"/>
        <v>-9600</v>
      </c>
      <c r="AH58" s="521">
        <f t="shared" si="150"/>
        <v>-9600</v>
      </c>
      <c r="AI58" s="521">
        <f t="shared" si="150"/>
        <v>0</v>
      </c>
      <c r="AJ58" s="521">
        <f t="shared" si="150"/>
        <v>9600</v>
      </c>
      <c r="AK58" s="521">
        <f t="shared" ref="AK58" si="151">SUM(AK56:AK57)</f>
        <v>0</v>
      </c>
      <c r="AL58" s="521">
        <f t="shared" si="150"/>
        <v>0</v>
      </c>
      <c r="AM58" s="521">
        <f t="shared" si="150"/>
        <v>0</v>
      </c>
      <c r="AN58" s="521">
        <f t="shared" si="150"/>
        <v>0</v>
      </c>
      <c r="AO58" s="521">
        <f t="shared" si="150"/>
        <v>0</v>
      </c>
      <c r="AP58" s="521">
        <f t="shared" si="150"/>
        <v>9600</v>
      </c>
      <c r="AQ58" s="521">
        <f t="shared" si="150"/>
        <v>9600</v>
      </c>
      <c r="AR58" s="521">
        <f t="shared" si="150"/>
        <v>0</v>
      </c>
      <c r="AS58" s="521">
        <f t="shared" si="150"/>
        <v>0</v>
      </c>
      <c r="AT58" s="521">
        <f t="shared" si="150"/>
        <v>0</v>
      </c>
      <c r="AU58" s="521">
        <f t="shared" si="150"/>
        <v>0</v>
      </c>
      <c r="AV58" s="521">
        <f t="shared" si="150"/>
        <v>-96</v>
      </c>
      <c r="AW58" s="521">
        <f t="shared" si="150"/>
        <v>0</v>
      </c>
      <c r="AX58" s="521">
        <f t="shared" si="150"/>
        <v>0</v>
      </c>
      <c r="AY58" s="521">
        <f t="shared" si="150"/>
        <v>0</v>
      </c>
      <c r="AZ58" s="521">
        <f t="shared" si="150"/>
        <v>-96</v>
      </c>
      <c r="BA58" s="572">
        <f t="shared" si="150"/>
        <v>0</v>
      </c>
      <c r="BB58" s="572">
        <f t="shared" si="150"/>
        <v>-0.03</v>
      </c>
      <c r="BC58" s="572">
        <f t="shared" si="150"/>
        <v>0</v>
      </c>
      <c r="BD58" s="572">
        <f t="shared" si="150"/>
        <v>0</v>
      </c>
      <c r="BE58" s="572">
        <f t="shared" si="150"/>
        <v>0</v>
      </c>
      <c r="BF58" s="572">
        <f t="shared" si="150"/>
        <v>0</v>
      </c>
      <c r="BG58" s="572">
        <f t="shared" si="150"/>
        <v>0</v>
      </c>
      <c r="BH58" s="572">
        <f t="shared" si="150"/>
        <v>0</v>
      </c>
      <c r="BI58" s="572">
        <f t="shared" si="150"/>
        <v>0</v>
      </c>
      <c r="BJ58" s="572">
        <f t="shared" si="150"/>
        <v>0</v>
      </c>
      <c r="BK58" s="572">
        <f t="shared" si="150"/>
        <v>0</v>
      </c>
      <c r="BL58" s="572">
        <f t="shared" si="150"/>
        <v>-0.03</v>
      </c>
      <c r="BM58" s="403">
        <f t="shared" si="150"/>
        <v>-0.03</v>
      </c>
      <c r="BN58" s="522">
        <f t="shared" si="150"/>
        <v>9305868</v>
      </c>
      <c r="BO58" s="521">
        <f t="shared" si="150"/>
        <v>6870686</v>
      </c>
      <c r="BP58" s="521">
        <f t="shared" si="150"/>
        <v>5770375</v>
      </c>
      <c r="BQ58" s="521">
        <f t="shared" si="150"/>
        <v>1100311</v>
      </c>
      <c r="BR58" s="521">
        <f t="shared" si="150"/>
        <v>9600</v>
      </c>
      <c r="BS58" s="521">
        <f t="shared" si="150"/>
        <v>0</v>
      </c>
      <c r="BT58" s="521">
        <f t="shared" si="150"/>
        <v>9600</v>
      </c>
      <c r="BU58" s="521">
        <f t="shared" si="150"/>
        <v>2325537</v>
      </c>
      <c r="BV58" s="521">
        <f t="shared" ref="BV58:CF58" si="152">SUM(BV56:BV57)</f>
        <v>68707</v>
      </c>
      <c r="BW58" s="521">
        <f t="shared" si="152"/>
        <v>31338</v>
      </c>
      <c r="BX58" s="572">
        <f t="shared" si="152"/>
        <v>13.5</v>
      </c>
      <c r="BY58" s="572">
        <f t="shared" si="152"/>
        <v>10</v>
      </c>
      <c r="BZ58" s="403">
        <f t="shared" si="152"/>
        <v>3.5</v>
      </c>
      <c r="CA58" s="833">
        <f t="shared" si="152"/>
        <v>0</v>
      </c>
      <c r="CB58" s="834">
        <f t="shared" si="152"/>
        <v>0</v>
      </c>
      <c r="CC58" s="834">
        <f t="shared" si="152"/>
        <v>0</v>
      </c>
      <c r="CD58" s="834">
        <f t="shared" si="152"/>
        <v>0</v>
      </c>
      <c r="CE58" s="834">
        <f t="shared" si="152"/>
        <v>0</v>
      </c>
      <c r="CF58" s="829">
        <f t="shared" si="152"/>
        <v>0</v>
      </c>
    </row>
    <row r="59" spans="1:84" s="222" customFormat="1" ht="12.75" customHeight="1" x14ac:dyDescent="0.2">
      <c r="A59" s="224">
        <v>14</v>
      </c>
      <c r="B59" s="225">
        <v>3474</v>
      </c>
      <c r="C59" s="225">
        <v>691003505</v>
      </c>
      <c r="D59" s="225">
        <v>72550406</v>
      </c>
      <c r="E59" s="226" t="s">
        <v>35</v>
      </c>
      <c r="F59" s="225">
        <v>3111</v>
      </c>
      <c r="G59" s="226" t="s">
        <v>291</v>
      </c>
      <c r="H59" s="227" t="s">
        <v>271</v>
      </c>
      <c r="I59" s="423">
        <f t="shared" ref="I59:I61" si="153">J59+P59+Q59+R59</f>
        <v>5322525</v>
      </c>
      <c r="J59" s="418">
        <f>K59+L59</f>
        <v>3930739</v>
      </c>
      <c r="K59" s="418">
        <v>3578078</v>
      </c>
      <c r="L59" s="418">
        <v>352661</v>
      </c>
      <c r="M59" s="418">
        <f>N59+O59</f>
        <v>0</v>
      </c>
      <c r="N59" s="418"/>
      <c r="O59" s="418"/>
      <c r="P59" s="68">
        <f t="shared" ref="P59:P61" si="154">ROUND(J59*33.8%,0)</f>
        <v>1328590</v>
      </c>
      <c r="Q59" s="68">
        <f t="shared" ref="Q59:Q61" si="155">ROUND(J59*1%,0)</f>
        <v>39307</v>
      </c>
      <c r="R59" s="418">
        <v>23889</v>
      </c>
      <c r="S59" s="419">
        <f>T59+U59</f>
        <v>7.4420999999999999</v>
      </c>
      <c r="T59" s="420">
        <v>6.242</v>
      </c>
      <c r="U59" s="527">
        <v>1.2000999999999999</v>
      </c>
      <c r="V59" s="427">
        <f t="shared" ref="V59:W61" si="156">AI59*-1</f>
        <v>0</v>
      </c>
      <c r="W59" s="421">
        <f t="shared" si="156"/>
        <v>-8960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>V59+X59+Y59+AA59+AB59+AD59</f>
        <v>0</v>
      </c>
      <c r="AG59" s="421">
        <f>W59+Z59+AC59+AE59</f>
        <v>-8960</v>
      </c>
      <c r="AH59" s="421">
        <f>SUM(AF59:AG59)</f>
        <v>-8960</v>
      </c>
      <c r="AI59" s="421">
        <v>0</v>
      </c>
      <c r="AJ59" s="421">
        <v>8960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ref="AO59:AO61" si="157">AI59+AK59+AL59+AM59</f>
        <v>0</v>
      </c>
      <c r="AP59" s="421">
        <f>AJ59+AN59</f>
        <v>8960</v>
      </c>
      <c r="AQ59" s="421">
        <f>SUM(AO59:AP59)</f>
        <v>8960</v>
      </c>
      <c r="AR59" s="421">
        <f t="shared" ref="AR59:AS61" si="158">AF59+AO59</f>
        <v>0</v>
      </c>
      <c r="AS59" s="421">
        <f t="shared" si="158"/>
        <v>0</v>
      </c>
      <c r="AT59" s="421">
        <f>SUM(AR59:AS59)</f>
        <v>0</v>
      </c>
      <c r="AU59" s="68">
        <f t="shared" ref="AU59:AU61" si="159">ROUND((AH59+AI59+AJ59+AK59+AL59)*33.8%,0)</f>
        <v>0</v>
      </c>
      <c r="AV59" s="68">
        <f>ROUND(AH59*1%,0)</f>
        <v>-90</v>
      </c>
      <c r="AW59" s="421">
        <v>0</v>
      </c>
      <c r="AX59" s="421">
        <v>0</v>
      </c>
      <c r="AY59" s="421">
        <f>AW59+AX59</f>
        <v>0</v>
      </c>
      <c r="AZ59" s="421">
        <f>AT59+AU59+AV59+AY59</f>
        <v>-90</v>
      </c>
      <c r="BA59" s="422">
        <v>0</v>
      </c>
      <c r="BB59" s="422">
        <v>-0.04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>BA59+BC59+BD59+BF59+BH59+BI59</f>
        <v>0</v>
      </c>
      <c r="BL59" s="422">
        <f>BB59+BE59+BG59+BJ59</f>
        <v>-0.04</v>
      </c>
      <c r="BM59" s="611">
        <f>SUM(BK59:BL59)</f>
        <v>-0.04</v>
      </c>
      <c r="BN59" s="428">
        <f>I59+AZ59</f>
        <v>5322435</v>
      </c>
      <c r="BO59" s="421">
        <f>J59+AH59</f>
        <v>3921779</v>
      </c>
      <c r="BP59" s="421">
        <f t="shared" ref="BP59:BQ61" si="160">K59+AF59</f>
        <v>3578078</v>
      </c>
      <c r="BQ59" s="421">
        <f t="shared" si="160"/>
        <v>343701</v>
      </c>
      <c r="BR59" s="421">
        <f>M59+AQ59</f>
        <v>8960</v>
      </c>
      <c r="BS59" s="421">
        <f t="shared" ref="BS59:BT61" si="161">N59+AO59</f>
        <v>0</v>
      </c>
      <c r="BT59" s="421">
        <f t="shared" si="161"/>
        <v>8960</v>
      </c>
      <c r="BU59" s="421">
        <f t="shared" ref="BU59:BV61" si="162">P59+AU59</f>
        <v>1328590</v>
      </c>
      <c r="BV59" s="421">
        <f t="shared" si="162"/>
        <v>39217</v>
      </c>
      <c r="BW59" s="421">
        <f>R59+AY59</f>
        <v>23889</v>
      </c>
      <c r="BX59" s="422">
        <f>S59+BM59</f>
        <v>7.4020999999999999</v>
      </c>
      <c r="BY59" s="422">
        <f t="shared" ref="BY59:BZ61" si="163">T59+BK59</f>
        <v>6.242</v>
      </c>
      <c r="BZ59" s="611">
        <f t="shared" si="163"/>
        <v>1.1600999999999999</v>
      </c>
      <c r="CA59" s="423"/>
      <c r="CB59" s="418"/>
      <c r="CC59" s="418"/>
      <c r="CD59" s="418"/>
      <c r="CE59" s="418"/>
      <c r="CF59" s="527"/>
    </row>
    <row r="60" spans="1:84" s="222" customFormat="1" ht="12.75" customHeight="1" x14ac:dyDescent="0.2">
      <c r="A60" s="224">
        <v>14</v>
      </c>
      <c r="B60" s="225">
        <v>3474</v>
      </c>
      <c r="C60" s="225">
        <v>691003505</v>
      </c>
      <c r="D60" s="225">
        <v>72550406</v>
      </c>
      <c r="E60" s="226" t="s">
        <v>35</v>
      </c>
      <c r="F60" s="225">
        <v>3111</v>
      </c>
      <c r="G60" s="226" t="s">
        <v>292</v>
      </c>
      <c r="H60" s="227" t="s">
        <v>272</v>
      </c>
      <c r="I60" s="423">
        <f t="shared" si="153"/>
        <v>0</v>
      </c>
      <c r="J60" s="418">
        <f>K60+L60</f>
        <v>0</v>
      </c>
      <c r="K60" s="418">
        <v>0</v>
      </c>
      <c r="L60" s="418">
        <v>0</v>
      </c>
      <c r="M60" s="418">
        <f>N60+O60</f>
        <v>0</v>
      </c>
      <c r="N60" s="418"/>
      <c r="O60" s="418"/>
      <c r="P60" s="68">
        <f t="shared" si="154"/>
        <v>0</v>
      </c>
      <c r="Q60" s="68">
        <f t="shared" si="155"/>
        <v>0</v>
      </c>
      <c r="R60" s="418">
        <v>0</v>
      </c>
      <c r="S60" s="419">
        <f>T60+U60</f>
        <v>0</v>
      </c>
      <c r="T60" s="420">
        <v>0</v>
      </c>
      <c r="U60" s="527">
        <v>0</v>
      </c>
      <c r="V60" s="427">
        <f t="shared" si="156"/>
        <v>0</v>
      </c>
      <c r="W60" s="421">
        <f t="shared" si="156"/>
        <v>0</v>
      </c>
      <c r="X60" s="421">
        <v>556202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>V60+X60+Y60+AA60+AB60+AD60</f>
        <v>556202</v>
      </c>
      <c r="AG60" s="421">
        <f>W60+Z60+AC60+AE60</f>
        <v>0</v>
      </c>
      <c r="AH60" s="421">
        <f>SUM(AF60:AG60)</f>
        <v>556202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57"/>
        <v>0</v>
      </c>
      <c r="AP60" s="421">
        <f>AJ60+AN60</f>
        <v>0</v>
      </c>
      <c r="AQ60" s="421">
        <f>SUM(AO60:AP60)</f>
        <v>0</v>
      </c>
      <c r="AR60" s="421">
        <f t="shared" si="158"/>
        <v>556202</v>
      </c>
      <c r="AS60" s="421">
        <f t="shared" si="158"/>
        <v>0</v>
      </c>
      <c r="AT60" s="421">
        <f>SUM(AR60:AS60)</f>
        <v>556202</v>
      </c>
      <c r="AU60" s="68">
        <f t="shared" si="159"/>
        <v>187996</v>
      </c>
      <c r="AV60" s="68">
        <f>ROUND(AH60*1%,0)</f>
        <v>5562</v>
      </c>
      <c r="AW60" s="421">
        <v>0</v>
      </c>
      <c r="AX60" s="421">
        <v>0</v>
      </c>
      <c r="AY60" s="421">
        <f>AW60+AX60</f>
        <v>0</v>
      </c>
      <c r="AZ60" s="421">
        <f>AT60+AU60+AV60+AY60</f>
        <v>749760</v>
      </c>
      <c r="BA60" s="422">
        <v>0</v>
      </c>
      <c r="BB60" s="422">
        <v>0</v>
      </c>
      <c r="BC60" s="422">
        <v>1.5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>BA60+BC60+BD60+BF60+BH60+BI60</f>
        <v>1.5</v>
      </c>
      <c r="BL60" s="422">
        <f>BB60+BE60+BG60+BJ60</f>
        <v>0</v>
      </c>
      <c r="BM60" s="611">
        <f>SUM(BK60:BL60)</f>
        <v>1.5</v>
      </c>
      <c r="BN60" s="428">
        <f>I60+AZ60</f>
        <v>749760</v>
      </c>
      <c r="BO60" s="421">
        <f>J60+AH60</f>
        <v>556202</v>
      </c>
      <c r="BP60" s="421">
        <f t="shared" si="160"/>
        <v>556202</v>
      </c>
      <c r="BQ60" s="421">
        <f t="shared" si="160"/>
        <v>0</v>
      </c>
      <c r="BR60" s="421">
        <f>M60+AQ60</f>
        <v>0</v>
      </c>
      <c r="BS60" s="421">
        <f t="shared" si="161"/>
        <v>0</v>
      </c>
      <c r="BT60" s="421">
        <f t="shared" si="161"/>
        <v>0</v>
      </c>
      <c r="BU60" s="421">
        <f t="shared" si="162"/>
        <v>187996</v>
      </c>
      <c r="BV60" s="421">
        <f t="shared" si="162"/>
        <v>5562</v>
      </c>
      <c r="BW60" s="421">
        <f>R60+AY60</f>
        <v>0</v>
      </c>
      <c r="BX60" s="422">
        <f>S60+BM60</f>
        <v>1.5</v>
      </c>
      <c r="BY60" s="422">
        <f t="shared" si="163"/>
        <v>1.5</v>
      </c>
      <c r="BZ60" s="611">
        <f t="shared" si="163"/>
        <v>0</v>
      </c>
      <c r="CA60" s="423"/>
      <c r="CB60" s="418"/>
      <c r="CC60" s="418"/>
      <c r="CD60" s="418"/>
      <c r="CE60" s="418"/>
      <c r="CF60" s="527"/>
    </row>
    <row r="61" spans="1:84" s="222" customFormat="1" ht="12.75" customHeight="1" x14ac:dyDescent="0.2">
      <c r="A61" s="224">
        <v>14</v>
      </c>
      <c r="B61" s="225">
        <v>3474</v>
      </c>
      <c r="C61" s="225">
        <v>691003505</v>
      </c>
      <c r="D61" s="225">
        <v>72550406</v>
      </c>
      <c r="E61" s="226" t="s">
        <v>36</v>
      </c>
      <c r="F61" s="225">
        <v>3141</v>
      </c>
      <c r="G61" s="226" t="s">
        <v>295</v>
      </c>
      <c r="H61" s="227" t="s">
        <v>272</v>
      </c>
      <c r="I61" s="423">
        <f t="shared" si="153"/>
        <v>565742</v>
      </c>
      <c r="J61" s="418">
        <f>K61+L61</f>
        <v>417950</v>
      </c>
      <c r="K61" s="418">
        <v>0</v>
      </c>
      <c r="L61" s="418">
        <v>417950</v>
      </c>
      <c r="M61" s="418">
        <f>N61+O61</f>
        <v>0</v>
      </c>
      <c r="N61" s="418"/>
      <c r="O61" s="418"/>
      <c r="P61" s="68">
        <f t="shared" si="154"/>
        <v>141267</v>
      </c>
      <c r="Q61" s="68">
        <f t="shared" si="155"/>
        <v>4180</v>
      </c>
      <c r="R61" s="418">
        <v>2345</v>
      </c>
      <c r="S61" s="419">
        <f>T61+U61</f>
        <v>1.25</v>
      </c>
      <c r="T61" s="420">
        <v>0</v>
      </c>
      <c r="U61" s="527">
        <v>1.25</v>
      </c>
      <c r="V61" s="427">
        <f t="shared" si="156"/>
        <v>0</v>
      </c>
      <c r="W61" s="421">
        <f t="shared" si="156"/>
        <v>-2560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>V61+X61+Y61+AA61+AB61+AD61</f>
        <v>0</v>
      </c>
      <c r="AG61" s="421">
        <f>W61+Z61+AC61+AE61</f>
        <v>-2560</v>
      </c>
      <c r="AH61" s="421">
        <f>SUM(AF61:AG61)</f>
        <v>-2560</v>
      </c>
      <c r="AI61" s="421">
        <v>0</v>
      </c>
      <c r="AJ61" s="421">
        <v>2560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57"/>
        <v>0</v>
      </c>
      <c r="AP61" s="421">
        <f>AJ61+AN61</f>
        <v>2560</v>
      </c>
      <c r="AQ61" s="421">
        <f>SUM(AO61:AP61)</f>
        <v>2560</v>
      </c>
      <c r="AR61" s="421">
        <f t="shared" si="158"/>
        <v>0</v>
      </c>
      <c r="AS61" s="421">
        <f t="shared" si="158"/>
        <v>0</v>
      </c>
      <c r="AT61" s="421">
        <f>SUM(AR61:AS61)</f>
        <v>0</v>
      </c>
      <c r="AU61" s="68">
        <f t="shared" si="159"/>
        <v>0</v>
      </c>
      <c r="AV61" s="68">
        <f>ROUND(AH61*1%,0)</f>
        <v>-26</v>
      </c>
      <c r="AW61" s="421">
        <v>0</v>
      </c>
      <c r="AX61" s="421">
        <v>0</v>
      </c>
      <c r="AY61" s="421">
        <f>AW61+AX61</f>
        <v>0</v>
      </c>
      <c r="AZ61" s="421">
        <f>AT61+AU61+AV61+AY61</f>
        <v>-26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>BA61+BC61+BD61+BF61+BH61+BI61</f>
        <v>0</v>
      </c>
      <c r="BL61" s="422">
        <f>BB61+BE61+BG61+BJ61</f>
        <v>0</v>
      </c>
      <c r="BM61" s="611">
        <f>SUM(BK61:BL61)</f>
        <v>0</v>
      </c>
      <c r="BN61" s="428">
        <f>I61+AZ61</f>
        <v>565716</v>
      </c>
      <c r="BO61" s="421">
        <f>J61+AH61</f>
        <v>415390</v>
      </c>
      <c r="BP61" s="421">
        <f t="shared" si="160"/>
        <v>0</v>
      </c>
      <c r="BQ61" s="421">
        <f t="shared" si="160"/>
        <v>415390</v>
      </c>
      <c r="BR61" s="421">
        <f>M61+AQ61</f>
        <v>2560</v>
      </c>
      <c r="BS61" s="421">
        <f t="shared" si="161"/>
        <v>0</v>
      </c>
      <c r="BT61" s="421">
        <f t="shared" si="161"/>
        <v>2560</v>
      </c>
      <c r="BU61" s="421">
        <f t="shared" si="162"/>
        <v>141267</v>
      </c>
      <c r="BV61" s="421">
        <f t="shared" si="162"/>
        <v>4154</v>
      </c>
      <c r="BW61" s="421">
        <f>R61+AY61</f>
        <v>2345</v>
      </c>
      <c r="BX61" s="422">
        <f>S61+BM61</f>
        <v>1.25</v>
      </c>
      <c r="BY61" s="422">
        <f t="shared" si="163"/>
        <v>0</v>
      </c>
      <c r="BZ61" s="611">
        <f t="shared" si="163"/>
        <v>1.25</v>
      </c>
      <c r="CA61" s="423"/>
      <c r="CB61" s="418"/>
      <c r="CC61" s="418"/>
      <c r="CD61" s="418"/>
      <c r="CE61" s="418"/>
      <c r="CF61" s="527"/>
    </row>
    <row r="62" spans="1:84" s="222" customFormat="1" ht="12.75" customHeight="1" x14ac:dyDescent="0.2">
      <c r="A62" s="153">
        <v>14</v>
      </c>
      <c r="B62" s="14">
        <v>3474</v>
      </c>
      <c r="C62" s="152">
        <v>691003505</v>
      </c>
      <c r="D62" s="152">
        <v>72550406</v>
      </c>
      <c r="E62" s="223" t="s">
        <v>37</v>
      </c>
      <c r="F62" s="14"/>
      <c r="G62" s="223"/>
      <c r="H62" s="592"/>
      <c r="I62" s="522">
        <f t="shared" ref="I62:BU62" si="164">SUM(I59:I61)</f>
        <v>5888267</v>
      </c>
      <c r="J62" s="521">
        <f t="shared" si="164"/>
        <v>4348689</v>
      </c>
      <c r="K62" s="521">
        <f t="shared" si="164"/>
        <v>3578078</v>
      </c>
      <c r="L62" s="521">
        <f t="shared" si="164"/>
        <v>770611</v>
      </c>
      <c r="M62" s="521">
        <f t="shared" si="164"/>
        <v>0</v>
      </c>
      <c r="N62" s="521">
        <f t="shared" si="164"/>
        <v>0</v>
      </c>
      <c r="O62" s="521">
        <f t="shared" si="164"/>
        <v>0</v>
      </c>
      <c r="P62" s="521">
        <f t="shared" si="164"/>
        <v>1469857</v>
      </c>
      <c r="Q62" s="521">
        <f t="shared" si="164"/>
        <v>43487</v>
      </c>
      <c r="R62" s="521">
        <f t="shared" si="164"/>
        <v>26234</v>
      </c>
      <c r="S62" s="572">
        <f t="shared" si="164"/>
        <v>8.6920999999999999</v>
      </c>
      <c r="T62" s="572">
        <f t="shared" si="164"/>
        <v>6.242</v>
      </c>
      <c r="U62" s="448">
        <f t="shared" si="164"/>
        <v>2.4500999999999999</v>
      </c>
      <c r="V62" s="614">
        <f t="shared" si="164"/>
        <v>0</v>
      </c>
      <c r="W62" s="521">
        <f t="shared" si="164"/>
        <v>-11520</v>
      </c>
      <c r="X62" s="521">
        <f t="shared" si="164"/>
        <v>556202</v>
      </c>
      <c r="Y62" s="521">
        <f t="shared" si="164"/>
        <v>0</v>
      </c>
      <c r="Z62" s="521">
        <f t="shared" si="164"/>
        <v>0</v>
      </c>
      <c r="AA62" s="521">
        <f t="shared" si="164"/>
        <v>0</v>
      </c>
      <c r="AB62" s="521">
        <f t="shared" si="164"/>
        <v>0</v>
      </c>
      <c r="AC62" s="521">
        <f t="shared" si="164"/>
        <v>0</v>
      </c>
      <c r="AD62" s="521">
        <f t="shared" si="164"/>
        <v>0</v>
      </c>
      <c r="AE62" s="521">
        <f t="shared" si="164"/>
        <v>0</v>
      </c>
      <c r="AF62" s="521">
        <f t="shared" si="164"/>
        <v>556202</v>
      </c>
      <c r="AG62" s="521">
        <f t="shared" si="164"/>
        <v>-11520</v>
      </c>
      <c r="AH62" s="521">
        <f t="shared" si="164"/>
        <v>544682</v>
      </c>
      <c r="AI62" s="521">
        <f t="shared" si="164"/>
        <v>0</v>
      </c>
      <c r="AJ62" s="521">
        <f t="shared" si="164"/>
        <v>11520</v>
      </c>
      <c r="AK62" s="521">
        <f t="shared" ref="AK62" si="165">SUM(AK59:AK61)</f>
        <v>0</v>
      </c>
      <c r="AL62" s="521">
        <f t="shared" si="164"/>
        <v>0</v>
      </c>
      <c r="AM62" s="521">
        <f t="shared" si="164"/>
        <v>0</v>
      </c>
      <c r="AN62" s="521">
        <f t="shared" si="164"/>
        <v>0</v>
      </c>
      <c r="AO62" s="521">
        <f t="shared" si="164"/>
        <v>0</v>
      </c>
      <c r="AP62" s="521">
        <f t="shared" si="164"/>
        <v>11520</v>
      </c>
      <c r="AQ62" s="521">
        <f t="shared" si="164"/>
        <v>11520</v>
      </c>
      <c r="AR62" s="521">
        <f t="shared" si="164"/>
        <v>556202</v>
      </c>
      <c r="AS62" s="521">
        <f t="shared" si="164"/>
        <v>0</v>
      </c>
      <c r="AT62" s="521">
        <f t="shared" si="164"/>
        <v>556202</v>
      </c>
      <c r="AU62" s="521">
        <f t="shared" si="164"/>
        <v>187996</v>
      </c>
      <c r="AV62" s="521">
        <f t="shared" si="164"/>
        <v>5446</v>
      </c>
      <c r="AW62" s="521">
        <f t="shared" si="164"/>
        <v>0</v>
      </c>
      <c r="AX62" s="521">
        <f t="shared" si="164"/>
        <v>0</v>
      </c>
      <c r="AY62" s="521">
        <f t="shared" si="164"/>
        <v>0</v>
      </c>
      <c r="AZ62" s="521">
        <f t="shared" si="164"/>
        <v>749644</v>
      </c>
      <c r="BA62" s="572">
        <f t="shared" si="164"/>
        <v>0</v>
      </c>
      <c r="BB62" s="572">
        <f t="shared" si="164"/>
        <v>-0.04</v>
      </c>
      <c r="BC62" s="572">
        <f t="shared" si="164"/>
        <v>1.5</v>
      </c>
      <c r="BD62" s="572">
        <f t="shared" si="164"/>
        <v>0</v>
      </c>
      <c r="BE62" s="572">
        <f t="shared" si="164"/>
        <v>0</v>
      </c>
      <c r="BF62" s="572">
        <f t="shared" si="164"/>
        <v>0</v>
      </c>
      <c r="BG62" s="572">
        <f t="shared" si="164"/>
        <v>0</v>
      </c>
      <c r="BH62" s="572">
        <f t="shared" si="164"/>
        <v>0</v>
      </c>
      <c r="BI62" s="572">
        <f t="shared" si="164"/>
        <v>0</v>
      </c>
      <c r="BJ62" s="572">
        <f t="shared" si="164"/>
        <v>0</v>
      </c>
      <c r="BK62" s="572">
        <f t="shared" si="164"/>
        <v>1.5</v>
      </c>
      <c r="BL62" s="572">
        <f t="shared" si="164"/>
        <v>-0.04</v>
      </c>
      <c r="BM62" s="403">
        <f t="shared" si="164"/>
        <v>1.46</v>
      </c>
      <c r="BN62" s="522">
        <f t="shared" si="164"/>
        <v>6637911</v>
      </c>
      <c r="BO62" s="521">
        <f t="shared" si="164"/>
        <v>4893371</v>
      </c>
      <c r="BP62" s="521">
        <f t="shared" si="164"/>
        <v>4134280</v>
      </c>
      <c r="BQ62" s="521">
        <f t="shared" si="164"/>
        <v>759091</v>
      </c>
      <c r="BR62" s="521">
        <f t="shared" si="164"/>
        <v>11520</v>
      </c>
      <c r="BS62" s="521">
        <f t="shared" si="164"/>
        <v>0</v>
      </c>
      <c r="BT62" s="521">
        <f t="shared" si="164"/>
        <v>11520</v>
      </c>
      <c r="BU62" s="521">
        <f t="shared" si="164"/>
        <v>1657853</v>
      </c>
      <c r="BV62" s="521">
        <f t="shared" ref="BV62:CF62" si="166">SUM(BV59:BV61)</f>
        <v>48933</v>
      </c>
      <c r="BW62" s="521">
        <f t="shared" si="166"/>
        <v>26234</v>
      </c>
      <c r="BX62" s="572">
        <f t="shared" si="166"/>
        <v>10.152100000000001</v>
      </c>
      <c r="BY62" s="572">
        <f t="shared" si="166"/>
        <v>7.742</v>
      </c>
      <c r="BZ62" s="403">
        <f t="shared" si="166"/>
        <v>2.4100999999999999</v>
      </c>
      <c r="CA62" s="833">
        <f t="shared" si="166"/>
        <v>0</v>
      </c>
      <c r="CB62" s="834">
        <f t="shared" si="166"/>
        <v>0</v>
      </c>
      <c r="CC62" s="834">
        <f t="shared" si="166"/>
        <v>0</v>
      </c>
      <c r="CD62" s="834">
        <f t="shared" si="166"/>
        <v>0</v>
      </c>
      <c r="CE62" s="834">
        <f t="shared" si="166"/>
        <v>0</v>
      </c>
      <c r="CF62" s="829">
        <f t="shared" si="166"/>
        <v>0</v>
      </c>
    </row>
    <row r="63" spans="1:84" s="222" customFormat="1" ht="12.75" customHeight="1" x14ac:dyDescent="0.2">
      <c r="A63" s="224">
        <v>15</v>
      </c>
      <c r="B63" s="225">
        <v>3466</v>
      </c>
      <c r="C63" s="225">
        <v>691001260</v>
      </c>
      <c r="D63" s="225">
        <v>72048085</v>
      </c>
      <c r="E63" s="226" t="s">
        <v>38</v>
      </c>
      <c r="F63" s="225">
        <v>3111</v>
      </c>
      <c r="G63" s="226" t="s">
        <v>291</v>
      </c>
      <c r="H63" s="227" t="s">
        <v>271</v>
      </c>
      <c r="I63" s="423">
        <f t="shared" ref="I63:I65" si="167">J63+P63+Q63+R63</f>
        <v>5347162</v>
      </c>
      <c r="J63" s="418">
        <f>K63+L63</f>
        <v>3953466</v>
      </c>
      <c r="K63" s="418">
        <v>3600805</v>
      </c>
      <c r="L63" s="418">
        <v>352661</v>
      </c>
      <c r="M63" s="418">
        <f>N63+O63</f>
        <v>0</v>
      </c>
      <c r="N63" s="418"/>
      <c r="O63" s="418"/>
      <c r="P63" s="68">
        <f t="shared" ref="P63:P65" si="168">ROUND(J63*33.8%,0)</f>
        <v>1336272</v>
      </c>
      <c r="Q63" s="68">
        <f t="shared" ref="Q63:Q65" si="169">ROUND(J63*1%,0)</f>
        <v>39535</v>
      </c>
      <c r="R63" s="418">
        <v>17889</v>
      </c>
      <c r="S63" s="419">
        <f>T63+U63</f>
        <v>7.2000999999999999</v>
      </c>
      <c r="T63" s="420">
        <v>6</v>
      </c>
      <c r="U63" s="527">
        <v>1.2000999999999999</v>
      </c>
      <c r="V63" s="427">
        <f t="shared" ref="V63:W65" si="170">AI63*-1</f>
        <v>0</v>
      </c>
      <c r="W63" s="421">
        <f t="shared" si="170"/>
        <v>-1664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>V63+X63+Y63+AA63+AB63+AD63</f>
        <v>0</v>
      </c>
      <c r="AG63" s="421">
        <f>W63+Z63+AC63+AE63</f>
        <v>-1664</v>
      </c>
      <c r="AH63" s="421">
        <f>SUM(AF63:AG63)</f>
        <v>-1664</v>
      </c>
      <c r="AI63" s="421">
        <v>0</v>
      </c>
      <c r="AJ63" s="421">
        <v>1664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ref="AO63:AO65" si="171">AI63+AK63+AL63+AM63</f>
        <v>0</v>
      </c>
      <c r="AP63" s="421">
        <f>AJ63+AN63</f>
        <v>1664</v>
      </c>
      <c r="AQ63" s="421">
        <f>SUM(AO63:AP63)</f>
        <v>1664</v>
      </c>
      <c r="AR63" s="421">
        <f t="shared" ref="AR63:AS65" si="172">AF63+AO63</f>
        <v>0</v>
      </c>
      <c r="AS63" s="421">
        <f t="shared" si="172"/>
        <v>0</v>
      </c>
      <c r="AT63" s="421">
        <f>SUM(AR63:AS63)</f>
        <v>0</v>
      </c>
      <c r="AU63" s="68">
        <f t="shared" ref="AU63:AU65" si="173">ROUND((AH63+AI63+AJ63+AK63+AL63)*33.8%,0)</f>
        <v>0</v>
      </c>
      <c r="AV63" s="68">
        <f>ROUND(AH63*1%,0)</f>
        <v>-17</v>
      </c>
      <c r="AW63" s="421">
        <v>0</v>
      </c>
      <c r="AX63" s="421">
        <v>0</v>
      </c>
      <c r="AY63" s="421">
        <f>AW63+AX63</f>
        <v>0</v>
      </c>
      <c r="AZ63" s="421">
        <f>AT63+AU63+AV63+AY63</f>
        <v>-17</v>
      </c>
      <c r="BA63" s="422">
        <v>0</v>
      </c>
      <c r="BB63" s="422">
        <v>-0.01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>BA63+BC63+BD63+BF63+BH63+BI63</f>
        <v>0</v>
      </c>
      <c r="BL63" s="422">
        <f>BB63+BE63+BG63+BJ63</f>
        <v>-0.01</v>
      </c>
      <c r="BM63" s="611">
        <f>SUM(BK63:BL63)</f>
        <v>-0.01</v>
      </c>
      <c r="BN63" s="428">
        <f>I63+AZ63</f>
        <v>5347145</v>
      </c>
      <c r="BO63" s="421">
        <f>J63+AH63</f>
        <v>3951802</v>
      </c>
      <c r="BP63" s="421">
        <f t="shared" ref="BP63:BQ65" si="174">K63+AF63</f>
        <v>3600805</v>
      </c>
      <c r="BQ63" s="421">
        <f t="shared" si="174"/>
        <v>350997</v>
      </c>
      <c r="BR63" s="421">
        <f>M63+AQ63</f>
        <v>1664</v>
      </c>
      <c r="BS63" s="421">
        <f t="shared" ref="BS63:BT65" si="175">N63+AO63</f>
        <v>0</v>
      </c>
      <c r="BT63" s="421">
        <f t="shared" si="175"/>
        <v>1664</v>
      </c>
      <c r="BU63" s="421">
        <f t="shared" ref="BU63:BV65" si="176">P63+AU63</f>
        <v>1336272</v>
      </c>
      <c r="BV63" s="421">
        <f t="shared" si="176"/>
        <v>39518</v>
      </c>
      <c r="BW63" s="421">
        <f>R63+AY63</f>
        <v>17889</v>
      </c>
      <c r="BX63" s="422">
        <f>S63+BM63</f>
        <v>7.1901000000000002</v>
      </c>
      <c r="BY63" s="422">
        <f t="shared" ref="BY63:BZ65" si="177">T63+BK63</f>
        <v>6</v>
      </c>
      <c r="BZ63" s="611">
        <f t="shared" si="177"/>
        <v>1.1900999999999999</v>
      </c>
      <c r="CA63" s="423"/>
      <c r="CB63" s="418"/>
      <c r="CC63" s="418"/>
      <c r="CD63" s="418"/>
      <c r="CE63" s="418"/>
      <c r="CF63" s="527"/>
    </row>
    <row r="64" spans="1:84" s="222" customFormat="1" x14ac:dyDescent="0.2">
      <c r="A64" s="224">
        <v>15</v>
      </c>
      <c r="B64" s="225">
        <v>3466</v>
      </c>
      <c r="C64" s="225">
        <v>691001260</v>
      </c>
      <c r="D64" s="225">
        <v>72048085</v>
      </c>
      <c r="E64" s="226" t="s">
        <v>38</v>
      </c>
      <c r="F64" s="225">
        <v>3111</v>
      </c>
      <c r="G64" s="226" t="s">
        <v>292</v>
      </c>
      <c r="H64" s="227" t="s">
        <v>272</v>
      </c>
      <c r="I64" s="423">
        <f t="shared" si="167"/>
        <v>0</v>
      </c>
      <c r="J64" s="418">
        <f>K64+L64</f>
        <v>0</v>
      </c>
      <c r="K64" s="418">
        <v>0</v>
      </c>
      <c r="L64" s="418">
        <v>0</v>
      </c>
      <c r="M64" s="418">
        <f>N64+O64</f>
        <v>0</v>
      </c>
      <c r="N64" s="418"/>
      <c r="O64" s="418"/>
      <c r="P64" s="68">
        <f t="shared" si="168"/>
        <v>0</v>
      </c>
      <c r="Q64" s="68">
        <f t="shared" si="169"/>
        <v>0</v>
      </c>
      <c r="R64" s="418">
        <v>0</v>
      </c>
      <c r="S64" s="419">
        <f>T64+U64</f>
        <v>0</v>
      </c>
      <c r="T64" s="420">
        <v>0</v>
      </c>
      <c r="U64" s="527">
        <v>0</v>
      </c>
      <c r="V64" s="427">
        <f t="shared" si="170"/>
        <v>0</v>
      </c>
      <c r="W64" s="421">
        <f t="shared" si="170"/>
        <v>0</v>
      </c>
      <c r="X64" s="421">
        <v>278101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>V64+X64+Y64+AA64+AB64+AD64</f>
        <v>278101</v>
      </c>
      <c r="AG64" s="421">
        <f>W64+Z64+AC64+AE64</f>
        <v>0</v>
      </c>
      <c r="AH64" s="421">
        <f>SUM(AF64:AG64)</f>
        <v>278101</v>
      </c>
      <c r="AI64" s="421">
        <v>0</v>
      </c>
      <c r="AJ64" s="421">
        <v>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71"/>
        <v>0</v>
      </c>
      <c r="AP64" s="421">
        <f>AJ64+AN64</f>
        <v>0</v>
      </c>
      <c r="AQ64" s="421">
        <f>SUM(AO64:AP64)</f>
        <v>0</v>
      </c>
      <c r="AR64" s="421">
        <f t="shared" si="172"/>
        <v>278101</v>
      </c>
      <c r="AS64" s="421">
        <f t="shared" si="172"/>
        <v>0</v>
      </c>
      <c r="AT64" s="421">
        <f>SUM(AR64:AS64)</f>
        <v>278101</v>
      </c>
      <c r="AU64" s="68">
        <f t="shared" si="173"/>
        <v>93998</v>
      </c>
      <c r="AV64" s="68">
        <f>ROUND(AH64*1%,0)</f>
        <v>2781</v>
      </c>
      <c r="AW64" s="421">
        <v>0</v>
      </c>
      <c r="AX64" s="421">
        <v>0</v>
      </c>
      <c r="AY64" s="421">
        <f>AW64+AX64</f>
        <v>0</v>
      </c>
      <c r="AZ64" s="421">
        <f>AT64+AU64+AV64+AY64</f>
        <v>374880</v>
      </c>
      <c r="BA64" s="422">
        <v>0</v>
      </c>
      <c r="BB64" s="422">
        <v>0</v>
      </c>
      <c r="BC64" s="422">
        <v>0.75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>BA64+BC64+BD64+BF64+BH64+BI64</f>
        <v>0.75</v>
      </c>
      <c r="BL64" s="422">
        <f>BB64+BE64+BG64+BJ64</f>
        <v>0</v>
      </c>
      <c r="BM64" s="611">
        <f>SUM(BK64:BL64)</f>
        <v>0.75</v>
      </c>
      <c r="BN64" s="428">
        <f>I64+AZ64</f>
        <v>374880</v>
      </c>
      <c r="BO64" s="421">
        <f>J64+AH64</f>
        <v>278101</v>
      </c>
      <c r="BP64" s="421">
        <f t="shared" si="174"/>
        <v>278101</v>
      </c>
      <c r="BQ64" s="421">
        <f t="shared" si="174"/>
        <v>0</v>
      </c>
      <c r="BR64" s="421">
        <f>M64+AQ64</f>
        <v>0</v>
      </c>
      <c r="BS64" s="421">
        <f t="shared" si="175"/>
        <v>0</v>
      </c>
      <c r="BT64" s="421">
        <f t="shared" si="175"/>
        <v>0</v>
      </c>
      <c r="BU64" s="421">
        <f t="shared" si="176"/>
        <v>93998</v>
      </c>
      <c r="BV64" s="421">
        <f t="shared" si="176"/>
        <v>2781</v>
      </c>
      <c r="BW64" s="421">
        <f>R64+AY64</f>
        <v>0</v>
      </c>
      <c r="BX64" s="422">
        <f>S64+BM64</f>
        <v>0.75</v>
      </c>
      <c r="BY64" s="422">
        <f t="shared" si="177"/>
        <v>0.75</v>
      </c>
      <c r="BZ64" s="611">
        <f t="shared" si="177"/>
        <v>0</v>
      </c>
      <c r="CA64" s="423"/>
      <c r="CB64" s="418"/>
      <c r="CC64" s="418"/>
      <c r="CD64" s="418"/>
      <c r="CE64" s="418"/>
      <c r="CF64" s="527"/>
    </row>
    <row r="65" spans="1:84" s="222" customFormat="1" ht="12.75" customHeight="1" x14ac:dyDescent="0.2">
      <c r="A65" s="224">
        <v>15</v>
      </c>
      <c r="B65" s="225">
        <v>3466</v>
      </c>
      <c r="C65" s="225">
        <v>691001260</v>
      </c>
      <c r="D65" s="225">
        <v>72048085</v>
      </c>
      <c r="E65" s="226" t="s">
        <v>38</v>
      </c>
      <c r="F65" s="225">
        <v>3141</v>
      </c>
      <c r="G65" s="226" t="s">
        <v>295</v>
      </c>
      <c r="H65" s="227" t="s">
        <v>272</v>
      </c>
      <c r="I65" s="423">
        <f t="shared" si="167"/>
        <v>565742</v>
      </c>
      <c r="J65" s="418">
        <f>K65+L65</f>
        <v>417950</v>
      </c>
      <c r="K65" s="418">
        <v>0</v>
      </c>
      <c r="L65" s="418">
        <v>417950</v>
      </c>
      <c r="M65" s="418">
        <f>N65+O65</f>
        <v>0</v>
      </c>
      <c r="N65" s="418"/>
      <c r="O65" s="418"/>
      <c r="P65" s="68">
        <f t="shared" si="168"/>
        <v>141267</v>
      </c>
      <c r="Q65" s="68">
        <f t="shared" si="169"/>
        <v>4180</v>
      </c>
      <c r="R65" s="418">
        <v>2345</v>
      </c>
      <c r="S65" s="419">
        <f>T65+U65</f>
        <v>1.25</v>
      </c>
      <c r="T65" s="420">
        <v>0</v>
      </c>
      <c r="U65" s="527">
        <v>1.25</v>
      </c>
      <c r="V65" s="427">
        <f t="shared" si="170"/>
        <v>0</v>
      </c>
      <c r="W65" s="421">
        <f t="shared" si="170"/>
        <v>0</v>
      </c>
      <c r="X65" s="421">
        <v>0</v>
      </c>
      <c r="Y65" s="421">
        <v>0</v>
      </c>
      <c r="Z65" s="421">
        <v>0</v>
      </c>
      <c r="AA65" s="421">
        <v>0</v>
      </c>
      <c r="AB65" s="421">
        <v>0</v>
      </c>
      <c r="AC65" s="421">
        <v>0</v>
      </c>
      <c r="AD65" s="421">
        <v>0</v>
      </c>
      <c r="AE65" s="421">
        <v>0</v>
      </c>
      <c r="AF65" s="421">
        <f>V65+X65+Y65+AA65+AB65+AD65</f>
        <v>0</v>
      </c>
      <c r="AG65" s="421">
        <f>W65+Z65+AC65+AE65</f>
        <v>0</v>
      </c>
      <c r="AH65" s="421">
        <f>SUM(AF65:AG65)</f>
        <v>0</v>
      </c>
      <c r="AI65" s="421">
        <v>0</v>
      </c>
      <c r="AJ65" s="421">
        <v>0</v>
      </c>
      <c r="AK65" s="421">
        <v>0</v>
      </c>
      <c r="AL65" s="421">
        <v>0</v>
      </c>
      <c r="AM65" s="421">
        <v>0</v>
      </c>
      <c r="AN65" s="421">
        <v>0</v>
      </c>
      <c r="AO65" s="421">
        <f t="shared" si="171"/>
        <v>0</v>
      </c>
      <c r="AP65" s="421">
        <f>AJ65+AN65</f>
        <v>0</v>
      </c>
      <c r="AQ65" s="421">
        <f>SUM(AO65:AP65)</f>
        <v>0</v>
      </c>
      <c r="AR65" s="421">
        <f t="shared" si="172"/>
        <v>0</v>
      </c>
      <c r="AS65" s="421">
        <f t="shared" si="172"/>
        <v>0</v>
      </c>
      <c r="AT65" s="421">
        <f>SUM(AR65:AS65)</f>
        <v>0</v>
      </c>
      <c r="AU65" s="68">
        <f t="shared" si="173"/>
        <v>0</v>
      </c>
      <c r="AV65" s="68">
        <f>ROUND(AH65*1%,0)</f>
        <v>0</v>
      </c>
      <c r="AW65" s="421">
        <v>0</v>
      </c>
      <c r="AX65" s="421">
        <v>0</v>
      </c>
      <c r="AY65" s="421">
        <f>AW65+AX65</f>
        <v>0</v>
      </c>
      <c r="AZ65" s="421">
        <f>AT65+AU65+AV65+AY65</f>
        <v>0</v>
      </c>
      <c r="BA65" s="422">
        <v>0</v>
      </c>
      <c r="BB65" s="422">
        <v>0</v>
      </c>
      <c r="BC65" s="422">
        <v>0</v>
      </c>
      <c r="BD65" s="422">
        <v>0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>BA65+BC65+BD65+BF65+BH65+BI65</f>
        <v>0</v>
      </c>
      <c r="BL65" s="422">
        <f>BB65+BE65+BG65+BJ65</f>
        <v>0</v>
      </c>
      <c r="BM65" s="611">
        <f>SUM(BK65:BL65)</f>
        <v>0</v>
      </c>
      <c r="BN65" s="428">
        <f>I65+AZ65</f>
        <v>565742</v>
      </c>
      <c r="BO65" s="421">
        <f>J65+AH65</f>
        <v>417950</v>
      </c>
      <c r="BP65" s="421">
        <f t="shared" si="174"/>
        <v>0</v>
      </c>
      <c r="BQ65" s="421">
        <f t="shared" si="174"/>
        <v>417950</v>
      </c>
      <c r="BR65" s="421">
        <f>M65+AQ65</f>
        <v>0</v>
      </c>
      <c r="BS65" s="421">
        <f t="shared" si="175"/>
        <v>0</v>
      </c>
      <c r="BT65" s="421">
        <f t="shared" si="175"/>
        <v>0</v>
      </c>
      <c r="BU65" s="421">
        <f t="shared" si="176"/>
        <v>141267</v>
      </c>
      <c r="BV65" s="421">
        <f t="shared" si="176"/>
        <v>4180</v>
      </c>
      <c r="BW65" s="421">
        <f>R65+AY65</f>
        <v>2345</v>
      </c>
      <c r="BX65" s="422">
        <f>S65+BM65</f>
        <v>1.25</v>
      </c>
      <c r="BY65" s="422">
        <f t="shared" si="177"/>
        <v>0</v>
      </c>
      <c r="BZ65" s="611">
        <f t="shared" si="177"/>
        <v>1.25</v>
      </c>
      <c r="CA65" s="423"/>
      <c r="CB65" s="418"/>
      <c r="CC65" s="418"/>
      <c r="CD65" s="418"/>
      <c r="CE65" s="418"/>
      <c r="CF65" s="527"/>
    </row>
    <row r="66" spans="1:84" s="222" customFormat="1" ht="12.75" customHeight="1" x14ac:dyDescent="0.2">
      <c r="A66" s="153">
        <v>15</v>
      </c>
      <c r="B66" s="14">
        <v>3466</v>
      </c>
      <c r="C66" s="152">
        <v>691001260</v>
      </c>
      <c r="D66" s="152">
        <v>72048085</v>
      </c>
      <c r="E66" s="223" t="s">
        <v>39</v>
      </c>
      <c r="F66" s="14"/>
      <c r="G66" s="223"/>
      <c r="H66" s="592"/>
      <c r="I66" s="522">
        <f t="shared" ref="I66:BU66" si="178">SUM(I63:I65)</f>
        <v>5912904</v>
      </c>
      <c r="J66" s="521">
        <f t="shared" si="178"/>
        <v>4371416</v>
      </c>
      <c r="K66" s="521">
        <f t="shared" si="178"/>
        <v>3600805</v>
      </c>
      <c r="L66" s="521">
        <f t="shared" si="178"/>
        <v>770611</v>
      </c>
      <c r="M66" s="521">
        <f t="shared" si="178"/>
        <v>0</v>
      </c>
      <c r="N66" s="521">
        <f t="shared" si="178"/>
        <v>0</v>
      </c>
      <c r="O66" s="521">
        <f t="shared" si="178"/>
        <v>0</v>
      </c>
      <c r="P66" s="521">
        <f t="shared" si="178"/>
        <v>1477539</v>
      </c>
      <c r="Q66" s="521">
        <f t="shared" si="178"/>
        <v>43715</v>
      </c>
      <c r="R66" s="521">
        <f t="shared" si="178"/>
        <v>20234</v>
      </c>
      <c r="S66" s="572">
        <f t="shared" si="178"/>
        <v>8.4500999999999991</v>
      </c>
      <c r="T66" s="572">
        <f t="shared" si="178"/>
        <v>6</v>
      </c>
      <c r="U66" s="448">
        <f t="shared" si="178"/>
        <v>2.4500999999999999</v>
      </c>
      <c r="V66" s="614">
        <f t="shared" si="178"/>
        <v>0</v>
      </c>
      <c r="W66" s="521">
        <f t="shared" si="178"/>
        <v>-1664</v>
      </c>
      <c r="X66" s="521">
        <f t="shared" si="178"/>
        <v>278101</v>
      </c>
      <c r="Y66" s="521">
        <f t="shared" si="178"/>
        <v>0</v>
      </c>
      <c r="Z66" s="521">
        <f t="shared" si="178"/>
        <v>0</v>
      </c>
      <c r="AA66" s="521">
        <f t="shared" si="178"/>
        <v>0</v>
      </c>
      <c r="AB66" s="521">
        <f t="shared" si="178"/>
        <v>0</v>
      </c>
      <c r="AC66" s="521">
        <f t="shared" si="178"/>
        <v>0</v>
      </c>
      <c r="AD66" s="521">
        <f t="shared" si="178"/>
        <v>0</v>
      </c>
      <c r="AE66" s="521">
        <f t="shared" si="178"/>
        <v>0</v>
      </c>
      <c r="AF66" s="521">
        <f t="shared" si="178"/>
        <v>278101</v>
      </c>
      <c r="AG66" s="521">
        <f t="shared" si="178"/>
        <v>-1664</v>
      </c>
      <c r="AH66" s="521">
        <f t="shared" si="178"/>
        <v>276437</v>
      </c>
      <c r="AI66" s="521">
        <f t="shared" si="178"/>
        <v>0</v>
      </c>
      <c r="AJ66" s="521">
        <f t="shared" si="178"/>
        <v>1664</v>
      </c>
      <c r="AK66" s="521">
        <f t="shared" ref="AK66" si="179">SUM(AK63:AK65)</f>
        <v>0</v>
      </c>
      <c r="AL66" s="521">
        <f t="shared" si="178"/>
        <v>0</v>
      </c>
      <c r="AM66" s="521">
        <f t="shared" si="178"/>
        <v>0</v>
      </c>
      <c r="AN66" s="521">
        <f t="shared" si="178"/>
        <v>0</v>
      </c>
      <c r="AO66" s="521">
        <f t="shared" si="178"/>
        <v>0</v>
      </c>
      <c r="AP66" s="521">
        <f t="shared" si="178"/>
        <v>1664</v>
      </c>
      <c r="AQ66" s="521">
        <f t="shared" si="178"/>
        <v>1664</v>
      </c>
      <c r="AR66" s="521">
        <f t="shared" si="178"/>
        <v>278101</v>
      </c>
      <c r="AS66" s="521">
        <f t="shared" si="178"/>
        <v>0</v>
      </c>
      <c r="AT66" s="521">
        <f t="shared" si="178"/>
        <v>278101</v>
      </c>
      <c r="AU66" s="521">
        <f t="shared" si="178"/>
        <v>93998</v>
      </c>
      <c r="AV66" s="521">
        <f t="shared" si="178"/>
        <v>2764</v>
      </c>
      <c r="AW66" s="521">
        <f t="shared" si="178"/>
        <v>0</v>
      </c>
      <c r="AX66" s="521">
        <f t="shared" si="178"/>
        <v>0</v>
      </c>
      <c r="AY66" s="521">
        <f t="shared" si="178"/>
        <v>0</v>
      </c>
      <c r="AZ66" s="521">
        <f t="shared" si="178"/>
        <v>374863</v>
      </c>
      <c r="BA66" s="572">
        <f t="shared" si="178"/>
        <v>0</v>
      </c>
      <c r="BB66" s="572">
        <f t="shared" si="178"/>
        <v>-0.01</v>
      </c>
      <c r="BC66" s="572">
        <f t="shared" si="178"/>
        <v>0.75</v>
      </c>
      <c r="BD66" s="572">
        <f t="shared" si="178"/>
        <v>0</v>
      </c>
      <c r="BE66" s="572">
        <f t="shared" si="178"/>
        <v>0</v>
      </c>
      <c r="BF66" s="572">
        <f t="shared" si="178"/>
        <v>0</v>
      </c>
      <c r="BG66" s="572">
        <f t="shared" si="178"/>
        <v>0</v>
      </c>
      <c r="BH66" s="572">
        <f t="shared" si="178"/>
        <v>0</v>
      </c>
      <c r="BI66" s="572">
        <f t="shared" si="178"/>
        <v>0</v>
      </c>
      <c r="BJ66" s="572">
        <f t="shared" si="178"/>
        <v>0</v>
      </c>
      <c r="BK66" s="572">
        <f t="shared" si="178"/>
        <v>0.75</v>
      </c>
      <c r="BL66" s="572">
        <f t="shared" si="178"/>
        <v>-0.01</v>
      </c>
      <c r="BM66" s="403">
        <f t="shared" si="178"/>
        <v>0.74</v>
      </c>
      <c r="BN66" s="522">
        <f t="shared" si="178"/>
        <v>6287767</v>
      </c>
      <c r="BO66" s="521">
        <f t="shared" si="178"/>
        <v>4647853</v>
      </c>
      <c r="BP66" s="521">
        <f t="shared" si="178"/>
        <v>3878906</v>
      </c>
      <c r="BQ66" s="521">
        <f t="shared" si="178"/>
        <v>768947</v>
      </c>
      <c r="BR66" s="521">
        <f t="shared" si="178"/>
        <v>1664</v>
      </c>
      <c r="BS66" s="521">
        <f t="shared" si="178"/>
        <v>0</v>
      </c>
      <c r="BT66" s="521">
        <f t="shared" si="178"/>
        <v>1664</v>
      </c>
      <c r="BU66" s="521">
        <f t="shared" si="178"/>
        <v>1571537</v>
      </c>
      <c r="BV66" s="521">
        <f t="shared" ref="BV66:CF66" si="180">SUM(BV63:BV65)</f>
        <v>46479</v>
      </c>
      <c r="BW66" s="521">
        <f t="shared" si="180"/>
        <v>20234</v>
      </c>
      <c r="BX66" s="572">
        <f t="shared" si="180"/>
        <v>9.190100000000001</v>
      </c>
      <c r="BY66" s="572">
        <f t="shared" si="180"/>
        <v>6.75</v>
      </c>
      <c r="BZ66" s="403">
        <f t="shared" si="180"/>
        <v>2.4401000000000002</v>
      </c>
      <c r="CA66" s="833">
        <f t="shared" si="180"/>
        <v>0</v>
      </c>
      <c r="CB66" s="834">
        <f t="shared" si="180"/>
        <v>0</v>
      </c>
      <c r="CC66" s="834">
        <f t="shared" si="180"/>
        <v>0</v>
      </c>
      <c r="CD66" s="834">
        <f t="shared" si="180"/>
        <v>0</v>
      </c>
      <c r="CE66" s="834">
        <f t="shared" si="180"/>
        <v>0</v>
      </c>
      <c r="CF66" s="829">
        <f t="shared" si="180"/>
        <v>0</v>
      </c>
    </row>
    <row r="67" spans="1:84" s="222" customFormat="1" ht="12.75" customHeight="1" x14ac:dyDescent="0.2">
      <c r="A67" s="224">
        <v>16</v>
      </c>
      <c r="B67" s="225">
        <v>3407</v>
      </c>
      <c r="C67" s="225">
        <v>667000089</v>
      </c>
      <c r="D67" s="225">
        <v>72743778</v>
      </c>
      <c r="E67" s="226" t="s">
        <v>40</v>
      </c>
      <c r="F67" s="225">
        <v>3111</v>
      </c>
      <c r="G67" s="226" t="s">
        <v>291</v>
      </c>
      <c r="H67" s="227" t="s">
        <v>271</v>
      </c>
      <c r="I67" s="423">
        <f t="shared" ref="I67:I69" si="181">J67+P67+Q67+R67</f>
        <v>12413557</v>
      </c>
      <c r="J67" s="418">
        <f>K67+L67</f>
        <v>9179753</v>
      </c>
      <c r="K67" s="418">
        <v>8321002</v>
      </c>
      <c r="L67" s="418">
        <v>858751</v>
      </c>
      <c r="M67" s="418">
        <f>N67+O67</f>
        <v>0</v>
      </c>
      <c r="N67" s="418"/>
      <c r="O67" s="418"/>
      <c r="P67" s="68">
        <f t="shared" ref="P67:P69" si="182">ROUND(J67*33.8%,0)</f>
        <v>3102757</v>
      </c>
      <c r="Q67" s="68">
        <f t="shared" ref="Q67:Q69" si="183">ROUND(J67*1%,0)</f>
        <v>91798</v>
      </c>
      <c r="R67" s="418">
        <v>39249</v>
      </c>
      <c r="S67" s="419">
        <f>T67+U67</f>
        <v>17.257200000000001</v>
      </c>
      <c r="T67" s="420">
        <v>14.2903</v>
      </c>
      <c r="U67" s="527">
        <v>2.9668999999999999</v>
      </c>
      <c r="V67" s="427">
        <f t="shared" ref="V67:W69" si="184">AI67*-1</f>
        <v>0</v>
      </c>
      <c r="W67" s="421">
        <f t="shared" si="184"/>
        <v>0</v>
      </c>
      <c r="X67" s="421">
        <v>0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>V67+X67+Y67+AA67+AB67+AD67</f>
        <v>0</v>
      </c>
      <c r="AG67" s="421">
        <f>W67+Z67+AC67+AE67</f>
        <v>0</v>
      </c>
      <c r="AH67" s="421">
        <f>SUM(AF67:AG67)</f>
        <v>0</v>
      </c>
      <c r="AI67" s="421">
        <v>0</v>
      </c>
      <c r="AJ67" s="421">
        <v>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ref="AO67:AO69" si="185">AI67+AK67+AL67+AM67</f>
        <v>0</v>
      </c>
      <c r="AP67" s="421">
        <f>AJ67+AN67</f>
        <v>0</v>
      </c>
      <c r="AQ67" s="421">
        <f>SUM(AO67:AP67)</f>
        <v>0</v>
      </c>
      <c r="AR67" s="421">
        <f t="shared" ref="AR67:AS69" si="186">AF67+AO67</f>
        <v>0</v>
      </c>
      <c r="AS67" s="421">
        <f t="shared" si="186"/>
        <v>0</v>
      </c>
      <c r="AT67" s="421">
        <f>SUM(AR67:AS67)</f>
        <v>0</v>
      </c>
      <c r="AU67" s="68">
        <f t="shared" ref="AU67:AU69" si="187">ROUND((AH67+AI67+AJ67+AK67+AL67)*33.8%,0)</f>
        <v>0</v>
      </c>
      <c r="AV67" s="68">
        <f>ROUND(AH67*1%,0)</f>
        <v>0</v>
      </c>
      <c r="AW67" s="421">
        <v>0</v>
      </c>
      <c r="AX67" s="421">
        <v>0</v>
      </c>
      <c r="AY67" s="421">
        <f>AW67+AX67</f>
        <v>0</v>
      </c>
      <c r="AZ67" s="421">
        <f>AT67+AU67+AV67+AY67</f>
        <v>0</v>
      </c>
      <c r="BA67" s="422">
        <v>0</v>
      </c>
      <c r="BB67" s="422">
        <v>0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>BA67+BC67+BD67+BF67+BH67+BI67</f>
        <v>0</v>
      </c>
      <c r="BL67" s="422">
        <f>BB67+BE67+BG67+BJ67</f>
        <v>0</v>
      </c>
      <c r="BM67" s="611">
        <f>SUM(BK67:BL67)</f>
        <v>0</v>
      </c>
      <c r="BN67" s="428">
        <f>I67+AZ67</f>
        <v>12413557</v>
      </c>
      <c r="BO67" s="421">
        <f>J67+AH67</f>
        <v>9179753</v>
      </c>
      <c r="BP67" s="421">
        <f t="shared" ref="BP67:BQ69" si="188">K67+AF67</f>
        <v>8321002</v>
      </c>
      <c r="BQ67" s="421">
        <f t="shared" si="188"/>
        <v>858751</v>
      </c>
      <c r="BR67" s="421">
        <f>M67+AQ67</f>
        <v>0</v>
      </c>
      <c r="BS67" s="421">
        <f t="shared" ref="BS67:BT69" si="189">N67+AO67</f>
        <v>0</v>
      </c>
      <c r="BT67" s="421">
        <f t="shared" si="189"/>
        <v>0</v>
      </c>
      <c r="BU67" s="421">
        <f t="shared" ref="BU67:BV69" si="190">P67+AU67</f>
        <v>3102757</v>
      </c>
      <c r="BV67" s="421">
        <f t="shared" si="190"/>
        <v>91798</v>
      </c>
      <c r="BW67" s="421">
        <f>R67+AY67</f>
        <v>39249</v>
      </c>
      <c r="BX67" s="422">
        <f>S67+BM67</f>
        <v>17.257200000000001</v>
      </c>
      <c r="BY67" s="422">
        <f t="shared" ref="BY67:BZ69" si="191">T67+BK67</f>
        <v>14.2903</v>
      </c>
      <c r="BZ67" s="611">
        <f t="shared" si="191"/>
        <v>2.9668999999999999</v>
      </c>
      <c r="CA67" s="423"/>
      <c r="CB67" s="418"/>
      <c r="CC67" s="418"/>
      <c r="CD67" s="418"/>
      <c r="CE67" s="418"/>
      <c r="CF67" s="527"/>
    </row>
    <row r="68" spans="1:84" s="222" customFormat="1" ht="12.75" customHeight="1" x14ac:dyDescent="0.2">
      <c r="A68" s="224">
        <v>16</v>
      </c>
      <c r="B68" s="225">
        <v>3407</v>
      </c>
      <c r="C68" s="225">
        <v>667000089</v>
      </c>
      <c r="D68" s="225">
        <v>72743778</v>
      </c>
      <c r="E68" s="226" t="s">
        <v>40</v>
      </c>
      <c r="F68" s="225">
        <v>3111</v>
      </c>
      <c r="G68" s="226" t="s">
        <v>292</v>
      </c>
      <c r="H68" s="227" t="s">
        <v>272</v>
      </c>
      <c r="I68" s="423">
        <f t="shared" si="181"/>
        <v>0</v>
      </c>
      <c r="J68" s="418">
        <f>K68+L68</f>
        <v>0</v>
      </c>
      <c r="K68" s="418">
        <v>0</v>
      </c>
      <c r="L68" s="418">
        <v>0</v>
      </c>
      <c r="M68" s="418">
        <f>N68+O68</f>
        <v>0</v>
      </c>
      <c r="N68" s="418"/>
      <c r="O68" s="418"/>
      <c r="P68" s="68">
        <f t="shared" si="182"/>
        <v>0</v>
      </c>
      <c r="Q68" s="68">
        <f t="shared" si="183"/>
        <v>0</v>
      </c>
      <c r="R68" s="418">
        <v>0</v>
      </c>
      <c r="S68" s="419">
        <f>T68+U68</f>
        <v>0</v>
      </c>
      <c r="T68" s="420">
        <v>0</v>
      </c>
      <c r="U68" s="527">
        <v>0</v>
      </c>
      <c r="V68" s="427">
        <f t="shared" si="184"/>
        <v>0</v>
      </c>
      <c r="W68" s="421">
        <f t="shared" si="184"/>
        <v>0</v>
      </c>
      <c r="X68" s="421">
        <f>278101+254926</f>
        <v>533027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>V68+X68+Y68+AA68+AB68+AD68</f>
        <v>533027</v>
      </c>
      <c r="AG68" s="421">
        <f>W68+Z68+AC68+AE68</f>
        <v>0</v>
      </c>
      <c r="AH68" s="421">
        <f>SUM(AF68:AG68)</f>
        <v>533027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85"/>
        <v>0</v>
      </c>
      <c r="AP68" s="421">
        <f>AJ68+AN68</f>
        <v>0</v>
      </c>
      <c r="AQ68" s="421">
        <f>SUM(AO68:AP68)</f>
        <v>0</v>
      </c>
      <c r="AR68" s="421">
        <f t="shared" si="186"/>
        <v>533027</v>
      </c>
      <c r="AS68" s="421">
        <f t="shared" si="186"/>
        <v>0</v>
      </c>
      <c r="AT68" s="421">
        <f>SUM(AR68:AS68)</f>
        <v>533027</v>
      </c>
      <c r="AU68" s="68">
        <f t="shared" si="187"/>
        <v>180163</v>
      </c>
      <c r="AV68" s="68">
        <f>ROUND(AH68*1%,0)</f>
        <v>5330</v>
      </c>
      <c r="AW68" s="421">
        <v>0</v>
      </c>
      <c r="AX68" s="421">
        <v>0</v>
      </c>
      <c r="AY68" s="421">
        <f>AW68+AX68</f>
        <v>0</v>
      </c>
      <c r="AZ68" s="421">
        <f>AT68+AU68+AV68+AY68</f>
        <v>718520</v>
      </c>
      <c r="BA68" s="422">
        <v>0</v>
      </c>
      <c r="BB68" s="422">
        <v>0</v>
      </c>
      <c r="BC68" s="422">
        <f>0.75+0.69</f>
        <v>1.44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>BA68+BC68+BD68+BF68+BH68+BI68</f>
        <v>1.44</v>
      </c>
      <c r="BL68" s="422">
        <f>BB68+BE68+BG68+BJ68</f>
        <v>0</v>
      </c>
      <c r="BM68" s="611">
        <f>SUM(BK68:BL68)</f>
        <v>1.44</v>
      </c>
      <c r="BN68" s="428">
        <f>I68+AZ68</f>
        <v>718520</v>
      </c>
      <c r="BO68" s="421">
        <f>J68+AH68</f>
        <v>533027</v>
      </c>
      <c r="BP68" s="421">
        <f t="shared" si="188"/>
        <v>533027</v>
      </c>
      <c r="BQ68" s="421">
        <f t="shared" si="188"/>
        <v>0</v>
      </c>
      <c r="BR68" s="421">
        <f>M68+AQ68</f>
        <v>0</v>
      </c>
      <c r="BS68" s="421">
        <f t="shared" si="189"/>
        <v>0</v>
      </c>
      <c r="BT68" s="421">
        <f t="shared" si="189"/>
        <v>0</v>
      </c>
      <c r="BU68" s="421">
        <f t="shared" si="190"/>
        <v>180163</v>
      </c>
      <c r="BV68" s="421">
        <f t="shared" si="190"/>
        <v>5330</v>
      </c>
      <c r="BW68" s="421">
        <f>R68+AY68</f>
        <v>0</v>
      </c>
      <c r="BX68" s="422">
        <f>S68+BM68</f>
        <v>1.44</v>
      </c>
      <c r="BY68" s="422">
        <f t="shared" si="191"/>
        <v>1.44</v>
      </c>
      <c r="BZ68" s="611">
        <f t="shared" si="191"/>
        <v>0</v>
      </c>
      <c r="CA68" s="423"/>
      <c r="CB68" s="418"/>
      <c r="CC68" s="418"/>
      <c r="CD68" s="418"/>
      <c r="CE68" s="418"/>
      <c r="CF68" s="527"/>
    </row>
    <row r="69" spans="1:84" s="222" customFormat="1" ht="12.75" customHeight="1" x14ac:dyDescent="0.2">
      <c r="A69" s="224">
        <v>16</v>
      </c>
      <c r="B69" s="225">
        <v>3407</v>
      </c>
      <c r="C69" s="225">
        <v>667000089</v>
      </c>
      <c r="D69" s="225">
        <v>72743778</v>
      </c>
      <c r="E69" s="226" t="s">
        <v>40</v>
      </c>
      <c r="F69" s="225">
        <v>3141</v>
      </c>
      <c r="G69" s="226" t="s">
        <v>295</v>
      </c>
      <c r="H69" s="227" t="s">
        <v>272</v>
      </c>
      <c r="I69" s="423">
        <f t="shared" si="181"/>
        <v>1203944</v>
      </c>
      <c r="J69" s="418">
        <f>K69+L69</f>
        <v>889291</v>
      </c>
      <c r="K69" s="418">
        <v>0</v>
      </c>
      <c r="L69" s="418">
        <v>889291</v>
      </c>
      <c r="M69" s="418">
        <f>N69+O69</f>
        <v>0</v>
      </c>
      <c r="N69" s="418"/>
      <c r="O69" s="418"/>
      <c r="P69" s="68">
        <f t="shared" si="182"/>
        <v>300580</v>
      </c>
      <c r="Q69" s="68">
        <f t="shared" si="183"/>
        <v>8893</v>
      </c>
      <c r="R69" s="418">
        <v>5180</v>
      </c>
      <c r="S69" s="419">
        <f>T69+U69</f>
        <v>2.67</v>
      </c>
      <c r="T69" s="420">
        <v>0</v>
      </c>
      <c r="U69" s="527">
        <v>2.67</v>
      </c>
      <c r="V69" s="427">
        <f t="shared" si="184"/>
        <v>0</v>
      </c>
      <c r="W69" s="421">
        <f t="shared" si="184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>V69+X69+Y69+AA69+AB69+AD69</f>
        <v>0</v>
      </c>
      <c r="AG69" s="421">
        <f>W69+Z69+AC69+AE69</f>
        <v>0</v>
      </c>
      <c r="AH69" s="421">
        <f>SUM(AF69:AG69)</f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85"/>
        <v>0</v>
      </c>
      <c r="AP69" s="421">
        <f>AJ69+AN69</f>
        <v>0</v>
      </c>
      <c r="AQ69" s="421">
        <f>SUM(AO69:AP69)</f>
        <v>0</v>
      </c>
      <c r="AR69" s="421">
        <f t="shared" si="186"/>
        <v>0</v>
      </c>
      <c r="AS69" s="421">
        <f t="shared" si="186"/>
        <v>0</v>
      </c>
      <c r="AT69" s="421">
        <f>SUM(AR69:AS69)</f>
        <v>0</v>
      </c>
      <c r="AU69" s="68">
        <f t="shared" si="187"/>
        <v>0</v>
      </c>
      <c r="AV69" s="68">
        <f>ROUND(AH69*1%,0)</f>
        <v>0</v>
      </c>
      <c r="AW69" s="421">
        <v>0</v>
      </c>
      <c r="AX69" s="421">
        <v>0</v>
      </c>
      <c r="AY69" s="421">
        <f>AW69+AX69</f>
        <v>0</v>
      </c>
      <c r="AZ69" s="421">
        <f>AT69+AU69+AV69+AY69</f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>BA69+BC69+BD69+BF69+BH69+BI69</f>
        <v>0</v>
      </c>
      <c r="BL69" s="422">
        <f>BB69+BE69+BG69+BJ69</f>
        <v>0</v>
      </c>
      <c r="BM69" s="611">
        <f>SUM(BK69:BL69)</f>
        <v>0</v>
      </c>
      <c r="BN69" s="428">
        <f>I69+AZ69</f>
        <v>1203944</v>
      </c>
      <c r="BO69" s="421">
        <f>J69+AH69</f>
        <v>889291</v>
      </c>
      <c r="BP69" s="421">
        <f t="shared" si="188"/>
        <v>0</v>
      </c>
      <c r="BQ69" s="421">
        <f t="shared" si="188"/>
        <v>889291</v>
      </c>
      <c r="BR69" s="421">
        <f>M69+AQ69</f>
        <v>0</v>
      </c>
      <c r="BS69" s="421">
        <f t="shared" si="189"/>
        <v>0</v>
      </c>
      <c r="BT69" s="421">
        <f t="shared" si="189"/>
        <v>0</v>
      </c>
      <c r="BU69" s="421">
        <f t="shared" si="190"/>
        <v>300580</v>
      </c>
      <c r="BV69" s="421">
        <f t="shared" si="190"/>
        <v>8893</v>
      </c>
      <c r="BW69" s="421">
        <f>R69+AY69</f>
        <v>5180</v>
      </c>
      <c r="BX69" s="422">
        <f>S69+BM69</f>
        <v>2.67</v>
      </c>
      <c r="BY69" s="422">
        <f t="shared" si="191"/>
        <v>0</v>
      </c>
      <c r="BZ69" s="611">
        <f t="shared" si="191"/>
        <v>2.67</v>
      </c>
      <c r="CA69" s="423"/>
      <c r="CB69" s="418"/>
      <c r="CC69" s="418"/>
      <c r="CD69" s="418"/>
      <c r="CE69" s="418"/>
      <c r="CF69" s="527"/>
    </row>
    <row r="70" spans="1:84" s="222" customFormat="1" ht="12.75" customHeight="1" x14ac:dyDescent="0.2">
      <c r="A70" s="153">
        <v>16</v>
      </c>
      <c r="B70" s="14">
        <v>3407</v>
      </c>
      <c r="C70" s="152">
        <v>667000089</v>
      </c>
      <c r="D70" s="152">
        <v>72743778</v>
      </c>
      <c r="E70" s="223" t="s">
        <v>41</v>
      </c>
      <c r="F70" s="14"/>
      <c r="G70" s="223"/>
      <c r="H70" s="592"/>
      <c r="I70" s="522">
        <f t="shared" ref="I70:BU70" si="192">SUM(I67:I69)</f>
        <v>13617501</v>
      </c>
      <c r="J70" s="521">
        <f t="shared" si="192"/>
        <v>10069044</v>
      </c>
      <c r="K70" s="521">
        <f t="shared" si="192"/>
        <v>8321002</v>
      </c>
      <c r="L70" s="521">
        <f t="shared" si="192"/>
        <v>1748042</v>
      </c>
      <c r="M70" s="521">
        <f t="shared" si="192"/>
        <v>0</v>
      </c>
      <c r="N70" s="521">
        <f t="shared" si="192"/>
        <v>0</v>
      </c>
      <c r="O70" s="521">
        <f t="shared" si="192"/>
        <v>0</v>
      </c>
      <c r="P70" s="521">
        <f t="shared" si="192"/>
        <v>3403337</v>
      </c>
      <c r="Q70" s="521">
        <f t="shared" si="192"/>
        <v>100691</v>
      </c>
      <c r="R70" s="521">
        <f t="shared" si="192"/>
        <v>44429</v>
      </c>
      <c r="S70" s="572">
        <f t="shared" si="192"/>
        <v>19.927199999999999</v>
      </c>
      <c r="T70" s="572">
        <f t="shared" si="192"/>
        <v>14.2903</v>
      </c>
      <c r="U70" s="448">
        <f t="shared" si="192"/>
        <v>5.6368999999999998</v>
      </c>
      <c r="V70" s="614">
        <f t="shared" si="192"/>
        <v>0</v>
      </c>
      <c r="W70" s="521">
        <f t="shared" si="192"/>
        <v>0</v>
      </c>
      <c r="X70" s="521">
        <f t="shared" si="192"/>
        <v>533027</v>
      </c>
      <c r="Y70" s="521">
        <f t="shared" si="192"/>
        <v>0</v>
      </c>
      <c r="Z70" s="521">
        <f t="shared" si="192"/>
        <v>0</v>
      </c>
      <c r="AA70" s="521">
        <f t="shared" si="192"/>
        <v>0</v>
      </c>
      <c r="AB70" s="521">
        <f t="shared" si="192"/>
        <v>0</v>
      </c>
      <c r="AC70" s="521">
        <f t="shared" si="192"/>
        <v>0</v>
      </c>
      <c r="AD70" s="521">
        <f t="shared" si="192"/>
        <v>0</v>
      </c>
      <c r="AE70" s="521">
        <f t="shared" si="192"/>
        <v>0</v>
      </c>
      <c r="AF70" s="521">
        <f t="shared" si="192"/>
        <v>533027</v>
      </c>
      <c r="AG70" s="521">
        <f t="shared" si="192"/>
        <v>0</v>
      </c>
      <c r="AH70" s="521">
        <f t="shared" si="192"/>
        <v>533027</v>
      </c>
      <c r="AI70" s="521">
        <f t="shared" si="192"/>
        <v>0</v>
      </c>
      <c r="AJ70" s="521">
        <f t="shared" si="192"/>
        <v>0</v>
      </c>
      <c r="AK70" s="521">
        <f t="shared" ref="AK70" si="193">SUM(AK67:AK69)</f>
        <v>0</v>
      </c>
      <c r="AL70" s="521">
        <f t="shared" si="192"/>
        <v>0</v>
      </c>
      <c r="AM70" s="521">
        <f t="shared" si="192"/>
        <v>0</v>
      </c>
      <c r="AN70" s="521">
        <f t="shared" si="192"/>
        <v>0</v>
      </c>
      <c r="AO70" s="521">
        <f t="shared" si="192"/>
        <v>0</v>
      </c>
      <c r="AP70" s="521">
        <f t="shared" si="192"/>
        <v>0</v>
      </c>
      <c r="AQ70" s="521">
        <f t="shared" si="192"/>
        <v>0</v>
      </c>
      <c r="AR70" s="521">
        <f t="shared" si="192"/>
        <v>533027</v>
      </c>
      <c r="AS70" s="521">
        <f t="shared" si="192"/>
        <v>0</v>
      </c>
      <c r="AT70" s="521">
        <f t="shared" si="192"/>
        <v>533027</v>
      </c>
      <c r="AU70" s="521">
        <f t="shared" si="192"/>
        <v>180163</v>
      </c>
      <c r="AV70" s="521">
        <f t="shared" si="192"/>
        <v>5330</v>
      </c>
      <c r="AW70" s="521">
        <f t="shared" si="192"/>
        <v>0</v>
      </c>
      <c r="AX70" s="521">
        <f t="shared" si="192"/>
        <v>0</v>
      </c>
      <c r="AY70" s="521">
        <f t="shared" si="192"/>
        <v>0</v>
      </c>
      <c r="AZ70" s="521">
        <f t="shared" si="192"/>
        <v>718520</v>
      </c>
      <c r="BA70" s="572">
        <f t="shared" si="192"/>
        <v>0</v>
      </c>
      <c r="BB70" s="572">
        <f t="shared" si="192"/>
        <v>0</v>
      </c>
      <c r="BC70" s="572">
        <f t="shared" si="192"/>
        <v>1.44</v>
      </c>
      <c r="BD70" s="572">
        <f t="shared" si="192"/>
        <v>0</v>
      </c>
      <c r="BE70" s="572">
        <f t="shared" si="192"/>
        <v>0</v>
      </c>
      <c r="BF70" s="572">
        <f t="shared" si="192"/>
        <v>0</v>
      </c>
      <c r="BG70" s="572">
        <f t="shared" si="192"/>
        <v>0</v>
      </c>
      <c r="BH70" s="572">
        <f t="shared" si="192"/>
        <v>0</v>
      </c>
      <c r="BI70" s="572">
        <f t="shared" si="192"/>
        <v>0</v>
      </c>
      <c r="BJ70" s="572">
        <f t="shared" si="192"/>
        <v>0</v>
      </c>
      <c r="BK70" s="572">
        <f t="shared" si="192"/>
        <v>1.44</v>
      </c>
      <c r="BL70" s="572">
        <f t="shared" si="192"/>
        <v>0</v>
      </c>
      <c r="BM70" s="403">
        <f t="shared" si="192"/>
        <v>1.44</v>
      </c>
      <c r="BN70" s="522">
        <f t="shared" si="192"/>
        <v>14336021</v>
      </c>
      <c r="BO70" s="521">
        <f t="shared" si="192"/>
        <v>10602071</v>
      </c>
      <c r="BP70" s="521">
        <f t="shared" si="192"/>
        <v>8854029</v>
      </c>
      <c r="BQ70" s="521">
        <f t="shared" si="192"/>
        <v>1748042</v>
      </c>
      <c r="BR70" s="521">
        <f t="shared" si="192"/>
        <v>0</v>
      </c>
      <c r="BS70" s="521">
        <f t="shared" si="192"/>
        <v>0</v>
      </c>
      <c r="BT70" s="521">
        <f t="shared" si="192"/>
        <v>0</v>
      </c>
      <c r="BU70" s="521">
        <f t="shared" si="192"/>
        <v>3583500</v>
      </c>
      <c r="BV70" s="521">
        <f t="shared" ref="BV70:CF70" si="194">SUM(BV67:BV69)</f>
        <v>106021</v>
      </c>
      <c r="BW70" s="521">
        <f t="shared" si="194"/>
        <v>44429</v>
      </c>
      <c r="BX70" s="572">
        <f t="shared" si="194"/>
        <v>21.367200000000004</v>
      </c>
      <c r="BY70" s="572">
        <f t="shared" si="194"/>
        <v>15.7303</v>
      </c>
      <c r="BZ70" s="403">
        <f t="shared" si="194"/>
        <v>5.6368999999999998</v>
      </c>
      <c r="CA70" s="833">
        <f t="shared" si="194"/>
        <v>0</v>
      </c>
      <c r="CB70" s="834">
        <f t="shared" si="194"/>
        <v>0</v>
      </c>
      <c r="CC70" s="834">
        <f t="shared" si="194"/>
        <v>0</v>
      </c>
      <c r="CD70" s="834">
        <f t="shared" si="194"/>
        <v>0</v>
      </c>
      <c r="CE70" s="834">
        <f t="shared" si="194"/>
        <v>0</v>
      </c>
      <c r="CF70" s="829">
        <f t="shared" si="194"/>
        <v>0</v>
      </c>
    </row>
    <row r="71" spans="1:84" s="222" customFormat="1" ht="12.75" customHeight="1" x14ac:dyDescent="0.2">
      <c r="A71" s="224">
        <v>17</v>
      </c>
      <c r="B71" s="225">
        <v>3463</v>
      </c>
      <c r="C71" s="225">
        <v>691001308</v>
      </c>
      <c r="D71" s="225">
        <v>72048166</v>
      </c>
      <c r="E71" s="226" t="s">
        <v>42</v>
      </c>
      <c r="F71" s="225">
        <v>3111</v>
      </c>
      <c r="G71" s="226" t="s">
        <v>291</v>
      </c>
      <c r="H71" s="227" t="s">
        <v>271</v>
      </c>
      <c r="I71" s="423">
        <f t="shared" ref="I71:I73" si="195">J71+P71+Q71+R71</f>
        <v>7351317</v>
      </c>
      <c r="J71" s="418">
        <f>K71+L71</f>
        <v>5433646</v>
      </c>
      <c r="K71" s="418">
        <v>4963444</v>
      </c>
      <c r="L71" s="418">
        <v>470202</v>
      </c>
      <c r="M71" s="418">
        <f>N71+O71</f>
        <v>0</v>
      </c>
      <c r="N71" s="418"/>
      <c r="O71" s="418"/>
      <c r="P71" s="68">
        <f t="shared" ref="P71:P73" si="196">ROUND(J71*33.8%,0)</f>
        <v>1836572</v>
      </c>
      <c r="Q71" s="68">
        <f t="shared" ref="Q71:Q73" si="197">ROUND(J71*1%,0)</f>
        <v>54336</v>
      </c>
      <c r="R71" s="418">
        <v>26763</v>
      </c>
      <c r="S71" s="419">
        <f>T71+U71</f>
        <v>10.051699999999999</v>
      </c>
      <c r="T71" s="420">
        <v>8.4515999999999991</v>
      </c>
      <c r="U71" s="527">
        <v>1.6000999999999999</v>
      </c>
      <c r="V71" s="427">
        <f t="shared" ref="V71:W73" si="198">AI71*-1</f>
        <v>-32000</v>
      </c>
      <c r="W71" s="421">
        <f t="shared" si="198"/>
        <v>-12800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>V71+X71+Y71+AA71+AB71+AD71</f>
        <v>-32000</v>
      </c>
      <c r="AG71" s="421">
        <f>W71+Z71+AC71+AE71</f>
        <v>-12800</v>
      </c>
      <c r="AH71" s="421">
        <f>SUM(AF71:AG71)</f>
        <v>-44800</v>
      </c>
      <c r="AI71" s="421">
        <v>32000</v>
      </c>
      <c r="AJ71" s="421">
        <v>12800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ref="AO71:AO73" si="199">AI71+AK71+AL71+AM71</f>
        <v>32000</v>
      </c>
      <c r="AP71" s="421">
        <f>AJ71+AN71</f>
        <v>12800</v>
      </c>
      <c r="AQ71" s="421">
        <f>SUM(AO71:AP71)</f>
        <v>44800</v>
      </c>
      <c r="AR71" s="421">
        <f t="shared" ref="AR71:AS73" si="200">AF71+AO71</f>
        <v>0</v>
      </c>
      <c r="AS71" s="421">
        <f t="shared" si="200"/>
        <v>0</v>
      </c>
      <c r="AT71" s="421">
        <f>SUM(AR71:AS71)</f>
        <v>0</v>
      </c>
      <c r="AU71" s="68">
        <f t="shared" ref="AU71:AU73" si="201">ROUND((AH71+AI71+AJ71+AK71+AL71)*33.8%,0)</f>
        <v>0</v>
      </c>
      <c r="AV71" s="68">
        <f>ROUND(AH71*1%,0)</f>
        <v>-448</v>
      </c>
      <c r="AW71" s="421">
        <v>0</v>
      </c>
      <c r="AX71" s="421">
        <v>0</v>
      </c>
      <c r="AY71" s="421">
        <f>AW71+AX71</f>
        <v>0</v>
      </c>
      <c r="AZ71" s="421">
        <f>AT71+AU71+AV71+AY71</f>
        <v>-448</v>
      </c>
      <c r="BA71" s="422">
        <v>0</v>
      </c>
      <c r="BB71" s="422">
        <v>-0.04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>BA71+BC71+BD71+BF71+BH71+BI71</f>
        <v>0</v>
      </c>
      <c r="BL71" s="422">
        <f>BB71+BE71+BG71+BJ71</f>
        <v>-0.04</v>
      </c>
      <c r="BM71" s="611">
        <f>SUM(BK71:BL71)</f>
        <v>-0.04</v>
      </c>
      <c r="BN71" s="428">
        <f>I71+AZ71</f>
        <v>7350869</v>
      </c>
      <c r="BO71" s="421">
        <f>J71+AH71</f>
        <v>5388846</v>
      </c>
      <c r="BP71" s="421">
        <f t="shared" ref="BP71:BQ73" si="202">K71+AF71</f>
        <v>4931444</v>
      </c>
      <c r="BQ71" s="421">
        <f t="shared" si="202"/>
        <v>457402</v>
      </c>
      <c r="BR71" s="421">
        <f>M71+AQ71</f>
        <v>44800</v>
      </c>
      <c r="BS71" s="421">
        <f t="shared" ref="BS71:BT73" si="203">N71+AO71</f>
        <v>32000</v>
      </c>
      <c r="BT71" s="421">
        <f t="shared" si="203"/>
        <v>12800</v>
      </c>
      <c r="BU71" s="421">
        <f t="shared" ref="BU71:BV73" si="204">P71+AU71</f>
        <v>1836572</v>
      </c>
      <c r="BV71" s="421">
        <f t="shared" si="204"/>
        <v>53888</v>
      </c>
      <c r="BW71" s="421">
        <f>R71+AY71</f>
        <v>26763</v>
      </c>
      <c r="BX71" s="422">
        <f>S71+BM71</f>
        <v>10.011699999999999</v>
      </c>
      <c r="BY71" s="422">
        <f t="shared" ref="BY71:BZ73" si="205">T71+BK71</f>
        <v>8.4515999999999991</v>
      </c>
      <c r="BZ71" s="611">
        <f t="shared" si="205"/>
        <v>1.5600999999999998</v>
      </c>
      <c r="CA71" s="423"/>
      <c r="CB71" s="418"/>
      <c r="CC71" s="418"/>
      <c r="CD71" s="418"/>
      <c r="CE71" s="418"/>
      <c r="CF71" s="527"/>
    </row>
    <row r="72" spans="1:84" s="222" customFormat="1" x14ac:dyDescent="0.2">
      <c r="A72" s="224">
        <v>17</v>
      </c>
      <c r="B72" s="225">
        <v>3463</v>
      </c>
      <c r="C72" s="225">
        <v>691001308</v>
      </c>
      <c r="D72" s="225">
        <v>72048166</v>
      </c>
      <c r="E72" s="226" t="s">
        <v>42</v>
      </c>
      <c r="F72" s="225">
        <v>3111</v>
      </c>
      <c r="G72" s="226" t="s">
        <v>292</v>
      </c>
      <c r="H72" s="227" t="s">
        <v>272</v>
      </c>
      <c r="I72" s="423">
        <f t="shared" si="195"/>
        <v>0</v>
      </c>
      <c r="J72" s="418">
        <f>K72+L72</f>
        <v>0</v>
      </c>
      <c r="K72" s="418">
        <v>0</v>
      </c>
      <c r="L72" s="418">
        <v>0</v>
      </c>
      <c r="M72" s="418">
        <f>N72+O72</f>
        <v>0</v>
      </c>
      <c r="N72" s="418"/>
      <c r="O72" s="418"/>
      <c r="P72" s="68">
        <f t="shared" si="196"/>
        <v>0</v>
      </c>
      <c r="Q72" s="68">
        <f t="shared" si="197"/>
        <v>0</v>
      </c>
      <c r="R72" s="418">
        <v>0</v>
      </c>
      <c r="S72" s="419">
        <f>T72+U72</f>
        <v>0</v>
      </c>
      <c r="T72" s="420">
        <v>0</v>
      </c>
      <c r="U72" s="527">
        <v>0</v>
      </c>
      <c r="V72" s="427">
        <f t="shared" si="198"/>
        <v>0</v>
      </c>
      <c r="W72" s="421">
        <f t="shared" si="198"/>
        <v>0</v>
      </c>
      <c r="X72" s="421">
        <v>1236185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>V72+X72+Y72+AA72+AB72+AD72</f>
        <v>1236185</v>
      </c>
      <c r="AG72" s="421">
        <f>W72+Z72+AC72+AE72</f>
        <v>0</v>
      </c>
      <c r="AH72" s="421">
        <f>SUM(AF72:AG72)</f>
        <v>1236185</v>
      </c>
      <c r="AI72" s="421">
        <v>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199"/>
        <v>0</v>
      </c>
      <c r="AP72" s="421">
        <f>AJ72+AN72</f>
        <v>0</v>
      </c>
      <c r="AQ72" s="421">
        <f>SUM(AO72:AP72)</f>
        <v>0</v>
      </c>
      <c r="AR72" s="421">
        <f t="shared" si="200"/>
        <v>1236185</v>
      </c>
      <c r="AS72" s="421">
        <f t="shared" si="200"/>
        <v>0</v>
      </c>
      <c r="AT72" s="421">
        <f>SUM(AR72:AS72)</f>
        <v>1236185</v>
      </c>
      <c r="AU72" s="68">
        <f t="shared" si="201"/>
        <v>417831</v>
      </c>
      <c r="AV72" s="68">
        <f>ROUND(AH72*1%,0)</f>
        <v>12362</v>
      </c>
      <c r="AW72" s="421">
        <v>0</v>
      </c>
      <c r="AX72" s="421">
        <v>0</v>
      </c>
      <c r="AY72" s="421">
        <f>AW72+AX72</f>
        <v>0</v>
      </c>
      <c r="AZ72" s="421">
        <f>AT72+AU72+AV72+AY72</f>
        <v>1666378</v>
      </c>
      <c r="BA72" s="422">
        <v>0</v>
      </c>
      <c r="BB72" s="422">
        <v>0</v>
      </c>
      <c r="BC72" s="422">
        <v>3.25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>BA72+BC72+BD72+BF72+BH72+BI72</f>
        <v>3.25</v>
      </c>
      <c r="BL72" s="422">
        <f>BB72+BE72+BG72+BJ72</f>
        <v>0</v>
      </c>
      <c r="BM72" s="611">
        <f>SUM(BK72:BL72)</f>
        <v>3.25</v>
      </c>
      <c r="BN72" s="428">
        <f>I72+AZ72</f>
        <v>1666378</v>
      </c>
      <c r="BO72" s="421">
        <f>J72+AH72</f>
        <v>1236185</v>
      </c>
      <c r="BP72" s="421">
        <f t="shared" si="202"/>
        <v>1236185</v>
      </c>
      <c r="BQ72" s="421">
        <f t="shared" si="202"/>
        <v>0</v>
      </c>
      <c r="BR72" s="421">
        <f>M72+AQ72</f>
        <v>0</v>
      </c>
      <c r="BS72" s="421">
        <f t="shared" si="203"/>
        <v>0</v>
      </c>
      <c r="BT72" s="421">
        <f t="shared" si="203"/>
        <v>0</v>
      </c>
      <c r="BU72" s="421">
        <f t="shared" si="204"/>
        <v>417831</v>
      </c>
      <c r="BV72" s="421">
        <f t="shared" si="204"/>
        <v>12362</v>
      </c>
      <c r="BW72" s="421">
        <f>R72+AY72</f>
        <v>0</v>
      </c>
      <c r="BX72" s="422">
        <f>S72+BM72</f>
        <v>3.25</v>
      </c>
      <c r="BY72" s="422">
        <f t="shared" si="205"/>
        <v>3.25</v>
      </c>
      <c r="BZ72" s="611">
        <f t="shared" si="205"/>
        <v>0</v>
      </c>
      <c r="CA72" s="423"/>
      <c r="CB72" s="418"/>
      <c r="CC72" s="418"/>
      <c r="CD72" s="418"/>
      <c r="CE72" s="418"/>
      <c r="CF72" s="527"/>
    </row>
    <row r="73" spans="1:84" s="222" customFormat="1" ht="12.75" customHeight="1" x14ac:dyDescent="0.2">
      <c r="A73" s="224">
        <v>17</v>
      </c>
      <c r="B73" s="225">
        <v>3463</v>
      </c>
      <c r="C73" s="225">
        <v>691001308</v>
      </c>
      <c r="D73" s="225">
        <v>72048166</v>
      </c>
      <c r="E73" s="226" t="s">
        <v>42</v>
      </c>
      <c r="F73" s="225">
        <v>3141</v>
      </c>
      <c r="G73" s="226" t="s">
        <v>295</v>
      </c>
      <c r="H73" s="227" t="s">
        <v>272</v>
      </c>
      <c r="I73" s="423">
        <f t="shared" si="195"/>
        <v>692416</v>
      </c>
      <c r="J73" s="418">
        <f>K73+L73</f>
        <v>511325</v>
      </c>
      <c r="K73" s="418">
        <v>0</v>
      </c>
      <c r="L73" s="418">
        <v>511325</v>
      </c>
      <c r="M73" s="418">
        <f>N73+O73</f>
        <v>0</v>
      </c>
      <c r="N73" s="418"/>
      <c r="O73" s="418"/>
      <c r="P73" s="68">
        <f t="shared" si="196"/>
        <v>172828</v>
      </c>
      <c r="Q73" s="68">
        <f t="shared" si="197"/>
        <v>5113</v>
      </c>
      <c r="R73" s="418">
        <v>3150</v>
      </c>
      <c r="S73" s="419">
        <f>T73+U73</f>
        <v>1.53</v>
      </c>
      <c r="T73" s="420">
        <v>0</v>
      </c>
      <c r="U73" s="527">
        <v>1.53</v>
      </c>
      <c r="V73" s="427">
        <f t="shared" si="198"/>
        <v>0</v>
      </c>
      <c r="W73" s="421">
        <f t="shared" si="198"/>
        <v>-3200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>V73+X73+Y73+AA73+AB73+AD73</f>
        <v>0</v>
      </c>
      <c r="AG73" s="421">
        <f>W73+Z73+AC73+AE73</f>
        <v>-3200</v>
      </c>
      <c r="AH73" s="421">
        <f>SUM(AF73:AG73)</f>
        <v>-3200</v>
      </c>
      <c r="AI73" s="421">
        <v>0</v>
      </c>
      <c r="AJ73" s="421">
        <v>3200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si="199"/>
        <v>0</v>
      </c>
      <c r="AP73" s="421">
        <f>AJ73+AN73</f>
        <v>3200</v>
      </c>
      <c r="AQ73" s="421">
        <f>SUM(AO73:AP73)</f>
        <v>3200</v>
      </c>
      <c r="AR73" s="421">
        <f t="shared" si="200"/>
        <v>0</v>
      </c>
      <c r="AS73" s="421">
        <f t="shared" si="200"/>
        <v>0</v>
      </c>
      <c r="AT73" s="421">
        <f>SUM(AR73:AS73)</f>
        <v>0</v>
      </c>
      <c r="AU73" s="68">
        <f t="shared" si="201"/>
        <v>0</v>
      </c>
      <c r="AV73" s="68">
        <f>ROUND(AH73*1%,0)</f>
        <v>-32</v>
      </c>
      <c r="AW73" s="421">
        <v>0</v>
      </c>
      <c r="AX73" s="421">
        <v>0</v>
      </c>
      <c r="AY73" s="421">
        <f>AW73+AX73</f>
        <v>0</v>
      </c>
      <c r="AZ73" s="421">
        <f>AT73+AU73+AV73+AY73</f>
        <v>-32</v>
      </c>
      <c r="BA73" s="422">
        <v>0</v>
      </c>
      <c r="BB73" s="422">
        <v>0</v>
      </c>
      <c r="BC73" s="422">
        <v>0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>BA73+BC73+BD73+BF73+BH73+BI73</f>
        <v>0</v>
      </c>
      <c r="BL73" s="422">
        <f>BB73+BE73+BG73+BJ73</f>
        <v>0</v>
      </c>
      <c r="BM73" s="611">
        <f>SUM(BK73:BL73)</f>
        <v>0</v>
      </c>
      <c r="BN73" s="428">
        <f>I73+AZ73</f>
        <v>692384</v>
      </c>
      <c r="BO73" s="421">
        <f>J73+AH73</f>
        <v>508125</v>
      </c>
      <c r="BP73" s="421">
        <f t="shared" si="202"/>
        <v>0</v>
      </c>
      <c r="BQ73" s="421">
        <f t="shared" si="202"/>
        <v>508125</v>
      </c>
      <c r="BR73" s="421">
        <f>M73+AQ73</f>
        <v>3200</v>
      </c>
      <c r="BS73" s="421">
        <f t="shared" si="203"/>
        <v>0</v>
      </c>
      <c r="BT73" s="421">
        <f t="shared" si="203"/>
        <v>3200</v>
      </c>
      <c r="BU73" s="421">
        <f t="shared" si="204"/>
        <v>172828</v>
      </c>
      <c r="BV73" s="421">
        <f t="shared" si="204"/>
        <v>5081</v>
      </c>
      <c r="BW73" s="421">
        <f>R73+AY73</f>
        <v>3150</v>
      </c>
      <c r="BX73" s="422">
        <f>S73+BM73</f>
        <v>1.53</v>
      </c>
      <c r="BY73" s="422">
        <f t="shared" si="205"/>
        <v>0</v>
      </c>
      <c r="BZ73" s="611">
        <f t="shared" si="205"/>
        <v>1.53</v>
      </c>
      <c r="CA73" s="423"/>
      <c r="CB73" s="418"/>
      <c r="CC73" s="418"/>
      <c r="CD73" s="418"/>
      <c r="CE73" s="418"/>
      <c r="CF73" s="527"/>
    </row>
    <row r="74" spans="1:84" s="222" customFormat="1" ht="12.75" customHeight="1" x14ac:dyDescent="0.2">
      <c r="A74" s="153">
        <v>17</v>
      </c>
      <c r="B74" s="14">
        <v>3463</v>
      </c>
      <c r="C74" s="152">
        <v>691001308</v>
      </c>
      <c r="D74" s="152">
        <v>72048166</v>
      </c>
      <c r="E74" s="223" t="s">
        <v>43</v>
      </c>
      <c r="F74" s="14"/>
      <c r="G74" s="223"/>
      <c r="H74" s="592"/>
      <c r="I74" s="522">
        <f t="shared" ref="I74:BU74" si="206">SUM(I71:I73)</f>
        <v>8043733</v>
      </c>
      <c r="J74" s="521">
        <f t="shared" si="206"/>
        <v>5944971</v>
      </c>
      <c r="K74" s="521">
        <f t="shared" si="206"/>
        <v>4963444</v>
      </c>
      <c r="L74" s="521">
        <f t="shared" si="206"/>
        <v>981527</v>
      </c>
      <c r="M74" s="521">
        <f t="shared" si="206"/>
        <v>0</v>
      </c>
      <c r="N74" s="521">
        <f t="shared" si="206"/>
        <v>0</v>
      </c>
      <c r="O74" s="521">
        <f t="shared" si="206"/>
        <v>0</v>
      </c>
      <c r="P74" s="521">
        <f t="shared" si="206"/>
        <v>2009400</v>
      </c>
      <c r="Q74" s="521">
        <f t="shared" si="206"/>
        <v>59449</v>
      </c>
      <c r="R74" s="521">
        <f t="shared" si="206"/>
        <v>29913</v>
      </c>
      <c r="S74" s="572">
        <f t="shared" si="206"/>
        <v>11.581699999999998</v>
      </c>
      <c r="T74" s="572">
        <f t="shared" si="206"/>
        <v>8.4515999999999991</v>
      </c>
      <c r="U74" s="448">
        <f t="shared" si="206"/>
        <v>3.1300999999999997</v>
      </c>
      <c r="V74" s="614">
        <f t="shared" si="206"/>
        <v>-32000</v>
      </c>
      <c r="W74" s="521">
        <f t="shared" si="206"/>
        <v>-16000</v>
      </c>
      <c r="X74" s="521">
        <f t="shared" si="206"/>
        <v>1236185</v>
      </c>
      <c r="Y74" s="521">
        <f t="shared" si="206"/>
        <v>0</v>
      </c>
      <c r="Z74" s="521">
        <f t="shared" si="206"/>
        <v>0</v>
      </c>
      <c r="AA74" s="521">
        <f t="shared" si="206"/>
        <v>0</v>
      </c>
      <c r="AB74" s="521">
        <f t="shared" si="206"/>
        <v>0</v>
      </c>
      <c r="AC74" s="521">
        <f t="shared" si="206"/>
        <v>0</v>
      </c>
      <c r="AD74" s="521">
        <f t="shared" si="206"/>
        <v>0</v>
      </c>
      <c r="AE74" s="521">
        <f t="shared" si="206"/>
        <v>0</v>
      </c>
      <c r="AF74" s="521">
        <f t="shared" si="206"/>
        <v>1204185</v>
      </c>
      <c r="AG74" s="521">
        <f t="shared" si="206"/>
        <v>-16000</v>
      </c>
      <c r="AH74" s="521">
        <f t="shared" si="206"/>
        <v>1188185</v>
      </c>
      <c r="AI74" s="521">
        <f t="shared" si="206"/>
        <v>32000</v>
      </c>
      <c r="AJ74" s="521">
        <f t="shared" si="206"/>
        <v>16000</v>
      </c>
      <c r="AK74" s="521">
        <f t="shared" ref="AK74" si="207">SUM(AK71:AK73)</f>
        <v>0</v>
      </c>
      <c r="AL74" s="521">
        <f t="shared" si="206"/>
        <v>0</v>
      </c>
      <c r="AM74" s="521">
        <f t="shared" si="206"/>
        <v>0</v>
      </c>
      <c r="AN74" s="521">
        <f t="shared" si="206"/>
        <v>0</v>
      </c>
      <c r="AO74" s="521">
        <f t="shared" si="206"/>
        <v>32000</v>
      </c>
      <c r="AP74" s="521">
        <f t="shared" si="206"/>
        <v>16000</v>
      </c>
      <c r="AQ74" s="521">
        <f t="shared" si="206"/>
        <v>48000</v>
      </c>
      <c r="AR74" s="521">
        <f t="shared" si="206"/>
        <v>1236185</v>
      </c>
      <c r="AS74" s="521">
        <f t="shared" si="206"/>
        <v>0</v>
      </c>
      <c r="AT74" s="521">
        <f t="shared" si="206"/>
        <v>1236185</v>
      </c>
      <c r="AU74" s="521">
        <f t="shared" si="206"/>
        <v>417831</v>
      </c>
      <c r="AV74" s="521">
        <f t="shared" si="206"/>
        <v>11882</v>
      </c>
      <c r="AW74" s="521">
        <f t="shared" si="206"/>
        <v>0</v>
      </c>
      <c r="AX74" s="521">
        <f t="shared" si="206"/>
        <v>0</v>
      </c>
      <c r="AY74" s="521">
        <f t="shared" si="206"/>
        <v>0</v>
      </c>
      <c r="AZ74" s="521">
        <f t="shared" si="206"/>
        <v>1665898</v>
      </c>
      <c r="BA74" s="572">
        <f t="shared" si="206"/>
        <v>0</v>
      </c>
      <c r="BB74" s="572">
        <f t="shared" si="206"/>
        <v>-0.04</v>
      </c>
      <c r="BC74" s="572">
        <f t="shared" si="206"/>
        <v>3.25</v>
      </c>
      <c r="BD74" s="572">
        <f t="shared" si="206"/>
        <v>0</v>
      </c>
      <c r="BE74" s="572">
        <f t="shared" si="206"/>
        <v>0</v>
      </c>
      <c r="BF74" s="572">
        <f t="shared" si="206"/>
        <v>0</v>
      </c>
      <c r="BG74" s="572">
        <f t="shared" si="206"/>
        <v>0</v>
      </c>
      <c r="BH74" s="572">
        <f t="shared" si="206"/>
        <v>0</v>
      </c>
      <c r="BI74" s="572">
        <f t="shared" si="206"/>
        <v>0</v>
      </c>
      <c r="BJ74" s="572">
        <f t="shared" si="206"/>
        <v>0</v>
      </c>
      <c r="BK74" s="572">
        <f t="shared" si="206"/>
        <v>3.25</v>
      </c>
      <c r="BL74" s="572">
        <f t="shared" si="206"/>
        <v>-0.04</v>
      </c>
      <c r="BM74" s="403">
        <f t="shared" si="206"/>
        <v>3.21</v>
      </c>
      <c r="BN74" s="522">
        <f t="shared" si="206"/>
        <v>9709631</v>
      </c>
      <c r="BO74" s="521">
        <f t="shared" si="206"/>
        <v>7133156</v>
      </c>
      <c r="BP74" s="521">
        <f t="shared" si="206"/>
        <v>6167629</v>
      </c>
      <c r="BQ74" s="521">
        <f t="shared" si="206"/>
        <v>965527</v>
      </c>
      <c r="BR74" s="521">
        <f t="shared" si="206"/>
        <v>48000</v>
      </c>
      <c r="BS74" s="521">
        <f t="shared" si="206"/>
        <v>32000</v>
      </c>
      <c r="BT74" s="521">
        <f t="shared" si="206"/>
        <v>16000</v>
      </c>
      <c r="BU74" s="521">
        <f t="shared" si="206"/>
        <v>2427231</v>
      </c>
      <c r="BV74" s="521">
        <f t="shared" ref="BV74:CF74" si="208">SUM(BV71:BV73)</f>
        <v>71331</v>
      </c>
      <c r="BW74" s="521">
        <f t="shared" si="208"/>
        <v>29913</v>
      </c>
      <c r="BX74" s="572">
        <f t="shared" si="208"/>
        <v>14.791699999999999</v>
      </c>
      <c r="BY74" s="572">
        <f t="shared" si="208"/>
        <v>11.701599999999999</v>
      </c>
      <c r="BZ74" s="403">
        <f t="shared" si="208"/>
        <v>3.0900999999999996</v>
      </c>
      <c r="CA74" s="833">
        <f t="shared" si="208"/>
        <v>0</v>
      </c>
      <c r="CB74" s="834">
        <f t="shared" si="208"/>
        <v>0</v>
      </c>
      <c r="CC74" s="834">
        <f t="shared" si="208"/>
        <v>0</v>
      </c>
      <c r="CD74" s="834">
        <f t="shared" si="208"/>
        <v>0</v>
      </c>
      <c r="CE74" s="834">
        <f t="shared" si="208"/>
        <v>0</v>
      </c>
      <c r="CF74" s="829">
        <f t="shared" si="208"/>
        <v>0</v>
      </c>
    </row>
    <row r="75" spans="1:84" s="222" customFormat="1" ht="12.75" customHeight="1" x14ac:dyDescent="0.2">
      <c r="A75" s="224">
        <v>18</v>
      </c>
      <c r="B75" s="225">
        <v>3460</v>
      </c>
      <c r="C75" s="225">
        <v>691000387</v>
      </c>
      <c r="D75" s="225">
        <v>86797034</v>
      </c>
      <c r="E75" s="226" t="s">
        <v>44</v>
      </c>
      <c r="F75" s="225">
        <v>3111</v>
      </c>
      <c r="G75" s="226" t="s">
        <v>291</v>
      </c>
      <c r="H75" s="227" t="s">
        <v>271</v>
      </c>
      <c r="I75" s="423">
        <f t="shared" ref="I75:I77" si="209">J75+P75+Q75+R75</f>
        <v>6723587</v>
      </c>
      <c r="J75" s="418">
        <f>K75+L75</f>
        <v>4968320</v>
      </c>
      <c r="K75" s="418">
        <v>4524774</v>
      </c>
      <c r="L75" s="418">
        <v>443546</v>
      </c>
      <c r="M75" s="418">
        <f>N75+O75</f>
        <v>0</v>
      </c>
      <c r="N75" s="418"/>
      <c r="O75" s="418"/>
      <c r="P75" s="68">
        <f t="shared" ref="P75:P77" si="210">ROUND(J75*33.8%,0)</f>
        <v>1679292</v>
      </c>
      <c r="Q75" s="68">
        <f t="shared" ref="Q75:Q77" si="211">ROUND(J75*1%,0)</f>
        <v>49683</v>
      </c>
      <c r="R75" s="418">
        <v>26292</v>
      </c>
      <c r="S75" s="419">
        <f>T75+U75</f>
        <v>9.5900999999999996</v>
      </c>
      <c r="T75" s="420">
        <v>8.0968</v>
      </c>
      <c r="U75" s="527">
        <v>1.4933000000000001</v>
      </c>
      <c r="V75" s="427">
        <f t="shared" ref="V75:W77" si="212">AI75*-1</f>
        <v>0</v>
      </c>
      <c r="W75" s="421">
        <f t="shared" si="212"/>
        <v>0</v>
      </c>
      <c r="X75" s="421">
        <v>0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>V75+X75+Y75+AA75+AB75+AD75</f>
        <v>0</v>
      </c>
      <c r="AG75" s="421">
        <f>W75+Z75+AC75+AE75</f>
        <v>0</v>
      </c>
      <c r="AH75" s="421">
        <f>SUM(AF75:AG75)</f>
        <v>0</v>
      </c>
      <c r="AI75" s="421">
        <v>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ref="AO75:AO77" si="213">AI75+AK75+AL75+AM75</f>
        <v>0</v>
      </c>
      <c r="AP75" s="421">
        <f>AJ75+AN75</f>
        <v>0</v>
      </c>
      <c r="AQ75" s="421">
        <f>SUM(AO75:AP75)</f>
        <v>0</v>
      </c>
      <c r="AR75" s="421">
        <f t="shared" ref="AR75:AS77" si="214">AF75+AO75</f>
        <v>0</v>
      </c>
      <c r="AS75" s="421">
        <f t="shared" si="214"/>
        <v>0</v>
      </c>
      <c r="AT75" s="421">
        <f>SUM(AR75:AS75)</f>
        <v>0</v>
      </c>
      <c r="AU75" s="68">
        <f t="shared" ref="AU75:AU77" si="215">ROUND((AH75+AI75+AJ75+AK75+AL75)*33.8%,0)</f>
        <v>0</v>
      </c>
      <c r="AV75" s="68">
        <f>ROUND(AH75*1%,0)</f>
        <v>0</v>
      </c>
      <c r="AW75" s="421">
        <v>0</v>
      </c>
      <c r="AX75" s="421">
        <v>0</v>
      </c>
      <c r="AY75" s="421">
        <f>AW75+AX75</f>
        <v>0</v>
      </c>
      <c r="AZ75" s="421">
        <f>AT75+AU75+AV75+AY75</f>
        <v>0</v>
      </c>
      <c r="BA75" s="422">
        <v>0</v>
      </c>
      <c r="BB75" s="422">
        <v>0</v>
      </c>
      <c r="BC75" s="422">
        <v>0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>BA75+BC75+BD75+BF75+BH75+BI75</f>
        <v>0</v>
      </c>
      <c r="BL75" s="422">
        <f>BB75+BE75+BG75+BJ75</f>
        <v>0</v>
      </c>
      <c r="BM75" s="611">
        <f>SUM(BK75:BL75)</f>
        <v>0</v>
      </c>
      <c r="BN75" s="428">
        <f>I75+AZ75</f>
        <v>6723587</v>
      </c>
      <c r="BO75" s="421">
        <f>J75+AH75</f>
        <v>4968320</v>
      </c>
      <c r="BP75" s="421">
        <f t="shared" ref="BP75:BQ77" si="216">K75+AF75</f>
        <v>4524774</v>
      </c>
      <c r="BQ75" s="421">
        <f t="shared" si="216"/>
        <v>443546</v>
      </c>
      <c r="BR75" s="421">
        <f>M75+AQ75</f>
        <v>0</v>
      </c>
      <c r="BS75" s="421">
        <f t="shared" ref="BS75:BT77" si="217">N75+AO75</f>
        <v>0</v>
      </c>
      <c r="BT75" s="421">
        <f t="shared" si="217"/>
        <v>0</v>
      </c>
      <c r="BU75" s="421">
        <f t="shared" ref="BU75:BV77" si="218">P75+AU75</f>
        <v>1679292</v>
      </c>
      <c r="BV75" s="421">
        <f t="shared" si="218"/>
        <v>49683</v>
      </c>
      <c r="BW75" s="421">
        <f>R75+AY75</f>
        <v>26292</v>
      </c>
      <c r="BX75" s="422">
        <f>S75+BM75</f>
        <v>9.5900999999999996</v>
      </c>
      <c r="BY75" s="422">
        <f t="shared" ref="BY75:BZ77" si="219">T75+BK75</f>
        <v>8.0968</v>
      </c>
      <c r="BZ75" s="611">
        <f t="shared" si="219"/>
        <v>1.4933000000000001</v>
      </c>
      <c r="CA75" s="423"/>
      <c r="CB75" s="418"/>
      <c r="CC75" s="418"/>
      <c r="CD75" s="418"/>
      <c r="CE75" s="418"/>
      <c r="CF75" s="527"/>
    </row>
    <row r="76" spans="1:84" s="222" customFormat="1" ht="12.75" customHeight="1" x14ac:dyDescent="0.2">
      <c r="A76" s="224">
        <v>18</v>
      </c>
      <c r="B76" s="225">
        <v>3460</v>
      </c>
      <c r="C76" s="225">
        <v>691000387</v>
      </c>
      <c r="D76" s="225">
        <v>86797034</v>
      </c>
      <c r="E76" s="226" t="s">
        <v>44</v>
      </c>
      <c r="F76" s="225">
        <v>3111</v>
      </c>
      <c r="G76" s="226" t="s">
        <v>292</v>
      </c>
      <c r="H76" s="227" t="s">
        <v>272</v>
      </c>
      <c r="I76" s="423">
        <f t="shared" si="209"/>
        <v>0</v>
      </c>
      <c r="J76" s="418">
        <f>K76+L76</f>
        <v>0</v>
      </c>
      <c r="K76" s="418">
        <v>0</v>
      </c>
      <c r="L76" s="418">
        <v>0</v>
      </c>
      <c r="M76" s="418">
        <f>N76+O76</f>
        <v>0</v>
      </c>
      <c r="N76" s="418"/>
      <c r="O76" s="418"/>
      <c r="P76" s="68">
        <f t="shared" si="210"/>
        <v>0</v>
      </c>
      <c r="Q76" s="68">
        <f t="shared" si="211"/>
        <v>0</v>
      </c>
      <c r="R76" s="418">
        <v>0</v>
      </c>
      <c r="S76" s="419">
        <f>T76+U76</f>
        <v>0</v>
      </c>
      <c r="T76" s="420">
        <v>0</v>
      </c>
      <c r="U76" s="527">
        <v>0</v>
      </c>
      <c r="V76" s="427">
        <f t="shared" si="212"/>
        <v>0</v>
      </c>
      <c r="W76" s="421">
        <f t="shared" si="212"/>
        <v>0</v>
      </c>
      <c r="X76" s="421">
        <v>278101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>V76+X76+Y76+AA76+AB76+AD76</f>
        <v>278101</v>
      </c>
      <c r="AG76" s="421">
        <f>W76+Z76+AC76+AE76</f>
        <v>0</v>
      </c>
      <c r="AH76" s="421">
        <f>SUM(AF76:AG76)</f>
        <v>278101</v>
      </c>
      <c r="AI76" s="421">
        <v>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213"/>
        <v>0</v>
      </c>
      <c r="AP76" s="421">
        <f>AJ76+AN76</f>
        <v>0</v>
      </c>
      <c r="AQ76" s="421">
        <f>SUM(AO76:AP76)</f>
        <v>0</v>
      </c>
      <c r="AR76" s="421">
        <f t="shared" si="214"/>
        <v>278101</v>
      </c>
      <c r="AS76" s="421">
        <f t="shared" si="214"/>
        <v>0</v>
      </c>
      <c r="AT76" s="421">
        <f>SUM(AR76:AS76)</f>
        <v>278101</v>
      </c>
      <c r="AU76" s="68">
        <f t="shared" si="215"/>
        <v>93998</v>
      </c>
      <c r="AV76" s="68">
        <f>ROUND(AH76*1%,0)</f>
        <v>2781</v>
      </c>
      <c r="AW76" s="421">
        <v>0</v>
      </c>
      <c r="AX76" s="421">
        <v>0</v>
      </c>
      <c r="AY76" s="421">
        <f>AW76+AX76</f>
        <v>0</v>
      </c>
      <c r="AZ76" s="421">
        <f>AT76+AU76+AV76+AY76</f>
        <v>374880</v>
      </c>
      <c r="BA76" s="422">
        <v>0</v>
      </c>
      <c r="BB76" s="422">
        <v>0</v>
      </c>
      <c r="BC76" s="422">
        <v>0.75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>BA76+BC76+BD76+BF76+BH76+BI76</f>
        <v>0.75</v>
      </c>
      <c r="BL76" s="422">
        <f>BB76+BE76+BG76+BJ76</f>
        <v>0</v>
      </c>
      <c r="BM76" s="611">
        <f>SUM(BK76:BL76)</f>
        <v>0.75</v>
      </c>
      <c r="BN76" s="428">
        <f>I76+AZ76</f>
        <v>374880</v>
      </c>
      <c r="BO76" s="421">
        <f>J76+AH76</f>
        <v>278101</v>
      </c>
      <c r="BP76" s="421">
        <f t="shared" si="216"/>
        <v>278101</v>
      </c>
      <c r="BQ76" s="421">
        <f t="shared" si="216"/>
        <v>0</v>
      </c>
      <c r="BR76" s="421">
        <f>M76+AQ76</f>
        <v>0</v>
      </c>
      <c r="BS76" s="421">
        <f t="shared" si="217"/>
        <v>0</v>
      </c>
      <c r="BT76" s="421">
        <f t="shared" si="217"/>
        <v>0</v>
      </c>
      <c r="BU76" s="421">
        <f t="shared" si="218"/>
        <v>93998</v>
      </c>
      <c r="BV76" s="421">
        <f t="shared" si="218"/>
        <v>2781</v>
      </c>
      <c r="BW76" s="421">
        <f>R76+AY76</f>
        <v>0</v>
      </c>
      <c r="BX76" s="422">
        <f>S76+BM76</f>
        <v>0.75</v>
      </c>
      <c r="BY76" s="422">
        <f t="shared" si="219"/>
        <v>0.75</v>
      </c>
      <c r="BZ76" s="611">
        <f t="shared" si="219"/>
        <v>0</v>
      </c>
      <c r="CA76" s="423"/>
      <c r="CB76" s="418"/>
      <c r="CC76" s="418"/>
      <c r="CD76" s="418"/>
      <c r="CE76" s="418"/>
      <c r="CF76" s="527"/>
    </row>
    <row r="77" spans="1:84" s="222" customFormat="1" ht="12.75" customHeight="1" x14ac:dyDescent="0.2">
      <c r="A77" s="224">
        <v>18</v>
      </c>
      <c r="B77" s="225">
        <v>3460</v>
      </c>
      <c r="C77" s="225">
        <v>691000387</v>
      </c>
      <c r="D77" s="225">
        <v>86797034</v>
      </c>
      <c r="E77" s="226" t="s">
        <v>44</v>
      </c>
      <c r="F77" s="225">
        <v>3141</v>
      </c>
      <c r="G77" s="226" t="s">
        <v>295</v>
      </c>
      <c r="H77" s="227" t="s">
        <v>272</v>
      </c>
      <c r="I77" s="423">
        <f t="shared" si="209"/>
        <v>617034</v>
      </c>
      <c r="J77" s="418">
        <f>K77+L77</f>
        <v>455767</v>
      </c>
      <c r="K77" s="418">
        <v>0</v>
      </c>
      <c r="L77" s="418">
        <v>455767</v>
      </c>
      <c r="M77" s="418">
        <f>N77+O77</f>
        <v>0</v>
      </c>
      <c r="N77" s="418"/>
      <c r="O77" s="418"/>
      <c r="P77" s="68">
        <f t="shared" si="210"/>
        <v>154049</v>
      </c>
      <c r="Q77" s="68">
        <f t="shared" si="211"/>
        <v>4558</v>
      </c>
      <c r="R77" s="418">
        <v>2660</v>
      </c>
      <c r="S77" s="419">
        <f>T77+U77</f>
        <v>1.37</v>
      </c>
      <c r="T77" s="420">
        <v>0</v>
      </c>
      <c r="U77" s="527">
        <v>1.37</v>
      </c>
      <c r="V77" s="427">
        <f t="shared" si="212"/>
        <v>0</v>
      </c>
      <c r="W77" s="421">
        <f t="shared" si="212"/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>V77+X77+Y77+AA77+AB77+AD77</f>
        <v>0</v>
      </c>
      <c r="AG77" s="421">
        <f>W77+Z77+AC77+AE77</f>
        <v>0</v>
      </c>
      <c r="AH77" s="421">
        <f>SUM(AF77:AG77)</f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si="213"/>
        <v>0</v>
      </c>
      <c r="AP77" s="421">
        <f>AJ77+AN77</f>
        <v>0</v>
      </c>
      <c r="AQ77" s="421">
        <f>SUM(AO77:AP77)</f>
        <v>0</v>
      </c>
      <c r="AR77" s="421">
        <f t="shared" si="214"/>
        <v>0</v>
      </c>
      <c r="AS77" s="421">
        <f t="shared" si="214"/>
        <v>0</v>
      </c>
      <c r="AT77" s="421">
        <f>SUM(AR77:AS77)</f>
        <v>0</v>
      </c>
      <c r="AU77" s="68">
        <f t="shared" si="215"/>
        <v>0</v>
      </c>
      <c r="AV77" s="68">
        <f>ROUND(AH77*1%,0)</f>
        <v>0</v>
      </c>
      <c r="AW77" s="421">
        <v>0</v>
      </c>
      <c r="AX77" s="421">
        <v>0</v>
      </c>
      <c r="AY77" s="421">
        <f>AW77+AX77</f>
        <v>0</v>
      </c>
      <c r="AZ77" s="421">
        <f>AT77+AU77+AV77+AY77</f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>BA77+BC77+BD77+BF77+BH77+BI77</f>
        <v>0</v>
      </c>
      <c r="BL77" s="422">
        <f>BB77+BE77+BG77+BJ77</f>
        <v>0</v>
      </c>
      <c r="BM77" s="611">
        <f>SUM(BK77:BL77)</f>
        <v>0</v>
      </c>
      <c r="BN77" s="428">
        <f>I77+AZ77</f>
        <v>617034</v>
      </c>
      <c r="BO77" s="421">
        <f>J77+AH77</f>
        <v>455767</v>
      </c>
      <c r="BP77" s="421">
        <f t="shared" si="216"/>
        <v>0</v>
      </c>
      <c r="BQ77" s="421">
        <f t="shared" si="216"/>
        <v>455767</v>
      </c>
      <c r="BR77" s="421">
        <f>M77+AQ77</f>
        <v>0</v>
      </c>
      <c r="BS77" s="421">
        <f t="shared" si="217"/>
        <v>0</v>
      </c>
      <c r="BT77" s="421">
        <f t="shared" si="217"/>
        <v>0</v>
      </c>
      <c r="BU77" s="421">
        <f t="shared" si="218"/>
        <v>154049</v>
      </c>
      <c r="BV77" s="421">
        <f t="shared" si="218"/>
        <v>4558</v>
      </c>
      <c r="BW77" s="421">
        <f>R77+AY77</f>
        <v>2660</v>
      </c>
      <c r="BX77" s="422">
        <f>S77+BM77</f>
        <v>1.37</v>
      </c>
      <c r="BY77" s="422">
        <f t="shared" si="219"/>
        <v>0</v>
      </c>
      <c r="BZ77" s="611">
        <f t="shared" si="219"/>
        <v>1.37</v>
      </c>
      <c r="CA77" s="423"/>
      <c r="CB77" s="418"/>
      <c r="CC77" s="418"/>
      <c r="CD77" s="418"/>
      <c r="CE77" s="418"/>
      <c r="CF77" s="527"/>
    </row>
    <row r="78" spans="1:84" s="222" customFormat="1" ht="12.75" customHeight="1" x14ac:dyDescent="0.2">
      <c r="A78" s="153">
        <v>18</v>
      </c>
      <c r="B78" s="14">
        <v>3460</v>
      </c>
      <c r="C78" s="152">
        <v>691000387</v>
      </c>
      <c r="D78" s="152">
        <v>86797034</v>
      </c>
      <c r="E78" s="223" t="s">
        <v>45</v>
      </c>
      <c r="F78" s="14"/>
      <c r="G78" s="223"/>
      <c r="H78" s="592"/>
      <c r="I78" s="522">
        <f t="shared" ref="I78:BU78" si="220">SUM(I75:I77)</f>
        <v>7340621</v>
      </c>
      <c r="J78" s="521">
        <f t="shared" si="220"/>
        <v>5424087</v>
      </c>
      <c r="K78" s="521">
        <f t="shared" si="220"/>
        <v>4524774</v>
      </c>
      <c r="L78" s="521">
        <f t="shared" si="220"/>
        <v>899313</v>
      </c>
      <c r="M78" s="521">
        <f t="shared" si="220"/>
        <v>0</v>
      </c>
      <c r="N78" s="521">
        <f t="shared" si="220"/>
        <v>0</v>
      </c>
      <c r="O78" s="521">
        <f t="shared" si="220"/>
        <v>0</v>
      </c>
      <c r="P78" s="521">
        <f t="shared" si="220"/>
        <v>1833341</v>
      </c>
      <c r="Q78" s="521">
        <f t="shared" si="220"/>
        <v>54241</v>
      </c>
      <c r="R78" s="521">
        <f t="shared" si="220"/>
        <v>28952</v>
      </c>
      <c r="S78" s="572">
        <f t="shared" si="220"/>
        <v>10.960100000000001</v>
      </c>
      <c r="T78" s="572">
        <f t="shared" si="220"/>
        <v>8.0968</v>
      </c>
      <c r="U78" s="448">
        <f t="shared" si="220"/>
        <v>2.8633000000000002</v>
      </c>
      <c r="V78" s="614">
        <f t="shared" si="220"/>
        <v>0</v>
      </c>
      <c r="W78" s="521">
        <f t="shared" si="220"/>
        <v>0</v>
      </c>
      <c r="X78" s="521">
        <f t="shared" si="220"/>
        <v>278101</v>
      </c>
      <c r="Y78" s="521">
        <f t="shared" si="220"/>
        <v>0</v>
      </c>
      <c r="Z78" s="521">
        <f t="shared" si="220"/>
        <v>0</v>
      </c>
      <c r="AA78" s="521">
        <f t="shared" si="220"/>
        <v>0</v>
      </c>
      <c r="AB78" s="521">
        <f t="shared" si="220"/>
        <v>0</v>
      </c>
      <c r="AC78" s="521">
        <f t="shared" si="220"/>
        <v>0</v>
      </c>
      <c r="AD78" s="521">
        <f t="shared" si="220"/>
        <v>0</v>
      </c>
      <c r="AE78" s="521">
        <f t="shared" si="220"/>
        <v>0</v>
      </c>
      <c r="AF78" s="521">
        <f t="shared" si="220"/>
        <v>278101</v>
      </c>
      <c r="AG78" s="521">
        <f t="shared" si="220"/>
        <v>0</v>
      </c>
      <c r="AH78" s="521">
        <f t="shared" si="220"/>
        <v>278101</v>
      </c>
      <c r="AI78" s="521">
        <f t="shared" si="220"/>
        <v>0</v>
      </c>
      <c r="AJ78" s="521">
        <f t="shared" si="220"/>
        <v>0</v>
      </c>
      <c r="AK78" s="521">
        <f t="shared" ref="AK78" si="221">SUM(AK75:AK77)</f>
        <v>0</v>
      </c>
      <c r="AL78" s="521">
        <f t="shared" si="220"/>
        <v>0</v>
      </c>
      <c r="AM78" s="521">
        <f t="shared" si="220"/>
        <v>0</v>
      </c>
      <c r="AN78" s="521">
        <f t="shared" si="220"/>
        <v>0</v>
      </c>
      <c r="AO78" s="521">
        <f t="shared" si="220"/>
        <v>0</v>
      </c>
      <c r="AP78" s="521">
        <f t="shared" si="220"/>
        <v>0</v>
      </c>
      <c r="AQ78" s="521">
        <f t="shared" si="220"/>
        <v>0</v>
      </c>
      <c r="AR78" s="521">
        <f t="shared" si="220"/>
        <v>278101</v>
      </c>
      <c r="AS78" s="521">
        <f t="shared" si="220"/>
        <v>0</v>
      </c>
      <c r="AT78" s="521">
        <f t="shared" si="220"/>
        <v>278101</v>
      </c>
      <c r="AU78" s="521">
        <f t="shared" si="220"/>
        <v>93998</v>
      </c>
      <c r="AV78" s="521">
        <f t="shared" si="220"/>
        <v>2781</v>
      </c>
      <c r="AW78" s="521">
        <f t="shared" si="220"/>
        <v>0</v>
      </c>
      <c r="AX78" s="521">
        <f t="shared" si="220"/>
        <v>0</v>
      </c>
      <c r="AY78" s="521">
        <f t="shared" si="220"/>
        <v>0</v>
      </c>
      <c r="AZ78" s="521">
        <f t="shared" si="220"/>
        <v>374880</v>
      </c>
      <c r="BA78" s="572">
        <f t="shared" si="220"/>
        <v>0</v>
      </c>
      <c r="BB78" s="572">
        <f t="shared" si="220"/>
        <v>0</v>
      </c>
      <c r="BC78" s="572">
        <f t="shared" si="220"/>
        <v>0.75</v>
      </c>
      <c r="BD78" s="572">
        <f t="shared" si="220"/>
        <v>0</v>
      </c>
      <c r="BE78" s="572">
        <f t="shared" si="220"/>
        <v>0</v>
      </c>
      <c r="BF78" s="572">
        <f t="shared" si="220"/>
        <v>0</v>
      </c>
      <c r="BG78" s="572">
        <f t="shared" si="220"/>
        <v>0</v>
      </c>
      <c r="BH78" s="572">
        <f t="shared" si="220"/>
        <v>0</v>
      </c>
      <c r="BI78" s="572">
        <f t="shared" si="220"/>
        <v>0</v>
      </c>
      <c r="BJ78" s="572">
        <f t="shared" si="220"/>
        <v>0</v>
      </c>
      <c r="BK78" s="572">
        <f t="shared" si="220"/>
        <v>0.75</v>
      </c>
      <c r="BL78" s="572">
        <f t="shared" si="220"/>
        <v>0</v>
      </c>
      <c r="BM78" s="403">
        <f t="shared" si="220"/>
        <v>0.75</v>
      </c>
      <c r="BN78" s="522">
        <f t="shared" si="220"/>
        <v>7715501</v>
      </c>
      <c r="BO78" s="521">
        <f t="shared" si="220"/>
        <v>5702188</v>
      </c>
      <c r="BP78" s="521">
        <f t="shared" si="220"/>
        <v>4802875</v>
      </c>
      <c r="BQ78" s="521">
        <f t="shared" si="220"/>
        <v>899313</v>
      </c>
      <c r="BR78" s="521">
        <f t="shared" si="220"/>
        <v>0</v>
      </c>
      <c r="BS78" s="521">
        <f t="shared" si="220"/>
        <v>0</v>
      </c>
      <c r="BT78" s="521">
        <f t="shared" si="220"/>
        <v>0</v>
      </c>
      <c r="BU78" s="521">
        <f t="shared" si="220"/>
        <v>1927339</v>
      </c>
      <c r="BV78" s="521">
        <f t="shared" ref="BV78:CF78" si="222">SUM(BV75:BV77)</f>
        <v>57022</v>
      </c>
      <c r="BW78" s="521">
        <f t="shared" si="222"/>
        <v>28952</v>
      </c>
      <c r="BX78" s="572">
        <f t="shared" si="222"/>
        <v>11.710100000000001</v>
      </c>
      <c r="BY78" s="572">
        <f t="shared" si="222"/>
        <v>8.8468</v>
      </c>
      <c r="BZ78" s="403">
        <f t="shared" si="222"/>
        <v>2.8633000000000002</v>
      </c>
      <c r="CA78" s="833">
        <f t="shared" si="222"/>
        <v>0</v>
      </c>
      <c r="CB78" s="834">
        <f t="shared" si="222"/>
        <v>0</v>
      </c>
      <c r="CC78" s="834">
        <f t="shared" si="222"/>
        <v>0</v>
      </c>
      <c r="CD78" s="834">
        <f t="shared" si="222"/>
        <v>0</v>
      </c>
      <c r="CE78" s="834">
        <f t="shared" si="222"/>
        <v>0</v>
      </c>
      <c r="CF78" s="829">
        <f t="shared" si="222"/>
        <v>0</v>
      </c>
    </row>
    <row r="79" spans="1:84" s="222" customFormat="1" ht="12.75" customHeight="1" x14ac:dyDescent="0.2">
      <c r="A79" s="224">
        <v>19</v>
      </c>
      <c r="B79" s="225">
        <v>3413</v>
      </c>
      <c r="C79" s="225">
        <v>600077918</v>
      </c>
      <c r="D79" s="225">
        <v>72743433</v>
      </c>
      <c r="E79" s="226" t="s">
        <v>273</v>
      </c>
      <c r="F79" s="225">
        <v>3111</v>
      </c>
      <c r="G79" s="226" t="s">
        <v>291</v>
      </c>
      <c r="H79" s="227" t="s">
        <v>271</v>
      </c>
      <c r="I79" s="423">
        <f t="shared" ref="I79:I82" si="223">J79+P79+Q79+R79</f>
        <v>11645791</v>
      </c>
      <c r="J79" s="418">
        <f>K79+L79</f>
        <v>8607771</v>
      </c>
      <c r="K79" s="418">
        <v>7792963</v>
      </c>
      <c r="L79" s="418">
        <v>814808</v>
      </c>
      <c r="M79" s="418">
        <f>N79+O79</f>
        <v>0</v>
      </c>
      <c r="N79" s="418"/>
      <c r="O79" s="418"/>
      <c r="P79" s="68">
        <f t="shared" ref="P79:P82" si="224">ROUND(J79*33.8%,0)</f>
        <v>2909427</v>
      </c>
      <c r="Q79" s="68">
        <f>ROUND(J79*1%,0)-1</f>
        <v>86077</v>
      </c>
      <c r="R79" s="418">
        <v>42516</v>
      </c>
      <c r="S79" s="419">
        <f>T79+U79</f>
        <v>15.543099999999999</v>
      </c>
      <c r="T79" s="420">
        <v>12.7097</v>
      </c>
      <c r="U79" s="527">
        <v>2.8334000000000001</v>
      </c>
      <c r="V79" s="427">
        <f t="shared" ref="V79:W82" si="225">AI79*-1</f>
        <v>0</v>
      </c>
      <c r="W79" s="421">
        <f t="shared" si="225"/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>V79+X79+Y79+AA79+AB79+AD79</f>
        <v>0</v>
      </c>
      <c r="AG79" s="421">
        <f>W79+Z79+AC79+AE79</f>
        <v>0</v>
      </c>
      <c r="AH79" s="421">
        <f>SUM(AF79:AG79)</f>
        <v>0</v>
      </c>
      <c r="AI79" s="421">
        <v>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ref="AO79:AO82" si="226">AI79+AK79+AL79+AM79</f>
        <v>0</v>
      </c>
      <c r="AP79" s="421">
        <f>AJ79+AN79</f>
        <v>0</v>
      </c>
      <c r="AQ79" s="421">
        <f>SUM(AO79:AP79)</f>
        <v>0</v>
      </c>
      <c r="AR79" s="421">
        <f t="shared" ref="AR79:AS82" si="227">AF79+AO79</f>
        <v>0</v>
      </c>
      <c r="AS79" s="421">
        <f t="shared" si="227"/>
        <v>0</v>
      </c>
      <c r="AT79" s="421">
        <f>SUM(AR79:AS79)</f>
        <v>0</v>
      </c>
      <c r="AU79" s="68">
        <f t="shared" ref="AU79:AU82" si="228">ROUND((AH79+AI79+AJ79+AK79+AL79)*33.8%,0)</f>
        <v>0</v>
      </c>
      <c r="AV79" s="68">
        <f>ROUND(AH79*1%,0)</f>
        <v>0</v>
      </c>
      <c r="AW79" s="421">
        <v>0</v>
      </c>
      <c r="AX79" s="421">
        <v>0</v>
      </c>
      <c r="AY79" s="421">
        <f>AW79+AX79</f>
        <v>0</v>
      </c>
      <c r="AZ79" s="421">
        <f>AT79+AU79+AV79+AY79</f>
        <v>0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>BA79+BC79+BD79+BF79+BH79+BI79</f>
        <v>0</v>
      </c>
      <c r="BL79" s="422">
        <f>BB79+BE79+BG79+BJ79</f>
        <v>0</v>
      </c>
      <c r="BM79" s="611">
        <f>SUM(BK79:BL79)</f>
        <v>0</v>
      </c>
      <c r="BN79" s="428">
        <f>I79+AZ79</f>
        <v>11645791</v>
      </c>
      <c r="BO79" s="421">
        <f>J79+AH79</f>
        <v>8607771</v>
      </c>
      <c r="BP79" s="421">
        <f t="shared" ref="BP79:BQ82" si="229">K79+AF79</f>
        <v>7792963</v>
      </c>
      <c r="BQ79" s="421">
        <f t="shared" si="229"/>
        <v>814808</v>
      </c>
      <c r="BR79" s="421">
        <f>M79+AQ79</f>
        <v>0</v>
      </c>
      <c r="BS79" s="421">
        <f t="shared" ref="BS79:BT82" si="230">N79+AO79</f>
        <v>0</v>
      </c>
      <c r="BT79" s="421">
        <f t="shared" si="230"/>
        <v>0</v>
      </c>
      <c r="BU79" s="421">
        <f t="shared" ref="BU79:BV82" si="231">P79+AU79</f>
        <v>2909427</v>
      </c>
      <c r="BV79" s="421">
        <f t="shared" si="231"/>
        <v>86077</v>
      </c>
      <c r="BW79" s="421">
        <f>R79+AY79</f>
        <v>42516</v>
      </c>
      <c r="BX79" s="422">
        <f>S79+BM79</f>
        <v>15.543099999999999</v>
      </c>
      <c r="BY79" s="422">
        <f t="shared" ref="BY79:BZ82" si="232">T79+BK79</f>
        <v>12.7097</v>
      </c>
      <c r="BZ79" s="611">
        <f t="shared" si="232"/>
        <v>2.8334000000000001</v>
      </c>
      <c r="CA79" s="423"/>
      <c r="CB79" s="418"/>
      <c r="CC79" s="418"/>
      <c r="CD79" s="418"/>
      <c r="CE79" s="418"/>
      <c r="CF79" s="527"/>
    </row>
    <row r="80" spans="1:84" s="222" customFormat="1" ht="12.75" customHeight="1" x14ac:dyDescent="0.2">
      <c r="A80" s="224">
        <v>19</v>
      </c>
      <c r="B80" s="225">
        <v>3413</v>
      </c>
      <c r="C80" s="225">
        <v>600077918</v>
      </c>
      <c r="D80" s="225">
        <v>72743433</v>
      </c>
      <c r="E80" s="226" t="s">
        <v>273</v>
      </c>
      <c r="F80" s="225">
        <v>3111</v>
      </c>
      <c r="G80" s="226" t="s">
        <v>293</v>
      </c>
      <c r="H80" s="227" t="s">
        <v>271</v>
      </c>
      <c r="I80" s="423">
        <f t="shared" si="223"/>
        <v>2004692</v>
      </c>
      <c r="J80" s="418">
        <f>K80+L80</f>
        <v>1487160</v>
      </c>
      <c r="K80" s="418">
        <v>1487160</v>
      </c>
      <c r="L80" s="418">
        <v>0</v>
      </c>
      <c r="M80" s="418">
        <f>N80+O80</f>
        <v>0</v>
      </c>
      <c r="N80" s="418"/>
      <c r="O80" s="418"/>
      <c r="P80" s="68">
        <f t="shared" si="224"/>
        <v>502660</v>
      </c>
      <c r="Q80" s="68">
        <f t="shared" ref="Q80:Q82" si="233">ROUND(J80*1%,0)</f>
        <v>14872</v>
      </c>
      <c r="R80" s="418">
        <v>0</v>
      </c>
      <c r="S80" s="419">
        <f>T80+U80</f>
        <v>4</v>
      </c>
      <c r="T80" s="420">
        <v>4</v>
      </c>
      <c r="U80" s="527">
        <v>0</v>
      </c>
      <c r="V80" s="427">
        <f t="shared" si="225"/>
        <v>0</v>
      </c>
      <c r="W80" s="421">
        <f t="shared" si="225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>V80+X80+Y80+AA80+AB80+AD80</f>
        <v>0</v>
      </c>
      <c r="AG80" s="421">
        <f>W80+Z80+AC80+AE80</f>
        <v>0</v>
      </c>
      <c r="AH80" s="421">
        <f>SUM(AF80:AG80)</f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226"/>
        <v>0</v>
      </c>
      <c r="AP80" s="421">
        <f>AJ80+AN80</f>
        <v>0</v>
      </c>
      <c r="AQ80" s="421">
        <f>SUM(AO80:AP80)</f>
        <v>0</v>
      </c>
      <c r="AR80" s="421">
        <f t="shared" si="227"/>
        <v>0</v>
      </c>
      <c r="AS80" s="421">
        <f t="shared" si="227"/>
        <v>0</v>
      </c>
      <c r="AT80" s="421">
        <f>SUM(AR80:AS80)</f>
        <v>0</v>
      </c>
      <c r="AU80" s="68">
        <f t="shared" si="228"/>
        <v>0</v>
      </c>
      <c r="AV80" s="68">
        <f>ROUND(AH80*1%,0)</f>
        <v>0</v>
      </c>
      <c r="AW80" s="421">
        <v>0</v>
      </c>
      <c r="AX80" s="421">
        <v>0</v>
      </c>
      <c r="AY80" s="421">
        <f>AW80+AX80</f>
        <v>0</v>
      </c>
      <c r="AZ80" s="421">
        <f>AT80+AU80+AV80+AY80</f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>BA80+BC80+BD80+BF80+BH80+BI80</f>
        <v>0</v>
      </c>
      <c r="BL80" s="422">
        <f>BB80+BE80+BG80+BJ80</f>
        <v>0</v>
      </c>
      <c r="BM80" s="611">
        <f>SUM(BK80:BL80)</f>
        <v>0</v>
      </c>
      <c r="BN80" s="428">
        <f>I80+AZ80</f>
        <v>2004692</v>
      </c>
      <c r="BO80" s="421">
        <f>J80+AH80</f>
        <v>1487160</v>
      </c>
      <c r="BP80" s="421">
        <f t="shared" si="229"/>
        <v>1487160</v>
      </c>
      <c r="BQ80" s="421">
        <f t="shared" si="229"/>
        <v>0</v>
      </c>
      <c r="BR80" s="421">
        <f>M80+AQ80</f>
        <v>0</v>
      </c>
      <c r="BS80" s="421">
        <f t="shared" si="230"/>
        <v>0</v>
      </c>
      <c r="BT80" s="421">
        <f t="shared" si="230"/>
        <v>0</v>
      </c>
      <c r="BU80" s="421">
        <f t="shared" si="231"/>
        <v>502660</v>
      </c>
      <c r="BV80" s="421">
        <f t="shared" si="231"/>
        <v>14872</v>
      </c>
      <c r="BW80" s="421">
        <f>R80+AY80</f>
        <v>0</v>
      </c>
      <c r="BX80" s="422">
        <f>S80+BM80</f>
        <v>4</v>
      </c>
      <c r="BY80" s="422">
        <f t="shared" si="232"/>
        <v>4</v>
      </c>
      <c r="BZ80" s="611">
        <f t="shared" si="232"/>
        <v>0</v>
      </c>
      <c r="CA80" s="423"/>
      <c r="CB80" s="418"/>
      <c r="CC80" s="418"/>
      <c r="CD80" s="418"/>
      <c r="CE80" s="418"/>
      <c r="CF80" s="527"/>
    </row>
    <row r="81" spans="1:84" s="222" customFormat="1" x14ac:dyDescent="0.2">
      <c r="A81" s="224">
        <v>19</v>
      </c>
      <c r="B81" s="225">
        <v>3413</v>
      </c>
      <c r="C81" s="225">
        <v>600077918</v>
      </c>
      <c r="D81" s="225">
        <v>72743433</v>
      </c>
      <c r="E81" s="226" t="s">
        <v>273</v>
      </c>
      <c r="F81" s="225">
        <v>3111</v>
      </c>
      <c r="G81" s="226" t="s">
        <v>292</v>
      </c>
      <c r="H81" s="227" t="s">
        <v>272</v>
      </c>
      <c r="I81" s="423">
        <f t="shared" si="223"/>
        <v>0</v>
      </c>
      <c r="J81" s="418">
        <f>K81+L81</f>
        <v>0</v>
      </c>
      <c r="K81" s="418">
        <v>0</v>
      </c>
      <c r="L81" s="418">
        <v>0</v>
      </c>
      <c r="M81" s="418">
        <f>N81+O81</f>
        <v>0</v>
      </c>
      <c r="N81" s="418"/>
      <c r="O81" s="418"/>
      <c r="P81" s="68">
        <f t="shared" si="224"/>
        <v>0</v>
      </c>
      <c r="Q81" s="68">
        <f t="shared" si="233"/>
        <v>0</v>
      </c>
      <c r="R81" s="418">
        <v>0</v>
      </c>
      <c r="S81" s="419">
        <f>T81+U81</f>
        <v>0</v>
      </c>
      <c r="T81" s="420">
        <v>0</v>
      </c>
      <c r="U81" s="527">
        <v>0</v>
      </c>
      <c r="V81" s="427">
        <f t="shared" si="225"/>
        <v>0</v>
      </c>
      <c r="W81" s="421">
        <f t="shared" si="225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>V81+X81+Y81+AA81+AB81+AD81</f>
        <v>0</v>
      </c>
      <c r="AG81" s="421">
        <f>W81+Z81+AC81+AE81</f>
        <v>0</v>
      </c>
      <c r="AH81" s="421">
        <f>SUM(AF81:AG81)</f>
        <v>0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226"/>
        <v>0</v>
      </c>
      <c r="AP81" s="421">
        <f>AJ81+AN81</f>
        <v>0</v>
      </c>
      <c r="AQ81" s="421">
        <f>SUM(AO81:AP81)</f>
        <v>0</v>
      </c>
      <c r="AR81" s="421">
        <f t="shared" si="227"/>
        <v>0</v>
      </c>
      <c r="AS81" s="421">
        <f t="shared" si="227"/>
        <v>0</v>
      </c>
      <c r="AT81" s="421">
        <f>SUM(AR81:AS81)</f>
        <v>0</v>
      </c>
      <c r="AU81" s="68">
        <f t="shared" si="228"/>
        <v>0</v>
      </c>
      <c r="AV81" s="68">
        <f>ROUND(AH81*1%,0)</f>
        <v>0</v>
      </c>
      <c r="AW81" s="421">
        <v>0</v>
      </c>
      <c r="AX81" s="421">
        <v>0</v>
      </c>
      <c r="AY81" s="421">
        <f>AW81+AX81</f>
        <v>0</v>
      </c>
      <c r="AZ81" s="421">
        <f>AT81+AU81+AV81+AY81</f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>BA81+BC81+BD81+BF81+BH81+BI81</f>
        <v>0</v>
      </c>
      <c r="BL81" s="422">
        <f>BB81+BE81+BG81+BJ81</f>
        <v>0</v>
      </c>
      <c r="BM81" s="611">
        <f>SUM(BK81:BL81)</f>
        <v>0</v>
      </c>
      <c r="BN81" s="428">
        <f>I81+AZ81</f>
        <v>0</v>
      </c>
      <c r="BO81" s="421">
        <f>J81+AH81</f>
        <v>0</v>
      </c>
      <c r="BP81" s="421">
        <f t="shared" si="229"/>
        <v>0</v>
      </c>
      <c r="BQ81" s="421">
        <f t="shared" si="229"/>
        <v>0</v>
      </c>
      <c r="BR81" s="421">
        <f>M81+AQ81</f>
        <v>0</v>
      </c>
      <c r="BS81" s="421">
        <f t="shared" si="230"/>
        <v>0</v>
      </c>
      <c r="BT81" s="421">
        <f t="shared" si="230"/>
        <v>0</v>
      </c>
      <c r="BU81" s="421">
        <f t="shared" si="231"/>
        <v>0</v>
      </c>
      <c r="BV81" s="421">
        <f t="shared" si="231"/>
        <v>0</v>
      </c>
      <c r="BW81" s="421">
        <f>R81+AY81</f>
        <v>0</v>
      </c>
      <c r="BX81" s="422">
        <f>S81+BM81</f>
        <v>0</v>
      </c>
      <c r="BY81" s="422">
        <f t="shared" si="232"/>
        <v>0</v>
      </c>
      <c r="BZ81" s="611">
        <f t="shared" si="232"/>
        <v>0</v>
      </c>
      <c r="CA81" s="423"/>
      <c r="CB81" s="418"/>
      <c r="CC81" s="418"/>
      <c r="CD81" s="418"/>
      <c r="CE81" s="418"/>
      <c r="CF81" s="527"/>
    </row>
    <row r="82" spans="1:84" s="222" customFormat="1" ht="12.75" customHeight="1" x14ac:dyDescent="0.2">
      <c r="A82" s="224">
        <v>19</v>
      </c>
      <c r="B82" s="225">
        <v>3413</v>
      </c>
      <c r="C82" s="225">
        <v>600077918</v>
      </c>
      <c r="D82" s="225">
        <v>72743433</v>
      </c>
      <c r="E82" s="226" t="s">
        <v>273</v>
      </c>
      <c r="F82" s="225">
        <v>3141</v>
      </c>
      <c r="G82" s="226" t="s">
        <v>295</v>
      </c>
      <c r="H82" s="227" t="s">
        <v>272</v>
      </c>
      <c r="I82" s="423">
        <f t="shared" si="223"/>
        <v>881818</v>
      </c>
      <c r="J82" s="418">
        <f>K82+L82</f>
        <v>651386</v>
      </c>
      <c r="K82" s="418">
        <v>0</v>
      </c>
      <c r="L82" s="418">
        <v>651386</v>
      </c>
      <c r="M82" s="418">
        <f>N82+O82</f>
        <v>0</v>
      </c>
      <c r="N82" s="418"/>
      <c r="O82" s="418"/>
      <c r="P82" s="68">
        <f t="shared" si="224"/>
        <v>220168</v>
      </c>
      <c r="Q82" s="68">
        <f t="shared" si="233"/>
        <v>6514</v>
      </c>
      <c r="R82" s="418">
        <v>3750</v>
      </c>
      <c r="S82" s="419">
        <f>T82+U82</f>
        <v>1.95</v>
      </c>
      <c r="T82" s="420">
        <v>0</v>
      </c>
      <c r="U82" s="527">
        <v>1.95</v>
      </c>
      <c r="V82" s="427">
        <f t="shared" si="225"/>
        <v>0</v>
      </c>
      <c r="W82" s="421">
        <f t="shared" si="225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>V82+X82+Y82+AA82+AB82+AD82</f>
        <v>0</v>
      </c>
      <c r="AG82" s="421">
        <f>W82+Z82+AC82+AE82</f>
        <v>0</v>
      </c>
      <c r="AH82" s="421">
        <f>SUM(AF82:AG82)</f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226"/>
        <v>0</v>
      </c>
      <c r="AP82" s="421">
        <f>AJ82+AN82</f>
        <v>0</v>
      </c>
      <c r="AQ82" s="421">
        <f>SUM(AO82:AP82)</f>
        <v>0</v>
      </c>
      <c r="AR82" s="421">
        <f t="shared" si="227"/>
        <v>0</v>
      </c>
      <c r="AS82" s="421">
        <f t="shared" si="227"/>
        <v>0</v>
      </c>
      <c r="AT82" s="421">
        <f>SUM(AR82:AS82)</f>
        <v>0</v>
      </c>
      <c r="AU82" s="68">
        <f t="shared" si="228"/>
        <v>0</v>
      </c>
      <c r="AV82" s="68">
        <f>ROUND(AH82*1%,0)</f>
        <v>0</v>
      </c>
      <c r="AW82" s="421">
        <v>0</v>
      </c>
      <c r="AX82" s="421">
        <v>0</v>
      </c>
      <c r="AY82" s="421">
        <f>AW82+AX82</f>
        <v>0</v>
      </c>
      <c r="AZ82" s="421">
        <f>AT82+AU82+AV82+AY82</f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>BA82+BC82+BD82+BF82+BH82+BI82</f>
        <v>0</v>
      </c>
      <c r="BL82" s="422">
        <f>BB82+BE82+BG82+BJ82</f>
        <v>0</v>
      </c>
      <c r="BM82" s="611">
        <f>SUM(BK82:BL82)</f>
        <v>0</v>
      </c>
      <c r="BN82" s="428">
        <f>I82+AZ82</f>
        <v>881818</v>
      </c>
      <c r="BO82" s="421">
        <f>J82+AH82</f>
        <v>651386</v>
      </c>
      <c r="BP82" s="421">
        <f t="shared" si="229"/>
        <v>0</v>
      </c>
      <c r="BQ82" s="421">
        <f t="shared" si="229"/>
        <v>651386</v>
      </c>
      <c r="BR82" s="421">
        <f>M82+AQ82</f>
        <v>0</v>
      </c>
      <c r="BS82" s="421">
        <f t="shared" si="230"/>
        <v>0</v>
      </c>
      <c r="BT82" s="421">
        <f t="shared" si="230"/>
        <v>0</v>
      </c>
      <c r="BU82" s="421">
        <f t="shared" si="231"/>
        <v>220168</v>
      </c>
      <c r="BV82" s="421">
        <f t="shared" si="231"/>
        <v>6514</v>
      </c>
      <c r="BW82" s="421">
        <f>R82+AY82</f>
        <v>3750</v>
      </c>
      <c r="BX82" s="422">
        <f>S82+BM82</f>
        <v>1.95</v>
      </c>
      <c r="BY82" s="422">
        <f t="shared" si="232"/>
        <v>0</v>
      </c>
      <c r="BZ82" s="611">
        <f t="shared" si="232"/>
        <v>1.95</v>
      </c>
      <c r="CA82" s="423"/>
      <c r="CB82" s="418"/>
      <c r="CC82" s="418"/>
      <c r="CD82" s="418"/>
      <c r="CE82" s="418"/>
      <c r="CF82" s="527"/>
    </row>
    <row r="83" spans="1:84" s="222" customFormat="1" ht="12.75" customHeight="1" x14ac:dyDescent="0.2">
      <c r="A83" s="153">
        <v>19</v>
      </c>
      <c r="B83" s="14">
        <v>3413</v>
      </c>
      <c r="C83" s="152">
        <v>600077918</v>
      </c>
      <c r="D83" s="152">
        <v>72743433</v>
      </c>
      <c r="E83" s="223" t="s">
        <v>46</v>
      </c>
      <c r="F83" s="14"/>
      <c r="G83" s="223"/>
      <c r="H83" s="592"/>
      <c r="I83" s="522">
        <f t="shared" ref="I83:BU83" si="234">SUM(I79:I82)</f>
        <v>14532301</v>
      </c>
      <c r="J83" s="521">
        <f t="shared" si="234"/>
        <v>10746317</v>
      </c>
      <c r="K83" s="521">
        <f t="shared" si="234"/>
        <v>9280123</v>
      </c>
      <c r="L83" s="521">
        <f t="shared" si="234"/>
        <v>1466194</v>
      </c>
      <c r="M83" s="521">
        <f t="shared" si="234"/>
        <v>0</v>
      </c>
      <c r="N83" s="521">
        <f t="shared" si="234"/>
        <v>0</v>
      </c>
      <c r="O83" s="521">
        <f t="shared" si="234"/>
        <v>0</v>
      </c>
      <c r="P83" s="521">
        <f t="shared" si="234"/>
        <v>3632255</v>
      </c>
      <c r="Q83" s="521">
        <f t="shared" si="234"/>
        <v>107463</v>
      </c>
      <c r="R83" s="521">
        <f t="shared" si="234"/>
        <v>46266</v>
      </c>
      <c r="S83" s="572">
        <f t="shared" si="234"/>
        <v>21.493099999999998</v>
      </c>
      <c r="T83" s="572">
        <f t="shared" si="234"/>
        <v>16.709699999999998</v>
      </c>
      <c r="U83" s="448">
        <f t="shared" si="234"/>
        <v>4.7834000000000003</v>
      </c>
      <c r="V83" s="614">
        <f t="shared" si="234"/>
        <v>0</v>
      </c>
      <c r="W83" s="521">
        <f t="shared" si="234"/>
        <v>0</v>
      </c>
      <c r="X83" s="521">
        <f t="shared" si="234"/>
        <v>0</v>
      </c>
      <c r="Y83" s="521">
        <f t="shared" si="234"/>
        <v>0</v>
      </c>
      <c r="Z83" s="521">
        <f t="shared" si="234"/>
        <v>0</v>
      </c>
      <c r="AA83" s="521">
        <f t="shared" si="234"/>
        <v>0</v>
      </c>
      <c r="AB83" s="521">
        <f t="shared" si="234"/>
        <v>0</v>
      </c>
      <c r="AC83" s="521">
        <f t="shared" si="234"/>
        <v>0</v>
      </c>
      <c r="AD83" s="521">
        <f t="shared" si="234"/>
        <v>0</v>
      </c>
      <c r="AE83" s="521">
        <f t="shared" si="234"/>
        <v>0</v>
      </c>
      <c r="AF83" s="521">
        <f t="shared" si="234"/>
        <v>0</v>
      </c>
      <c r="AG83" s="521">
        <f t="shared" si="234"/>
        <v>0</v>
      </c>
      <c r="AH83" s="521">
        <f t="shared" si="234"/>
        <v>0</v>
      </c>
      <c r="AI83" s="521">
        <f t="shared" si="234"/>
        <v>0</v>
      </c>
      <c r="AJ83" s="521">
        <f t="shared" si="234"/>
        <v>0</v>
      </c>
      <c r="AK83" s="521">
        <f t="shared" ref="AK83" si="235">SUM(AK79:AK82)</f>
        <v>0</v>
      </c>
      <c r="AL83" s="521">
        <f t="shared" si="234"/>
        <v>0</v>
      </c>
      <c r="AM83" s="521">
        <f t="shared" si="234"/>
        <v>0</v>
      </c>
      <c r="AN83" s="521">
        <f t="shared" si="234"/>
        <v>0</v>
      </c>
      <c r="AO83" s="521">
        <f t="shared" si="234"/>
        <v>0</v>
      </c>
      <c r="AP83" s="521">
        <f t="shared" si="234"/>
        <v>0</v>
      </c>
      <c r="AQ83" s="521">
        <f t="shared" si="234"/>
        <v>0</v>
      </c>
      <c r="AR83" s="521">
        <f t="shared" si="234"/>
        <v>0</v>
      </c>
      <c r="AS83" s="521">
        <f t="shared" si="234"/>
        <v>0</v>
      </c>
      <c r="AT83" s="521">
        <f t="shared" si="234"/>
        <v>0</v>
      </c>
      <c r="AU83" s="521">
        <f t="shared" si="234"/>
        <v>0</v>
      </c>
      <c r="AV83" s="521">
        <f t="shared" si="234"/>
        <v>0</v>
      </c>
      <c r="AW83" s="521">
        <f t="shared" si="234"/>
        <v>0</v>
      </c>
      <c r="AX83" s="521">
        <f t="shared" si="234"/>
        <v>0</v>
      </c>
      <c r="AY83" s="521">
        <f t="shared" si="234"/>
        <v>0</v>
      </c>
      <c r="AZ83" s="521">
        <f t="shared" si="234"/>
        <v>0</v>
      </c>
      <c r="BA83" s="572">
        <f t="shared" si="234"/>
        <v>0</v>
      </c>
      <c r="BB83" s="572">
        <f t="shared" si="234"/>
        <v>0</v>
      </c>
      <c r="BC83" s="572">
        <f t="shared" si="234"/>
        <v>0</v>
      </c>
      <c r="BD83" s="572">
        <f t="shared" si="234"/>
        <v>0</v>
      </c>
      <c r="BE83" s="572">
        <f t="shared" si="234"/>
        <v>0</v>
      </c>
      <c r="BF83" s="572">
        <f t="shared" si="234"/>
        <v>0</v>
      </c>
      <c r="BG83" s="572">
        <f t="shared" si="234"/>
        <v>0</v>
      </c>
      <c r="BH83" s="572">
        <f t="shared" si="234"/>
        <v>0</v>
      </c>
      <c r="BI83" s="572">
        <f t="shared" si="234"/>
        <v>0</v>
      </c>
      <c r="BJ83" s="572">
        <f t="shared" si="234"/>
        <v>0</v>
      </c>
      <c r="BK83" s="572">
        <f t="shared" si="234"/>
        <v>0</v>
      </c>
      <c r="BL83" s="572">
        <f t="shared" si="234"/>
        <v>0</v>
      </c>
      <c r="BM83" s="403">
        <f t="shared" si="234"/>
        <v>0</v>
      </c>
      <c r="BN83" s="522">
        <f t="shared" si="234"/>
        <v>14532301</v>
      </c>
      <c r="BO83" s="521">
        <f t="shared" si="234"/>
        <v>10746317</v>
      </c>
      <c r="BP83" s="521">
        <f t="shared" si="234"/>
        <v>9280123</v>
      </c>
      <c r="BQ83" s="521">
        <f t="shared" si="234"/>
        <v>1466194</v>
      </c>
      <c r="BR83" s="521">
        <f t="shared" si="234"/>
        <v>0</v>
      </c>
      <c r="BS83" s="521">
        <f t="shared" si="234"/>
        <v>0</v>
      </c>
      <c r="BT83" s="521">
        <f t="shared" si="234"/>
        <v>0</v>
      </c>
      <c r="BU83" s="521">
        <f t="shared" si="234"/>
        <v>3632255</v>
      </c>
      <c r="BV83" s="521">
        <f t="shared" ref="BV83:CF83" si="236">SUM(BV79:BV82)</f>
        <v>107463</v>
      </c>
      <c r="BW83" s="521">
        <f t="shared" si="236"/>
        <v>46266</v>
      </c>
      <c r="BX83" s="572">
        <f t="shared" si="236"/>
        <v>21.493099999999998</v>
      </c>
      <c r="BY83" s="572">
        <f t="shared" si="236"/>
        <v>16.709699999999998</v>
      </c>
      <c r="BZ83" s="403">
        <f t="shared" si="236"/>
        <v>4.7834000000000003</v>
      </c>
      <c r="CA83" s="833">
        <f t="shared" si="236"/>
        <v>0</v>
      </c>
      <c r="CB83" s="834">
        <f t="shared" si="236"/>
        <v>0</v>
      </c>
      <c r="CC83" s="834">
        <f t="shared" si="236"/>
        <v>0</v>
      </c>
      <c r="CD83" s="834">
        <f t="shared" si="236"/>
        <v>0</v>
      </c>
      <c r="CE83" s="834">
        <f t="shared" si="236"/>
        <v>0</v>
      </c>
      <c r="CF83" s="829">
        <f t="shared" si="236"/>
        <v>0</v>
      </c>
    </row>
    <row r="84" spans="1:84" s="222" customFormat="1" ht="12.75" customHeight="1" x14ac:dyDescent="0.2">
      <c r="A84" s="224">
        <v>20</v>
      </c>
      <c r="B84" s="225">
        <v>3409</v>
      </c>
      <c r="C84" s="225">
        <v>600078396</v>
      </c>
      <c r="D84" s="225">
        <v>43257399</v>
      </c>
      <c r="E84" s="226" t="s">
        <v>47</v>
      </c>
      <c r="F84" s="225">
        <v>3113</v>
      </c>
      <c r="G84" s="226" t="s">
        <v>294</v>
      </c>
      <c r="H84" s="227" t="s">
        <v>271</v>
      </c>
      <c r="I84" s="423">
        <f t="shared" ref="I84:I88" si="237">J84+P84+Q84+R84</f>
        <v>25568437</v>
      </c>
      <c r="J84" s="418">
        <f>K84+L84</f>
        <v>18674527</v>
      </c>
      <c r="K84" s="418">
        <v>17187824</v>
      </c>
      <c r="L84" s="418">
        <v>1486703</v>
      </c>
      <c r="M84" s="418">
        <f>N84+O84</f>
        <v>0</v>
      </c>
      <c r="N84" s="418"/>
      <c r="O84" s="418"/>
      <c r="P84" s="68">
        <f t="shared" ref="P84:P88" si="238">ROUND(J84*33.8%,0)</f>
        <v>6311990</v>
      </c>
      <c r="Q84" s="68">
        <f t="shared" ref="Q84:Q88" si="239">ROUND(J84*1%,0)</f>
        <v>186745</v>
      </c>
      <c r="R84" s="418">
        <v>395175</v>
      </c>
      <c r="S84" s="419">
        <f>T84+U84</f>
        <v>29.983600000000003</v>
      </c>
      <c r="T84" s="420">
        <v>25.590900000000001</v>
      </c>
      <c r="U84" s="527">
        <v>4.3926999999999996</v>
      </c>
      <c r="V84" s="427">
        <f t="shared" ref="V84:W88" si="240">AI84*-1</f>
        <v>0</v>
      </c>
      <c r="W84" s="421">
        <f t="shared" si="240"/>
        <v>0</v>
      </c>
      <c r="X84" s="421">
        <v>0</v>
      </c>
      <c r="Y84" s="421">
        <v>0</v>
      </c>
      <c r="Z84" s="421">
        <v>0</v>
      </c>
      <c r="AA84" s="421">
        <v>95328</v>
      </c>
      <c r="AB84" s="421">
        <v>0</v>
      </c>
      <c r="AC84" s="421">
        <v>0</v>
      </c>
      <c r="AD84" s="421">
        <v>0</v>
      </c>
      <c r="AE84" s="421">
        <v>0</v>
      </c>
      <c r="AF84" s="421">
        <f>V84+X84+Y84+AA84+AB84+AD84</f>
        <v>95328</v>
      </c>
      <c r="AG84" s="421">
        <f>W84+Z84+AC84+AE84</f>
        <v>0</v>
      </c>
      <c r="AH84" s="421">
        <f>SUM(AF84:AG84)</f>
        <v>95328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ref="AO84:AO88" si="241">AI84+AK84+AL84+AM84</f>
        <v>0</v>
      </c>
      <c r="AP84" s="421">
        <f>AJ84+AN84</f>
        <v>0</v>
      </c>
      <c r="AQ84" s="421">
        <f>SUM(AO84:AP84)</f>
        <v>0</v>
      </c>
      <c r="AR84" s="421">
        <f t="shared" ref="AR84:AS88" si="242">AF84+AO84</f>
        <v>95328</v>
      </c>
      <c r="AS84" s="421">
        <f t="shared" si="242"/>
        <v>0</v>
      </c>
      <c r="AT84" s="421">
        <f>SUM(AR84:AS84)</f>
        <v>95328</v>
      </c>
      <c r="AU84" s="68">
        <f t="shared" ref="AU84:AU88" si="243">ROUND((AH84+AI84+AJ84+AK84+AL84)*33.8%,0)</f>
        <v>32221</v>
      </c>
      <c r="AV84" s="68">
        <f>ROUND(AH84*1%,0)</f>
        <v>953</v>
      </c>
      <c r="AW84" s="421">
        <v>0</v>
      </c>
      <c r="AX84" s="421">
        <v>0</v>
      </c>
      <c r="AY84" s="421">
        <f>AW84+AX84</f>
        <v>0</v>
      </c>
      <c r="AZ84" s="421">
        <f>AT84+AU84+AV84+AY84</f>
        <v>128502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0.14000000000000001</v>
      </c>
      <c r="BI84" s="422">
        <v>0</v>
      </c>
      <c r="BJ84" s="422">
        <v>0</v>
      </c>
      <c r="BK84" s="422">
        <f>BA84+BC84+BD84+BF84+BH84+BI84</f>
        <v>0.14000000000000001</v>
      </c>
      <c r="BL84" s="422">
        <f>BB84+BE84+BG84+BJ84</f>
        <v>0</v>
      </c>
      <c r="BM84" s="611">
        <f>SUM(BK84:BL84)</f>
        <v>0.14000000000000001</v>
      </c>
      <c r="BN84" s="428">
        <f>I84+AZ84</f>
        <v>25696939</v>
      </c>
      <c r="BO84" s="421">
        <f>J84+AH84</f>
        <v>18769855</v>
      </c>
      <c r="BP84" s="421">
        <f t="shared" ref="BP84:BQ88" si="244">K84+AF84</f>
        <v>17283152</v>
      </c>
      <c r="BQ84" s="421">
        <f t="shared" si="244"/>
        <v>1486703</v>
      </c>
      <c r="BR84" s="421">
        <f>M84+AQ84</f>
        <v>0</v>
      </c>
      <c r="BS84" s="421">
        <f t="shared" ref="BS84:BT88" si="245">N84+AO84</f>
        <v>0</v>
      </c>
      <c r="BT84" s="421">
        <f t="shared" si="245"/>
        <v>0</v>
      </c>
      <c r="BU84" s="421">
        <f t="shared" ref="BU84:BV88" si="246">P84+AU84</f>
        <v>6344211</v>
      </c>
      <c r="BV84" s="421">
        <f t="shared" si="246"/>
        <v>187698</v>
      </c>
      <c r="BW84" s="421">
        <f>R84+AY84</f>
        <v>395175</v>
      </c>
      <c r="BX84" s="422">
        <f>S84+BM84</f>
        <v>30.123600000000003</v>
      </c>
      <c r="BY84" s="422">
        <f t="shared" ref="BY84:BZ88" si="247">T84+BK84</f>
        <v>25.730900000000002</v>
      </c>
      <c r="BZ84" s="611">
        <f t="shared" si="247"/>
        <v>4.3926999999999996</v>
      </c>
      <c r="CA84" s="423"/>
      <c r="CB84" s="418"/>
      <c r="CC84" s="418"/>
      <c r="CD84" s="418"/>
      <c r="CE84" s="418"/>
      <c r="CF84" s="527"/>
    </row>
    <row r="85" spans="1:84" s="222" customFormat="1" x14ac:dyDescent="0.2">
      <c r="A85" s="224">
        <v>20</v>
      </c>
      <c r="B85" s="225">
        <v>3409</v>
      </c>
      <c r="C85" s="225">
        <v>600078396</v>
      </c>
      <c r="D85" s="225">
        <v>43257399</v>
      </c>
      <c r="E85" s="226" t="s">
        <v>47</v>
      </c>
      <c r="F85" s="225">
        <v>3113</v>
      </c>
      <c r="G85" s="226" t="s">
        <v>292</v>
      </c>
      <c r="H85" s="227" t="s">
        <v>272</v>
      </c>
      <c r="I85" s="423">
        <f t="shared" si="237"/>
        <v>0</v>
      </c>
      <c r="J85" s="418">
        <f>K85+L85</f>
        <v>0</v>
      </c>
      <c r="K85" s="418">
        <v>0</v>
      </c>
      <c r="L85" s="418">
        <v>0</v>
      </c>
      <c r="M85" s="418">
        <f>N85+O85</f>
        <v>0</v>
      </c>
      <c r="N85" s="418"/>
      <c r="O85" s="418"/>
      <c r="P85" s="68">
        <f t="shared" si="238"/>
        <v>0</v>
      </c>
      <c r="Q85" s="68">
        <f t="shared" si="239"/>
        <v>0</v>
      </c>
      <c r="R85" s="418">
        <v>0</v>
      </c>
      <c r="S85" s="419">
        <f>T85+U85</f>
        <v>0</v>
      </c>
      <c r="T85" s="420">
        <v>0</v>
      </c>
      <c r="U85" s="527">
        <v>0</v>
      </c>
      <c r="V85" s="427">
        <f t="shared" si="240"/>
        <v>0</v>
      </c>
      <c r="W85" s="421">
        <f t="shared" si="240"/>
        <v>0</v>
      </c>
      <c r="X85" s="421">
        <f>3055255+47212+154501</f>
        <v>3256968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>V85+X85+Y85+AA85+AB85+AD85</f>
        <v>3256968</v>
      </c>
      <c r="AG85" s="421">
        <f>W85+Z85+AC85+AE85</f>
        <v>0</v>
      </c>
      <c r="AH85" s="421">
        <f>SUM(AF85:AG85)</f>
        <v>3256968</v>
      </c>
      <c r="AI85" s="421">
        <v>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si="241"/>
        <v>0</v>
      </c>
      <c r="AP85" s="421">
        <f>AJ85+AN85</f>
        <v>0</v>
      </c>
      <c r="AQ85" s="421">
        <f>SUM(AO85:AP85)</f>
        <v>0</v>
      </c>
      <c r="AR85" s="421">
        <f t="shared" si="242"/>
        <v>3256968</v>
      </c>
      <c r="AS85" s="421">
        <f t="shared" si="242"/>
        <v>0</v>
      </c>
      <c r="AT85" s="421">
        <f>SUM(AR85:AS85)</f>
        <v>3256968</v>
      </c>
      <c r="AU85" s="68">
        <f t="shared" si="243"/>
        <v>1100855</v>
      </c>
      <c r="AV85" s="68">
        <f>ROUND(AH85*1%,0)</f>
        <v>32570</v>
      </c>
      <c r="AW85" s="421">
        <v>0</v>
      </c>
      <c r="AX85" s="421">
        <v>0</v>
      </c>
      <c r="AY85" s="421">
        <f>AW85+AX85</f>
        <v>0</v>
      </c>
      <c r="AZ85" s="421">
        <f>AT85+AU85+AV85+AY85</f>
        <v>4390393</v>
      </c>
      <c r="BA85" s="422">
        <v>0</v>
      </c>
      <c r="BB85" s="422">
        <v>0</v>
      </c>
      <c r="BC85" s="422">
        <f>7.87+0.13+0.42</f>
        <v>8.42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>BA85+BC85+BD85+BF85+BH85+BI85</f>
        <v>8.42</v>
      </c>
      <c r="BL85" s="422">
        <f>BB85+BE85+BG85+BJ85</f>
        <v>0</v>
      </c>
      <c r="BM85" s="611">
        <f>SUM(BK85:BL85)</f>
        <v>8.42</v>
      </c>
      <c r="BN85" s="428">
        <f>I85+AZ85</f>
        <v>4390393</v>
      </c>
      <c r="BO85" s="421">
        <f>J85+AH85</f>
        <v>3256968</v>
      </c>
      <c r="BP85" s="421">
        <f t="shared" si="244"/>
        <v>3256968</v>
      </c>
      <c r="BQ85" s="421">
        <f t="shared" si="244"/>
        <v>0</v>
      </c>
      <c r="BR85" s="421">
        <f>M85+AQ85</f>
        <v>0</v>
      </c>
      <c r="BS85" s="421">
        <f t="shared" si="245"/>
        <v>0</v>
      </c>
      <c r="BT85" s="421">
        <f t="shared" si="245"/>
        <v>0</v>
      </c>
      <c r="BU85" s="421">
        <f t="shared" si="246"/>
        <v>1100855</v>
      </c>
      <c r="BV85" s="421">
        <f t="shared" si="246"/>
        <v>32570</v>
      </c>
      <c r="BW85" s="421">
        <f>R85+AY85</f>
        <v>0</v>
      </c>
      <c r="BX85" s="422">
        <f>S85+BM85</f>
        <v>8.42</v>
      </c>
      <c r="BY85" s="422">
        <f t="shared" si="247"/>
        <v>8.42</v>
      </c>
      <c r="BZ85" s="611">
        <f t="shared" si="247"/>
        <v>0</v>
      </c>
      <c r="CA85" s="423"/>
      <c r="CB85" s="418"/>
      <c r="CC85" s="418"/>
      <c r="CD85" s="418"/>
      <c r="CE85" s="418"/>
      <c r="CF85" s="527"/>
    </row>
    <row r="86" spans="1:84" s="222" customFormat="1" ht="12.75" customHeight="1" x14ac:dyDescent="0.2">
      <c r="A86" s="224">
        <v>20</v>
      </c>
      <c r="B86" s="225">
        <v>3409</v>
      </c>
      <c r="C86" s="225">
        <v>600078396</v>
      </c>
      <c r="D86" s="225">
        <v>43257399</v>
      </c>
      <c r="E86" s="226" t="s">
        <v>47</v>
      </c>
      <c r="F86" s="225">
        <v>3141</v>
      </c>
      <c r="G86" s="226" t="s">
        <v>295</v>
      </c>
      <c r="H86" s="227" t="s">
        <v>272</v>
      </c>
      <c r="I86" s="423">
        <f t="shared" si="237"/>
        <v>844634</v>
      </c>
      <c r="J86" s="418">
        <f>K86+L86</f>
        <v>622507</v>
      </c>
      <c r="K86" s="418">
        <v>0</v>
      </c>
      <c r="L86" s="418">
        <v>622507</v>
      </c>
      <c r="M86" s="418">
        <f>N86+O86</f>
        <v>0</v>
      </c>
      <c r="N86" s="418"/>
      <c r="O86" s="418"/>
      <c r="P86" s="68">
        <f t="shared" si="238"/>
        <v>210407</v>
      </c>
      <c r="Q86" s="68">
        <f t="shared" si="239"/>
        <v>6225</v>
      </c>
      <c r="R86" s="418">
        <v>5495</v>
      </c>
      <c r="S86" s="419">
        <f>T86+U86</f>
        <v>1.87</v>
      </c>
      <c r="T86" s="420">
        <v>0</v>
      </c>
      <c r="U86" s="527">
        <v>1.87</v>
      </c>
      <c r="V86" s="427">
        <f t="shared" si="240"/>
        <v>0</v>
      </c>
      <c r="W86" s="421">
        <f t="shared" si="240"/>
        <v>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>V86+X86+Y86+AA86+AB86+AD86</f>
        <v>0</v>
      </c>
      <c r="AG86" s="421">
        <f>W86+Z86+AC86+AE86</f>
        <v>0</v>
      </c>
      <c r="AH86" s="421">
        <f>SUM(AF86:AG86)</f>
        <v>0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si="241"/>
        <v>0</v>
      </c>
      <c r="AP86" s="421">
        <f>AJ86+AN86</f>
        <v>0</v>
      </c>
      <c r="AQ86" s="421">
        <f>SUM(AO86:AP86)</f>
        <v>0</v>
      </c>
      <c r="AR86" s="421">
        <f t="shared" si="242"/>
        <v>0</v>
      </c>
      <c r="AS86" s="421">
        <f t="shared" si="242"/>
        <v>0</v>
      </c>
      <c r="AT86" s="421">
        <f>SUM(AR86:AS86)</f>
        <v>0</v>
      </c>
      <c r="AU86" s="68">
        <f t="shared" si="243"/>
        <v>0</v>
      </c>
      <c r="AV86" s="68">
        <f>ROUND(AH86*1%,0)</f>
        <v>0</v>
      </c>
      <c r="AW86" s="421">
        <v>0</v>
      </c>
      <c r="AX86" s="421">
        <v>0</v>
      </c>
      <c r="AY86" s="421">
        <f>AW86+AX86</f>
        <v>0</v>
      </c>
      <c r="AZ86" s="421">
        <f>AT86+AU86+AV86+AY86</f>
        <v>0</v>
      </c>
      <c r="BA86" s="422">
        <v>0</v>
      </c>
      <c r="BB86" s="422">
        <v>0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>BA86+BC86+BD86+BF86+BH86+BI86</f>
        <v>0</v>
      </c>
      <c r="BL86" s="422">
        <f>BB86+BE86+BG86+BJ86</f>
        <v>0</v>
      </c>
      <c r="BM86" s="611">
        <f>SUM(BK86:BL86)</f>
        <v>0</v>
      </c>
      <c r="BN86" s="428">
        <f>I86+AZ86</f>
        <v>844634</v>
      </c>
      <c r="BO86" s="421">
        <f>J86+AH86</f>
        <v>622507</v>
      </c>
      <c r="BP86" s="421">
        <f t="shared" si="244"/>
        <v>0</v>
      </c>
      <c r="BQ86" s="421">
        <f t="shared" si="244"/>
        <v>622507</v>
      </c>
      <c r="BR86" s="421">
        <f>M86+AQ86</f>
        <v>0</v>
      </c>
      <c r="BS86" s="421">
        <f t="shared" si="245"/>
        <v>0</v>
      </c>
      <c r="BT86" s="421">
        <f t="shared" si="245"/>
        <v>0</v>
      </c>
      <c r="BU86" s="421">
        <f t="shared" si="246"/>
        <v>210407</v>
      </c>
      <c r="BV86" s="421">
        <f t="shared" si="246"/>
        <v>6225</v>
      </c>
      <c r="BW86" s="421">
        <f>R86+AY86</f>
        <v>5495</v>
      </c>
      <c r="BX86" s="422">
        <f>S86+BM86</f>
        <v>1.87</v>
      </c>
      <c r="BY86" s="422">
        <f t="shared" si="247"/>
        <v>0</v>
      </c>
      <c r="BZ86" s="611">
        <f t="shared" si="247"/>
        <v>1.87</v>
      </c>
      <c r="CA86" s="423"/>
      <c r="CB86" s="418"/>
      <c r="CC86" s="418"/>
      <c r="CD86" s="418"/>
      <c r="CE86" s="418"/>
      <c r="CF86" s="527"/>
    </row>
    <row r="87" spans="1:84" s="222" customFormat="1" ht="12.75" customHeight="1" x14ac:dyDescent="0.2">
      <c r="A87" s="224">
        <v>20</v>
      </c>
      <c r="B87" s="225">
        <v>3409</v>
      </c>
      <c r="C87" s="225">
        <v>600078396</v>
      </c>
      <c r="D87" s="225">
        <v>43257399</v>
      </c>
      <c r="E87" s="226" t="s">
        <v>47</v>
      </c>
      <c r="F87" s="225">
        <v>3143</v>
      </c>
      <c r="G87" s="226" t="s">
        <v>596</v>
      </c>
      <c r="H87" s="227" t="s">
        <v>271</v>
      </c>
      <c r="I87" s="423">
        <f t="shared" si="237"/>
        <v>3367292</v>
      </c>
      <c r="J87" s="418">
        <f>K87+L87</f>
        <v>2497991</v>
      </c>
      <c r="K87" s="418">
        <v>2497991</v>
      </c>
      <c r="L87" s="418">
        <v>0</v>
      </c>
      <c r="M87" s="418">
        <f>N87+O87</f>
        <v>0</v>
      </c>
      <c r="N87" s="418"/>
      <c r="O87" s="418"/>
      <c r="P87" s="68">
        <f t="shared" si="238"/>
        <v>844321</v>
      </c>
      <c r="Q87" s="68">
        <f t="shared" si="239"/>
        <v>24980</v>
      </c>
      <c r="R87" s="418">
        <v>0</v>
      </c>
      <c r="S87" s="419">
        <f>T87+U87</f>
        <v>5.25</v>
      </c>
      <c r="T87" s="420">
        <v>5.25</v>
      </c>
      <c r="U87" s="527">
        <v>0</v>
      </c>
      <c r="V87" s="427">
        <f t="shared" si="240"/>
        <v>0</v>
      </c>
      <c r="W87" s="421">
        <f t="shared" si="240"/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>V87+X87+Y87+AA87+AB87+AD87</f>
        <v>0</v>
      </c>
      <c r="AG87" s="421">
        <f>W87+Z87+AC87+AE87</f>
        <v>0</v>
      </c>
      <c r="AH87" s="421">
        <f>SUM(AF87:AG87)</f>
        <v>0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41"/>
        <v>0</v>
      </c>
      <c r="AP87" s="421">
        <f>AJ87+AN87</f>
        <v>0</v>
      </c>
      <c r="AQ87" s="421">
        <f>SUM(AO87:AP87)</f>
        <v>0</v>
      </c>
      <c r="AR87" s="421">
        <f t="shared" si="242"/>
        <v>0</v>
      </c>
      <c r="AS87" s="421">
        <f t="shared" si="242"/>
        <v>0</v>
      </c>
      <c r="AT87" s="421">
        <f>SUM(AR87:AS87)</f>
        <v>0</v>
      </c>
      <c r="AU87" s="68">
        <f t="shared" si="243"/>
        <v>0</v>
      </c>
      <c r="AV87" s="68">
        <f>ROUND(AH87*1%,0)</f>
        <v>0</v>
      </c>
      <c r="AW87" s="421">
        <v>0</v>
      </c>
      <c r="AX87" s="421">
        <v>0</v>
      </c>
      <c r="AY87" s="421">
        <f>AW87+AX87</f>
        <v>0</v>
      </c>
      <c r="AZ87" s="421">
        <f>AT87+AU87+AV87+AY87</f>
        <v>0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>BA87+BC87+BD87+BF87+BH87+BI87</f>
        <v>0</v>
      </c>
      <c r="BL87" s="422">
        <f>BB87+BE87+BG87+BJ87</f>
        <v>0</v>
      </c>
      <c r="BM87" s="611">
        <f>SUM(BK87:BL87)</f>
        <v>0</v>
      </c>
      <c r="BN87" s="428">
        <f>I87+AZ87</f>
        <v>3367292</v>
      </c>
      <c r="BO87" s="421">
        <f>J87+AH87</f>
        <v>2497991</v>
      </c>
      <c r="BP87" s="421">
        <f t="shared" si="244"/>
        <v>2497991</v>
      </c>
      <c r="BQ87" s="421">
        <f t="shared" si="244"/>
        <v>0</v>
      </c>
      <c r="BR87" s="421">
        <f>M87+AQ87</f>
        <v>0</v>
      </c>
      <c r="BS87" s="421">
        <f t="shared" si="245"/>
        <v>0</v>
      </c>
      <c r="BT87" s="421">
        <f t="shared" si="245"/>
        <v>0</v>
      </c>
      <c r="BU87" s="421">
        <f t="shared" si="246"/>
        <v>844321</v>
      </c>
      <c r="BV87" s="421">
        <f t="shared" si="246"/>
        <v>24980</v>
      </c>
      <c r="BW87" s="421">
        <f>R87+AY87</f>
        <v>0</v>
      </c>
      <c r="BX87" s="422">
        <f>S87+BM87</f>
        <v>5.25</v>
      </c>
      <c r="BY87" s="422">
        <f t="shared" si="247"/>
        <v>5.25</v>
      </c>
      <c r="BZ87" s="611">
        <f t="shared" si="247"/>
        <v>0</v>
      </c>
      <c r="CA87" s="423"/>
      <c r="CB87" s="418"/>
      <c r="CC87" s="418"/>
      <c r="CD87" s="418"/>
      <c r="CE87" s="418"/>
      <c r="CF87" s="527"/>
    </row>
    <row r="88" spans="1:84" s="222" customFormat="1" ht="12.75" customHeight="1" x14ac:dyDescent="0.2">
      <c r="A88" s="224">
        <v>20</v>
      </c>
      <c r="B88" s="225">
        <v>3409</v>
      </c>
      <c r="C88" s="225">
        <v>600078396</v>
      </c>
      <c r="D88" s="225">
        <v>43257399</v>
      </c>
      <c r="E88" s="226" t="s">
        <v>47</v>
      </c>
      <c r="F88" s="225">
        <v>3143</v>
      </c>
      <c r="G88" s="226" t="s">
        <v>597</v>
      </c>
      <c r="H88" s="227" t="s">
        <v>272</v>
      </c>
      <c r="I88" s="423">
        <f t="shared" si="237"/>
        <v>69673</v>
      </c>
      <c r="J88" s="418">
        <f>K88+L88</f>
        <v>49870</v>
      </c>
      <c r="K88" s="418">
        <v>0</v>
      </c>
      <c r="L88" s="418">
        <v>49870</v>
      </c>
      <c r="M88" s="418">
        <f>N88+O88</f>
        <v>0</v>
      </c>
      <c r="N88" s="418"/>
      <c r="O88" s="418"/>
      <c r="P88" s="68">
        <f t="shared" si="238"/>
        <v>16856</v>
      </c>
      <c r="Q88" s="68">
        <f t="shared" si="239"/>
        <v>499</v>
      </c>
      <c r="R88" s="418">
        <v>2448</v>
      </c>
      <c r="S88" s="419">
        <f>T88+U88</f>
        <v>0.19</v>
      </c>
      <c r="T88" s="420">
        <v>0</v>
      </c>
      <c r="U88" s="527">
        <v>0.19</v>
      </c>
      <c r="V88" s="427">
        <f t="shared" si="240"/>
        <v>0</v>
      </c>
      <c r="W88" s="421">
        <f t="shared" si="240"/>
        <v>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>V88+X88+Y88+AA88+AB88+AD88</f>
        <v>0</v>
      </c>
      <c r="AG88" s="421">
        <f>W88+Z88+AC88+AE88</f>
        <v>0</v>
      </c>
      <c r="AH88" s="421">
        <f>SUM(AF88:AG88)</f>
        <v>0</v>
      </c>
      <c r="AI88" s="421">
        <v>0</v>
      </c>
      <c r="AJ88" s="421">
        <v>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241"/>
        <v>0</v>
      </c>
      <c r="AP88" s="421">
        <f>AJ88+AN88</f>
        <v>0</v>
      </c>
      <c r="AQ88" s="421">
        <f>SUM(AO88:AP88)</f>
        <v>0</v>
      </c>
      <c r="AR88" s="421">
        <f t="shared" si="242"/>
        <v>0</v>
      </c>
      <c r="AS88" s="421">
        <f t="shared" si="242"/>
        <v>0</v>
      </c>
      <c r="AT88" s="421">
        <f>SUM(AR88:AS88)</f>
        <v>0</v>
      </c>
      <c r="AU88" s="68">
        <f t="shared" si="243"/>
        <v>0</v>
      </c>
      <c r="AV88" s="68">
        <f>ROUND(AH88*1%,0)</f>
        <v>0</v>
      </c>
      <c r="AW88" s="421">
        <v>0</v>
      </c>
      <c r="AX88" s="421">
        <v>0</v>
      </c>
      <c r="AY88" s="421">
        <f>AW88+AX88</f>
        <v>0</v>
      </c>
      <c r="AZ88" s="421">
        <f>AT88+AU88+AV88+AY88</f>
        <v>0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>BA88+BC88+BD88+BF88+BH88+BI88</f>
        <v>0</v>
      </c>
      <c r="BL88" s="422">
        <f>BB88+BE88+BG88+BJ88</f>
        <v>0</v>
      </c>
      <c r="BM88" s="611">
        <f>SUM(BK88:BL88)</f>
        <v>0</v>
      </c>
      <c r="BN88" s="428">
        <f>I88+AZ88</f>
        <v>69673</v>
      </c>
      <c r="BO88" s="421">
        <f>J88+AH88</f>
        <v>49870</v>
      </c>
      <c r="BP88" s="421">
        <f t="shared" si="244"/>
        <v>0</v>
      </c>
      <c r="BQ88" s="421">
        <f t="shared" si="244"/>
        <v>49870</v>
      </c>
      <c r="BR88" s="421">
        <f>M88+AQ88</f>
        <v>0</v>
      </c>
      <c r="BS88" s="421">
        <f t="shared" si="245"/>
        <v>0</v>
      </c>
      <c r="BT88" s="421">
        <f t="shared" si="245"/>
        <v>0</v>
      </c>
      <c r="BU88" s="421">
        <f t="shared" si="246"/>
        <v>16856</v>
      </c>
      <c r="BV88" s="421">
        <f t="shared" si="246"/>
        <v>499</v>
      </c>
      <c r="BW88" s="421">
        <f>R88+AY88</f>
        <v>2448</v>
      </c>
      <c r="BX88" s="422">
        <f>S88+BM88</f>
        <v>0.19</v>
      </c>
      <c r="BY88" s="422">
        <f t="shared" si="247"/>
        <v>0</v>
      </c>
      <c r="BZ88" s="611">
        <f t="shared" si="247"/>
        <v>0.19</v>
      </c>
      <c r="CA88" s="423"/>
      <c r="CB88" s="418"/>
      <c r="CC88" s="418"/>
      <c r="CD88" s="418"/>
      <c r="CE88" s="418"/>
      <c r="CF88" s="527"/>
    </row>
    <row r="89" spans="1:84" s="222" customFormat="1" ht="12.75" customHeight="1" x14ac:dyDescent="0.2">
      <c r="A89" s="153">
        <v>20</v>
      </c>
      <c r="B89" s="14">
        <v>3409</v>
      </c>
      <c r="C89" s="152">
        <v>600078396</v>
      </c>
      <c r="D89" s="152">
        <v>43257399</v>
      </c>
      <c r="E89" s="223" t="s">
        <v>48</v>
      </c>
      <c r="F89" s="14"/>
      <c r="G89" s="223"/>
      <c r="H89" s="592"/>
      <c r="I89" s="522">
        <f t="shared" ref="I89:BU89" si="248">SUM(I84:I88)</f>
        <v>29850036</v>
      </c>
      <c r="J89" s="521">
        <f t="shared" si="248"/>
        <v>21844895</v>
      </c>
      <c r="K89" s="521">
        <f t="shared" si="248"/>
        <v>19685815</v>
      </c>
      <c r="L89" s="521">
        <f t="shared" si="248"/>
        <v>2159080</v>
      </c>
      <c r="M89" s="521">
        <f t="shared" si="248"/>
        <v>0</v>
      </c>
      <c r="N89" s="521">
        <f t="shared" si="248"/>
        <v>0</v>
      </c>
      <c r="O89" s="521">
        <f t="shared" si="248"/>
        <v>0</v>
      </c>
      <c r="P89" s="521">
        <f t="shared" si="248"/>
        <v>7383574</v>
      </c>
      <c r="Q89" s="521">
        <f t="shared" si="248"/>
        <v>218449</v>
      </c>
      <c r="R89" s="521">
        <f t="shared" si="248"/>
        <v>403118</v>
      </c>
      <c r="S89" s="572">
        <f t="shared" si="248"/>
        <v>37.293599999999998</v>
      </c>
      <c r="T89" s="572">
        <f t="shared" si="248"/>
        <v>30.840900000000001</v>
      </c>
      <c r="U89" s="448">
        <f t="shared" si="248"/>
        <v>6.4527000000000001</v>
      </c>
      <c r="V89" s="614">
        <f t="shared" si="248"/>
        <v>0</v>
      </c>
      <c r="W89" s="521">
        <f t="shared" si="248"/>
        <v>0</v>
      </c>
      <c r="X89" s="521">
        <f t="shared" si="248"/>
        <v>3256968</v>
      </c>
      <c r="Y89" s="521">
        <f t="shared" si="248"/>
        <v>0</v>
      </c>
      <c r="Z89" s="521">
        <f t="shared" si="248"/>
        <v>0</v>
      </c>
      <c r="AA89" s="521">
        <f t="shared" si="248"/>
        <v>95328</v>
      </c>
      <c r="AB89" s="521">
        <f t="shared" si="248"/>
        <v>0</v>
      </c>
      <c r="AC89" s="521">
        <f t="shared" si="248"/>
        <v>0</v>
      </c>
      <c r="AD89" s="521">
        <f t="shared" si="248"/>
        <v>0</v>
      </c>
      <c r="AE89" s="521">
        <f t="shared" si="248"/>
        <v>0</v>
      </c>
      <c r="AF89" s="521">
        <f t="shared" si="248"/>
        <v>3352296</v>
      </c>
      <c r="AG89" s="521">
        <f t="shared" si="248"/>
        <v>0</v>
      </c>
      <c r="AH89" s="521">
        <f t="shared" si="248"/>
        <v>3352296</v>
      </c>
      <c r="AI89" s="521">
        <f t="shared" si="248"/>
        <v>0</v>
      </c>
      <c r="AJ89" s="521">
        <f t="shared" si="248"/>
        <v>0</v>
      </c>
      <c r="AK89" s="521">
        <f t="shared" ref="AK89" si="249">SUM(AK84:AK88)</f>
        <v>0</v>
      </c>
      <c r="AL89" s="521">
        <f t="shared" si="248"/>
        <v>0</v>
      </c>
      <c r="AM89" s="521">
        <f t="shared" si="248"/>
        <v>0</v>
      </c>
      <c r="AN89" s="521">
        <f t="shared" si="248"/>
        <v>0</v>
      </c>
      <c r="AO89" s="521">
        <f t="shared" si="248"/>
        <v>0</v>
      </c>
      <c r="AP89" s="521">
        <f t="shared" si="248"/>
        <v>0</v>
      </c>
      <c r="AQ89" s="521">
        <f t="shared" si="248"/>
        <v>0</v>
      </c>
      <c r="AR89" s="521">
        <f t="shared" si="248"/>
        <v>3352296</v>
      </c>
      <c r="AS89" s="521">
        <f t="shared" si="248"/>
        <v>0</v>
      </c>
      <c r="AT89" s="521">
        <f t="shared" si="248"/>
        <v>3352296</v>
      </c>
      <c r="AU89" s="521">
        <f t="shared" si="248"/>
        <v>1133076</v>
      </c>
      <c r="AV89" s="521">
        <f t="shared" si="248"/>
        <v>33523</v>
      </c>
      <c r="AW89" s="521">
        <f t="shared" si="248"/>
        <v>0</v>
      </c>
      <c r="AX89" s="521">
        <f t="shared" si="248"/>
        <v>0</v>
      </c>
      <c r="AY89" s="521">
        <f t="shared" si="248"/>
        <v>0</v>
      </c>
      <c r="AZ89" s="521">
        <f t="shared" si="248"/>
        <v>4518895</v>
      </c>
      <c r="BA89" s="572">
        <f t="shared" si="248"/>
        <v>0</v>
      </c>
      <c r="BB89" s="572">
        <f t="shared" si="248"/>
        <v>0</v>
      </c>
      <c r="BC89" s="572">
        <f t="shared" si="248"/>
        <v>8.42</v>
      </c>
      <c r="BD89" s="572">
        <f t="shared" si="248"/>
        <v>0</v>
      </c>
      <c r="BE89" s="572">
        <f t="shared" si="248"/>
        <v>0</v>
      </c>
      <c r="BF89" s="572">
        <f t="shared" si="248"/>
        <v>0</v>
      </c>
      <c r="BG89" s="572">
        <f t="shared" si="248"/>
        <v>0</v>
      </c>
      <c r="BH89" s="572">
        <f t="shared" si="248"/>
        <v>0.14000000000000001</v>
      </c>
      <c r="BI89" s="572">
        <f t="shared" si="248"/>
        <v>0</v>
      </c>
      <c r="BJ89" s="572">
        <f t="shared" si="248"/>
        <v>0</v>
      </c>
      <c r="BK89" s="572">
        <f t="shared" si="248"/>
        <v>8.56</v>
      </c>
      <c r="BL89" s="572">
        <f t="shared" si="248"/>
        <v>0</v>
      </c>
      <c r="BM89" s="403">
        <f t="shared" si="248"/>
        <v>8.56</v>
      </c>
      <c r="BN89" s="522">
        <f t="shared" si="248"/>
        <v>34368931</v>
      </c>
      <c r="BO89" s="521">
        <f t="shared" si="248"/>
        <v>25197191</v>
      </c>
      <c r="BP89" s="521">
        <f t="shared" si="248"/>
        <v>23038111</v>
      </c>
      <c r="BQ89" s="521">
        <f t="shared" si="248"/>
        <v>2159080</v>
      </c>
      <c r="BR89" s="521">
        <f t="shared" si="248"/>
        <v>0</v>
      </c>
      <c r="BS89" s="521">
        <f t="shared" si="248"/>
        <v>0</v>
      </c>
      <c r="BT89" s="521">
        <f t="shared" si="248"/>
        <v>0</v>
      </c>
      <c r="BU89" s="521">
        <f t="shared" si="248"/>
        <v>8516650</v>
      </c>
      <c r="BV89" s="521">
        <f t="shared" ref="BV89:CF89" si="250">SUM(BV84:BV88)</f>
        <v>251972</v>
      </c>
      <c r="BW89" s="521">
        <f t="shared" si="250"/>
        <v>403118</v>
      </c>
      <c r="BX89" s="572">
        <f t="shared" si="250"/>
        <v>45.8536</v>
      </c>
      <c r="BY89" s="572">
        <f t="shared" si="250"/>
        <v>39.4009</v>
      </c>
      <c r="BZ89" s="403">
        <f t="shared" si="250"/>
        <v>6.4527000000000001</v>
      </c>
      <c r="CA89" s="833">
        <f t="shared" si="250"/>
        <v>0</v>
      </c>
      <c r="CB89" s="834">
        <f t="shared" si="250"/>
        <v>0</v>
      </c>
      <c r="CC89" s="834">
        <f t="shared" si="250"/>
        <v>0</v>
      </c>
      <c r="CD89" s="834">
        <f t="shared" si="250"/>
        <v>0</v>
      </c>
      <c r="CE89" s="834">
        <f t="shared" si="250"/>
        <v>0</v>
      </c>
      <c r="CF89" s="829">
        <f t="shared" si="250"/>
        <v>0</v>
      </c>
    </row>
    <row r="90" spans="1:84" s="222" customFormat="1" ht="12.75" customHeight="1" x14ac:dyDescent="0.2">
      <c r="A90" s="224">
        <v>21</v>
      </c>
      <c r="B90" s="225">
        <v>3415</v>
      </c>
      <c r="C90" s="225">
        <v>600078523</v>
      </c>
      <c r="D90" s="225">
        <v>72743271</v>
      </c>
      <c r="E90" s="226" t="s">
        <v>49</v>
      </c>
      <c r="F90" s="225">
        <v>3113</v>
      </c>
      <c r="G90" s="226" t="s">
        <v>294</v>
      </c>
      <c r="H90" s="227" t="s">
        <v>271</v>
      </c>
      <c r="I90" s="423">
        <f t="shared" ref="I90:I94" si="251">J90+P90+Q90+R90</f>
        <v>32101667</v>
      </c>
      <c r="J90" s="418">
        <f>K90+L90</f>
        <v>23485788</v>
      </c>
      <c r="K90" s="418">
        <v>21865344</v>
      </c>
      <c r="L90" s="418">
        <v>1620444</v>
      </c>
      <c r="M90" s="418">
        <f>N90+O90</f>
        <v>0</v>
      </c>
      <c r="N90" s="418"/>
      <c r="O90" s="418"/>
      <c r="P90" s="68">
        <f>ROUND(J90*33.8%,0)+1</f>
        <v>7938197</v>
      </c>
      <c r="Q90" s="68">
        <f t="shared" ref="Q90:Q94" si="252">ROUND(J90*1%,0)</f>
        <v>234858</v>
      </c>
      <c r="R90" s="418">
        <v>442824</v>
      </c>
      <c r="S90" s="419">
        <f>T90+U90</f>
        <v>34.4908</v>
      </c>
      <c r="T90" s="420">
        <v>29.590800000000002</v>
      </c>
      <c r="U90" s="527">
        <v>4.9000000000000004</v>
      </c>
      <c r="V90" s="427">
        <f t="shared" ref="V90:W94" si="253">AI90*-1</f>
        <v>-6400</v>
      </c>
      <c r="W90" s="421">
        <f t="shared" si="253"/>
        <v>0</v>
      </c>
      <c r="X90" s="421">
        <v>0</v>
      </c>
      <c r="Y90" s="421">
        <v>0</v>
      </c>
      <c r="Z90" s="421">
        <v>0</v>
      </c>
      <c r="AA90" s="421">
        <v>0</v>
      </c>
      <c r="AB90" s="421">
        <v>564000</v>
      </c>
      <c r="AC90" s="421">
        <v>0</v>
      </c>
      <c r="AD90" s="421">
        <v>0</v>
      </c>
      <c r="AE90" s="421">
        <v>0</v>
      </c>
      <c r="AF90" s="421">
        <f>V90+X90+Y90+AA90+AB90+AD90</f>
        <v>557600</v>
      </c>
      <c r="AG90" s="421">
        <f>W90+Z90+AC90+AE90</f>
        <v>0</v>
      </c>
      <c r="AH90" s="421">
        <f>SUM(AF90:AG90)</f>
        <v>557600</v>
      </c>
      <c r="AI90" s="421">
        <v>6400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ref="AO90:AO94" si="254">AI90+AK90+AL90+AM90</f>
        <v>6400</v>
      </c>
      <c r="AP90" s="421">
        <f>AJ90+AN90</f>
        <v>0</v>
      </c>
      <c r="AQ90" s="421">
        <f>SUM(AO90:AP90)</f>
        <v>6400</v>
      </c>
      <c r="AR90" s="421">
        <f t="shared" ref="AR90:AS94" si="255">AF90+AO90</f>
        <v>564000</v>
      </c>
      <c r="AS90" s="421">
        <f t="shared" si="255"/>
        <v>0</v>
      </c>
      <c r="AT90" s="421">
        <f>SUM(AR90:AS90)</f>
        <v>564000</v>
      </c>
      <c r="AU90" s="68">
        <f t="shared" ref="AU90:AU94" si="256">ROUND((AH90+AI90+AJ90+AK90+AL90)*33.8%,0)</f>
        <v>190632</v>
      </c>
      <c r="AV90" s="68">
        <f>ROUND(AH90*1%,0)</f>
        <v>5576</v>
      </c>
      <c r="AW90" s="421">
        <v>0</v>
      </c>
      <c r="AX90" s="421">
        <v>0</v>
      </c>
      <c r="AY90" s="421">
        <f>AW90+AX90</f>
        <v>0</v>
      </c>
      <c r="AZ90" s="421">
        <f>AT90+AU90+AV90+AY90</f>
        <v>760208</v>
      </c>
      <c r="BA90" s="422">
        <v>0</v>
      </c>
      <c r="BB90" s="422">
        <v>0</v>
      </c>
      <c r="BC90" s="422">
        <v>0</v>
      </c>
      <c r="BD90" s="422">
        <v>1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>BA90+BC90+BD90+BF90+BH90+BI90</f>
        <v>1</v>
      </c>
      <c r="BL90" s="422">
        <f>BB90+BE90+BG90+BJ90</f>
        <v>0</v>
      </c>
      <c r="BM90" s="611">
        <f>SUM(BK90:BL90)</f>
        <v>1</v>
      </c>
      <c r="BN90" s="428">
        <f>I90+AZ90</f>
        <v>32861875</v>
      </c>
      <c r="BO90" s="421">
        <f>J90+AH90</f>
        <v>24043388</v>
      </c>
      <c r="BP90" s="421">
        <f t="shared" ref="BP90:BQ94" si="257">K90+AF90</f>
        <v>22422944</v>
      </c>
      <c r="BQ90" s="421">
        <f t="shared" si="257"/>
        <v>1620444</v>
      </c>
      <c r="BR90" s="421">
        <f>M90+AQ90</f>
        <v>6400</v>
      </c>
      <c r="BS90" s="421">
        <f t="shared" ref="BS90:BT94" si="258">N90+AO90</f>
        <v>6400</v>
      </c>
      <c r="BT90" s="421">
        <f t="shared" si="258"/>
        <v>0</v>
      </c>
      <c r="BU90" s="421">
        <f t="shared" ref="BU90:BV94" si="259">P90+AU90</f>
        <v>8128829</v>
      </c>
      <c r="BV90" s="421">
        <f t="shared" si="259"/>
        <v>240434</v>
      </c>
      <c r="BW90" s="421">
        <f>R90+AY90</f>
        <v>442824</v>
      </c>
      <c r="BX90" s="422">
        <f>S90+BM90</f>
        <v>35.4908</v>
      </c>
      <c r="BY90" s="422">
        <f t="shared" ref="BY90:BZ94" si="260">T90+BK90</f>
        <v>30.590800000000002</v>
      </c>
      <c r="BZ90" s="611">
        <f t="shared" si="260"/>
        <v>4.9000000000000004</v>
      </c>
      <c r="CA90" s="423">
        <v>760272</v>
      </c>
      <c r="CB90" s="418">
        <v>564000</v>
      </c>
      <c r="CC90" s="418">
        <v>0</v>
      </c>
      <c r="CD90" s="418">
        <v>190632</v>
      </c>
      <c r="CE90" s="418">
        <v>5640</v>
      </c>
      <c r="CF90" s="527">
        <v>1</v>
      </c>
    </row>
    <row r="91" spans="1:84" s="222" customFormat="1" x14ac:dyDescent="0.2">
      <c r="A91" s="224">
        <v>21</v>
      </c>
      <c r="B91" s="225">
        <v>3415</v>
      </c>
      <c r="C91" s="225">
        <v>600078523</v>
      </c>
      <c r="D91" s="225">
        <v>72743271</v>
      </c>
      <c r="E91" s="226" t="s">
        <v>49</v>
      </c>
      <c r="F91" s="225">
        <v>3113</v>
      </c>
      <c r="G91" s="226" t="s">
        <v>292</v>
      </c>
      <c r="H91" s="227" t="s">
        <v>272</v>
      </c>
      <c r="I91" s="423">
        <f t="shared" si="251"/>
        <v>0</v>
      </c>
      <c r="J91" s="418">
        <f>K91+L91</f>
        <v>0</v>
      </c>
      <c r="K91" s="418">
        <v>0</v>
      </c>
      <c r="L91" s="418">
        <v>0</v>
      </c>
      <c r="M91" s="418">
        <f>N91+O91</f>
        <v>0</v>
      </c>
      <c r="N91" s="418"/>
      <c r="O91" s="418"/>
      <c r="P91" s="68">
        <f t="shared" ref="P91:P94" si="261">ROUND(J91*33.8%,0)</f>
        <v>0</v>
      </c>
      <c r="Q91" s="68">
        <f t="shared" si="252"/>
        <v>0</v>
      </c>
      <c r="R91" s="418">
        <v>0</v>
      </c>
      <c r="S91" s="419">
        <f>T91+U91</f>
        <v>0</v>
      </c>
      <c r="T91" s="420">
        <v>0</v>
      </c>
      <c r="U91" s="527">
        <v>0</v>
      </c>
      <c r="V91" s="427">
        <f t="shared" si="253"/>
        <v>0</v>
      </c>
      <c r="W91" s="421">
        <f t="shared" si="253"/>
        <v>0</v>
      </c>
      <c r="X91" s="421">
        <v>2002660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>V91+X91+Y91+AA91+AB91+AD91</f>
        <v>2002660</v>
      </c>
      <c r="AG91" s="421">
        <f>W91+Z91+AC91+AE91</f>
        <v>0</v>
      </c>
      <c r="AH91" s="421">
        <f>SUM(AF91:AG91)</f>
        <v>2002660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254"/>
        <v>0</v>
      </c>
      <c r="AP91" s="421">
        <f>AJ91+AN91</f>
        <v>0</v>
      </c>
      <c r="AQ91" s="421">
        <f>SUM(AO91:AP91)</f>
        <v>0</v>
      </c>
      <c r="AR91" s="421">
        <f t="shared" si="255"/>
        <v>2002660</v>
      </c>
      <c r="AS91" s="421">
        <f t="shared" si="255"/>
        <v>0</v>
      </c>
      <c r="AT91" s="421">
        <f>SUM(AR91:AS91)</f>
        <v>2002660</v>
      </c>
      <c r="AU91" s="68">
        <f t="shared" si="256"/>
        <v>676899</v>
      </c>
      <c r="AV91" s="68">
        <f>ROUND(AH91*1%,0)</f>
        <v>20027</v>
      </c>
      <c r="AW91" s="421">
        <v>0</v>
      </c>
      <c r="AX91" s="421">
        <v>0</v>
      </c>
      <c r="AY91" s="421">
        <f>AW91+AX91</f>
        <v>0</v>
      </c>
      <c r="AZ91" s="421">
        <f>AT91+AU91+AV91+AY91</f>
        <v>2699586</v>
      </c>
      <c r="BA91" s="422">
        <v>0</v>
      </c>
      <c r="BB91" s="422">
        <v>0</v>
      </c>
      <c r="BC91" s="422">
        <v>5.45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5.45</v>
      </c>
      <c r="BL91" s="422">
        <f>BB91+BE91+BG91+BJ91</f>
        <v>0</v>
      </c>
      <c r="BM91" s="611">
        <f>SUM(BK91:BL91)</f>
        <v>5.45</v>
      </c>
      <c r="BN91" s="428">
        <f>I91+AZ91</f>
        <v>2699586</v>
      </c>
      <c r="BO91" s="421">
        <f>J91+AH91</f>
        <v>2002660</v>
      </c>
      <c r="BP91" s="421">
        <f t="shared" si="257"/>
        <v>2002660</v>
      </c>
      <c r="BQ91" s="421">
        <f t="shared" si="257"/>
        <v>0</v>
      </c>
      <c r="BR91" s="421">
        <f>M91+AQ91</f>
        <v>0</v>
      </c>
      <c r="BS91" s="421">
        <f t="shared" si="258"/>
        <v>0</v>
      </c>
      <c r="BT91" s="421">
        <f t="shared" si="258"/>
        <v>0</v>
      </c>
      <c r="BU91" s="421">
        <f t="shared" si="259"/>
        <v>676899</v>
      </c>
      <c r="BV91" s="421">
        <f t="shared" si="259"/>
        <v>20027</v>
      </c>
      <c r="BW91" s="421">
        <f>R91+AY91</f>
        <v>0</v>
      </c>
      <c r="BX91" s="422">
        <f>S91+BM91</f>
        <v>5.45</v>
      </c>
      <c r="BY91" s="422">
        <f t="shared" si="260"/>
        <v>5.45</v>
      </c>
      <c r="BZ91" s="611">
        <f t="shared" si="260"/>
        <v>0</v>
      </c>
      <c r="CA91" s="423"/>
      <c r="CB91" s="418"/>
      <c r="CC91" s="418"/>
      <c r="CD91" s="418"/>
      <c r="CE91" s="418"/>
      <c r="CF91" s="527"/>
    </row>
    <row r="92" spans="1:84" s="222" customFormat="1" ht="12.75" customHeight="1" x14ac:dyDescent="0.2">
      <c r="A92" s="224">
        <v>21</v>
      </c>
      <c r="B92" s="225">
        <v>3415</v>
      </c>
      <c r="C92" s="225">
        <v>600078523</v>
      </c>
      <c r="D92" s="225">
        <v>72743271</v>
      </c>
      <c r="E92" s="226" t="s">
        <v>49</v>
      </c>
      <c r="F92" s="225">
        <v>3141</v>
      </c>
      <c r="G92" s="226" t="s">
        <v>295</v>
      </c>
      <c r="H92" s="227" t="s">
        <v>272</v>
      </c>
      <c r="I92" s="423">
        <f t="shared" si="251"/>
        <v>1848821</v>
      </c>
      <c r="J92" s="418">
        <f>K92+L92</f>
        <v>1360598</v>
      </c>
      <c r="K92" s="418">
        <v>0</v>
      </c>
      <c r="L92" s="418">
        <v>1360598</v>
      </c>
      <c r="M92" s="418">
        <f>N92+O92</f>
        <v>0</v>
      </c>
      <c r="N92" s="418"/>
      <c r="O92" s="418"/>
      <c r="P92" s="68">
        <f t="shared" si="261"/>
        <v>459882</v>
      </c>
      <c r="Q92" s="68">
        <f t="shared" si="252"/>
        <v>13606</v>
      </c>
      <c r="R92" s="418">
        <v>14735</v>
      </c>
      <c r="S92" s="419">
        <f>T92+U92</f>
        <v>4.08</v>
      </c>
      <c r="T92" s="420">
        <v>0</v>
      </c>
      <c r="U92" s="527">
        <v>4.08</v>
      </c>
      <c r="V92" s="427">
        <f t="shared" si="253"/>
        <v>0</v>
      </c>
      <c r="W92" s="421">
        <f t="shared" si="253"/>
        <v>0</v>
      </c>
      <c r="X92" s="421">
        <v>0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f>V92+X92+Y92+AA92+AB92+AD92</f>
        <v>0</v>
      </c>
      <c r="AG92" s="421">
        <f>W92+Z92+AC92+AE92</f>
        <v>0</v>
      </c>
      <c r="AH92" s="421">
        <f>SUM(AF92:AG92)</f>
        <v>0</v>
      </c>
      <c r="AI92" s="421">
        <v>0</v>
      </c>
      <c r="AJ92" s="421">
        <v>0</v>
      </c>
      <c r="AK92" s="421">
        <v>0</v>
      </c>
      <c r="AL92" s="421">
        <v>0</v>
      </c>
      <c r="AM92" s="421">
        <v>0</v>
      </c>
      <c r="AN92" s="421">
        <v>0</v>
      </c>
      <c r="AO92" s="421">
        <f t="shared" si="254"/>
        <v>0</v>
      </c>
      <c r="AP92" s="421">
        <f>AJ92+AN92</f>
        <v>0</v>
      </c>
      <c r="AQ92" s="421">
        <f>SUM(AO92:AP92)</f>
        <v>0</v>
      </c>
      <c r="AR92" s="421">
        <f t="shared" si="255"/>
        <v>0</v>
      </c>
      <c r="AS92" s="421">
        <f t="shared" si="255"/>
        <v>0</v>
      </c>
      <c r="AT92" s="421">
        <f>SUM(AR92:AS92)</f>
        <v>0</v>
      </c>
      <c r="AU92" s="68">
        <f t="shared" si="256"/>
        <v>0</v>
      </c>
      <c r="AV92" s="68">
        <f>ROUND(AH92*1%,0)</f>
        <v>0</v>
      </c>
      <c r="AW92" s="421">
        <v>0</v>
      </c>
      <c r="AX92" s="421">
        <v>0</v>
      </c>
      <c r="AY92" s="421">
        <f>AW92+AX92</f>
        <v>0</v>
      </c>
      <c r="AZ92" s="421">
        <f>AT92+AU92+AV92+AY92</f>
        <v>0</v>
      </c>
      <c r="BA92" s="422">
        <v>0</v>
      </c>
      <c r="BB92" s="422">
        <v>0</v>
      </c>
      <c r="BC92" s="422">
        <v>0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>BA92+BC92+BD92+BF92+BH92+BI92</f>
        <v>0</v>
      </c>
      <c r="BL92" s="422">
        <f>BB92+BE92+BG92+BJ92</f>
        <v>0</v>
      </c>
      <c r="BM92" s="611">
        <f>SUM(BK92:BL92)</f>
        <v>0</v>
      </c>
      <c r="BN92" s="428">
        <f>I92+AZ92</f>
        <v>1848821</v>
      </c>
      <c r="BO92" s="421">
        <f>J92+AH92</f>
        <v>1360598</v>
      </c>
      <c r="BP92" s="421">
        <f t="shared" si="257"/>
        <v>0</v>
      </c>
      <c r="BQ92" s="421">
        <f t="shared" si="257"/>
        <v>1360598</v>
      </c>
      <c r="BR92" s="421">
        <f>M92+AQ92</f>
        <v>0</v>
      </c>
      <c r="BS92" s="421">
        <f t="shared" si="258"/>
        <v>0</v>
      </c>
      <c r="BT92" s="421">
        <f t="shared" si="258"/>
        <v>0</v>
      </c>
      <c r="BU92" s="421">
        <f t="shared" si="259"/>
        <v>459882</v>
      </c>
      <c r="BV92" s="421">
        <f t="shared" si="259"/>
        <v>13606</v>
      </c>
      <c r="BW92" s="421">
        <f>R92+AY92</f>
        <v>14735</v>
      </c>
      <c r="BX92" s="422">
        <f>S92+BM92</f>
        <v>4.08</v>
      </c>
      <c r="BY92" s="422">
        <f t="shared" si="260"/>
        <v>0</v>
      </c>
      <c r="BZ92" s="611">
        <f t="shared" si="260"/>
        <v>4.08</v>
      </c>
      <c r="CA92" s="423"/>
      <c r="CB92" s="418"/>
      <c r="CC92" s="418"/>
      <c r="CD92" s="418"/>
      <c r="CE92" s="418"/>
      <c r="CF92" s="527"/>
    </row>
    <row r="93" spans="1:84" s="222" customFormat="1" ht="12.75" customHeight="1" x14ac:dyDescent="0.2">
      <c r="A93" s="224">
        <v>21</v>
      </c>
      <c r="B93" s="225">
        <v>3415</v>
      </c>
      <c r="C93" s="225">
        <v>600078523</v>
      </c>
      <c r="D93" s="225">
        <v>72743271</v>
      </c>
      <c r="E93" s="226" t="s">
        <v>49</v>
      </c>
      <c r="F93" s="225">
        <v>3143</v>
      </c>
      <c r="G93" s="226" t="s">
        <v>596</v>
      </c>
      <c r="H93" s="227" t="s">
        <v>271</v>
      </c>
      <c r="I93" s="423">
        <f t="shared" si="251"/>
        <v>3281467</v>
      </c>
      <c r="J93" s="418">
        <f>K93+L93</f>
        <v>2434323</v>
      </c>
      <c r="K93" s="418">
        <v>2434323</v>
      </c>
      <c r="L93" s="418">
        <v>0</v>
      </c>
      <c r="M93" s="418">
        <f>N93+O93</f>
        <v>0</v>
      </c>
      <c r="N93" s="418"/>
      <c r="O93" s="418"/>
      <c r="P93" s="68">
        <f t="shared" si="261"/>
        <v>822801</v>
      </c>
      <c r="Q93" s="68">
        <f t="shared" si="252"/>
        <v>24343</v>
      </c>
      <c r="R93" s="418">
        <v>0</v>
      </c>
      <c r="S93" s="419">
        <f>T93+U93</f>
        <v>4.8093000000000004</v>
      </c>
      <c r="T93" s="420">
        <v>4.8093000000000004</v>
      </c>
      <c r="U93" s="527">
        <v>0</v>
      </c>
      <c r="V93" s="427">
        <f t="shared" si="253"/>
        <v>0</v>
      </c>
      <c r="W93" s="421">
        <f t="shared" si="253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>V93+X93+Y93+AA93+AB93+AD93</f>
        <v>0</v>
      </c>
      <c r="AG93" s="421">
        <f>W93+Z93+AC93+AE93</f>
        <v>0</v>
      </c>
      <c r="AH93" s="421">
        <f>SUM(AF93:AG93)</f>
        <v>0</v>
      </c>
      <c r="AI93" s="421">
        <v>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si="254"/>
        <v>0</v>
      </c>
      <c r="AP93" s="421">
        <f>AJ93+AN93</f>
        <v>0</v>
      </c>
      <c r="AQ93" s="421">
        <f>SUM(AO93:AP93)</f>
        <v>0</v>
      </c>
      <c r="AR93" s="421">
        <f t="shared" si="255"/>
        <v>0</v>
      </c>
      <c r="AS93" s="421">
        <f t="shared" si="255"/>
        <v>0</v>
      </c>
      <c r="AT93" s="421">
        <f>SUM(AR93:AS93)</f>
        <v>0</v>
      </c>
      <c r="AU93" s="68">
        <f t="shared" si="256"/>
        <v>0</v>
      </c>
      <c r="AV93" s="68">
        <f>ROUND(AH93*1%,0)</f>
        <v>0</v>
      </c>
      <c r="AW93" s="421">
        <v>0</v>
      </c>
      <c r="AX93" s="421">
        <v>0</v>
      </c>
      <c r="AY93" s="421">
        <f>AW93+AX93</f>
        <v>0</v>
      </c>
      <c r="AZ93" s="421">
        <f>AT93+AU93+AV93+AY93</f>
        <v>0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611">
        <f>SUM(BK93:BL93)</f>
        <v>0</v>
      </c>
      <c r="BN93" s="428">
        <f>I93+AZ93</f>
        <v>3281467</v>
      </c>
      <c r="BO93" s="421">
        <f>J93+AH93</f>
        <v>2434323</v>
      </c>
      <c r="BP93" s="421">
        <f t="shared" si="257"/>
        <v>2434323</v>
      </c>
      <c r="BQ93" s="421">
        <f t="shared" si="257"/>
        <v>0</v>
      </c>
      <c r="BR93" s="421">
        <f>M93+AQ93</f>
        <v>0</v>
      </c>
      <c r="BS93" s="421">
        <f t="shared" si="258"/>
        <v>0</v>
      </c>
      <c r="BT93" s="421">
        <f t="shared" si="258"/>
        <v>0</v>
      </c>
      <c r="BU93" s="421">
        <f t="shared" si="259"/>
        <v>822801</v>
      </c>
      <c r="BV93" s="421">
        <f t="shared" si="259"/>
        <v>24343</v>
      </c>
      <c r="BW93" s="421">
        <f>R93+AY93</f>
        <v>0</v>
      </c>
      <c r="BX93" s="422">
        <f>S93+BM93</f>
        <v>4.8093000000000004</v>
      </c>
      <c r="BY93" s="422">
        <f t="shared" si="260"/>
        <v>4.8093000000000004</v>
      </c>
      <c r="BZ93" s="611">
        <f t="shared" si="260"/>
        <v>0</v>
      </c>
      <c r="CA93" s="423"/>
      <c r="CB93" s="418"/>
      <c r="CC93" s="418"/>
      <c r="CD93" s="418"/>
      <c r="CE93" s="418"/>
      <c r="CF93" s="527"/>
    </row>
    <row r="94" spans="1:84" s="222" customFormat="1" ht="12.75" customHeight="1" x14ac:dyDescent="0.2">
      <c r="A94" s="224">
        <v>21</v>
      </c>
      <c r="B94" s="225">
        <v>3415</v>
      </c>
      <c r="C94" s="225">
        <v>600078523</v>
      </c>
      <c r="D94" s="225">
        <v>72743271</v>
      </c>
      <c r="E94" s="226" t="s">
        <v>49</v>
      </c>
      <c r="F94" s="225">
        <v>3143</v>
      </c>
      <c r="G94" s="226" t="s">
        <v>597</v>
      </c>
      <c r="H94" s="227" t="s">
        <v>272</v>
      </c>
      <c r="I94" s="423">
        <f t="shared" si="251"/>
        <v>68124</v>
      </c>
      <c r="J94" s="418">
        <f>K94+L94</f>
        <v>48761</v>
      </c>
      <c r="K94" s="418">
        <v>0</v>
      </c>
      <c r="L94" s="418">
        <v>48761</v>
      </c>
      <c r="M94" s="418">
        <f>N94+O94</f>
        <v>0</v>
      </c>
      <c r="N94" s="418"/>
      <c r="O94" s="418"/>
      <c r="P94" s="68">
        <f t="shared" si="261"/>
        <v>16481</v>
      </c>
      <c r="Q94" s="68">
        <f t="shared" si="252"/>
        <v>488</v>
      </c>
      <c r="R94" s="418">
        <v>2394</v>
      </c>
      <c r="S94" s="419">
        <f>T94+U94</f>
        <v>0.18</v>
      </c>
      <c r="T94" s="420">
        <v>0</v>
      </c>
      <c r="U94" s="527">
        <v>0.18</v>
      </c>
      <c r="V94" s="427">
        <f t="shared" si="253"/>
        <v>0</v>
      </c>
      <c r="W94" s="421">
        <f t="shared" si="253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>V94+X94+Y94+AA94+AB94+AD94</f>
        <v>0</v>
      </c>
      <c r="AG94" s="421">
        <f>W94+Z94+AC94+AE94</f>
        <v>0</v>
      </c>
      <c r="AH94" s="421">
        <f>SUM(AF94:AG94)</f>
        <v>0</v>
      </c>
      <c r="AI94" s="421">
        <v>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254"/>
        <v>0</v>
      </c>
      <c r="AP94" s="421">
        <f>AJ94+AN94</f>
        <v>0</v>
      </c>
      <c r="AQ94" s="421">
        <f>SUM(AO94:AP94)</f>
        <v>0</v>
      </c>
      <c r="AR94" s="421">
        <f t="shared" si="255"/>
        <v>0</v>
      </c>
      <c r="AS94" s="421">
        <f t="shared" si="255"/>
        <v>0</v>
      </c>
      <c r="AT94" s="421">
        <f>SUM(AR94:AS94)</f>
        <v>0</v>
      </c>
      <c r="AU94" s="68">
        <f t="shared" si="256"/>
        <v>0</v>
      </c>
      <c r="AV94" s="68">
        <f>ROUND(AH94*1%,0)</f>
        <v>0</v>
      </c>
      <c r="AW94" s="421">
        <v>0</v>
      </c>
      <c r="AX94" s="421">
        <v>0</v>
      </c>
      <c r="AY94" s="421">
        <f>AW94+AX94</f>
        <v>0</v>
      </c>
      <c r="AZ94" s="421">
        <f>AT94+AU94+AV94+AY94</f>
        <v>0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>BA94+BC94+BD94+BF94+BH94+BI94</f>
        <v>0</v>
      </c>
      <c r="BL94" s="422">
        <f>BB94+BE94+BG94+BJ94</f>
        <v>0</v>
      </c>
      <c r="BM94" s="611">
        <f>SUM(BK94:BL94)</f>
        <v>0</v>
      </c>
      <c r="BN94" s="428">
        <f>I94+AZ94</f>
        <v>68124</v>
      </c>
      <c r="BO94" s="421">
        <f>J94+AH94</f>
        <v>48761</v>
      </c>
      <c r="BP94" s="421">
        <f t="shared" si="257"/>
        <v>0</v>
      </c>
      <c r="BQ94" s="421">
        <f t="shared" si="257"/>
        <v>48761</v>
      </c>
      <c r="BR94" s="421">
        <f>M94+AQ94</f>
        <v>0</v>
      </c>
      <c r="BS94" s="421">
        <f t="shared" si="258"/>
        <v>0</v>
      </c>
      <c r="BT94" s="421">
        <f t="shared" si="258"/>
        <v>0</v>
      </c>
      <c r="BU94" s="421">
        <f t="shared" si="259"/>
        <v>16481</v>
      </c>
      <c r="BV94" s="421">
        <f t="shared" si="259"/>
        <v>488</v>
      </c>
      <c r="BW94" s="421">
        <f>R94+AY94</f>
        <v>2394</v>
      </c>
      <c r="BX94" s="422">
        <f>S94+BM94</f>
        <v>0.18</v>
      </c>
      <c r="BY94" s="422">
        <f t="shared" si="260"/>
        <v>0</v>
      </c>
      <c r="BZ94" s="611">
        <f t="shared" si="260"/>
        <v>0.18</v>
      </c>
      <c r="CA94" s="423"/>
      <c r="CB94" s="418"/>
      <c r="CC94" s="418"/>
      <c r="CD94" s="418"/>
      <c r="CE94" s="418"/>
      <c r="CF94" s="527"/>
    </row>
    <row r="95" spans="1:84" s="222" customFormat="1" ht="12.75" customHeight="1" x14ac:dyDescent="0.2">
      <c r="A95" s="153">
        <v>21</v>
      </c>
      <c r="B95" s="14">
        <v>3415</v>
      </c>
      <c r="C95" s="152">
        <v>600078523</v>
      </c>
      <c r="D95" s="152">
        <v>72743271</v>
      </c>
      <c r="E95" s="223" t="s">
        <v>50</v>
      </c>
      <c r="F95" s="14"/>
      <c r="G95" s="223"/>
      <c r="H95" s="592"/>
      <c r="I95" s="522">
        <f t="shared" ref="I95:BU95" si="262">SUM(I90:I94)</f>
        <v>37300079</v>
      </c>
      <c r="J95" s="521">
        <f t="shared" si="262"/>
        <v>27329470</v>
      </c>
      <c r="K95" s="521">
        <f t="shared" si="262"/>
        <v>24299667</v>
      </c>
      <c r="L95" s="521">
        <f t="shared" si="262"/>
        <v>3029803</v>
      </c>
      <c r="M95" s="521">
        <f t="shared" si="262"/>
        <v>0</v>
      </c>
      <c r="N95" s="521">
        <f t="shared" si="262"/>
        <v>0</v>
      </c>
      <c r="O95" s="521">
        <f t="shared" si="262"/>
        <v>0</v>
      </c>
      <c r="P95" s="521">
        <f t="shared" si="262"/>
        <v>9237361</v>
      </c>
      <c r="Q95" s="521">
        <f t="shared" si="262"/>
        <v>273295</v>
      </c>
      <c r="R95" s="521">
        <f t="shared" si="262"/>
        <v>459953</v>
      </c>
      <c r="S95" s="572">
        <f t="shared" si="262"/>
        <v>43.560099999999998</v>
      </c>
      <c r="T95" s="572">
        <f t="shared" si="262"/>
        <v>34.400100000000002</v>
      </c>
      <c r="U95" s="448">
        <f t="shared" si="262"/>
        <v>9.16</v>
      </c>
      <c r="V95" s="614">
        <f t="shared" si="262"/>
        <v>-6400</v>
      </c>
      <c r="W95" s="521">
        <f t="shared" si="262"/>
        <v>0</v>
      </c>
      <c r="X95" s="521">
        <f t="shared" si="262"/>
        <v>2002660</v>
      </c>
      <c r="Y95" s="521">
        <f t="shared" si="262"/>
        <v>0</v>
      </c>
      <c r="Z95" s="521">
        <f t="shared" si="262"/>
        <v>0</v>
      </c>
      <c r="AA95" s="521">
        <f t="shared" si="262"/>
        <v>0</v>
      </c>
      <c r="AB95" s="521">
        <f t="shared" si="262"/>
        <v>564000</v>
      </c>
      <c r="AC95" s="521">
        <f t="shared" si="262"/>
        <v>0</v>
      </c>
      <c r="AD95" s="521">
        <f t="shared" si="262"/>
        <v>0</v>
      </c>
      <c r="AE95" s="521">
        <f t="shared" si="262"/>
        <v>0</v>
      </c>
      <c r="AF95" s="521">
        <f t="shared" si="262"/>
        <v>2560260</v>
      </c>
      <c r="AG95" s="521">
        <f t="shared" si="262"/>
        <v>0</v>
      </c>
      <c r="AH95" s="521">
        <f t="shared" si="262"/>
        <v>2560260</v>
      </c>
      <c r="AI95" s="521">
        <f t="shared" si="262"/>
        <v>6400</v>
      </c>
      <c r="AJ95" s="521">
        <f t="shared" si="262"/>
        <v>0</v>
      </c>
      <c r="AK95" s="521">
        <f t="shared" ref="AK95" si="263">SUM(AK90:AK94)</f>
        <v>0</v>
      </c>
      <c r="AL95" s="521">
        <f t="shared" si="262"/>
        <v>0</v>
      </c>
      <c r="AM95" s="521">
        <f t="shared" si="262"/>
        <v>0</v>
      </c>
      <c r="AN95" s="521">
        <f t="shared" si="262"/>
        <v>0</v>
      </c>
      <c r="AO95" s="521">
        <f t="shared" si="262"/>
        <v>6400</v>
      </c>
      <c r="AP95" s="521">
        <f t="shared" si="262"/>
        <v>0</v>
      </c>
      <c r="AQ95" s="521">
        <f t="shared" si="262"/>
        <v>6400</v>
      </c>
      <c r="AR95" s="521">
        <f t="shared" si="262"/>
        <v>2566660</v>
      </c>
      <c r="AS95" s="521">
        <f t="shared" si="262"/>
        <v>0</v>
      </c>
      <c r="AT95" s="521">
        <f t="shared" si="262"/>
        <v>2566660</v>
      </c>
      <c r="AU95" s="521">
        <f t="shared" si="262"/>
        <v>867531</v>
      </c>
      <c r="AV95" s="521">
        <f t="shared" si="262"/>
        <v>25603</v>
      </c>
      <c r="AW95" s="521">
        <f t="shared" si="262"/>
        <v>0</v>
      </c>
      <c r="AX95" s="521">
        <f t="shared" si="262"/>
        <v>0</v>
      </c>
      <c r="AY95" s="521">
        <f t="shared" si="262"/>
        <v>0</v>
      </c>
      <c r="AZ95" s="521">
        <f t="shared" si="262"/>
        <v>3459794</v>
      </c>
      <c r="BA95" s="572">
        <f t="shared" si="262"/>
        <v>0</v>
      </c>
      <c r="BB95" s="572">
        <f t="shared" si="262"/>
        <v>0</v>
      </c>
      <c r="BC95" s="572">
        <f t="shared" si="262"/>
        <v>5.45</v>
      </c>
      <c r="BD95" s="572">
        <f t="shared" si="262"/>
        <v>1</v>
      </c>
      <c r="BE95" s="572">
        <f t="shared" si="262"/>
        <v>0</v>
      </c>
      <c r="BF95" s="572">
        <f t="shared" si="262"/>
        <v>0</v>
      </c>
      <c r="BG95" s="572">
        <f t="shared" si="262"/>
        <v>0</v>
      </c>
      <c r="BH95" s="572">
        <f t="shared" si="262"/>
        <v>0</v>
      </c>
      <c r="BI95" s="572">
        <f t="shared" si="262"/>
        <v>0</v>
      </c>
      <c r="BJ95" s="572">
        <f t="shared" si="262"/>
        <v>0</v>
      </c>
      <c r="BK95" s="572">
        <f t="shared" si="262"/>
        <v>6.45</v>
      </c>
      <c r="BL95" s="572">
        <f t="shared" si="262"/>
        <v>0</v>
      </c>
      <c r="BM95" s="403">
        <f t="shared" si="262"/>
        <v>6.45</v>
      </c>
      <c r="BN95" s="522">
        <f t="shared" si="262"/>
        <v>40759873</v>
      </c>
      <c r="BO95" s="521">
        <f t="shared" si="262"/>
        <v>29889730</v>
      </c>
      <c r="BP95" s="521">
        <f t="shared" si="262"/>
        <v>26859927</v>
      </c>
      <c r="BQ95" s="521">
        <f t="shared" si="262"/>
        <v>3029803</v>
      </c>
      <c r="BR95" s="521">
        <f t="shared" si="262"/>
        <v>6400</v>
      </c>
      <c r="BS95" s="521">
        <f t="shared" si="262"/>
        <v>6400</v>
      </c>
      <c r="BT95" s="521">
        <f t="shared" si="262"/>
        <v>0</v>
      </c>
      <c r="BU95" s="521">
        <f t="shared" si="262"/>
        <v>10104892</v>
      </c>
      <c r="BV95" s="521">
        <f t="shared" ref="BV95:CF95" si="264">SUM(BV90:BV94)</f>
        <v>298898</v>
      </c>
      <c r="BW95" s="521">
        <f t="shared" si="264"/>
        <v>459953</v>
      </c>
      <c r="BX95" s="572">
        <f t="shared" si="264"/>
        <v>50.010100000000001</v>
      </c>
      <c r="BY95" s="572">
        <f t="shared" si="264"/>
        <v>40.850100000000005</v>
      </c>
      <c r="BZ95" s="403">
        <f t="shared" si="264"/>
        <v>9.16</v>
      </c>
      <c r="CA95" s="833">
        <f t="shared" si="264"/>
        <v>760272</v>
      </c>
      <c r="CB95" s="834">
        <f t="shared" si="264"/>
        <v>564000</v>
      </c>
      <c r="CC95" s="834">
        <f t="shared" si="264"/>
        <v>0</v>
      </c>
      <c r="CD95" s="834">
        <f t="shared" si="264"/>
        <v>190632</v>
      </c>
      <c r="CE95" s="834">
        <f t="shared" si="264"/>
        <v>5640</v>
      </c>
      <c r="CF95" s="829">
        <f t="shared" si="264"/>
        <v>1</v>
      </c>
    </row>
    <row r="96" spans="1:84" s="222" customFormat="1" ht="12.75" customHeight="1" x14ac:dyDescent="0.2">
      <c r="A96" s="224">
        <v>22</v>
      </c>
      <c r="B96" s="225">
        <v>3412</v>
      </c>
      <c r="C96" s="225">
        <v>600078540</v>
      </c>
      <c r="D96" s="225">
        <v>72742879</v>
      </c>
      <c r="E96" s="226" t="s">
        <v>51</v>
      </c>
      <c r="F96" s="225">
        <v>3113</v>
      </c>
      <c r="G96" s="226" t="s">
        <v>294</v>
      </c>
      <c r="H96" s="227" t="s">
        <v>271</v>
      </c>
      <c r="I96" s="423">
        <f t="shared" ref="I96:I100" si="265">J96+P96+Q96+R96</f>
        <v>44702469</v>
      </c>
      <c r="J96" s="418">
        <f>K96+L96</f>
        <v>32669424</v>
      </c>
      <c r="K96" s="418">
        <v>30581355</v>
      </c>
      <c r="L96" s="418">
        <v>2088069</v>
      </c>
      <c r="M96" s="418">
        <f>N96+O96</f>
        <v>0</v>
      </c>
      <c r="N96" s="418"/>
      <c r="O96" s="418"/>
      <c r="P96" s="68">
        <f t="shared" ref="P96:P100" si="266">ROUND(J96*33.8%,0)</f>
        <v>11042265</v>
      </c>
      <c r="Q96" s="68">
        <f>ROUND(J96*1%,0)+1</f>
        <v>326695</v>
      </c>
      <c r="R96" s="418">
        <v>664085</v>
      </c>
      <c r="S96" s="419">
        <f>T96+U96</f>
        <v>47.257999999999996</v>
      </c>
      <c r="T96" s="420">
        <v>40.817999999999998</v>
      </c>
      <c r="U96" s="527">
        <v>6.44</v>
      </c>
      <c r="V96" s="427">
        <f t="shared" ref="V96:W100" si="267">AI96*-1</f>
        <v>-41600</v>
      </c>
      <c r="W96" s="421">
        <f t="shared" si="267"/>
        <v>-28800</v>
      </c>
      <c r="X96" s="421">
        <v>0</v>
      </c>
      <c r="Y96" s="421">
        <v>0</v>
      </c>
      <c r="Z96" s="421">
        <v>0</v>
      </c>
      <c r="AA96" s="421">
        <v>76130</v>
      </c>
      <c r="AB96" s="421">
        <v>0</v>
      </c>
      <c r="AC96" s="421">
        <v>0</v>
      </c>
      <c r="AD96" s="421">
        <v>0</v>
      </c>
      <c r="AE96" s="421">
        <v>0</v>
      </c>
      <c r="AF96" s="421">
        <f>V96+X96+Y96+AA96+AB96+AD96</f>
        <v>34530</v>
      </c>
      <c r="AG96" s="421">
        <f>W96+Z96+AC96+AE96</f>
        <v>-28800</v>
      </c>
      <c r="AH96" s="421">
        <f>SUM(AF96:AG96)</f>
        <v>5730</v>
      </c>
      <c r="AI96" s="421">
        <v>41600</v>
      </c>
      <c r="AJ96" s="421">
        <v>28800</v>
      </c>
      <c r="AK96" s="421">
        <v>0</v>
      </c>
      <c r="AL96" s="421">
        <v>0</v>
      </c>
      <c r="AM96" s="421">
        <v>50730</v>
      </c>
      <c r="AN96" s="421">
        <v>0</v>
      </c>
      <c r="AO96" s="421">
        <f t="shared" ref="AO96:AO100" si="268">AI96+AK96+AL96+AM96</f>
        <v>92330</v>
      </c>
      <c r="AP96" s="421">
        <f>AJ96+AN96</f>
        <v>28800</v>
      </c>
      <c r="AQ96" s="421">
        <f>SUM(AO96:AP96)</f>
        <v>121130</v>
      </c>
      <c r="AR96" s="421">
        <f t="shared" ref="AR96:AS100" si="269">AF96+AO96</f>
        <v>126860</v>
      </c>
      <c r="AS96" s="421">
        <f t="shared" si="269"/>
        <v>0</v>
      </c>
      <c r="AT96" s="421">
        <f>SUM(AR96:AS96)</f>
        <v>126860</v>
      </c>
      <c r="AU96" s="68">
        <f t="shared" ref="AU96:AU100" si="270">ROUND((AH96+AI96+AJ96+AK96+AL96)*33.8%,0)</f>
        <v>25732</v>
      </c>
      <c r="AV96" s="68">
        <f>ROUND(AH96*1%,0)</f>
        <v>57</v>
      </c>
      <c r="AW96" s="421">
        <v>0</v>
      </c>
      <c r="AX96" s="421">
        <v>0</v>
      </c>
      <c r="AY96" s="421">
        <f>AW96+AX96</f>
        <v>0</v>
      </c>
      <c r="AZ96" s="421">
        <f>AT96+AU96+AV96+AY96</f>
        <v>152649</v>
      </c>
      <c r="BA96" s="422">
        <v>0</v>
      </c>
      <c r="BB96" s="422">
        <v>-0.1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0.11</v>
      </c>
      <c r="BI96" s="422">
        <v>0</v>
      </c>
      <c r="BJ96" s="422">
        <v>0</v>
      </c>
      <c r="BK96" s="422">
        <f>BA96+BC96+BD96+BF96+BH96+BI96</f>
        <v>0.11</v>
      </c>
      <c r="BL96" s="422">
        <f>BB96+BE96+BG96+BJ96</f>
        <v>-0.1</v>
      </c>
      <c r="BM96" s="611">
        <f>SUM(BK96:BL96)</f>
        <v>9.999999999999995E-3</v>
      </c>
      <c r="BN96" s="428">
        <f>I96+AZ96</f>
        <v>44855118</v>
      </c>
      <c r="BO96" s="421">
        <f>J96+AH96</f>
        <v>32675154</v>
      </c>
      <c r="BP96" s="421">
        <f t="shared" ref="BP96:BQ100" si="271">K96+AF96</f>
        <v>30615885</v>
      </c>
      <c r="BQ96" s="421">
        <f t="shared" si="271"/>
        <v>2059269</v>
      </c>
      <c r="BR96" s="421">
        <f>M96+AQ96</f>
        <v>121130</v>
      </c>
      <c r="BS96" s="421">
        <f t="shared" ref="BS96:BT100" si="272">N96+AO96</f>
        <v>92330</v>
      </c>
      <c r="BT96" s="421">
        <f t="shared" si="272"/>
        <v>28800</v>
      </c>
      <c r="BU96" s="421">
        <f t="shared" ref="BU96:BV100" si="273">P96+AU96</f>
        <v>11067997</v>
      </c>
      <c r="BV96" s="421">
        <f t="shared" si="273"/>
        <v>326752</v>
      </c>
      <c r="BW96" s="421">
        <f>R96+AY96</f>
        <v>664085</v>
      </c>
      <c r="BX96" s="422">
        <f>S96+BM96</f>
        <v>47.267999999999994</v>
      </c>
      <c r="BY96" s="422">
        <f t="shared" ref="BY96:BZ100" si="274">T96+BK96</f>
        <v>40.927999999999997</v>
      </c>
      <c r="BZ96" s="611">
        <f t="shared" si="274"/>
        <v>6.3400000000000007</v>
      </c>
      <c r="CA96" s="423"/>
      <c r="CB96" s="418"/>
      <c r="CC96" s="418"/>
      <c r="CD96" s="418"/>
      <c r="CE96" s="418"/>
      <c r="CF96" s="527"/>
    </row>
    <row r="97" spans="1:84" s="222" customFormat="1" x14ac:dyDescent="0.2">
      <c r="A97" s="224">
        <v>22</v>
      </c>
      <c r="B97" s="225">
        <v>3412</v>
      </c>
      <c r="C97" s="225">
        <v>600078540</v>
      </c>
      <c r="D97" s="225">
        <v>72742879</v>
      </c>
      <c r="E97" s="226" t="s">
        <v>51</v>
      </c>
      <c r="F97" s="225">
        <v>3113</v>
      </c>
      <c r="G97" s="226" t="s">
        <v>292</v>
      </c>
      <c r="H97" s="227" t="s">
        <v>272</v>
      </c>
      <c r="I97" s="423">
        <f t="shared" si="265"/>
        <v>0</v>
      </c>
      <c r="J97" s="418">
        <f>K97+L97</f>
        <v>0</v>
      </c>
      <c r="K97" s="418">
        <v>0</v>
      </c>
      <c r="L97" s="418">
        <v>0</v>
      </c>
      <c r="M97" s="418">
        <f>N97+O97</f>
        <v>0</v>
      </c>
      <c r="N97" s="418"/>
      <c r="O97" s="418"/>
      <c r="P97" s="68">
        <f t="shared" si="266"/>
        <v>0</v>
      </c>
      <c r="Q97" s="68">
        <f t="shared" ref="Q97:Q100" si="275">ROUND(J97*1%,0)</f>
        <v>0</v>
      </c>
      <c r="R97" s="418">
        <v>0</v>
      </c>
      <c r="S97" s="419">
        <f>T97+U97</f>
        <v>0</v>
      </c>
      <c r="T97" s="420">
        <v>0</v>
      </c>
      <c r="U97" s="527">
        <v>0</v>
      </c>
      <c r="V97" s="427">
        <f t="shared" si="267"/>
        <v>0</v>
      </c>
      <c r="W97" s="421">
        <f t="shared" si="267"/>
        <v>0</v>
      </c>
      <c r="X97" s="421">
        <f>4109741-278101</f>
        <v>3831640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>V97+X97+Y97+AA97+AB97+AD97</f>
        <v>3831640</v>
      </c>
      <c r="AG97" s="421">
        <f>W97+Z97+AC97+AE97</f>
        <v>0</v>
      </c>
      <c r="AH97" s="421">
        <f>SUM(AF97:AG97)</f>
        <v>3831640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268"/>
        <v>0</v>
      </c>
      <c r="AP97" s="421">
        <f>AJ97+AN97</f>
        <v>0</v>
      </c>
      <c r="AQ97" s="421">
        <f>SUM(AO97:AP97)</f>
        <v>0</v>
      </c>
      <c r="AR97" s="421">
        <f t="shared" si="269"/>
        <v>3831640</v>
      </c>
      <c r="AS97" s="421">
        <f t="shared" si="269"/>
        <v>0</v>
      </c>
      <c r="AT97" s="421">
        <f>SUM(AR97:AS97)</f>
        <v>3831640</v>
      </c>
      <c r="AU97" s="68">
        <f t="shared" si="270"/>
        <v>1295094</v>
      </c>
      <c r="AV97" s="68">
        <f>ROUND(AH97*1%,0)</f>
        <v>38316</v>
      </c>
      <c r="AW97" s="421">
        <v>0</v>
      </c>
      <c r="AX97" s="421">
        <v>0</v>
      </c>
      <c r="AY97" s="421">
        <f>AW97+AX97</f>
        <v>0</v>
      </c>
      <c r="AZ97" s="421">
        <f>AT97+AU97+AV97+AY97</f>
        <v>5165050</v>
      </c>
      <c r="BA97" s="422">
        <v>0</v>
      </c>
      <c r="BB97" s="422">
        <v>0</v>
      </c>
      <c r="BC97" s="422">
        <f>11.09-0.75</f>
        <v>10.34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>BA97+BC97+BD97+BF97+BH97+BI97</f>
        <v>10.34</v>
      </c>
      <c r="BL97" s="422">
        <f>BB97+BE97+BG97+BJ97</f>
        <v>0</v>
      </c>
      <c r="BM97" s="611">
        <f>SUM(BK97:BL97)</f>
        <v>10.34</v>
      </c>
      <c r="BN97" s="428">
        <f>I97+AZ97</f>
        <v>5165050</v>
      </c>
      <c r="BO97" s="421">
        <f>J97+AH97</f>
        <v>3831640</v>
      </c>
      <c r="BP97" s="421">
        <f t="shared" si="271"/>
        <v>3831640</v>
      </c>
      <c r="BQ97" s="421">
        <f t="shared" si="271"/>
        <v>0</v>
      </c>
      <c r="BR97" s="421">
        <f>M97+AQ97</f>
        <v>0</v>
      </c>
      <c r="BS97" s="421">
        <f t="shared" si="272"/>
        <v>0</v>
      </c>
      <c r="BT97" s="421">
        <f t="shared" si="272"/>
        <v>0</v>
      </c>
      <c r="BU97" s="421">
        <f t="shared" si="273"/>
        <v>1295094</v>
      </c>
      <c r="BV97" s="421">
        <f t="shared" si="273"/>
        <v>38316</v>
      </c>
      <c r="BW97" s="421">
        <f>R97+AY97</f>
        <v>0</v>
      </c>
      <c r="BX97" s="422">
        <f>S97+BM97</f>
        <v>10.34</v>
      </c>
      <c r="BY97" s="422">
        <f t="shared" si="274"/>
        <v>10.34</v>
      </c>
      <c r="BZ97" s="611">
        <f t="shared" si="274"/>
        <v>0</v>
      </c>
      <c r="CA97" s="423"/>
      <c r="CB97" s="418"/>
      <c r="CC97" s="418"/>
      <c r="CD97" s="418"/>
      <c r="CE97" s="418"/>
      <c r="CF97" s="527"/>
    </row>
    <row r="98" spans="1:84" s="222" customFormat="1" ht="12.75" customHeight="1" x14ac:dyDescent="0.2">
      <c r="A98" s="224">
        <v>22</v>
      </c>
      <c r="B98" s="225">
        <v>3412</v>
      </c>
      <c r="C98" s="225">
        <v>600078540</v>
      </c>
      <c r="D98" s="225">
        <v>72742879</v>
      </c>
      <c r="E98" s="226" t="s">
        <v>51</v>
      </c>
      <c r="F98" s="225">
        <v>3141</v>
      </c>
      <c r="G98" s="226" t="s">
        <v>295</v>
      </c>
      <c r="H98" s="227" t="s">
        <v>272</v>
      </c>
      <c r="I98" s="423">
        <f t="shared" si="265"/>
        <v>2569547</v>
      </c>
      <c r="J98" s="418">
        <f>K98+L98</f>
        <v>1889731</v>
      </c>
      <c r="K98" s="418">
        <v>0</v>
      </c>
      <c r="L98" s="418">
        <v>1889731</v>
      </c>
      <c r="M98" s="418">
        <f>N98+O98</f>
        <v>0</v>
      </c>
      <c r="N98" s="418"/>
      <c r="O98" s="418"/>
      <c r="P98" s="68">
        <f t="shared" si="266"/>
        <v>638729</v>
      </c>
      <c r="Q98" s="68">
        <f t="shared" si="275"/>
        <v>18897</v>
      </c>
      <c r="R98" s="418">
        <v>22190</v>
      </c>
      <c r="S98" s="419">
        <f>T98+U98</f>
        <v>5.67</v>
      </c>
      <c r="T98" s="420">
        <v>0</v>
      </c>
      <c r="U98" s="527">
        <v>5.67</v>
      </c>
      <c r="V98" s="427">
        <f t="shared" si="267"/>
        <v>0</v>
      </c>
      <c r="W98" s="421">
        <f t="shared" si="267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>V98+X98+Y98+AA98+AB98+AD98</f>
        <v>0</v>
      </c>
      <c r="AG98" s="421">
        <f>W98+Z98+AC98+AE98</f>
        <v>0</v>
      </c>
      <c r="AH98" s="421">
        <f>SUM(AF98:AG98)</f>
        <v>0</v>
      </c>
      <c r="AI98" s="421">
        <v>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si="268"/>
        <v>0</v>
      </c>
      <c r="AP98" s="421">
        <f>AJ98+AN98</f>
        <v>0</v>
      </c>
      <c r="AQ98" s="421">
        <f>SUM(AO98:AP98)</f>
        <v>0</v>
      </c>
      <c r="AR98" s="421">
        <f t="shared" si="269"/>
        <v>0</v>
      </c>
      <c r="AS98" s="421">
        <f t="shared" si="269"/>
        <v>0</v>
      </c>
      <c r="AT98" s="421">
        <f>SUM(AR98:AS98)</f>
        <v>0</v>
      </c>
      <c r="AU98" s="68">
        <f t="shared" si="270"/>
        <v>0</v>
      </c>
      <c r="AV98" s="68">
        <f>ROUND(AH98*1%,0)</f>
        <v>0</v>
      </c>
      <c r="AW98" s="421">
        <v>0</v>
      </c>
      <c r="AX98" s="421">
        <v>0</v>
      </c>
      <c r="AY98" s="421">
        <f>AW98+AX98</f>
        <v>0</v>
      </c>
      <c r="AZ98" s="421">
        <f>AT98+AU98+AV98+AY98</f>
        <v>0</v>
      </c>
      <c r="BA98" s="422">
        <v>0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>BA98+BC98+BD98+BF98+BH98+BI98</f>
        <v>0</v>
      </c>
      <c r="BL98" s="422">
        <f>BB98+BE98+BG98+BJ98</f>
        <v>0</v>
      </c>
      <c r="BM98" s="611">
        <f>SUM(BK98:BL98)</f>
        <v>0</v>
      </c>
      <c r="BN98" s="428">
        <f>I98+AZ98</f>
        <v>2569547</v>
      </c>
      <c r="BO98" s="421">
        <f>J98+AH98</f>
        <v>1889731</v>
      </c>
      <c r="BP98" s="421">
        <f t="shared" si="271"/>
        <v>0</v>
      </c>
      <c r="BQ98" s="421">
        <f t="shared" si="271"/>
        <v>1889731</v>
      </c>
      <c r="BR98" s="421">
        <f>M98+AQ98</f>
        <v>0</v>
      </c>
      <c r="BS98" s="421">
        <f t="shared" si="272"/>
        <v>0</v>
      </c>
      <c r="BT98" s="421">
        <f t="shared" si="272"/>
        <v>0</v>
      </c>
      <c r="BU98" s="421">
        <f t="shared" si="273"/>
        <v>638729</v>
      </c>
      <c r="BV98" s="421">
        <f t="shared" si="273"/>
        <v>18897</v>
      </c>
      <c r="BW98" s="421">
        <f>R98+AY98</f>
        <v>22190</v>
      </c>
      <c r="BX98" s="422">
        <f>S98+BM98</f>
        <v>5.67</v>
      </c>
      <c r="BY98" s="422">
        <f t="shared" si="274"/>
        <v>0</v>
      </c>
      <c r="BZ98" s="611">
        <f t="shared" si="274"/>
        <v>5.67</v>
      </c>
      <c r="CA98" s="423"/>
      <c r="CB98" s="418"/>
      <c r="CC98" s="418"/>
      <c r="CD98" s="418"/>
      <c r="CE98" s="418"/>
      <c r="CF98" s="527"/>
    </row>
    <row r="99" spans="1:84" s="222" customFormat="1" ht="12.75" customHeight="1" x14ac:dyDescent="0.2">
      <c r="A99" s="224">
        <v>22</v>
      </c>
      <c r="B99" s="225">
        <v>3412</v>
      </c>
      <c r="C99" s="225">
        <v>600078540</v>
      </c>
      <c r="D99" s="225">
        <v>72742879</v>
      </c>
      <c r="E99" s="226" t="s">
        <v>51</v>
      </c>
      <c r="F99" s="225">
        <v>3143</v>
      </c>
      <c r="G99" s="226" t="s">
        <v>596</v>
      </c>
      <c r="H99" s="227" t="s">
        <v>271</v>
      </c>
      <c r="I99" s="423">
        <f t="shared" si="265"/>
        <v>4395344</v>
      </c>
      <c r="J99" s="418">
        <f>K99+L99</f>
        <v>3260641</v>
      </c>
      <c r="K99" s="418">
        <v>3260641</v>
      </c>
      <c r="L99" s="418">
        <v>0</v>
      </c>
      <c r="M99" s="418">
        <f>N99+O99</f>
        <v>0</v>
      </c>
      <c r="N99" s="418"/>
      <c r="O99" s="418"/>
      <c r="P99" s="68">
        <f t="shared" si="266"/>
        <v>1102097</v>
      </c>
      <c r="Q99" s="68">
        <f t="shared" si="275"/>
        <v>32606</v>
      </c>
      <c r="R99" s="418">
        <v>0</v>
      </c>
      <c r="S99" s="419">
        <f>T99+U99</f>
        <v>6.1460999999999997</v>
      </c>
      <c r="T99" s="420">
        <v>6.1460999999999997</v>
      </c>
      <c r="U99" s="527">
        <v>0</v>
      </c>
      <c r="V99" s="427">
        <f t="shared" si="267"/>
        <v>-25600</v>
      </c>
      <c r="W99" s="421">
        <f t="shared" si="267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>V99+X99+Y99+AA99+AB99+AD99</f>
        <v>-25600</v>
      </c>
      <c r="AG99" s="421">
        <f>W99+Z99+AC99+AE99</f>
        <v>0</v>
      </c>
      <c r="AH99" s="421">
        <f>SUM(AF99:AG99)</f>
        <v>-25600</v>
      </c>
      <c r="AI99" s="421">
        <v>25600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si="268"/>
        <v>25600</v>
      </c>
      <c r="AP99" s="421">
        <f>AJ99+AN99</f>
        <v>0</v>
      </c>
      <c r="AQ99" s="421">
        <f>SUM(AO99:AP99)</f>
        <v>25600</v>
      </c>
      <c r="AR99" s="421">
        <f t="shared" si="269"/>
        <v>0</v>
      </c>
      <c r="AS99" s="421">
        <f t="shared" si="269"/>
        <v>0</v>
      </c>
      <c r="AT99" s="421">
        <f>SUM(AR99:AS99)</f>
        <v>0</v>
      </c>
      <c r="AU99" s="68">
        <f t="shared" si="270"/>
        <v>0</v>
      </c>
      <c r="AV99" s="68">
        <f>ROUND(AH99*1%,0)</f>
        <v>-256</v>
      </c>
      <c r="AW99" s="421">
        <v>0</v>
      </c>
      <c r="AX99" s="421">
        <v>0</v>
      </c>
      <c r="AY99" s="421">
        <f>AW99+AX99</f>
        <v>0</v>
      </c>
      <c r="AZ99" s="421">
        <f>AT99+AU99+AV99+AY99</f>
        <v>-256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>BA99+BC99+BD99+BF99+BH99+BI99</f>
        <v>0</v>
      </c>
      <c r="BL99" s="422">
        <f>BB99+BE99+BG99+BJ99</f>
        <v>0</v>
      </c>
      <c r="BM99" s="611">
        <f>SUM(BK99:BL99)</f>
        <v>0</v>
      </c>
      <c r="BN99" s="428">
        <f>I99+AZ99</f>
        <v>4395088</v>
      </c>
      <c r="BO99" s="421">
        <f>J99+AH99</f>
        <v>3235041</v>
      </c>
      <c r="BP99" s="421">
        <f t="shared" si="271"/>
        <v>3235041</v>
      </c>
      <c r="BQ99" s="421">
        <f t="shared" si="271"/>
        <v>0</v>
      </c>
      <c r="BR99" s="421">
        <f>M99+AQ99</f>
        <v>25600</v>
      </c>
      <c r="BS99" s="421">
        <f t="shared" si="272"/>
        <v>25600</v>
      </c>
      <c r="BT99" s="421">
        <f t="shared" si="272"/>
        <v>0</v>
      </c>
      <c r="BU99" s="421">
        <f t="shared" si="273"/>
        <v>1102097</v>
      </c>
      <c r="BV99" s="421">
        <f t="shared" si="273"/>
        <v>32350</v>
      </c>
      <c r="BW99" s="421">
        <f>R99+AY99</f>
        <v>0</v>
      </c>
      <c r="BX99" s="422">
        <f>S99+BM99</f>
        <v>6.1460999999999997</v>
      </c>
      <c r="BY99" s="422">
        <f t="shared" si="274"/>
        <v>6.1460999999999997</v>
      </c>
      <c r="BZ99" s="611">
        <f t="shared" si="274"/>
        <v>0</v>
      </c>
      <c r="CA99" s="423"/>
      <c r="CB99" s="418"/>
      <c r="CC99" s="418"/>
      <c r="CD99" s="418"/>
      <c r="CE99" s="418"/>
      <c r="CF99" s="527"/>
    </row>
    <row r="100" spans="1:84" s="222" customFormat="1" ht="12.75" customHeight="1" x14ac:dyDescent="0.2">
      <c r="A100" s="224">
        <v>22</v>
      </c>
      <c r="B100" s="225">
        <v>3412</v>
      </c>
      <c r="C100" s="225">
        <v>600078540</v>
      </c>
      <c r="D100" s="225">
        <v>72742879</v>
      </c>
      <c r="E100" s="226" t="s">
        <v>51</v>
      </c>
      <c r="F100" s="225">
        <v>3143</v>
      </c>
      <c r="G100" s="226" t="s">
        <v>597</v>
      </c>
      <c r="H100" s="227" t="s">
        <v>272</v>
      </c>
      <c r="I100" s="423">
        <f t="shared" si="265"/>
        <v>107588</v>
      </c>
      <c r="J100" s="418">
        <f>K100+L100</f>
        <v>77009</v>
      </c>
      <c r="K100" s="418">
        <v>0</v>
      </c>
      <c r="L100" s="418">
        <v>77009</v>
      </c>
      <c r="M100" s="418">
        <f>N100+O100</f>
        <v>0</v>
      </c>
      <c r="N100" s="418"/>
      <c r="O100" s="418"/>
      <c r="P100" s="68">
        <f t="shared" si="266"/>
        <v>26029</v>
      </c>
      <c r="Q100" s="68">
        <f t="shared" si="275"/>
        <v>770</v>
      </c>
      <c r="R100" s="418">
        <v>3780</v>
      </c>
      <c r="S100" s="419">
        <f>T100+U100</f>
        <v>0.28999999999999998</v>
      </c>
      <c r="T100" s="420">
        <v>0</v>
      </c>
      <c r="U100" s="527">
        <v>0.28999999999999998</v>
      </c>
      <c r="V100" s="427">
        <f t="shared" si="267"/>
        <v>0</v>
      </c>
      <c r="W100" s="421">
        <f t="shared" si="267"/>
        <v>0</v>
      </c>
      <c r="X100" s="421">
        <v>0</v>
      </c>
      <c r="Y100" s="421">
        <v>0</v>
      </c>
      <c r="Z100" s="421">
        <v>0</v>
      </c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f>V100+X100+Y100+AA100+AB100+AD100</f>
        <v>0</v>
      </c>
      <c r="AG100" s="421">
        <f>W100+Z100+AC100+AE100</f>
        <v>0</v>
      </c>
      <c r="AH100" s="421">
        <f>SUM(AF100:AG100)</f>
        <v>0</v>
      </c>
      <c r="AI100" s="421">
        <v>0</v>
      </c>
      <c r="AJ100" s="421">
        <v>0</v>
      </c>
      <c r="AK100" s="421">
        <v>0</v>
      </c>
      <c r="AL100" s="421">
        <v>0</v>
      </c>
      <c r="AM100" s="421">
        <v>0</v>
      </c>
      <c r="AN100" s="421">
        <v>0</v>
      </c>
      <c r="AO100" s="421">
        <f t="shared" si="268"/>
        <v>0</v>
      </c>
      <c r="AP100" s="421">
        <f>AJ100+AN100</f>
        <v>0</v>
      </c>
      <c r="AQ100" s="421">
        <f>SUM(AO100:AP100)</f>
        <v>0</v>
      </c>
      <c r="AR100" s="421">
        <f t="shared" si="269"/>
        <v>0</v>
      </c>
      <c r="AS100" s="421">
        <f t="shared" si="269"/>
        <v>0</v>
      </c>
      <c r="AT100" s="421">
        <f>SUM(AR100:AS100)</f>
        <v>0</v>
      </c>
      <c r="AU100" s="68">
        <f t="shared" si="270"/>
        <v>0</v>
      </c>
      <c r="AV100" s="68">
        <f>ROUND(AH100*1%,0)</f>
        <v>0</v>
      </c>
      <c r="AW100" s="421">
        <v>0</v>
      </c>
      <c r="AX100" s="421">
        <v>0</v>
      </c>
      <c r="AY100" s="421">
        <f>AW100+AX100</f>
        <v>0</v>
      </c>
      <c r="AZ100" s="421">
        <f>AT100+AU100+AV100+AY100</f>
        <v>0</v>
      </c>
      <c r="BA100" s="422">
        <v>0</v>
      </c>
      <c r="BB100" s="422">
        <v>0</v>
      </c>
      <c r="BC100" s="422">
        <v>0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>BA100+BC100+BD100+BF100+BH100+BI100</f>
        <v>0</v>
      </c>
      <c r="BL100" s="422">
        <f>BB100+BE100+BG100+BJ100</f>
        <v>0</v>
      </c>
      <c r="BM100" s="611">
        <f>SUM(BK100:BL100)</f>
        <v>0</v>
      </c>
      <c r="BN100" s="428">
        <f>I100+AZ100</f>
        <v>107588</v>
      </c>
      <c r="BO100" s="421">
        <f>J100+AH100</f>
        <v>77009</v>
      </c>
      <c r="BP100" s="421">
        <f t="shared" si="271"/>
        <v>0</v>
      </c>
      <c r="BQ100" s="421">
        <f t="shared" si="271"/>
        <v>77009</v>
      </c>
      <c r="BR100" s="421">
        <f>M100+AQ100</f>
        <v>0</v>
      </c>
      <c r="BS100" s="421">
        <f t="shared" si="272"/>
        <v>0</v>
      </c>
      <c r="BT100" s="421">
        <f t="shared" si="272"/>
        <v>0</v>
      </c>
      <c r="BU100" s="421">
        <f t="shared" si="273"/>
        <v>26029</v>
      </c>
      <c r="BV100" s="421">
        <f t="shared" si="273"/>
        <v>770</v>
      </c>
      <c r="BW100" s="421">
        <f>R100+AY100</f>
        <v>3780</v>
      </c>
      <c r="BX100" s="422">
        <f>S100+BM100</f>
        <v>0.28999999999999998</v>
      </c>
      <c r="BY100" s="422">
        <f t="shared" si="274"/>
        <v>0</v>
      </c>
      <c r="BZ100" s="611">
        <f t="shared" si="274"/>
        <v>0.28999999999999998</v>
      </c>
      <c r="CA100" s="423"/>
      <c r="CB100" s="418"/>
      <c r="CC100" s="418"/>
      <c r="CD100" s="418"/>
      <c r="CE100" s="418"/>
      <c r="CF100" s="527"/>
    </row>
    <row r="101" spans="1:84" s="222" customFormat="1" ht="12.75" customHeight="1" x14ac:dyDescent="0.2">
      <c r="A101" s="153">
        <v>22</v>
      </c>
      <c r="B101" s="14">
        <v>3412</v>
      </c>
      <c r="C101" s="152">
        <v>600078540</v>
      </c>
      <c r="D101" s="152">
        <v>72742879</v>
      </c>
      <c r="E101" s="223" t="s">
        <v>52</v>
      </c>
      <c r="F101" s="14"/>
      <c r="G101" s="223"/>
      <c r="H101" s="592"/>
      <c r="I101" s="522">
        <f t="shared" ref="I101:BU101" si="276">SUM(I96:I100)</f>
        <v>51774948</v>
      </c>
      <c r="J101" s="521">
        <f t="shared" si="276"/>
        <v>37896805</v>
      </c>
      <c r="K101" s="521">
        <f t="shared" si="276"/>
        <v>33841996</v>
      </c>
      <c r="L101" s="521">
        <f t="shared" si="276"/>
        <v>4054809</v>
      </c>
      <c r="M101" s="521">
        <f t="shared" si="276"/>
        <v>0</v>
      </c>
      <c r="N101" s="521">
        <f t="shared" si="276"/>
        <v>0</v>
      </c>
      <c r="O101" s="521">
        <f t="shared" si="276"/>
        <v>0</v>
      </c>
      <c r="P101" s="521">
        <f t="shared" si="276"/>
        <v>12809120</v>
      </c>
      <c r="Q101" s="521">
        <f t="shared" si="276"/>
        <v>378968</v>
      </c>
      <c r="R101" s="521">
        <f t="shared" si="276"/>
        <v>690055</v>
      </c>
      <c r="S101" s="572">
        <f t="shared" si="276"/>
        <v>59.364099999999993</v>
      </c>
      <c r="T101" s="572">
        <f t="shared" si="276"/>
        <v>46.964099999999995</v>
      </c>
      <c r="U101" s="448">
        <f t="shared" si="276"/>
        <v>12.399999999999999</v>
      </c>
      <c r="V101" s="614">
        <f t="shared" si="276"/>
        <v>-67200</v>
      </c>
      <c r="W101" s="521">
        <f t="shared" si="276"/>
        <v>-28800</v>
      </c>
      <c r="X101" s="521">
        <f t="shared" si="276"/>
        <v>3831640</v>
      </c>
      <c r="Y101" s="521">
        <f t="shared" si="276"/>
        <v>0</v>
      </c>
      <c r="Z101" s="521">
        <f t="shared" si="276"/>
        <v>0</v>
      </c>
      <c r="AA101" s="521">
        <f t="shared" si="276"/>
        <v>76130</v>
      </c>
      <c r="AB101" s="521">
        <f t="shared" si="276"/>
        <v>0</v>
      </c>
      <c r="AC101" s="521">
        <f t="shared" si="276"/>
        <v>0</v>
      </c>
      <c r="AD101" s="521">
        <f t="shared" si="276"/>
        <v>0</v>
      </c>
      <c r="AE101" s="521">
        <f t="shared" si="276"/>
        <v>0</v>
      </c>
      <c r="AF101" s="521">
        <f t="shared" si="276"/>
        <v>3840570</v>
      </c>
      <c r="AG101" s="521">
        <f t="shared" si="276"/>
        <v>-28800</v>
      </c>
      <c r="AH101" s="521">
        <f t="shared" si="276"/>
        <v>3811770</v>
      </c>
      <c r="AI101" s="521">
        <f t="shared" si="276"/>
        <v>67200</v>
      </c>
      <c r="AJ101" s="521">
        <f t="shared" si="276"/>
        <v>28800</v>
      </c>
      <c r="AK101" s="521">
        <f t="shared" ref="AK101" si="277">SUM(AK96:AK100)</f>
        <v>0</v>
      </c>
      <c r="AL101" s="521">
        <f t="shared" si="276"/>
        <v>0</v>
      </c>
      <c r="AM101" s="521">
        <f t="shared" si="276"/>
        <v>50730</v>
      </c>
      <c r="AN101" s="521">
        <f t="shared" si="276"/>
        <v>0</v>
      </c>
      <c r="AO101" s="521">
        <f t="shared" si="276"/>
        <v>117930</v>
      </c>
      <c r="AP101" s="521">
        <f t="shared" si="276"/>
        <v>28800</v>
      </c>
      <c r="AQ101" s="521">
        <f t="shared" si="276"/>
        <v>146730</v>
      </c>
      <c r="AR101" s="521">
        <f t="shared" si="276"/>
        <v>3958500</v>
      </c>
      <c r="AS101" s="521">
        <f t="shared" si="276"/>
        <v>0</v>
      </c>
      <c r="AT101" s="521">
        <f t="shared" si="276"/>
        <v>3958500</v>
      </c>
      <c r="AU101" s="521">
        <f t="shared" si="276"/>
        <v>1320826</v>
      </c>
      <c r="AV101" s="521">
        <f t="shared" si="276"/>
        <v>38117</v>
      </c>
      <c r="AW101" s="521">
        <f t="shared" si="276"/>
        <v>0</v>
      </c>
      <c r="AX101" s="521">
        <f t="shared" si="276"/>
        <v>0</v>
      </c>
      <c r="AY101" s="521">
        <f t="shared" si="276"/>
        <v>0</v>
      </c>
      <c r="AZ101" s="521">
        <f t="shared" si="276"/>
        <v>5317443</v>
      </c>
      <c r="BA101" s="572">
        <f t="shared" si="276"/>
        <v>0</v>
      </c>
      <c r="BB101" s="572">
        <f t="shared" si="276"/>
        <v>-0.1</v>
      </c>
      <c r="BC101" s="572">
        <f t="shared" si="276"/>
        <v>10.34</v>
      </c>
      <c r="BD101" s="572">
        <f t="shared" si="276"/>
        <v>0</v>
      </c>
      <c r="BE101" s="572">
        <f t="shared" si="276"/>
        <v>0</v>
      </c>
      <c r="BF101" s="572">
        <f t="shared" si="276"/>
        <v>0</v>
      </c>
      <c r="BG101" s="572">
        <f t="shared" si="276"/>
        <v>0</v>
      </c>
      <c r="BH101" s="572">
        <f t="shared" si="276"/>
        <v>0.11</v>
      </c>
      <c r="BI101" s="572">
        <f t="shared" si="276"/>
        <v>0</v>
      </c>
      <c r="BJ101" s="572">
        <f t="shared" si="276"/>
        <v>0</v>
      </c>
      <c r="BK101" s="572">
        <f t="shared" si="276"/>
        <v>10.45</v>
      </c>
      <c r="BL101" s="572">
        <f t="shared" si="276"/>
        <v>-0.1</v>
      </c>
      <c r="BM101" s="403">
        <f t="shared" si="276"/>
        <v>10.35</v>
      </c>
      <c r="BN101" s="522">
        <f t="shared" si="276"/>
        <v>57092391</v>
      </c>
      <c r="BO101" s="521">
        <f t="shared" si="276"/>
        <v>41708575</v>
      </c>
      <c r="BP101" s="521">
        <f t="shared" si="276"/>
        <v>37682566</v>
      </c>
      <c r="BQ101" s="521">
        <f t="shared" si="276"/>
        <v>4026009</v>
      </c>
      <c r="BR101" s="521">
        <f t="shared" si="276"/>
        <v>146730</v>
      </c>
      <c r="BS101" s="521">
        <f t="shared" si="276"/>
        <v>117930</v>
      </c>
      <c r="BT101" s="521">
        <f t="shared" si="276"/>
        <v>28800</v>
      </c>
      <c r="BU101" s="521">
        <f t="shared" si="276"/>
        <v>14129946</v>
      </c>
      <c r="BV101" s="521">
        <f t="shared" ref="BV101:CF101" si="278">SUM(BV96:BV100)</f>
        <v>417085</v>
      </c>
      <c r="BW101" s="521">
        <f t="shared" si="278"/>
        <v>690055</v>
      </c>
      <c r="BX101" s="572">
        <f t="shared" si="278"/>
        <v>69.714100000000002</v>
      </c>
      <c r="BY101" s="572">
        <f t="shared" si="278"/>
        <v>57.414099999999998</v>
      </c>
      <c r="BZ101" s="403">
        <f t="shared" si="278"/>
        <v>12.3</v>
      </c>
      <c r="CA101" s="833">
        <f t="shared" si="278"/>
        <v>0</v>
      </c>
      <c r="CB101" s="834">
        <f t="shared" si="278"/>
        <v>0</v>
      </c>
      <c r="CC101" s="834">
        <f t="shared" si="278"/>
        <v>0</v>
      </c>
      <c r="CD101" s="834">
        <f t="shared" si="278"/>
        <v>0</v>
      </c>
      <c r="CE101" s="834">
        <f t="shared" si="278"/>
        <v>0</v>
      </c>
      <c r="CF101" s="829">
        <f t="shared" si="278"/>
        <v>0</v>
      </c>
    </row>
    <row r="102" spans="1:84" s="222" customFormat="1" ht="12" customHeight="1" x14ac:dyDescent="0.2">
      <c r="A102" s="224">
        <v>23</v>
      </c>
      <c r="B102" s="225">
        <v>3416</v>
      </c>
      <c r="C102" s="225">
        <v>600078426</v>
      </c>
      <c r="D102" s="225">
        <v>72743034</v>
      </c>
      <c r="E102" s="226" t="s">
        <v>53</v>
      </c>
      <c r="F102" s="225">
        <v>3113</v>
      </c>
      <c r="G102" s="226" t="s">
        <v>294</v>
      </c>
      <c r="H102" s="227" t="s">
        <v>271</v>
      </c>
      <c r="I102" s="423">
        <f t="shared" ref="I102:I106" si="279">J102+P102+Q102+R102</f>
        <v>37689149</v>
      </c>
      <c r="J102" s="418">
        <f>K102+L102</f>
        <v>27553417</v>
      </c>
      <c r="K102" s="418">
        <v>25692308</v>
      </c>
      <c r="L102" s="418">
        <v>1861109</v>
      </c>
      <c r="M102" s="418">
        <f>N102+O102</f>
        <v>0</v>
      </c>
      <c r="N102" s="418"/>
      <c r="O102" s="418"/>
      <c r="P102" s="68">
        <f t="shared" ref="P102:P106" si="280">ROUND(J102*33.8%,0)</f>
        <v>9313055</v>
      </c>
      <c r="Q102" s="68">
        <f t="shared" ref="Q102:Q106" si="281">ROUND(J102*1%,0)</f>
        <v>275534</v>
      </c>
      <c r="R102" s="418">
        <v>547143</v>
      </c>
      <c r="S102" s="419">
        <f>T102+U102</f>
        <v>41.005000000000003</v>
      </c>
      <c r="T102" s="420">
        <v>35.318300000000001</v>
      </c>
      <c r="U102" s="527">
        <v>5.6867000000000001</v>
      </c>
      <c r="V102" s="427">
        <f t="shared" ref="V102:W106" si="282">AI102*-1</f>
        <v>0</v>
      </c>
      <c r="W102" s="421">
        <f t="shared" si="282"/>
        <v>-3200</v>
      </c>
      <c r="X102" s="421">
        <v>0</v>
      </c>
      <c r="Y102" s="421">
        <v>0</v>
      </c>
      <c r="Z102" s="421">
        <v>0</v>
      </c>
      <c r="AA102" s="421">
        <v>0</v>
      </c>
      <c r="AB102" s="421">
        <v>282000</v>
      </c>
      <c r="AC102" s="421">
        <v>0</v>
      </c>
      <c r="AD102" s="421">
        <v>0</v>
      </c>
      <c r="AE102" s="421">
        <v>0</v>
      </c>
      <c r="AF102" s="421">
        <f>V102+X102+Y102+AA102+AB102+AD102</f>
        <v>282000</v>
      </c>
      <c r="AG102" s="421">
        <f>W102+Z102+AC102+AE102</f>
        <v>-3200</v>
      </c>
      <c r="AH102" s="421">
        <f>SUM(AF102:AG102)</f>
        <v>278800</v>
      </c>
      <c r="AI102" s="421">
        <v>0</v>
      </c>
      <c r="AJ102" s="421">
        <v>3200</v>
      </c>
      <c r="AK102" s="421">
        <v>282000</v>
      </c>
      <c r="AL102" s="421">
        <v>0</v>
      </c>
      <c r="AM102" s="421">
        <v>0</v>
      </c>
      <c r="AN102" s="421">
        <v>0</v>
      </c>
      <c r="AO102" s="421">
        <f t="shared" ref="AO102:AO106" si="283">AI102+AK102+AL102+AM102</f>
        <v>282000</v>
      </c>
      <c r="AP102" s="421">
        <f>AJ102+AN102</f>
        <v>3200</v>
      </c>
      <c r="AQ102" s="421">
        <f>SUM(AO102:AP102)</f>
        <v>285200</v>
      </c>
      <c r="AR102" s="421">
        <f t="shared" ref="AR102:AS106" si="284">AF102+AO102</f>
        <v>564000</v>
      </c>
      <c r="AS102" s="421">
        <f t="shared" si="284"/>
        <v>0</v>
      </c>
      <c r="AT102" s="421">
        <f>SUM(AR102:AS102)</f>
        <v>564000</v>
      </c>
      <c r="AU102" s="68">
        <f t="shared" ref="AU102:AU106" si="285">ROUND((AH102+AI102+AJ102+AK102+AL102)*33.8%,0)</f>
        <v>190632</v>
      </c>
      <c r="AV102" s="68">
        <f>ROUND(AH102*1%,0)</f>
        <v>2788</v>
      </c>
      <c r="AW102" s="421">
        <v>0</v>
      </c>
      <c r="AX102" s="421">
        <v>0</v>
      </c>
      <c r="AY102" s="421">
        <f>AW102+AX102</f>
        <v>0</v>
      </c>
      <c r="AZ102" s="421">
        <f>AT102+AU102+AV102+AY102</f>
        <v>757420</v>
      </c>
      <c r="BA102" s="422">
        <v>0</v>
      </c>
      <c r="BB102" s="422">
        <v>-0.01</v>
      </c>
      <c r="BC102" s="422">
        <v>0</v>
      </c>
      <c r="BD102" s="422">
        <v>0.5</v>
      </c>
      <c r="BE102" s="422">
        <v>0</v>
      </c>
      <c r="BF102" s="422">
        <v>0</v>
      </c>
      <c r="BG102" s="422">
        <v>0</v>
      </c>
      <c r="BH102" s="422">
        <v>0</v>
      </c>
      <c r="BI102" s="422">
        <v>0</v>
      </c>
      <c r="BJ102" s="422">
        <v>0</v>
      </c>
      <c r="BK102" s="422">
        <f>BA102+BC102+BD102+BF102+BH102+BI102</f>
        <v>0.5</v>
      </c>
      <c r="BL102" s="422">
        <f>BB102+BE102+BG102+BJ102</f>
        <v>-0.01</v>
      </c>
      <c r="BM102" s="611">
        <f>SUM(BK102:BL102)</f>
        <v>0.49</v>
      </c>
      <c r="BN102" s="428">
        <f>I102+AZ102</f>
        <v>38446569</v>
      </c>
      <c r="BO102" s="421">
        <f>J102+AH102</f>
        <v>27832217</v>
      </c>
      <c r="BP102" s="421">
        <f t="shared" ref="BP102:BQ106" si="286">K102+AF102</f>
        <v>25974308</v>
      </c>
      <c r="BQ102" s="421">
        <f t="shared" si="286"/>
        <v>1857909</v>
      </c>
      <c r="BR102" s="421">
        <f>M102+AQ102</f>
        <v>285200</v>
      </c>
      <c r="BS102" s="421">
        <f t="shared" ref="BS102:BT106" si="287">N102+AO102</f>
        <v>282000</v>
      </c>
      <c r="BT102" s="421">
        <f t="shared" si="287"/>
        <v>3200</v>
      </c>
      <c r="BU102" s="421">
        <f t="shared" ref="BU102:BV106" si="288">P102+AU102</f>
        <v>9503687</v>
      </c>
      <c r="BV102" s="421">
        <f t="shared" si="288"/>
        <v>278322</v>
      </c>
      <c r="BW102" s="421">
        <f>R102+AY102</f>
        <v>547143</v>
      </c>
      <c r="BX102" s="422">
        <f>S102+BM102</f>
        <v>41.495000000000005</v>
      </c>
      <c r="BY102" s="422">
        <f t="shared" ref="BY102:BZ106" si="289">T102+BK102</f>
        <v>35.818300000000001</v>
      </c>
      <c r="BZ102" s="611">
        <f t="shared" si="289"/>
        <v>5.6767000000000003</v>
      </c>
      <c r="CA102" s="423">
        <v>757452</v>
      </c>
      <c r="CB102" s="418">
        <v>282000</v>
      </c>
      <c r="CC102" s="418">
        <v>282000</v>
      </c>
      <c r="CD102" s="418">
        <v>190632</v>
      </c>
      <c r="CE102" s="418">
        <v>2820</v>
      </c>
      <c r="CF102" s="527">
        <v>0.5</v>
      </c>
    </row>
    <row r="103" spans="1:84" s="222" customFormat="1" ht="12" customHeight="1" x14ac:dyDescent="0.2">
      <c r="A103" s="224">
        <v>23</v>
      </c>
      <c r="B103" s="225">
        <v>3416</v>
      </c>
      <c r="C103" s="225">
        <v>600078426</v>
      </c>
      <c r="D103" s="225">
        <v>72743034</v>
      </c>
      <c r="E103" s="226" t="s">
        <v>53</v>
      </c>
      <c r="F103" s="225">
        <v>3113</v>
      </c>
      <c r="G103" s="226" t="s">
        <v>292</v>
      </c>
      <c r="H103" s="227" t="s">
        <v>272</v>
      </c>
      <c r="I103" s="423">
        <f t="shared" si="279"/>
        <v>0</v>
      </c>
      <c r="J103" s="418">
        <f>K103+L103</f>
        <v>0</v>
      </c>
      <c r="K103" s="418">
        <v>0</v>
      </c>
      <c r="L103" s="418">
        <v>0</v>
      </c>
      <c r="M103" s="418">
        <f>N103+O103</f>
        <v>0</v>
      </c>
      <c r="N103" s="418"/>
      <c r="O103" s="418"/>
      <c r="P103" s="68">
        <f t="shared" si="280"/>
        <v>0</v>
      </c>
      <c r="Q103" s="68">
        <f t="shared" si="281"/>
        <v>0</v>
      </c>
      <c r="R103" s="418">
        <v>0</v>
      </c>
      <c r="S103" s="419">
        <f>T103+U103</f>
        <v>0</v>
      </c>
      <c r="T103" s="420">
        <v>0</v>
      </c>
      <c r="U103" s="527">
        <v>0</v>
      </c>
      <c r="V103" s="427">
        <f t="shared" si="282"/>
        <v>0</v>
      </c>
      <c r="W103" s="421">
        <f t="shared" si="282"/>
        <v>0</v>
      </c>
      <c r="X103" s="421">
        <f>3852955+323006</f>
        <v>4175961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>V103+X103+Y103+AA103+AB103+AD103</f>
        <v>4175961</v>
      </c>
      <c r="AG103" s="421">
        <f>W103+Z103+AC103+AE103</f>
        <v>0</v>
      </c>
      <c r="AH103" s="421">
        <f>SUM(AF103:AG103)</f>
        <v>4175961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283"/>
        <v>0</v>
      </c>
      <c r="AP103" s="421">
        <f>AJ103+AN103</f>
        <v>0</v>
      </c>
      <c r="AQ103" s="421">
        <f>SUM(AO103:AP103)</f>
        <v>0</v>
      </c>
      <c r="AR103" s="421">
        <f t="shared" si="284"/>
        <v>4175961</v>
      </c>
      <c r="AS103" s="421">
        <f t="shared" si="284"/>
        <v>0</v>
      </c>
      <c r="AT103" s="421">
        <f>SUM(AR103:AS103)</f>
        <v>4175961</v>
      </c>
      <c r="AU103" s="68">
        <f t="shared" si="285"/>
        <v>1411475</v>
      </c>
      <c r="AV103" s="68">
        <f>ROUND(AH103*1%,0)</f>
        <v>41760</v>
      </c>
      <c r="AW103" s="421">
        <v>3250</v>
      </c>
      <c r="AX103" s="421">
        <v>0</v>
      </c>
      <c r="AY103" s="421">
        <f>AW103+AX103</f>
        <v>3250</v>
      </c>
      <c r="AZ103" s="421">
        <f>AT103+AU103+AV103+AY103</f>
        <v>5632446</v>
      </c>
      <c r="BA103" s="422">
        <v>0</v>
      </c>
      <c r="BB103" s="422">
        <v>0</v>
      </c>
      <c r="BC103" s="422">
        <f>10.06+0.83</f>
        <v>10.89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>BA103+BC103+BD103+BF103+BH103+BI103</f>
        <v>10.89</v>
      </c>
      <c r="BL103" s="422">
        <f>BB103+BE103+BG103+BJ103</f>
        <v>0</v>
      </c>
      <c r="BM103" s="611">
        <f>SUM(BK103:BL103)</f>
        <v>10.89</v>
      </c>
      <c r="BN103" s="428">
        <f>I103+AZ103</f>
        <v>5632446</v>
      </c>
      <c r="BO103" s="421">
        <f>J103+AH103</f>
        <v>4175961</v>
      </c>
      <c r="BP103" s="421">
        <f t="shared" si="286"/>
        <v>4175961</v>
      </c>
      <c r="BQ103" s="421">
        <f t="shared" si="286"/>
        <v>0</v>
      </c>
      <c r="BR103" s="421">
        <f>M103+AQ103</f>
        <v>0</v>
      </c>
      <c r="BS103" s="421">
        <f t="shared" si="287"/>
        <v>0</v>
      </c>
      <c r="BT103" s="421">
        <f t="shared" si="287"/>
        <v>0</v>
      </c>
      <c r="BU103" s="421">
        <f t="shared" si="288"/>
        <v>1411475</v>
      </c>
      <c r="BV103" s="421">
        <f t="shared" si="288"/>
        <v>41760</v>
      </c>
      <c r="BW103" s="421">
        <f>R103+AY103</f>
        <v>3250</v>
      </c>
      <c r="BX103" s="422">
        <f>S103+BM103</f>
        <v>10.89</v>
      </c>
      <c r="BY103" s="422">
        <f t="shared" si="289"/>
        <v>10.89</v>
      </c>
      <c r="BZ103" s="611">
        <f t="shared" si="289"/>
        <v>0</v>
      </c>
      <c r="CA103" s="423"/>
      <c r="CB103" s="418"/>
      <c r="CC103" s="418"/>
      <c r="CD103" s="418"/>
      <c r="CE103" s="418"/>
      <c r="CF103" s="527"/>
    </row>
    <row r="104" spans="1:84" s="222" customFormat="1" ht="12.75" customHeight="1" x14ac:dyDescent="0.2">
      <c r="A104" s="224">
        <v>23</v>
      </c>
      <c r="B104" s="225">
        <v>3416</v>
      </c>
      <c r="C104" s="225">
        <v>600078426</v>
      </c>
      <c r="D104" s="225">
        <v>72743034</v>
      </c>
      <c r="E104" s="226" t="s">
        <v>53</v>
      </c>
      <c r="F104" s="225">
        <v>3141</v>
      </c>
      <c r="G104" s="226" t="s">
        <v>295</v>
      </c>
      <c r="H104" s="227" t="s">
        <v>272</v>
      </c>
      <c r="I104" s="423">
        <f t="shared" si="279"/>
        <v>2142509</v>
      </c>
      <c r="J104" s="418">
        <f>K104+L104</f>
        <v>1576260</v>
      </c>
      <c r="K104" s="418">
        <v>0</v>
      </c>
      <c r="L104" s="418">
        <v>1576260</v>
      </c>
      <c r="M104" s="418">
        <f>N104+O104</f>
        <v>0</v>
      </c>
      <c r="N104" s="418"/>
      <c r="O104" s="418"/>
      <c r="P104" s="68">
        <f t="shared" si="280"/>
        <v>532776</v>
      </c>
      <c r="Q104" s="68">
        <f t="shared" si="281"/>
        <v>15763</v>
      </c>
      <c r="R104" s="418">
        <v>17710</v>
      </c>
      <c r="S104" s="419">
        <f>T104+U104</f>
        <v>4.7300000000000004</v>
      </c>
      <c r="T104" s="420">
        <v>0</v>
      </c>
      <c r="U104" s="527">
        <v>4.7300000000000004</v>
      </c>
      <c r="V104" s="427">
        <f t="shared" si="282"/>
        <v>0</v>
      </c>
      <c r="W104" s="421">
        <f t="shared" si="282"/>
        <v>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>V104+X104+Y104+AA104+AB104+AD104</f>
        <v>0</v>
      </c>
      <c r="AG104" s="421">
        <f>W104+Z104+AC104+AE104</f>
        <v>0</v>
      </c>
      <c r="AH104" s="421">
        <f>SUM(AF104:AG104)</f>
        <v>0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283"/>
        <v>0</v>
      </c>
      <c r="AP104" s="421">
        <f>AJ104+AN104</f>
        <v>0</v>
      </c>
      <c r="AQ104" s="421">
        <f>SUM(AO104:AP104)</f>
        <v>0</v>
      </c>
      <c r="AR104" s="421">
        <f t="shared" si="284"/>
        <v>0</v>
      </c>
      <c r="AS104" s="421">
        <f t="shared" si="284"/>
        <v>0</v>
      </c>
      <c r="AT104" s="421">
        <f>SUM(AR104:AS104)</f>
        <v>0</v>
      </c>
      <c r="AU104" s="68">
        <f t="shared" si="285"/>
        <v>0</v>
      </c>
      <c r="AV104" s="68">
        <f>ROUND(AH104*1%,0)</f>
        <v>0</v>
      </c>
      <c r="AW104" s="421">
        <v>0</v>
      </c>
      <c r="AX104" s="421">
        <v>0</v>
      </c>
      <c r="AY104" s="421">
        <f>AW104+AX104</f>
        <v>0</v>
      </c>
      <c r="AZ104" s="421">
        <f>AT104+AU104+AV104+AY104</f>
        <v>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>BA104+BC104+BD104+BF104+BH104+BI104</f>
        <v>0</v>
      </c>
      <c r="BL104" s="422">
        <f>BB104+BE104+BG104+BJ104</f>
        <v>0</v>
      </c>
      <c r="BM104" s="611">
        <f>SUM(BK104:BL104)</f>
        <v>0</v>
      </c>
      <c r="BN104" s="428">
        <f>I104+AZ104</f>
        <v>2142509</v>
      </c>
      <c r="BO104" s="421">
        <f>J104+AH104</f>
        <v>1576260</v>
      </c>
      <c r="BP104" s="421">
        <f t="shared" si="286"/>
        <v>0</v>
      </c>
      <c r="BQ104" s="421">
        <f t="shared" si="286"/>
        <v>1576260</v>
      </c>
      <c r="BR104" s="421">
        <f>M104+AQ104</f>
        <v>0</v>
      </c>
      <c r="BS104" s="421">
        <f t="shared" si="287"/>
        <v>0</v>
      </c>
      <c r="BT104" s="421">
        <f t="shared" si="287"/>
        <v>0</v>
      </c>
      <c r="BU104" s="421">
        <f t="shared" si="288"/>
        <v>532776</v>
      </c>
      <c r="BV104" s="421">
        <f t="shared" si="288"/>
        <v>15763</v>
      </c>
      <c r="BW104" s="421">
        <f>R104+AY104</f>
        <v>17710</v>
      </c>
      <c r="BX104" s="422">
        <f>S104+BM104</f>
        <v>4.7300000000000004</v>
      </c>
      <c r="BY104" s="422">
        <f t="shared" si="289"/>
        <v>0</v>
      </c>
      <c r="BZ104" s="611">
        <f t="shared" si="289"/>
        <v>4.7300000000000004</v>
      </c>
      <c r="CA104" s="423"/>
      <c r="CB104" s="418"/>
      <c r="CC104" s="418"/>
      <c r="CD104" s="418"/>
      <c r="CE104" s="418"/>
      <c r="CF104" s="527"/>
    </row>
    <row r="105" spans="1:84" s="222" customFormat="1" ht="12.75" customHeight="1" x14ac:dyDescent="0.2">
      <c r="A105" s="224">
        <v>23</v>
      </c>
      <c r="B105" s="225">
        <v>3416</v>
      </c>
      <c r="C105" s="225">
        <v>600078426</v>
      </c>
      <c r="D105" s="225">
        <v>72743034</v>
      </c>
      <c r="E105" s="226" t="s">
        <v>53</v>
      </c>
      <c r="F105" s="225">
        <v>3143</v>
      </c>
      <c r="G105" s="226" t="s">
        <v>596</v>
      </c>
      <c r="H105" s="227" t="s">
        <v>271</v>
      </c>
      <c r="I105" s="423">
        <f t="shared" si="279"/>
        <v>4032350</v>
      </c>
      <c r="J105" s="418">
        <f>K105+L105</f>
        <v>2991357</v>
      </c>
      <c r="K105" s="418">
        <v>2991357</v>
      </c>
      <c r="L105" s="418">
        <v>0</v>
      </c>
      <c r="M105" s="418">
        <f>N105+O105</f>
        <v>0</v>
      </c>
      <c r="N105" s="418"/>
      <c r="O105" s="418"/>
      <c r="P105" s="68">
        <f t="shared" si="280"/>
        <v>1011079</v>
      </c>
      <c r="Q105" s="68">
        <f t="shared" si="281"/>
        <v>29914</v>
      </c>
      <c r="R105" s="418">
        <v>0</v>
      </c>
      <c r="S105" s="419">
        <f>T105+U105</f>
        <v>5.6891999999999996</v>
      </c>
      <c r="T105" s="420">
        <v>5.6891999999999996</v>
      </c>
      <c r="U105" s="527">
        <v>0</v>
      </c>
      <c r="V105" s="427">
        <f t="shared" si="282"/>
        <v>0</v>
      </c>
      <c r="W105" s="421">
        <f t="shared" si="282"/>
        <v>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f>V105+X105+Y105+AA105+AB105+AD105</f>
        <v>0</v>
      </c>
      <c r="AG105" s="421">
        <f>W105+Z105+AC105+AE105</f>
        <v>0</v>
      </c>
      <c r="AH105" s="421">
        <f>SUM(AF105:AG105)</f>
        <v>0</v>
      </c>
      <c r="AI105" s="421">
        <v>0</v>
      </c>
      <c r="AJ105" s="421">
        <v>0</v>
      </c>
      <c r="AK105" s="421">
        <v>0</v>
      </c>
      <c r="AL105" s="421">
        <v>0</v>
      </c>
      <c r="AM105" s="421">
        <v>0</v>
      </c>
      <c r="AN105" s="421">
        <v>0</v>
      </c>
      <c r="AO105" s="421">
        <f t="shared" si="283"/>
        <v>0</v>
      </c>
      <c r="AP105" s="421">
        <f>AJ105+AN105</f>
        <v>0</v>
      </c>
      <c r="AQ105" s="421">
        <f>SUM(AO105:AP105)</f>
        <v>0</v>
      </c>
      <c r="AR105" s="421">
        <f t="shared" si="284"/>
        <v>0</v>
      </c>
      <c r="AS105" s="421">
        <f t="shared" si="284"/>
        <v>0</v>
      </c>
      <c r="AT105" s="421">
        <f>SUM(AR105:AS105)</f>
        <v>0</v>
      </c>
      <c r="AU105" s="68">
        <f t="shared" si="285"/>
        <v>0</v>
      </c>
      <c r="AV105" s="68">
        <f>ROUND(AH105*1%,0)</f>
        <v>0</v>
      </c>
      <c r="AW105" s="421">
        <v>0</v>
      </c>
      <c r="AX105" s="421">
        <v>0</v>
      </c>
      <c r="AY105" s="421">
        <f>AW105+AX105</f>
        <v>0</v>
      </c>
      <c r="AZ105" s="421">
        <f>AT105+AU105+AV105+AY105</f>
        <v>0</v>
      </c>
      <c r="BA105" s="422">
        <v>0</v>
      </c>
      <c r="BB105" s="422">
        <v>0</v>
      </c>
      <c r="BC105" s="422">
        <v>0</v>
      </c>
      <c r="BD105" s="422">
        <v>0</v>
      </c>
      <c r="BE105" s="422">
        <v>0</v>
      </c>
      <c r="BF105" s="422">
        <v>0</v>
      </c>
      <c r="BG105" s="422">
        <v>0</v>
      </c>
      <c r="BH105" s="422">
        <v>0</v>
      </c>
      <c r="BI105" s="422">
        <v>0</v>
      </c>
      <c r="BJ105" s="422">
        <v>0</v>
      </c>
      <c r="BK105" s="422">
        <f>BA105+BC105+BD105+BF105+BH105+BI105</f>
        <v>0</v>
      </c>
      <c r="BL105" s="422">
        <f>BB105+BE105+BG105+BJ105</f>
        <v>0</v>
      </c>
      <c r="BM105" s="611">
        <f>SUM(BK105:BL105)</f>
        <v>0</v>
      </c>
      <c r="BN105" s="428">
        <f>I105+AZ105</f>
        <v>4032350</v>
      </c>
      <c r="BO105" s="421">
        <f>J105+AH105</f>
        <v>2991357</v>
      </c>
      <c r="BP105" s="421">
        <f t="shared" si="286"/>
        <v>2991357</v>
      </c>
      <c r="BQ105" s="421">
        <f t="shared" si="286"/>
        <v>0</v>
      </c>
      <c r="BR105" s="421">
        <f>M105+AQ105</f>
        <v>0</v>
      </c>
      <c r="BS105" s="421">
        <f t="shared" si="287"/>
        <v>0</v>
      </c>
      <c r="BT105" s="421">
        <f t="shared" si="287"/>
        <v>0</v>
      </c>
      <c r="BU105" s="421">
        <f t="shared" si="288"/>
        <v>1011079</v>
      </c>
      <c r="BV105" s="421">
        <f t="shared" si="288"/>
        <v>29914</v>
      </c>
      <c r="BW105" s="421">
        <f>R105+AY105</f>
        <v>0</v>
      </c>
      <c r="BX105" s="422">
        <f>S105+BM105</f>
        <v>5.6891999999999996</v>
      </c>
      <c r="BY105" s="422">
        <f t="shared" si="289"/>
        <v>5.6891999999999996</v>
      </c>
      <c r="BZ105" s="611">
        <f t="shared" si="289"/>
        <v>0</v>
      </c>
      <c r="CA105" s="423"/>
      <c r="CB105" s="418"/>
      <c r="CC105" s="418"/>
      <c r="CD105" s="418"/>
      <c r="CE105" s="418"/>
      <c r="CF105" s="527"/>
    </row>
    <row r="106" spans="1:84" s="222" customFormat="1" ht="12.75" customHeight="1" x14ac:dyDescent="0.2">
      <c r="A106" s="224">
        <v>23</v>
      </c>
      <c r="B106" s="225">
        <v>3416</v>
      </c>
      <c r="C106" s="225">
        <v>600078426</v>
      </c>
      <c r="D106" s="225">
        <v>72743034</v>
      </c>
      <c r="E106" s="226" t="s">
        <v>53</v>
      </c>
      <c r="F106" s="225">
        <v>3143</v>
      </c>
      <c r="G106" s="226" t="s">
        <v>597</v>
      </c>
      <c r="H106" s="227" t="s">
        <v>272</v>
      </c>
      <c r="I106" s="423">
        <f t="shared" si="279"/>
        <v>84536</v>
      </c>
      <c r="J106" s="418">
        <f>K106+L106</f>
        <v>60509</v>
      </c>
      <c r="K106" s="418">
        <v>0</v>
      </c>
      <c r="L106" s="418">
        <v>60509</v>
      </c>
      <c r="M106" s="418">
        <f>N106+O106</f>
        <v>0</v>
      </c>
      <c r="N106" s="418"/>
      <c r="O106" s="418"/>
      <c r="P106" s="68">
        <f t="shared" si="280"/>
        <v>20452</v>
      </c>
      <c r="Q106" s="68">
        <f t="shared" si="281"/>
        <v>605</v>
      </c>
      <c r="R106" s="418">
        <v>2970</v>
      </c>
      <c r="S106" s="419">
        <f>T106+U106</f>
        <v>0.23</v>
      </c>
      <c r="T106" s="420">
        <v>0</v>
      </c>
      <c r="U106" s="527">
        <v>0.23</v>
      </c>
      <c r="V106" s="427">
        <f t="shared" si="282"/>
        <v>0</v>
      </c>
      <c r="W106" s="421">
        <f t="shared" si="282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>V106+X106+Y106+AA106+AB106+AD106</f>
        <v>0</v>
      </c>
      <c r="AG106" s="421">
        <f>W106+Z106+AC106+AE106</f>
        <v>0</v>
      </c>
      <c r="AH106" s="421">
        <f>SUM(AF106:AG106)</f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283"/>
        <v>0</v>
      </c>
      <c r="AP106" s="421">
        <f>AJ106+AN106</f>
        <v>0</v>
      </c>
      <c r="AQ106" s="421">
        <f>SUM(AO106:AP106)</f>
        <v>0</v>
      </c>
      <c r="AR106" s="421">
        <f t="shared" si="284"/>
        <v>0</v>
      </c>
      <c r="AS106" s="421">
        <f t="shared" si="284"/>
        <v>0</v>
      </c>
      <c r="AT106" s="421">
        <f>SUM(AR106:AS106)</f>
        <v>0</v>
      </c>
      <c r="AU106" s="68">
        <f t="shared" si="285"/>
        <v>0</v>
      </c>
      <c r="AV106" s="68">
        <f>ROUND(AH106*1%,0)</f>
        <v>0</v>
      </c>
      <c r="AW106" s="421">
        <v>0</v>
      </c>
      <c r="AX106" s="421">
        <v>0</v>
      </c>
      <c r="AY106" s="421">
        <f>AW106+AX106</f>
        <v>0</v>
      </c>
      <c r="AZ106" s="421">
        <f>AT106+AU106+AV106+AY106</f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>BA106+BC106+BD106+BF106+BH106+BI106</f>
        <v>0</v>
      </c>
      <c r="BL106" s="422">
        <f>BB106+BE106+BG106+BJ106</f>
        <v>0</v>
      </c>
      <c r="BM106" s="611">
        <f>SUM(BK106:BL106)</f>
        <v>0</v>
      </c>
      <c r="BN106" s="428">
        <f>I106+AZ106</f>
        <v>84536</v>
      </c>
      <c r="BO106" s="421">
        <f>J106+AH106</f>
        <v>60509</v>
      </c>
      <c r="BP106" s="421">
        <f t="shared" si="286"/>
        <v>0</v>
      </c>
      <c r="BQ106" s="421">
        <f t="shared" si="286"/>
        <v>60509</v>
      </c>
      <c r="BR106" s="421">
        <f>M106+AQ106</f>
        <v>0</v>
      </c>
      <c r="BS106" s="421">
        <f t="shared" si="287"/>
        <v>0</v>
      </c>
      <c r="BT106" s="421">
        <f t="shared" si="287"/>
        <v>0</v>
      </c>
      <c r="BU106" s="421">
        <f t="shared" si="288"/>
        <v>20452</v>
      </c>
      <c r="BV106" s="421">
        <f t="shared" si="288"/>
        <v>605</v>
      </c>
      <c r="BW106" s="421">
        <f>R106+AY106</f>
        <v>2970</v>
      </c>
      <c r="BX106" s="422">
        <f>S106+BM106</f>
        <v>0.23</v>
      </c>
      <c r="BY106" s="422">
        <f t="shared" si="289"/>
        <v>0</v>
      </c>
      <c r="BZ106" s="611">
        <f t="shared" si="289"/>
        <v>0.23</v>
      </c>
      <c r="CA106" s="423"/>
      <c r="CB106" s="418"/>
      <c r="CC106" s="418"/>
      <c r="CD106" s="418"/>
      <c r="CE106" s="418"/>
      <c r="CF106" s="527"/>
    </row>
    <row r="107" spans="1:84" s="222" customFormat="1" ht="12.75" customHeight="1" x14ac:dyDescent="0.2">
      <c r="A107" s="153">
        <v>23</v>
      </c>
      <c r="B107" s="14">
        <v>3416</v>
      </c>
      <c r="C107" s="152">
        <v>600078426</v>
      </c>
      <c r="D107" s="152">
        <v>72743034</v>
      </c>
      <c r="E107" s="223" t="s">
        <v>54</v>
      </c>
      <c r="F107" s="14"/>
      <c r="G107" s="223"/>
      <c r="H107" s="592"/>
      <c r="I107" s="522">
        <f t="shared" ref="I107:BU107" si="290">SUM(I102:I106)</f>
        <v>43948544</v>
      </c>
      <c r="J107" s="521">
        <f t="shared" si="290"/>
        <v>32181543</v>
      </c>
      <c r="K107" s="521">
        <f t="shared" si="290"/>
        <v>28683665</v>
      </c>
      <c r="L107" s="521">
        <f t="shared" si="290"/>
        <v>3497878</v>
      </c>
      <c r="M107" s="521">
        <f t="shared" si="290"/>
        <v>0</v>
      </c>
      <c r="N107" s="521">
        <f t="shared" si="290"/>
        <v>0</v>
      </c>
      <c r="O107" s="521">
        <f t="shared" si="290"/>
        <v>0</v>
      </c>
      <c r="P107" s="521">
        <f t="shared" si="290"/>
        <v>10877362</v>
      </c>
      <c r="Q107" s="521">
        <f t="shared" si="290"/>
        <v>321816</v>
      </c>
      <c r="R107" s="521">
        <f t="shared" si="290"/>
        <v>567823</v>
      </c>
      <c r="S107" s="572">
        <f t="shared" si="290"/>
        <v>51.654199999999996</v>
      </c>
      <c r="T107" s="572">
        <f t="shared" si="290"/>
        <v>41.0075</v>
      </c>
      <c r="U107" s="448">
        <f t="shared" si="290"/>
        <v>10.646700000000001</v>
      </c>
      <c r="V107" s="614">
        <f t="shared" si="290"/>
        <v>0</v>
      </c>
      <c r="W107" s="521">
        <f t="shared" si="290"/>
        <v>-3200</v>
      </c>
      <c r="X107" s="521">
        <f t="shared" si="290"/>
        <v>4175961</v>
      </c>
      <c r="Y107" s="521">
        <f t="shared" si="290"/>
        <v>0</v>
      </c>
      <c r="Z107" s="521">
        <f t="shared" si="290"/>
        <v>0</v>
      </c>
      <c r="AA107" s="521">
        <f t="shared" si="290"/>
        <v>0</v>
      </c>
      <c r="AB107" s="521">
        <f t="shared" si="290"/>
        <v>282000</v>
      </c>
      <c r="AC107" s="521">
        <f t="shared" si="290"/>
        <v>0</v>
      </c>
      <c r="AD107" s="521">
        <f t="shared" si="290"/>
        <v>0</v>
      </c>
      <c r="AE107" s="521">
        <f t="shared" si="290"/>
        <v>0</v>
      </c>
      <c r="AF107" s="521">
        <f t="shared" si="290"/>
        <v>4457961</v>
      </c>
      <c r="AG107" s="521">
        <f t="shared" si="290"/>
        <v>-3200</v>
      </c>
      <c r="AH107" s="521">
        <f t="shared" si="290"/>
        <v>4454761</v>
      </c>
      <c r="AI107" s="521">
        <f t="shared" si="290"/>
        <v>0</v>
      </c>
      <c r="AJ107" s="521">
        <f t="shared" si="290"/>
        <v>3200</v>
      </c>
      <c r="AK107" s="521">
        <f t="shared" ref="AK107" si="291">SUM(AK102:AK106)</f>
        <v>282000</v>
      </c>
      <c r="AL107" s="521">
        <f t="shared" si="290"/>
        <v>0</v>
      </c>
      <c r="AM107" s="521">
        <f t="shared" si="290"/>
        <v>0</v>
      </c>
      <c r="AN107" s="521">
        <f t="shared" si="290"/>
        <v>0</v>
      </c>
      <c r="AO107" s="521">
        <f t="shared" si="290"/>
        <v>282000</v>
      </c>
      <c r="AP107" s="521">
        <f t="shared" si="290"/>
        <v>3200</v>
      </c>
      <c r="AQ107" s="521">
        <f t="shared" si="290"/>
        <v>285200</v>
      </c>
      <c r="AR107" s="521">
        <f t="shared" si="290"/>
        <v>4739961</v>
      </c>
      <c r="AS107" s="521">
        <f t="shared" si="290"/>
        <v>0</v>
      </c>
      <c r="AT107" s="521">
        <f t="shared" si="290"/>
        <v>4739961</v>
      </c>
      <c r="AU107" s="521">
        <f t="shared" si="290"/>
        <v>1602107</v>
      </c>
      <c r="AV107" s="521">
        <f t="shared" si="290"/>
        <v>44548</v>
      </c>
      <c r="AW107" s="521">
        <f t="shared" si="290"/>
        <v>3250</v>
      </c>
      <c r="AX107" s="521">
        <f t="shared" si="290"/>
        <v>0</v>
      </c>
      <c r="AY107" s="521">
        <f t="shared" si="290"/>
        <v>3250</v>
      </c>
      <c r="AZ107" s="521">
        <f t="shared" si="290"/>
        <v>6389866</v>
      </c>
      <c r="BA107" s="572">
        <f t="shared" si="290"/>
        <v>0</v>
      </c>
      <c r="BB107" s="572">
        <f t="shared" si="290"/>
        <v>-0.01</v>
      </c>
      <c r="BC107" s="572">
        <f t="shared" si="290"/>
        <v>10.89</v>
      </c>
      <c r="BD107" s="572">
        <f t="shared" si="290"/>
        <v>0.5</v>
      </c>
      <c r="BE107" s="572">
        <f t="shared" si="290"/>
        <v>0</v>
      </c>
      <c r="BF107" s="572">
        <f t="shared" si="290"/>
        <v>0</v>
      </c>
      <c r="BG107" s="572">
        <f t="shared" si="290"/>
        <v>0</v>
      </c>
      <c r="BH107" s="572">
        <f t="shared" si="290"/>
        <v>0</v>
      </c>
      <c r="BI107" s="572">
        <f t="shared" si="290"/>
        <v>0</v>
      </c>
      <c r="BJ107" s="572">
        <f t="shared" si="290"/>
        <v>0</v>
      </c>
      <c r="BK107" s="572">
        <f t="shared" si="290"/>
        <v>11.39</v>
      </c>
      <c r="BL107" s="572">
        <f t="shared" si="290"/>
        <v>-0.01</v>
      </c>
      <c r="BM107" s="403">
        <f t="shared" si="290"/>
        <v>11.38</v>
      </c>
      <c r="BN107" s="522">
        <f t="shared" si="290"/>
        <v>50338410</v>
      </c>
      <c r="BO107" s="521">
        <f t="shared" si="290"/>
        <v>36636304</v>
      </c>
      <c r="BP107" s="521">
        <f t="shared" si="290"/>
        <v>33141626</v>
      </c>
      <c r="BQ107" s="521">
        <f t="shared" si="290"/>
        <v>3494678</v>
      </c>
      <c r="BR107" s="521">
        <f t="shared" si="290"/>
        <v>285200</v>
      </c>
      <c r="BS107" s="521">
        <f t="shared" si="290"/>
        <v>282000</v>
      </c>
      <c r="BT107" s="521">
        <f t="shared" si="290"/>
        <v>3200</v>
      </c>
      <c r="BU107" s="521">
        <f t="shared" si="290"/>
        <v>12479469</v>
      </c>
      <c r="BV107" s="521">
        <f t="shared" ref="BV107:CF107" si="292">SUM(BV102:BV106)</f>
        <v>366364</v>
      </c>
      <c r="BW107" s="521">
        <f t="shared" si="292"/>
        <v>571073</v>
      </c>
      <c r="BX107" s="572">
        <f t="shared" si="292"/>
        <v>63.034200000000006</v>
      </c>
      <c r="BY107" s="572">
        <f t="shared" si="292"/>
        <v>52.397500000000001</v>
      </c>
      <c r="BZ107" s="403">
        <f t="shared" si="292"/>
        <v>10.636700000000001</v>
      </c>
      <c r="CA107" s="833">
        <f t="shared" si="292"/>
        <v>757452</v>
      </c>
      <c r="CB107" s="834">
        <f t="shared" si="292"/>
        <v>282000</v>
      </c>
      <c r="CC107" s="834">
        <f t="shared" si="292"/>
        <v>282000</v>
      </c>
      <c r="CD107" s="834">
        <f t="shared" si="292"/>
        <v>190632</v>
      </c>
      <c r="CE107" s="834">
        <f t="shared" si="292"/>
        <v>2820</v>
      </c>
      <c r="CF107" s="829">
        <f t="shared" si="292"/>
        <v>0.5</v>
      </c>
    </row>
    <row r="108" spans="1:84" s="222" customFormat="1" ht="12.75" customHeight="1" x14ac:dyDescent="0.2">
      <c r="A108" s="224">
        <v>24</v>
      </c>
      <c r="B108" s="225">
        <v>3414</v>
      </c>
      <c r="C108" s="225">
        <v>600078388</v>
      </c>
      <c r="D108" s="225">
        <v>43257721</v>
      </c>
      <c r="E108" s="226" t="s">
        <v>55</v>
      </c>
      <c r="F108" s="225">
        <v>3113</v>
      </c>
      <c r="G108" s="226" t="s">
        <v>294</v>
      </c>
      <c r="H108" s="227" t="s">
        <v>271</v>
      </c>
      <c r="I108" s="423">
        <f t="shared" ref="I108:I112" si="293">J108+P108+Q108+R108</f>
        <v>36943975</v>
      </c>
      <c r="J108" s="418">
        <f>K108+L108</f>
        <v>27002757</v>
      </c>
      <c r="K108" s="418">
        <v>25177674</v>
      </c>
      <c r="L108" s="418">
        <v>1825083</v>
      </c>
      <c r="M108" s="418">
        <f>N108+O108</f>
        <v>0</v>
      </c>
      <c r="N108" s="418"/>
      <c r="O108" s="418"/>
      <c r="P108" s="68">
        <f t="shared" ref="P108:P112" si="294">ROUND(J108*33.8%,0)</f>
        <v>9126932</v>
      </c>
      <c r="Q108" s="68">
        <f>ROUND(J108*1%,0)-1</f>
        <v>270027</v>
      </c>
      <c r="R108" s="418">
        <v>544259</v>
      </c>
      <c r="S108" s="419">
        <f>T108+U108</f>
        <v>40.960400000000007</v>
      </c>
      <c r="T108" s="420">
        <v>35.454500000000003</v>
      </c>
      <c r="U108" s="527">
        <v>5.5059000000000005</v>
      </c>
      <c r="V108" s="427">
        <f t="shared" ref="V108:W112" si="295">AI108*-1</f>
        <v>-44800</v>
      </c>
      <c r="W108" s="421">
        <f t="shared" si="295"/>
        <v>-19200</v>
      </c>
      <c r="X108" s="421">
        <v>0</v>
      </c>
      <c r="Y108" s="421">
        <v>0</v>
      </c>
      <c r="Z108" s="421">
        <v>0</v>
      </c>
      <c r="AA108" s="421">
        <v>0</v>
      </c>
      <c r="AB108" s="421">
        <v>282000</v>
      </c>
      <c r="AC108" s="421">
        <v>0</v>
      </c>
      <c r="AD108" s="421">
        <v>0</v>
      </c>
      <c r="AE108" s="421">
        <v>0</v>
      </c>
      <c r="AF108" s="421">
        <f>V108+X108+Y108+AA108+AB108+AD108</f>
        <v>237200</v>
      </c>
      <c r="AG108" s="421">
        <f>W108+Z108+AC108+AE108</f>
        <v>-19200</v>
      </c>
      <c r="AH108" s="421">
        <f>SUM(AF108:AG108)</f>
        <v>218000</v>
      </c>
      <c r="AI108" s="421">
        <v>44800</v>
      </c>
      <c r="AJ108" s="421">
        <v>19200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ref="AO108:AO112" si="296">AI108+AK108+AL108+AM108</f>
        <v>44800</v>
      </c>
      <c r="AP108" s="421">
        <f>AJ108+AN108</f>
        <v>19200</v>
      </c>
      <c r="AQ108" s="421">
        <f>SUM(AO108:AP108)</f>
        <v>64000</v>
      </c>
      <c r="AR108" s="421">
        <f t="shared" ref="AR108:AS112" si="297">AF108+AO108</f>
        <v>282000</v>
      </c>
      <c r="AS108" s="421">
        <f t="shared" si="297"/>
        <v>0</v>
      </c>
      <c r="AT108" s="421">
        <f>SUM(AR108:AS108)</f>
        <v>282000</v>
      </c>
      <c r="AU108" s="68">
        <f t="shared" ref="AU108:AU112" si="298">ROUND((AH108+AI108+AJ108+AK108+AL108)*33.8%,0)</f>
        <v>95316</v>
      </c>
      <c r="AV108" s="68">
        <f>ROUND(AH108*1%,0)</f>
        <v>2180</v>
      </c>
      <c r="AW108" s="421">
        <v>0</v>
      </c>
      <c r="AX108" s="421">
        <v>0</v>
      </c>
      <c r="AY108" s="421">
        <f>AW108+AX108</f>
        <v>0</v>
      </c>
      <c r="AZ108" s="421">
        <f>AT108+AU108+AV108+AY108</f>
        <v>379496</v>
      </c>
      <c r="BA108" s="422">
        <v>-0.08</v>
      </c>
      <c r="BB108" s="422">
        <v>0</v>
      </c>
      <c r="BC108" s="422">
        <v>0</v>
      </c>
      <c r="BD108" s="422">
        <v>0.5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>BA108+BC108+BD108+BF108+BH108+BI108</f>
        <v>0.42</v>
      </c>
      <c r="BL108" s="422">
        <f>BB108+BE108+BG108+BJ108</f>
        <v>0</v>
      </c>
      <c r="BM108" s="611">
        <f>SUM(BK108:BL108)</f>
        <v>0.42</v>
      </c>
      <c r="BN108" s="428">
        <f>I108+AZ108</f>
        <v>37323471</v>
      </c>
      <c r="BO108" s="421">
        <f>J108+AH108</f>
        <v>27220757</v>
      </c>
      <c r="BP108" s="421">
        <f t="shared" ref="BP108:BQ112" si="299">K108+AF108</f>
        <v>25414874</v>
      </c>
      <c r="BQ108" s="421">
        <f t="shared" si="299"/>
        <v>1805883</v>
      </c>
      <c r="BR108" s="421">
        <f>M108+AQ108</f>
        <v>64000</v>
      </c>
      <c r="BS108" s="421">
        <f t="shared" ref="BS108:BT112" si="300">N108+AO108</f>
        <v>44800</v>
      </c>
      <c r="BT108" s="421">
        <f t="shared" si="300"/>
        <v>19200</v>
      </c>
      <c r="BU108" s="421">
        <f t="shared" ref="BU108:BV112" si="301">P108+AU108</f>
        <v>9222248</v>
      </c>
      <c r="BV108" s="421">
        <f t="shared" si="301"/>
        <v>272207</v>
      </c>
      <c r="BW108" s="421">
        <f>R108+AY108</f>
        <v>544259</v>
      </c>
      <c r="BX108" s="422">
        <f>S108+BM108</f>
        <v>41.380400000000009</v>
      </c>
      <c r="BY108" s="422">
        <f t="shared" ref="BY108:BZ112" si="302">T108+BK108</f>
        <v>35.874500000000005</v>
      </c>
      <c r="BZ108" s="611">
        <f t="shared" si="302"/>
        <v>5.5059000000000005</v>
      </c>
      <c r="CA108" s="423">
        <v>380136</v>
      </c>
      <c r="CB108" s="418">
        <v>282000</v>
      </c>
      <c r="CC108" s="418">
        <v>0</v>
      </c>
      <c r="CD108" s="418">
        <v>95316</v>
      </c>
      <c r="CE108" s="418">
        <v>2820</v>
      </c>
      <c r="CF108" s="527">
        <v>0.5</v>
      </c>
    </row>
    <row r="109" spans="1:84" s="222" customFormat="1" x14ac:dyDescent="0.2">
      <c r="A109" s="224">
        <v>24</v>
      </c>
      <c r="B109" s="225">
        <v>3414</v>
      </c>
      <c r="C109" s="225">
        <v>600078388</v>
      </c>
      <c r="D109" s="225">
        <v>43257721</v>
      </c>
      <c r="E109" s="226" t="s">
        <v>55</v>
      </c>
      <c r="F109" s="225">
        <v>3113</v>
      </c>
      <c r="G109" s="226" t="s">
        <v>292</v>
      </c>
      <c r="H109" s="227" t="s">
        <v>272</v>
      </c>
      <c r="I109" s="423">
        <f t="shared" si="293"/>
        <v>0</v>
      </c>
      <c r="J109" s="418">
        <f>K109+L109</f>
        <v>0</v>
      </c>
      <c r="K109" s="418">
        <v>0</v>
      </c>
      <c r="L109" s="418">
        <v>0</v>
      </c>
      <c r="M109" s="418">
        <f>N109+O109</f>
        <v>0</v>
      </c>
      <c r="N109" s="418"/>
      <c r="O109" s="418"/>
      <c r="P109" s="68">
        <f t="shared" si="294"/>
        <v>0</v>
      </c>
      <c r="Q109" s="68">
        <f t="shared" ref="Q109:Q112" si="303">ROUND(J109*1%,0)</f>
        <v>0</v>
      </c>
      <c r="R109" s="418">
        <v>0</v>
      </c>
      <c r="S109" s="419">
        <f>T109+U109</f>
        <v>0</v>
      </c>
      <c r="T109" s="420">
        <v>0</v>
      </c>
      <c r="U109" s="527">
        <v>0</v>
      </c>
      <c r="V109" s="427">
        <f t="shared" si="295"/>
        <v>0</v>
      </c>
      <c r="W109" s="421">
        <f t="shared" si="295"/>
        <v>0</v>
      </c>
      <c r="X109" s="421">
        <v>4151486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>V109+X109+Y109+AA109+AB109+AD109</f>
        <v>4151486</v>
      </c>
      <c r="AG109" s="421">
        <f>W109+Z109+AC109+AE109</f>
        <v>0</v>
      </c>
      <c r="AH109" s="421">
        <f>SUM(AF109:AG109)</f>
        <v>4151486</v>
      </c>
      <c r="AI109" s="421">
        <v>0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f t="shared" si="296"/>
        <v>0</v>
      </c>
      <c r="AP109" s="421">
        <f>AJ109+AN109</f>
        <v>0</v>
      </c>
      <c r="AQ109" s="421">
        <f>SUM(AO109:AP109)</f>
        <v>0</v>
      </c>
      <c r="AR109" s="421">
        <f t="shared" si="297"/>
        <v>4151486</v>
      </c>
      <c r="AS109" s="421">
        <f t="shared" si="297"/>
        <v>0</v>
      </c>
      <c r="AT109" s="421">
        <f>SUM(AR109:AS109)</f>
        <v>4151486</v>
      </c>
      <c r="AU109" s="68">
        <f t="shared" si="298"/>
        <v>1403202</v>
      </c>
      <c r="AV109" s="68">
        <f>ROUND(AH109*1%,0)</f>
        <v>41515</v>
      </c>
      <c r="AW109" s="421">
        <v>0</v>
      </c>
      <c r="AX109" s="421">
        <v>0</v>
      </c>
      <c r="AY109" s="421">
        <f>AW109+AX109</f>
        <v>0</v>
      </c>
      <c r="AZ109" s="421">
        <f>AT109+AU109+AV109+AY109</f>
        <v>5596203</v>
      </c>
      <c r="BA109" s="422">
        <v>0</v>
      </c>
      <c r="BB109" s="422">
        <v>0</v>
      </c>
      <c r="BC109" s="422">
        <v>10.95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>BA109+BC109+BD109+BF109+BH109+BI109</f>
        <v>10.95</v>
      </c>
      <c r="BL109" s="422">
        <f>BB109+BE109+BG109+BJ109</f>
        <v>0</v>
      </c>
      <c r="BM109" s="611">
        <f>SUM(BK109:BL109)</f>
        <v>10.95</v>
      </c>
      <c r="BN109" s="428">
        <f>I109+AZ109</f>
        <v>5596203</v>
      </c>
      <c r="BO109" s="421">
        <f>J109+AH109</f>
        <v>4151486</v>
      </c>
      <c r="BP109" s="421">
        <f t="shared" si="299"/>
        <v>4151486</v>
      </c>
      <c r="BQ109" s="421">
        <f t="shared" si="299"/>
        <v>0</v>
      </c>
      <c r="BR109" s="421">
        <f>M109+AQ109</f>
        <v>0</v>
      </c>
      <c r="BS109" s="421">
        <f t="shared" si="300"/>
        <v>0</v>
      </c>
      <c r="BT109" s="421">
        <f t="shared" si="300"/>
        <v>0</v>
      </c>
      <c r="BU109" s="421">
        <f t="shared" si="301"/>
        <v>1403202</v>
      </c>
      <c r="BV109" s="421">
        <f t="shared" si="301"/>
        <v>41515</v>
      </c>
      <c r="BW109" s="421">
        <f>R109+AY109</f>
        <v>0</v>
      </c>
      <c r="BX109" s="422">
        <f>S109+BM109</f>
        <v>10.95</v>
      </c>
      <c r="BY109" s="422">
        <f t="shared" si="302"/>
        <v>10.95</v>
      </c>
      <c r="BZ109" s="611">
        <f t="shared" si="302"/>
        <v>0</v>
      </c>
      <c r="CA109" s="423"/>
      <c r="CB109" s="418"/>
      <c r="CC109" s="418"/>
      <c r="CD109" s="418"/>
      <c r="CE109" s="418"/>
      <c r="CF109" s="527"/>
    </row>
    <row r="110" spans="1:84" s="222" customFormat="1" ht="12.75" customHeight="1" x14ac:dyDescent="0.2">
      <c r="A110" s="224">
        <v>24</v>
      </c>
      <c r="B110" s="225">
        <v>3414</v>
      </c>
      <c r="C110" s="225">
        <v>600078388</v>
      </c>
      <c r="D110" s="225">
        <v>43257721</v>
      </c>
      <c r="E110" s="226" t="s">
        <v>55</v>
      </c>
      <c r="F110" s="225">
        <v>3141</v>
      </c>
      <c r="G110" s="226" t="s">
        <v>295</v>
      </c>
      <c r="H110" s="227" t="s">
        <v>272</v>
      </c>
      <c r="I110" s="423">
        <f t="shared" si="293"/>
        <v>2287864</v>
      </c>
      <c r="J110" s="418">
        <f>K110+L110</f>
        <v>1682974</v>
      </c>
      <c r="K110" s="418">
        <v>0</v>
      </c>
      <c r="L110" s="418">
        <v>1682974</v>
      </c>
      <c r="M110" s="418">
        <f>N110+O110</f>
        <v>0</v>
      </c>
      <c r="N110" s="418"/>
      <c r="O110" s="418"/>
      <c r="P110" s="68">
        <f t="shared" si="294"/>
        <v>568845</v>
      </c>
      <c r="Q110" s="68">
        <f t="shared" si="303"/>
        <v>16830</v>
      </c>
      <c r="R110" s="418">
        <v>19215</v>
      </c>
      <c r="S110" s="419">
        <f>T110+U110</f>
        <v>5.05</v>
      </c>
      <c r="T110" s="420">
        <v>0</v>
      </c>
      <c r="U110" s="527">
        <v>5.05</v>
      </c>
      <c r="V110" s="427">
        <f t="shared" si="295"/>
        <v>0</v>
      </c>
      <c r="W110" s="421">
        <f t="shared" si="295"/>
        <v>0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>V110+X110+Y110+AA110+AB110+AD110</f>
        <v>0</v>
      </c>
      <c r="AG110" s="421">
        <f>W110+Z110+AC110+AE110</f>
        <v>0</v>
      </c>
      <c r="AH110" s="421">
        <f>SUM(AF110:AG110)</f>
        <v>0</v>
      </c>
      <c r="AI110" s="421">
        <v>0</v>
      </c>
      <c r="AJ110" s="421">
        <v>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si="296"/>
        <v>0</v>
      </c>
      <c r="AP110" s="421">
        <f>AJ110+AN110</f>
        <v>0</v>
      </c>
      <c r="AQ110" s="421">
        <f>SUM(AO110:AP110)</f>
        <v>0</v>
      </c>
      <c r="AR110" s="421">
        <f t="shared" si="297"/>
        <v>0</v>
      </c>
      <c r="AS110" s="421">
        <f t="shared" si="297"/>
        <v>0</v>
      </c>
      <c r="AT110" s="421">
        <f>SUM(AR110:AS110)</f>
        <v>0</v>
      </c>
      <c r="AU110" s="68">
        <f t="shared" si="298"/>
        <v>0</v>
      </c>
      <c r="AV110" s="68">
        <f>ROUND(AH110*1%,0)</f>
        <v>0</v>
      </c>
      <c r="AW110" s="421">
        <v>0</v>
      </c>
      <c r="AX110" s="421">
        <v>0</v>
      </c>
      <c r="AY110" s="421">
        <f>AW110+AX110</f>
        <v>0</v>
      </c>
      <c r="AZ110" s="421">
        <f>AT110+AU110+AV110+AY110</f>
        <v>0</v>
      </c>
      <c r="BA110" s="422">
        <v>0</v>
      </c>
      <c r="BB110" s="422">
        <v>0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>BA110+BC110+BD110+BF110+BH110+BI110</f>
        <v>0</v>
      </c>
      <c r="BL110" s="422">
        <f>BB110+BE110+BG110+BJ110</f>
        <v>0</v>
      </c>
      <c r="BM110" s="611">
        <f>SUM(BK110:BL110)</f>
        <v>0</v>
      </c>
      <c r="BN110" s="428">
        <f>I110+AZ110</f>
        <v>2287864</v>
      </c>
      <c r="BO110" s="421">
        <f>J110+AH110</f>
        <v>1682974</v>
      </c>
      <c r="BP110" s="421">
        <f t="shared" si="299"/>
        <v>0</v>
      </c>
      <c r="BQ110" s="421">
        <f t="shared" si="299"/>
        <v>1682974</v>
      </c>
      <c r="BR110" s="421">
        <f>M110+AQ110</f>
        <v>0</v>
      </c>
      <c r="BS110" s="421">
        <f t="shared" si="300"/>
        <v>0</v>
      </c>
      <c r="BT110" s="421">
        <f t="shared" si="300"/>
        <v>0</v>
      </c>
      <c r="BU110" s="421">
        <f t="shared" si="301"/>
        <v>568845</v>
      </c>
      <c r="BV110" s="421">
        <f t="shared" si="301"/>
        <v>16830</v>
      </c>
      <c r="BW110" s="421">
        <f>R110+AY110</f>
        <v>19215</v>
      </c>
      <c r="BX110" s="422">
        <f>S110+BM110</f>
        <v>5.05</v>
      </c>
      <c r="BY110" s="422">
        <f t="shared" si="302"/>
        <v>0</v>
      </c>
      <c r="BZ110" s="611">
        <f t="shared" si="302"/>
        <v>5.05</v>
      </c>
      <c r="CA110" s="423"/>
      <c r="CB110" s="418"/>
      <c r="CC110" s="418"/>
      <c r="CD110" s="418"/>
      <c r="CE110" s="418"/>
      <c r="CF110" s="527"/>
    </row>
    <row r="111" spans="1:84" s="222" customFormat="1" ht="12.75" customHeight="1" x14ac:dyDescent="0.2">
      <c r="A111" s="224">
        <v>24</v>
      </c>
      <c r="B111" s="225">
        <v>3414</v>
      </c>
      <c r="C111" s="225">
        <v>600078388</v>
      </c>
      <c r="D111" s="225">
        <v>43257721</v>
      </c>
      <c r="E111" s="226" t="s">
        <v>55</v>
      </c>
      <c r="F111" s="225">
        <v>3143</v>
      </c>
      <c r="G111" s="226" t="s">
        <v>596</v>
      </c>
      <c r="H111" s="227" t="s">
        <v>271</v>
      </c>
      <c r="I111" s="423">
        <f t="shared" si="293"/>
        <v>3830962</v>
      </c>
      <c r="J111" s="418">
        <f>K111+L111</f>
        <v>2841960</v>
      </c>
      <c r="K111" s="418">
        <v>2841960</v>
      </c>
      <c r="L111" s="418">
        <v>0</v>
      </c>
      <c r="M111" s="418">
        <f>N111+O111</f>
        <v>0</v>
      </c>
      <c r="N111" s="418"/>
      <c r="O111" s="418"/>
      <c r="P111" s="68">
        <f t="shared" si="294"/>
        <v>960582</v>
      </c>
      <c r="Q111" s="68">
        <f t="shared" si="303"/>
        <v>28420</v>
      </c>
      <c r="R111" s="418">
        <v>0</v>
      </c>
      <c r="S111" s="419">
        <f>T111+U111</f>
        <v>5.4820000000000002</v>
      </c>
      <c r="T111" s="420">
        <v>5.4820000000000002</v>
      </c>
      <c r="U111" s="527">
        <v>0</v>
      </c>
      <c r="V111" s="427">
        <f t="shared" si="295"/>
        <v>0</v>
      </c>
      <c r="W111" s="421">
        <f t="shared" si="295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>V111+X111+Y111+AA111+AB111+AD111</f>
        <v>0</v>
      </c>
      <c r="AG111" s="421">
        <f>W111+Z111+AC111+AE111</f>
        <v>0</v>
      </c>
      <c r="AH111" s="421">
        <f>SUM(AF111:AG111)</f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296"/>
        <v>0</v>
      </c>
      <c r="AP111" s="421">
        <f>AJ111+AN111</f>
        <v>0</v>
      </c>
      <c r="AQ111" s="421">
        <f>SUM(AO111:AP111)</f>
        <v>0</v>
      </c>
      <c r="AR111" s="421">
        <f t="shared" si="297"/>
        <v>0</v>
      </c>
      <c r="AS111" s="421">
        <f t="shared" si="297"/>
        <v>0</v>
      </c>
      <c r="AT111" s="421">
        <f>SUM(AR111:AS111)</f>
        <v>0</v>
      </c>
      <c r="AU111" s="68">
        <f t="shared" si="298"/>
        <v>0</v>
      </c>
      <c r="AV111" s="68">
        <f>ROUND(AH111*1%,0)</f>
        <v>0</v>
      </c>
      <c r="AW111" s="421">
        <v>0</v>
      </c>
      <c r="AX111" s="421">
        <v>0</v>
      </c>
      <c r="AY111" s="421">
        <f>AW111+AX111</f>
        <v>0</v>
      </c>
      <c r="AZ111" s="421">
        <f>AT111+AU111+AV111+AY111</f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>BA111+BC111+BD111+BF111+BH111+BI111</f>
        <v>0</v>
      </c>
      <c r="BL111" s="422">
        <f>BB111+BE111+BG111+BJ111</f>
        <v>0</v>
      </c>
      <c r="BM111" s="611">
        <f>SUM(BK111:BL111)</f>
        <v>0</v>
      </c>
      <c r="BN111" s="428">
        <f>I111+AZ111</f>
        <v>3830962</v>
      </c>
      <c r="BO111" s="421">
        <f>J111+AH111</f>
        <v>2841960</v>
      </c>
      <c r="BP111" s="421">
        <f t="shared" si="299"/>
        <v>2841960</v>
      </c>
      <c r="BQ111" s="421">
        <f t="shared" si="299"/>
        <v>0</v>
      </c>
      <c r="BR111" s="421">
        <f>M111+AQ111</f>
        <v>0</v>
      </c>
      <c r="BS111" s="421">
        <f t="shared" si="300"/>
        <v>0</v>
      </c>
      <c r="BT111" s="421">
        <f t="shared" si="300"/>
        <v>0</v>
      </c>
      <c r="BU111" s="421">
        <f t="shared" si="301"/>
        <v>960582</v>
      </c>
      <c r="BV111" s="421">
        <f t="shared" si="301"/>
        <v>28420</v>
      </c>
      <c r="BW111" s="421">
        <f>R111+AY111</f>
        <v>0</v>
      </c>
      <c r="BX111" s="422">
        <f>S111+BM111</f>
        <v>5.4820000000000002</v>
      </c>
      <c r="BY111" s="422">
        <f t="shared" si="302"/>
        <v>5.4820000000000002</v>
      </c>
      <c r="BZ111" s="611">
        <f t="shared" si="302"/>
        <v>0</v>
      </c>
      <c r="CA111" s="423"/>
      <c r="CB111" s="418"/>
      <c r="CC111" s="418"/>
      <c r="CD111" s="418"/>
      <c r="CE111" s="418"/>
      <c r="CF111" s="527"/>
    </row>
    <row r="112" spans="1:84" s="222" customFormat="1" ht="12.75" customHeight="1" x14ac:dyDescent="0.2">
      <c r="A112" s="224">
        <v>24</v>
      </c>
      <c r="B112" s="225">
        <v>3414</v>
      </c>
      <c r="C112" s="225">
        <v>600078388</v>
      </c>
      <c r="D112" s="225">
        <v>43257721</v>
      </c>
      <c r="E112" s="226" t="s">
        <v>55</v>
      </c>
      <c r="F112" s="225">
        <v>3143</v>
      </c>
      <c r="G112" s="226" t="s">
        <v>597</v>
      </c>
      <c r="H112" s="227" t="s">
        <v>272</v>
      </c>
      <c r="I112" s="423">
        <f t="shared" si="293"/>
        <v>85533</v>
      </c>
      <c r="J112" s="418">
        <f>K112+L112</f>
        <v>61222</v>
      </c>
      <c r="K112" s="418">
        <v>0</v>
      </c>
      <c r="L112" s="418">
        <v>61222</v>
      </c>
      <c r="M112" s="418">
        <f>N112+O112</f>
        <v>0</v>
      </c>
      <c r="N112" s="418"/>
      <c r="O112" s="418"/>
      <c r="P112" s="68">
        <f t="shared" si="294"/>
        <v>20693</v>
      </c>
      <c r="Q112" s="68">
        <f t="shared" si="303"/>
        <v>612</v>
      </c>
      <c r="R112" s="418">
        <v>3006</v>
      </c>
      <c r="S112" s="419">
        <f>T112+U112</f>
        <v>0.23</v>
      </c>
      <c r="T112" s="420">
        <v>0</v>
      </c>
      <c r="U112" s="527">
        <v>0.23</v>
      </c>
      <c r="V112" s="427">
        <f t="shared" si="295"/>
        <v>0</v>
      </c>
      <c r="W112" s="421">
        <f t="shared" si="295"/>
        <v>0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f>V112+X112+Y112+AA112+AB112+AD112</f>
        <v>0</v>
      </c>
      <c r="AG112" s="421">
        <f>W112+Z112+AC112+AE112</f>
        <v>0</v>
      </c>
      <c r="AH112" s="421">
        <f>SUM(AF112:AG112)</f>
        <v>0</v>
      </c>
      <c r="AI112" s="421">
        <v>0</v>
      </c>
      <c r="AJ112" s="421">
        <v>0</v>
      </c>
      <c r="AK112" s="421">
        <v>0</v>
      </c>
      <c r="AL112" s="421">
        <v>0</v>
      </c>
      <c r="AM112" s="421">
        <v>0</v>
      </c>
      <c r="AN112" s="421">
        <v>0</v>
      </c>
      <c r="AO112" s="421">
        <f t="shared" si="296"/>
        <v>0</v>
      </c>
      <c r="AP112" s="421">
        <f>AJ112+AN112</f>
        <v>0</v>
      </c>
      <c r="AQ112" s="421">
        <f>SUM(AO112:AP112)</f>
        <v>0</v>
      </c>
      <c r="AR112" s="421">
        <f t="shared" si="297"/>
        <v>0</v>
      </c>
      <c r="AS112" s="421">
        <f t="shared" si="297"/>
        <v>0</v>
      </c>
      <c r="AT112" s="421">
        <f>SUM(AR112:AS112)</f>
        <v>0</v>
      </c>
      <c r="AU112" s="68">
        <f t="shared" si="298"/>
        <v>0</v>
      </c>
      <c r="AV112" s="68">
        <f>ROUND(AH112*1%,0)</f>
        <v>0</v>
      </c>
      <c r="AW112" s="421">
        <v>0</v>
      </c>
      <c r="AX112" s="421">
        <v>0</v>
      </c>
      <c r="AY112" s="421">
        <f>AW112+AX112</f>
        <v>0</v>
      </c>
      <c r="AZ112" s="421">
        <f>AT112+AU112+AV112+AY112</f>
        <v>0</v>
      </c>
      <c r="BA112" s="422">
        <v>0</v>
      </c>
      <c r="BB112" s="422">
        <v>0</v>
      </c>
      <c r="BC112" s="422">
        <v>0</v>
      </c>
      <c r="BD112" s="422">
        <v>0</v>
      </c>
      <c r="BE112" s="422">
        <v>0</v>
      </c>
      <c r="BF112" s="422">
        <v>0</v>
      </c>
      <c r="BG112" s="422">
        <v>0</v>
      </c>
      <c r="BH112" s="422">
        <v>0</v>
      </c>
      <c r="BI112" s="422">
        <v>0</v>
      </c>
      <c r="BJ112" s="422">
        <v>0</v>
      </c>
      <c r="BK112" s="422">
        <f>BA112+BC112+BD112+BF112+BH112+BI112</f>
        <v>0</v>
      </c>
      <c r="BL112" s="422">
        <f>BB112+BE112+BG112+BJ112</f>
        <v>0</v>
      </c>
      <c r="BM112" s="611">
        <f>SUM(BK112:BL112)</f>
        <v>0</v>
      </c>
      <c r="BN112" s="428">
        <f>I112+AZ112</f>
        <v>85533</v>
      </c>
      <c r="BO112" s="421">
        <f>J112+AH112</f>
        <v>61222</v>
      </c>
      <c r="BP112" s="421">
        <f t="shared" si="299"/>
        <v>0</v>
      </c>
      <c r="BQ112" s="421">
        <f t="shared" si="299"/>
        <v>61222</v>
      </c>
      <c r="BR112" s="421">
        <f>M112+AQ112</f>
        <v>0</v>
      </c>
      <c r="BS112" s="421">
        <f t="shared" si="300"/>
        <v>0</v>
      </c>
      <c r="BT112" s="421">
        <f t="shared" si="300"/>
        <v>0</v>
      </c>
      <c r="BU112" s="421">
        <f t="shared" si="301"/>
        <v>20693</v>
      </c>
      <c r="BV112" s="421">
        <f t="shared" si="301"/>
        <v>612</v>
      </c>
      <c r="BW112" s="421">
        <f>R112+AY112</f>
        <v>3006</v>
      </c>
      <c r="BX112" s="422">
        <f>S112+BM112</f>
        <v>0.23</v>
      </c>
      <c r="BY112" s="422">
        <f t="shared" si="302"/>
        <v>0</v>
      </c>
      <c r="BZ112" s="611">
        <f t="shared" si="302"/>
        <v>0.23</v>
      </c>
      <c r="CA112" s="423"/>
      <c r="CB112" s="418"/>
      <c r="CC112" s="418"/>
      <c r="CD112" s="418"/>
      <c r="CE112" s="418"/>
      <c r="CF112" s="527"/>
    </row>
    <row r="113" spans="1:84" s="222" customFormat="1" ht="12.75" customHeight="1" x14ac:dyDescent="0.2">
      <c r="A113" s="153">
        <v>24</v>
      </c>
      <c r="B113" s="14">
        <v>3414</v>
      </c>
      <c r="C113" s="152">
        <v>600078388</v>
      </c>
      <c r="D113" s="152">
        <v>43257721</v>
      </c>
      <c r="E113" s="223" t="s">
        <v>56</v>
      </c>
      <c r="F113" s="14"/>
      <c r="G113" s="223"/>
      <c r="H113" s="592"/>
      <c r="I113" s="522">
        <f t="shared" ref="I113:BU113" si="304">SUM(I108:I112)</f>
        <v>43148334</v>
      </c>
      <c r="J113" s="521">
        <f t="shared" si="304"/>
        <v>31588913</v>
      </c>
      <c r="K113" s="521">
        <f t="shared" si="304"/>
        <v>28019634</v>
      </c>
      <c r="L113" s="521">
        <f t="shared" si="304"/>
        <v>3569279</v>
      </c>
      <c r="M113" s="521">
        <f t="shared" si="304"/>
        <v>0</v>
      </c>
      <c r="N113" s="521">
        <f t="shared" si="304"/>
        <v>0</v>
      </c>
      <c r="O113" s="521">
        <f t="shared" si="304"/>
        <v>0</v>
      </c>
      <c r="P113" s="521">
        <f t="shared" si="304"/>
        <v>10677052</v>
      </c>
      <c r="Q113" s="521">
        <f t="shared" si="304"/>
        <v>315889</v>
      </c>
      <c r="R113" s="521">
        <f t="shared" si="304"/>
        <v>566480</v>
      </c>
      <c r="S113" s="572">
        <f t="shared" si="304"/>
        <v>51.7224</v>
      </c>
      <c r="T113" s="572">
        <f t="shared" si="304"/>
        <v>40.936500000000002</v>
      </c>
      <c r="U113" s="448">
        <f t="shared" si="304"/>
        <v>10.785900000000002</v>
      </c>
      <c r="V113" s="614">
        <f t="shared" si="304"/>
        <v>-44800</v>
      </c>
      <c r="W113" s="521">
        <f t="shared" si="304"/>
        <v>-19200</v>
      </c>
      <c r="X113" s="521">
        <f t="shared" si="304"/>
        <v>4151486</v>
      </c>
      <c r="Y113" s="521">
        <f t="shared" si="304"/>
        <v>0</v>
      </c>
      <c r="Z113" s="521">
        <f t="shared" si="304"/>
        <v>0</v>
      </c>
      <c r="AA113" s="521">
        <f t="shared" si="304"/>
        <v>0</v>
      </c>
      <c r="AB113" s="521">
        <f t="shared" si="304"/>
        <v>282000</v>
      </c>
      <c r="AC113" s="521">
        <f t="shared" si="304"/>
        <v>0</v>
      </c>
      <c r="AD113" s="521">
        <f t="shared" si="304"/>
        <v>0</v>
      </c>
      <c r="AE113" s="521">
        <f t="shared" si="304"/>
        <v>0</v>
      </c>
      <c r="AF113" s="521">
        <f t="shared" si="304"/>
        <v>4388686</v>
      </c>
      <c r="AG113" s="521">
        <f t="shared" si="304"/>
        <v>-19200</v>
      </c>
      <c r="AH113" s="521">
        <f t="shared" si="304"/>
        <v>4369486</v>
      </c>
      <c r="AI113" s="521">
        <f t="shared" si="304"/>
        <v>44800</v>
      </c>
      <c r="AJ113" s="521">
        <f t="shared" si="304"/>
        <v>19200</v>
      </c>
      <c r="AK113" s="521">
        <f t="shared" ref="AK113" si="305">SUM(AK108:AK112)</f>
        <v>0</v>
      </c>
      <c r="AL113" s="521">
        <f t="shared" si="304"/>
        <v>0</v>
      </c>
      <c r="AM113" s="521">
        <f t="shared" si="304"/>
        <v>0</v>
      </c>
      <c r="AN113" s="521">
        <f t="shared" si="304"/>
        <v>0</v>
      </c>
      <c r="AO113" s="521">
        <f t="shared" si="304"/>
        <v>44800</v>
      </c>
      <c r="AP113" s="521">
        <f t="shared" si="304"/>
        <v>19200</v>
      </c>
      <c r="AQ113" s="521">
        <f t="shared" si="304"/>
        <v>64000</v>
      </c>
      <c r="AR113" s="521">
        <f t="shared" si="304"/>
        <v>4433486</v>
      </c>
      <c r="AS113" s="521">
        <f t="shared" si="304"/>
        <v>0</v>
      </c>
      <c r="AT113" s="521">
        <f t="shared" si="304"/>
        <v>4433486</v>
      </c>
      <c r="AU113" s="521">
        <f t="shared" si="304"/>
        <v>1498518</v>
      </c>
      <c r="AV113" s="521">
        <f t="shared" si="304"/>
        <v>43695</v>
      </c>
      <c r="AW113" s="521">
        <f t="shared" si="304"/>
        <v>0</v>
      </c>
      <c r="AX113" s="521">
        <f t="shared" si="304"/>
        <v>0</v>
      </c>
      <c r="AY113" s="521">
        <f t="shared" si="304"/>
        <v>0</v>
      </c>
      <c r="AZ113" s="521">
        <f t="shared" si="304"/>
        <v>5975699</v>
      </c>
      <c r="BA113" s="572">
        <f t="shared" si="304"/>
        <v>-0.08</v>
      </c>
      <c r="BB113" s="572">
        <f t="shared" si="304"/>
        <v>0</v>
      </c>
      <c r="BC113" s="572">
        <f t="shared" si="304"/>
        <v>10.95</v>
      </c>
      <c r="BD113" s="572">
        <f t="shared" si="304"/>
        <v>0.5</v>
      </c>
      <c r="BE113" s="572">
        <f t="shared" si="304"/>
        <v>0</v>
      </c>
      <c r="BF113" s="572">
        <f t="shared" si="304"/>
        <v>0</v>
      </c>
      <c r="BG113" s="572">
        <f t="shared" si="304"/>
        <v>0</v>
      </c>
      <c r="BH113" s="572">
        <f t="shared" si="304"/>
        <v>0</v>
      </c>
      <c r="BI113" s="572">
        <f t="shared" si="304"/>
        <v>0</v>
      </c>
      <c r="BJ113" s="572">
        <f t="shared" si="304"/>
        <v>0</v>
      </c>
      <c r="BK113" s="572">
        <f t="shared" si="304"/>
        <v>11.37</v>
      </c>
      <c r="BL113" s="572">
        <f t="shared" si="304"/>
        <v>0</v>
      </c>
      <c r="BM113" s="403">
        <f t="shared" si="304"/>
        <v>11.37</v>
      </c>
      <c r="BN113" s="522">
        <f t="shared" si="304"/>
        <v>49124033</v>
      </c>
      <c r="BO113" s="521">
        <f t="shared" si="304"/>
        <v>35958399</v>
      </c>
      <c r="BP113" s="521">
        <f t="shared" si="304"/>
        <v>32408320</v>
      </c>
      <c r="BQ113" s="521">
        <f t="shared" si="304"/>
        <v>3550079</v>
      </c>
      <c r="BR113" s="521">
        <f t="shared" si="304"/>
        <v>64000</v>
      </c>
      <c r="BS113" s="521">
        <f t="shared" si="304"/>
        <v>44800</v>
      </c>
      <c r="BT113" s="521">
        <f t="shared" si="304"/>
        <v>19200</v>
      </c>
      <c r="BU113" s="521">
        <f t="shared" si="304"/>
        <v>12175570</v>
      </c>
      <c r="BV113" s="521">
        <f t="shared" ref="BV113:CF113" si="306">SUM(BV108:BV112)</f>
        <v>359584</v>
      </c>
      <c r="BW113" s="521">
        <f t="shared" si="306"/>
        <v>566480</v>
      </c>
      <c r="BX113" s="572">
        <f t="shared" si="306"/>
        <v>63.092400000000005</v>
      </c>
      <c r="BY113" s="572">
        <f t="shared" si="306"/>
        <v>52.3065</v>
      </c>
      <c r="BZ113" s="403">
        <f t="shared" si="306"/>
        <v>10.785900000000002</v>
      </c>
      <c r="CA113" s="833">
        <f t="shared" si="306"/>
        <v>380136</v>
      </c>
      <c r="CB113" s="834">
        <f t="shared" si="306"/>
        <v>282000</v>
      </c>
      <c r="CC113" s="834">
        <f t="shared" si="306"/>
        <v>0</v>
      </c>
      <c r="CD113" s="834">
        <f t="shared" si="306"/>
        <v>95316</v>
      </c>
      <c r="CE113" s="834">
        <f t="shared" si="306"/>
        <v>2820</v>
      </c>
      <c r="CF113" s="829">
        <f t="shared" si="306"/>
        <v>0.5</v>
      </c>
    </row>
    <row r="114" spans="1:84" s="222" customFormat="1" ht="12.75" customHeight="1" x14ac:dyDescent="0.2">
      <c r="A114" s="224">
        <v>25</v>
      </c>
      <c r="B114" s="225">
        <v>3411</v>
      </c>
      <c r="C114" s="225">
        <v>600078400</v>
      </c>
      <c r="D114" s="225">
        <v>72742950</v>
      </c>
      <c r="E114" s="226" t="s">
        <v>57</v>
      </c>
      <c r="F114" s="225">
        <v>3113</v>
      </c>
      <c r="G114" s="226" t="s">
        <v>294</v>
      </c>
      <c r="H114" s="227" t="s">
        <v>271</v>
      </c>
      <c r="I114" s="423">
        <f t="shared" ref="I114:I118" si="307">J114+P114+Q114+R114</f>
        <v>36444121</v>
      </c>
      <c r="J114" s="418">
        <f>K114+L114</f>
        <v>26627797</v>
      </c>
      <c r="K114" s="418">
        <v>24825510</v>
      </c>
      <c r="L114" s="418">
        <v>1802287</v>
      </c>
      <c r="M114" s="418">
        <f>N114+O114</f>
        <v>0</v>
      </c>
      <c r="N114" s="418"/>
      <c r="O114" s="418"/>
      <c r="P114" s="68">
        <f t="shared" ref="P114:P118" si="308">ROUND(J114*33.8%,0)</f>
        <v>9000195</v>
      </c>
      <c r="Q114" s="68">
        <f t="shared" ref="Q114:Q118" si="309">ROUND(J114*1%,0)</f>
        <v>266278</v>
      </c>
      <c r="R114" s="418">
        <v>549851</v>
      </c>
      <c r="S114" s="419">
        <f>T114+U114</f>
        <v>39.447800000000001</v>
      </c>
      <c r="T114" s="420">
        <v>33.954500000000003</v>
      </c>
      <c r="U114" s="527">
        <v>5.4932999999999996</v>
      </c>
      <c r="V114" s="427">
        <f t="shared" ref="V114:W118" si="310">AI114*-1</f>
        <v>-6339</v>
      </c>
      <c r="W114" s="421">
        <f t="shared" si="310"/>
        <v>0</v>
      </c>
      <c r="X114" s="421">
        <v>0</v>
      </c>
      <c r="Y114" s="421">
        <v>0</v>
      </c>
      <c r="Z114" s="421">
        <v>0</v>
      </c>
      <c r="AA114" s="421">
        <v>37734</v>
      </c>
      <c r="AB114" s="421">
        <v>564000</v>
      </c>
      <c r="AC114" s="421">
        <v>0</v>
      </c>
      <c r="AD114" s="421">
        <v>0</v>
      </c>
      <c r="AE114" s="421">
        <v>0</v>
      </c>
      <c r="AF114" s="421">
        <f>V114+X114+Y114+AA114+AB114+AD114</f>
        <v>595395</v>
      </c>
      <c r="AG114" s="421">
        <f>W114+Z114+AC114+AE114</f>
        <v>0</v>
      </c>
      <c r="AH114" s="421">
        <f>SUM(AF114:AG114)</f>
        <v>595395</v>
      </c>
      <c r="AI114" s="421">
        <v>6339</v>
      </c>
      <c r="AJ114" s="421">
        <v>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ref="AO114:AO118" si="311">AI114+AK114+AL114+AM114</f>
        <v>6339</v>
      </c>
      <c r="AP114" s="421">
        <f>AJ114+AN114</f>
        <v>0</v>
      </c>
      <c r="AQ114" s="421">
        <f>SUM(AO114:AP114)</f>
        <v>6339</v>
      </c>
      <c r="AR114" s="421">
        <f t="shared" ref="AR114:AS118" si="312">AF114+AO114</f>
        <v>601734</v>
      </c>
      <c r="AS114" s="421">
        <f t="shared" si="312"/>
        <v>0</v>
      </c>
      <c r="AT114" s="421">
        <f>SUM(AR114:AS114)</f>
        <v>601734</v>
      </c>
      <c r="AU114" s="68">
        <f t="shared" ref="AU114:AU118" si="313">ROUND((AH114+AI114+AJ114+AK114+AL114)*33.8%,0)</f>
        <v>203386</v>
      </c>
      <c r="AV114" s="68">
        <f>ROUND(AH114*1%,0)</f>
        <v>5954</v>
      </c>
      <c r="AW114" s="421">
        <v>0</v>
      </c>
      <c r="AX114" s="421">
        <v>0</v>
      </c>
      <c r="AY114" s="421">
        <f>AW114+AX114</f>
        <v>0</v>
      </c>
      <c r="AZ114" s="421">
        <f>AT114+AU114+AV114+AY114</f>
        <v>811074</v>
      </c>
      <c r="BA114" s="422">
        <v>-0.01</v>
      </c>
      <c r="BB114" s="422">
        <v>0</v>
      </c>
      <c r="BC114" s="422">
        <v>0</v>
      </c>
      <c r="BD114" s="422">
        <v>1</v>
      </c>
      <c r="BE114" s="422">
        <v>0</v>
      </c>
      <c r="BF114" s="422">
        <v>0</v>
      </c>
      <c r="BG114" s="422">
        <v>0</v>
      </c>
      <c r="BH114" s="422">
        <v>0.05</v>
      </c>
      <c r="BI114" s="422">
        <v>0</v>
      </c>
      <c r="BJ114" s="422">
        <v>0</v>
      </c>
      <c r="BK114" s="422">
        <f>BA114+BC114+BD114+BF114+BH114+BI114</f>
        <v>1.04</v>
      </c>
      <c r="BL114" s="422">
        <f>BB114+BE114+BG114+BJ114</f>
        <v>0</v>
      </c>
      <c r="BM114" s="611">
        <f>SUM(BK114:BL114)</f>
        <v>1.04</v>
      </c>
      <c r="BN114" s="428">
        <f>I114+AZ114</f>
        <v>37255195</v>
      </c>
      <c r="BO114" s="421">
        <f>J114+AH114</f>
        <v>27223192</v>
      </c>
      <c r="BP114" s="421">
        <f t="shared" ref="BP114:BQ118" si="314">K114+AF114</f>
        <v>25420905</v>
      </c>
      <c r="BQ114" s="421">
        <f t="shared" si="314"/>
        <v>1802287</v>
      </c>
      <c r="BR114" s="421">
        <f>M114+AQ114</f>
        <v>6339</v>
      </c>
      <c r="BS114" s="421">
        <f t="shared" ref="BS114:BT118" si="315">N114+AO114</f>
        <v>6339</v>
      </c>
      <c r="BT114" s="421">
        <f t="shared" si="315"/>
        <v>0</v>
      </c>
      <c r="BU114" s="421">
        <f t="shared" ref="BU114:BV118" si="316">P114+AU114</f>
        <v>9203581</v>
      </c>
      <c r="BV114" s="421">
        <f t="shared" si="316"/>
        <v>272232</v>
      </c>
      <c r="BW114" s="421">
        <f>R114+AY114</f>
        <v>549851</v>
      </c>
      <c r="BX114" s="422">
        <f>S114+BM114</f>
        <v>40.4878</v>
      </c>
      <c r="BY114" s="422">
        <f t="shared" ref="BY114:BZ118" si="317">T114+BK114</f>
        <v>34.994500000000002</v>
      </c>
      <c r="BZ114" s="611">
        <f t="shared" si="317"/>
        <v>5.4932999999999996</v>
      </c>
      <c r="CA114" s="423">
        <v>760272</v>
      </c>
      <c r="CB114" s="418">
        <v>564000</v>
      </c>
      <c r="CC114" s="418">
        <v>0</v>
      </c>
      <c r="CD114" s="418">
        <v>190632</v>
      </c>
      <c r="CE114" s="418">
        <v>5640</v>
      </c>
      <c r="CF114" s="527">
        <v>1</v>
      </c>
    </row>
    <row r="115" spans="1:84" s="222" customFormat="1" x14ac:dyDescent="0.2">
      <c r="A115" s="224">
        <v>25</v>
      </c>
      <c r="B115" s="225">
        <v>3411</v>
      </c>
      <c r="C115" s="225">
        <v>600078400</v>
      </c>
      <c r="D115" s="225">
        <v>72742950</v>
      </c>
      <c r="E115" s="226" t="s">
        <v>57</v>
      </c>
      <c r="F115" s="225">
        <v>3113</v>
      </c>
      <c r="G115" s="226" t="s">
        <v>292</v>
      </c>
      <c r="H115" s="227" t="s">
        <v>272</v>
      </c>
      <c r="I115" s="423">
        <f t="shared" si="307"/>
        <v>0</v>
      </c>
      <c r="J115" s="418">
        <f>K115+L115</f>
        <v>0</v>
      </c>
      <c r="K115" s="418">
        <v>0</v>
      </c>
      <c r="L115" s="418">
        <v>0</v>
      </c>
      <c r="M115" s="418">
        <f>N115+O115</f>
        <v>0</v>
      </c>
      <c r="N115" s="418"/>
      <c r="O115" s="418"/>
      <c r="P115" s="68">
        <f t="shared" si="308"/>
        <v>0</v>
      </c>
      <c r="Q115" s="68">
        <f t="shared" si="309"/>
        <v>0</v>
      </c>
      <c r="R115" s="418">
        <v>0</v>
      </c>
      <c r="S115" s="419">
        <f>T115+U115</f>
        <v>0</v>
      </c>
      <c r="T115" s="420">
        <v>0</v>
      </c>
      <c r="U115" s="527">
        <v>0</v>
      </c>
      <c r="V115" s="427">
        <f t="shared" si="310"/>
        <v>0</v>
      </c>
      <c r="W115" s="421">
        <f t="shared" si="310"/>
        <v>0</v>
      </c>
      <c r="X115" s="421">
        <v>3824505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>V115+X115+Y115+AA115+AB115+AD115</f>
        <v>3824505</v>
      </c>
      <c r="AG115" s="421">
        <f>W115+Z115+AC115+AE115</f>
        <v>0</v>
      </c>
      <c r="AH115" s="421">
        <f>SUM(AF115:AG115)</f>
        <v>3824505</v>
      </c>
      <c r="AI115" s="421">
        <v>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si="311"/>
        <v>0</v>
      </c>
      <c r="AP115" s="421">
        <f>AJ115+AN115</f>
        <v>0</v>
      </c>
      <c r="AQ115" s="421">
        <f>SUM(AO115:AP115)</f>
        <v>0</v>
      </c>
      <c r="AR115" s="421">
        <f t="shared" si="312"/>
        <v>3824505</v>
      </c>
      <c r="AS115" s="421">
        <f t="shared" si="312"/>
        <v>0</v>
      </c>
      <c r="AT115" s="421">
        <f>SUM(AR115:AS115)</f>
        <v>3824505</v>
      </c>
      <c r="AU115" s="68">
        <f t="shared" si="313"/>
        <v>1292683</v>
      </c>
      <c r="AV115" s="68">
        <f>ROUND(AH115*1%,0)</f>
        <v>38245</v>
      </c>
      <c r="AW115" s="421">
        <v>5000</v>
      </c>
      <c r="AX115" s="421">
        <v>0</v>
      </c>
      <c r="AY115" s="421">
        <f>AW115+AX115</f>
        <v>5000</v>
      </c>
      <c r="AZ115" s="421">
        <f>AT115+AU115+AV115+AY115</f>
        <v>5160433</v>
      </c>
      <c r="BA115" s="422">
        <v>0</v>
      </c>
      <c r="BB115" s="422">
        <v>0</v>
      </c>
      <c r="BC115" s="422">
        <v>9.5399999999999991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>BA115+BC115+BD115+BF115+BH115+BI115</f>
        <v>9.5399999999999991</v>
      </c>
      <c r="BL115" s="422">
        <f>BB115+BE115+BG115+BJ115</f>
        <v>0</v>
      </c>
      <c r="BM115" s="611">
        <f>SUM(BK115:BL115)</f>
        <v>9.5399999999999991</v>
      </c>
      <c r="BN115" s="428">
        <f>I115+AZ115</f>
        <v>5160433</v>
      </c>
      <c r="BO115" s="421">
        <f>J115+AH115</f>
        <v>3824505</v>
      </c>
      <c r="BP115" s="421">
        <f t="shared" si="314"/>
        <v>3824505</v>
      </c>
      <c r="BQ115" s="421">
        <f t="shared" si="314"/>
        <v>0</v>
      </c>
      <c r="BR115" s="421">
        <f>M115+AQ115</f>
        <v>0</v>
      </c>
      <c r="BS115" s="421">
        <f t="shared" si="315"/>
        <v>0</v>
      </c>
      <c r="BT115" s="421">
        <f t="shared" si="315"/>
        <v>0</v>
      </c>
      <c r="BU115" s="421">
        <f t="shared" si="316"/>
        <v>1292683</v>
      </c>
      <c r="BV115" s="421">
        <f t="shared" si="316"/>
        <v>38245</v>
      </c>
      <c r="BW115" s="421">
        <f>R115+AY115</f>
        <v>5000</v>
      </c>
      <c r="BX115" s="422">
        <f>S115+BM115</f>
        <v>9.5399999999999991</v>
      </c>
      <c r="BY115" s="422">
        <f t="shared" si="317"/>
        <v>9.5399999999999991</v>
      </c>
      <c r="BZ115" s="611">
        <f t="shared" si="317"/>
        <v>0</v>
      </c>
      <c r="CA115" s="423"/>
      <c r="CB115" s="418"/>
      <c r="CC115" s="418"/>
      <c r="CD115" s="418"/>
      <c r="CE115" s="418"/>
      <c r="CF115" s="527"/>
    </row>
    <row r="116" spans="1:84" s="222" customFormat="1" ht="12.75" customHeight="1" x14ac:dyDescent="0.2">
      <c r="A116" s="224">
        <v>25</v>
      </c>
      <c r="B116" s="225">
        <v>3411</v>
      </c>
      <c r="C116" s="225">
        <v>600078400</v>
      </c>
      <c r="D116" s="225">
        <v>72742950</v>
      </c>
      <c r="E116" s="226" t="s">
        <v>57</v>
      </c>
      <c r="F116" s="225">
        <v>3141</v>
      </c>
      <c r="G116" s="226" t="s">
        <v>295</v>
      </c>
      <c r="H116" s="227" t="s">
        <v>272</v>
      </c>
      <c r="I116" s="423">
        <f t="shared" si="307"/>
        <v>2479843</v>
      </c>
      <c r="J116" s="418">
        <f>K116+L116</f>
        <v>1825236</v>
      </c>
      <c r="K116" s="418">
        <v>0</v>
      </c>
      <c r="L116" s="418">
        <v>1825236</v>
      </c>
      <c r="M116" s="418">
        <f>N116+O116</f>
        <v>0</v>
      </c>
      <c r="N116" s="418"/>
      <c r="O116" s="418"/>
      <c r="P116" s="68">
        <f t="shared" si="308"/>
        <v>616930</v>
      </c>
      <c r="Q116" s="68">
        <f t="shared" si="309"/>
        <v>18252</v>
      </c>
      <c r="R116" s="418">
        <v>19425</v>
      </c>
      <c r="S116" s="419">
        <f>T116+U116</f>
        <v>5.47</v>
      </c>
      <c r="T116" s="420">
        <v>0</v>
      </c>
      <c r="U116" s="527">
        <v>5.47</v>
      </c>
      <c r="V116" s="427">
        <f t="shared" si="310"/>
        <v>0</v>
      </c>
      <c r="W116" s="421">
        <f t="shared" si="310"/>
        <v>0</v>
      </c>
      <c r="X116" s="421">
        <v>0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>V116+X116+Y116+AA116+AB116+AD116</f>
        <v>0</v>
      </c>
      <c r="AG116" s="421">
        <f>W116+Z116+AC116+AE116</f>
        <v>0</v>
      </c>
      <c r="AH116" s="421">
        <f>SUM(AF116:AG116)</f>
        <v>0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si="311"/>
        <v>0</v>
      </c>
      <c r="AP116" s="421">
        <f>AJ116+AN116</f>
        <v>0</v>
      </c>
      <c r="AQ116" s="421">
        <f>SUM(AO116:AP116)</f>
        <v>0</v>
      </c>
      <c r="AR116" s="421">
        <f t="shared" si="312"/>
        <v>0</v>
      </c>
      <c r="AS116" s="421">
        <f t="shared" si="312"/>
        <v>0</v>
      </c>
      <c r="AT116" s="421">
        <f>SUM(AR116:AS116)</f>
        <v>0</v>
      </c>
      <c r="AU116" s="68">
        <f t="shared" si="313"/>
        <v>0</v>
      </c>
      <c r="AV116" s="68">
        <f>ROUND(AH116*1%,0)</f>
        <v>0</v>
      </c>
      <c r="AW116" s="421">
        <v>0</v>
      </c>
      <c r="AX116" s="421">
        <v>0</v>
      </c>
      <c r="AY116" s="421">
        <f>AW116+AX116</f>
        <v>0</v>
      </c>
      <c r="AZ116" s="421">
        <f>AT116+AU116+AV116+AY116</f>
        <v>0</v>
      </c>
      <c r="BA116" s="422">
        <v>0</v>
      </c>
      <c r="BB116" s="422">
        <v>0</v>
      </c>
      <c r="BC116" s="422">
        <v>0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>BA116+BC116+BD116+BF116+BH116+BI116</f>
        <v>0</v>
      </c>
      <c r="BL116" s="422">
        <f>BB116+BE116+BG116+BJ116</f>
        <v>0</v>
      </c>
      <c r="BM116" s="611">
        <f>SUM(BK116:BL116)</f>
        <v>0</v>
      </c>
      <c r="BN116" s="428">
        <f>I116+AZ116</f>
        <v>2479843</v>
      </c>
      <c r="BO116" s="421">
        <f>J116+AH116</f>
        <v>1825236</v>
      </c>
      <c r="BP116" s="421">
        <f t="shared" si="314"/>
        <v>0</v>
      </c>
      <c r="BQ116" s="421">
        <f t="shared" si="314"/>
        <v>1825236</v>
      </c>
      <c r="BR116" s="421">
        <f>M116+AQ116</f>
        <v>0</v>
      </c>
      <c r="BS116" s="421">
        <f t="shared" si="315"/>
        <v>0</v>
      </c>
      <c r="BT116" s="421">
        <f t="shared" si="315"/>
        <v>0</v>
      </c>
      <c r="BU116" s="421">
        <f t="shared" si="316"/>
        <v>616930</v>
      </c>
      <c r="BV116" s="421">
        <f t="shared" si="316"/>
        <v>18252</v>
      </c>
      <c r="BW116" s="421">
        <f>R116+AY116</f>
        <v>19425</v>
      </c>
      <c r="BX116" s="422">
        <f>S116+BM116</f>
        <v>5.47</v>
      </c>
      <c r="BY116" s="422">
        <f t="shared" si="317"/>
        <v>0</v>
      </c>
      <c r="BZ116" s="611">
        <f t="shared" si="317"/>
        <v>5.47</v>
      </c>
      <c r="CA116" s="423"/>
      <c r="CB116" s="418"/>
      <c r="CC116" s="418"/>
      <c r="CD116" s="418"/>
      <c r="CE116" s="418"/>
      <c r="CF116" s="527"/>
    </row>
    <row r="117" spans="1:84" s="222" customFormat="1" ht="12.75" customHeight="1" x14ac:dyDescent="0.2">
      <c r="A117" s="224">
        <v>25</v>
      </c>
      <c r="B117" s="225">
        <v>3411</v>
      </c>
      <c r="C117" s="225">
        <v>600078400</v>
      </c>
      <c r="D117" s="225">
        <v>72742950</v>
      </c>
      <c r="E117" s="226" t="s">
        <v>57</v>
      </c>
      <c r="F117" s="225">
        <v>3143</v>
      </c>
      <c r="G117" s="226" t="s">
        <v>596</v>
      </c>
      <c r="H117" s="227" t="s">
        <v>271</v>
      </c>
      <c r="I117" s="423">
        <f t="shared" si="307"/>
        <v>3292845</v>
      </c>
      <c r="J117" s="418">
        <f>K117+L117</f>
        <v>2442763</v>
      </c>
      <c r="K117" s="418">
        <v>2442763</v>
      </c>
      <c r="L117" s="418">
        <v>0</v>
      </c>
      <c r="M117" s="418">
        <f>N117+O117</f>
        <v>0</v>
      </c>
      <c r="N117" s="418"/>
      <c r="O117" s="418"/>
      <c r="P117" s="68">
        <f t="shared" si="308"/>
        <v>825654</v>
      </c>
      <c r="Q117" s="68">
        <f t="shared" si="309"/>
        <v>24428</v>
      </c>
      <c r="R117" s="418">
        <v>0</v>
      </c>
      <c r="S117" s="419">
        <f>T117+U117</f>
        <v>4.75</v>
      </c>
      <c r="T117" s="420">
        <v>4.75</v>
      </c>
      <c r="U117" s="527">
        <v>0</v>
      </c>
      <c r="V117" s="427">
        <f t="shared" si="310"/>
        <v>0</v>
      </c>
      <c r="W117" s="421">
        <f t="shared" si="310"/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>V117+X117+Y117+AA117+AB117+AD117</f>
        <v>0</v>
      </c>
      <c r="AG117" s="421">
        <f>W117+Z117+AC117+AE117</f>
        <v>0</v>
      </c>
      <c r="AH117" s="421">
        <f>SUM(AF117:AG117)</f>
        <v>0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311"/>
        <v>0</v>
      </c>
      <c r="AP117" s="421">
        <f>AJ117+AN117</f>
        <v>0</v>
      </c>
      <c r="AQ117" s="421">
        <f>SUM(AO117:AP117)</f>
        <v>0</v>
      </c>
      <c r="AR117" s="421">
        <f t="shared" si="312"/>
        <v>0</v>
      </c>
      <c r="AS117" s="421">
        <f t="shared" si="312"/>
        <v>0</v>
      </c>
      <c r="AT117" s="421">
        <f>SUM(AR117:AS117)</f>
        <v>0</v>
      </c>
      <c r="AU117" s="68">
        <f t="shared" si="313"/>
        <v>0</v>
      </c>
      <c r="AV117" s="68">
        <f>ROUND(AH117*1%,0)</f>
        <v>0</v>
      </c>
      <c r="AW117" s="421">
        <v>0</v>
      </c>
      <c r="AX117" s="421">
        <v>0</v>
      </c>
      <c r="AY117" s="421">
        <f>AW117+AX117</f>
        <v>0</v>
      </c>
      <c r="AZ117" s="421">
        <f>AT117+AU117+AV117+AY117</f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>BA117+BC117+BD117+BF117+BH117+BI117</f>
        <v>0</v>
      </c>
      <c r="BL117" s="422">
        <f>BB117+BE117+BG117+BJ117</f>
        <v>0</v>
      </c>
      <c r="BM117" s="611">
        <f>SUM(BK117:BL117)</f>
        <v>0</v>
      </c>
      <c r="BN117" s="428">
        <f>I117+AZ117</f>
        <v>3292845</v>
      </c>
      <c r="BO117" s="421">
        <f>J117+AH117</f>
        <v>2442763</v>
      </c>
      <c r="BP117" s="421">
        <f t="shared" si="314"/>
        <v>2442763</v>
      </c>
      <c r="BQ117" s="421">
        <f t="shared" si="314"/>
        <v>0</v>
      </c>
      <c r="BR117" s="421">
        <f>M117+AQ117</f>
        <v>0</v>
      </c>
      <c r="BS117" s="421">
        <f t="shared" si="315"/>
        <v>0</v>
      </c>
      <c r="BT117" s="421">
        <f t="shared" si="315"/>
        <v>0</v>
      </c>
      <c r="BU117" s="421">
        <f t="shared" si="316"/>
        <v>825654</v>
      </c>
      <c r="BV117" s="421">
        <f t="shared" si="316"/>
        <v>24428</v>
      </c>
      <c r="BW117" s="421">
        <f>R117+AY117</f>
        <v>0</v>
      </c>
      <c r="BX117" s="422">
        <f>S117+BM117</f>
        <v>4.75</v>
      </c>
      <c r="BY117" s="422">
        <f t="shared" si="317"/>
        <v>4.75</v>
      </c>
      <c r="BZ117" s="611">
        <f t="shared" si="317"/>
        <v>0</v>
      </c>
      <c r="CA117" s="423"/>
      <c r="CB117" s="418"/>
      <c r="CC117" s="418"/>
      <c r="CD117" s="418"/>
      <c r="CE117" s="418"/>
      <c r="CF117" s="527"/>
    </row>
    <row r="118" spans="1:84" s="222" customFormat="1" ht="12.75" customHeight="1" x14ac:dyDescent="0.2">
      <c r="A118" s="224">
        <v>25</v>
      </c>
      <c r="B118" s="225">
        <v>3411</v>
      </c>
      <c r="C118" s="225">
        <v>600078400</v>
      </c>
      <c r="D118" s="225">
        <v>72742950</v>
      </c>
      <c r="E118" s="226" t="s">
        <v>57</v>
      </c>
      <c r="F118" s="225">
        <v>3143</v>
      </c>
      <c r="G118" s="226" t="s">
        <v>597</v>
      </c>
      <c r="H118" s="227" t="s">
        <v>272</v>
      </c>
      <c r="I118" s="423">
        <f t="shared" si="307"/>
        <v>91176</v>
      </c>
      <c r="J118" s="418">
        <f>K118+L118</f>
        <v>65261</v>
      </c>
      <c r="K118" s="418">
        <v>0</v>
      </c>
      <c r="L118" s="418">
        <v>65261</v>
      </c>
      <c r="M118" s="418">
        <f>N118+O118</f>
        <v>0</v>
      </c>
      <c r="N118" s="418"/>
      <c r="O118" s="418"/>
      <c r="P118" s="68">
        <f t="shared" si="308"/>
        <v>22058</v>
      </c>
      <c r="Q118" s="68">
        <f t="shared" si="309"/>
        <v>653</v>
      </c>
      <c r="R118" s="418">
        <v>3204</v>
      </c>
      <c r="S118" s="419">
        <f>T118+U118</f>
        <v>0.25</v>
      </c>
      <c r="T118" s="420">
        <v>0</v>
      </c>
      <c r="U118" s="527">
        <v>0.25</v>
      </c>
      <c r="V118" s="427">
        <f t="shared" si="310"/>
        <v>0</v>
      </c>
      <c r="W118" s="421">
        <f t="shared" si="310"/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f>V118+X118+Y118+AA118+AB118+AD118</f>
        <v>0</v>
      </c>
      <c r="AG118" s="421">
        <f>W118+Z118+AC118+AE118</f>
        <v>0</v>
      </c>
      <c r="AH118" s="421">
        <f>SUM(AF118:AG118)</f>
        <v>0</v>
      </c>
      <c r="AI118" s="421">
        <v>0</v>
      </c>
      <c r="AJ118" s="421">
        <v>0</v>
      </c>
      <c r="AK118" s="421">
        <v>0</v>
      </c>
      <c r="AL118" s="421">
        <v>0</v>
      </c>
      <c r="AM118" s="421">
        <v>0</v>
      </c>
      <c r="AN118" s="421">
        <v>0</v>
      </c>
      <c r="AO118" s="421">
        <f t="shared" si="311"/>
        <v>0</v>
      </c>
      <c r="AP118" s="421">
        <f>AJ118+AN118</f>
        <v>0</v>
      </c>
      <c r="AQ118" s="421">
        <f>SUM(AO118:AP118)</f>
        <v>0</v>
      </c>
      <c r="AR118" s="421">
        <f t="shared" si="312"/>
        <v>0</v>
      </c>
      <c r="AS118" s="421">
        <f t="shared" si="312"/>
        <v>0</v>
      </c>
      <c r="AT118" s="421">
        <f>SUM(AR118:AS118)</f>
        <v>0</v>
      </c>
      <c r="AU118" s="68">
        <f t="shared" si="313"/>
        <v>0</v>
      </c>
      <c r="AV118" s="68">
        <f>ROUND(AH118*1%,0)</f>
        <v>0</v>
      </c>
      <c r="AW118" s="421">
        <v>0</v>
      </c>
      <c r="AX118" s="421">
        <v>0</v>
      </c>
      <c r="AY118" s="421">
        <f>AW118+AX118</f>
        <v>0</v>
      </c>
      <c r="AZ118" s="421">
        <f>AT118+AU118+AV118+AY118</f>
        <v>0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>BA118+BC118+BD118+BF118+BH118+BI118</f>
        <v>0</v>
      </c>
      <c r="BL118" s="422">
        <f>BB118+BE118+BG118+BJ118</f>
        <v>0</v>
      </c>
      <c r="BM118" s="611">
        <f>SUM(BK118:BL118)</f>
        <v>0</v>
      </c>
      <c r="BN118" s="428">
        <f>I118+AZ118</f>
        <v>91176</v>
      </c>
      <c r="BO118" s="421">
        <f>J118+AH118</f>
        <v>65261</v>
      </c>
      <c r="BP118" s="421">
        <f t="shared" si="314"/>
        <v>0</v>
      </c>
      <c r="BQ118" s="421">
        <f t="shared" si="314"/>
        <v>65261</v>
      </c>
      <c r="BR118" s="421">
        <f>M118+AQ118</f>
        <v>0</v>
      </c>
      <c r="BS118" s="421">
        <f t="shared" si="315"/>
        <v>0</v>
      </c>
      <c r="BT118" s="421">
        <f t="shared" si="315"/>
        <v>0</v>
      </c>
      <c r="BU118" s="421">
        <f t="shared" si="316"/>
        <v>22058</v>
      </c>
      <c r="BV118" s="421">
        <f t="shared" si="316"/>
        <v>653</v>
      </c>
      <c r="BW118" s="421">
        <f>R118+AY118</f>
        <v>3204</v>
      </c>
      <c r="BX118" s="422">
        <f>S118+BM118</f>
        <v>0.25</v>
      </c>
      <c r="BY118" s="422">
        <f t="shared" si="317"/>
        <v>0</v>
      </c>
      <c r="BZ118" s="611">
        <f t="shared" si="317"/>
        <v>0.25</v>
      </c>
      <c r="CA118" s="423"/>
      <c r="CB118" s="418"/>
      <c r="CC118" s="418"/>
      <c r="CD118" s="418"/>
      <c r="CE118" s="418"/>
      <c r="CF118" s="527"/>
    </row>
    <row r="119" spans="1:84" s="222" customFormat="1" ht="12.75" customHeight="1" x14ac:dyDescent="0.2">
      <c r="A119" s="153">
        <v>25</v>
      </c>
      <c r="B119" s="14">
        <v>3411</v>
      </c>
      <c r="C119" s="152">
        <v>600078400</v>
      </c>
      <c r="D119" s="152">
        <v>72742950</v>
      </c>
      <c r="E119" s="223" t="s">
        <v>58</v>
      </c>
      <c r="F119" s="14"/>
      <c r="G119" s="223"/>
      <c r="H119" s="592"/>
      <c r="I119" s="522">
        <f t="shared" ref="I119:BU119" si="318">SUM(I114:I118)</f>
        <v>42307985</v>
      </c>
      <c r="J119" s="521">
        <f t="shared" si="318"/>
        <v>30961057</v>
      </c>
      <c r="K119" s="521">
        <f t="shared" si="318"/>
        <v>27268273</v>
      </c>
      <c r="L119" s="521">
        <f t="shared" si="318"/>
        <v>3692784</v>
      </c>
      <c r="M119" s="521">
        <f t="shared" si="318"/>
        <v>0</v>
      </c>
      <c r="N119" s="521">
        <f t="shared" si="318"/>
        <v>0</v>
      </c>
      <c r="O119" s="521">
        <f t="shared" si="318"/>
        <v>0</v>
      </c>
      <c r="P119" s="521">
        <f t="shared" si="318"/>
        <v>10464837</v>
      </c>
      <c r="Q119" s="521">
        <f t="shared" si="318"/>
        <v>309611</v>
      </c>
      <c r="R119" s="521">
        <f t="shared" si="318"/>
        <v>572480</v>
      </c>
      <c r="S119" s="572">
        <f t="shared" si="318"/>
        <v>49.9178</v>
      </c>
      <c r="T119" s="572">
        <f t="shared" si="318"/>
        <v>38.704500000000003</v>
      </c>
      <c r="U119" s="448">
        <f t="shared" si="318"/>
        <v>11.2133</v>
      </c>
      <c r="V119" s="614">
        <f t="shared" si="318"/>
        <v>-6339</v>
      </c>
      <c r="W119" s="521">
        <f t="shared" si="318"/>
        <v>0</v>
      </c>
      <c r="X119" s="521">
        <f t="shared" si="318"/>
        <v>3824505</v>
      </c>
      <c r="Y119" s="521">
        <f t="shared" si="318"/>
        <v>0</v>
      </c>
      <c r="Z119" s="521">
        <f t="shared" si="318"/>
        <v>0</v>
      </c>
      <c r="AA119" s="521">
        <f t="shared" si="318"/>
        <v>37734</v>
      </c>
      <c r="AB119" s="521">
        <f t="shared" si="318"/>
        <v>564000</v>
      </c>
      <c r="AC119" s="521">
        <f t="shared" si="318"/>
        <v>0</v>
      </c>
      <c r="AD119" s="521">
        <f t="shared" si="318"/>
        <v>0</v>
      </c>
      <c r="AE119" s="521">
        <f t="shared" si="318"/>
        <v>0</v>
      </c>
      <c r="AF119" s="521">
        <f t="shared" si="318"/>
        <v>4419900</v>
      </c>
      <c r="AG119" s="521">
        <f t="shared" si="318"/>
        <v>0</v>
      </c>
      <c r="AH119" s="521">
        <f t="shared" si="318"/>
        <v>4419900</v>
      </c>
      <c r="AI119" s="521">
        <f t="shared" si="318"/>
        <v>6339</v>
      </c>
      <c r="AJ119" s="521">
        <f t="shared" si="318"/>
        <v>0</v>
      </c>
      <c r="AK119" s="521">
        <f t="shared" ref="AK119" si="319">SUM(AK114:AK118)</f>
        <v>0</v>
      </c>
      <c r="AL119" s="521">
        <f t="shared" si="318"/>
        <v>0</v>
      </c>
      <c r="AM119" s="521">
        <f t="shared" si="318"/>
        <v>0</v>
      </c>
      <c r="AN119" s="521">
        <f t="shared" si="318"/>
        <v>0</v>
      </c>
      <c r="AO119" s="521">
        <f t="shared" si="318"/>
        <v>6339</v>
      </c>
      <c r="AP119" s="521">
        <f t="shared" si="318"/>
        <v>0</v>
      </c>
      <c r="AQ119" s="521">
        <f t="shared" si="318"/>
        <v>6339</v>
      </c>
      <c r="AR119" s="521">
        <f t="shared" si="318"/>
        <v>4426239</v>
      </c>
      <c r="AS119" s="521">
        <f t="shared" si="318"/>
        <v>0</v>
      </c>
      <c r="AT119" s="521">
        <f t="shared" si="318"/>
        <v>4426239</v>
      </c>
      <c r="AU119" s="521">
        <f t="shared" si="318"/>
        <v>1496069</v>
      </c>
      <c r="AV119" s="521">
        <f t="shared" si="318"/>
        <v>44199</v>
      </c>
      <c r="AW119" s="521">
        <f t="shared" si="318"/>
        <v>5000</v>
      </c>
      <c r="AX119" s="521">
        <f t="shared" si="318"/>
        <v>0</v>
      </c>
      <c r="AY119" s="521">
        <f t="shared" si="318"/>
        <v>5000</v>
      </c>
      <c r="AZ119" s="521">
        <f t="shared" si="318"/>
        <v>5971507</v>
      </c>
      <c r="BA119" s="572">
        <f t="shared" si="318"/>
        <v>-0.01</v>
      </c>
      <c r="BB119" s="572">
        <f t="shared" si="318"/>
        <v>0</v>
      </c>
      <c r="BC119" s="572">
        <f t="shared" si="318"/>
        <v>9.5399999999999991</v>
      </c>
      <c r="BD119" s="572">
        <f t="shared" si="318"/>
        <v>1</v>
      </c>
      <c r="BE119" s="572">
        <f t="shared" si="318"/>
        <v>0</v>
      </c>
      <c r="BF119" s="572">
        <f t="shared" si="318"/>
        <v>0</v>
      </c>
      <c r="BG119" s="572">
        <f t="shared" si="318"/>
        <v>0</v>
      </c>
      <c r="BH119" s="572">
        <f t="shared" si="318"/>
        <v>0.05</v>
      </c>
      <c r="BI119" s="572">
        <f t="shared" si="318"/>
        <v>0</v>
      </c>
      <c r="BJ119" s="572">
        <f t="shared" si="318"/>
        <v>0</v>
      </c>
      <c r="BK119" s="572">
        <f t="shared" si="318"/>
        <v>10.579999999999998</v>
      </c>
      <c r="BL119" s="572">
        <f t="shared" si="318"/>
        <v>0</v>
      </c>
      <c r="BM119" s="403">
        <f t="shared" si="318"/>
        <v>10.579999999999998</v>
      </c>
      <c r="BN119" s="522">
        <f t="shared" si="318"/>
        <v>48279492</v>
      </c>
      <c r="BO119" s="521">
        <f t="shared" si="318"/>
        <v>35380957</v>
      </c>
      <c r="BP119" s="521">
        <f t="shared" si="318"/>
        <v>31688173</v>
      </c>
      <c r="BQ119" s="521">
        <f t="shared" si="318"/>
        <v>3692784</v>
      </c>
      <c r="BR119" s="521">
        <f t="shared" si="318"/>
        <v>6339</v>
      </c>
      <c r="BS119" s="521">
        <f t="shared" si="318"/>
        <v>6339</v>
      </c>
      <c r="BT119" s="521">
        <f t="shared" si="318"/>
        <v>0</v>
      </c>
      <c r="BU119" s="521">
        <f t="shared" si="318"/>
        <v>11960906</v>
      </c>
      <c r="BV119" s="521">
        <f t="shared" ref="BV119:CF119" si="320">SUM(BV114:BV118)</f>
        <v>353810</v>
      </c>
      <c r="BW119" s="521">
        <f t="shared" si="320"/>
        <v>577480</v>
      </c>
      <c r="BX119" s="572">
        <f t="shared" si="320"/>
        <v>60.497799999999998</v>
      </c>
      <c r="BY119" s="572">
        <f t="shared" si="320"/>
        <v>49.284500000000001</v>
      </c>
      <c r="BZ119" s="403">
        <f t="shared" si="320"/>
        <v>11.2133</v>
      </c>
      <c r="CA119" s="833">
        <f t="shared" si="320"/>
        <v>760272</v>
      </c>
      <c r="CB119" s="834">
        <f t="shared" si="320"/>
        <v>564000</v>
      </c>
      <c r="CC119" s="834">
        <f t="shared" si="320"/>
        <v>0</v>
      </c>
      <c r="CD119" s="834">
        <f t="shared" si="320"/>
        <v>190632</v>
      </c>
      <c r="CE119" s="834">
        <f t="shared" si="320"/>
        <v>5640</v>
      </c>
      <c r="CF119" s="829">
        <f t="shared" si="320"/>
        <v>1</v>
      </c>
    </row>
    <row r="120" spans="1:84" s="222" customFormat="1" ht="12.75" customHeight="1" x14ac:dyDescent="0.2">
      <c r="A120" s="224">
        <v>26</v>
      </c>
      <c r="B120" s="225">
        <v>3408</v>
      </c>
      <c r="C120" s="225">
        <v>600078566</v>
      </c>
      <c r="D120" s="225">
        <v>72743115</v>
      </c>
      <c r="E120" s="226" t="s">
        <v>59</v>
      </c>
      <c r="F120" s="225">
        <v>3113</v>
      </c>
      <c r="G120" s="226" t="s">
        <v>294</v>
      </c>
      <c r="H120" s="227" t="s">
        <v>271</v>
      </c>
      <c r="I120" s="423">
        <f t="shared" ref="I120:I124" si="321">J120+P120+Q120+R120</f>
        <v>18610311</v>
      </c>
      <c r="J120" s="418">
        <f>K120+L120</f>
        <v>13619601</v>
      </c>
      <c r="K120" s="418">
        <v>12544417</v>
      </c>
      <c r="L120" s="418">
        <v>1075184</v>
      </c>
      <c r="M120" s="418">
        <f>N120+O120</f>
        <v>0</v>
      </c>
      <c r="N120" s="418"/>
      <c r="O120" s="418"/>
      <c r="P120" s="68">
        <f>ROUND(J120*33.8%,0)+1</f>
        <v>4603426</v>
      </c>
      <c r="Q120" s="68">
        <f t="shared" ref="Q120:Q124" si="322">ROUND(J120*1%,0)</f>
        <v>136196</v>
      </c>
      <c r="R120" s="418">
        <v>251088</v>
      </c>
      <c r="S120" s="419">
        <f>T120+U120</f>
        <v>20.660700000000002</v>
      </c>
      <c r="T120" s="420">
        <v>17.554400000000001</v>
      </c>
      <c r="U120" s="527">
        <v>3.1063000000000001</v>
      </c>
      <c r="V120" s="427">
        <f t="shared" ref="V120:W124" si="323">AI120*-1</f>
        <v>0</v>
      </c>
      <c r="W120" s="421">
        <f t="shared" si="323"/>
        <v>0</v>
      </c>
      <c r="X120" s="421">
        <v>0</v>
      </c>
      <c r="Y120" s="421">
        <v>0</v>
      </c>
      <c r="Z120" s="421">
        <v>0</v>
      </c>
      <c r="AA120" s="421">
        <v>46340</v>
      </c>
      <c r="AB120" s="421">
        <v>0</v>
      </c>
      <c r="AC120" s="421">
        <v>0</v>
      </c>
      <c r="AD120" s="421">
        <v>0</v>
      </c>
      <c r="AE120" s="421">
        <v>0</v>
      </c>
      <c r="AF120" s="421">
        <f>V120+X120+Y120+AA120+AB120+AD120</f>
        <v>46340</v>
      </c>
      <c r="AG120" s="421">
        <f>W120+Z120+AC120+AE120</f>
        <v>0</v>
      </c>
      <c r="AH120" s="421">
        <f>SUM(AF120:AG120)</f>
        <v>46340</v>
      </c>
      <c r="AI120" s="421">
        <v>0</v>
      </c>
      <c r="AJ120" s="421">
        <v>0</v>
      </c>
      <c r="AK120" s="421">
        <v>0</v>
      </c>
      <c r="AL120" s="421">
        <v>0</v>
      </c>
      <c r="AM120" s="421">
        <v>0</v>
      </c>
      <c r="AN120" s="421">
        <v>0</v>
      </c>
      <c r="AO120" s="421">
        <f t="shared" ref="AO120:AO124" si="324">AI120+AK120+AL120+AM120</f>
        <v>0</v>
      </c>
      <c r="AP120" s="421">
        <f>AJ120+AN120</f>
        <v>0</v>
      </c>
      <c r="AQ120" s="421">
        <f>SUM(AO120:AP120)</f>
        <v>0</v>
      </c>
      <c r="AR120" s="421">
        <f t="shared" ref="AR120:AS124" si="325">AF120+AO120</f>
        <v>46340</v>
      </c>
      <c r="AS120" s="421">
        <f t="shared" si="325"/>
        <v>0</v>
      </c>
      <c r="AT120" s="421">
        <f>SUM(AR120:AS120)</f>
        <v>46340</v>
      </c>
      <c r="AU120" s="68">
        <f t="shared" ref="AU120:AU124" si="326">ROUND((AH120+AI120+AJ120+AK120+AL120)*33.8%,0)</f>
        <v>15663</v>
      </c>
      <c r="AV120" s="68">
        <f>ROUND(AH120*1%,0)</f>
        <v>463</v>
      </c>
      <c r="AW120" s="421">
        <v>0</v>
      </c>
      <c r="AX120" s="421">
        <v>0</v>
      </c>
      <c r="AY120" s="421">
        <f>AW120+AX120</f>
        <v>0</v>
      </c>
      <c r="AZ120" s="421">
        <f>AT120+AU120+AV120+AY120</f>
        <v>62466</v>
      </c>
      <c r="BA120" s="422">
        <v>0</v>
      </c>
      <c r="BB120" s="422">
        <v>0</v>
      </c>
      <c r="BC120" s="422">
        <v>0</v>
      </c>
      <c r="BD120" s="422">
        <v>0</v>
      </c>
      <c r="BE120" s="422">
        <v>0</v>
      </c>
      <c r="BF120" s="422">
        <v>0</v>
      </c>
      <c r="BG120" s="422">
        <v>0</v>
      </c>
      <c r="BH120" s="422">
        <v>7.0000000000000007E-2</v>
      </c>
      <c r="BI120" s="422">
        <v>0</v>
      </c>
      <c r="BJ120" s="422">
        <v>0</v>
      </c>
      <c r="BK120" s="422">
        <f>BA120+BC120+BD120+BF120+BH120+BI120</f>
        <v>7.0000000000000007E-2</v>
      </c>
      <c r="BL120" s="422">
        <f>BB120+BE120+BG120+BJ120</f>
        <v>0</v>
      </c>
      <c r="BM120" s="611">
        <f>SUM(BK120:BL120)</f>
        <v>7.0000000000000007E-2</v>
      </c>
      <c r="BN120" s="428">
        <f>I120+AZ120</f>
        <v>18672777</v>
      </c>
      <c r="BO120" s="421">
        <f>J120+AH120</f>
        <v>13665941</v>
      </c>
      <c r="BP120" s="421">
        <f t="shared" ref="BP120:BQ124" si="327">K120+AF120</f>
        <v>12590757</v>
      </c>
      <c r="BQ120" s="421">
        <f t="shared" si="327"/>
        <v>1075184</v>
      </c>
      <c r="BR120" s="421">
        <f>M120+AQ120</f>
        <v>0</v>
      </c>
      <c r="BS120" s="421">
        <f t="shared" ref="BS120:BT124" si="328">N120+AO120</f>
        <v>0</v>
      </c>
      <c r="BT120" s="421">
        <f t="shared" si="328"/>
        <v>0</v>
      </c>
      <c r="BU120" s="421">
        <f t="shared" ref="BU120:BV124" si="329">P120+AU120</f>
        <v>4619089</v>
      </c>
      <c r="BV120" s="421">
        <f t="shared" si="329"/>
        <v>136659</v>
      </c>
      <c r="BW120" s="421">
        <f>R120+AY120</f>
        <v>251088</v>
      </c>
      <c r="BX120" s="422">
        <f>S120+BM120</f>
        <v>20.730700000000002</v>
      </c>
      <c r="BY120" s="422">
        <f t="shared" ref="BY120:BZ124" si="330">T120+BK120</f>
        <v>17.624400000000001</v>
      </c>
      <c r="BZ120" s="611">
        <f t="shared" si="330"/>
        <v>3.1063000000000001</v>
      </c>
      <c r="CA120" s="423"/>
      <c r="CB120" s="418"/>
      <c r="CC120" s="418"/>
      <c r="CD120" s="418"/>
      <c r="CE120" s="418"/>
      <c r="CF120" s="527"/>
    </row>
    <row r="121" spans="1:84" s="222" customFormat="1" x14ac:dyDescent="0.2">
      <c r="A121" s="224">
        <v>26</v>
      </c>
      <c r="B121" s="225">
        <v>3408</v>
      </c>
      <c r="C121" s="225">
        <v>600078566</v>
      </c>
      <c r="D121" s="225">
        <v>72743115</v>
      </c>
      <c r="E121" s="226" t="s">
        <v>59</v>
      </c>
      <c r="F121" s="225">
        <v>3113</v>
      </c>
      <c r="G121" s="226" t="s">
        <v>292</v>
      </c>
      <c r="H121" s="227" t="s">
        <v>272</v>
      </c>
      <c r="I121" s="423">
        <f t="shared" si="321"/>
        <v>0</v>
      </c>
      <c r="J121" s="418">
        <f>K121+L121</f>
        <v>0</v>
      </c>
      <c r="K121" s="418">
        <v>0</v>
      </c>
      <c r="L121" s="418">
        <v>0</v>
      </c>
      <c r="M121" s="418">
        <f>N121+O121</f>
        <v>0</v>
      </c>
      <c r="N121" s="418"/>
      <c r="O121" s="418"/>
      <c r="P121" s="68">
        <f t="shared" ref="P121:P124" si="331">ROUND(J121*33.8%,0)</f>
        <v>0</v>
      </c>
      <c r="Q121" s="68">
        <f t="shared" si="322"/>
        <v>0</v>
      </c>
      <c r="R121" s="418">
        <v>0</v>
      </c>
      <c r="S121" s="419">
        <f>T121+U121</f>
        <v>0</v>
      </c>
      <c r="T121" s="420">
        <v>0</v>
      </c>
      <c r="U121" s="527">
        <v>0</v>
      </c>
      <c r="V121" s="427">
        <f t="shared" si="323"/>
        <v>0</v>
      </c>
      <c r="W121" s="421">
        <f t="shared" si="323"/>
        <v>0</v>
      </c>
      <c r="X121" s="421">
        <f>2115796+192645</f>
        <v>2308441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>V121+X121+Y121+AA121+AB121+AD121</f>
        <v>2308441</v>
      </c>
      <c r="AG121" s="421">
        <f>W121+Z121+AC121+AE121</f>
        <v>0</v>
      </c>
      <c r="AH121" s="421">
        <f>SUM(AF121:AG121)</f>
        <v>2308441</v>
      </c>
      <c r="AI121" s="421">
        <v>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si="324"/>
        <v>0</v>
      </c>
      <c r="AP121" s="421">
        <f>AJ121+AN121</f>
        <v>0</v>
      </c>
      <c r="AQ121" s="421">
        <f>SUM(AO121:AP121)</f>
        <v>0</v>
      </c>
      <c r="AR121" s="421">
        <f t="shared" si="325"/>
        <v>2308441</v>
      </c>
      <c r="AS121" s="421">
        <f t="shared" si="325"/>
        <v>0</v>
      </c>
      <c r="AT121" s="421">
        <f>SUM(AR121:AS121)</f>
        <v>2308441</v>
      </c>
      <c r="AU121" s="68">
        <f t="shared" si="326"/>
        <v>780253</v>
      </c>
      <c r="AV121" s="68">
        <f>ROUND(AH121*1%,0)</f>
        <v>23084</v>
      </c>
      <c r="AW121" s="421">
        <v>2500</v>
      </c>
      <c r="AX121" s="421">
        <v>0</v>
      </c>
      <c r="AY121" s="421">
        <f>AW121+AX121</f>
        <v>2500</v>
      </c>
      <c r="AZ121" s="421">
        <f>AT121+AU121+AV121+AY121</f>
        <v>3114278</v>
      </c>
      <c r="BA121" s="422">
        <v>0</v>
      </c>
      <c r="BB121" s="422">
        <v>0</v>
      </c>
      <c r="BC121" s="422">
        <f>5.39+0.51</f>
        <v>5.8999999999999995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5.8999999999999995</v>
      </c>
      <c r="BL121" s="422">
        <f>BB121+BE121+BG121+BJ121</f>
        <v>0</v>
      </c>
      <c r="BM121" s="611">
        <f>SUM(BK121:BL121)</f>
        <v>5.8999999999999995</v>
      </c>
      <c r="BN121" s="428">
        <f>I121+AZ121</f>
        <v>3114278</v>
      </c>
      <c r="BO121" s="421">
        <f>J121+AH121</f>
        <v>2308441</v>
      </c>
      <c r="BP121" s="421">
        <f t="shared" si="327"/>
        <v>2308441</v>
      </c>
      <c r="BQ121" s="421">
        <f t="shared" si="327"/>
        <v>0</v>
      </c>
      <c r="BR121" s="421">
        <f>M121+AQ121</f>
        <v>0</v>
      </c>
      <c r="BS121" s="421">
        <f t="shared" si="328"/>
        <v>0</v>
      </c>
      <c r="BT121" s="421">
        <f t="shared" si="328"/>
        <v>0</v>
      </c>
      <c r="BU121" s="421">
        <f t="shared" si="329"/>
        <v>780253</v>
      </c>
      <c r="BV121" s="421">
        <f t="shared" si="329"/>
        <v>23084</v>
      </c>
      <c r="BW121" s="421">
        <f>R121+AY121</f>
        <v>2500</v>
      </c>
      <c r="BX121" s="422">
        <f>S121+BM121</f>
        <v>5.8999999999999995</v>
      </c>
      <c r="BY121" s="422">
        <f t="shared" si="330"/>
        <v>5.8999999999999995</v>
      </c>
      <c r="BZ121" s="611">
        <f t="shared" si="330"/>
        <v>0</v>
      </c>
      <c r="CA121" s="423"/>
      <c r="CB121" s="418"/>
      <c r="CC121" s="418"/>
      <c r="CD121" s="418"/>
      <c r="CE121" s="418"/>
      <c r="CF121" s="527"/>
    </row>
    <row r="122" spans="1:84" s="222" customFormat="1" ht="12.75" customHeight="1" x14ac:dyDescent="0.2">
      <c r="A122" s="224">
        <v>26</v>
      </c>
      <c r="B122" s="225">
        <v>3408</v>
      </c>
      <c r="C122" s="225">
        <v>600078566</v>
      </c>
      <c r="D122" s="225">
        <v>72743115</v>
      </c>
      <c r="E122" s="226" t="s">
        <v>59</v>
      </c>
      <c r="F122" s="225">
        <v>3141</v>
      </c>
      <c r="G122" s="226" t="s">
        <v>295</v>
      </c>
      <c r="H122" s="227" t="s">
        <v>272</v>
      </c>
      <c r="I122" s="423">
        <f t="shared" si="321"/>
        <v>1077374</v>
      </c>
      <c r="J122" s="418">
        <f>K122+L122</f>
        <v>793682</v>
      </c>
      <c r="K122" s="418">
        <v>0</v>
      </c>
      <c r="L122" s="418">
        <v>793682</v>
      </c>
      <c r="M122" s="418">
        <f>N122+O122</f>
        <v>0</v>
      </c>
      <c r="N122" s="418"/>
      <c r="O122" s="418"/>
      <c r="P122" s="68">
        <f t="shared" si="331"/>
        <v>268265</v>
      </c>
      <c r="Q122" s="68">
        <f t="shared" si="322"/>
        <v>7937</v>
      </c>
      <c r="R122" s="418">
        <v>7490</v>
      </c>
      <c r="S122" s="419">
        <f>T122+U122</f>
        <v>2.38</v>
      </c>
      <c r="T122" s="420">
        <v>0</v>
      </c>
      <c r="U122" s="527">
        <v>2.38</v>
      </c>
      <c r="V122" s="427">
        <f t="shared" si="323"/>
        <v>0</v>
      </c>
      <c r="W122" s="421">
        <f t="shared" si="323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0</v>
      </c>
      <c r="AG122" s="421">
        <f>W122+Z122+AC122+AE122</f>
        <v>0</v>
      </c>
      <c r="AH122" s="421">
        <f>SUM(AF122:AG122)</f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324"/>
        <v>0</v>
      </c>
      <c r="AP122" s="421">
        <f>AJ122+AN122</f>
        <v>0</v>
      </c>
      <c r="AQ122" s="421">
        <f>SUM(AO122:AP122)</f>
        <v>0</v>
      </c>
      <c r="AR122" s="421">
        <f t="shared" si="325"/>
        <v>0</v>
      </c>
      <c r="AS122" s="421">
        <f t="shared" si="325"/>
        <v>0</v>
      </c>
      <c r="AT122" s="421">
        <f>SUM(AR122:AS122)</f>
        <v>0</v>
      </c>
      <c r="AU122" s="68">
        <f t="shared" si="326"/>
        <v>0</v>
      </c>
      <c r="AV122" s="68">
        <f>ROUND(AH122*1%,0)</f>
        <v>0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611">
        <f>SUM(BK122:BL122)</f>
        <v>0</v>
      </c>
      <c r="BN122" s="428">
        <f>I122+AZ122</f>
        <v>1077374</v>
      </c>
      <c r="BO122" s="421">
        <f>J122+AH122</f>
        <v>793682</v>
      </c>
      <c r="BP122" s="421">
        <f t="shared" si="327"/>
        <v>0</v>
      </c>
      <c r="BQ122" s="421">
        <f t="shared" si="327"/>
        <v>793682</v>
      </c>
      <c r="BR122" s="421">
        <f>M122+AQ122</f>
        <v>0</v>
      </c>
      <c r="BS122" s="421">
        <f t="shared" si="328"/>
        <v>0</v>
      </c>
      <c r="BT122" s="421">
        <f t="shared" si="328"/>
        <v>0</v>
      </c>
      <c r="BU122" s="421">
        <f t="shared" si="329"/>
        <v>268265</v>
      </c>
      <c r="BV122" s="421">
        <f t="shared" si="329"/>
        <v>7937</v>
      </c>
      <c r="BW122" s="421">
        <f>R122+AY122</f>
        <v>7490</v>
      </c>
      <c r="BX122" s="422">
        <f>S122+BM122</f>
        <v>2.38</v>
      </c>
      <c r="BY122" s="422">
        <f t="shared" si="330"/>
        <v>0</v>
      </c>
      <c r="BZ122" s="611">
        <f t="shared" si="330"/>
        <v>2.38</v>
      </c>
      <c r="CA122" s="423"/>
      <c r="CB122" s="418"/>
      <c r="CC122" s="418"/>
      <c r="CD122" s="418"/>
      <c r="CE122" s="418"/>
      <c r="CF122" s="527"/>
    </row>
    <row r="123" spans="1:84" s="222" customFormat="1" ht="12.75" customHeight="1" x14ac:dyDescent="0.2">
      <c r="A123" s="224">
        <v>26</v>
      </c>
      <c r="B123" s="225">
        <v>3408</v>
      </c>
      <c r="C123" s="225">
        <v>600078566</v>
      </c>
      <c r="D123" s="225">
        <v>72743115</v>
      </c>
      <c r="E123" s="226" t="s">
        <v>59</v>
      </c>
      <c r="F123" s="225">
        <v>3143</v>
      </c>
      <c r="G123" s="226" t="s">
        <v>596</v>
      </c>
      <c r="H123" s="227" t="s">
        <v>271</v>
      </c>
      <c r="I123" s="423">
        <f t="shared" si="321"/>
        <v>1780366</v>
      </c>
      <c r="J123" s="418">
        <f>K123+L123</f>
        <v>1320747</v>
      </c>
      <c r="K123" s="418">
        <v>1320747</v>
      </c>
      <c r="L123" s="418">
        <v>0</v>
      </c>
      <c r="M123" s="418">
        <f>N123+O123</f>
        <v>0</v>
      </c>
      <c r="N123" s="418"/>
      <c r="O123" s="418"/>
      <c r="P123" s="68">
        <f t="shared" si="331"/>
        <v>446412</v>
      </c>
      <c r="Q123" s="68">
        <f t="shared" si="322"/>
        <v>13207</v>
      </c>
      <c r="R123" s="418">
        <v>0</v>
      </c>
      <c r="S123" s="419">
        <f>T123+U123</f>
        <v>2.5924999999999998</v>
      </c>
      <c r="T123" s="420">
        <v>2.5924999999999998</v>
      </c>
      <c r="U123" s="527">
        <v>0</v>
      </c>
      <c r="V123" s="427">
        <f t="shared" si="323"/>
        <v>0</v>
      </c>
      <c r="W123" s="421">
        <f t="shared" si="323"/>
        <v>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f>V123+X123+Y123+AA123+AB123+AD123</f>
        <v>0</v>
      </c>
      <c r="AG123" s="421">
        <f>W123+Z123+AC123+AE123</f>
        <v>0</v>
      </c>
      <c r="AH123" s="421">
        <f>SUM(AF123:AG123)</f>
        <v>0</v>
      </c>
      <c r="AI123" s="421">
        <v>0</v>
      </c>
      <c r="AJ123" s="421">
        <v>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324"/>
        <v>0</v>
      </c>
      <c r="AP123" s="421">
        <f>AJ123+AN123</f>
        <v>0</v>
      </c>
      <c r="AQ123" s="421">
        <f>SUM(AO123:AP123)</f>
        <v>0</v>
      </c>
      <c r="AR123" s="421">
        <f t="shared" si="325"/>
        <v>0</v>
      </c>
      <c r="AS123" s="421">
        <f t="shared" si="325"/>
        <v>0</v>
      </c>
      <c r="AT123" s="421">
        <f>SUM(AR123:AS123)</f>
        <v>0</v>
      </c>
      <c r="AU123" s="68">
        <f t="shared" si="326"/>
        <v>0</v>
      </c>
      <c r="AV123" s="68">
        <f>ROUND(AH123*1%,0)</f>
        <v>0</v>
      </c>
      <c r="AW123" s="421">
        <v>0</v>
      </c>
      <c r="AX123" s="421">
        <v>0</v>
      </c>
      <c r="AY123" s="421">
        <f>AW123+AX123</f>
        <v>0</v>
      </c>
      <c r="AZ123" s="421">
        <f>AT123+AU123+AV123+AY123</f>
        <v>0</v>
      </c>
      <c r="BA123" s="422">
        <v>0</v>
      </c>
      <c r="BB123" s="422">
        <v>0</v>
      </c>
      <c r="BC123" s="422">
        <v>0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>BA123+BC123+BD123+BF123+BH123+BI123</f>
        <v>0</v>
      </c>
      <c r="BL123" s="422">
        <f>BB123+BE123+BG123+BJ123</f>
        <v>0</v>
      </c>
      <c r="BM123" s="611">
        <f>SUM(BK123:BL123)</f>
        <v>0</v>
      </c>
      <c r="BN123" s="428">
        <f>I123+AZ123</f>
        <v>1780366</v>
      </c>
      <c r="BO123" s="421">
        <f>J123+AH123</f>
        <v>1320747</v>
      </c>
      <c r="BP123" s="421">
        <f t="shared" si="327"/>
        <v>1320747</v>
      </c>
      <c r="BQ123" s="421">
        <f t="shared" si="327"/>
        <v>0</v>
      </c>
      <c r="BR123" s="421">
        <f>M123+AQ123</f>
        <v>0</v>
      </c>
      <c r="BS123" s="421">
        <f t="shared" si="328"/>
        <v>0</v>
      </c>
      <c r="BT123" s="421">
        <f t="shared" si="328"/>
        <v>0</v>
      </c>
      <c r="BU123" s="421">
        <f t="shared" si="329"/>
        <v>446412</v>
      </c>
      <c r="BV123" s="421">
        <f t="shared" si="329"/>
        <v>13207</v>
      </c>
      <c r="BW123" s="421">
        <f>R123+AY123</f>
        <v>0</v>
      </c>
      <c r="BX123" s="422">
        <f>S123+BM123</f>
        <v>2.5924999999999998</v>
      </c>
      <c r="BY123" s="422">
        <f t="shared" si="330"/>
        <v>2.5924999999999998</v>
      </c>
      <c r="BZ123" s="611">
        <f t="shared" si="330"/>
        <v>0</v>
      </c>
      <c r="CA123" s="423"/>
      <c r="CB123" s="418"/>
      <c r="CC123" s="418"/>
      <c r="CD123" s="418"/>
      <c r="CE123" s="418"/>
      <c r="CF123" s="527"/>
    </row>
    <row r="124" spans="1:84" s="222" customFormat="1" ht="12.75" customHeight="1" x14ac:dyDescent="0.2">
      <c r="A124" s="224">
        <v>26</v>
      </c>
      <c r="B124" s="225">
        <v>3408</v>
      </c>
      <c r="C124" s="225">
        <v>600078566</v>
      </c>
      <c r="D124" s="225">
        <v>72743115</v>
      </c>
      <c r="E124" s="226" t="s">
        <v>59</v>
      </c>
      <c r="F124" s="225">
        <v>3143</v>
      </c>
      <c r="G124" s="226" t="s">
        <v>597</v>
      </c>
      <c r="H124" s="227" t="s">
        <v>272</v>
      </c>
      <c r="I124" s="423">
        <f t="shared" si="321"/>
        <v>37915</v>
      </c>
      <c r="J124" s="418">
        <f>K124+L124</f>
        <v>27139</v>
      </c>
      <c r="K124" s="418">
        <v>0</v>
      </c>
      <c r="L124" s="418">
        <v>27139</v>
      </c>
      <c r="M124" s="418">
        <f>N124+O124</f>
        <v>0</v>
      </c>
      <c r="N124" s="418"/>
      <c r="O124" s="418"/>
      <c r="P124" s="68">
        <f t="shared" si="331"/>
        <v>9173</v>
      </c>
      <c r="Q124" s="68">
        <f t="shared" si="322"/>
        <v>271</v>
      </c>
      <c r="R124" s="418">
        <v>1332</v>
      </c>
      <c r="S124" s="419">
        <f>T124+U124</f>
        <v>0.1</v>
      </c>
      <c r="T124" s="420">
        <v>0</v>
      </c>
      <c r="U124" s="527">
        <v>0.1</v>
      </c>
      <c r="V124" s="427">
        <f t="shared" si="323"/>
        <v>0</v>
      </c>
      <c r="W124" s="421">
        <f t="shared" si="323"/>
        <v>0</v>
      </c>
      <c r="X124" s="421">
        <v>0</v>
      </c>
      <c r="Y124" s="421">
        <v>0</v>
      </c>
      <c r="Z124" s="421">
        <v>0</v>
      </c>
      <c r="AA124" s="421">
        <v>0</v>
      </c>
      <c r="AB124" s="421">
        <v>0</v>
      </c>
      <c r="AC124" s="421">
        <v>0</v>
      </c>
      <c r="AD124" s="421">
        <v>0</v>
      </c>
      <c r="AE124" s="421">
        <v>0</v>
      </c>
      <c r="AF124" s="421">
        <f>V124+X124+Y124+AA124+AB124+AD124</f>
        <v>0</v>
      </c>
      <c r="AG124" s="421">
        <f>W124+Z124+AC124+AE124</f>
        <v>0</v>
      </c>
      <c r="AH124" s="421">
        <f>SUM(AF124:AG124)</f>
        <v>0</v>
      </c>
      <c r="AI124" s="421">
        <v>0</v>
      </c>
      <c r="AJ124" s="421">
        <v>0</v>
      </c>
      <c r="AK124" s="421">
        <v>0</v>
      </c>
      <c r="AL124" s="421">
        <v>0</v>
      </c>
      <c r="AM124" s="421">
        <v>0</v>
      </c>
      <c r="AN124" s="421">
        <v>0</v>
      </c>
      <c r="AO124" s="421">
        <f t="shared" si="324"/>
        <v>0</v>
      </c>
      <c r="AP124" s="421">
        <f>AJ124+AN124</f>
        <v>0</v>
      </c>
      <c r="AQ124" s="421">
        <f>SUM(AO124:AP124)</f>
        <v>0</v>
      </c>
      <c r="AR124" s="421">
        <f t="shared" si="325"/>
        <v>0</v>
      </c>
      <c r="AS124" s="421">
        <f t="shared" si="325"/>
        <v>0</v>
      </c>
      <c r="AT124" s="421">
        <f>SUM(AR124:AS124)</f>
        <v>0</v>
      </c>
      <c r="AU124" s="68">
        <f t="shared" si="326"/>
        <v>0</v>
      </c>
      <c r="AV124" s="68">
        <f>ROUND(AH124*1%,0)</f>
        <v>0</v>
      </c>
      <c r="AW124" s="421">
        <v>0</v>
      </c>
      <c r="AX124" s="421">
        <v>0</v>
      </c>
      <c r="AY124" s="421">
        <f>AW124+AX124</f>
        <v>0</v>
      </c>
      <c r="AZ124" s="421">
        <f>AT124+AU124+AV124+AY124</f>
        <v>0</v>
      </c>
      <c r="BA124" s="422">
        <v>0</v>
      </c>
      <c r="BB124" s="422">
        <v>0</v>
      </c>
      <c r="BC124" s="422">
        <v>0</v>
      </c>
      <c r="BD124" s="422">
        <v>0</v>
      </c>
      <c r="BE124" s="422">
        <v>0</v>
      </c>
      <c r="BF124" s="422">
        <v>0</v>
      </c>
      <c r="BG124" s="422">
        <v>0</v>
      </c>
      <c r="BH124" s="422">
        <v>0</v>
      </c>
      <c r="BI124" s="422">
        <v>0</v>
      </c>
      <c r="BJ124" s="422">
        <v>0</v>
      </c>
      <c r="BK124" s="422">
        <f>BA124+BC124+BD124+BF124+BH124+BI124</f>
        <v>0</v>
      </c>
      <c r="BL124" s="422">
        <f>BB124+BE124+BG124+BJ124</f>
        <v>0</v>
      </c>
      <c r="BM124" s="611">
        <f>SUM(BK124:BL124)</f>
        <v>0</v>
      </c>
      <c r="BN124" s="428">
        <f>I124+AZ124</f>
        <v>37915</v>
      </c>
      <c r="BO124" s="421">
        <f>J124+AH124</f>
        <v>27139</v>
      </c>
      <c r="BP124" s="421">
        <f t="shared" si="327"/>
        <v>0</v>
      </c>
      <c r="BQ124" s="421">
        <f t="shared" si="327"/>
        <v>27139</v>
      </c>
      <c r="BR124" s="421">
        <f>M124+AQ124</f>
        <v>0</v>
      </c>
      <c r="BS124" s="421">
        <f t="shared" si="328"/>
        <v>0</v>
      </c>
      <c r="BT124" s="421">
        <f t="shared" si="328"/>
        <v>0</v>
      </c>
      <c r="BU124" s="421">
        <f t="shared" si="329"/>
        <v>9173</v>
      </c>
      <c r="BV124" s="421">
        <f t="shared" si="329"/>
        <v>271</v>
      </c>
      <c r="BW124" s="421">
        <f>R124+AY124</f>
        <v>1332</v>
      </c>
      <c r="BX124" s="422">
        <f>S124+BM124</f>
        <v>0.1</v>
      </c>
      <c r="BY124" s="422">
        <f t="shared" si="330"/>
        <v>0</v>
      </c>
      <c r="BZ124" s="611">
        <f t="shared" si="330"/>
        <v>0.1</v>
      </c>
      <c r="CA124" s="423"/>
      <c r="CB124" s="418"/>
      <c r="CC124" s="418"/>
      <c r="CD124" s="418"/>
      <c r="CE124" s="418"/>
      <c r="CF124" s="527"/>
    </row>
    <row r="125" spans="1:84" s="222" customFormat="1" ht="12.75" customHeight="1" x14ac:dyDescent="0.2">
      <c r="A125" s="153">
        <v>26</v>
      </c>
      <c r="B125" s="14">
        <v>3408</v>
      </c>
      <c r="C125" s="152">
        <v>600078566</v>
      </c>
      <c r="D125" s="152">
        <v>72743115</v>
      </c>
      <c r="E125" s="223" t="s">
        <v>60</v>
      </c>
      <c r="F125" s="14"/>
      <c r="G125" s="223"/>
      <c r="H125" s="592"/>
      <c r="I125" s="522">
        <f t="shared" ref="I125:BU125" si="332">SUM(I120:I124)</f>
        <v>21505966</v>
      </c>
      <c r="J125" s="521">
        <f t="shared" si="332"/>
        <v>15761169</v>
      </c>
      <c r="K125" s="521">
        <f t="shared" si="332"/>
        <v>13865164</v>
      </c>
      <c r="L125" s="521">
        <f t="shared" si="332"/>
        <v>1896005</v>
      </c>
      <c r="M125" s="521">
        <f t="shared" si="332"/>
        <v>0</v>
      </c>
      <c r="N125" s="521">
        <f t="shared" si="332"/>
        <v>0</v>
      </c>
      <c r="O125" s="521">
        <f t="shared" si="332"/>
        <v>0</v>
      </c>
      <c r="P125" s="521">
        <f t="shared" si="332"/>
        <v>5327276</v>
      </c>
      <c r="Q125" s="521">
        <f t="shared" si="332"/>
        <v>157611</v>
      </c>
      <c r="R125" s="521">
        <f t="shared" si="332"/>
        <v>259910</v>
      </c>
      <c r="S125" s="572">
        <f t="shared" si="332"/>
        <v>25.733200000000004</v>
      </c>
      <c r="T125" s="572">
        <f t="shared" si="332"/>
        <v>20.146900000000002</v>
      </c>
      <c r="U125" s="448">
        <f t="shared" si="332"/>
        <v>5.5862999999999996</v>
      </c>
      <c r="V125" s="614">
        <f t="shared" si="332"/>
        <v>0</v>
      </c>
      <c r="W125" s="521">
        <f t="shared" si="332"/>
        <v>0</v>
      </c>
      <c r="X125" s="521">
        <f t="shared" si="332"/>
        <v>2308441</v>
      </c>
      <c r="Y125" s="521">
        <f t="shared" si="332"/>
        <v>0</v>
      </c>
      <c r="Z125" s="521">
        <f t="shared" si="332"/>
        <v>0</v>
      </c>
      <c r="AA125" s="521">
        <f t="shared" si="332"/>
        <v>46340</v>
      </c>
      <c r="AB125" s="521">
        <f t="shared" si="332"/>
        <v>0</v>
      </c>
      <c r="AC125" s="521">
        <f t="shared" si="332"/>
        <v>0</v>
      </c>
      <c r="AD125" s="521">
        <f t="shared" si="332"/>
        <v>0</v>
      </c>
      <c r="AE125" s="521">
        <f t="shared" si="332"/>
        <v>0</v>
      </c>
      <c r="AF125" s="521">
        <f t="shared" si="332"/>
        <v>2354781</v>
      </c>
      <c r="AG125" s="521">
        <f t="shared" si="332"/>
        <v>0</v>
      </c>
      <c r="AH125" s="521">
        <f t="shared" si="332"/>
        <v>2354781</v>
      </c>
      <c r="AI125" s="521">
        <f t="shared" si="332"/>
        <v>0</v>
      </c>
      <c r="AJ125" s="521">
        <f t="shared" si="332"/>
        <v>0</v>
      </c>
      <c r="AK125" s="521">
        <f t="shared" ref="AK125" si="333">SUM(AK120:AK124)</f>
        <v>0</v>
      </c>
      <c r="AL125" s="521">
        <f t="shared" si="332"/>
        <v>0</v>
      </c>
      <c r="AM125" s="521">
        <f t="shared" si="332"/>
        <v>0</v>
      </c>
      <c r="AN125" s="521">
        <f t="shared" si="332"/>
        <v>0</v>
      </c>
      <c r="AO125" s="521">
        <f t="shared" si="332"/>
        <v>0</v>
      </c>
      <c r="AP125" s="521">
        <f t="shared" si="332"/>
        <v>0</v>
      </c>
      <c r="AQ125" s="521">
        <f t="shared" si="332"/>
        <v>0</v>
      </c>
      <c r="AR125" s="521">
        <f t="shared" si="332"/>
        <v>2354781</v>
      </c>
      <c r="AS125" s="521">
        <f t="shared" si="332"/>
        <v>0</v>
      </c>
      <c r="AT125" s="521">
        <f t="shared" si="332"/>
        <v>2354781</v>
      </c>
      <c r="AU125" s="521">
        <f t="shared" si="332"/>
        <v>795916</v>
      </c>
      <c r="AV125" s="521">
        <f t="shared" si="332"/>
        <v>23547</v>
      </c>
      <c r="AW125" s="521">
        <f t="shared" si="332"/>
        <v>2500</v>
      </c>
      <c r="AX125" s="521">
        <f t="shared" si="332"/>
        <v>0</v>
      </c>
      <c r="AY125" s="521">
        <f t="shared" si="332"/>
        <v>2500</v>
      </c>
      <c r="AZ125" s="521">
        <f t="shared" si="332"/>
        <v>3176744</v>
      </c>
      <c r="BA125" s="572">
        <f t="shared" si="332"/>
        <v>0</v>
      </c>
      <c r="BB125" s="572">
        <f t="shared" si="332"/>
        <v>0</v>
      </c>
      <c r="BC125" s="572">
        <f t="shared" si="332"/>
        <v>5.8999999999999995</v>
      </c>
      <c r="BD125" s="572">
        <f t="shared" si="332"/>
        <v>0</v>
      </c>
      <c r="BE125" s="572">
        <f t="shared" si="332"/>
        <v>0</v>
      </c>
      <c r="BF125" s="572">
        <f t="shared" si="332"/>
        <v>0</v>
      </c>
      <c r="BG125" s="572">
        <f t="shared" si="332"/>
        <v>0</v>
      </c>
      <c r="BH125" s="572">
        <f t="shared" si="332"/>
        <v>7.0000000000000007E-2</v>
      </c>
      <c r="BI125" s="572">
        <f t="shared" si="332"/>
        <v>0</v>
      </c>
      <c r="BJ125" s="572">
        <f t="shared" si="332"/>
        <v>0</v>
      </c>
      <c r="BK125" s="572">
        <f t="shared" si="332"/>
        <v>5.97</v>
      </c>
      <c r="BL125" s="572">
        <f t="shared" si="332"/>
        <v>0</v>
      </c>
      <c r="BM125" s="403">
        <f t="shared" si="332"/>
        <v>5.97</v>
      </c>
      <c r="BN125" s="522">
        <f t="shared" si="332"/>
        <v>24682710</v>
      </c>
      <c r="BO125" s="521">
        <f t="shared" si="332"/>
        <v>18115950</v>
      </c>
      <c r="BP125" s="521">
        <f t="shared" si="332"/>
        <v>16219945</v>
      </c>
      <c r="BQ125" s="521">
        <f t="shared" si="332"/>
        <v>1896005</v>
      </c>
      <c r="BR125" s="521">
        <f t="shared" si="332"/>
        <v>0</v>
      </c>
      <c r="BS125" s="521">
        <f t="shared" si="332"/>
        <v>0</v>
      </c>
      <c r="BT125" s="521">
        <f t="shared" si="332"/>
        <v>0</v>
      </c>
      <c r="BU125" s="521">
        <f t="shared" si="332"/>
        <v>6123192</v>
      </c>
      <c r="BV125" s="521">
        <f t="shared" ref="BV125:CF125" si="334">SUM(BV120:BV124)</f>
        <v>181158</v>
      </c>
      <c r="BW125" s="521">
        <f t="shared" si="334"/>
        <v>262410</v>
      </c>
      <c r="BX125" s="572">
        <f t="shared" si="334"/>
        <v>31.703200000000002</v>
      </c>
      <c r="BY125" s="572">
        <f t="shared" si="334"/>
        <v>26.116900000000001</v>
      </c>
      <c r="BZ125" s="403">
        <f t="shared" si="334"/>
        <v>5.5862999999999996</v>
      </c>
      <c r="CA125" s="833">
        <f t="shared" si="334"/>
        <v>0</v>
      </c>
      <c r="CB125" s="834">
        <f t="shared" si="334"/>
        <v>0</v>
      </c>
      <c r="CC125" s="834">
        <f t="shared" si="334"/>
        <v>0</v>
      </c>
      <c r="CD125" s="834">
        <f t="shared" si="334"/>
        <v>0</v>
      </c>
      <c r="CE125" s="834">
        <f t="shared" si="334"/>
        <v>0</v>
      </c>
      <c r="CF125" s="829">
        <f t="shared" si="334"/>
        <v>0</v>
      </c>
    </row>
    <row r="126" spans="1:84" s="222" customFormat="1" ht="12.75" customHeight="1" x14ac:dyDescent="0.2">
      <c r="A126" s="224">
        <v>27</v>
      </c>
      <c r="B126" s="225">
        <v>3417</v>
      </c>
      <c r="C126" s="225">
        <v>600078353</v>
      </c>
      <c r="D126" s="225">
        <v>72743352</v>
      </c>
      <c r="E126" s="226" t="s">
        <v>61</v>
      </c>
      <c r="F126" s="225">
        <v>3113</v>
      </c>
      <c r="G126" s="226" t="s">
        <v>294</v>
      </c>
      <c r="H126" s="227" t="s">
        <v>271</v>
      </c>
      <c r="I126" s="423">
        <f t="shared" ref="I126:I130" si="335">J126+P126+Q126+R126</f>
        <v>15259279</v>
      </c>
      <c r="J126" s="418">
        <f>K126+L126</f>
        <v>11167133</v>
      </c>
      <c r="K126" s="418">
        <v>10301955</v>
      </c>
      <c r="L126" s="418">
        <v>865178</v>
      </c>
      <c r="M126" s="418">
        <f>N126+O126</f>
        <v>0</v>
      </c>
      <c r="N126" s="418"/>
      <c r="O126" s="418"/>
      <c r="P126" s="68">
        <f t="shared" ref="P126:P130" si="336">ROUND(J126*33.8%,0)</f>
        <v>3774491</v>
      </c>
      <c r="Q126" s="68">
        <f t="shared" ref="Q126:Q130" si="337">ROUND(J126*1%,0)</f>
        <v>111671</v>
      </c>
      <c r="R126" s="418">
        <v>205984</v>
      </c>
      <c r="S126" s="419">
        <f>T126+U126</f>
        <v>16.1096</v>
      </c>
      <c r="T126" s="420">
        <v>13.6366</v>
      </c>
      <c r="U126" s="527">
        <v>2.4729999999999999</v>
      </c>
      <c r="V126" s="427">
        <f t="shared" ref="V126:W130" si="338">AI126*-1</f>
        <v>-8000</v>
      </c>
      <c r="W126" s="421">
        <f t="shared" si="338"/>
        <v>-4800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>V126+X126+Y126+AA126+AB126+AD126</f>
        <v>-8000</v>
      </c>
      <c r="AG126" s="421">
        <f>W126+Z126+AC126+AE126</f>
        <v>-4800</v>
      </c>
      <c r="AH126" s="421">
        <f>SUM(AF126:AG126)</f>
        <v>-12800</v>
      </c>
      <c r="AI126" s="421">
        <v>8000</v>
      </c>
      <c r="AJ126" s="421">
        <v>4800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ref="AO126:AO130" si="339">AI126+AK126+AL126+AM126</f>
        <v>8000</v>
      </c>
      <c r="AP126" s="421">
        <f>AJ126+AN126</f>
        <v>4800</v>
      </c>
      <c r="AQ126" s="421">
        <f>SUM(AO126:AP126)</f>
        <v>12800</v>
      </c>
      <c r="AR126" s="421">
        <f t="shared" ref="AR126:AS130" si="340">AF126+AO126</f>
        <v>0</v>
      </c>
      <c r="AS126" s="421">
        <f t="shared" si="340"/>
        <v>0</v>
      </c>
      <c r="AT126" s="421">
        <f>SUM(AR126:AS126)</f>
        <v>0</v>
      </c>
      <c r="AU126" s="68">
        <f t="shared" ref="AU126:AU130" si="341">ROUND((AH126+AI126+AJ126+AK126+AL126)*33.8%,0)</f>
        <v>0</v>
      </c>
      <c r="AV126" s="68">
        <f>ROUND(AH126*1%,0)</f>
        <v>-128</v>
      </c>
      <c r="AW126" s="421">
        <v>0</v>
      </c>
      <c r="AX126" s="421">
        <v>0</v>
      </c>
      <c r="AY126" s="421">
        <f>AW126+AX126</f>
        <v>0</v>
      </c>
      <c r="AZ126" s="421">
        <f>AT126+AU126+AV126+AY126</f>
        <v>-128</v>
      </c>
      <c r="BA126" s="422">
        <v>-0.01</v>
      </c>
      <c r="BB126" s="422">
        <v>-0.01</v>
      </c>
      <c r="BC126" s="422">
        <v>0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>BA126+BC126+BD126+BF126+BH126+BI126</f>
        <v>-0.01</v>
      </c>
      <c r="BL126" s="422">
        <f>BB126+BE126+BG126+BJ126</f>
        <v>-0.01</v>
      </c>
      <c r="BM126" s="611">
        <f>SUM(BK126:BL126)</f>
        <v>-0.02</v>
      </c>
      <c r="BN126" s="428">
        <f>I126+AZ126</f>
        <v>15259151</v>
      </c>
      <c r="BO126" s="421">
        <f>J126+AH126</f>
        <v>11154333</v>
      </c>
      <c r="BP126" s="421">
        <f t="shared" ref="BP126:BQ130" si="342">K126+AF126</f>
        <v>10293955</v>
      </c>
      <c r="BQ126" s="421">
        <f t="shared" si="342"/>
        <v>860378</v>
      </c>
      <c r="BR126" s="421">
        <f>M126+AQ126</f>
        <v>12800</v>
      </c>
      <c r="BS126" s="421">
        <f t="shared" ref="BS126:BT130" si="343">N126+AO126</f>
        <v>8000</v>
      </c>
      <c r="BT126" s="421">
        <f t="shared" si="343"/>
        <v>4800</v>
      </c>
      <c r="BU126" s="421">
        <f t="shared" ref="BU126:BV130" si="344">P126+AU126</f>
        <v>3774491</v>
      </c>
      <c r="BV126" s="421">
        <f t="shared" si="344"/>
        <v>111543</v>
      </c>
      <c r="BW126" s="421">
        <f>R126+AY126</f>
        <v>205984</v>
      </c>
      <c r="BX126" s="422">
        <f>S126+BM126</f>
        <v>16.089600000000001</v>
      </c>
      <c r="BY126" s="422">
        <f t="shared" ref="BY126:BZ130" si="345">T126+BK126</f>
        <v>13.6266</v>
      </c>
      <c r="BZ126" s="611">
        <f t="shared" si="345"/>
        <v>2.4630000000000001</v>
      </c>
      <c r="CA126" s="423"/>
      <c r="CB126" s="418"/>
      <c r="CC126" s="418"/>
      <c r="CD126" s="418"/>
      <c r="CE126" s="418"/>
      <c r="CF126" s="527"/>
    </row>
    <row r="127" spans="1:84" s="222" customFormat="1" x14ac:dyDescent="0.2">
      <c r="A127" s="224">
        <v>27</v>
      </c>
      <c r="B127" s="225">
        <v>3417</v>
      </c>
      <c r="C127" s="225">
        <v>600078353</v>
      </c>
      <c r="D127" s="225">
        <v>72743352</v>
      </c>
      <c r="E127" s="226" t="s">
        <v>61</v>
      </c>
      <c r="F127" s="225">
        <v>3113</v>
      </c>
      <c r="G127" s="226" t="s">
        <v>292</v>
      </c>
      <c r="H127" s="227" t="s">
        <v>272</v>
      </c>
      <c r="I127" s="423">
        <f t="shared" si="335"/>
        <v>0</v>
      </c>
      <c r="J127" s="418">
        <f>K127+L127</f>
        <v>0</v>
      </c>
      <c r="K127" s="418">
        <v>0</v>
      </c>
      <c r="L127" s="418">
        <v>0</v>
      </c>
      <c r="M127" s="418">
        <f>N127+O127</f>
        <v>0</v>
      </c>
      <c r="N127" s="418"/>
      <c r="O127" s="418"/>
      <c r="P127" s="68">
        <f t="shared" si="336"/>
        <v>0</v>
      </c>
      <c r="Q127" s="68">
        <f t="shared" si="337"/>
        <v>0</v>
      </c>
      <c r="R127" s="418">
        <v>0</v>
      </c>
      <c r="S127" s="419">
        <f>T127+U127</f>
        <v>0</v>
      </c>
      <c r="T127" s="420">
        <v>0</v>
      </c>
      <c r="U127" s="527">
        <v>0</v>
      </c>
      <c r="V127" s="427">
        <f t="shared" si="338"/>
        <v>0</v>
      </c>
      <c r="W127" s="421">
        <f t="shared" si="338"/>
        <v>0</v>
      </c>
      <c r="X127" s="421">
        <v>463502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f>V127+X127+Y127+AA127+AB127+AD127</f>
        <v>463502</v>
      </c>
      <c r="AG127" s="421">
        <f>W127+Z127+AC127+AE127</f>
        <v>0</v>
      </c>
      <c r="AH127" s="421">
        <f>SUM(AF127:AG127)</f>
        <v>463502</v>
      </c>
      <c r="AI127" s="421">
        <v>0</v>
      </c>
      <c r="AJ127" s="421">
        <v>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339"/>
        <v>0</v>
      </c>
      <c r="AP127" s="421">
        <f>AJ127+AN127</f>
        <v>0</v>
      </c>
      <c r="AQ127" s="421">
        <f>SUM(AO127:AP127)</f>
        <v>0</v>
      </c>
      <c r="AR127" s="421">
        <f t="shared" si="340"/>
        <v>463502</v>
      </c>
      <c r="AS127" s="421">
        <f t="shared" si="340"/>
        <v>0</v>
      </c>
      <c r="AT127" s="421">
        <f>SUM(AR127:AS127)</f>
        <v>463502</v>
      </c>
      <c r="AU127" s="68">
        <f t="shared" si="341"/>
        <v>156664</v>
      </c>
      <c r="AV127" s="68">
        <f>ROUND(AH127*1%,0)</f>
        <v>4635</v>
      </c>
      <c r="AW127" s="421">
        <v>0</v>
      </c>
      <c r="AX127" s="421">
        <v>0</v>
      </c>
      <c r="AY127" s="421">
        <f>AW127+AX127</f>
        <v>0</v>
      </c>
      <c r="AZ127" s="421">
        <f>AT127+AU127+AV127+AY127</f>
        <v>624801</v>
      </c>
      <c r="BA127" s="422">
        <v>0</v>
      </c>
      <c r="BB127" s="422">
        <v>0</v>
      </c>
      <c r="BC127" s="422">
        <v>1.25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f>BA127+BC127+BD127+BF127+BH127+BI127</f>
        <v>1.25</v>
      </c>
      <c r="BL127" s="422">
        <f>BB127+BE127+BG127+BJ127</f>
        <v>0</v>
      </c>
      <c r="BM127" s="611">
        <f>SUM(BK127:BL127)</f>
        <v>1.25</v>
      </c>
      <c r="BN127" s="428">
        <f>I127+AZ127</f>
        <v>624801</v>
      </c>
      <c r="BO127" s="421">
        <f>J127+AH127</f>
        <v>463502</v>
      </c>
      <c r="BP127" s="421">
        <f t="shared" si="342"/>
        <v>463502</v>
      </c>
      <c r="BQ127" s="421">
        <f t="shared" si="342"/>
        <v>0</v>
      </c>
      <c r="BR127" s="421">
        <f>M127+AQ127</f>
        <v>0</v>
      </c>
      <c r="BS127" s="421">
        <f t="shared" si="343"/>
        <v>0</v>
      </c>
      <c r="BT127" s="421">
        <f t="shared" si="343"/>
        <v>0</v>
      </c>
      <c r="BU127" s="421">
        <f t="shared" si="344"/>
        <v>156664</v>
      </c>
      <c r="BV127" s="421">
        <f t="shared" si="344"/>
        <v>4635</v>
      </c>
      <c r="BW127" s="421">
        <f>R127+AY127</f>
        <v>0</v>
      </c>
      <c r="BX127" s="422">
        <f>S127+BM127</f>
        <v>1.25</v>
      </c>
      <c r="BY127" s="422">
        <f t="shared" si="345"/>
        <v>1.25</v>
      </c>
      <c r="BZ127" s="611">
        <f t="shared" si="345"/>
        <v>0</v>
      </c>
      <c r="CA127" s="423"/>
      <c r="CB127" s="418"/>
      <c r="CC127" s="418"/>
      <c r="CD127" s="418"/>
      <c r="CE127" s="418"/>
      <c r="CF127" s="527"/>
    </row>
    <row r="128" spans="1:84" s="222" customFormat="1" ht="12.75" customHeight="1" x14ac:dyDescent="0.2">
      <c r="A128" s="224">
        <v>27</v>
      </c>
      <c r="B128" s="225">
        <v>3417</v>
      </c>
      <c r="C128" s="225">
        <v>600078353</v>
      </c>
      <c r="D128" s="225">
        <v>72743352</v>
      </c>
      <c r="E128" s="226" t="s">
        <v>61</v>
      </c>
      <c r="F128" s="225">
        <v>3141</v>
      </c>
      <c r="G128" s="226" t="s">
        <v>295</v>
      </c>
      <c r="H128" s="227" t="s">
        <v>272</v>
      </c>
      <c r="I128" s="423">
        <f t="shared" si="335"/>
        <v>1119700</v>
      </c>
      <c r="J128" s="418">
        <f>K128+L128</f>
        <v>824796</v>
      </c>
      <c r="K128" s="418">
        <v>0</v>
      </c>
      <c r="L128" s="418">
        <v>824796</v>
      </c>
      <c r="M128" s="418">
        <f>N128+O128</f>
        <v>0</v>
      </c>
      <c r="N128" s="418"/>
      <c r="O128" s="418"/>
      <c r="P128" s="68">
        <f t="shared" si="336"/>
        <v>278781</v>
      </c>
      <c r="Q128" s="68">
        <f t="shared" si="337"/>
        <v>8248</v>
      </c>
      <c r="R128" s="418">
        <v>7875</v>
      </c>
      <c r="S128" s="419">
        <f>T128+U128</f>
        <v>2.4700000000000002</v>
      </c>
      <c r="T128" s="420">
        <v>0</v>
      </c>
      <c r="U128" s="527">
        <v>2.4700000000000002</v>
      </c>
      <c r="V128" s="427">
        <f t="shared" si="338"/>
        <v>0</v>
      </c>
      <c r="W128" s="421">
        <f t="shared" si="338"/>
        <v>-3200</v>
      </c>
      <c r="X128" s="421">
        <v>0</v>
      </c>
      <c r="Y128" s="421">
        <v>0</v>
      </c>
      <c r="Z128" s="421">
        <v>0</v>
      </c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f>V128+X128+Y128+AA128+AB128+AD128</f>
        <v>0</v>
      </c>
      <c r="AG128" s="421">
        <f>W128+Z128+AC128+AE128</f>
        <v>-3200</v>
      </c>
      <c r="AH128" s="421">
        <f>SUM(AF128:AG128)</f>
        <v>-3200</v>
      </c>
      <c r="AI128" s="421">
        <v>0</v>
      </c>
      <c r="AJ128" s="421">
        <v>3200</v>
      </c>
      <c r="AK128" s="421">
        <v>0</v>
      </c>
      <c r="AL128" s="421">
        <v>0</v>
      </c>
      <c r="AM128" s="421">
        <v>0</v>
      </c>
      <c r="AN128" s="421">
        <v>0</v>
      </c>
      <c r="AO128" s="421">
        <f t="shared" si="339"/>
        <v>0</v>
      </c>
      <c r="AP128" s="421">
        <f>AJ128+AN128</f>
        <v>3200</v>
      </c>
      <c r="AQ128" s="421">
        <f>SUM(AO128:AP128)</f>
        <v>3200</v>
      </c>
      <c r="AR128" s="421">
        <f t="shared" si="340"/>
        <v>0</v>
      </c>
      <c r="AS128" s="421">
        <f t="shared" si="340"/>
        <v>0</v>
      </c>
      <c r="AT128" s="421">
        <f>SUM(AR128:AS128)</f>
        <v>0</v>
      </c>
      <c r="AU128" s="68">
        <f t="shared" si="341"/>
        <v>0</v>
      </c>
      <c r="AV128" s="68">
        <f>ROUND(AH128*1%,0)</f>
        <v>-32</v>
      </c>
      <c r="AW128" s="421">
        <v>0</v>
      </c>
      <c r="AX128" s="421">
        <v>0</v>
      </c>
      <c r="AY128" s="421">
        <f>AW128+AX128</f>
        <v>0</v>
      </c>
      <c r="AZ128" s="421">
        <f>AT128+AU128+AV128+AY128</f>
        <v>-32</v>
      </c>
      <c r="BA128" s="422">
        <v>0</v>
      </c>
      <c r="BB128" s="422">
        <v>0</v>
      </c>
      <c r="BC128" s="422">
        <v>0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>BA128+BC128+BD128+BF128+BH128+BI128</f>
        <v>0</v>
      </c>
      <c r="BL128" s="422">
        <f>BB128+BE128+BG128+BJ128</f>
        <v>0</v>
      </c>
      <c r="BM128" s="611">
        <f>SUM(BK128:BL128)</f>
        <v>0</v>
      </c>
      <c r="BN128" s="428">
        <f>I128+AZ128</f>
        <v>1119668</v>
      </c>
      <c r="BO128" s="421">
        <f>J128+AH128</f>
        <v>821596</v>
      </c>
      <c r="BP128" s="421">
        <f t="shared" si="342"/>
        <v>0</v>
      </c>
      <c r="BQ128" s="421">
        <f t="shared" si="342"/>
        <v>821596</v>
      </c>
      <c r="BR128" s="421">
        <f>M128+AQ128</f>
        <v>3200</v>
      </c>
      <c r="BS128" s="421">
        <f t="shared" si="343"/>
        <v>0</v>
      </c>
      <c r="BT128" s="421">
        <f t="shared" si="343"/>
        <v>3200</v>
      </c>
      <c r="BU128" s="421">
        <f t="shared" si="344"/>
        <v>278781</v>
      </c>
      <c r="BV128" s="421">
        <f t="shared" si="344"/>
        <v>8216</v>
      </c>
      <c r="BW128" s="421">
        <f>R128+AY128</f>
        <v>7875</v>
      </c>
      <c r="BX128" s="422">
        <f>S128+BM128</f>
        <v>2.4700000000000002</v>
      </c>
      <c r="BY128" s="422">
        <f t="shared" si="345"/>
        <v>0</v>
      </c>
      <c r="BZ128" s="611">
        <f t="shared" si="345"/>
        <v>2.4700000000000002</v>
      </c>
      <c r="CA128" s="423"/>
      <c r="CB128" s="418"/>
      <c r="CC128" s="418"/>
      <c r="CD128" s="418"/>
      <c r="CE128" s="418"/>
      <c r="CF128" s="527"/>
    </row>
    <row r="129" spans="1:84" s="222" customFormat="1" ht="12.75" customHeight="1" x14ac:dyDescent="0.2">
      <c r="A129" s="224">
        <v>27</v>
      </c>
      <c r="B129" s="225">
        <v>3417</v>
      </c>
      <c r="C129" s="225">
        <v>600078353</v>
      </c>
      <c r="D129" s="225">
        <v>72743352</v>
      </c>
      <c r="E129" s="226" t="s">
        <v>61</v>
      </c>
      <c r="F129" s="225">
        <v>3143</v>
      </c>
      <c r="G129" s="226" t="s">
        <v>596</v>
      </c>
      <c r="H129" s="227" t="s">
        <v>271</v>
      </c>
      <c r="I129" s="423">
        <f t="shared" si="335"/>
        <v>1434528</v>
      </c>
      <c r="J129" s="418">
        <f>K129+L129</f>
        <v>1064190</v>
      </c>
      <c r="K129" s="418">
        <v>1064190</v>
      </c>
      <c r="L129" s="418">
        <v>0</v>
      </c>
      <c r="M129" s="418">
        <f>N129+O129</f>
        <v>0</v>
      </c>
      <c r="N129" s="418"/>
      <c r="O129" s="418"/>
      <c r="P129" s="68">
        <f t="shared" si="336"/>
        <v>359696</v>
      </c>
      <c r="Q129" s="68">
        <f t="shared" si="337"/>
        <v>10642</v>
      </c>
      <c r="R129" s="418">
        <v>0</v>
      </c>
      <c r="S129" s="419">
        <f>T129+U129</f>
        <v>2</v>
      </c>
      <c r="T129" s="420">
        <v>2</v>
      </c>
      <c r="U129" s="527">
        <v>0</v>
      </c>
      <c r="V129" s="427">
        <f t="shared" si="338"/>
        <v>-6400</v>
      </c>
      <c r="W129" s="421">
        <f t="shared" si="338"/>
        <v>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f>V129+X129+Y129+AA129+AB129+AD129</f>
        <v>-6400</v>
      </c>
      <c r="AG129" s="421">
        <f>W129+Z129+AC129+AE129</f>
        <v>0</v>
      </c>
      <c r="AH129" s="421">
        <f>SUM(AF129:AG129)</f>
        <v>-6400</v>
      </c>
      <c r="AI129" s="421">
        <v>6400</v>
      </c>
      <c r="AJ129" s="421">
        <v>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339"/>
        <v>6400</v>
      </c>
      <c r="AP129" s="421">
        <f>AJ129+AN129</f>
        <v>0</v>
      </c>
      <c r="AQ129" s="421">
        <f>SUM(AO129:AP129)</f>
        <v>6400</v>
      </c>
      <c r="AR129" s="421">
        <f t="shared" si="340"/>
        <v>0</v>
      </c>
      <c r="AS129" s="421">
        <f t="shared" si="340"/>
        <v>0</v>
      </c>
      <c r="AT129" s="421">
        <f>SUM(AR129:AS129)</f>
        <v>0</v>
      </c>
      <c r="AU129" s="68">
        <f t="shared" si="341"/>
        <v>0</v>
      </c>
      <c r="AV129" s="68">
        <f>ROUND(AH129*1%,0)</f>
        <v>-64</v>
      </c>
      <c r="AW129" s="421">
        <v>0</v>
      </c>
      <c r="AX129" s="421">
        <v>0</v>
      </c>
      <c r="AY129" s="421">
        <f>AW129+AX129</f>
        <v>0</v>
      </c>
      <c r="AZ129" s="421">
        <f>AT129+AU129+AV129+AY129</f>
        <v>-64</v>
      </c>
      <c r="BA129" s="422">
        <v>0</v>
      </c>
      <c r="BB129" s="422">
        <v>0</v>
      </c>
      <c r="BC129" s="422">
        <v>0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</v>
      </c>
      <c r="BK129" s="422">
        <f>BA129+BC129+BD129+BF129+BH129+BI129</f>
        <v>0</v>
      </c>
      <c r="BL129" s="422">
        <f>BB129+BE129+BG129+BJ129</f>
        <v>0</v>
      </c>
      <c r="BM129" s="611">
        <f>SUM(BK129:BL129)</f>
        <v>0</v>
      </c>
      <c r="BN129" s="428">
        <f>I129+AZ129</f>
        <v>1434464</v>
      </c>
      <c r="BO129" s="421">
        <f>J129+AH129</f>
        <v>1057790</v>
      </c>
      <c r="BP129" s="421">
        <f t="shared" si="342"/>
        <v>1057790</v>
      </c>
      <c r="BQ129" s="421">
        <f t="shared" si="342"/>
        <v>0</v>
      </c>
      <c r="BR129" s="421">
        <f>M129+AQ129</f>
        <v>6400</v>
      </c>
      <c r="BS129" s="421">
        <f t="shared" si="343"/>
        <v>6400</v>
      </c>
      <c r="BT129" s="421">
        <f t="shared" si="343"/>
        <v>0</v>
      </c>
      <c r="BU129" s="421">
        <f t="shared" si="344"/>
        <v>359696</v>
      </c>
      <c r="BV129" s="421">
        <f t="shared" si="344"/>
        <v>10578</v>
      </c>
      <c r="BW129" s="421">
        <f>R129+AY129</f>
        <v>0</v>
      </c>
      <c r="BX129" s="422">
        <f>S129+BM129</f>
        <v>2</v>
      </c>
      <c r="BY129" s="422">
        <f t="shared" si="345"/>
        <v>2</v>
      </c>
      <c r="BZ129" s="611">
        <f t="shared" si="345"/>
        <v>0</v>
      </c>
      <c r="CA129" s="423"/>
      <c r="CB129" s="418"/>
      <c r="CC129" s="418"/>
      <c r="CD129" s="418"/>
      <c r="CE129" s="418"/>
      <c r="CF129" s="527"/>
    </row>
    <row r="130" spans="1:84" s="222" customFormat="1" ht="12.75" customHeight="1" x14ac:dyDescent="0.2">
      <c r="A130" s="224">
        <v>27</v>
      </c>
      <c r="B130" s="225">
        <v>3417</v>
      </c>
      <c r="C130" s="225">
        <v>600078353</v>
      </c>
      <c r="D130" s="225">
        <v>72743352</v>
      </c>
      <c r="E130" s="226" t="s">
        <v>61</v>
      </c>
      <c r="F130" s="225">
        <v>3143</v>
      </c>
      <c r="G130" s="226" t="s">
        <v>597</v>
      </c>
      <c r="H130" s="227" t="s">
        <v>272</v>
      </c>
      <c r="I130" s="423">
        <f t="shared" si="335"/>
        <v>30724</v>
      </c>
      <c r="J130" s="418">
        <f>K130+L130</f>
        <v>21991</v>
      </c>
      <c r="K130" s="418">
        <v>0</v>
      </c>
      <c r="L130" s="418">
        <v>21991</v>
      </c>
      <c r="M130" s="418">
        <f>N130+O130</f>
        <v>0</v>
      </c>
      <c r="N130" s="418"/>
      <c r="O130" s="418"/>
      <c r="P130" s="68">
        <f t="shared" si="336"/>
        <v>7433</v>
      </c>
      <c r="Q130" s="68">
        <f t="shared" si="337"/>
        <v>220</v>
      </c>
      <c r="R130" s="418">
        <v>1080</v>
      </c>
      <c r="S130" s="419">
        <f>T130+U130</f>
        <v>0.08</v>
      </c>
      <c r="T130" s="420">
        <v>0</v>
      </c>
      <c r="U130" s="527">
        <v>0.08</v>
      </c>
      <c r="V130" s="427">
        <f t="shared" si="338"/>
        <v>0</v>
      </c>
      <c r="W130" s="421">
        <f t="shared" si="338"/>
        <v>0</v>
      </c>
      <c r="X130" s="421">
        <v>0</v>
      </c>
      <c r="Y130" s="421">
        <v>0</v>
      </c>
      <c r="Z130" s="421">
        <v>0</v>
      </c>
      <c r="AA130" s="421">
        <v>0</v>
      </c>
      <c r="AB130" s="421">
        <v>0</v>
      </c>
      <c r="AC130" s="421">
        <v>0</v>
      </c>
      <c r="AD130" s="421">
        <v>0</v>
      </c>
      <c r="AE130" s="421">
        <v>0</v>
      </c>
      <c r="AF130" s="421">
        <f>V130+X130+Y130+AA130+AB130+AD130</f>
        <v>0</v>
      </c>
      <c r="AG130" s="421">
        <f>W130+Z130+AC130+AE130</f>
        <v>0</v>
      </c>
      <c r="AH130" s="421">
        <f>SUM(AF130:AG130)</f>
        <v>0</v>
      </c>
      <c r="AI130" s="421">
        <v>0</v>
      </c>
      <c r="AJ130" s="421">
        <v>0</v>
      </c>
      <c r="AK130" s="421">
        <v>0</v>
      </c>
      <c r="AL130" s="421">
        <v>0</v>
      </c>
      <c r="AM130" s="421">
        <v>0</v>
      </c>
      <c r="AN130" s="421">
        <v>0</v>
      </c>
      <c r="AO130" s="421">
        <f t="shared" si="339"/>
        <v>0</v>
      </c>
      <c r="AP130" s="421">
        <f>AJ130+AN130</f>
        <v>0</v>
      </c>
      <c r="AQ130" s="421">
        <f>SUM(AO130:AP130)</f>
        <v>0</v>
      </c>
      <c r="AR130" s="421">
        <f t="shared" si="340"/>
        <v>0</v>
      </c>
      <c r="AS130" s="421">
        <f t="shared" si="340"/>
        <v>0</v>
      </c>
      <c r="AT130" s="421">
        <f>SUM(AR130:AS130)</f>
        <v>0</v>
      </c>
      <c r="AU130" s="68">
        <f t="shared" si="341"/>
        <v>0</v>
      </c>
      <c r="AV130" s="68">
        <f>ROUND(AH130*1%,0)</f>
        <v>0</v>
      </c>
      <c r="AW130" s="421">
        <v>0</v>
      </c>
      <c r="AX130" s="421">
        <v>0</v>
      </c>
      <c r="AY130" s="421">
        <f>AW130+AX130</f>
        <v>0</v>
      </c>
      <c r="AZ130" s="421">
        <f>AT130+AU130+AV130+AY130</f>
        <v>0</v>
      </c>
      <c r="BA130" s="422">
        <v>0</v>
      </c>
      <c r="BB130" s="422">
        <v>0</v>
      </c>
      <c r="BC130" s="422">
        <v>0</v>
      </c>
      <c r="BD130" s="422">
        <v>0</v>
      </c>
      <c r="BE130" s="422">
        <v>0</v>
      </c>
      <c r="BF130" s="422">
        <v>0</v>
      </c>
      <c r="BG130" s="422">
        <v>0</v>
      </c>
      <c r="BH130" s="422">
        <v>0</v>
      </c>
      <c r="BI130" s="422">
        <v>0</v>
      </c>
      <c r="BJ130" s="422">
        <v>0</v>
      </c>
      <c r="BK130" s="422">
        <f>BA130+BC130+BD130+BF130+BH130+BI130</f>
        <v>0</v>
      </c>
      <c r="BL130" s="422">
        <f>BB130+BE130+BG130+BJ130</f>
        <v>0</v>
      </c>
      <c r="BM130" s="611">
        <f>SUM(BK130:BL130)</f>
        <v>0</v>
      </c>
      <c r="BN130" s="428">
        <f>I130+AZ130</f>
        <v>30724</v>
      </c>
      <c r="BO130" s="421">
        <f>J130+AH130</f>
        <v>21991</v>
      </c>
      <c r="BP130" s="421">
        <f t="shared" si="342"/>
        <v>0</v>
      </c>
      <c r="BQ130" s="421">
        <f t="shared" si="342"/>
        <v>21991</v>
      </c>
      <c r="BR130" s="421">
        <f>M130+AQ130</f>
        <v>0</v>
      </c>
      <c r="BS130" s="421">
        <f t="shared" si="343"/>
        <v>0</v>
      </c>
      <c r="BT130" s="421">
        <f t="shared" si="343"/>
        <v>0</v>
      </c>
      <c r="BU130" s="421">
        <f t="shared" si="344"/>
        <v>7433</v>
      </c>
      <c r="BV130" s="421">
        <f t="shared" si="344"/>
        <v>220</v>
      </c>
      <c r="BW130" s="421">
        <f>R130+AY130</f>
        <v>1080</v>
      </c>
      <c r="BX130" s="422">
        <f>S130+BM130</f>
        <v>0.08</v>
      </c>
      <c r="BY130" s="422">
        <f t="shared" si="345"/>
        <v>0</v>
      </c>
      <c r="BZ130" s="611">
        <f t="shared" si="345"/>
        <v>0.08</v>
      </c>
      <c r="CA130" s="831">
        <f>SUM(CB129:CE129)</f>
        <v>0</v>
      </c>
      <c r="CB130" s="782"/>
      <c r="CC130" s="782"/>
      <c r="CD130" s="782"/>
      <c r="CE130" s="782"/>
      <c r="CF130" s="832"/>
    </row>
    <row r="131" spans="1:84" s="222" customFormat="1" ht="12.75" customHeight="1" x14ac:dyDescent="0.2">
      <c r="A131" s="153">
        <v>27</v>
      </c>
      <c r="B131" s="14">
        <v>3417</v>
      </c>
      <c r="C131" s="152">
        <v>600078353</v>
      </c>
      <c r="D131" s="152">
        <v>72743352</v>
      </c>
      <c r="E131" s="223" t="s">
        <v>62</v>
      </c>
      <c r="F131" s="14"/>
      <c r="G131" s="223"/>
      <c r="H131" s="592"/>
      <c r="I131" s="522">
        <f t="shared" ref="I131:BU131" si="346">SUM(I126:I130)</f>
        <v>17844231</v>
      </c>
      <c r="J131" s="521">
        <f t="shared" si="346"/>
        <v>13078110</v>
      </c>
      <c r="K131" s="521">
        <f t="shared" si="346"/>
        <v>11366145</v>
      </c>
      <c r="L131" s="521">
        <f t="shared" si="346"/>
        <v>1711965</v>
      </c>
      <c r="M131" s="521">
        <f t="shared" si="346"/>
        <v>0</v>
      </c>
      <c r="N131" s="521">
        <f t="shared" si="346"/>
        <v>0</v>
      </c>
      <c r="O131" s="521">
        <f t="shared" si="346"/>
        <v>0</v>
      </c>
      <c r="P131" s="521">
        <f t="shared" si="346"/>
        <v>4420401</v>
      </c>
      <c r="Q131" s="521">
        <f t="shared" si="346"/>
        <v>130781</v>
      </c>
      <c r="R131" s="521">
        <f t="shared" si="346"/>
        <v>214939</v>
      </c>
      <c r="S131" s="572">
        <f t="shared" si="346"/>
        <v>20.659599999999998</v>
      </c>
      <c r="T131" s="572">
        <f t="shared" si="346"/>
        <v>15.6366</v>
      </c>
      <c r="U131" s="448">
        <f t="shared" si="346"/>
        <v>5.0229999999999997</v>
      </c>
      <c r="V131" s="614">
        <f t="shared" si="346"/>
        <v>-14400</v>
      </c>
      <c r="W131" s="521">
        <f t="shared" si="346"/>
        <v>-8000</v>
      </c>
      <c r="X131" s="521">
        <f t="shared" si="346"/>
        <v>463502</v>
      </c>
      <c r="Y131" s="521">
        <f t="shared" si="346"/>
        <v>0</v>
      </c>
      <c r="Z131" s="521">
        <f t="shared" si="346"/>
        <v>0</v>
      </c>
      <c r="AA131" s="521">
        <f t="shared" si="346"/>
        <v>0</v>
      </c>
      <c r="AB131" s="521">
        <f t="shared" si="346"/>
        <v>0</v>
      </c>
      <c r="AC131" s="521">
        <f t="shared" si="346"/>
        <v>0</v>
      </c>
      <c r="AD131" s="521">
        <f t="shared" si="346"/>
        <v>0</v>
      </c>
      <c r="AE131" s="521">
        <f t="shared" si="346"/>
        <v>0</v>
      </c>
      <c r="AF131" s="521">
        <f t="shared" si="346"/>
        <v>449102</v>
      </c>
      <c r="AG131" s="521">
        <f t="shared" si="346"/>
        <v>-8000</v>
      </c>
      <c r="AH131" s="521">
        <f t="shared" si="346"/>
        <v>441102</v>
      </c>
      <c r="AI131" s="521">
        <f t="shared" si="346"/>
        <v>14400</v>
      </c>
      <c r="AJ131" s="521">
        <f t="shared" si="346"/>
        <v>8000</v>
      </c>
      <c r="AK131" s="521">
        <f t="shared" ref="AK131" si="347">SUM(AK126:AK130)</f>
        <v>0</v>
      </c>
      <c r="AL131" s="521">
        <f t="shared" si="346"/>
        <v>0</v>
      </c>
      <c r="AM131" s="521">
        <f t="shared" si="346"/>
        <v>0</v>
      </c>
      <c r="AN131" s="521">
        <f t="shared" si="346"/>
        <v>0</v>
      </c>
      <c r="AO131" s="521">
        <f t="shared" si="346"/>
        <v>14400</v>
      </c>
      <c r="AP131" s="521">
        <f t="shared" si="346"/>
        <v>8000</v>
      </c>
      <c r="AQ131" s="521">
        <f t="shared" si="346"/>
        <v>22400</v>
      </c>
      <c r="AR131" s="521">
        <f t="shared" si="346"/>
        <v>463502</v>
      </c>
      <c r="AS131" s="521">
        <f t="shared" si="346"/>
        <v>0</v>
      </c>
      <c r="AT131" s="521">
        <f t="shared" si="346"/>
        <v>463502</v>
      </c>
      <c r="AU131" s="521">
        <f t="shared" si="346"/>
        <v>156664</v>
      </c>
      <c r="AV131" s="521">
        <f t="shared" si="346"/>
        <v>4411</v>
      </c>
      <c r="AW131" s="521">
        <f t="shared" si="346"/>
        <v>0</v>
      </c>
      <c r="AX131" s="521">
        <f t="shared" si="346"/>
        <v>0</v>
      </c>
      <c r="AY131" s="521">
        <f t="shared" si="346"/>
        <v>0</v>
      </c>
      <c r="AZ131" s="521">
        <f t="shared" si="346"/>
        <v>624577</v>
      </c>
      <c r="BA131" s="572">
        <f t="shared" si="346"/>
        <v>-0.01</v>
      </c>
      <c r="BB131" s="572">
        <f t="shared" si="346"/>
        <v>-0.01</v>
      </c>
      <c r="BC131" s="572">
        <f t="shared" si="346"/>
        <v>1.25</v>
      </c>
      <c r="BD131" s="572">
        <f t="shared" si="346"/>
        <v>0</v>
      </c>
      <c r="BE131" s="572">
        <f t="shared" si="346"/>
        <v>0</v>
      </c>
      <c r="BF131" s="572">
        <f t="shared" si="346"/>
        <v>0</v>
      </c>
      <c r="BG131" s="572">
        <f t="shared" si="346"/>
        <v>0</v>
      </c>
      <c r="BH131" s="572">
        <f t="shared" si="346"/>
        <v>0</v>
      </c>
      <c r="BI131" s="572">
        <f t="shared" si="346"/>
        <v>0</v>
      </c>
      <c r="BJ131" s="572">
        <f t="shared" si="346"/>
        <v>0</v>
      </c>
      <c r="BK131" s="572">
        <f t="shared" si="346"/>
        <v>1.24</v>
      </c>
      <c r="BL131" s="572">
        <f t="shared" si="346"/>
        <v>-0.01</v>
      </c>
      <c r="BM131" s="403">
        <f t="shared" si="346"/>
        <v>1.23</v>
      </c>
      <c r="BN131" s="522">
        <f t="shared" si="346"/>
        <v>18468808</v>
      </c>
      <c r="BO131" s="521">
        <f t="shared" si="346"/>
        <v>13519212</v>
      </c>
      <c r="BP131" s="521">
        <f t="shared" si="346"/>
        <v>11815247</v>
      </c>
      <c r="BQ131" s="521">
        <f t="shared" si="346"/>
        <v>1703965</v>
      </c>
      <c r="BR131" s="521">
        <f t="shared" si="346"/>
        <v>22400</v>
      </c>
      <c r="BS131" s="521">
        <f t="shared" si="346"/>
        <v>14400</v>
      </c>
      <c r="BT131" s="521">
        <f t="shared" si="346"/>
        <v>8000</v>
      </c>
      <c r="BU131" s="521">
        <f t="shared" si="346"/>
        <v>4577065</v>
      </c>
      <c r="BV131" s="521">
        <f t="shared" ref="BV131:CF131" si="348">SUM(BV126:BV130)</f>
        <v>135192</v>
      </c>
      <c r="BW131" s="521">
        <f t="shared" si="348"/>
        <v>214939</v>
      </c>
      <c r="BX131" s="572">
        <f t="shared" si="348"/>
        <v>21.889599999999998</v>
      </c>
      <c r="BY131" s="572">
        <f t="shared" si="348"/>
        <v>16.8766</v>
      </c>
      <c r="BZ131" s="403">
        <f t="shared" si="348"/>
        <v>5.0129999999999999</v>
      </c>
      <c r="CA131" s="833">
        <f t="shared" si="348"/>
        <v>0</v>
      </c>
      <c r="CB131" s="834">
        <f t="shared" si="348"/>
        <v>0</v>
      </c>
      <c r="CC131" s="834">
        <f t="shared" si="348"/>
        <v>0</v>
      </c>
      <c r="CD131" s="834">
        <f t="shared" si="348"/>
        <v>0</v>
      </c>
      <c r="CE131" s="834">
        <f t="shared" si="348"/>
        <v>0</v>
      </c>
      <c r="CF131" s="829">
        <f t="shared" si="348"/>
        <v>0</v>
      </c>
    </row>
    <row r="132" spans="1:84" s="222" customFormat="1" ht="12.75" customHeight="1" x14ac:dyDescent="0.2">
      <c r="A132" s="224">
        <v>28</v>
      </c>
      <c r="B132" s="225">
        <v>3410</v>
      </c>
      <c r="C132" s="225">
        <v>650038550</v>
      </c>
      <c r="D132" s="225">
        <v>72743191</v>
      </c>
      <c r="E132" s="226" t="s">
        <v>63</v>
      </c>
      <c r="F132" s="225">
        <v>3113</v>
      </c>
      <c r="G132" s="226" t="s">
        <v>294</v>
      </c>
      <c r="H132" s="227" t="s">
        <v>271</v>
      </c>
      <c r="I132" s="423">
        <f t="shared" ref="I132:I136" si="349">J132+P132+Q132+R132</f>
        <v>26760758</v>
      </c>
      <c r="J132" s="418">
        <f>K132+L132</f>
        <v>19553563</v>
      </c>
      <c r="K132" s="418">
        <v>17973096</v>
      </c>
      <c r="L132" s="418">
        <v>1580467</v>
      </c>
      <c r="M132" s="418">
        <f>N132+O132</f>
        <v>0</v>
      </c>
      <c r="N132" s="418"/>
      <c r="O132" s="418"/>
      <c r="P132" s="68">
        <f t="shared" ref="P132:P136" si="350">ROUND(J132*33.8%,0)</f>
        <v>6609104</v>
      </c>
      <c r="Q132" s="68">
        <f t="shared" ref="Q132:Q136" si="351">ROUND(J132*1%,0)</f>
        <v>195536</v>
      </c>
      <c r="R132" s="418">
        <v>402555</v>
      </c>
      <c r="S132" s="419">
        <f>T132+U132</f>
        <v>30.389199999999999</v>
      </c>
      <c r="T132" s="420">
        <v>25.636399999999998</v>
      </c>
      <c r="U132" s="527">
        <v>4.7528000000000006</v>
      </c>
      <c r="V132" s="427">
        <f t="shared" ref="V132:W136" si="352">AI132*-1</f>
        <v>-12800</v>
      </c>
      <c r="W132" s="421">
        <f t="shared" si="352"/>
        <v>-3200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f>V132+X132+Y132+AA132+AB132+AD132</f>
        <v>-12800</v>
      </c>
      <c r="AG132" s="421">
        <f>W132+Z132+AC132+AE132</f>
        <v>-3200</v>
      </c>
      <c r="AH132" s="421">
        <f>SUM(AF132:AG132)</f>
        <v>-16000</v>
      </c>
      <c r="AI132" s="421">
        <v>12800</v>
      </c>
      <c r="AJ132" s="421">
        <v>3200</v>
      </c>
      <c r="AK132" s="421">
        <v>46812</v>
      </c>
      <c r="AL132" s="421">
        <v>0</v>
      </c>
      <c r="AM132" s="421">
        <v>0</v>
      </c>
      <c r="AN132" s="421">
        <v>0</v>
      </c>
      <c r="AO132" s="421">
        <f t="shared" ref="AO132:AO136" si="353">AI132+AK132+AL132+AM132</f>
        <v>59612</v>
      </c>
      <c r="AP132" s="421">
        <f>AJ132+AN132</f>
        <v>3200</v>
      </c>
      <c r="AQ132" s="421">
        <f>SUM(AO132:AP132)</f>
        <v>62812</v>
      </c>
      <c r="AR132" s="421">
        <f t="shared" ref="AR132:AS136" si="354">AF132+AO132</f>
        <v>46812</v>
      </c>
      <c r="AS132" s="421">
        <f t="shared" si="354"/>
        <v>0</v>
      </c>
      <c r="AT132" s="421">
        <f>SUM(AR132:AS132)</f>
        <v>46812</v>
      </c>
      <c r="AU132" s="68">
        <f t="shared" ref="AU132:AU136" si="355">ROUND((AH132+AI132+AJ132+AK132+AL132)*33.8%,0)</f>
        <v>15822</v>
      </c>
      <c r="AV132" s="68">
        <f>ROUND(AH132*1%,0)</f>
        <v>-160</v>
      </c>
      <c r="AW132" s="421">
        <v>0</v>
      </c>
      <c r="AX132" s="421">
        <v>0</v>
      </c>
      <c r="AY132" s="421">
        <f>AW132+AX132</f>
        <v>0</v>
      </c>
      <c r="AZ132" s="421">
        <f>AT132+AU132+AV132+AY132</f>
        <v>62474</v>
      </c>
      <c r="BA132" s="422">
        <v>-0.01</v>
      </c>
      <c r="BB132" s="422">
        <v>0</v>
      </c>
      <c r="BC132" s="422">
        <v>0</v>
      </c>
      <c r="BD132" s="422">
        <v>0</v>
      </c>
      <c r="BE132" s="422">
        <v>0</v>
      </c>
      <c r="BF132" s="422">
        <v>0</v>
      </c>
      <c r="BG132" s="422">
        <v>0</v>
      </c>
      <c r="BH132" s="422">
        <v>0</v>
      </c>
      <c r="BI132" s="422">
        <v>0</v>
      </c>
      <c r="BJ132" s="422">
        <v>0</v>
      </c>
      <c r="BK132" s="422">
        <f>BA132+BC132+BD132+BF132+BH132+BI132</f>
        <v>-0.01</v>
      </c>
      <c r="BL132" s="422">
        <f>BB132+BE132+BG132+BJ132</f>
        <v>0</v>
      </c>
      <c r="BM132" s="611">
        <f>SUM(BK132:BL132)</f>
        <v>-0.01</v>
      </c>
      <c r="BN132" s="428">
        <f>I132+AZ132</f>
        <v>26823232</v>
      </c>
      <c r="BO132" s="421">
        <f>J132+AH132</f>
        <v>19537563</v>
      </c>
      <c r="BP132" s="421">
        <f t="shared" ref="BP132:BQ136" si="356">K132+AF132</f>
        <v>17960296</v>
      </c>
      <c r="BQ132" s="421">
        <f t="shared" si="356"/>
        <v>1577267</v>
      </c>
      <c r="BR132" s="421">
        <f>M132+AQ132</f>
        <v>62812</v>
      </c>
      <c r="BS132" s="421">
        <f t="shared" ref="BS132:BT136" si="357">N132+AO132</f>
        <v>59612</v>
      </c>
      <c r="BT132" s="421">
        <f t="shared" si="357"/>
        <v>3200</v>
      </c>
      <c r="BU132" s="421">
        <f t="shared" ref="BU132:BV136" si="358">P132+AU132</f>
        <v>6624926</v>
      </c>
      <c r="BV132" s="421">
        <f t="shared" si="358"/>
        <v>195376</v>
      </c>
      <c r="BW132" s="421">
        <f>R132+AY132</f>
        <v>402555</v>
      </c>
      <c r="BX132" s="422">
        <f>S132+BM132</f>
        <v>30.379199999999997</v>
      </c>
      <c r="BY132" s="422">
        <f t="shared" ref="BY132:BZ136" si="359">T132+BK132</f>
        <v>25.626399999999997</v>
      </c>
      <c r="BZ132" s="611">
        <f t="shared" si="359"/>
        <v>4.7528000000000006</v>
      </c>
      <c r="CA132" s="423">
        <v>62634</v>
      </c>
      <c r="CB132" s="418">
        <v>0</v>
      </c>
      <c r="CC132" s="418">
        <v>46812</v>
      </c>
      <c r="CD132" s="418">
        <v>15822</v>
      </c>
      <c r="CE132" s="418">
        <v>0</v>
      </c>
      <c r="CF132" s="527">
        <v>0</v>
      </c>
    </row>
    <row r="133" spans="1:84" s="222" customFormat="1" x14ac:dyDescent="0.2">
      <c r="A133" s="224">
        <v>28</v>
      </c>
      <c r="B133" s="225">
        <v>3410</v>
      </c>
      <c r="C133" s="225">
        <v>650038550</v>
      </c>
      <c r="D133" s="225">
        <v>72743191</v>
      </c>
      <c r="E133" s="226" t="s">
        <v>63</v>
      </c>
      <c r="F133" s="225">
        <v>3113</v>
      </c>
      <c r="G133" s="226" t="s">
        <v>292</v>
      </c>
      <c r="H133" s="227" t="s">
        <v>272</v>
      </c>
      <c r="I133" s="423">
        <f t="shared" si="349"/>
        <v>0</v>
      </c>
      <c r="J133" s="418">
        <f>K133+L133</f>
        <v>0</v>
      </c>
      <c r="K133" s="418">
        <v>0</v>
      </c>
      <c r="L133" s="418">
        <v>0</v>
      </c>
      <c r="M133" s="418">
        <f>N133+O133</f>
        <v>0</v>
      </c>
      <c r="N133" s="418"/>
      <c r="O133" s="418"/>
      <c r="P133" s="68">
        <f t="shared" si="350"/>
        <v>0</v>
      </c>
      <c r="Q133" s="68">
        <f t="shared" si="351"/>
        <v>0</v>
      </c>
      <c r="R133" s="418">
        <v>0</v>
      </c>
      <c r="S133" s="419">
        <f>T133+U133</f>
        <v>0</v>
      </c>
      <c r="T133" s="420">
        <v>0</v>
      </c>
      <c r="U133" s="419">
        <v>0</v>
      </c>
      <c r="V133" s="427">
        <f t="shared" si="352"/>
        <v>0</v>
      </c>
      <c r="W133" s="421">
        <f t="shared" si="352"/>
        <v>0</v>
      </c>
      <c r="X133" s="421">
        <f>1281366+245413</f>
        <v>1526779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f>V133+X133+Y133+AA133+AB133+AD133</f>
        <v>1526779</v>
      </c>
      <c r="AG133" s="421">
        <f>W133+Z133+AC133+AE133</f>
        <v>0</v>
      </c>
      <c r="AH133" s="421">
        <f>SUM(AF133:AG133)</f>
        <v>1526779</v>
      </c>
      <c r="AI133" s="421">
        <v>0</v>
      </c>
      <c r="AJ133" s="421">
        <v>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353"/>
        <v>0</v>
      </c>
      <c r="AP133" s="421">
        <f>AJ133+AN133</f>
        <v>0</v>
      </c>
      <c r="AQ133" s="421">
        <f>SUM(AO133:AP133)</f>
        <v>0</v>
      </c>
      <c r="AR133" s="421">
        <f t="shared" si="354"/>
        <v>1526779</v>
      </c>
      <c r="AS133" s="421">
        <f t="shared" si="354"/>
        <v>0</v>
      </c>
      <c r="AT133" s="421">
        <f>SUM(AR133:AS133)</f>
        <v>1526779</v>
      </c>
      <c r="AU133" s="68">
        <f t="shared" si="355"/>
        <v>516051</v>
      </c>
      <c r="AV133" s="68">
        <f>ROUND(AH133*1%,0)</f>
        <v>15268</v>
      </c>
      <c r="AW133" s="421">
        <v>0</v>
      </c>
      <c r="AX133" s="421">
        <v>0</v>
      </c>
      <c r="AY133" s="421">
        <f>AW133+AX133</f>
        <v>0</v>
      </c>
      <c r="AZ133" s="421">
        <f>AT133+AU133+AV133+AY133</f>
        <v>2058098</v>
      </c>
      <c r="BA133" s="422">
        <v>0</v>
      </c>
      <c r="BB133" s="422">
        <v>0</v>
      </c>
      <c r="BC133" s="422">
        <f>3.44+0.46</f>
        <v>3.9</v>
      </c>
      <c r="BD133" s="422">
        <v>0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>BA133+BC133+BD133+BF133+BH133+BI133</f>
        <v>3.9</v>
      </c>
      <c r="BL133" s="422">
        <f>BB133+BE133+BG133+BJ133</f>
        <v>0</v>
      </c>
      <c r="BM133" s="611">
        <f>SUM(BK133:BL133)</f>
        <v>3.9</v>
      </c>
      <c r="BN133" s="428">
        <f>I133+AZ133</f>
        <v>2058098</v>
      </c>
      <c r="BO133" s="421">
        <f>J133+AH133</f>
        <v>1526779</v>
      </c>
      <c r="BP133" s="421">
        <f t="shared" si="356"/>
        <v>1526779</v>
      </c>
      <c r="BQ133" s="421">
        <f t="shared" si="356"/>
        <v>0</v>
      </c>
      <c r="BR133" s="421">
        <f>M133+AQ133</f>
        <v>0</v>
      </c>
      <c r="BS133" s="421">
        <f t="shared" si="357"/>
        <v>0</v>
      </c>
      <c r="BT133" s="421">
        <f t="shared" si="357"/>
        <v>0</v>
      </c>
      <c r="BU133" s="421">
        <f t="shared" si="358"/>
        <v>516051</v>
      </c>
      <c r="BV133" s="421">
        <f t="shared" si="358"/>
        <v>15268</v>
      </c>
      <c r="BW133" s="421">
        <f>R133+AY133</f>
        <v>0</v>
      </c>
      <c r="BX133" s="422">
        <f>S133+BM133</f>
        <v>3.9</v>
      </c>
      <c r="BY133" s="422">
        <f t="shared" si="359"/>
        <v>3.9</v>
      </c>
      <c r="BZ133" s="611">
        <f t="shared" si="359"/>
        <v>0</v>
      </c>
      <c r="CA133" s="423"/>
      <c r="CB133" s="418"/>
      <c r="CC133" s="418"/>
      <c r="CD133" s="418"/>
      <c r="CE133" s="418"/>
      <c r="CF133" s="527"/>
    </row>
    <row r="134" spans="1:84" s="222" customFormat="1" ht="12.75" customHeight="1" x14ac:dyDescent="0.2">
      <c r="A134" s="224">
        <v>28</v>
      </c>
      <c r="B134" s="225">
        <v>3410</v>
      </c>
      <c r="C134" s="225">
        <v>650038550</v>
      </c>
      <c r="D134" s="225">
        <v>72743191</v>
      </c>
      <c r="E134" s="226" t="s">
        <v>63</v>
      </c>
      <c r="F134" s="225">
        <v>3141</v>
      </c>
      <c r="G134" s="226" t="s">
        <v>295</v>
      </c>
      <c r="H134" s="227" t="s">
        <v>272</v>
      </c>
      <c r="I134" s="423">
        <f t="shared" si="349"/>
        <v>1840488</v>
      </c>
      <c r="J134" s="418">
        <f>K134+L134</f>
        <v>1356130</v>
      </c>
      <c r="K134" s="418">
        <v>0</v>
      </c>
      <c r="L134" s="418">
        <v>1356130</v>
      </c>
      <c r="M134" s="418">
        <f>N134+O134</f>
        <v>0</v>
      </c>
      <c r="N134" s="418"/>
      <c r="O134" s="418"/>
      <c r="P134" s="68">
        <f t="shared" si="350"/>
        <v>458372</v>
      </c>
      <c r="Q134" s="68">
        <f t="shared" si="351"/>
        <v>13561</v>
      </c>
      <c r="R134" s="418">
        <v>12425</v>
      </c>
      <c r="S134" s="419">
        <f>T134+U134</f>
        <v>4.07</v>
      </c>
      <c r="T134" s="420">
        <v>0</v>
      </c>
      <c r="U134" s="419">
        <v>4.07</v>
      </c>
      <c r="V134" s="427">
        <f t="shared" si="352"/>
        <v>0</v>
      </c>
      <c r="W134" s="421">
        <f t="shared" si="352"/>
        <v>-12800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f>V134+X134+Y134+AA134+AB134+AD134</f>
        <v>0</v>
      </c>
      <c r="AG134" s="421">
        <f>W134+Z134+AC134+AE134</f>
        <v>-12800</v>
      </c>
      <c r="AH134" s="421">
        <f>SUM(AF134:AG134)</f>
        <v>-12800</v>
      </c>
      <c r="AI134" s="421">
        <v>0</v>
      </c>
      <c r="AJ134" s="421">
        <v>12800</v>
      </c>
      <c r="AK134" s="421">
        <v>0</v>
      </c>
      <c r="AL134" s="421">
        <v>0</v>
      </c>
      <c r="AM134" s="421">
        <v>0</v>
      </c>
      <c r="AN134" s="421">
        <v>0</v>
      </c>
      <c r="AO134" s="421">
        <f t="shared" si="353"/>
        <v>0</v>
      </c>
      <c r="AP134" s="421">
        <f>AJ134+AN134</f>
        <v>12800</v>
      </c>
      <c r="AQ134" s="421">
        <f>SUM(AO134:AP134)</f>
        <v>12800</v>
      </c>
      <c r="AR134" s="421">
        <f t="shared" si="354"/>
        <v>0</v>
      </c>
      <c r="AS134" s="421">
        <f t="shared" si="354"/>
        <v>0</v>
      </c>
      <c r="AT134" s="421">
        <f>SUM(AR134:AS134)</f>
        <v>0</v>
      </c>
      <c r="AU134" s="68">
        <f t="shared" si="355"/>
        <v>0</v>
      </c>
      <c r="AV134" s="68">
        <f>ROUND(AH134*1%,0)</f>
        <v>-128</v>
      </c>
      <c r="AW134" s="421">
        <v>0</v>
      </c>
      <c r="AX134" s="421">
        <v>0</v>
      </c>
      <c r="AY134" s="421">
        <f>AW134+AX134</f>
        <v>0</v>
      </c>
      <c r="AZ134" s="421">
        <f>AT134+AU134+AV134+AY134</f>
        <v>-128</v>
      </c>
      <c r="BA134" s="422">
        <v>0</v>
      </c>
      <c r="BB134" s="422">
        <v>0</v>
      </c>
      <c r="BC134" s="422">
        <v>0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>BA134+BC134+BD134+BF134+BH134+BI134</f>
        <v>0</v>
      </c>
      <c r="BL134" s="422">
        <f>BB134+BE134+BG134+BJ134</f>
        <v>0</v>
      </c>
      <c r="BM134" s="611">
        <f>SUM(BK134:BL134)</f>
        <v>0</v>
      </c>
      <c r="BN134" s="428">
        <f>I134+AZ134</f>
        <v>1840360</v>
      </c>
      <c r="BO134" s="421">
        <f>J134+AH134</f>
        <v>1343330</v>
      </c>
      <c r="BP134" s="421">
        <f t="shared" si="356"/>
        <v>0</v>
      </c>
      <c r="BQ134" s="421">
        <f t="shared" si="356"/>
        <v>1343330</v>
      </c>
      <c r="BR134" s="421">
        <f>M134+AQ134</f>
        <v>12800</v>
      </c>
      <c r="BS134" s="421">
        <f t="shared" si="357"/>
        <v>0</v>
      </c>
      <c r="BT134" s="421">
        <f t="shared" si="357"/>
        <v>12800</v>
      </c>
      <c r="BU134" s="421">
        <f t="shared" si="358"/>
        <v>458372</v>
      </c>
      <c r="BV134" s="421">
        <f t="shared" si="358"/>
        <v>13433</v>
      </c>
      <c r="BW134" s="421">
        <f>R134+AY134</f>
        <v>12425</v>
      </c>
      <c r="BX134" s="422">
        <f>S134+BM134</f>
        <v>4.07</v>
      </c>
      <c r="BY134" s="422">
        <f t="shared" si="359"/>
        <v>0</v>
      </c>
      <c r="BZ134" s="611">
        <f t="shared" si="359"/>
        <v>4.07</v>
      </c>
      <c r="CA134" s="423"/>
      <c r="CB134" s="418"/>
      <c r="CC134" s="418"/>
      <c r="CD134" s="418"/>
      <c r="CE134" s="418"/>
      <c r="CF134" s="527"/>
    </row>
    <row r="135" spans="1:84" s="222" customFormat="1" ht="12.75" customHeight="1" x14ac:dyDescent="0.2">
      <c r="A135" s="224">
        <v>28</v>
      </c>
      <c r="B135" s="225">
        <v>3410</v>
      </c>
      <c r="C135" s="225">
        <v>650038550</v>
      </c>
      <c r="D135" s="225">
        <v>72743191</v>
      </c>
      <c r="E135" s="226" t="s">
        <v>63</v>
      </c>
      <c r="F135" s="225">
        <v>3143</v>
      </c>
      <c r="G135" s="226" t="s">
        <v>596</v>
      </c>
      <c r="H135" s="227" t="s">
        <v>271</v>
      </c>
      <c r="I135" s="423">
        <f t="shared" si="349"/>
        <v>2577439</v>
      </c>
      <c r="J135" s="418">
        <f>K135+L135</f>
        <v>1912047</v>
      </c>
      <c r="K135" s="418">
        <v>1912047</v>
      </c>
      <c r="L135" s="418">
        <v>0</v>
      </c>
      <c r="M135" s="418">
        <f>N135+O135</f>
        <v>0</v>
      </c>
      <c r="N135" s="418"/>
      <c r="O135" s="418"/>
      <c r="P135" s="68">
        <f t="shared" si="350"/>
        <v>646272</v>
      </c>
      <c r="Q135" s="68">
        <f t="shared" si="351"/>
        <v>19120</v>
      </c>
      <c r="R135" s="418">
        <v>0</v>
      </c>
      <c r="S135" s="419">
        <f>T135+U135</f>
        <v>3.7229000000000001</v>
      </c>
      <c r="T135" s="420">
        <v>3.7229000000000001</v>
      </c>
      <c r="U135" s="419">
        <v>0</v>
      </c>
      <c r="V135" s="427">
        <f t="shared" si="352"/>
        <v>-19200</v>
      </c>
      <c r="W135" s="421">
        <f t="shared" si="352"/>
        <v>0</v>
      </c>
      <c r="X135" s="421">
        <v>0</v>
      </c>
      <c r="Y135" s="421">
        <v>0</v>
      </c>
      <c r="Z135" s="421">
        <v>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f>V135+X135+Y135+AA135+AB135+AD135</f>
        <v>-19200</v>
      </c>
      <c r="AG135" s="421">
        <f>W135+Z135+AC135+AE135</f>
        <v>0</v>
      </c>
      <c r="AH135" s="421">
        <f>SUM(AF135:AG135)</f>
        <v>-19200</v>
      </c>
      <c r="AI135" s="421">
        <v>19200</v>
      </c>
      <c r="AJ135" s="421">
        <v>0</v>
      </c>
      <c r="AK135" s="421">
        <v>0</v>
      </c>
      <c r="AL135" s="421">
        <v>0</v>
      </c>
      <c r="AM135" s="421">
        <v>0</v>
      </c>
      <c r="AN135" s="421">
        <v>0</v>
      </c>
      <c r="AO135" s="421">
        <f t="shared" si="353"/>
        <v>19200</v>
      </c>
      <c r="AP135" s="421">
        <f>AJ135+AN135</f>
        <v>0</v>
      </c>
      <c r="AQ135" s="421">
        <f>SUM(AO135:AP135)</f>
        <v>19200</v>
      </c>
      <c r="AR135" s="421">
        <f t="shared" si="354"/>
        <v>0</v>
      </c>
      <c r="AS135" s="421">
        <f t="shared" si="354"/>
        <v>0</v>
      </c>
      <c r="AT135" s="421">
        <f>SUM(AR135:AS135)</f>
        <v>0</v>
      </c>
      <c r="AU135" s="68">
        <f t="shared" si="355"/>
        <v>0</v>
      </c>
      <c r="AV135" s="68">
        <f>ROUND(AH135*1%,0)</f>
        <v>-192</v>
      </c>
      <c r="AW135" s="421">
        <v>0</v>
      </c>
      <c r="AX135" s="421">
        <v>0</v>
      </c>
      <c r="AY135" s="421">
        <f>AW135+AX135</f>
        <v>0</v>
      </c>
      <c r="AZ135" s="421">
        <f>AT135+AU135+AV135+AY135</f>
        <v>-192</v>
      </c>
      <c r="BA135" s="422">
        <v>0</v>
      </c>
      <c r="BB135" s="422">
        <v>0</v>
      </c>
      <c r="BC135" s="422">
        <v>0</v>
      </c>
      <c r="BD135" s="422">
        <v>0</v>
      </c>
      <c r="BE135" s="422">
        <v>0</v>
      </c>
      <c r="BF135" s="422">
        <v>0</v>
      </c>
      <c r="BG135" s="422">
        <v>0</v>
      </c>
      <c r="BH135" s="422">
        <v>0</v>
      </c>
      <c r="BI135" s="422">
        <v>0</v>
      </c>
      <c r="BJ135" s="422">
        <v>0</v>
      </c>
      <c r="BK135" s="422">
        <f>BA135+BC135+BD135+BF135+BH135+BI135</f>
        <v>0</v>
      </c>
      <c r="BL135" s="422">
        <f>BB135+BE135+BG135+BJ135</f>
        <v>0</v>
      </c>
      <c r="BM135" s="611">
        <f>SUM(BK135:BL135)</f>
        <v>0</v>
      </c>
      <c r="BN135" s="428">
        <f>I135+AZ135</f>
        <v>2577247</v>
      </c>
      <c r="BO135" s="421">
        <f>J135+AH135</f>
        <v>1892847</v>
      </c>
      <c r="BP135" s="421">
        <f t="shared" si="356"/>
        <v>1892847</v>
      </c>
      <c r="BQ135" s="421">
        <f t="shared" si="356"/>
        <v>0</v>
      </c>
      <c r="BR135" s="421">
        <f>M135+AQ135</f>
        <v>19200</v>
      </c>
      <c r="BS135" s="421">
        <f t="shared" si="357"/>
        <v>19200</v>
      </c>
      <c r="BT135" s="421">
        <f t="shared" si="357"/>
        <v>0</v>
      </c>
      <c r="BU135" s="421">
        <f t="shared" si="358"/>
        <v>646272</v>
      </c>
      <c r="BV135" s="421">
        <f t="shared" si="358"/>
        <v>18928</v>
      </c>
      <c r="BW135" s="421">
        <f>R135+AY135</f>
        <v>0</v>
      </c>
      <c r="BX135" s="422">
        <f>S135+BM135</f>
        <v>3.7229000000000001</v>
      </c>
      <c r="BY135" s="422">
        <f t="shared" si="359"/>
        <v>3.7229000000000001</v>
      </c>
      <c r="BZ135" s="611">
        <f t="shared" si="359"/>
        <v>0</v>
      </c>
      <c r="CA135" s="423"/>
      <c r="CB135" s="418"/>
      <c r="CC135" s="418"/>
      <c r="CD135" s="418"/>
      <c r="CE135" s="418"/>
      <c r="CF135" s="527"/>
    </row>
    <row r="136" spans="1:84" s="222" customFormat="1" ht="12.75" customHeight="1" x14ac:dyDescent="0.2">
      <c r="A136" s="224">
        <v>28</v>
      </c>
      <c r="B136" s="225">
        <v>3410</v>
      </c>
      <c r="C136" s="225">
        <v>650038550</v>
      </c>
      <c r="D136" s="225">
        <v>72743191</v>
      </c>
      <c r="E136" s="226" t="s">
        <v>63</v>
      </c>
      <c r="F136" s="225">
        <v>3143</v>
      </c>
      <c r="G136" s="226" t="s">
        <v>597</v>
      </c>
      <c r="H136" s="227" t="s">
        <v>272</v>
      </c>
      <c r="I136" s="423">
        <f t="shared" si="349"/>
        <v>61448</v>
      </c>
      <c r="J136" s="418">
        <f>K136+L136</f>
        <v>43982</v>
      </c>
      <c r="K136" s="418">
        <v>0</v>
      </c>
      <c r="L136" s="418">
        <v>43982</v>
      </c>
      <c r="M136" s="418">
        <f>N136+O136</f>
        <v>0</v>
      </c>
      <c r="N136" s="418"/>
      <c r="O136" s="418"/>
      <c r="P136" s="68">
        <f t="shared" si="350"/>
        <v>14866</v>
      </c>
      <c r="Q136" s="68">
        <f t="shared" si="351"/>
        <v>440</v>
      </c>
      <c r="R136" s="418">
        <v>2160</v>
      </c>
      <c r="S136" s="419">
        <f>T136+U136</f>
        <v>0.17</v>
      </c>
      <c r="T136" s="420">
        <v>0</v>
      </c>
      <c r="U136" s="527">
        <v>0.17</v>
      </c>
      <c r="V136" s="427">
        <f t="shared" si="352"/>
        <v>0</v>
      </c>
      <c r="W136" s="421">
        <f t="shared" si="352"/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>V136+X136+Y136+AA136+AB136+AD136</f>
        <v>0</v>
      </c>
      <c r="AG136" s="421">
        <f>W136+Z136+AC136+AE136</f>
        <v>0</v>
      </c>
      <c r="AH136" s="421">
        <f>SUM(AF136:AG136)</f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si="353"/>
        <v>0</v>
      </c>
      <c r="AP136" s="421">
        <f>AJ136+AN136</f>
        <v>0</v>
      </c>
      <c r="AQ136" s="421">
        <f>SUM(AO136:AP136)</f>
        <v>0</v>
      </c>
      <c r="AR136" s="421">
        <f t="shared" si="354"/>
        <v>0</v>
      </c>
      <c r="AS136" s="421">
        <f t="shared" si="354"/>
        <v>0</v>
      </c>
      <c r="AT136" s="421">
        <f>SUM(AR136:AS136)</f>
        <v>0</v>
      </c>
      <c r="AU136" s="68">
        <f t="shared" si="355"/>
        <v>0</v>
      </c>
      <c r="AV136" s="68">
        <f>ROUND(AH136*1%,0)</f>
        <v>0</v>
      </c>
      <c r="AW136" s="421">
        <v>0</v>
      </c>
      <c r="AX136" s="421">
        <v>0</v>
      </c>
      <c r="AY136" s="421">
        <f>AW136+AX136</f>
        <v>0</v>
      </c>
      <c r="AZ136" s="421">
        <f>AT136+AU136+AV136+AY136</f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>BA136+BC136+BD136+BF136+BH136+BI136</f>
        <v>0</v>
      </c>
      <c r="BL136" s="422">
        <f>BB136+BE136+BG136+BJ136</f>
        <v>0</v>
      </c>
      <c r="BM136" s="611">
        <f>SUM(BK136:BL136)</f>
        <v>0</v>
      </c>
      <c r="BN136" s="428">
        <f>I136+AZ136</f>
        <v>61448</v>
      </c>
      <c r="BO136" s="421">
        <f>J136+AH136</f>
        <v>43982</v>
      </c>
      <c r="BP136" s="421">
        <f t="shared" si="356"/>
        <v>0</v>
      </c>
      <c r="BQ136" s="421">
        <f t="shared" si="356"/>
        <v>43982</v>
      </c>
      <c r="BR136" s="421">
        <f>M136+AQ136</f>
        <v>0</v>
      </c>
      <c r="BS136" s="421">
        <f t="shared" si="357"/>
        <v>0</v>
      </c>
      <c r="BT136" s="421">
        <f t="shared" si="357"/>
        <v>0</v>
      </c>
      <c r="BU136" s="421">
        <f t="shared" si="358"/>
        <v>14866</v>
      </c>
      <c r="BV136" s="421">
        <f t="shared" si="358"/>
        <v>440</v>
      </c>
      <c r="BW136" s="421">
        <f>R136+AY136</f>
        <v>2160</v>
      </c>
      <c r="BX136" s="422">
        <f>S136+BM136</f>
        <v>0.17</v>
      </c>
      <c r="BY136" s="422">
        <f t="shared" si="359"/>
        <v>0</v>
      </c>
      <c r="BZ136" s="611">
        <f t="shared" si="359"/>
        <v>0.17</v>
      </c>
      <c r="CA136" s="423"/>
      <c r="CB136" s="418"/>
      <c r="CC136" s="418"/>
      <c r="CD136" s="418"/>
      <c r="CE136" s="418"/>
      <c r="CF136" s="527"/>
    </row>
    <row r="137" spans="1:84" s="222" customFormat="1" ht="12.75" customHeight="1" x14ac:dyDescent="0.2">
      <c r="A137" s="153">
        <v>28</v>
      </c>
      <c r="B137" s="14">
        <v>3410</v>
      </c>
      <c r="C137" s="152">
        <v>650038550</v>
      </c>
      <c r="D137" s="152">
        <v>72743191</v>
      </c>
      <c r="E137" s="223" t="s">
        <v>64</v>
      </c>
      <c r="F137" s="14"/>
      <c r="G137" s="223"/>
      <c r="H137" s="592"/>
      <c r="I137" s="522">
        <f t="shared" ref="I137:BU137" si="360">SUM(I132:I136)</f>
        <v>31240133</v>
      </c>
      <c r="J137" s="521">
        <f t="shared" si="360"/>
        <v>22865722</v>
      </c>
      <c r="K137" s="521">
        <f t="shared" si="360"/>
        <v>19885143</v>
      </c>
      <c r="L137" s="521">
        <f t="shared" si="360"/>
        <v>2980579</v>
      </c>
      <c r="M137" s="521">
        <f t="shared" si="360"/>
        <v>0</v>
      </c>
      <c r="N137" s="521">
        <f t="shared" si="360"/>
        <v>0</v>
      </c>
      <c r="O137" s="521">
        <f t="shared" si="360"/>
        <v>0</v>
      </c>
      <c r="P137" s="521">
        <f t="shared" si="360"/>
        <v>7728614</v>
      </c>
      <c r="Q137" s="521">
        <f t="shared" si="360"/>
        <v>228657</v>
      </c>
      <c r="R137" s="521">
        <f t="shared" si="360"/>
        <v>417140</v>
      </c>
      <c r="S137" s="572">
        <f t="shared" si="360"/>
        <v>38.3521</v>
      </c>
      <c r="T137" s="572">
        <f t="shared" si="360"/>
        <v>29.359299999999998</v>
      </c>
      <c r="U137" s="448">
        <f t="shared" si="360"/>
        <v>8.9928000000000008</v>
      </c>
      <c r="V137" s="614">
        <f t="shared" si="360"/>
        <v>-32000</v>
      </c>
      <c r="W137" s="521">
        <f t="shared" si="360"/>
        <v>-16000</v>
      </c>
      <c r="X137" s="521">
        <f t="shared" si="360"/>
        <v>1526779</v>
      </c>
      <c r="Y137" s="521">
        <f t="shared" si="360"/>
        <v>0</v>
      </c>
      <c r="Z137" s="521">
        <f t="shared" si="360"/>
        <v>0</v>
      </c>
      <c r="AA137" s="521">
        <f t="shared" si="360"/>
        <v>0</v>
      </c>
      <c r="AB137" s="521">
        <f t="shared" si="360"/>
        <v>0</v>
      </c>
      <c r="AC137" s="521">
        <f t="shared" si="360"/>
        <v>0</v>
      </c>
      <c r="AD137" s="521">
        <f t="shared" si="360"/>
        <v>0</v>
      </c>
      <c r="AE137" s="521">
        <f t="shared" si="360"/>
        <v>0</v>
      </c>
      <c r="AF137" s="521">
        <f t="shared" si="360"/>
        <v>1494779</v>
      </c>
      <c r="AG137" s="521">
        <f t="shared" si="360"/>
        <v>-16000</v>
      </c>
      <c r="AH137" s="521">
        <f t="shared" si="360"/>
        <v>1478779</v>
      </c>
      <c r="AI137" s="521">
        <f t="shared" si="360"/>
        <v>32000</v>
      </c>
      <c r="AJ137" s="521">
        <f t="shared" si="360"/>
        <v>16000</v>
      </c>
      <c r="AK137" s="521">
        <f t="shared" ref="AK137" si="361">SUM(AK132:AK136)</f>
        <v>46812</v>
      </c>
      <c r="AL137" s="521">
        <f t="shared" si="360"/>
        <v>0</v>
      </c>
      <c r="AM137" s="521">
        <f t="shared" si="360"/>
        <v>0</v>
      </c>
      <c r="AN137" s="521">
        <f t="shared" si="360"/>
        <v>0</v>
      </c>
      <c r="AO137" s="521">
        <f t="shared" si="360"/>
        <v>78812</v>
      </c>
      <c r="AP137" s="521">
        <f t="shared" si="360"/>
        <v>16000</v>
      </c>
      <c r="AQ137" s="521">
        <f t="shared" si="360"/>
        <v>94812</v>
      </c>
      <c r="AR137" s="521">
        <f t="shared" si="360"/>
        <v>1573591</v>
      </c>
      <c r="AS137" s="521">
        <f t="shared" si="360"/>
        <v>0</v>
      </c>
      <c r="AT137" s="521">
        <f t="shared" si="360"/>
        <v>1573591</v>
      </c>
      <c r="AU137" s="521">
        <f t="shared" si="360"/>
        <v>531873</v>
      </c>
      <c r="AV137" s="521">
        <f t="shared" si="360"/>
        <v>14788</v>
      </c>
      <c r="AW137" s="521">
        <f t="shared" si="360"/>
        <v>0</v>
      </c>
      <c r="AX137" s="521">
        <f t="shared" si="360"/>
        <v>0</v>
      </c>
      <c r="AY137" s="521">
        <f t="shared" si="360"/>
        <v>0</v>
      </c>
      <c r="AZ137" s="521">
        <f t="shared" si="360"/>
        <v>2120252</v>
      </c>
      <c r="BA137" s="572">
        <f t="shared" si="360"/>
        <v>-0.01</v>
      </c>
      <c r="BB137" s="572">
        <f t="shared" si="360"/>
        <v>0</v>
      </c>
      <c r="BC137" s="572">
        <f t="shared" si="360"/>
        <v>3.9</v>
      </c>
      <c r="BD137" s="572">
        <f t="shared" si="360"/>
        <v>0</v>
      </c>
      <c r="BE137" s="572">
        <f t="shared" si="360"/>
        <v>0</v>
      </c>
      <c r="BF137" s="572">
        <f t="shared" si="360"/>
        <v>0</v>
      </c>
      <c r="BG137" s="572">
        <f t="shared" si="360"/>
        <v>0</v>
      </c>
      <c r="BH137" s="572">
        <f t="shared" si="360"/>
        <v>0</v>
      </c>
      <c r="BI137" s="572">
        <f t="shared" si="360"/>
        <v>0</v>
      </c>
      <c r="BJ137" s="572">
        <f t="shared" si="360"/>
        <v>0</v>
      </c>
      <c r="BK137" s="572">
        <f t="shared" si="360"/>
        <v>3.89</v>
      </c>
      <c r="BL137" s="572">
        <f t="shared" si="360"/>
        <v>0</v>
      </c>
      <c r="BM137" s="403">
        <f t="shared" si="360"/>
        <v>3.89</v>
      </c>
      <c r="BN137" s="522">
        <f t="shared" si="360"/>
        <v>33360385</v>
      </c>
      <c r="BO137" s="521">
        <f t="shared" si="360"/>
        <v>24344501</v>
      </c>
      <c r="BP137" s="521">
        <f t="shared" si="360"/>
        <v>21379922</v>
      </c>
      <c r="BQ137" s="521">
        <f t="shared" si="360"/>
        <v>2964579</v>
      </c>
      <c r="BR137" s="521">
        <f t="shared" si="360"/>
        <v>94812</v>
      </c>
      <c r="BS137" s="521">
        <f t="shared" si="360"/>
        <v>78812</v>
      </c>
      <c r="BT137" s="521">
        <f t="shared" si="360"/>
        <v>16000</v>
      </c>
      <c r="BU137" s="521">
        <f t="shared" si="360"/>
        <v>8260487</v>
      </c>
      <c r="BV137" s="521">
        <f t="shared" ref="BV137:CF137" si="362">SUM(BV132:BV136)</f>
        <v>243445</v>
      </c>
      <c r="BW137" s="521">
        <f t="shared" si="362"/>
        <v>417140</v>
      </c>
      <c r="BX137" s="572">
        <f t="shared" si="362"/>
        <v>42.242100000000001</v>
      </c>
      <c r="BY137" s="572">
        <f t="shared" si="362"/>
        <v>33.249299999999998</v>
      </c>
      <c r="BZ137" s="403">
        <f t="shared" si="362"/>
        <v>8.9928000000000008</v>
      </c>
      <c r="CA137" s="833">
        <f t="shared" si="362"/>
        <v>62634</v>
      </c>
      <c r="CB137" s="834">
        <f t="shared" si="362"/>
        <v>0</v>
      </c>
      <c r="CC137" s="834">
        <f t="shared" si="362"/>
        <v>46812</v>
      </c>
      <c r="CD137" s="834">
        <f t="shared" si="362"/>
        <v>15822</v>
      </c>
      <c r="CE137" s="834">
        <f t="shared" si="362"/>
        <v>0</v>
      </c>
      <c r="CF137" s="829">
        <f t="shared" si="362"/>
        <v>0</v>
      </c>
    </row>
    <row r="138" spans="1:84" s="222" customFormat="1" ht="12.75" customHeight="1" x14ac:dyDescent="0.2">
      <c r="A138" s="224">
        <v>29</v>
      </c>
      <c r="B138" s="225">
        <v>3455</v>
      </c>
      <c r="C138" s="225">
        <v>651040515</v>
      </c>
      <c r="D138" s="225">
        <v>75122308</v>
      </c>
      <c r="E138" s="226" t="s">
        <v>65</v>
      </c>
      <c r="F138" s="225">
        <v>3231</v>
      </c>
      <c r="G138" s="226" t="s">
        <v>296</v>
      </c>
      <c r="H138" s="227" t="s">
        <v>271</v>
      </c>
      <c r="I138" s="423">
        <f>J138+P138+Q138+R138</f>
        <v>33145440</v>
      </c>
      <c r="J138" s="418">
        <f>K138+L138</f>
        <v>24559553</v>
      </c>
      <c r="K138" s="418">
        <v>23642050</v>
      </c>
      <c r="L138" s="418">
        <v>917503</v>
      </c>
      <c r="M138" s="418">
        <f>N138+O138</f>
        <v>0</v>
      </c>
      <c r="N138" s="418"/>
      <c r="O138" s="418"/>
      <c r="P138" s="68">
        <f>ROUND(J138*33.8%,0)</f>
        <v>8301129</v>
      </c>
      <c r="Q138" s="68">
        <f>ROUND(J138*1%,0)</f>
        <v>245596</v>
      </c>
      <c r="R138" s="418">
        <v>39162</v>
      </c>
      <c r="S138" s="419">
        <f>T138+U138</f>
        <v>40.008499999999998</v>
      </c>
      <c r="T138" s="420">
        <v>37.433999999999997</v>
      </c>
      <c r="U138" s="527">
        <v>2.5745</v>
      </c>
      <c r="V138" s="427">
        <f>AI138*-1</f>
        <v>-51200</v>
      </c>
      <c r="W138" s="421">
        <f>AJ138*-1</f>
        <v>0</v>
      </c>
      <c r="X138" s="421">
        <v>0</v>
      </c>
      <c r="Y138" s="421">
        <v>0</v>
      </c>
      <c r="Z138" s="421">
        <v>0</v>
      </c>
      <c r="AA138" s="421">
        <v>0</v>
      </c>
      <c r="AB138" s="421">
        <v>0</v>
      </c>
      <c r="AC138" s="421">
        <v>0</v>
      </c>
      <c r="AD138" s="421">
        <v>0</v>
      </c>
      <c r="AE138" s="421">
        <v>0</v>
      </c>
      <c r="AF138" s="421">
        <f>V138+X138+Y138+AA138+AB138+AD138</f>
        <v>-51200</v>
      </c>
      <c r="AG138" s="421">
        <f>W138+Z138+AC138+AE138</f>
        <v>0</v>
      </c>
      <c r="AH138" s="421">
        <f>SUM(AF138:AG138)</f>
        <v>-51200</v>
      </c>
      <c r="AI138" s="421">
        <v>51200</v>
      </c>
      <c r="AJ138" s="421">
        <v>0</v>
      </c>
      <c r="AK138" s="421">
        <v>0</v>
      </c>
      <c r="AL138" s="421">
        <v>0</v>
      </c>
      <c r="AM138" s="421">
        <v>0</v>
      </c>
      <c r="AN138" s="421">
        <v>0</v>
      </c>
      <c r="AO138" s="421">
        <f>AI138+AK138+AL138+AM138</f>
        <v>51200</v>
      </c>
      <c r="AP138" s="421">
        <f>AJ138+AN138</f>
        <v>0</v>
      </c>
      <c r="AQ138" s="421">
        <f>SUM(AO138:AP138)</f>
        <v>51200</v>
      </c>
      <c r="AR138" s="421">
        <f>AF138+AO138</f>
        <v>0</v>
      </c>
      <c r="AS138" s="421">
        <f>AG138+AP138</f>
        <v>0</v>
      </c>
      <c r="AT138" s="421">
        <f>SUM(AR138:AS138)</f>
        <v>0</v>
      </c>
      <c r="AU138" s="68">
        <f>ROUND((AH138+AI138+AJ138+AK138+AL138)*33.8%,0)</f>
        <v>0</v>
      </c>
      <c r="AV138" s="68">
        <f>ROUND(AH138*1%,0)</f>
        <v>-512</v>
      </c>
      <c r="AW138" s="421">
        <v>0</v>
      </c>
      <c r="AX138" s="421">
        <v>0</v>
      </c>
      <c r="AY138" s="421">
        <f>AW138+AX138</f>
        <v>0</v>
      </c>
      <c r="AZ138" s="421">
        <f>AT138+AU138+AV138+AY138</f>
        <v>-512</v>
      </c>
      <c r="BA138" s="422">
        <v>-0.05</v>
      </c>
      <c r="BB138" s="422">
        <v>0</v>
      </c>
      <c r="BC138" s="422">
        <v>0</v>
      </c>
      <c r="BD138" s="422">
        <v>0</v>
      </c>
      <c r="BE138" s="422">
        <v>0</v>
      </c>
      <c r="BF138" s="422">
        <v>0</v>
      </c>
      <c r="BG138" s="422">
        <v>0</v>
      </c>
      <c r="BH138" s="422">
        <v>0</v>
      </c>
      <c r="BI138" s="422">
        <v>0</v>
      </c>
      <c r="BJ138" s="422">
        <v>0</v>
      </c>
      <c r="BK138" s="422">
        <f>BA138+BC138+BD138+BF138+BH138+BI138</f>
        <v>-0.05</v>
      </c>
      <c r="BL138" s="422">
        <f>BB138+BE138+BG138+BJ138</f>
        <v>0</v>
      </c>
      <c r="BM138" s="611">
        <f>SUM(BK138:BL138)</f>
        <v>-0.05</v>
      </c>
      <c r="BN138" s="428">
        <f>I138+AZ138</f>
        <v>33144928</v>
      </c>
      <c r="BO138" s="421">
        <f>J138+AH138</f>
        <v>24508353</v>
      </c>
      <c r="BP138" s="421">
        <f>K138+AF138</f>
        <v>23590850</v>
      </c>
      <c r="BQ138" s="421">
        <f>L138+AG138</f>
        <v>917503</v>
      </c>
      <c r="BR138" s="421">
        <f>M138+AQ138</f>
        <v>51200</v>
      </c>
      <c r="BS138" s="421">
        <f>N138+AO138</f>
        <v>51200</v>
      </c>
      <c r="BT138" s="421">
        <f>O138+AP138</f>
        <v>0</v>
      </c>
      <c r="BU138" s="421">
        <f>P138+AU138</f>
        <v>8301129</v>
      </c>
      <c r="BV138" s="421">
        <f>Q138+AV138</f>
        <v>245084</v>
      </c>
      <c r="BW138" s="421">
        <f>R138+AY138</f>
        <v>39162</v>
      </c>
      <c r="BX138" s="422">
        <f>S138+BM138</f>
        <v>39.958500000000001</v>
      </c>
      <c r="BY138" s="422">
        <f>T138+BK138</f>
        <v>37.384</v>
      </c>
      <c r="BZ138" s="611">
        <f>U138+BL138</f>
        <v>2.5745</v>
      </c>
      <c r="CA138" s="423"/>
      <c r="CB138" s="418"/>
      <c r="CC138" s="418"/>
      <c r="CD138" s="418"/>
      <c r="CE138" s="418"/>
      <c r="CF138" s="527"/>
    </row>
    <row r="139" spans="1:84" s="222" customFormat="1" ht="12.75" customHeight="1" x14ac:dyDescent="0.2">
      <c r="A139" s="153">
        <v>29</v>
      </c>
      <c r="B139" s="14">
        <v>3455</v>
      </c>
      <c r="C139" s="152">
        <v>651040515</v>
      </c>
      <c r="D139" s="152">
        <v>75122308</v>
      </c>
      <c r="E139" s="223" t="s">
        <v>66</v>
      </c>
      <c r="F139" s="14"/>
      <c r="G139" s="223"/>
      <c r="H139" s="592"/>
      <c r="I139" s="522">
        <f t="shared" ref="I139:BU139" si="363">SUM(I138)</f>
        <v>33145440</v>
      </c>
      <c r="J139" s="521">
        <f t="shared" si="363"/>
        <v>24559553</v>
      </c>
      <c r="K139" s="521">
        <f t="shared" si="363"/>
        <v>23642050</v>
      </c>
      <c r="L139" s="521">
        <f t="shared" si="363"/>
        <v>917503</v>
      </c>
      <c r="M139" s="521">
        <f t="shared" si="363"/>
        <v>0</v>
      </c>
      <c r="N139" s="521">
        <f t="shared" si="363"/>
        <v>0</v>
      </c>
      <c r="O139" s="521">
        <f t="shared" si="363"/>
        <v>0</v>
      </c>
      <c r="P139" s="521">
        <f t="shared" si="363"/>
        <v>8301129</v>
      </c>
      <c r="Q139" s="521">
        <f t="shared" si="363"/>
        <v>245596</v>
      </c>
      <c r="R139" s="521">
        <f t="shared" si="363"/>
        <v>39162</v>
      </c>
      <c r="S139" s="572">
        <f t="shared" si="363"/>
        <v>40.008499999999998</v>
      </c>
      <c r="T139" s="572">
        <f t="shared" si="363"/>
        <v>37.433999999999997</v>
      </c>
      <c r="U139" s="448">
        <f t="shared" si="363"/>
        <v>2.5745</v>
      </c>
      <c r="V139" s="614">
        <f t="shared" si="363"/>
        <v>-51200</v>
      </c>
      <c r="W139" s="521">
        <f t="shared" si="363"/>
        <v>0</v>
      </c>
      <c r="X139" s="521">
        <f t="shared" si="363"/>
        <v>0</v>
      </c>
      <c r="Y139" s="521">
        <f t="shared" si="363"/>
        <v>0</v>
      </c>
      <c r="Z139" s="521">
        <f t="shared" si="363"/>
        <v>0</v>
      </c>
      <c r="AA139" s="521">
        <f t="shared" si="363"/>
        <v>0</v>
      </c>
      <c r="AB139" s="521">
        <f t="shared" si="363"/>
        <v>0</v>
      </c>
      <c r="AC139" s="521">
        <f t="shared" si="363"/>
        <v>0</v>
      </c>
      <c r="AD139" s="521">
        <f t="shared" si="363"/>
        <v>0</v>
      </c>
      <c r="AE139" s="521">
        <f t="shared" si="363"/>
        <v>0</v>
      </c>
      <c r="AF139" s="521">
        <f t="shared" si="363"/>
        <v>-51200</v>
      </c>
      <c r="AG139" s="521">
        <f t="shared" si="363"/>
        <v>0</v>
      </c>
      <c r="AH139" s="521">
        <f t="shared" si="363"/>
        <v>-51200</v>
      </c>
      <c r="AI139" s="521">
        <f t="shared" si="363"/>
        <v>51200</v>
      </c>
      <c r="AJ139" s="521">
        <f t="shared" si="363"/>
        <v>0</v>
      </c>
      <c r="AK139" s="521">
        <f t="shared" ref="AK139" si="364">SUM(AK138)</f>
        <v>0</v>
      </c>
      <c r="AL139" s="521">
        <f t="shared" si="363"/>
        <v>0</v>
      </c>
      <c r="AM139" s="521">
        <f t="shared" si="363"/>
        <v>0</v>
      </c>
      <c r="AN139" s="521">
        <f t="shared" si="363"/>
        <v>0</v>
      </c>
      <c r="AO139" s="521">
        <f t="shared" si="363"/>
        <v>51200</v>
      </c>
      <c r="AP139" s="521">
        <f t="shared" si="363"/>
        <v>0</v>
      </c>
      <c r="AQ139" s="521">
        <f t="shared" si="363"/>
        <v>51200</v>
      </c>
      <c r="AR139" s="521">
        <f t="shared" si="363"/>
        <v>0</v>
      </c>
      <c r="AS139" s="521">
        <f t="shared" si="363"/>
        <v>0</v>
      </c>
      <c r="AT139" s="521">
        <f t="shared" si="363"/>
        <v>0</v>
      </c>
      <c r="AU139" s="521">
        <f t="shared" si="363"/>
        <v>0</v>
      </c>
      <c r="AV139" s="521">
        <f t="shared" si="363"/>
        <v>-512</v>
      </c>
      <c r="AW139" s="521">
        <f t="shared" si="363"/>
        <v>0</v>
      </c>
      <c r="AX139" s="521">
        <f t="shared" si="363"/>
        <v>0</v>
      </c>
      <c r="AY139" s="521">
        <f t="shared" si="363"/>
        <v>0</v>
      </c>
      <c r="AZ139" s="521">
        <f t="shared" si="363"/>
        <v>-512</v>
      </c>
      <c r="BA139" s="572">
        <f t="shared" si="363"/>
        <v>-0.05</v>
      </c>
      <c r="BB139" s="572">
        <f t="shared" si="363"/>
        <v>0</v>
      </c>
      <c r="BC139" s="572">
        <f t="shared" si="363"/>
        <v>0</v>
      </c>
      <c r="BD139" s="572">
        <f t="shared" si="363"/>
        <v>0</v>
      </c>
      <c r="BE139" s="572">
        <f t="shared" si="363"/>
        <v>0</v>
      </c>
      <c r="BF139" s="572">
        <f t="shared" si="363"/>
        <v>0</v>
      </c>
      <c r="BG139" s="572">
        <f t="shared" si="363"/>
        <v>0</v>
      </c>
      <c r="BH139" s="572">
        <f t="shared" si="363"/>
        <v>0</v>
      </c>
      <c r="BI139" s="572">
        <f t="shared" si="363"/>
        <v>0</v>
      </c>
      <c r="BJ139" s="572">
        <f t="shared" si="363"/>
        <v>0</v>
      </c>
      <c r="BK139" s="572">
        <f t="shared" si="363"/>
        <v>-0.05</v>
      </c>
      <c r="BL139" s="572">
        <f t="shared" si="363"/>
        <v>0</v>
      </c>
      <c r="BM139" s="403">
        <f t="shared" si="363"/>
        <v>-0.05</v>
      </c>
      <c r="BN139" s="522">
        <f t="shared" si="363"/>
        <v>33144928</v>
      </c>
      <c r="BO139" s="521">
        <f t="shared" si="363"/>
        <v>24508353</v>
      </c>
      <c r="BP139" s="521">
        <f t="shared" si="363"/>
        <v>23590850</v>
      </c>
      <c r="BQ139" s="521">
        <f t="shared" si="363"/>
        <v>917503</v>
      </c>
      <c r="BR139" s="521">
        <f t="shared" si="363"/>
        <v>51200</v>
      </c>
      <c r="BS139" s="521">
        <f t="shared" si="363"/>
        <v>51200</v>
      </c>
      <c r="BT139" s="521">
        <f t="shared" si="363"/>
        <v>0</v>
      </c>
      <c r="BU139" s="521">
        <f t="shared" si="363"/>
        <v>8301129</v>
      </c>
      <c r="BV139" s="521">
        <f t="shared" ref="BV139:CF139" si="365">SUM(BV138)</f>
        <v>245084</v>
      </c>
      <c r="BW139" s="521">
        <f t="shared" si="365"/>
        <v>39162</v>
      </c>
      <c r="BX139" s="572">
        <f t="shared" si="365"/>
        <v>39.958500000000001</v>
      </c>
      <c r="BY139" s="572">
        <f t="shared" si="365"/>
        <v>37.384</v>
      </c>
      <c r="BZ139" s="403">
        <f t="shared" si="365"/>
        <v>2.5745</v>
      </c>
      <c r="CA139" s="833">
        <f t="shared" si="365"/>
        <v>0</v>
      </c>
      <c r="CB139" s="834">
        <f t="shared" si="365"/>
        <v>0</v>
      </c>
      <c r="CC139" s="834">
        <f t="shared" si="365"/>
        <v>0</v>
      </c>
      <c r="CD139" s="834">
        <f t="shared" si="365"/>
        <v>0</v>
      </c>
      <c r="CE139" s="834">
        <f t="shared" si="365"/>
        <v>0</v>
      </c>
      <c r="CF139" s="829">
        <f t="shared" si="365"/>
        <v>0</v>
      </c>
    </row>
    <row r="140" spans="1:84" s="222" customFormat="1" ht="12.75" customHeight="1" x14ac:dyDescent="0.2">
      <c r="A140" s="224">
        <v>30</v>
      </c>
      <c r="B140" s="225">
        <v>3419</v>
      </c>
      <c r="C140" s="225">
        <v>600078434</v>
      </c>
      <c r="D140" s="225">
        <v>72742658</v>
      </c>
      <c r="E140" s="226" t="s">
        <v>67</v>
      </c>
      <c r="F140" s="225">
        <v>3111</v>
      </c>
      <c r="G140" s="226" t="s">
        <v>291</v>
      </c>
      <c r="H140" s="227" t="s">
        <v>271</v>
      </c>
      <c r="I140" s="423">
        <f t="shared" ref="I140:I146" si="366">J140+P140+Q140+R140</f>
        <v>3060363</v>
      </c>
      <c r="J140" s="418">
        <f t="shared" ref="J140:J146" si="367">K140+L140</f>
        <v>2262376</v>
      </c>
      <c r="K140" s="418">
        <v>2142568</v>
      </c>
      <c r="L140" s="418">
        <v>119808</v>
      </c>
      <c r="M140" s="418">
        <f t="shared" ref="M140:M146" si="368">N140+O140</f>
        <v>0</v>
      </c>
      <c r="N140" s="418"/>
      <c r="O140" s="418"/>
      <c r="P140" s="68">
        <f t="shared" ref="P140:P146" si="369">ROUND(J140*33.8%,0)</f>
        <v>764683</v>
      </c>
      <c r="Q140" s="68">
        <f t="shared" ref="Q140:Q146" si="370">ROUND(J140*1%,0)</f>
        <v>22624</v>
      </c>
      <c r="R140" s="418">
        <v>10680</v>
      </c>
      <c r="S140" s="419">
        <f t="shared" ref="S140:S146" si="371">T140+U140</f>
        <v>4.3</v>
      </c>
      <c r="T140" s="420">
        <v>3.82</v>
      </c>
      <c r="U140" s="527">
        <v>0.48</v>
      </c>
      <c r="V140" s="427">
        <f t="shared" ref="V140:W146" si="372">AI140*-1</f>
        <v>0</v>
      </c>
      <c r="W140" s="421">
        <f t="shared" si="372"/>
        <v>0</v>
      </c>
      <c r="X140" s="421">
        <v>0</v>
      </c>
      <c r="Y140" s="421">
        <v>0</v>
      </c>
      <c r="Z140" s="421">
        <v>0</v>
      </c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f t="shared" ref="AF140:AF146" si="373">V140+X140+Y140+AA140+AB140+AD140</f>
        <v>0</v>
      </c>
      <c r="AG140" s="421">
        <f t="shared" ref="AG140:AG146" si="374">W140+Z140+AC140+AE140</f>
        <v>0</v>
      </c>
      <c r="AH140" s="421">
        <f t="shared" ref="AH140:AH146" si="375">SUM(AF140:AG140)</f>
        <v>0</v>
      </c>
      <c r="AI140" s="421">
        <v>0</v>
      </c>
      <c r="AJ140" s="421">
        <v>0</v>
      </c>
      <c r="AK140" s="421">
        <v>0</v>
      </c>
      <c r="AL140" s="421">
        <v>0</v>
      </c>
      <c r="AM140" s="421">
        <v>0</v>
      </c>
      <c r="AN140" s="421">
        <v>0</v>
      </c>
      <c r="AO140" s="421">
        <f t="shared" ref="AO140:AO146" si="376">AI140+AK140+AL140+AM140</f>
        <v>0</v>
      </c>
      <c r="AP140" s="421">
        <f t="shared" ref="AP140:AP146" si="377">AJ140+AN140</f>
        <v>0</v>
      </c>
      <c r="AQ140" s="421">
        <f t="shared" ref="AQ140:AQ146" si="378">SUM(AO140:AP140)</f>
        <v>0</v>
      </c>
      <c r="AR140" s="421">
        <f t="shared" ref="AR140:AS146" si="379">AF140+AO140</f>
        <v>0</v>
      </c>
      <c r="AS140" s="421">
        <f t="shared" si="379"/>
        <v>0</v>
      </c>
      <c r="AT140" s="421">
        <f t="shared" ref="AT140:AT146" si="380">SUM(AR140:AS140)</f>
        <v>0</v>
      </c>
      <c r="AU140" s="68">
        <f t="shared" ref="AU140:AU146" si="381">ROUND((AH140+AI140+AJ140+AK140+AL140)*33.8%,0)</f>
        <v>0</v>
      </c>
      <c r="AV140" s="68">
        <f t="shared" ref="AV140:AV146" si="382">ROUND(AH140*1%,0)</f>
        <v>0</v>
      </c>
      <c r="AW140" s="421">
        <v>0</v>
      </c>
      <c r="AX140" s="421">
        <v>0</v>
      </c>
      <c r="AY140" s="421">
        <f t="shared" ref="AY140:AY146" si="383">AW140+AX140</f>
        <v>0</v>
      </c>
      <c r="AZ140" s="421">
        <f t="shared" ref="AZ140:AZ146" si="384">AT140+AU140+AV140+AY140</f>
        <v>0</v>
      </c>
      <c r="BA140" s="422">
        <v>0</v>
      </c>
      <c r="BB140" s="422">
        <v>0</v>
      </c>
      <c r="BC140" s="422">
        <v>0</v>
      </c>
      <c r="BD140" s="422">
        <v>0</v>
      </c>
      <c r="BE140" s="422">
        <v>0</v>
      </c>
      <c r="BF140" s="422">
        <v>0</v>
      </c>
      <c r="BG140" s="422">
        <v>0</v>
      </c>
      <c r="BH140" s="422">
        <v>0</v>
      </c>
      <c r="BI140" s="422">
        <v>0</v>
      </c>
      <c r="BJ140" s="422">
        <v>0</v>
      </c>
      <c r="BK140" s="422">
        <f t="shared" ref="BK140:BK146" si="385">BA140+BC140+BD140+BF140+BH140+BI140</f>
        <v>0</v>
      </c>
      <c r="BL140" s="422">
        <f t="shared" ref="BL140:BL146" si="386">BB140+BE140+BG140+BJ140</f>
        <v>0</v>
      </c>
      <c r="BM140" s="611">
        <f t="shared" ref="BM140:BM146" si="387">SUM(BK140:BL140)</f>
        <v>0</v>
      </c>
      <c r="BN140" s="428">
        <f t="shared" ref="BN140:BN146" si="388">I140+AZ140</f>
        <v>3060363</v>
      </c>
      <c r="BO140" s="421">
        <f t="shared" ref="BO140:BO146" si="389">J140+AH140</f>
        <v>2262376</v>
      </c>
      <c r="BP140" s="421">
        <f t="shared" ref="BP140:BQ146" si="390">K140+AF140</f>
        <v>2142568</v>
      </c>
      <c r="BQ140" s="421">
        <f t="shared" si="390"/>
        <v>119808</v>
      </c>
      <c r="BR140" s="421">
        <f t="shared" ref="BR140:BR146" si="391">M140+AQ140</f>
        <v>0</v>
      </c>
      <c r="BS140" s="421">
        <f t="shared" ref="BS140:BT146" si="392">N140+AO140</f>
        <v>0</v>
      </c>
      <c r="BT140" s="421">
        <f t="shared" si="392"/>
        <v>0</v>
      </c>
      <c r="BU140" s="421">
        <f t="shared" ref="BU140:BV146" si="393">P140+AU140</f>
        <v>764683</v>
      </c>
      <c r="BV140" s="421">
        <f t="shared" si="393"/>
        <v>22624</v>
      </c>
      <c r="BW140" s="421">
        <f t="shared" ref="BW140:BW146" si="394">R140+AY140</f>
        <v>10680</v>
      </c>
      <c r="BX140" s="422">
        <f t="shared" ref="BX140:BX146" si="395">S140+BM140</f>
        <v>4.3</v>
      </c>
      <c r="BY140" s="422">
        <f t="shared" ref="BY140:BZ146" si="396">T140+BK140</f>
        <v>3.82</v>
      </c>
      <c r="BZ140" s="611">
        <f t="shared" si="396"/>
        <v>0.48</v>
      </c>
      <c r="CA140" s="423"/>
      <c r="CB140" s="418"/>
      <c r="CC140" s="418"/>
      <c r="CD140" s="418"/>
      <c r="CE140" s="418"/>
      <c r="CF140" s="527"/>
    </row>
    <row r="141" spans="1:84" s="222" customFormat="1" ht="12.75" customHeight="1" x14ac:dyDescent="0.2">
      <c r="A141" s="224">
        <v>30</v>
      </c>
      <c r="B141" s="225">
        <v>3419</v>
      </c>
      <c r="C141" s="225">
        <v>600078434</v>
      </c>
      <c r="D141" s="225">
        <v>72742658</v>
      </c>
      <c r="E141" s="226" t="s">
        <v>67</v>
      </c>
      <c r="F141" s="225">
        <v>3113</v>
      </c>
      <c r="G141" s="226" t="s">
        <v>294</v>
      </c>
      <c r="H141" s="227" t="s">
        <v>271</v>
      </c>
      <c r="I141" s="423">
        <f t="shared" si="366"/>
        <v>13434692</v>
      </c>
      <c r="J141" s="418">
        <f t="shared" si="367"/>
        <v>9830113</v>
      </c>
      <c r="K141" s="418">
        <v>8852567</v>
      </c>
      <c r="L141" s="418">
        <v>977546</v>
      </c>
      <c r="M141" s="418">
        <f t="shared" si="368"/>
        <v>0</v>
      </c>
      <c r="N141" s="418"/>
      <c r="O141" s="418"/>
      <c r="P141" s="68">
        <f>ROUND(J141*33.8%,0)+1</f>
        <v>3322579</v>
      </c>
      <c r="Q141" s="68">
        <f t="shared" si="370"/>
        <v>98301</v>
      </c>
      <c r="R141" s="418">
        <v>183699</v>
      </c>
      <c r="S141" s="419">
        <f t="shared" si="371"/>
        <v>15.2942</v>
      </c>
      <c r="T141" s="420">
        <v>12.454499999999999</v>
      </c>
      <c r="U141" s="527">
        <v>2.8396999999999997</v>
      </c>
      <c r="V141" s="427">
        <f t="shared" si="372"/>
        <v>-23936</v>
      </c>
      <c r="W141" s="421">
        <f t="shared" si="372"/>
        <v>-11520</v>
      </c>
      <c r="X141" s="421">
        <v>0</v>
      </c>
      <c r="Y141" s="421">
        <v>0</v>
      </c>
      <c r="Z141" s="421">
        <v>0</v>
      </c>
      <c r="AA141" s="421">
        <v>150274</v>
      </c>
      <c r="AB141" s="421">
        <v>0</v>
      </c>
      <c r="AC141" s="421">
        <v>0</v>
      </c>
      <c r="AD141" s="421">
        <v>0</v>
      </c>
      <c r="AE141" s="421">
        <v>0</v>
      </c>
      <c r="AF141" s="421">
        <f t="shared" si="373"/>
        <v>126338</v>
      </c>
      <c r="AG141" s="421">
        <f t="shared" si="374"/>
        <v>-11520</v>
      </c>
      <c r="AH141" s="421">
        <f t="shared" si="375"/>
        <v>114818</v>
      </c>
      <c r="AI141" s="421">
        <v>23936</v>
      </c>
      <c r="AJ141" s="421">
        <v>11520</v>
      </c>
      <c r="AK141" s="421">
        <v>0</v>
      </c>
      <c r="AL141" s="421">
        <v>0</v>
      </c>
      <c r="AM141" s="421">
        <v>0</v>
      </c>
      <c r="AN141" s="421">
        <v>0</v>
      </c>
      <c r="AO141" s="421">
        <f t="shared" si="376"/>
        <v>23936</v>
      </c>
      <c r="AP141" s="421">
        <f t="shared" si="377"/>
        <v>11520</v>
      </c>
      <c r="AQ141" s="421">
        <f t="shared" si="378"/>
        <v>35456</v>
      </c>
      <c r="AR141" s="421">
        <f t="shared" si="379"/>
        <v>150274</v>
      </c>
      <c r="AS141" s="421">
        <f t="shared" si="379"/>
        <v>0</v>
      </c>
      <c r="AT141" s="421">
        <f t="shared" si="380"/>
        <v>150274</v>
      </c>
      <c r="AU141" s="68">
        <f t="shared" si="381"/>
        <v>50793</v>
      </c>
      <c r="AV141" s="68">
        <f t="shared" si="382"/>
        <v>1148</v>
      </c>
      <c r="AW141" s="421">
        <v>0</v>
      </c>
      <c r="AX141" s="421">
        <v>0</v>
      </c>
      <c r="AY141" s="421">
        <f t="shared" si="383"/>
        <v>0</v>
      </c>
      <c r="AZ141" s="421">
        <f t="shared" si="384"/>
        <v>202215</v>
      </c>
      <c r="BA141" s="422">
        <v>-0.04</v>
      </c>
      <c r="BB141" s="422">
        <v>-0.04</v>
      </c>
      <c r="BC141" s="422">
        <v>0</v>
      </c>
      <c r="BD141" s="422">
        <v>0</v>
      </c>
      <c r="BE141" s="422">
        <v>0</v>
      </c>
      <c r="BF141" s="422">
        <v>0</v>
      </c>
      <c r="BG141" s="422">
        <v>0</v>
      </c>
      <c r="BH141" s="422">
        <v>0.21</v>
      </c>
      <c r="BI141" s="422">
        <v>0</v>
      </c>
      <c r="BJ141" s="422">
        <v>0</v>
      </c>
      <c r="BK141" s="422">
        <f t="shared" si="385"/>
        <v>0.16999999999999998</v>
      </c>
      <c r="BL141" s="422">
        <f t="shared" si="386"/>
        <v>-0.04</v>
      </c>
      <c r="BM141" s="611">
        <f t="shared" si="387"/>
        <v>0.12999999999999998</v>
      </c>
      <c r="BN141" s="428">
        <f t="shared" si="388"/>
        <v>13636907</v>
      </c>
      <c r="BO141" s="421">
        <f t="shared" si="389"/>
        <v>9944931</v>
      </c>
      <c r="BP141" s="421">
        <f t="shared" si="390"/>
        <v>8978905</v>
      </c>
      <c r="BQ141" s="421">
        <f t="shared" si="390"/>
        <v>966026</v>
      </c>
      <c r="BR141" s="421">
        <f t="shared" si="391"/>
        <v>35456</v>
      </c>
      <c r="BS141" s="421">
        <f t="shared" si="392"/>
        <v>23936</v>
      </c>
      <c r="BT141" s="421">
        <f t="shared" si="392"/>
        <v>11520</v>
      </c>
      <c r="BU141" s="421">
        <f t="shared" si="393"/>
        <v>3373372</v>
      </c>
      <c r="BV141" s="421">
        <f t="shared" si="393"/>
        <v>99449</v>
      </c>
      <c r="BW141" s="421">
        <f t="shared" si="394"/>
        <v>183699</v>
      </c>
      <c r="BX141" s="422">
        <f t="shared" si="395"/>
        <v>15.424200000000001</v>
      </c>
      <c r="BY141" s="422">
        <f t="shared" si="396"/>
        <v>12.624499999999999</v>
      </c>
      <c r="BZ141" s="611">
        <f t="shared" si="396"/>
        <v>2.7996999999999996</v>
      </c>
      <c r="CA141" s="423"/>
      <c r="CB141" s="418"/>
      <c r="CC141" s="418"/>
      <c r="CD141" s="418"/>
      <c r="CE141" s="418"/>
      <c r="CF141" s="527"/>
    </row>
    <row r="142" spans="1:84" s="222" customFormat="1" x14ac:dyDescent="0.2">
      <c r="A142" s="224">
        <v>30</v>
      </c>
      <c r="B142" s="225">
        <v>3419</v>
      </c>
      <c r="C142" s="225">
        <v>600078434</v>
      </c>
      <c r="D142" s="225">
        <v>72742658</v>
      </c>
      <c r="E142" s="226" t="s">
        <v>67</v>
      </c>
      <c r="F142" s="225">
        <v>3113</v>
      </c>
      <c r="G142" s="226" t="s">
        <v>292</v>
      </c>
      <c r="H142" s="227" t="s">
        <v>272</v>
      </c>
      <c r="I142" s="423">
        <f t="shared" si="366"/>
        <v>0</v>
      </c>
      <c r="J142" s="418">
        <f t="shared" si="367"/>
        <v>0</v>
      </c>
      <c r="K142" s="418">
        <v>0</v>
      </c>
      <c r="L142" s="418">
        <v>0</v>
      </c>
      <c r="M142" s="418">
        <f t="shared" si="368"/>
        <v>0</v>
      </c>
      <c r="N142" s="418"/>
      <c r="O142" s="418"/>
      <c r="P142" s="68">
        <f t="shared" si="369"/>
        <v>0</v>
      </c>
      <c r="Q142" s="68">
        <f t="shared" si="370"/>
        <v>0</v>
      </c>
      <c r="R142" s="418">
        <v>0</v>
      </c>
      <c r="S142" s="419">
        <f t="shared" si="371"/>
        <v>0</v>
      </c>
      <c r="T142" s="420">
        <v>0</v>
      </c>
      <c r="U142" s="527">
        <v>0</v>
      </c>
      <c r="V142" s="427">
        <f t="shared" si="372"/>
        <v>0</v>
      </c>
      <c r="W142" s="421">
        <f t="shared" si="372"/>
        <v>0</v>
      </c>
      <c r="X142" s="421">
        <f>1112404+231751</f>
        <v>1344155</v>
      </c>
      <c r="Y142" s="421">
        <v>0</v>
      </c>
      <c r="Z142" s="421">
        <v>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f t="shared" si="373"/>
        <v>1344155</v>
      </c>
      <c r="AG142" s="421">
        <f t="shared" si="374"/>
        <v>0</v>
      </c>
      <c r="AH142" s="421">
        <f t="shared" si="375"/>
        <v>1344155</v>
      </c>
      <c r="AI142" s="421">
        <v>0</v>
      </c>
      <c r="AJ142" s="421">
        <v>0</v>
      </c>
      <c r="AK142" s="421">
        <v>0</v>
      </c>
      <c r="AL142" s="421">
        <v>0</v>
      </c>
      <c r="AM142" s="421">
        <v>0</v>
      </c>
      <c r="AN142" s="421">
        <v>0</v>
      </c>
      <c r="AO142" s="421">
        <f t="shared" si="376"/>
        <v>0</v>
      </c>
      <c r="AP142" s="421">
        <f t="shared" si="377"/>
        <v>0</v>
      </c>
      <c r="AQ142" s="421">
        <f t="shared" si="378"/>
        <v>0</v>
      </c>
      <c r="AR142" s="421">
        <f t="shared" si="379"/>
        <v>1344155</v>
      </c>
      <c r="AS142" s="421">
        <f t="shared" si="379"/>
        <v>0</v>
      </c>
      <c r="AT142" s="421">
        <f t="shared" si="380"/>
        <v>1344155</v>
      </c>
      <c r="AU142" s="68">
        <f t="shared" si="381"/>
        <v>454324</v>
      </c>
      <c r="AV142" s="68">
        <f t="shared" si="382"/>
        <v>13442</v>
      </c>
      <c r="AW142" s="421">
        <v>0</v>
      </c>
      <c r="AX142" s="421">
        <v>0</v>
      </c>
      <c r="AY142" s="421">
        <f t="shared" si="383"/>
        <v>0</v>
      </c>
      <c r="AZ142" s="421">
        <f t="shared" si="384"/>
        <v>1811921</v>
      </c>
      <c r="BA142" s="422">
        <v>0</v>
      </c>
      <c r="BB142" s="422">
        <v>0</v>
      </c>
      <c r="BC142" s="422">
        <f>3+0.63</f>
        <v>3.63</v>
      </c>
      <c r="BD142" s="422">
        <v>0</v>
      </c>
      <c r="BE142" s="422">
        <v>0</v>
      </c>
      <c r="BF142" s="422">
        <v>0</v>
      </c>
      <c r="BG142" s="422">
        <v>0</v>
      </c>
      <c r="BH142" s="422">
        <v>0</v>
      </c>
      <c r="BI142" s="422">
        <v>0</v>
      </c>
      <c r="BJ142" s="422">
        <v>0</v>
      </c>
      <c r="BK142" s="422">
        <f t="shared" si="385"/>
        <v>3.63</v>
      </c>
      <c r="BL142" s="422">
        <f t="shared" si="386"/>
        <v>0</v>
      </c>
      <c r="BM142" s="611">
        <f t="shared" si="387"/>
        <v>3.63</v>
      </c>
      <c r="BN142" s="428">
        <f t="shared" si="388"/>
        <v>1811921</v>
      </c>
      <c r="BO142" s="421">
        <f t="shared" si="389"/>
        <v>1344155</v>
      </c>
      <c r="BP142" s="421">
        <f t="shared" si="390"/>
        <v>1344155</v>
      </c>
      <c r="BQ142" s="421">
        <f t="shared" si="390"/>
        <v>0</v>
      </c>
      <c r="BR142" s="421">
        <f t="shared" si="391"/>
        <v>0</v>
      </c>
      <c r="BS142" s="421">
        <f t="shared" si="392"/>
        <v>0</v>
      </c>
      <c r="BT142" s="421">
        <f t="shared" si="392"/>
        <v>0</v>
      </c>
      <c r="BU142" s="421">
        <f t="shared" si="393"/>
        <v>454324</v>
      </c>
      <c r="BV142" s="421">
        <f t="shared" si="393"/>
        <v>13442</v>
      </c>
      <c r="BW142" s="421">
        <f t="shared" si="394"/>
        <v>0</v>
      </c>
      <c r="BX142" s="422">
        <f t="shared" si="395"/>
        <v>3.63</v>
      </c>
      <c r="BY142" s="422">
        <f t="shared" si="396"/>
        <v>3.63</v>
      </c>
      <c r="BZ142" s="611">
        <f t="shared" si="396"/>
        <v>0</v>
      </c>
      <c r="CA142" s="423"/>
      <c r="CB142" s="418"/>
      <c r="CC142" s="418"/>
      <c r="CD142" s="418"/>
      <c r="CE142" s="418"/>
      <c r="CF142" s="527"/>
    </row>
    <row r="143" spans="1:84" s="222" customFormat="1" ht="12.75" customHeight="1" x14ac:dyDescent="0.2">
      <c r="A143" s="224">
        <v>30</v>
      </c>
      <c r="B143" s="225">
        <v>3419</v>
      </c>
      <c r="C143" s="225">
        <v>600078434</v>
      </c>
      <c r="D143" s="225">
        <v>72742658</v>
      </c>
      <c r="E143" s="226" t="s">
        <v>67</v>
      </c>
      <c r="F143" s="225">
        <v>3141</v>
      </c>
      <c r="G143" s="226" t="s">
        <v>295</v>
      </c>
      <c r="H143" s="227" t="s">
        <v>272</v>
      </c>
      <c r="I143" s="423">
        <f t="shared" si="366"/>
        <v>1299023</v>
      </c>
      <c r="J143" s="418">
        <f t="shared" si="367"/>
        <v>958188</v>
      </c>
      <c r="K143" s="418">
        <v>0</v>
      </c>
      <c r="L143" s="418">
        <v>958188</v>
      </c>
      <c r="M143" s="418">
        <f t="shared" si="368"/>
        <v>0</v>
      </c>
      <c r="N143" s="418"/>
      <c r="O143" s="418"/>
      <c r="P143" s="68">
        <f t="shared" si="369"/>
        <v>323868</v>
      </c>
      <c r="Q143" s="68">
        <f t="shared" si="370"/>
        <v>9582</v>
      </c>
      <c r="R143" s="418">
        <v>7385</v>
      </c>
      <c r="S143" s="419">
        <f t="shared" si="371"/>
        <v>2.87</v>
      </c>
      <c r="T143" s="420">
        <v>0</v>
      </c>
      <c r="U143" s="527">
        <v>2.87</v>
      </c>
      <c r="V143" s="427">
        <f t="shared" si="372"/>
        <v>0</v>
      </c>
      <c r="W143" s="421">
        <f t="shared" si="372"/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f t="shared" si="373"/>
        <v>0</v>
      </c>
      <c r="AG143" s="421">
        <f t="shared" si="374"/>
        <v>0</v>
      </c>
      <c r="AH143" s="421">
        <f t="shared" si="375"/>
        <v>0</v>
      </c>
      <c r="AI143" s="421">
        <v>0</v>
      </c>
      <c r="AJ143" s="421">
        <v>0</v>
      </c>
      <c r="AK143" s="421">
        <v>0</v>
      </c>
      <c r="AL143" s="421">
        <v>0</v>
      </c>
      <c r="AM143" s="421">
        <v>0</v>
      </c>
      <c r="AN143" s="421">
        <v>0</v>
      </c>
      <c r="AO143" s="421">
        <f t="shared" si="376"/>
        <v>0</v>
      </c>
      <c r="AP143" s="421">
        <f t="shared" si="377"/>
        <v>0</v>
      </c>
      <c r="AQ143" s="421">
        <f t="shared" si="378"/>
        <v>0</v>
      </c>
      <c r="AR143" s="421">
        <f t="shared" si="379"/>
        <v>0</v>
      </c>
      <c r="AS143" s="421">
        <f t="shared" si="379"/>
        <v>0</v>
      </c>
      <c r="AT143" s="421">
        <f t="shared" si="380"/>
        <v>0</v>
      </c>
      <c r="AU143" s="68">
        <f t="shared" si="381"/>
        <v>0</v>
      </c>
      <c r="AV143" s="68">
        <f t="shared" si="382"/>
        <v>0</v>
      </c>
      <c r="AW143" s="421">
        <v>0</v>
      </c>
      <c r="AX143" s="421">
        <v>0</v>
      </c>
      <c r="AY143" s="421">
        <f t="shared" si="383"/>
        <v>0</v>
      </c>
      <c r="AZ143" s="421">
        <f t="shared" si="384"/>
        <v>0</v>
      </c>
      <c r="BA143" s="422">
        <v>0</v>
      </c>
      <c r="BB143" s="422">
        <v>0</v>
      </c>
      <c r="BC143" s="422">
        <v>0</v>
      </c>
      <c r="BD143" s="422">
        <v>0</v>
      </c>
      <c r="BE143" s="422">
        <v>0</v>
      </c>
      <c r="BF143" s="422">
        <v>0</v>
      </c>
      <c r="BG143" s="422">
        <v>0</v>
      </c>
      <c r="BH143" s="422">
        <v>0</v>
      </c>
      <c r="BI143" s="422">
        <v>0</v>
      </c>
      <c r="BJ143" s="422">
        <v>0</v>
      </c>
      <c r="BK143" s="422">
        <f t="shared" si="385"/>
        <v>0</v>
      </c>
      <c r="BL143" s="422">
        <f t="shared" si="386"/>
        <v>0</v>
      </c>
      <c r="BM143" s="611">
        <f t="shared" si="387"/>
        <v>0</v>
      </c>
      <c r="BN143" s="428">
        <f t="shared" si="388"/>
        <v>1299023</v>
      </c>
      <c r="BO143" s="421">
        <f t="shared" si="389"/>
        <v>958188</v>
      </c>
      <c r="BP143" s="421">
        <f t="shared" si="390"/>
        <v>0</v>
      </c>
      <c r="BQ143" s="421">
        <f t="shared" si="390"/>
        <v>958188</v>
      </c>
      <c r="BR143" s="421">
        <f t="shared" si="391"/>
        <v>0</v>
      </c>
      <c r="BS143" s="421">
        <f t="shared" si="392"/>
        <v>0</v>
      </c>
      <c r="BT143" s="421">
        <f t="shared" si="392"/>
        <v>0</v>
      </c>
      <c r="BU143" s="421">
        <f t="shared" si="393"/>
        <v>323868</v>
      </c>
      <c r="BV143" s="421">
        <f t="shared" si="393"/>
        <v>9582</v>
      </c>
      <c r="BW143" s="421">
        <f t="shared" si="394"/>
        <v>7385</v>
      </c>
      <c r="BX143" s="422">
        <f t="shared" si="395"/>
        <v>2.87</v>
      </c>
      <c r="BY143" s="422">
        <f t="shared" si="396"/>
        <v>0</v>
      </c>
      <c r="BZ143" s="611">
        <f t="shared" si="396"/>
        <v>2.87</v>
      </c>
      <c r="CA143" s="423"/>
      <c r="CB143" s="418"/>
      <c r="CC143" s="418"/>
      <c r="CD143" s="418"/>
      <c r="CE143" s="418"/>
      <c r="CF143" s="527"/>
    </row>
    <row r="144" spans="1:84" s="222" customFormat="1" ht="12.75" customHeight="1" x14ac:dyDescent="0.2">
      <c r="A144" s="224">
        <v>30</v>
      </c>
      <c r="B144" s="225">
        <v>3419</v>
      </c>
      <c r="C144" s="225">
        <v>600078434</v>
      </c>
      <c r="D144" s="225">
        <v>72742658</v>
      </c>
      <c r="E144" s="226" t="s">
        <v>67</v>
      </c>
      <c r="F144" s="225">
        <v>3143</v>
      </c>
      <c r="G144" s="226" t="s">
        <v>596</v>
      </c>
      <c r="H144" s="227" t="s">
        <v>271</v>
      </c>
      <c r="I144" s="423">
        <f t="shared" si="366"/>
        <v>903472</v>
      </c>
      <c r="J144" s="418">
        <f t="shared" si="367"/>
        <v>670232</v>
      </c>
      <c r="K144" s="418">
        <v>670232</v>
      </c>
      <c r="L144" s="418">
        <v>0</v>
      </c>
      <c r="M144" s="418">
        <f t="shared" si="368"/>
        <v>0</v>
      </c>
      <c r="N144" s="418"/>
      <c r="O144" s="418"/>
      <c r="P144" s="68">
        <f t="shared" si="369"/>
        <v>226538</v>
      </c>
      <c r="Q144" s="68">
        <f t="shared" si="370"/>
        <v>6702</v>
      </c>
      <c r="R144" s="418">
        <v>0</v>
      </c>
      <c r="S144" s="419">
        <f t="shared" si="371"/>
        <v>1.29</v>
      </c>
      <c r="T144" s="420">
        <v>1.29</v>
      </c>
      <c r="U144" s="527">
        <v>0</v>
      </c>
      <c r="V144" s="427">
        <f t="shared" si="372"/>
        <v>0</v>
      </c>
      <c r="W144" s="421">
        <f t="shared" si="372"/>
        <v>0</v>
      </c>
      <c r="X144" s="421">
        <v>0</v>
      </c>
      <c r="Y144" s="421">
        <v>0</v>
      </c>
      <c r="Z144" s="421">
        <v>0</v>
      </c>
      <c r="AA144" s="421">
        <v>0</v>
      </c>
      <c r="AB144" s="421">
        <v>0</v>
      </c>
      <c r="AC144" s="421">
        <v>0</v>
      </c>
      <c r="AD144" s="421">
        <v>0</v>
      </c>
      <c r="AE144" s="421">
        <v>0</v>
      </c>
      <c r="AF144" s="421">
        <f t="shared" si="373"/>
        <v>0</v>
      </c>
      <c r="AG144" s="421">
        <f t="shared" si="374"/>
        <v>0</v>
      </c>
      <c r="AH144" s="421">
        <f t="shared" si="375"/>
        <v>0</v>
      </c>
      <c r="AI144" s="421">
        <v>0</v>
      </c>
      <c r="AJ144" s="421">
        <v>0</v>
      </c>
      <c r="AK144" s="421">
        <v>0</v>
      </c>
      <c r="AL144" s="421">
        <v>0</v>
      </c>
      <c r="AM144" s="421">
        <v>0</v>
      </c>
      <c r="AN144" s="421">
        <v>0</v>
      </c>
      <c r="AO144" s="421">
        <f t="shared" si="376"/>
        <v>0</v>
      </c>
      <c r="AP144" s="421">
        <f t="shared" si="377"/>
        <v>0</v>
      </c>
      <c r="AQ144" s="421">
        <f t="shared" si="378"/>
        <v>0</v>
      </c>
      <c r="AR144" s="421">
        <f t="shared" si="379"/>
        <v>0</v>
      </c>
      <c r="AS144" s="421">
        <f t="shared" si="379"/>
        <v>0</v>
      </c>
      <c r="AT144" s="421">
        <f t="shared" si="380"/>
        <v>0</v>
      </c>
      <c r="AU144" s="68">
        <f t="shared" si="381"/>
        <v>0</v>
      </c>
      <c r="AV144" s="68">
        <f t="shared" si="382"/>
        <v>0</v>
      </c>
      <c r="AW144" s="421">
        <v>0</v>
      </c>
      <c r="AX144" s="421">
        <v>0</v>
      </c>
      <c r="AY144" s="421">
        <f t="shared" si="383"/>
        <v>0</v>
      </c>
      <c r="AZ144" s="421">
        <f t="shared" si="384"/>
        <v>0</v>
      </c>
      <c r="BA144" s="422">
        <v>0</v>
      </c>
      <c r="BB144" s="422">
        <v>0</v>
      </c>
      <c r="BC144" s="422">
        <v>0</v>
      </c>
      <c r="BD144" s="422">
        <v>0</v>
      </c>
      <c r="BE144" s="422">
        <v>0</v>
      </c>
      <c r="BF144" s="422">
        <v>0</v>
      </c>
      <c r="BG144" s="422">
        <v>0</v>
      </c>
      <c r="BH144" s="422">
        <v>0</v>
      </c>
      <c r="BI144" s="422">
        <v>0</v>
      </c>
      <c r="BJ144" s="422">
        <v>0</v>
      </c>
      <c r="BK144" s="422">
        <f t="shared" si="385"/>
        <v>0</v>
      </c>
      <c r="BL144" s="422">
        <f t="shared" si="386"/>
        <v>0</v>
      </c>
      <c r="BM144" s="611">
        <f t="shared" si="387"/>
        <v>0</v>
      </c>
      <c r="BN144" s="428">
        <f t="shared" si="388"/>
        <v>903472</v>
      </c>
      <c r="BO144" s="421">
        <f t="shared" si="389"/>
        <v>670232</v>
      </c>
      <c r="BP144" s="421">
        <f t="shared" si="390"/>
        <v>670232</v>
      </c>
      <c r="BQ144" s="421">
        <f t="shared" si="390"/>
        <v>0</v>
      </c>
      <c r="BR144" s="421">
        <f t="shared" si="391"/>
        <v>0</v>
      </c>
      <c r="BS144" s="421">
        <f t="shared" si="392"/>
        <v>0</v>
      </c>
      <c r="BT144" s="421">
        <f t="shared" si="392"/>
        <v>0</v>
      </c>
      <c r="BU144" s="421">
        <f t="shared" si="393"/>
        <v>226538</v>
      </c>
      <c r="BV144" s="421">
        <f t="shared" si="393"/>
        <v>6702</v>
      </c>
      <c r="BW144" s="421">
        <f t="shared" si="394"/>
        <v>0</v>
      </c>
      <c r="BX144" s="422">
        <f t="shared" si="395"/>
        <v>1.29</v>
      </c>
      <c r="BY144" s="422">
        <f t="shared" si="396"/>
        <v>1.29</v>
      </c>
      <c r="BZ144" s="611">
        <f t="shared" si="396"/>
        <v>0</v>
      </c>
      <c r="CA144" s="423"/>
      <c r="CB144" s="418"/>
      <c r="CC144" s="418"/>
      <c r="CD144" s="418"/>
      <c r="CE144" s="418"/>
      <c r="CF144" s="527"/>
    </row>
    <row r="145" spans="1:84" s="222" customFormat="1" ht="12.75" customHeight="1" x14ac:dyDescent="0.2">
      <c r="A145" s="224">
        <v>30</v>
      </c>
      <c r="B145" s="225">
        <v>3419</v>
      </c>
      <c r="C145" s="225">
        <v>600078434</v>
      </c>
      <c r="D145" s="225">
        <v>72742658</v>
      </c>
      <c r="E145" s="226" t="s">
        <v>67</v>
      </c>
      <c r="F145" s="225">
        <v>3143</v>
      </c>
      <c r="G145" s="226" t="s">
        <v>597</v>
      </c>
      <c r="H145" s="227" t="s">
        <v>272</v>
      </c>
      <c r="I145" s="423">
        <f t="shared" si="366"/>
        <v>24084</v>
      </c>
      <c r="J145" s="418">
        <f t="shared" si="367"/>
        <v>17239</v>
      </c>
      <c r="K145" s="418">
        <v>0</v>
      </c>
      <c r="L145" s="418">
        <v>17239</v>
      </c>
      <c r="M145" s="418">
        <f t="shared" si="368"/>
        <v>0</v>
      </c>
      <c r="N145" s="418"/>
      <c r="O145" s="418"/>
      <c r="P145" s="68">
        <f t="shared" si="369"/>
        <v>5827</v>
      </c>
      <c r="Q145" s="68">
        <f t="shared" si="370"/>
        <v>172</v>
      </c>
      <c r="R145" s="418">
        <v>846</v>
      </c>
      <c r="S145" s="419">
        <f t="shared" si="371"/>
        <v>7.0000000000000007E-2</v>
      </c>
      <c r="T145" s="420">
        <v>0</v>
      </c>
      <c r="U145" s="527">
        <v>7.0000000000000007E-2</v>
      </c>
      <c r="V145" s="427">
        <f t="shared" si="372"/>
        <v>0</v>
      </c>
      <c r="W145" s="421">
        <f t="shared" si="372"/>
        <v>0</v>
      </c>
      <c r="X145" s="421">
        <v>0</v>
      </c>
      <c r="Y145" s="421">
        <v>0</v>
      </c>
      <c r="Z145" s="421">
        <v>0</v>
      </c>
      <c r="AA145" s="421">
        <v>0</v>
      </c>
      <c r="AB145" s="421">
        <v>0</v>
      </c>
      <c r="AC145" s="421">
        <v>0</v>
      </c>
      <c r="AD145" s="421">
        <v>0</v>
      </c>
      <c r="AE145" s="421">
        <v>0</v>
      </c>
      <c r="AF145" s="421">
        <f t="shared" si="373"/>
        <v>0</v>
      </c>
      <c r="AG145" s="421">
        <f t="shared" si="374"/>
        <v>0</v>
      </c>
      <c r="AH145" s="421">
        <f t="shared" si="375"/>
        <v>0</v>
      </c>
      <c r="AI145" s="421">
        <v>0</v>
      </c>
      <c r="AJ145" s="421">
        <v>0</v>
      </c>
      <c r="AK145" s="421">
        <v>0</v>
      </c>
      <c r="AL145" s="421">
        <v>0</v>
      </c>
      <c r="AM145" s="421">
        <v>0</v>
      </c>
      <c r="AN145" s="421">
        <v>0</v>
      </c>
      <c r="AO145" s="421">
        <f t="shared" si="376"/>
        <v>0</v>
      </c>
      <c r="AP145" s="421">
        <f t="shared" si="377"/>
        <v>0</v>
      </c>
      <c r="AQ145" s="421">
        <f t="shared" si="378"/>
        <v>0</v>
      </c>
      <c r="AR145" s="421">
        <f t="shared" si="379"/>
        <v>0</v>
      </c>
      <c r="AS145" s="421">
        <f t="shared" si="379"/>
        <v>0</v>
      </c>
      <c r="AT145" s="421">
        <f t="shared" si="380"/>
        <v>0</v>
      </c>
      <c r="AU145" s="68">
        <f t="shared" si="381"/>
        <v>0</v>
      </c>
      <c r="AV145" s="68">
        <f t="shared" si="382"/>
        <v>0</v>
      </c>
      <c r="AW145" s="421">
        <v>0</v>
      </c>
      <c r="AX145" s="421">
        <v>0</v>
      </c>
      <c r="AY145" s="421">
        <f t="shared" si="383"/>
        <v>0</v>
      </c>
      <c r="AZ145" s="421">
        <f t="shared" si="384"/>
        <v>0</v>
      </c>
      <c r="BA145" s="422">
        <v>0</v>
      </c>
      <c r="BB145" s="422">
        <v>0</v>
      </c>
      <c r="BC145" s="422">
        <v>0</v>
      </c>
      <c r="BD145" s="422">
        <v>0</v>
      </c>
      <c r="BE145" s="422">
        <v>0</v>
      </c>
      <c r="BF145" s="422">
        <v>0</v>
      </c>
      <c r="BG145" s="422">
        <v>0</v>
      </c>
      <c r="BH145" s="422">
        <v>0</v>
      </c>
      <c r="BI145" s="422">
        <v>0</v>
      </c>
      <c r="BJ145" s="422">
        <v>0</v>
      </c>
      <c r="BK145" s="422">
        <f t="shared" si="385"/>
        <v>0</v>
      </c>
      <c r="BL145" s="422">
        <f t="shared" si="386"/>
        <v>0</v>
      </c>
      <c r="BM145" s="611">
        <f t="shared" si="387"/>
        <v>0</v>
      </c>
      <c r="BN145" s="428">
        <f t="shared" si="388"/>
        <v>24084</v>
      </c>
      <c r="BO145" s="421">
        <f t="shared" si="389"/>
        <v>17239</v>
      </c>
      <c r="BP145" s="421">
        <f t="shared" si="390"/>
        <v>0</v>
      </c>
      <c r="BQ145" s="421">
        <f t="shared" si="390"/>
        <v>17239</v>
      </c>
      <c r="BR145" s="421">
        <f t="shared" si="391"/>
        <v>0</v>
      </c>
      <c r="BS145" s="421">
        <f t="shared" si="392"/>
        <v>0</v>
      </c>
      <c r="BT145" s="421">
        <f t="shared" si="392"/>
        <v>0</v>
      </c>
      <c r="BU145" s="421">
        <f t="shared" si="393"/>
        <v>5827</v>
      </c>
      <c r="BV145" s="421">
        <f t="shared" si="393"/>
        <v>172</v>
      </c>
      <c r="BW145" s="421">
        <f t="shared" si="394"/>
        <v>846</v>
      </c>
      <c r="BX145" s="422">
        <f t="shared" si="395"/>
        <v>7.0000000000000007E-2</v>
      </c>
      <c r="BY145" s="422">
        <f t="shared" si="396"/>
        <v>0</v>
      </c>
      <c r="BZ145" s="611">
        <f t="shared" si="396"/>
        <v>7.0000000000000007E-2</v>
      </c>
      <c r="CA145" s="423"/>
      <c r="CB145" s="418"/>
      <c r="CC145" s="418"/>
      <c r="CD145" s="418"/>
      <c r="CE145" s="418"/>
      <c r="CF145" s="527"/>
    </row>
    <row r="146" spans="1:84" s="222" customFormat="1" ht="12.75" customHeight="1" x14ac:dyDescent="0.2">
      <c r="A146" s="224">
        <v>30</v>
      </c>
      <c r="B146" s="225">
        <v>3419</v>
      </c>
      <c r="C146" s="225">
        <v>600078434</v>
      </c>
      <c r="D146" s="225">
        <v>72742658</v>
      </c>
      <c r="E146" s="226" t="s">
        <v>67</v>
      </c>
      <c r="F146" s="225">
        <v>3143</v>
      </c>
      <c r="G146" s="226" t="s">
        <v>297</v>
      </c>
      <c r="H146" s="227" t="s">
        <v>272</v>
      </c>
      <c r="I146" s="423">
        <f t="shared" si="366"/>
        <v>186225</v>
      </c>
      <c r="J146" s="418">
        <f t="shared" si="367"/>
        <v>137936</v>
      </c>
      <c r="K146" s="418">
        <v>129145</v>
      </c>
      <c r="L146" s="418">
        <v>8791</v>
      </c>
      <c r="M146" s="418">
        <f t="shared" si="368"/>
        <v>0</v>
      </c>
      <c r="N146" s="418"/>
      <c r="O146" s="418"/>
      <c r="P146" s="68">
        <f t="shared" si="369"/>
        <v>46622</v>
      </c>
      <c r="Q146" s="68">
        <f t="shared" si="370"/>
        <v>1379</v>
      </c>
      <c r="R146" s="418">
        <v>288</v>
      </c>
      <c r="S146" s="419">
        <f t="shared" si="371"/>
        <v>0.29000000000000004</v>
      </c>
      <c r="T146" s="420">
        <v>0.26</v>
      </c>
      <c r="U146" s="527">
        <v>0.03</v>
      </c>
      <c r="V146" s="427">
        <f t="shared" si="372"/>
        <v>0</v>
      </c>
      <c r="W146" s="421">
        <f t="shared" si="372"/>
        <v>0</v>
      </c>
      <c r="X146" s="421">
        <v>0</v>
      </c>
      <c r="Y146" s="421">
        <v>0</v>
      </c>
      <c r="Z146" s="421">
        <v>0</v>
      </c>
      <c r="AA146" s="421">
        <v>0</v>
      </c>
      <c r="AB146" s="421">
        <v>0</v>
      </c>
      <c r="AC146" s="421">
        <v>0</v>
      </c>
      <c r="AD146" s="421">
        <v>0</v>
      </c>
      <c r="AE146" s="421">
        <v>0</v>
      </c>
      <c r="AF146" s="421">
        <f t="shared" si="373"/>
        <v>0</v>
      </c>
      <c r="AG146" s="421">
        <f t="shared" si="374"/>
        <v>0</v>
      </c>
      <c r="AH146" s="421">
        <f t="shared" si="375"/>
        <v>0</v>
      </c>
      <c r="AI146" s="421">
        <v>0</v>
      </c>
      <c r="AJ146" s="421">
        <v>0</v>
      </c>
      <c r="AK146" s="421">
        <v>0</v>
      </c>
      <c r="AL146" s="421">
        <v>0</v>
      </c>
      <c r="AM146" s="421">
        <v>0</v>
      </c>
      <c r="AN146" s="421">
        <v>0</v>
      </c>
      <c r="AO146" s="421">
        <f t="shared" si="376"/>
        <v>0</v>
      </c>
      <c r="AP146" s="421">
        <f t="shared" si="377"/>
        <v>0</v>
      </c>
      <c r="AQ146" s="421">
        <f t="shared" si="378"/>
        <v>0</v>
      </c>
      <c r="AR146" s="421">
        <f t="shared" si="379"/>
        <v>0</v>
      </c>
      <c r="AS146" s="421">
        <f t="shared" si="379"/>
        <v>0</v>
      </c>
      <c r="AT146" s="421">
        <f t="shared" si="380"/>
        <v>0</v>
      </c>
      <c r="AU146" s="68">
        <f t="shared" si="381"/>
        <v>0</v>
      </c>
      <c r="AV146" s="68">
        <f t="shared" si="382"/>
        <v>0</v>
      </c>
      <c r="AW146" s="421">
        <v>0</v>
      </c>
      <c r="AX146" s="421">
        <v>0</v>
      </c>
      <c r="AY146" s="421">
        <f t="shared" si="383"/>
        <v>0</v>
      </c>
      <c r="AZ146" s="421">
        <f t="shared" si="384"/>
        <v>0</v>
      </c>
      <c r="BA146" s="422">
        <v>0</v>
      </c>
      <c r="BB146" s="422">
        <v>0</v>
      </c>
      <c r="BC146" s="422">
        <v>0</v>
      </c>
      <c r="BD146" s="422">
        <v>0</v>
      </c>
      <c r="BE146" s="422">
        <v>0</v>
      </c>
      <c r="BF146" s="422">
        <v>0</v>
      </c>
      <c r="BG146" s="422">
        <v>0</v>
      </c>
      <c r="BH146" s="422">
        <v>0</v>
      </c>
      <c r="BI146" s="422">
        <v>0</v>
      </c>
      <c r="BJ146" s="422">
        <v>0</v>
      </c>
      <c r="BK146" s="422">
        <f t="shared" si="385"/>
        <v>0</v>
      </c>
      <c r="BL146" s="422">
        <f t="shared" si="386"/>
        <v>0</v>
      </c>
      <c r="BM146" s="611">
        <f t="shared" si="387"/>
        <v>0</v>
      </c>
      <c r="BN146" s="428">
        <f t="shared" si="388"/>
        <v>186225</v>
      </c>
      <c r="BO146" s="421">
        <f t="shared" si="389"/>
        <v>137936</v>
      </c>
      <c r="BP146" s="421">
        <f t="shared" si="390"/>
        <v>129145</v>
      </c>
      <c r="BQ146" s="421">
        <f t="shared" si="390"/>
        <v>8791</v>
      </c>
      <c r="BR146" s="421">
        <f t="shared" si="391"/>
        <v>0</v>
      </c>
      <c r="BS146" s="421">
        <f t="shared" si="392"/>
        <v>0</v>
      </c>
      <c r="BT146" s="421">
        <f t="shared" si="392"/>
        <v>0</v>
      </c>
      <c r="BU146" s="421">
        <f t="shared" si="393"/>
        <v>46622</v>
      </c>
      <c r="BV146" s="421">
        <f t="shared" si="393"/>
        <v>1379</v>
      </c>
      <c r="BW146" s="421">
        <f t="shared" si="394"/>
        <v>288</v>
      </c>
      <c r="BX146" s="422">
        <f t="shared" si="395"/>
        <v>0.29000000000000004</v>
      </c>
      <c r="BY146" s="422">
        <f t="shared" si="396"/>
        <v>0.26</v>
      </c>
      <c r="BZ146" s="611">
        <f t="shared" si="396"/>
        <v>0.03</v>
      </c>
      <c r="CA146" s="423"/>
      <c r="CB146" s="418"/>
      <c r="CC146" s="418"/>
      <c r="CD146" s="418"/>
      <c r="CE146" s="418"/>
      <c r="CF146" s="527"/>
    </row>
    <row r="147" spans="1:84" s="222" customFormat="1" ht="12.75" customHeight="1" x14ac:dyDescent="0.2">
      <c r="A147" s="153">
        <v>30</v>
      </c>
      <c r="B147" s="14">
        <v>3419</v>
      </c>
      <c r="C147" s="152">
        <v>600078434</v>
      </c>
      <c r="D147" s="152">
        <v>72742658</v>
      </c>
      <c r="E147" s="223" t="s">
        <v>68</v>
      </c>
      <c r="F147" s="14"/>
      <c r="G147" s="223"/>
      <c r="H147" s="592"/>
      <c r="I147" s="522">
        <f t="shared" ref="I147:BT147" si="397">SUM(I140:I146)</f>
        <v>18907859</v>
      </c>
      <c r="J147" s="521">
        <f t="shared" si="397"/>
        <v>13876084</v>
      </c>
      <c r="K147" s="521">
        <f t="shared" si="397"/>
        <v>11794512</v>
      </c>
      <c r="L147" s="521">
        <f t="shared" si="397"/>
        <v>2081572</v>
      </c>
      <c r="M147" s="521">
        <f t="shared" si="397"/>
        <v>0</v>
      </c>
      <c r="N147" s="521">
        <f t="shared" si="397"/>
        <v>0</v>
      </c>
      <c r="O147" s="521">
        <f t="shared" si="397"/>
        <v>0</v>
      </c>
      <c r="P147" s="521">
        <f t="shared" si="397"/>
        <v>4690117</v>
      </c>
      <c r="Q147" s="521">
        <f t="shared" si="397"/>
        <v>138760</v>
      </c>
      <c r="R147" s="521">
        <f t="shared" si="397"/>
        <v>202898</v>
      </c>
      <c r="S147" s="572">
        <f t="shared" si="397"/>
        <v>24.1142</v>
      </c>
      <c r="T147" s="572">
        <f t="shared" si="397"/>
        <v>17.8245</v>
      </c>
      <c r="U147" s="448">
        <f t="shared" si="397"/>
        <v>6.2897000000000007</v>
      </c>
      <c r="V147" s="614">
        <f t="shared" si="397"/>
        <v>-23936</v>
      </c>
      <c r="W147" s="521">
        <f t="shared" si="397"/>
        <v>-11520</v>
      </c>
      <c r="X147" s="521">
        <f t="shared" si="397"/>
        <v>1344155</v>
      </c>
      <c r="Y147" s="521">
        <f t="shared" si="397"/>
        <v>0</v>
      </c>
      <c r="Z147" s="521">
        <f t="shared" si="397"/>
        <v>0</v>
      </c>
      <c r="AA147" s="521">
        <f t="shared" si="397"/>
        <v>150274</v>
      </c>
      <c r="AB147" s="521">
        <f t="shared" si="397"/>
        <v>0</v>
      </c>
      <c r="AC147" s="521">
        <f t="shared" si="397"/>
        <v>0</v>
      </c>
      <c r="AD147" s="521">
        <f t="shared" si="397"/>
        <v>0</v>
      </c>
      <c r="AE147" s="521">
        <f t="shared" si="397"/>
        <v>0</v>
      </c>
      <c r="AF147" s="521">
        <f t="shared" si="397"/>
        <v>1470493</v>
      </c>
      <c r="AG147" s="521">
        <f t="shared" si="397"/>
        <v>-11520</v>
      </c>
      <c r="AH147" s="521">
        <f t="shared" si="397"/>
        <v>1458973</v>
      </c>
      <c r="AI147" s="521">
        <f t="shared" si="397"/>
        <v>23936</v>
      </c>
      <c r="AJ147" s="521">
        <f t="shared" si="397"/>
        <v>11520</v>
      </c>
      <c r="AK147" s="521">
        <f t="shared" ref="AK147" si="398">SUM(AK140:AK146)</f>
        <v>0</v>
      </c>
      <c r="AL147" s="521">
        <f t="shared" si="397"/>
        <v>0</v>
      </c>
      <c r="AM147" s="521">
        <f t="shared" si="397"/>
        <v>0</v>
      </c>
      <c r="AN147" s="521">
        <f t="shared" si="397"/>
        <v>0</v>
      </c>
      <c r="AO147" s="521">
        <f t="shared" si="397"/>
        <v>23936</v>
      </c>
      <c r="AP147" s="521">
        <f t="shared" si="397"/>
        <v>11520</v>
      </c>
      <c r="AQ147" s="521">
        <f t="shared" si="397"/>
        <v>35456</v>
      </c>
      <c r="AR147" s="521">
        <f t="shared" si="397"/>
        <v>1494429</v>
      </c>
      <c r="AS147" s="521">
        <f t="shared" si="397"/>
        <v>0</v>
      </c>
      <c r="AT147" s="521">
        <f t="shared" si="397"/>
        <v>1494429</v>
      </c>
      <c r="AU147" s="521">
        <f t="shared" si="397"/>
        <v>505117</v>
      </c>
      <c r="AV147" s="521">
        <f t="shared" si="397"/>
        <v>14590</v>
      </c>
      <c r="AW147" s="521">
        <f t="shared" si="397"/>
        <v>0</v>
      </c>
      <c r="AX147" s="521">
        <f t="shared" si="397"/>
        <v>0</v>
      </c>
      <c r="AY147" s="521">
        <f t="shared" si="397"/>
        <v>0</v>
      </c>
      <c r="AZ147" s="521">
        <f t="shared" si="397"/>
        <v>2014136</v>
      </c>
      <c r="BA147" s="572">
        <f t="shared" si="397"/>
        <v>-0.04</v>
      </c>
      <c r="BB147" s="572">
        <f t="shared" si="397"/>
        <v>-0.04</v>
      </c>
      <c r="BC147" s="572">
        <f t="shared" si="397"/>
        <v>3.63</v>
      </c>
      <c r="BD147" s="572">
        <f t="shared" si="397"/>
        <v>0</v>
      </c>
      <c r="BE147" s="572">
        <f t="shared" si="397"/>
        <v>0</v>
      </c>
      <c r="BF147" s="572">
        <f t="shared" si="397"/>
        <v>0</v>
      </c>
      <c r="BG147" s="572">
        <f t="shared" si="397"/>
        <v>0</v>
      </c>
      <c r="BH147" s="572">
        <f t="shared" si="397"/>
        <v>0.21</v>
      </c>
      <c r="BI147" s="572">
        <f t="shared" si="397"/>
        <v>0</v>
      </c>
      <c r="BJ147" s="572">
        <f t="shared" si="397"/>
        <v>0</v>
      </c>
      <c r="BK147" s="572">
        <f t="shared" si="397"/>
        <v>3.8</v>
      </c>
      <c r="BL147" s="572">
        <f t="shared" si="397"/>
        <v>-0.04</v>
      </c>
      <c r="BM147" s="403">
        <f t="shared" si="397"/>
        <v>3.76</v>
      </c>
      <c r="BN147" s="522">
        <f t="shared" si="397"/>
        <v>20921995</v>
      </c>
      <c r="BO147" s="521">
        <f t="shared" si="397"/>
        <v>15335057</v>
      </c>
      <c r="BP147" s="521">
        <f t="shared" si="397"/>
        <v>13265005</v>
      </c>
      <c r="BQ147" s="521">
        <f t="shared" si="397"/>
        <v>2070052</v>
      </c>
      <c r="BR147" s="521">
        <f t="shared" si="397"/>
        <v>35456</v>
      </c>
      <c r="BS147" s="521">
        <f t="shared" si="397"/>
        <v>23936</v>
      </c>
      <c r="BT147" s="521">
        <f t="shared" si="397"/>
        <v>11520</v>
      </c>
      <c r="BU147" s="521">
        <f t="shared" ref="BU147:CF147" si="399">SUM(BU140:BU146)</f>
        <v>5195234</v>
      </c>
      <c r="BV147" s="521">
        <f t="shared" si="399"/>
        <v>153350</v>
      </c>
      <c r="BW147" s="521">
        <f t="shared" si="399"/>
        <v>202898</v>
      </c>
      <c r="BX147" s="572">
        <f t="shared" si="399"/>
        <v>27.874199999999998</v>
      </c>
      <c r="BY147" s="572">
        <f t="shared" si="399"/>
        <v>21.624499999999998</v>
      </c>
      <c r="BZ147" s="403">
        <f t="shared" si="399"/>
        <v>6.2496999999999998</v>
      </c>
      <c r="CA147" s="833">
        <f t="shared" si="399"/>
        <v>0</v>
      </c>
      <c r="CB147" s="834">
        <f t="shared" si="399"/>
        <v>0</v>
      </c>
      <c r="CC147" s="834">
        <f t="shared" si="399"/>
        <v>0</v>
      </c>
      <c r="CD147" s="834">
        <f t="shared" si="399"/>
        <v>0</v>
      </c>
      <c r="CE147" s="834">
        <f t="shared" si="399"/>
        <v>0</v>
      </c>
      <c r="CF147" s="829">
        <f t="shared" si="399"/>
        <v>0</v>
      </c>
    </row>
    <row r="148" spans="1:84" s="222" customFormat="1" ht="12.75" customHeight="1" x14ac:dyDescent="0.2">
      <c r="A148" s="224">
        <v>31</v>
      </c>
      <c r="B148" s="225">
        <v>3422</v>
      </c>
      <c r="C148" s="225">
        <v>600078591</v>
      </c>
      <c r="D148" s="225">
        <v>72742682</v>
      </c>
      <c r="E148" s="226" t="s">
        <v>69</v>
      </c>
      <c r="F148" s="225">
        <v>3111</v>
      </c>
      <c r="G148" s="226" t="s">
        <v>291</v>
      </c>
      <c r="H148" s="227" t="s">
        <v>271</v>
      </c>
      <c r="I148" s="423">
        <f t="shared" ref="I148:I153" si="400">J148+P148+Q148+R148</f>
        <v>2743627</v>
      </c>
      <c r="J148" s="418">
        <f t="shared" ref="J148:J153" si="401">K148+L148</f>
        <v>2029191</v>
      </c>
      <c r="K148" s="418">
        <v>1909383</v>
      </c>
      <c r="L148" s="418">
        <v>119808</v>
      </c>
      <c r="M148" s="418">
        <f t="shared" ref="M148:M153" si="402">N148+O148</f>
        <v>0</v>
      </c>
      <c r="N148" s="418"/>
      <c r="O148" s="418"/>
      <c r="P148" s="68">
        <f t="shared" ref="P148:P153" si="403">ROUND(J148*33.8%,0)</f>
        <v>685867</v>
      </c>
      <c r="Q148" s="68">
        <f t="shared" ref="Q148:Q153" si="404">ROUND(J148*1%,0)</f>
        <v>20292</v>
      </c>
      <c r="R148" s="418">
        <v>8277</v>
      </c>
      <c r="S148" s="419">
        <f t="shared" ref="S148:S153" si="405">T148+U148</f>
        <v>4.2864000000000004</v>
      </c>
      <c r="T148" s="420">
        <v>3.8064</v>
      </c>
      <c r="U148" s="527">
        <v>0.48</v>
      </c>
      <c r="V148" s="427">
        <f t="shared" ref="V148:W153" si="406">AI148*-1</f>
        <v>0</v>
      </c>
      <c r="W148" s="421">
        <f t="shared" si="406"/>
        <v>0</v>
      </c>
      <c r="X148" s="421">
        <v>0</v>
      </c>
      <c r="Y148" s="421">
        <v>0</v>
      </c>
      <c r="Z148" s="421">
        <v>0</v>
      </c>
      <c r="AA148" s="421">
        <v>0</v>
      </c>
      <c r="AB148" s="421">
        <v>0</v>
      </c>
      <c r="AC148" s="421">
        <v>0</v>
      </c>
      <c r="AD148" s="421">
        <v>0</v>
      </c>
      <c r="AE148" s="421">
        <v>0</v>
      </c>
      <c r="AF148" s="421">
        <f t="shared" ref="AF148:AF153" si="407">V148+X148+Y148+AA148+AB148+AD148</f>
        <v>0</v>
      </c>
      <c r="AG148" s="421">
        <f t="shared" ref="AG148:AG153" si="408">W148+Z148+AC148+AE148</f>
        <v>0</v>
      </c>
      <c r="AH148" s="421">
        <f t="shared" ref="AH148:AH153" si="409">SUM(AF148:AG148)</f>
        <v>0</v>
      </c>
      <c r="AI148" s="421">
        <v>0</v>
      </c>
      <c r="AJ148" s="421">
        <v>0</v>
      </c>
      <c r="AK148" s="421">
        <v>0</v>
      </c>
      <c r="AL148" s="421">
        <v>0</v>
      </c>
      <c r="AM148" s="421">
        <v>0</v>
      </c>
      <c r="AN148" s="421">
        <v>0</v>
      </c>
      <c r="AO148" s="421">
        <f t="shared" ref="AO148:AO153" si="410">AI148+AK148+AL148+AM148</f>
        <v>0</v>
      </c>
      <c r="AP148" s="421">
        <f t="shared" ref="AP148:AP153" si="411">AJ148+AN148</f>
        <v>0</v>
      </c>
      <c r="AQ148" s="421">
        <f t="shared" ref="AQ148:AQ153" si="412">SUM(AO148:AP148)</f>
        <v>0</v>
      </c>
      <c r="AR148" s="421">
        <f t="shared" ref="AR148:AS153" si="413">AF148+AO148</f>
        <v>0</v>
      </c>
      <c r="AS148" s="421">
        <f t="shared" si="413"/>
        <v>0</v>
      </c>
      <c r="AT148" s="421">
        <f t="shared" ref="AT148:AT153" si="414">SUM(AR148:AS148)</f>
        <v>0</v>
      </c>
      <c r="AU148" s="68">
        <f t="shared" ref="AU148:AU153" si="415">ROUND((AH148+AI148+AJ148+AK148+AL148)*33.8%,0)</f>
        <v>0</v>
      </c>
      <c r="AV148" s="68">
        <f t="shared" ref="AV148:AV153" si="416">ROUND(AH148*1%,0)</f>
        <v>0</v>
      </c>
      <c r="AW148" s="421">
        <v>0</v>
      </c>
      <c r="AX148" s="421">
        <v>0</v>
      </c>
      <c r="AY148" s="421">
        <f t="shared" ref="AY148:AY153" si="417">AW148+AX148</f>
        <v>0</v>
      </c>
      <c r="AZ148" s="421">
        <f t="shared" ref="AZ148:AZ153" si="418">AT148+AU148+AV148+AY148</f>
        <v>0</v>
      </c>
      <c r="BA148" s="422">
        <v>0</v>
      </c>
      <c r="BB148" s="422">
        <v>0</v>
      </c>
      <c r="BC148" s="422">
        <v>0</v>
      </c>
      <c r="BD148" s="422">
        <v>0</v>
      </c>
      <c r="BE148" s="422">
        <v>0</v>
      </c>
      <c r="BF148" s="422">
        <v>0</v>
      </c>
      <c r="BG148" s="422">
        <v>0</v>
      </c>
      <c r="BH148" s="422">
        <v>0</v>
      </c>
      <c r="BI148" s="422">
        <v>0</v>
      </c>
      <c r="BJ148" s="422">
        <v>0</v>
      </c>
      <c r="BK148" s="422">
        <f t="shared" ref="BK148:BK153" si="419">BA148+BC148+BD148+BF148+BH148+BI148</f>
        <v>0</v>
      </c>
      <c r="BL148" s="422">
        <f t="shared" ref="BL148:BL153" si="420">BB148+BE148+BG148+BJ148</f>
        <v>0</v>
      </c>
      <c r="BM148" s="611">
        <f t="shared" ref="BM148:BM153" si="421">SUM(BK148:BL148)</f>
        <v>0</v>
      </c>
      <c r="BN148" s="428">
        <f t="shared" ref="BN148:BN153" si="422">I148+AZ148</f>
        <v>2743627</v>
      </c>
      <c r="BO148" s="421">
        <f t="shared" ref="BO148:BO153" si="423">J148+AH148</f>
        <v>2029191</v>
      </c>
      <c r="BP148" s="421">
        <f t="shared" ref="BP148:BQ153" si="424">K148+AF148</f>
        <v>1909383</v>
      </c>
      <c r="BQ148" s="421">
        <f t="shared" si="424"/>
        <v>119808</v>
      </c>
      <c r="BR148" s="421">
        <f t="shared" ref="BR148:BR153" si="425">M148+AQ148</f>
        <v>0</v>
      </c>
      <c r="BS148" s="421">
        <f t="shared" ref="BS148:BT153" si="426">N148+AO148</f>
        <v>0</v>
      </c>
      <c r="BT148" s="421">
        <f t="shared" si="426"/>
        <v>0</v>
      </c>
      <c r="BU148" s="421">
        <f t="shared" ref="BU148:BV153" si="427">P148+AU148</f>
        <v>685867</v>
      </c>
      <c r="BV148" s="421">
        <f t="shared" si="427"/>
        <v>20292</v>
      </c>
      <c r="BW148" s="421">
        <f t="shared" ref="BW148:BW153" si="428">R148+AY148</f>
        <v>8277</v>
      </c>
      <c r="BX148" s="422">
        <f t="shared" ref="BX148:BX153" si="429">S148+BM148</f>
        <v>4.2864000000000004</v>
      </c>
      <c r="BY148" s="422">
        <f t="shared" ref="BY148:BZ153" si="430">T148+BK148</f>
        <v>3.8064</v>
      </c>
      <c r="BZ148" s="611">
        <f t="shared" si="430"/>
        <v>0.48</v>
      </c>
      <c r="CA148" s="423"/>
      <c r="CB148" s="418"/>
      <c r="CC148" s="418"/>
      <c r="CD148" s="418"/>
      <c r="CE148" s="418"/>
      <c r="CF148" s="527"/>
    </row>
    <row r="149" spans="1:84" s="222" customFormat="1" ht="12.75" customHeight="1" x14ac:dyDescent="0.2">
      <c r="A149" s="224">
        <v>31</v>
      </c>
      <c r="B149" s="225">
        <v>3422</v>
      </c>
      <c r="C149" s="225">
        <v>600078591</v>
      </c>
      <c r="D149" s="225">
        <v>72742682</v>
      </c>
      <c r="E149" s="226" t="s">
        <v>69</v>
      </c>
      <c r="F149" s="225">
        <v>3113</v>
      </c>
      <c r="G149" s="226" t="s">
        <v>294</v>
      </c>
      <c r="H149" s="227" t="s">
        <v>271</v>
      </c>
      <c r="I149" s="423">
        <f t="shared" si="400"/>
        <v>8510148</v>
      </c>
      <c r="J149" s="418">
        <f t="shared" si="401"/>
        <v>6240183</v>
      </c>
      <c r="K149" s="418">
        <v>5581293</v>
      </c>
      <c r="L149" s="418">
        <v>658890</v>
      </c>
      <c r="M149" s="418">
        <f t="shared" si="402"/>
        <v>0</v>
      </c>
      <c r="N149" s="418"/>
      <c r="O149" s="418"/>
      <c r="P149" s="68">
        <f t="shared" si="403"/>
        <v>2109182</v>
      </c>
      <c r="Q149" s="68">
        <f t="shared" si="404"/>
        <v>62402</v>
      </c>
      <c r="R149" s="418">
        <v>98381</v>
      </c>
      <c r="S149" s="419">
        <f t="shared" si="405"/>
        <v>10.866299999999999</v>
      </c>
      <c r="T149" s="420">
        <v>9.0907999999999998</v>
      </c>
      <c r="U149" s="527">
        <v>1.7755000000000001</v>
      </c>
      <c r="V149" s="427">
        <f t="shared" si="406"/>
        <v>0</v>
      </c>
      <c r="W149" s="421">
        <f t="shared" si="406"/>
        <v>0</v>
      </c>
      <c r="X149" s="421">
        <v>0</v>
      </c>
      <c r="Y149" s="421">
        <v>0</v>
      </c>
      <c r="Z149" s="421">
        <v>0</v>
      </c>
      <c r="AA149" s="421">
        <v>79440</v>
      </c>
      <c r="AB149" s="421">
        <v>0</v>
      </c>
      <c r="AC149" s="421">
        <v>0</v>
      </c>
      <c r="AD149" s="421">
        <v>0</v>
      </c>
      <c r="AE149" s="421">
        <v>0</v>
      </c>
      <c r="AF149" s="421">
        <f t="shared" si="407"/>
        <v>79440</v>
      </c>
      <c r="AG149" s="421">
        <f t="shared" si="408"/>
        <v>0</v>
      </c>
      <c r="AH149" s="421">
        <f t="shared" si="409"/>
        <v>79440</v>
      </c>
      <c r="AI149" s="421">
        <v>0</v>
      </c>
      <c r="AJ149" s="421">
        <v>0</v>
      </c>
      <c r="AK149" s="421">
        <v>0</v>
      </c>
      <c r="AL149" s="421">
        <v>0</v>
      </c>
      <c r="AM149" s="421">
        <v>0</v>
      </c>
      <c r="AN149" s="421">
        <v>0</v>
      </c>
      <c r="AO149" s="421">
        <f t="shared" si="410"/>
        <v>0</v>
      </c>
      <c r="AP149" s="421">
        <f t="shared" si="411"/>
        <v>0</v>
      </c>
      <c r="AQ149" s="421">
        <f t="shared" si="412"/>
        <v>0</v>
      </c>
      <c r="AR149" s="421">
        <f t="shared" si="413"/>
        <v>79440</v>
      </c>
      <c r="AS149" s="421">
        <f t="shared" si="413"/>
        <v>0</v>
      </c>
      <c r="AT149" s="421">
        <f t="shared" si="414"/>
        <v>79440</v>
      </c>
      <c r="AU149" s="68">
        <f t="shared" si="415"/>
        <v>26851</v>
      </c>
      <c r="AV149" s="68">
        <f t="shared" si="416"/>
        <v>794</v>
      </c>
      <c r="AW149" s="421">
        <v>0</v>
      </c>
      <c r="AX149" s="421">
        <v>0</v>
      </c>
      <c r="AY149" s="421">
        <f t="shared" si="417"/>
        <v>0</v>
      </c>
      <c r="AZ149" s="421">
        <f t="shared" si="418"/>
        <v>107085</v>
      </c>
      <c r="BA149" s="422">
        <v>0</v>
      </c>
      <c r="BB149" s="422">
        <v>0</v>
      </c>
      <c r="BC149" s="422">
        <v>0</v>
      </c>
      <c r="BD149" s="422">
        <v>0</v>
      </c>
      <c r="BE149" s="422">
        <v>0</v>
      </c>
      <c r="BF149" s="422">
        <v>0</v>
      </c>
      <c r="BG149" s="422">
        <v>0</v>
      </c>
      <c r="BH149" s="422">
        <v>0.11</v>
      </c>
      <c r="BI149" s="422">
        <v>0</v>
      </c>
      <c r="BJ149" s="422">
        <v>0</v>
      </c>
      <c r="BK149" s="422">
        <f t="shared" si="419"/>
        <v>0.11</v>
      </c>
      <c r="BL149" s="422">
        <f t="shared" si="420"/>
        <v>0</v>
      </c>
      <c r="BM149" s="611">
        <f t="shared" si="421"/>
        <v>0.11</v>
      </c>
      <c r="BN149" s="428">
        <f t="shared" si="422"/>
        <v>8617233</v>
      </c>
      <c r="BO149" s="421">
        <f t="shared" si="423"/>
        <v>6319623</v>
      </c>
      <c r="BP149" s="421">
        <f t="shared" si="424"/>
        <v>5660733</v>
      </c>
      <c r="BQ149" s="421">
        <f t="shared" si="424"/>
        <v>658890</v>
      </c>
      <c r="BR149" s="421">
        <f t="shared" si="425"/>
        <v>0</v>
      </c>
      <c r="BS149" s="421">
        <f t="shared" si="426"/>
        <v>0</v>
      </c>
      <c r="BT149" s="421">
        <f t="shared" si="426"/>
        <v>0</v>
      </c>
      <c r="BU149" s="421">
        <f t="shared" si="427"/>
        <v>2136033</v>
      </c>
      <c r="BV149" s="421">
        <f t="shared" si="427"/>
        <v>63196</v>
      </c>
      <c r="BW149" s="421">
        <f t="shared" si="428"/>
        <v>98381</v>
      </c>
      <c r="BX149" s="422">
        <f t="shared" si="429"/>
        <v>10.976299999999998</v>
      </c>
      <c r="BY149" s="422">
        <f t="shared" si="430"/>
        <v>9.2007999999999992</v>
      </c>
      <c r="BZ149" s="611">
        <f t="shared" si="430"/>
        <v>1.7755000000000001</v>
      </c>
      <c r="CA149" s="423"/>
      <c r="CB149" s="418"/>
      <c r="CC149" s="418"/>
      <c r="CD149" s="418"/>
      <c r="CE149" s="418"/>
      <c r="CF149" s="527"/>
    </row>
    <row r="150" spans="1:84" s="222" customFormat="1" x14ac:dyDescent="0.2">
      <c r="A150" s="224">
        <v>31</v>
      </c>
      <c r="B150" s="225">
        <v>3422</v>
      </c>
      <c r="C150" s="225">
        <v>600078591</v>
      </c>
      <c r="D150" s="225">
        <v>72742682</v>
      </c>
      <c r="E150" s="226" t="s">
        <v>69</v>
      </c>
      <c r="F150" s="225">
        <v>3113</v>
      </c>
      <c r="G150" s="226" t="s">
        <v>292</v>
      </c>
      <c r="H150" s="227" t="s">
        <v>272</v>
      </c>
      <c r="I150" s="423">
        <f t="shared" si="400"/>
        <v>0</v>
      </c>
      <c r="J150" s="418">
        <f t="shared" si="401"/>
        <v>0</v>
      </c>
      <c r="K150" s="418">
        <v>0</v>
      </c>
      <c r="L150" s="418">
        <v>0</v>
      </c>
      <c r="M150" s="418">
        <f t="shared" si="402"/>
        <v>0</v>
      </c>
      <c r="N150" s="418"/>
      <c r="O150" s="418"/>
      <c r="P150" s="68">
        <f t="shared" si="403"/>
        <v>0</v>
      </c>
      <c r="Q150" s="68">
        <f t="shared" si="404"/>
        <v>0</v>
      </c>
      <c r="R150" s="418">
        <v>0</v>
      </c>
      <c r="S150" s="419">
        <f t="shared" si="405"/>
        <v>0</v>
      </c>
      <c r="T150" s="420">
        <v>0</v>
      </c>
      <c r="U150" s="527">
        <v>0</v>
      </c>
      <c r="V150" s="427">
        <f t="shared" si="406"/>
        <v>0</v>
      </c>
      <c r="W150" s="421">
        <f t="shared" si="406"/>
        <v>0</v>
      </c>
      <c r="X150" s="421">
        <v>659211</v>
      </c>
      <c r="Y150" s="421">
        <v>0</v>
      </c>
      <c r="Z150" s="421">
        <v>0</v>
      </c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f t="shared" si="407"/>
        <v>659211</v>
      </c>
      <c r="AG150" s="421">
        <f t="shared" si="408"/>
        <v>0</v>
      </c>
      <c r="AH150" s="421">
        <f t="shared" si="409"/>
        <v>659211</v>
      </c>
      <c r="AI150" s="421">
        <v>0</v>
      </c>
      <c r="AJ150" s="421">
        <v>0</v>
      </c>
      <c r="AK150" s="421">
        <v>0</v>
      </c>
      <c r="AL150" s="421">
        <v>0</v>
      </c>
      <c r="AM150" s="421">
        <v>0</v>
      </c>
      <c r="AN150" s="421">
        <v>0</v>
      </c>
      <c r="AO150" s="421">
        <f t="shared" si="410"/>
        <v>0</v>
      </c>
      <c r="AP150" s="421">
        <f t="shared" si="411"/>
        <v>0</v>
      </c>
      <c r="AQ150" s="421">
        <f t="shared" si="412"/>
        <v>0</v>
      </c>
      <c r="AR150" s="421">
        <f t="shared" si="413"/>
        <v>659211</v>
      </c>
      <c r="AS150" s="421">
        <f t="shared" si="413"/>
        <v>0</v>
      </c>
      <c r="AT150" s="421">
        <f t="shared" si="414"/>
        <v>659211</v>
      </c>
      <c r="AU150" s="68">
        <f t="shared" si="415"/>
        <v>222813</v>
      </c>
      <c r="AV150" s="68">
        <f t="shared" si="416"/>
        <v>6592</v>
      </c>
      <c r="AW150" s="421">
        <v>0</v>
      </c>
      <c r="AX150" s="421">
        <v>0</v>
      </c>
      <c r="AY150" s="421">
        <f t="shared" si="417"/>
        <v>0</v>
      </c>
      <c r="AZ150" s="421">
        <f t="shared" si="418"/>
        <v>888616</v>
      </c>
      <c r="BA150" s="422">
        <v>0</v>
      </c>
      <c r="BB150" s="422">
        <v>0</v>
      </c>
      <c r="BC150" s="422">
        <v>1.78</v>
      </c>
      <c r="BD150" s="422">
        <v>0</v>
      </c>
      <c r="BE150" s="422">
        <v>0</v>
      </c>
      <c r="BF150" s="422">
        <v>0</v>
      </c>
      <c r="BG150" s="422">
        <v>0</v>
      </c>
      <c r="BH150" s="422">
        <v>0</v>
      </c>
      <c r="BI150" s="422">
        <v>0</v>
      </c>
      <c r="BJ150" s="422">
        <v>0</v>
      </c>
      <c r="BK150" s="422">
        <f t="shared" si="419"/>
        <v>1.78</v>
      </c>
      <c r="BL150" s="422">
        <f t="shared" si="420"/>
        <v>0</v>
      </c>
      <c r="BM150" s="611">
        <f t="shared" si="421"/>
        <v>1.78</v>
      </c>
      <c r="BN150" s="428">
        <f t="shared" si="422"/>
        <v>888616</v>
      </c>
      <c r="BO150" s="421">
        <f t="shared" si="423"/>
        <v>659211</v>
      </c>
      <c r="BP150" s="421">
        <f t="shared" si="424"/>
        <v>659211</v>
      </c>
      <c r="BQ150" s="421">
        <f t="shared" si="424"/>
        <v>0</v>
      </c>
      <c r="BR150" s="421">
        <f t="shared" si="425"/>
        <v>0</v>
      </c>
      <c r="BS150" s="421">
        <f t="shared" si="426"/>
        <v>0</v>
      </c>
      <c r="BT150" s="421">
        <f t="shared" si="426"/>
        <v>0</v>
      </c>
      <c r="BU150" s="421">
        <f t="shared" si="427"/>
        <v>222813</v>
      </c>
      <c r="BV150" s="421">
        <f t="shared" si="427"/>
        <v>6592</v>
      </c>
      <c r="BW150" s="421">
        <f t="shared" si="428"/>
        <v>0</v>
      </c>
      <c r="BX150" s="422">
        <f t="shared" si="429"/>
        <v>1.78</v>
      </c>
      <c r="BY150" s="422">
        <f t="shared" si="430"/>
        <v>1.78</v>
      </c>
      <c r="BZ150" s="611">
        <f t="shared" si="430"/>
        <v>0</v>
      </c>
      <c r="CA150" s="423"/>
      <c r="CB150" s="418"/>
      <c r="CC150" s="418"/>
      <c r="CD150" s="418"/>
      <c r="CE150" s="418"/>
      <c r="CF150" s="527"/>
    </row>
    <row r="151" spans="1:84" s="222" customFormat="1" ht="12.75" customHeight="1" x14ac:dyDescent="0.2">
      <c r="A151" s="224">
        <v>31</v>
      </c>
      <c r="B151" s="225">
        <v>3422</v>
      </c>
      <c r="C151" s="225">
        <v>600078591</v>
      </c>
      <c r="D151" s="225">
        <v>72742682</v>
      </c>
      <c r="E151" s="226" t="s">
        <v>69</v>
      </c>
      <c r="F151" s="225">
        <v>3141</v>
      </c>
      <c r="G151" s="226" t="s">
        <v>295</v>
      </c>
      <c r="H151" s="227" t="s">
        <v>272</v>
      </c>
      <c r="I151" s="423">
        <f t="shared" si="400"/>
        <v>794465</v>
      </c>
      <c r="J151" s="418">
        <f t="shared" si="401"/>
        <v>586925</v>
      </c>
      <c r="K151" s="418">
        <v>0</v>
      </c>
      <c r="L151" s="418">
        <v>586925</v>
      </c>
      <c r="M151" s="418">
        <f t="shared" si="402"/>
        <v>0</v>
      </c>
      <c r="N151" s="418"/>
      <c r="O151" s="418"/>
      <c r="P151" s="68">
        <f t="shared" si="403"/>
        <v>198381</v>
      </c>
      <c r="Q151" s="68">
        <f t="shared" si="404"/>
        <v>5869</v>
      </c>
      <c r="R151" s="418">
        <v>3290</v>
      </c>
      <c r="S151" s="419">
        <f t="shared" si="405"/>
        <v>1.76</v>
      </c>
      <c r="T151" s="420">
        <v>0</v>
      </c>
      <c r="U151" s="527">
        <v>1.76</v>
      </c>
      <c r="V151" s="427">
        <f t="shared" si="406"/>
        <v>0</v>
      </c>
      <c r="W151" s="421">
        <f t="shared" si="406"/>
        <v>0</v>
      </c>
      <c r="X151" s="421">
        <v>0</v>
      </c>
      <c r="Y151" s="421">
        <v>0</v>
      </c>
      <c r="Z151" s="421">
        <v>0</v>
      </c>
      <c r="AA151" s="421">
        <v>0</v>
      </c>
      <c r="AB151" s="421">
        <v>0</v>
      </c>
      <c r="AC151" s="421">
        <v>0</v>
      </c>
      <c r="AD151" s="421">
        <v>0</v>
      </c>
      <c r="AE151" s="421">
        <v>0</v>
      </c>
      <c r="AF151" s="421">
        <f t="shared" si="407"/>
        <v>0</v>
      </c>
      <c r="AG151" s="421">
        <f t="shared" si="408"/>
        <v>0</v>
      </c>
      <c r="AH151" s="421">
        <f t="shared" si="409"/>
        <v>0</v>
      </c>
      <c r="AI151" s="421">
        <v>0</v>
      </c>
      <c r="AJ151" s="421">
        <v>0</v>
      </c>
      <c r="AK151" s="421">
        <v>0</v>
      </c>
      <c r="AL151" s="421">
        <v>0</v>
      </c>
      <c r="AM151" s="421">
        <v>0</v>
      </c>
      <c r="AN151" s="421">
        <v>0</v>
      </c>
      <c r="AO151" s="421">
        <f t="shared" si="410"/>
        <v>0</v>
      </c>
      <c r="AP151" s="421">
        <f t="shared" si="411"/>
        <v>0</v>
      </c>
      <c r="AQ151" s="421">
        <f t="shared" si="412"/>
        <v>0</v>
      </c>
      <c r="AR151" s="421">
        <f t="shared" si="413"/>
        <v>0</v>
      </c>
      <c r="AS151" s="421">
        <f t="shared" si="413"/>
        <v>0</v>
      </c>
      <c r="AT151" s="421">
        <f t="shared" si="414"/>
        <v>0</v>
      </c>
      <c r="AU151" s="68">
        <f t="shared" si="415"/>
        <v>0</v>
      </c>
      <c r="AV151" s="68">
        <f t="shared" si="416"/>
        <v>0</v>
      </c>
      <c r="AW151" s="421">
        <v>0</v>
      </c>
      <c r="AX151" s="421">
        <v>0</v>
      </c>
      <c r="AY151" s="421">
        <f t="shared" si="417"/>
        <v>0</v>
      </c>
      <c r="AZ151" s="421">
        <f t="shared" si="418"/>
        <v>0</v>
      </c>
      <c r="BA151" s="422">
        <v>0</v>
      </c>
      <c r="BB151" s="422">
        <v>0</v>
      </c>
      <c r="BC151" s="422">
        <v>0</v>
      </c>
      <c r="BD151" s="422">
        <v>0</v>
      </c>
      <c r="BE151" s="422">
        <v>0</v>
      </c>
      <c r="BF151" s="422">
        <v>0</v>
      </c>
      <c r="BG151" s="422">
        <v>0</v>
      </c>
      <c r="BH151" s="422">
        <v>0</v>
      </c>
      <c r="BI151" s="422">
        <v>0</v>
      </c>
      <c r="BJ151" s="422">
        <v>0</v>
      </c>
      <c r="BK151" s="422">
        <f t="shared" si="419"/>
        <v>0</v>
      </c>
      <c r="BL151" s="422">
        <f t="shared" si="420"/>
        <v>0</v>
      </c>
      <c r="BM151" s="611">
        <f t="shared" si="421"/>
        <v>0</v>
      </c>
      <c r="BN151" s="428">
        <f t="shared" si="422"/>
        <v>794465</v>
      </c>
      <c r="BO151" s="421">
        <f t="shared" si="423"/>
        <v>586925</v>
      </c>
      <c r="BP151" s="421">
        <f t="shared" si="424"/>
        <v>0</v>
      </c>
      <c r="BQ151" s="421">
        <f t="shared" si="424"/>
        <v>586925</v>
      </c>
      <c r="BR151" s="421">
        <f t="shared" si="425"/>
        <v>0</v>
      </c>
      <c r="BS151" s="421">
        <f t="shared" si="426"/>
        <v>0</v>
      </c>
      <c r="BT151" s="421">
        <f t="shared" si="426"/>
        <v>0</v>
      </c>
      <c r="BU151" s="421">
        <f t="shared" si="427"/>
        <v>198381</v>
      </c>
      <c r="BV151" s="421">
        <f t="shared" si="427"/>
        <v>5869</v>
      </c>
      <c r="BW151" s="421">
        <f t="shared" si="428"/>
        <v>3290</v>
      </c>
      <c r="BX151" s="422">
        <f t="shared" si="429"/>
        <v>1.76</v>
      </c>
      <c r="BY151" s="422">
        <f t="shared" si="430"/>
        <v>0</v>
      </c>
      <c r="BZ151" s="611">
        <f t="shared" si="430"/>
        <v>1.76</v>
      </c>
      <c r="CA151" s="423"/>
      <c r="CB151" s="418"/>
      <c r="CC151" s="418"/>
      <c r="CD151" s="418"/>
      <c r="CE151" s="418"/>
      <c r="CF151" s="527"/>
    </row>
    <row r="152" spans="1:84" s="222" customFormat="1" ht="12.75" customHeight="1" x14ac:dyDescent="0.2">
      <c r="A152" s="224">
        <v>31</v>
      </c>
      <c r="B152" s="225">
        <v>3422</v>
      </c>
      <c r="C152" s="225">
        <v>600078591</v>
      </c>
      <c r="D152" s="225">
        <v>72742682</v>
      </c>
      <c r="E152" s="226" t="s">
        <v>69</v>
      </c>
      <c r="F152" s="225">
        <v>3143</v>
      </c>
      <c r="G152" s="226" t="s">
        <v>596</v>
      </c>
      <c r="H152" s="227" t="s">
        <v>271</v>
      </c>
      <c r="I152" s="423">
        <f t="shared" si="400"/>
        <v>393071</v>
      </c>
      <c r="J152" s="418">
        <f t="shared" si="401"/>
        <v>291596</v>
      </c>
      <c r="K152" s="418">
        <v>291596</v>
      </c>
      <c r="L152" s="418">
        <v>0</v>
      </c>
      <c r="M152" s="418">
        <f t="shared" si="402"/>
        <v>0</v>
      </c>
      <c r="N152" s="418"/>
      <c r="O152" s="418"/>
      <c r="P152" s="68">
        <f t="shared" si="403"/>
        <v>98559</v>
      </c>
      <c r="Q152" s="68">
        <f t="shared" si="404"/>
        <v>2916</v>
      </c>
      <c r="R152" s="418">
        <v>0</v>
      </c>
      <c r="S152" s="419">
        <f t="shared" si="405"/>
        <v>0.53569999999999995</v>
      </c>
      <c r="T152" s="420">
        <v>0.53569999999999995</v>
      </c>
      <c r="U152" s="527">
        <v>0</v>
      </c>
      <c r="V152" s="427">
        <f t="shared" si="406"/>
        <v>0</v>
      </c>
      <c r="W152" s="421">
        <f t="shared" si="406"/>
        <v>0</v>
      </c>
      <c r="X152" s="421">
        <v>0</v>
      </c>
      <c r="Y152" s="421">
        <v>0</v>
      </c>
      <c r="Z152" s="421">
        <v>0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f t="shared" si="407"/>
        <v>0</v>
      </c>
      <c r="AG152" s="421">
        <f t="shared" si="408"/>
        <v>0</v>
      </c>
      <c r="AH152" s="421">
        <f t="shared" si="409"/>
        <v>0</v>
      </c>
      <c r="AI152" s="421">
        <v>0</v>
      </c>
      <c r="AJ152" s="421">
        <v>0</v>
      </c>
      <c r="AK152" s="421">
        <v>0</v>
      </c>
      <c r="AL152" s="421">
        <v>0</v>
      </c>
      <c r="AM152" s="421">
        <v>0</v>
      </c>
      <c r="AN152" s="421">
        <v>0</v>
      </c>
      <c r="AO152" s="421">
        <f t="shared" si="410"/>
        <v>0</v>
      </c>
      <c r="AP152" s="421">
        <f t="shared" si="411"/>
        <v>0</v>
      </c>
      <c r="AQ152" s="421">
        <f t="shared" si="412"/>
        <v>0</v>
      </c>
      <c r="AR152" s="421">
        <f t="shared" si="413"/>
        <v>0</v>
      </c>
      <c r="AS152" s="421">
        <f t="shared" si="413"/>
        <v>0</v>
      </c>
      <c r="AT152" s="421">
        <f t="shared" si="414"/>
        <v>0</v>
      </c>
      <c r="AU152" s="68">
        <f t="shared" si="415"/>
        <v>0</v>
      </c>
      <c r="AV152" s="68">
        <f t="shared" si="416"/>
        <v>0</v>
      </c>
      <c r="AW152" s="421">
        <v>0</v>
      </c>
      <c r="AX152" s="421">
        <v>0</v>
      </c>
      <c r="AY152" s="421">
        <f t="shared" si="417"/>
        <v>0</v>
      </c>
      <c r="AZ152" s="421">
        <f t="shared" si="418"/>
        <v>0</v>
      </c>
      <c r="BA152" s="422">
        <v>0</v>
      </c>
      <c r="BB152" s="422">
        <v>0</v>
      </c>
      <c r="BC152" s="422">
        <v>0</v>
      </c>
      <c r="BD152" s="422">
        <v>0</v>
      </c>
      <c r="BE152" s="422">
        <v>0</v>
      </c>
      <c r="BF152" s="422">
        <v>0</v>
      </c>
      <c r="BG152" s="422">
        <v>0</v>
      </c>
      <c r="BH152" s="422">
        <v>0</v>
      </c>
      <c r="BI152" s="422">
        <v>0</v>
      </c>
      <c r="BJ152" s="422">
        <v>0</v>
      </c>
      <c r="BK152" s="422">
        <f t="shared" si="419"/>
        <v>0</v>
      </c>
      <c r="BL152" s="422">
        <f t="shared" si="420"/>
        <v>0</v>
      </c>
      <c r="BM152" s="611">
        <f t="shared" si="421"/>
        <v>0</v>
      </c>
      <c r="BN152" s="428">
        <f t="shared" si="422"/>
        <v>393071</v>
      </c>
      <c r="BO152" s="421">
        <f t="shared" si="423"/>
        <v>291596</v>
      </c>
      <c r="BP152" s="421">
        <f t="shared" si="424"/>
        <v>291596</v>
      </c>
      <c r="BQ152" s="421">
        <f t="shared" si="424"/>
        <v>0</v>
      </c>
      <c r="BR152" s="421">
        <f t="shared" si="425"/>
        <v>0</v>
      </c>
      <c r="BS152" s="421">
        <f t="shared" si="426"/>
        <v>0</v>
      </c>
      <c r="BT152" s="421">
        <f t="shared" si="426"/>
        <v>0</v>
      </c>
      <c r="BU152" s="421">
        <f t="shared" si="427"/>
        <v>98559</v>
      </c>
      <c r="BV152" s="421">
        <f t="shared" si="427"/>
        <v>2916</v>
      </c>
      <c r="BW152" s="421">
        <f t="shared" si="428"/>
        <v>0</v>
      </c>
      <c r="BX152" s="422">
        <f t="shared" si="429"/>
        <v>0.53569999999999995</v>
      </c>
      <c r="BY152" s="422">
        <f t="shared" si="430"/>
        <v>0.53569999999999995</v>
      </c>
      <c r="BZ152" s="611">
        <f t="shared" si="430"/>
        <v>0</v>
      </c>
      <c r="CA152" s="423"/>
      <c r="CB152" s="418"/>
      <c r="CC152" s="418"/>
      <c r="CD152" s="418"/>
      <c r="CE152" s="418"/>
      <c r="CF152" s="527"/>
    </row>
    <row r="153" spans="1:84" s="222" customFormat="1" ht="12.75" customHeight="1" x14ac:dyDescent="0.2">
      <c r="A153" s="224">
        <v>31</v>
      </c>
      <c r="B153" s="225">
        <v>3422</v>
      </c>
      <c r="C153" s="225">
        <v>600078591</v>
      </c>
      <c r="D153" s="225">
        <v>72742682</v>
      </c>
      <c r="E153" s="226" t="s">
        <v>69</v>
      </c>
      <c r="F153" s="225">
        <v>3143</v>
      </c>
      <c r="G153" s="226" t="s">
        <v>597</v>
      </c>
      <c r="H153" s="227" t="s">
        <v>272</v>
      </c>
      <c r="I153" s="423">
        <f t="shared" si="400"/>
        <v>15380</v>
      </c>
      <c r="J153" s="418">
        <f t="shared" si="401"/>
        <v>11009</v>
      </c>
      <c r="K153" s="418">
        <v>0</v>
      </c>
      <c r="L153" s="418">
        <v>11009</v>
      </c>
      <c r="M153" s="418">
        <f t="shared" si="402"/>
        <v>0</v>
      </c>
      <c r="N153" s="418"/>
      <c r="O153" s="418"/>
      <c r="P153" s="68">
        <f t="shared" si="403"/>
        <v>3721</v>
      </c>
      <c r="Q153" s="68">
        <f t="shared" si="404"/>
        <v>110</v>
      </c>
      <c r="R153" s="418">
        <v>540</v>
      </c>
      <c r="S153" s="419">
        <f t="shared" si="405"/>
        <v>0.04</v>
      </c>
      <c r="T153" s="420">
        <v>0</v>
      </c>
      <c r="U153" s="527">
        <v>0.04</v>
      </c>
      <c r="V153" s="427">
        <f t="shared" si="406"/>
        <v>0</v>
      </c>
      <c r="W153" s="421">
        <f t="shared" si="406"/>
        <v>0</v>
      </c>
      <c r="X153" s="421">
        <v>0</v>
      </c>
      <c r="Y153" s="421">
        <v>0</v>
      </c>
      <c r="Z153" s="421">
        <v>0</v>
      </c>
      <c r="AA153" s="421">
        <v>0</v>
      </c>
      <c r="AB153" s="421">
        <v>0</v>
      </c>
      <c r="AC153" s="421">
        <v>0</v>
      </c>
      <c r="AD153" s="421">
        <v>0</v>
      </c>
      <c r="AE153" s="421">
        <v>0</v>
      </c>
      <c r="AF153" s="421">
        <f t="shared" si="407"/>
        <v>0</v>
      </c>
      <c r="AG153" s="421">
        <f t="shared" si="408"/>
        <v>0</v>
      </c>
      <c r="AH153" s="421">
        <f t="shared" si="409"/>
        <v>0</v>
      </c>
      <c r="AI153" s="421">
        <v>0</v>
      </c>
      <c r="AJ153" s="421">
        <v>0</v>
      </c>
      <c r="AK153" s="421">
        <v>0</v>
      </c>
      <c r="AL153" s="421">
        <v>0</v>
      </c>
      <c r="AM153" s="421">
        <v>0</v>
      </c>
      <c r="AN153" s="421">
        <v>0</v>
      </c>
      <c r="AO153" s="421">
        <f t="shared" si="410"/>
        <v>0</v>
      </c>
      <c r="AP153" s="421">
        <f t="shared" si="411"/>
        <v>0</v>
      </c>
      <c r="AQ153" s="421">
        <f t="shared" si="412"/>
        <v>0</v>
      </c>
      <c r="AR153" s="421">
        <f t="shared" si="413"/>
        <v>0</v>
      </c>
      <c r="AS153" s="421">
        <f t="shared" si="413"/>
        <v>0</v>
      </c>
      <c r="AT153" s="421">
        <f t="shared" si="414"/>
        <v>0</v>
      </c>
      <c r="AU153" s="68">
        <f t="shared" si="415"/>
        <v>0</v>
      </c>
      <c r="AV153" s="68">
        <f t="shared" si="416"/>
        <v>0</v>
      </c>
      <c r="AW153" s="421">
        <v>0</v>
      </c>
      <c r="AX153" s="421">
        <v>0</v>
      </c>
      <c r="AY153" s="421">
        <f t="shared" si="417"/>
        <v>0</v>
      </c>
      <c r="AZ153" s="421">
        <f t="shared" si="418"/>
        <v>0</v>
      </c>
      <c r="BA153" s="422">
        <v>0</v>
      </c>
      <c r="BB153" s="422">
        <v>0</v>
      </c>
      <c r="BC153" s="422">
        <v>0</v>
      </c>
      <c r="BD153" s="422">
        <v>0</v>
      </c>
      <c r="BE153" s="422">
        <v>0</v>
      </c>
      <c r="BF153" s="422">
        <v>0</v>
      </c>
      <c r="BG153" s="422">
        <v>0</v>
      </c>
      <c r="BH153" s="422">
        <v>0</v>
      </c>
      <c r="BI153" s="422">
        <v>0</v>
      </c>
      <c r="BJ153" s="422">
        <v>0</v>
      </c>
      <c r="BK153" s="422">
        <f t="shared" si="419"/>
        <v>0</v>
      </c>
      <c r="BL153" s="422">
        <f t="shared" si="420"/>
        <v>0</v>
      </c>
      <c r="BM153" s="611">
        <f t="shared" si="421"/>
        <v>0</v>
      </c>
      <c r="BN153" s="428">
        <f t="shared" si="422"/>
        <v>15380</v>
      </c>
      <c r="BO153" s="421">
        <f t="shared" si="423"/>
        <v>11009</v>
      </c>
      <c r="BP153" s="421">
        <f t="shared" si="424"/>
        <v>0</v>
      </c>
      <c r="BQ153" s="421">
        <f t="shared" si="424"/>
        <v>11009</v>
      </c>
      <c r="BR153" s="421">
        <f t="shared" si="425"/>
        <v>0</v>
      </c>
      <c r="BS153" s="421">
        <f t="shared" si="426"/>
        <v>0</v>
      </c>
      <c r="BT153" s="421">
        <f t="shared" si="426"/>
        <v>0</v>
      </c>
      <c r="BU153" s="421">
        <f t="shared" si="427"/>
        <v>3721</v>
      </c>
      <c r="BV153" s="421">
        <f t="shared" si="427"/>
        <v>110</v>
      </c>
      <c r="BW153" s="421">
        <f t="shared" si="428"/>
        <v>540</v>
      </c>
      <c r="BX153" s="422">
        <f t="shared" si="429"/>
        <v>0.04</v>
      </c>
      <c r="BY153" s="422">
        <f t="shared" si="430"/>
        <v>0</v>
      </c>
      <c r="BZ153" s="611">
        <f t="shared" si="430"/>
        <v>0.04</v>
      </c>
      <c r="CA153" s="423"/>
      <c r="CB153" s="418"/>
      <c r="CC153" s="418"/>
      <c r="CD153" s="418"/>
      <c r="CE153" s="418"/>
      <c r="CF153" s="527"/>
    </row>
    <row r="154" spans="1:84" s="222" customFormat="1" ht="12.75" customHeight="1" x14ac:dyDescent="0.2">
      <c r="A154" s="153">
        <v>31</v>
      </c>
      <c r="B154" s="14">
        <v>3422</v>
      </c>
      <c r="C154" s="152">
        <v>600078591</v>
      </c>
      <c r="D154" s="152">
        <v>72742682</v>
      </c>
      <c r="E154" s="223" t="s">
        <v>70</v>
      </c>
      <c r="F154" s="14"/>
      <c r="G154" s="223"/>
      <c r="H154" s="592"/>
      <c r="I154" s="522">
        <f t="shared" ref="I154:BU154" si="431">SUM(I148:I153)</f>
        <v>12456691</v>
      </c>
      <c r="J154" s="521">
        <f t="shared" si="431"/>
        <v>9158904</v>
      </c>
      <c r="K154" s="521">
        <f t="shared" si="431"/>
        <v>7782272</v>
      </c>
      <c r="L154" s="521">
        <f t="shared" si="431"/>
        <v>1376632</v>
      </c>
      <c r="M154" s="521">
        <f t="shared" si="431"/>
        <v>0</v>
      </c>
      <c r="N154" s="521">
        <f t="shared" si="431"/>
        <v>0</v>
      </c>
      <c r="O154" s="521">
        <f t="shared" si="431"/>
        <v>0</v>
      </c>
      <c r="P154" s="521">
        <f t="shared" si="431"/>
        <v>3095710</v>
      </c>
      <c r="Q154" s="521">
        <f t="shared" si="431"/>
        <v>91589</v>
      </c>
      <c r="R154" s="521">
        <f t="shared" si="431"/>
        <v>110488</v>
      </c>
      <c r="S154" s="572">
        <f t="shared" si="431"/>
        <v>17.488399999999999</v>
      </c>
      <c r="T154" s="572">
        <f t="shared" si="431"/>
        <v>13.4329</v>
      </c>
      <c r="U154" s="448">
        <f t="shared" si="431"/>
        <v>4.0555000000000003</v>
      </c>
      <c r="V154" s="614">
        <f t="shared" si="431"/>
        <v>0</v>
      </c>
      <c r="W154" s="521">
        <f t="shared" si="431"/>
        <v>0</v>
      </c>
      <c r="X154" s="521">
        <f t="shared" si="431"/>
        <v>659211</v>
      </c>
      <c r="Y154" s="521">
        <f t="shared" si="431"/>
        <v>0</v>
      </c>
      <c r="Z154" s="521">
        <f t="shared" si="431"/>
        <v>0</v>
      </c>
      <c r="AA154" s="521">
        <f t="shared" si="431"/>
        <v>79440</v>
      </c>
      <c r="AB154" s="521">
        <f t="shared" si="431"/>
        <v>0</v>
      </c>
      <c r="AC154" s="521">
        <f t="shared" si="431"/>
        <v>0</v>
      </c>
      <c r="AD154" s="521">
        <f t="shared" si="431"/>
        <v>0</v>
      </c>
      <c r="AE154" s="521">
        <f t="shared" si="431"/>
        <v>0</v>
      </c>
      <c r="AF154" s="521">
        <f t="shared" si="431"/>
        <v>738651</v>
      </c>
      <c r="AG154" s="521">
        <f t="shared" si="431"/>
        <v>0</v>
      </c>
      <c r="AH154" s="521">
        <f t="shared" si="431"/>
        <v>738651</v>
      </c>
      <c r="AI154" s="521">
        <f t="shared" si="431"/>
        <v>0</v>
      </c>
      <c r="AJ154" s="521">
        <f t="shared" si="431"/>
        <v>0</v>
      </c>
      <c r="AK154" s="521">
        <f t="shared" ref="AK154" si="432">SUM(AK148:AK153)</f>
        <v>0</v>
      </c>
      <c r="AL154" s="521">
        <f t="shared" si="431"/>
        <v>0</v>
      </c>
      <c r="AM154" s="521">
        <f t="shared" si="431"/>
        <v>0</v>
      </c>
      <c r="AN154" s="521">
        <f t="shared" si="431"/>
        <v>0</v>
      </c>
      <c r="AO154" s="521">
        <f t="shared" si="431"/>
        <v>0</v>
      </c>
      <c r="AP154" s="521">
        <f t="shared" si="431"/>
        <v>0</v>
      </c>
      <c r="AQ154" s="521">
        <f t="shared" si="431"/>
        <v>0</v>
      </c>
      <c r="AR154" s="521">
        <f t="shared" si="431"/>
        <v>738651</v>
      </c>
      <c r="AS154" s="521">
        <f t="shared" si="431"/>
        <v>0</v>
      </c>
      <c r="AT154" s="521">
        <f t="shared" si="431"/>
        <v>738651</v>
      </c>
      <c r="AU154" s="521">
        <f t="shared" si="431"/>
        <v>249664</v>
      </c>
      <c r="AV154" s="521">
        <f t="shared" si="431"/>
        <v>7386</v>
      </c>
      <c r="AW154" s="521">
        <f t="shared" si="431"/>
        <v>0</v>
      </c>
      <c r="AX154" s="521">
        <f t="shared" si="431"/>
        <v>0</v>
      </c>
      <c r="AY154" s="521">
        <f t="shared" si="431"/>
        <v>0</v>
      </c>
      <c r="AZ154" s="521">
        <f t="shared" si="431"/>
        <v>995701</v>
      </c>
      <c r="BA154" s="572">
        <f t="shared" si="431"/>
        <v>0</v>
      </c>
      <c r="BB154" s="572">
        <f t="shared" si="431"/>
        <v>0</v>
      </c>
      <c r="BC154" s="572">
        <f t="shared" si="431"/>
        <v>1.78</v>
      </c>
      <c r="BD154" s="572">
        <f t="shared" si="431"/>
        <v>0</v>
      </c>
      <c r="BE154" s="572">
        <f t="shared" si="431"/>
        <v>0</v>
      </c>
      <c r="BF154" s="572">
        <f t="shared" si="431"/>
        <v>0</v>
      </c>
      <c r="BG154" s="572">
        <f t="shared" si="431"/>
        <v>0</v>
      </c>
      <c r="BH154" s="572">
        <f t="shared" si="431"/>
        <v>0.11</v>
      </c>
      <c r="BI154" s="572">
        <f t="shared" si="431"/>
        <v>0</v>
      </c>
      <c r="BJ154" s="572">
        <f t="shared" si="431"/>
        <v>0</v>
      </c>
      <c r="BK154" s="572">
        <f t="shared" si="431"/>
        <v>1.8900000000000001</v>
      </c>
      <c r="BL154" s="572">
        <f t="shared" si="431"/>
        <v>0</v>
      </c>
      <c r="BM154" s="403">
        <f t="shared" si="431"/>
        <v>1.8900000000000001</v>
      </c>
      <c r="BN154" s="522">
        <f t="shared" si="431"/>
        <v>13452392</v>
      </c>
      <c r="BO154" s="521">
        <f t="shared" si="431"/>
        <v>9897555</v>
      </c>
      <c r="BP154" s="521">
        <f t="shared" si="431"/>
        <v>8520923</v>
      </c>
      <c r="BQ154" s="521">
        <f t="shared" si="431"/>
        <v>1376632</v>
      </c>
      <c r="BR154" s="521">
        <f t="shared" si="431"/>
        <v>0</v>
      </c>
      <c r="BS154" s="521">
        <f t="shared" si="431"/>
        <v>0</v>
      </c>
      <c r="BT154" s="521">
        <f t="shared" si="431"/>
        <v>0</v>
      </c>
      <c r="BU154" s="521">
        <f t="shared" si="431"/>
        <v>3345374</v>
      </c>
      <c r="BV154" s="521">
        <f t="shared" ref="BV154:CF154" si="433">SUM(BV148:BV153)</f>
        <v>98975</v>
      </c>
      <c r="BW154" s="521">
        <f t="shared" si="433"/>
        <v>110488</v>
      </c>
      <c r="BX154" s="572">
        <f t="shared" si="433"/>
        <v>19.378399999999999</v>
      </c>
      <c r="BY154" s="572">
        <f t="shared" si="433"/>
        <v>15.322899999999999</v>
      </c>
      <c r="BZ154" s="403">
        <f t="shared" si="433"/>
        <v>4.0555000000000003</v>
      </c>
      <c r="CA154" s="833">
        <f t="shared" si="433"/>
        <v>0</v>
      </c>
      <c r="CB154" s="834">
        <f t="shared" si="433"/>
        <v>0</v>
      </c>
      <c r="CC154" s="834">
        <f t="shared" si="433"/>
        <v>0</v>
      </c>
      <c r="CD154" s="834">
        <f t="shared" si="433"/>
        <v>0</v>
      </c>
      <c r="CE154" s="834">
        <f t="shared" si="433"/>
        <v>0</v>
      </c>
      <c r="CF154" s="829">
        <f t="shared" si="433"/>
        <v>0</v>
      </c>
    </row>
    <row r="155" spans="1:84" s="222" customFormat="1" ht="12.75" customHeight="1" x14ac:dyDescent="0.2">
      <c r="A155" s="224">
        <v>32</v>
      </c>
      <c r="B155" s="225">
        <v>3426</v>
      </c>
      <c r="C155" s="225">
        <v>600078019</v>
      </c>
      <c r="D155" s="225">
        <v>72742470</v>
      </c>
      <c r="E155" s="226" t="s">
        <v>71</v>
      </c>
      <c r="F155" s="225">
        <v>3111</v>
      </c>
      <c r="G155" s="226" t="s">
        <v>291</v>
      </c>
      <c r="H155" s="227" t="s">
        <v>271</v>
      </c>
      <c r="I155" s="423">
        <f t="shared" ref="I155:I157" si="434">J155+P155+Q155+R155</f>
        <v>5048101</v>
      </c>
      <c r="J155" s="418">
        <f>K155+L155</f>
        <v>3733196</v>
      </c>
      <c r="K155" s="418">
        <v>3400527</v>
      </c>
      <c r="L155" s="418">
        <v>332669</v>
      </c>
      <c r="M155" s="418">
        <f>N155+O155</f>
        <v>0</v>
      </c>
      <c r="N155" s="418"/>
      <c r="O155" s="418"/>
      <c r="P155" s="68">
        <f t="shared" ref="P155:P157" si="435">ROUND(J155*33.8%,0)</f>
        <v>1261820</v>
      </c>
      <c r="Q155" s="68">
        <f t="shared" ref="Q155:Q157" si="436">ROUND(J155*1%,0)</f>
        <v>37332</v>
      </c>
      <c r="R155" s="418">
        <v>15753</v>
      </c>
      <c r="S155" s="419">
        <f>T155+U155</f>
        <v>7.12</v>
      </c>
      <c r="T155" s="420">
        <v>6</v>
      </c>
      <c r="U155" s="527">
        <v>1.1200000000000001</v>
      </c>
      <c r="V155" s="427">
        <f t="shared" ref="V155:W157" si="437">AI155*-1</f>
        <v>0</v>
      </c>
      <c r="W155" s="421">
        <f t="shared" si="437"/>
        <v>-19200</v>
      </c>
      <c r="X155" s="421">
        <v>0</v>
      </c>
      <c r="Y155" s="421">
        <v>0</v>
      </c>
      <c r="Z155" s="421">
        <v>0</v>
      </c>
      <c r="AA155" s="421">
        <v>0</v>
      </c>
      <c r="AB155" s="421">
        <v>0</v>
      </c>
      <c r="AC155" s="421">
        <v>0</v>
      </c>
      <c r="AD155" s="421">
        <v>0</v>
      </c>
      <c r="AE155" s="421">
        <v>0</v>
      </c>
      <c r="AF155" s="421">
        <f>V155+X155+Y155+AA155+AB155+AD155</f>
        <v>0</v>
      </c>
      <c r="AG155" s="421">
        <f>W155+Z155+AC155+AE155</f>
        <v>-19200</v>
      </c>
      <c r="AH155" s="421">
        <f>SUM(AF155:AG155)</f>
        <v>-19200</v>
      </c>
      <c r="AI155" s="421">
        <v>0</v>
      </c>
      <c r="AJ155" s="421">
        <v>19200</v>
      </c>
      <c r="AK155" s="421">
        <v>0</v>
      </c>
      <c r="AL155" s="421">
        <v>0</v>
      </c>
      <c r="AM155" s="421">
        <v>0</v>
      </c>
      <c r="AN155" s="421">
        <v>0</v>
      </c>
      <c r="AO155" s="421">
        <f t="shared" ref="AO155:AO157" si="438">AI155+AK155+AL155+AM155</f>
        <v>0</v>
      </c>
      <c r="AP155" s="421">
        <f>AJ155+AN155</f>
        <v>19200</v>
      </c>
      <c r="AQ155" s="421">
        <f>SUM(AO155:AP155)</f>
        <v>19200</v>
      </c>
      <c r="AR155" s="421">
        <f t="shared" ref="AR155:AS157" si="439">AF155+AO155</f>
        <v>0</v>
      </c>
      <c r="AS155" s="421">
        <f t="shared" si="439"/>
        <v>0</v>
      </c>
      <c r="AT155" s="421">
        <f>SUM(AR155:AS155)</f>
        <v>0</v>
      </c>
      <c r="AU155" s="68">
        <f t="shared" ref="AU155:AU157" si="440">ROUND((AH155+AI155+AJ155+AK155+AL155)*33.8%,0)</f>
        <v>0</v>
      </c>
      <c r="AV155" s="68">
        <f>ROUND(AH155*1%,0)</f>
        <v>-192</v>
      </c>
      <c r="AW155" s="421">
        <v>0</v>
      </c>
      <c r="AX155" s="421">
        <v>0</v>
      </c>
      <c r="AY155" s="421">
        <f>AW155+AX155</f>
        <v>0</v>
      </c>
      <c r="AZ155" s="421">
        <f>AT155+AU155+AV155+AY155</f>
        <v>-192</v>
      </c>
      <c r="BA155" s="422">
        <v>0</v>
      </c>
      <c r="BB155" s="422">
        <v>-0.08</v>
      </c>
      <c r="BC155" s="422">
        <v>0</v>
      </c>
      <c r="BD155" s="422">
        <v>0</v>
      </c>
      <c r="BE155" s="422">
        <v>0</v>
      </c>
      <c r="BF155" s="422">
        <v>0</v>
      </c>
      <c r="BG155" s="422">
        <v>0</v>
      </c>
      <c r="BH155" s="422">
        <v>0</v>
      </c>
      <c r="BI155" s="422">
        <v>0</v>
      </c>
      <c r="BJ155" s="422">
        <v>0</v>
      </c>
      <c r="BK155" s="422">
        <f>BA155+BC155+BD155+BF155+BH155+BI155</f>
        <v>0</v>
      </c>
      <c r="BL155" s="422">
        <f>BB155+BE155+BG155+BJ155</f>
        <v>-0.08</v>
      </c>
      <c r="BM155" s="611">
        <f>SUM(BK155:BL155)</f>
        <v>-0.08</v>
      </c>
      <c r="BN155" s="428">
        <f>I155+AZ155</f>
        <v>5047909</v>
      </c>
      <c r="BO155" s="421">
        <f>J155+AH155</f>
        <v>3713996</v>
      </c>
      <c r="BP155" s="421">
        <f t="shared" ref="BP155:BQ157" si="441">K155+AF155</f>
        <v>3400527</v>
      </c>
      <c r="BQ155" s="421">
        <f t="shared" si="441"/>
        <v>313469</v>
      </c>
      <c r="BR155" s="421">
        <f>M155+AQ155</f>
        <v>19200</v>
      </c>
      <c r="BS155" s="421">
        <f t="shared" ref="BS155:BT157" si="442">N155+AO155</f>
        <v>0</v>
      </c>
      <c r="BT155" s="421">
        <f t="shared" si="442"/>
        <v>19200</v>
      </c>
      <c r="BU155" s="421">
        <f t="shared" ref="BU155:BV157" si="443">P155+AU155</f>
        <v>1261820</v>
      </c>
      <c r="BV155" s="421">
        <f t="shared" si="443"/>
        <v>37140</v>
      </c>
      <c r="BW155" s="421">
        <f>R155+AY155</f>
        <v>15753</v>
      </c>
      <c r="BX155" s="422">
        <f>S155+BM155</f>
        <v>7.04</v>
      </c>
      <c r="BY155" s="422">
        <f t="shared" ref="BY155:BZ157" si="444">T155+BK155</f>
        <v>6</v>
      </c>
      <c r="BZ155" s="611">
        <f t="shared" si="444"/>
        <v>1.04</v>
      </c>
      <c r="CA155" s="423"/>
      <c r="CB155" s="418"/>
      <c r="CC155" s="418"/>
      <c r="CD155" s="418"/>
      <c r="CE155" s="418"/>
      <c r="CF155" s="527"/>
    </row>
    <row r="156" spans="1:84" s="222" customFormat="1" x14ac:dyDescent="0.2">
      <c r="A156" s="224">
        <v>32</v>
      </c>
      <c r="B156" s="225">
        <v>3426</v>
      </c>
      <c r="C156" s="225">
        <v>600078019</v>
      </c>
      <c r="D156" s="225">
        <v>72742470</v>
      </c>
      <c r="E156" s="226" t="s">
        <v>71</v>
      </c>
      <c r="F156" s="225">
        <v>3111</v>
      </c>
      <c r="G156" s="226" t="s">
        <v>292</v>
      </c>
      <c r="H156" s="227" t="s">
        <v>272</v>
      </c>
      <c r="I156" s="423">
        <f t="shared" si="434"/>
        <v>0</v>
      </c>
      <c r="J156" s="418">
        <f>K156+L156</f>
        <v>0</v>
      </c>
      <c r="K156" s="418">
        <v>0</v>
      </c>
      <c r="L156" s="418">
        <v>0</v>
      </c>
      <c r="M156" s="418">
        <f>N156+O156</f>
        <v>0</v>
      </c>
      <c r="N156" s="418"/>
      <c r="O156" s="418"/>
      <c r="P156" s="68">
        <f t="shared" si="435"/>
        <v>0</v>
      </c>
      <c r="Q156" s="68">
        <f t="shared" si="436"/>
        <v>0</v>
      </c>
      <c r="R156" s="418">
        <v>0</v>
      </c>
      <c r="S156" s="419">
        <f>T156+U156</f>
        <v>0</v>
      </c>
      <c r="T156" s="420">
        <v>0</v>
      </c>
      <c r="U156" s="527">
        <v>0</v>
      </c>
      <c r="V156" s="427">
        <f t="shared" si="437"/>
        <v>0</v>
      </c>
      <c r="W156" s="421">
        <f t="shared" si="437"/>
        <v>0</v>
      </c>
      <c r="X156" s="421">
        <f>556202+84975</f>
        <v>641177</v>
      </c>
      <c r="Y156" s="421">
        <v>0</v>
      </c>
      <c r="Z156" s="421">
        <v>0</v>
      </c>
      <c r="AA156" s="421">
        <v>0</v>
      </c>
      <c r="AB156" s="421">
        <v>0</v>
      </c>
      <c r="AC156" s="421">
        <v>0</v>
      </c>
      <c r="AD156" s="421">
        <v>0</v>
      </c>
      <c r="AE156" s="421">
        <v>0</v>
      </c>
      <c r="AF156" s="421">
        <f>V156+X156+Y156+AA156+AB156+AD156</f>
        <v>641177</v>
      </c>
      <c r="AG156" s="421">
        <f>W156+Z156+AC156+AE156</f>
        <v>0</v>
      </c>
      <c r="AH156" s="421">
        <f>SUM(AF156:AG156)</f>
        <v>641177</v>
      </c>
      <c r="AI156" s="421">
        <v>0</v>
      </c>
      <c r="AJ156" s="421">
        <v>0</v>
      </c>
      <c r="AK156" s="421">
        <v>0</v>
      </c>
      <c r="AL156" s="421">
        <v>0</v>
      </c>
      <c r="AM156" s="421">
        <v>0</v>
      </c>
      <c r="AN156" s="421">
        <v>0</v>
      </c>
      <c r="AO156" s="421">
        <f t="shared" si="438"/>
        <v>0</v>
      </c>
      <c r="AP156" s="421">
        <f>AJ156+AN156</f>
        <v>0</v>
      </c>
      <c r="AQ156" s="421">
        <f>SUM(AO156:AP156)</f>
        <v>0</v>
      </c>
      <c r="AR156" s="421">
        <f t="shared" si="439"/>
        <v>641177</v>
      </c>
      <c r="AS156" s="421">
        <f t="shared" si="439"/>
        <v>0</v>
      </c>
      <c r="AT156" s="421">
        <f>SUM(AR156:AS156)</f>
        <v>641177</v>
      </c>
      <c r="AU156" s="68">
        <f t="shared" si="440"/>
        <v>216718</v>
      </c>
      <c r="AV156" s="68">
        <f>ROUND(AH156*1%,0)</f>
        <v>6412</v>
      </c>
      <c r="AW156" s="421">
        <v>0</v>
      </c>
      <c r="AX156" s="421">
        <v>0</v>
      </c>
      <c r="AY156" s="421">
        <f>AW156+AX156</f>
        <v>0</v>
      </c>
      <c r="AZ156" s="421">
        <f>AT156+AU156+AV156+AY156</f>
        <v>864307</v>
      </c>
      <c r="BA156" s="422">
        <v>0</v>
      </c>
      <c r="BB156" s="422">
        <v>0</v>
      </c>
      <c r="BC156" s="422">
        <f>1.5+0.23</f>
        <v>1.73</v>
      </c>
      <c r="BD156" s="422">
        <v>0</v>
      </c>
      <c r="BE156" s="422">
        <v>0</v>
      </c>
      <c r="BF156" s="422">
        <v>0</v>
      </c>
      <c r="BG156" s="422">
        <v>0</v>
      </c>
      <c r="BH156" s="422">
        <v>0</v>
      </c>
      <c r="BI156" s="422">
        <v>0</v>
      </c>
      <c r="BJ156" s="422">
        <v>0</v>
      </c>
      <c r="BK156" s="422">
        <f>BA156+BC156+BD156+BF156+BH156+BI156</f>
        <v>1.73</v>
      </c>
      <c r="BL156" s="422">
        <f>BB156+BE156+BG156+BJ156</f>
        <v>0</v>
      </c>
      <c r="BM156" s="611">
        <f>SUM(BK156:BL156)</f>
        <v>1.73</v>
      </c>
      <c r="BN156" s="428">
        <f>I156+AZ156</f>
        <v>864307</v>
      </c>
      <c r="BO156" s="421">
        <f>J156+AH156</f>
        <v>641177</v>
      </c>
      <c r="BP156" s="421">
        <f t="shared" si="441"/>
        <v>641177</v>
      </c>
      <c r="BQ156" s="421">
        <f t="shared" si="441"/>
        <v>0</v>
      </c>
      <c r="BR156" s="421">
        <f>M156+AQ156</f>
        <v>0</v>
      </c>
      <c r="BS156" s="421">
        <f t="shared" si="442"/>
        <v>0</v>
      </c>
      <c r="BT156" s="421">
        <f t="shared" si="442"/>
        <v>0</v>
      </c>
      <c r="BU156" s="421">
        <f t="shared" si="443"/>
        <v>216718</v>
      </c>
      <c r="BV156" s="421">
        <f t="shared" si="443"/>
        <v>6412</v>
      </c>
      <c r="BW156" s="421">
        <f>R156+AY156</f>
        <v>0</v>
      </c>
      <c r="BX156" s="422">
        <f>S156+BM156</f>
        <v>1.73</v>
      </c>
      <c r="BY156" s="422">
        <f t="shared" si="444"/>
        <v>1.73</v>
      </c>
      <c r="BZ156" s="611">
        <f t="shared" si="444"/>
        <v>0</v>
      </c>
      <c r="CA156" s="423"/>
      <c r="CB156" s="418"/>
      <c r="CC156" s="418"/>
      <c r="CD156" s="418"/>
      <c r="CE156" s="418"/>
      <c r="CF156" s="527"/>
    </row>
    <row r="157" spans="1:84" s="222" customFormat="1" ht="12.75" customHeight="1" x14ac:dyDescent="0.2">
      <c r="A157" s="224">
        <v>32</v>
      </c>
      <c r="B157" s="225">
        <v>3426</v>
      </c>
      <c r="C157" s="225">
        <v>600078019</v>
      </c>
      <c r="D157" s="225">
        <v>72742470</v>
      </c>
      <c r="E157" s="226" t="s">
        <v>71</v>
      </c>
      <c r="F157" s="225">
        <v>3141</v>
      </c>
      <c r="G157" s="226" t="s">
        <v>295</v>
      </c>
      <c r="H157" s="227" t="s">
        <v>272</v>
      </c>
      <c r="I157" s="423">
        <f t="shared" si="434"/>
        <v>1380217</v>
      </c>
      <c r="J157" s="418">
        <f>K157+L157</f>
        <v>1018214</v>
      </c>
      <c r="K157" s="418">
        <v>0</v>
      </c>
      <c r="L157" s="418">
        <v>1018214</v>
      </c>
      <c r="M157" s="418">
        <f>N157+O157</f>
        <v>0</v>
      </c>
      <c r="N157" s="418"/>
      <c r="O157" s="418"/>
      <c r="P157" s="68">
        <f t="shared" si="435"/>
        <v>344156</v>
      </c>
      <c r="Q157" s="68">
        <f t="shared" si="436"/>
        <v>10182</v>
      </c>
      <c r="R157" s="418">
        <v>7665</v>
      </c>
      <c r="S157" s="419">
        <f>T157+U157</f>
        <v>3.05</v>
      </c>
      <c r="T157" s="420">
        <v>0</v>
      </c>
      <c r="U157" s="527">
        <v>3.05</v>
      </c>
      <c r="V157" s="427">
        <f t="shared" si="437"/>
        <v>0</v>
      </c>
      <c r="W157" s="421">
        <f t="shared" si="437"/>
        <v>0</v>
      </c>
      <c r="X157" s="421">
        <v>0</v>
      </c>
      <c r="Y157" s="421">
        <v>0</v>
      </c>
      <c r="Z157" s="421">
        <v>0</v>
      </c>
      <c r="AA157" s="421">
        <v>0</v>
      </c>
      <c r="AB157" s="421">
        <v>0</v>
      </c>
      <c r="AC157" s="421">
        <v>0</v>
      </c>
      <c r="AD157" s="421">
        <v>0</v>
      </c>
      <c r="AE157" s="421">
        <v>0</v>
      </c>
      <c r="AF157" s="421">
        <f>V157+X157+Y157+AA157+AB157+AD157</f>
        <v>0</v>
      </c>
      <c r="AG157" s="421">
        <f>W157+Z157+AC157+AE157</f>
        <v>0</v>
      </c>
      <c r="AH157" s="421">
        <f>SUM(AF157:AG157)</f>
        <v>0</v>
      </c>
      <c r="AI157" s="421">
        <v>0</v>
      </c>
      <c r="AJ157" s="421">
        <v>0</v>
      </c>
      <c r="AK157" s="421">
        <v>0</v>
      </c>
      <c r="AL157" s="421">
        <v>0</v>
      </c>
      <c r="AM157" s="421">
        <v>0</v>
      </c>
      <c r="AN157" s="421">
        <v>0</v>
      </c>
      <c r="AO157" s="421">
        <f t="shared" si="438"/>
        <v>0</v>
      </c>
      <c r="AP157" s="421">
        <f>AJ157+AN157</f>
        <v>0</v>
      </c>
      <c r="AQ157" s="421">
        <f>SUM(AO157:AP157)</f>
        <v>0</v>
      </c>
      <c r="AR157" s="421">
        <f t="shared" si="439"/>
        <v>0</v>
      </c>
      <c r="AS157" s="421">
        <f t="shared" si="439"/>
        <v>0</v>
      </c>
      <c r="AT157" s="421">
        <f>SUM(AR157:AS157)</f>
        <v>0</v>
      </c>
      <c r="AU157" s="68">
        <f t="shared" si="440"/>
        <v>0</v>
      </c>
      <c r="AV157" s="68">
        <f>ROUND(AH157*1%,0)</f>
        <v>0</v>
      </c>
      <c r="AW157" s="421">
        <v>0</v>
      </c>
      <c r="AX157" s="421">
        <v>0</v>
      </c>
      <c r="AY157" s="421">
        <f>AW157+AX157</f>
        <v>0</v>
      </c>
      <c r="AZ157" s="421">
        <f>AT157+AU157+AV157+AY157</f>
        <v>0</v>
      </c>
      <c r="BA157" s="422">
        <v>0</v>
      </c>
      <c r="BB157" s="422">
        <v>0</v>
      </c>
      <c r="BC157" s="422">
        <v>0</v>
      </c>
      <c r="BD157" s="422">
        <v>0</v>
      </c>
      <c r="BE157" s="422">
        <v>0</v>
      </c>
      <c r="BF157" s="422">
        <v>0</v>
      </c>
      <c r="BG157" s="422">
        <v>0</v>
      </c>
      <c r="BH157" s="422">
        <v>0</v>
      </c>
      <c r="BI157" s="422">
        <v>0</v>
      </c>
      <c r="BJ157" s="422">
        <v>0</v>
      </c>
      <c r="BK157" s="422">
        <f>BA157+BC157+BD157+BF157+BH157+BI157</f>
        <v>0</v>
      </c>
      <c r="BL157" s="422">
        <f>BB157+BE157+BG157+BJ157</f>
        <v>0</v>
      </c>
      <c r="BM157" s="611">
        <f>SUM(BK157:BL157)</f>
        <v>0</v>
      </c>
      <c r="BN157" s="428">
        <f>I157+AZ157</f>
        <v>1380217</v>
      </c>
      <c r="BO157" s="421">
        <f>J157+AH157</f>
        <v>1018214</v>
      </c>
      <c r="BP157" s="421">
        <f t="shared" si="441"/>
        <v>0</v>
      </c>
      <c r="BQ157" s="421">
        <f t="shared" si="441"/>
        <v>1018214</v>
      </c>
      <c r="BR157" s="421">
        <f>M157+AQ157</f>
        <v>0</v>
      </c>
      <c r="BS157" s="421">
        <f t="shared" si="442"/>
        <v>0</v>
      </c>
      <c r="BT157" s="421">
        <f t="shared" si="442"/>
        <v>0</v>
      </c>
      <c r="BU157" s="421">
        <f t="shared" si="443"/>
        <v>344156</v>
      </c>
      <c r="BV157" s="421">
        <f t="shared" si="443"/>
        <v>10182</v>
      </c>
      <c r="BW157" s="421">
        <f>R157+AY157</f>
        <v>7665</v>
      </c>
      <c r="BX157" s="422">
        <f>S157+BM157</f>
        <v>3.05</v>
      </c>
      <c r="BY157" s="422">
        <f t="shared" si="444"/>
        <v>0</v>
      </c>
      <c r="BZ157" s="611">
        <f t="shared" si="444"/>
        <v>3.05</v>
      </c>
      <c r="CA157" s="423"/>
      <c r="CB157" s="418"/>
      <c r="CC157" s="418"/>
      <c r="CD157" s="418"/>
      <c r="CE157" s="418"/>
      <c r="CF157" s="527"/>
    </row>
    <row r="158" spans="1:84" s="222" customFormat="1" ht="12.75" customHeight="1" x14ac:dyDescent="0.2">
      <c r="A158" s="153">
        <v>32</v>
      </c>
      <c r="B158" s="14">
        <v>3426</v>
      </c>
      <c r="C158" s="152">
        <v>600078019</v>
      </c>
      <c r="D158" s="152">
        <v>72742470</v>
      </c>
      <c r="E158" s="223" t="s">
        <v>72</v>
      </c>
      <c r="F158" s="14"/>
      <c r="G158" s="223"/>
      <c r="H158" s="592"/>
      <c r="I158" s="522">
        <f t="shared" ref="I158:BU158" si="445">SUM(I155:I157)</f>
        <v>6428318</v>
      </c>
      <c r="J158" s="521">
        <f t="shared" si="445"/>
        <v>4751410</v>
      </c>
      <c r="K158" s="521">
        <f t="shared" si="445"/>
        <v>3400527</v>
      </c>
      <c r="L158" s="521">
        <f t="shared" si="445"/>
        <v>1350883</v>
      </c>
      <c r="M158" s="521">
        <f t="shared" si="445"/>
        <v>0</v>
      </c>
      <c r="N158" s="521">
        <f t="shared" si="445"/>
        <v>0</v>
      </c>
      <c r="O158" s="521">
        <f t="shared" si="445"/>
        <v>0</v>
      </c>
      <c r="P158" s="521">
        <f t="shared" si="445"/>
        <v>1605976</v>
      </c>
      <c r="Q158" s="521">
        <f t="shared" si="445"/>
        <v>47514</v>
      </c>
      <c r="R158" s="521">
        <f t="shared" si="445"/>
        <v>23418</v>
      </c>
      <c r="S158" s="572">
        <f t="shared" si="445"/>
        <v>10.17</v>
      </c>
      <c r="T158" s="572">
        <f t="shared" si="445"/>
        <v>6</v>
      </c>
      <c r="U158" s="448">
        <f t="shared" si="445"/>
        <v>4.17</v>
      </c>
      <c r="V158" s="614">
        <f t="shared" si="445"/>
        <v>0</v>
      </c>
      <c r="W158" s="521">
        <f t="shared" si="445"/>
        <v>-19200</v>
      </c>
      <c r="X158" s="521">
        <f t="shared" si="445"/>
        <v>641177</v>
      </c>
      <c r="Y158" s="521">
        <f t="shared" si="445"/>
        <v>0</v>
      </c>
      <c r="Z158" s="521">
        <f t="shared" si="445"/>
        <v>0</v>
      </c>
      <c r="AA158" s="521">
        <f t="shared" si="445"/>
        <v>0</v>
      </c>
      <c r="AB158" s="521">
        <f t="shared" si="445"/>
        <v>0</v>
      </c>
      <c r="AC158" s="521">
        <f t="shared" si="445"/>
        <v>0</v>
      </c>
      <c r="AD158" s="521">
        <f t="shared" si="445"/>
        <v>0</v>
      </c>
      <c r="AE158" s="521">
        <f t="shared" si="445"/>
        <v>0</v>
      </c>
      <c r="AF158" s="521">
        <f t="shared" si="445"/>
        <v>641177</v>
      </c>
      <c r="AG158" s="521">
        <f t="shared" si="445"/>
        <v>-19200</v>
      </c>
      <c r="AH158" s="521">
        <f t="shared" si="445"/>
        <v>621977</v>
      </c>
      <c r="AI158" s="521">
        <f t="shared" si="445"/>
        <v>0</v>
      </c>
      <c r="AJ158" s="521">
        <f t="shared" si="445"/>
        <v>19200</v>
      </c>
      <c r="AK158" s="521">
        <f t="shared" ref="AK158" si="446">SUM(AK155:AK157)</f>
        <v>0</v>
      </c>
      <c r="AL158" s="521">
        <f t="shared" si="445"/>
        <v>0</v>
      </c>
      <c r="AM158" s="521">
        <f t="shared" si="445"/>
        <v>0</v>
      </c>
      <c r="AN158" s="521">
        <f t="shared" si="445"/>
        <v>0</v>
      </c>
      <c r="AO158" s="521">
        <f t="shared" si="445"/>
        <v>0</v>
      </c>
      <c r="AP158" s="521">
        <f t="shared" si="445"/>
        <v>19200</v>
      </c>
      <c r="AQ158" s="521">
        <f t="shared" si="445"/>
        <v>19200</v>
      </c>
      <c r="AR158" s="521">
        <f t="shared" si="445"/>
        <v>641177</v>
      </c>
      <c r="AS158" s="521">
        <f t="shared" si="445"/>
        <v>0</v>
      </c>
      <c r="AT158" s="521">
        <f t="shared" si="445"/>
        <v>641177</v>
      </c>
      <c r="AU158" s="521">
        <f t="shared" si="445"/>
        <v>216718</v>
      </c>
      <c r="AV158" s="521">
        <f t="shared" si="445"/>
        <v>6220</v>
      </c>
      <c r="AW158" s="521">
        <f t="shared" si="445"/>
        <v>0</v>
      </c>
      <c r="AX158" s="521">
        <f t="shared" si="445"/>
        <v>0</v>
      </c>
      <c r="AY158" s="521">
        <f t="shared" si="445"/>
        <v>0</v>
      </c>
      <c r="AZ158" s="521">
        <f t="shared" si="445"/>
        <v>864115</v>
      </c>
      <c r="BA158" s="572">
        <f t="shared" si="445"/>
        <v>0</v>
      </c>
      <c r="BB158" s="572">
        <f t="shared" si="445"/>
        <v>-0.08</v>
      </c>
      <c r="BC158" s="572">
        <f t="shared" si="445"/>
        <v>1.73</v>
      </c>
      <c r="BD158" s="572">
        <f t="shared" si="445"/>
        <v>0</v>
      </c>
      <c r="BE158" s="572">
        <f t="shared" si="445"/>
        <v>0</v>
      </c>
      <c r="BF158" s="572">
        <f t="shared" si="445"/>
        <v>0</v>
      </c>
      <c r="BG158" s="572">
        <f t="shared" si="445"/>
        <v>0</v>
      </c>
      <c r="BH158" s="572">
        <f t="shared" si="445"/>
        <v>0</v>
      </c>
      <c r="BI158" s="572">
        <f t="shared" si="445"/>
        <v>0</v>
      </c>
      <c r="BJ158" s="572">
        <f t="shared" si="445"/>
        <v>0</v>
      </c>
      <c r="BK158" s="572">
        <f t="shared" si="445"/>
        <v>1.73</v>
      </c>
      <c r="BL158" s="572">
        <f t="shared" si="445"/>
        <v>-0.08</v>
      </c>
      <c r="BM158" s="403">
        <f t="shared" si="445"/>
        <v>1.65</v>
      </c>
      <c r="BN158" s="522">
        <f t="shared" si="445"/>
        <v>7292433</v>
      </c>
      <c r="BO158" s="521">
        <f t="shared" si="445"/>
        <v>5373387</v>
      </c>
      <c r="BP158" s="521">
        <f t="shared" si="445"/>
        <v>4041704</v>
      </c>
      <c r="BQ158" s="521">
        <f t="shared" si="445"/>
        <v>1331683</v>
      </c>
      <c r="BR158" s="521">
        <f t="shared" si="445"/>
        <v>19200</v>
      </c>
      <c r="BS158" s="521">
        <f t="shared" si="445"/>
        <v>0</v>
      </c>
      <c r="BT158" s="521">
        <f t="shared" si="445"/>
        <v>19200</v>
      </c>
      <c r="BU158" s="521">
        <f t="shared" si="445"/>
        <v>1822694</v>
      </c>
      <c r="BV158" s="521">
        <f t="shared" ref="BV158:CF158" si="447">SUM(BV155:BV157)</f>
        <v>53734</v>
      </c>
      <c r="BW158" s="521">
        <f t="shared" si="447"/>
        <v>23418</v>
      </c>
      <c r="BX158" s="572">
        <f t="shared" si="447"/>
        <v>11.82</v>
      </c>
      <c r="BY158" s="572">
        <f t="shared" si="447"/>
        <v>7.73</v>
      </c>
      <c r="BZ158" s="403">
        <f t="shared" si="447"/>
        <v>4.09</v>
      </c>
      <c r="CA158" s="833">
        <f t="shared" si="447"/>
        <v>0</v>
      </c>
      <c r="CB158" s="834">
        <f t="shared" si="447"/>
        <v>0</v>
      </c>
      <c r="CC158" s="834">
        <f t="shared" si="447"/>
        <v>0</v>
      </c>
      <c r="CD158" s="834">
        <f t="shared" si="447"/>
        <v>0</v>
      </c>
      <c r="CE158" s="834">
        <f t="shared" si="447"/>
        <v>0</v>
      </c>
      <c r="CF158" s="829">
        <f t="shared" si="447"/>
        <v>0</v>
      </c>
    </row>
    <row r="159" spans="1:84" s="222" customFormat="1" ht="12.75" customHeight="1" x14ac:dyDescent="0.2">
      <c r="A159" s="224">
        <v>33</v>
      </c>
      <c r="B159" s="225">
        <v>3425</v>
      </c>
      <c r="C159" s="225">
        <v>600078451</v>
      </c>
      <c r="D159" s="225">
        <v>72742551</v>
      </c>
      <c r="E159" s="226" t="s">
        <v>73</v>
      </c>
      <c r="F159" s="225">
        <v>3113</v>
      </c>
      <c r="G159" s="226" t="s">
        <v>294</v>
      </c>
      <c r="H159" s="227" t="s">
        <v>271</v>
      </c>
      <c r="I159" s="423">
        <f t="shared" ref="I159:I162" si="448">J159+P159+Q159+R159</f>
        <v>13403802</v>
      </c>
      <c r="J159" s="418">
        <f>K159+L159</f>
        <v>9808420</v>
      </c>
      <c r="K159" s="418">
        <v>8943242</v>
      </c>
      <c r="L159" s="418">
        <v>865178</v>
      </c>
      <c r="M159" s="418">
        <f>N159+O159</f>
        <v>0</v>
      </c>
      <c r="N159" s="418"/>
      <c r="O159" s="418"/>
      <c r="P159" s="68">
        <f t="shared" ref="P159:P162" si="449">ROUND(J159*33.8%,0)</f>
        <v>3315246</v>
      </c>
      <c r="Q159" s="68">
        <f t="shared" ref="Q159:Q162" si="450">ROUND(J159*1%,0)</f>
        <v>98084</v>
      </c>
      <c r="R159" s="418">
        <v>182052</v>
      </c>
      <c r="S159" s="419">
        <f>T159+U159</f>
        <v>15.200199999999999</v>
      </c>
      <c r="T159" s="420">
        <v>12.7272</v>
      </c>
      <c r="U159" s="527">
        <v>2.4729999999999999</v>
      </c>
      <c r="V159" s="427">
        <f t="shared" ref="V159:W162" si="451">AI159*-1</f>
        <v>-12288</v>
      </c>
      <c r="W159" s="421">
        <f t="shared" si="451"/>
        <v>0</v>
      </c>
      <c r="X159" s="421">
        <v>0</v>
      </c>
      <c r="Y159" s="421">
        <v>0</v>
      </c>
      <c r="Z159" s="421">
        <v>0</v>
      </c>
      <c r="AA159" s="421">
        <v>26480</v>
      </c>
      <c r="AB159" s="421">
        <v>0</v>
      </c>
      <c r="AC159" s="421">
        <v>0</v>
      </c>
      <c r="AD159" s="421">
        <v>0</v>
      </c>
      <c r="AE159" s="421">
        <v>0</v>
      </c>
      <c r="AF159" s="421">
        <f>V159+X159+Y159+AA159+AB159+AD159</f>
        <v>14192</v>
      </c>
      <c r="AG159" s="421">
        <f>W159+Z159+AC159+AE159</f>
        <v>0</v>
      </c>
      <c r="AH159" s="421">
        <f>SUM(AF159:AG159)</f>
        <v>14192</v>
      </c>
      <c r="AI159" s="421">
        <v>12288</v>
      </c>
      <c r="AJ159" s="421">
        <v>0</v>
      </c>
      <c r="AK159" s="421">
        <v>0</v>
      </c>
      <c r="AL159" s="421">
        <v>0</v>
      </c>
      <c r="AM159" s="421">
        <v>0</v>
      </c>
      <c r="AN159" s="421">
        <v>0</v>
      </c>
      <c r="AO159" s="421">
        <f t="shared" ref="AO159:AO162" si="452">AI159+AK159+AL159+AM159</f>
        <v>12288</v>
      </c>
      <c r="AP159" s="421">
        <f>AJ159+AN159</f>
        <v>0</v>
      </c>
      <c r="AQ159" s="421">
        <f>SUM(AO159:AP159)</f>
        <v>12288</v>
      </c>
      <c r="AR159" s="421">
        <f t="shared" ref="AR159:AS162" si="453">AF159+AO159</f>
        <v>26480</v>
      </c>
      <c r="AS159" s="421">
        <f t="shared" si="453"/>
        <v>0</v>
      </c>
      <c r="AT159" s="421">
        <f>SUM(AR159:AS159)</f>
        <v>26480</v>
      </c>
      <c r="AU159" s="68">
        <f t="shared" ref="AU159:AU162" si="454">ROUND((AH159+AI159+AJ159+AK159+AL159)*33.8%,0)</f>
        <v>8950</v>
      </c>
      <c r="AV159" s="68">
        <f>ROUND(AH159*1%,0)</f>
        <v>142</v>
      </c>
      <c r="AW159" s="421">
        <v>0</v>
      </c>
      <c r="AX159" s="421">
        <v>0</v>
      </c>
      <c r="AY159" s="421">
        <f>AW159+AX159</f>
        <v>0</v>
      </c>
      <c r="AZ159" s="421">
        <f>AT159+AU159+AV159+AY159</f>
        <v>35572</v>
      </c>
      <c r="BA159" s="422">
        <v>-0.02</v>
      </c>
      <c r="BB159" s="422">
        <v>0</v>
      </c>
      <c r="BC159" s="422">
        <v>0</v>
      </c>
      <c r="BD159" s="422">
        <v>0</v>
      </c>
      <c r="BE159" s="422">
        <v>0</v>
      </c>
      <c r="BF159" s="422">
        <v>0</v>
      </c>
      <c r="BG159" s="422">
        <v>0</v>
      </c>
      <c r="BH159" s="422">
        <v>0.04</v>
      </c>
      <c r="BI159" s="422">
        <v>0</v>
      </c>
      <c r="BJ159" s="422">
        <v>0</v>
      </c>
      <c r="BK159" s="422">
        <f>BA159+BC159+BD159+BF159+BH159+BI159</f>
        <v>0.02</v>
      </c>
      <c r="BL159" s="422">
        <f>BB159+BE159+BG159+BJ159</f>
        <v>0</v>
      </c>
      <c r="BM159" s="611">
        <f>SUM(BK159:BL159)</f>
        <v>0.02</v>
      </c>
      <c r="BN159" s="428">
        <f>I159+AZ159</f>
        <v>13439374</v>
      </c>
      <c r="BO159" s="421">
        <f>J159+AH159</f>
        <v>9822612</v>
      </c>
      <c r="BP159" s="421">
        <f t="shared" ref="BP159:BQ162" si="455">K159+AF159</f>
        <v>8957434</v>
      </c>
      <c r="BQ159" s="421">
        <f t="shared" si="455"/>
        <v>865178</v>
      </c>
      <c r="BR159" s="421">
        <f>M159+AQ159</f>
        <v>12288</v>
      </c>
      <c r="BS159" s="421">
        <f t="shared" ref="BS159:BT162" si="456">N159+AO159</f>
        <v>12288</v>
      </c>
      <c r="BT159" s="421">
        <f t="shared" si="456"/>
        <v>0</v>
      </c>
      <c r="BU159" s="421">
        <f t="shared" ref="BU159:BV162" si="457">P159+AU159</f>
        <v>3324196</v>
      </c>
      <c r="BV159" s="421">
        <f t="shared" si="457"/>
        <v>98226</v>
      </c>
      <c r="BW159" s="421">
        <f>R159+AY159</f>
        <v>182052</v>
      </c>
      <c r="BX159" s="422">
        <f>S159+BM159</f>
        <v>15.220199999999998</v>
      </c>
      <c r="BY159" s="422">
        <f t="shared" ref="BY159:BZ162" si="458">T159+BK159</f>
        <v>12.747199999999999</v>
      </c>
      <c r="BZ159" s="611">
        <f t="shared" si="458"/>
        <v>2.4729999999999999</v>
      </c>
      <c r="CA159" s="423"/>
      <c r="CB159" s="418"/>
      <c r="CC159" s="418"/>
      <c r="CD159" s="418"/>
      <c r="CE159" s="418"/>
      <c r="CF159" s="527"/>
    </row>
    <row r="160" spans="1:84" s="222" customFormat="1" x14ac:dyDescent="0.2">
      <c r="A160" s="224">
        <v>33</v>
      </c>
      <c r="B160" s="225">
        <v>3425</v>
      </c>
      <c r="C160" s="225">
        <v>600078451</v>
      </c>
      <c r="D160" s="225">
        <v>72742551</v>
      </c>
      <c r="E160" s="226" t="s">
        <v>73</v>
      </c>
      <c r="F160" s="225">
        <v>3113</v>
      </c>
      <c r="G160" s="226" t="s">
        <v>292</v>
      </c>
      <c r="H160" s="227" t="s">
        <v>272</v>
      </c>
      <c r="I160" s="423">
        <f t="shared" si="448"/>
        <v>0</v>
      </c>
      <c r="J160" s="418">
        <f>K160+L160</f>
        <v>0</v>
      </c>
      <c r="K160" s="418">
        <v>0</v>
      </c>
      <c r="L160" s="418">
        <v>0</v>
      </c>
      <c r="M160" s="418">
        <f>N160+O160</f>
        <v>0</v>
      </c>
      <c r="N160" s="418"/>
      <c r="O160" s="418"/>
      <c r="P160" s="68">
        <f t="shared" si="449"/>
        <v>0</v>
      </c>
      <c r="Q160" s="68">
        <f t="shared" si="450"/>
        <v>0</v>
      </c>
      <c r="R160" s="418">
        <v>0</v>
      </c>
      <c r="S160" s="419">
        <f>T160+U160</f>
        <v>0</v>
      </c>
      <c r="T160" s="420">
        <v>0</v>
      </c>
      <c r="U160" s="527">
        <v>0</v>
      </c>
      <c r="V160" s="427">
        <f t="shared" si="451"/>
        <v>0</v>
      </c>
      <c r="W160" s="421">
        <f t="shared" si="451"/>
        <v>0</v>
      </c>
      <c r="X160" s="421">
        <v>1289684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f>V160+X160+Y160+AA160+AB160+AD160</f>
        <v>1289684</v>
      </c>
      <c r="AG160" s="421">
        <f>W160+Z160+AC160+AE160</f>
        <v>0</v>
      </c>
      <c r="AH160" s="421">
        <f>SUM(AF160:AG160)</f>
        <v>1289684</v>
      </c>
      <c r="AI160" s="421">
        <v>0</v>
      </c>
      <c r="AJ160" s="421">
        <v>0</v>
      </c>
      <c r="AK160" s="421">
        <v>0</v>
      </c>
      <c r="AL160" s="421">
        <v>0</v>
      </c>
      <c r="AM160" s="421">
        <v>0</v>
      </c>
      <c r="AN160" s="421">
        <v>0</v>
      </c>
      <c r="AO160" s="421">
        <f t="shared" si="452"/>
        <v>0</v>
      </c>
      <c r="AP160" s="421">
        <f>AJ160+AN160</f>
        <v>0</v>
      </c>
      <c r="AQ160" s="421">
        <f>SUM(AO160:AP160)</f>
        <v>0</v>
      </c>
      <c r="AR160" s="421">
        <f t="shared" si="453"/>
        <v>1289684</v>
      </c>
      <c r="AS160" s="421">
        <f t="shared" si="453"/>
        <v>0</v>
      </c>
      <c r="AT160" s="421">
        <f>SUM(AR160:AS160)</f>
        <v>1289684</v>
      </c>
      <c r="AU160" s="68">
        <f t="shared" si="454"/>
        <v>435913</v>
      </c>
      <c r="AV160" s="68">
        <f>ROUND(AH160*1%,0)</f>
        <v>12897</v>
      </c>
      <c r="AW160" s="421">
        <v>0</v>
      </c>
      <c r="AX160" s="421">
        <v>0</v>
      </c>
      <c r="AY160" s="421">
        <f>AW160+AX160</f>
        <v>0</v>
      </c>
      <c r="AZ160" s="421">
        <f>AT160+AU160+AV160+AY160</f>
        <v>1738494</v>
      </c>
      <c r="BA160" s="422">
        <v>0</v>
      </c>
      <c r="BB160" s="422">
        <v>0</v>
      </c>
      <c r="BC160" s="422">
        <v>3.43</v>
      </c>
      <c r="BD160" s="422">
        <v>0</v>
      </c>
      <c r="BE160" s="422">
        <v>0</v>
      </c>
      <c r="BF160" s="422">
        <v>0</v>
      </c>
      <c r="BG160" s="422">
        <v>0</v>
      </c>
      <c r="BH160" s="422">
        <v>0</v>
      </c>
      <c r="BI160" s="422">
        <v>0</v>
      </c>
      <c r="BJ160" s="422">
        <v>0</v>
      </c>
      <c r="BK160" s="422">
        <f>BA160+BC160+BD160+BF160+BH160+BI160</f>
        <v>3.43</v>
      </c>
      <c r="BL160" s="422">
        <f>BB160+BE160+BG160+BJ160</f>
        <v>0</v>
      </c>
      <c r="BM160" s="611">
        <f>SUM(BK160:BL160)</f>
        <v>3.43</v>
      </c>
      <c r="BN160" s="428">
        <f>I160+AZ160</f>
        <v>1738494</v>
      </c>
      <c r="BO160" s="421">
        <f>J160+AH160</f>
        <v>1289684</v>
      </c>
      <c r="BP160" s="421">
        <f t="shared" si="455"/>
        <v>1289684</v>
      </c>
      <c r="BQ160" s="421">
        <f t="shared" si="455"/>
        <v>0</v>
      </c>
      <c r="BR160" s="421">
        <f>M160+AQ160</f>
        <v>0</v>
      </c>
      <c r="BS160" s="421">
        <f t="shared" si="456"/>
        <v>0</v>
      </c>
      <c r="BT160" s="421">
        <f t="shared" si="456"/>
        <v>0</v>
      </c>
      <c r="BU160" s="421">
        <f t="shared" si="457"/>
        <v>435913</v>
      </c>
      <c r="BV160" s="421">
        <f t="shared" si="457"/>
        <v>12897</v>
      </c>
      <c r="BW160" s="421">
        <f>R160+AY160</f>
        <v>0</v>
      </c>
      <c r="BX160" s="422">
        <f>S160+BM160</f>
        <v>3.43</v>
      </c>
      <c r="BY160" s="422">
        <f t="shared" si="458"/>
        <v>3.43</v>
      </c>
      <c r="BZ160" s="611">
        <f t="shared" si="458"/>
        <v>0</v>
      </c>
      <c r="CA160" s="423"/>
      <c r="CB160" s="418"/>
      <c r="CC160" s="418"/>
      <c r="CD160" s="418"/>
      <c r="CE160" s="418"/>
      <c r="CF160" s="527"/>
    </row>
    <row r="161" spans="1:84" s="222" customFormat="1" ht="12.75" customHeight="1" x14ac:dyDescent="0.2">
      <c r="A161" s="224">
        <v>33</v>
      </c>
      <c r="B161" s="225">
        <v>3425</v>
      </c>
      <c r="C161" s="225">
        <v>600078451</v>
      </c>
      <c r="D161" s="225">
        <v>72742551</v>
      </c>
      <c r="E161" s="226" t="s">
        <v>73</v>
      </c>
      <c r="F161" s="225">
        <v>3143</v>
      </c>
      <c r="G161" s="226" t="s">
        <v>596</v>
      </c>
      <c r="H161" s="227" t="s">
        <v>271</v>
      </c>
      <c r="I161" s="423">
        <f t="shared" si="448"/>
        <v>1439193</v>
      </c>
      <c r="J161" s="418">
        <f>K161+L161</f>
        <v>1067650</v>
      </c>
      <c r="K161" s="418">
        <v>1067650</v>
      </c>
      <c r="L161" s="418">
        <v>0</v>
      </c>
      <c r="M161" s="418">
        <f>N161+O161</f>
        <v>0</v>
      </c>
      <c r="N161" s="418"/>
      <c r="O161" s="418"/>
      <c r="P161" s="68">
        <f t="shared" si="449"/>
        <v>360866</v>
      </c>
      <c r="Q161" s="68">
        <f t="shared" si="450"/>
        <v>10677</v>
      </c>
      <c r="R161" s="418">
        <v>0</v>
      </c>
      <c r="S161" s="419">
        <f>T161+U161</f>
        <v>2</v>
      </c>
      <c r="T161" s="420">
        <v>2</v>
      </c>
      <c r="U161" s="527">
        <v>0</v>
      </c>
      <c r="V161" s="427">
        <f t="shared" si="451"/>
        <v>0</v>
      </c>
      <c r="W161" s="421">
        <f t="shared" si="451"/>
        <v>0</v>
      </c>
      <c r="X161" s="421">
        <v>0</v>
      </c>
      <c r="Y161" s="421">
        <v>0</v>
      </c>
      <c r="Z161" s="421">
        <v>0</v>
      </c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f>V161+X161+Y161+AA161+AB161+AD161</f>
        <v>0</v>
      </c>
      <c r="AG161" s="421">
        <f>W161+Z161+AC161+AE161</f>
        <v>0</v>
      </c>
      <c r="AH161" s="421">
        <f>SUM(AF161:AG161)</f>
        <v>0</v>
      </c>
      <c r="AI161" s="421">
        <v>0</v>
      </c>
      <c r="AJ161" s="421">
        <v>0</v>
      </c>
      <c r="AK161" s="421">
        <v>0</v>
      </c>
      <c r="AL161" s="421">
        <v>0</v>
      </c>
      <c r="AM161" s="421">
        <v>0</v>
      </c>
      <c r="AN161" s="421">
        <v>0</v>
      </c>
      <c r="AO161" s="421">
        <f t="shared" si="452"/>
        <v>0</v>
      </c>
      <c r="AP161" s="421">
        <f>AJ161+AN161</f>
        <v>0</v>
      </c>
      <c r="AQ161" s="421">
        <f>SUM(AO161:AP161)</f>
        <v>0</v>
      </c>
      <c r="AR161" s="421">
        <f t="shared" si="453"/>
        <v>0</v>
      </c>
      <c r="AS161" s="421">
        <f t="shared" si="453"/>
        <v>0</v>
      </c>
      <c r="AT161" s="421">
        <f>SUM(AR161:AS161)</f>
        <v>0</v>
      </c>
      <c r="AU161" s="68">
        <f t="shared" si="454"/>
        <v>0</v>
      </c>
      <c r="AV161" s="68">
        <f>ROUND(AH161*1%,0)</f>
        <v>0</v>
      </c>
      <c r="AW161" s="421">
        <v>0</v>
      </c>
      <c r="AX161" s="421">
        <v>0</v>
      </c>
      <c r="AY161" s="421">
        <f>AW161+AX161</f>
        <v>0</v>
      </c>
      <c r="AZ161" s="421">
        <f>AT161+AU161+AV161+AY161</f>
        <v>0</v>
      </c>
      <c r="BA161" s="422">
        <v>0</v>
      </c>
      <c r="BB161" s="422">
        <v>0</v>
      </c>
      <c r="BC161" s="422">
        <v>0</v>
      </c>
      <c r="BD161" s="422">
        <v>0</v>
      </c>
      <c r="BE161" s="422">
        <v>0</v>
      </c>
      <c r="BF161" s="422">
        <v>0</v>
      </c>
      <c r="BG161" s="422">
        <v>0</v>
      </c>
      <c r="BH161" s="422">
        <v>0</v>
      </c>
      <c r="BI161" s="422">
        <v>0</v>
      </c>
      <c r="BJ161" s="422">
        <v>0</v>
      </c>
      <c r="BK161" s="422">
        <f>BA161+BC161+BD161+BF161+BH161+BI161</f>
        <v>0</v>
      </c>
      <c r="BL161" s="422">
        <f>BB161+BE161+BG161+BJ161</f>
        <v>0</v>
      </c>
      <c r="BM161" s="611">
        <f>SUM(BK161:BL161)</f>
        <v>0</v>
      </c>
      <c r="BN161" s="428">
        <f>I161+AZ161</f>
        <v>1439193</v>
      </c>
      <c r="BO161" s="421">
        <f>J161+AH161</f>
        <v>1067650</v>
      </c>
      <c r="BP161" s="421">
        <f t="shared" si="455"/>
        <v>1067650</v>
      </c>
      <c r="BQ161" s="421">
        <f t="shared" si="455"/>
        <v>0</v>
      </c>
      <c r="BR161" s="421">
        <f>M161+AQ161</f>
        <v>0</v>
      </c>
      <c r="BS161" s="421">
        <f t="shared" si="456"/>
        <v>0</v>
      </c>
      <c r="BT161" s="421">
        <f t="shared" si="456"/>
        <v>0</v>
      </c>
      <c r="BU161" s="421">
        <f t="shared" si="457"/>
        <v>360866</v>
      </c>
      <c r="BV161" s="421">
        <f t="shared" si="457"/>
        <v>10677</v>
      </c>
      <c r="BW161" s="421">
        <f>R161+AY161</f>
        <v>0</v>
      </c>
      <c r="BX161" s="422">
        <f>S161+BM161</f>
        <v>2</v>
      </c>
      <c r="BY161" s="422">
        <f t="shared" si="458"/>
        <v>2</v>
      </c>
      <c r="BZ161" s="611">
        <f t="shared" si="458"/>
        <v>0</v>
      </c>
      <c r="CA161" s="423"/>
      <c r="CB161" s="418"/>
      <c r="CC161" s="418"/>
      <c r="CD161" s="418"/>
      <c r="CE161" s="418"/>
      <c r="CF161" s="527"/>
    </row>
    <row r="162" spans="1:84" s="222" customFormat="1" ht="12.75" customHeight="1" x14ac:dyDescent="0.2">
      <c r="A162" s="224">
        <v>33</v>
      </c>
      <c r="B162" s="225">
        <v>3425</v>
      </c>
      <c r="C162" s="225">
        <v>600078451</v>
      </c>
      <c r="D162" s="225">
        <v>72742551</v>
      </c>
      <c r="E162" s="226" t="s">
        <v>73</v>
      </c>
      <c r="F162" s="225">
        <v>3143</v>
      </c>
      <c r="G162" s="226" t="s">
        <v>597</v>
      </c>
      <c r="H162" s="227" t="s">
        <v>272</v>
      </c>
      <c r="I162" s="423">
        <f t="shared" si="448"/>
        <v>27145</v>
      </c>
      <c r="J162" s="418">
        <f>K162+L162</f>
        <v>19430</v>
      </c>
      <c r="K162" s="418">
        <v>0</v>
      </c>
      <c r="L162" s="418">
        <v>19430</v>
      </c>
      <c r="M162" s="418">
        <f>N162+O162</f>
        <v>0</v>
      </c>
      <c r="N162" s="418"/>
      <c r="O162" s="418"/>
      <c r="P162" s="68">
        <f t="shared" si="449"/>
        <v>6567</v>
      </c>
      <c r="Q162" s="68">
        <f t="shared" si="450"/>
        <v>194</v>
      </c>
      <c r="R162" s="418">
        <v>954</v>
      </c>
      <c r="S162" s="419">
        <f>T162+U162</f>
        <v>7.0000000000000007E-2</v>
      </c>
      <c r="T162" s="420">
        <v>0</v>
      </c>
      <c r="U162" s="527">
        <v>7.0000000000000007E-2</v>
      </c>
      <c r="V162" s="427">
        <f t="shared" si="451"/>
        <v>0</v>
      </c>
      <c r="W162" s="421">
        <f t="shared" si="451"/>
        <v>0</v>
      </c>
      <c r="X162" s="421">
        <v>0</v>
      </c>
      <c r="Y162" s="421">
        <v>0</v>
      </c>
      <c r="Z162" s="421">
        <v>0</v>
      </c>
      <c r="AA162" s="421">
        <v>0</v>
      </c>
      <c r="AB162" s="421">
        <v>0</v>
      </c>
      <c r="AC162" s="421">
        <v>0</v>
      </c>
      <c r="AD162" s="421">
        <v>0</v>
      </c>
      <c r="AE162" s="421">
        <v>0</v>
      </c>
      <c r="AF162" s="421">
        <f>V162+X162+Y162+AA162+AB162+AD162</f>
        <v>0</v>
      </c>
      <c r="AG162" s="421">
        <f>W162+Z162+AC162+AE162</f>
        <v>0</v>
      </c>
      <c r="AH162" s="421">
        <f>SUM(AF162:AG162)</f>
        <v>0</v>
      </c>
      <c r="AI162" s="421">
        <v>0</v>
      </c>
      <c r="AJ162" s="421">
        <v>0</v>
      </c>
      <c r="AK162" s="421">
        <v>0</v>
      </c>
      <c r="AL162" s="421">
        <v>0</v>
      </c>
      <c r="AM162" s="421">
        <v>0</v>
      </c>
      <c r="AN162" s="421">
        <v>0</v>
      </c>
      <c r="AO162" s="421">
        <f t="shared" si="452"/>
        <v>0</v>
      </c>
      <c r="AP162" s="421">
        <f>AJ162+AN162</f>
        <v>0</v>
      </c>
      <c r="AQ162" s="421">
        <f>SUM(AO162:AP162)</f>
        <v>0</v>
      </c>
      <c r="AR162" s="421">
        <f t="shared" si="453"/>
        <v>0</v>
      </c>
      <c r="AS162" s="421">
        <f t="shared" si="453"/>
        <v>0</v>
      </c>
      <c r="AT162" s="421">
        <f>SUM(AR162:AS162)</f>
        <v>0</v>
      </c>
      <c r="AU162" s="68">
        <f t="shared" si="454"/>
        <v>0</v>
      </c>
      <c r="AV162" s="68">
        <f>ROUND(AH162*1%,0)</f>
        <v>0</v>
      </c>
      <c r="AW162" s="421">
        <v>0</v>
      </c>
      <c r="AX162" s="421">
        <v>0</v>
      </c>
      <c r="AY162" s="421">
        <f>AW162+AX162</f>
        <v>0</v>
      </c>
      <c r="AZ162" s="421">
        <f>AT162+AU162+AV162+AY162</f>
        <v>0</v>
      </c>
      <c r="BA162" s="422">
        <v>0</v>
      </c>
      <c r="BB162" s="422">
        <v>0</v>
      </c>
      <c r="BC162" s="422">
        <v>0</v>
      </c>
      <c r="BD162" s="422">
        <v>0</v>
      </c>
      <c r="BE162" s="422">
        <v>0</v>
      </c>
      <c r="BF162" s="422">
        <v>0</v>
      </c>
      <c r="BG162" s="422">
        <v>0</v>
      </c>
      <c r="BH162" s="422">
        <v>0</v>
      </c>
      <c r="BI162" s="422">
        <v>0</v>
      </c>
      <c r="BJ162" s="422">
        <v>0</v>
      </c>
      <c r="BK162" s="422">
        <f>BA162+BC162+BD162+BF162+BH162+BI162</f>
        <v>0</v>
      </c>
      <c r="BL162" s="422">
        <f>BB162+BE162+BG162+BJ162</f>
        <v>0</v>
      </c>
      <c r="BM162" s="611">
        <f>SUM(BK162:BL162)</f>
        <v>0</v>
      </c>
      <c r="BN162" s="428">
        <f>I162+AZ162</f>
        <v>27145</v>
      </c>
      <c r="BO162" s="421">
        <f>J162+AH162</f>
        <v>19430</v>
      </c>
      <c r="BP162" s="421">
        <f t="shared" si="455"/>
        <v>0</v>
      </c>
      <c r="BQ162" s="421">
        <f t="shared" si="455"/>
        <v>19430</v>
      </c>
      <c r="BR162" s="421">
        <f>M162+AQ162</f>
        <v>0</v>
      </c>
      <c r="BS162" s="421">
        <f t="shared" si="456"/>
        <v>0</v>
      </c>
      <c r="BT162" s="421">
        <f t="shared" si="456"/>
        <v>0</v>
      </c>
      <c r="BU162" s="421">
        <f t="shared" si="457"/>
        <v>6567</v>
      </c>
      <c r="BV162" s="421">
        <f t="shared" si="457"/>
        <v>194</v>
      </c>
      <c r="BW162" s="421">
        <f>R162+AY162</f>
        <v>954</v>
      </c>
      <c r="BX162" s="422">
        <f>S162+BM162</f>
        <v>7.0000000000000007E-2</v>
      </c>
      <c r="BY162" s="422">
        <f t="shared" si="458"/>
        <v>0</v>
      </c>
      <c r="BZ162" s="611">
        <f t="shared" si="458"/>
        <v>7.0000000000000007E-2</v>
      </c>
      <c r="CA162" s="423"/>
      <c r="CB162" s="418"/>
      <c r="CC162" s="418"/>
      <c r="CD162" s="418"/>
      <c r="CE162" s="418"/>
      <c r="CF162" s="527"/>
    </row>
    <row r="163" spans="1:84" s="222" customFormat="1" ht="12.75" customHeight="1" x14ac:dyDescent="0.2">
      <c r="A163" s="153">
        <v>33</v>
      </c>
      <c r="B163" s="14">
        <v>3425</v>
      </c>
      <c r="C163" s="152">
        <v>600078451</v>
      </c>
      <c r="D163" s="152">
        <v>72742551</v>
      </c>
      <c r="E163" s="223" t="s">
        <v>74</v>
      </c>
      <c r="F163" s="14"/>
      <c r="G163" s="223"/>
      <c r="H163" s="592"/>
      <c r="I163" s="522">
        <f t="shared" ref="I163:BU163" si="459">SUM(I159:I162)</f>
        <v>14870140</v>
      </c>
      <c r="J163" s="521">
        <f t="shared" si="459"/>
        <v>10895500</v>
      </c>
      <c r="K163" s="521">
        <f t="shared" si="459"/>
        <v>10010892</v>
      </c>
      <c r="L163" s="521">
        <f t="shared" si="459"/>
        <v>884608</v>
      </c>
      <c r="M163" s="521">
        <f t="shared" si="459"/>
        <v>0</v>
      </c>
      <c r="N163" s="521">
        <f t="shared" si="459"/>
        <v>0</v>
      </c>
      <c r="O163" s="521">
        <f t="shared" si="459"/>
        <v>0</v>
      </c>
      <c r="P163" s="521">
        <f t="shared" si="459"/>
        <v>3682679</v>
      </c>
      <c r="Q163" s="521">
        <f t="shared" si="459"/>
        <v>108955</v>
      </c>
      <c r="R163" s="521">
        <f t="shared" si="459"/>
        <v>183006</v>
      </c>
      <c r="S163" s="572">
        <f t="shared" si="459"/>
        <v>17.270199999999999</v>
      </c>
      <c r="T163" s="572">
        <f t="shared" si="459"/>
        <v>14.7272</v>
      </c>
      <c r="U163" s="448">
        <f t="shared" si="459"/>
        <v>2.5429999999999997</v>
      </c>
      <c r="V163" s="614">
        <f t="shared" si="459"/>
        <v>-12288</v>
      </c>
      <c r="W163" s="521">
        <f t="shared" si="459"/>
        <v>0</v>
      </c>
      <c r="X163" s="521">
        <f t="shared" si="459"/>
        <v>1289684</v>
      </c>
      <c r="Y163" s="521">
        <f t="shared" si="459"/>
        <v>0</v>
      </c>
      <c r="Z163" s="521">
        <f t="shared" si="459"/>
        <v>0</v>
      </c>
      <c r="AA163" s="521">
        <f t="shared" si="459"/>
        <v>26480</v>
      </c>
      <c r="AB163" s="521">
        <f t="shared" si="459"/>
        <v>0</v>
      </c>
      <c r="AC163" s="521">
        <f t="shared" si="459"/>
        <v>0</v>
      </c>
      <c r="AD163" s="521">
        <f t="shared" si="459"/>
        <v>0</v>
      </c>
      <c r="AE163" s="521">
        <f t="shared" si="459"/>
        <v>0</v>
      </c>
      <c r="AF163" s="521">
        <f t="shared" si="459"/>
        <v>1303876</v>
      </c>
      <c r="AG163" s="521">
        <f t="shared" si="459"/>
        <v>0</v>
      </c>
      <c r="AH163" s="521">
        <f t="shared" si="459"/>
        <v>1303876</v>
      </c>
      <c r="AI163" s="521">
        <f t="shared" si="459"/>
        <v>12288</v>
      </c>
      <c r="AJ163" s="521">
        <f t="shared" si="459"/>
        <v>0</v>
      </c>
      <c r="AK163" s="521">
        <f t="shared" ref="AK163" si="460">SUM(AK159:AK162)</f>
        <v>0</v>
      </c>
      <c r="AL163" s="521">
        <f t="shared" si="459"/>
        <v>0</v>
      </c>
      <c r="AM163" s="521">
        <f t="shared" si="459"/>
        <v>0</v>
      </c>
      <c r="AN163" s="521">
        <f t="shared" si="459"/>
        <v>0</v>
      </c>
      <c r="AO163" s="521">
        <f t="shared" si="459"/>
        <v>12288</v>
      </c>
      <c r="AP163" s="521">
        <f t="shared" si="459"/>
        <v>0</v>
      </c>
      <c r="AQ163" s="521">
        <f t="shared" si="459"/>
        <v>12288</v>
      </c>
      <c r="AR163" s="521">
        <f t="shared" si="459"/>
        <v>1316164</v>
      </c>
      <c r="AS163" s="521">
        <f t="shared" si="459"/>
        <v>0</v>
      </c>
      <c r="AT163" s="521">
        <f t="shared" si="459"/>
        <v>1316164</v>
      </c>
      <c r="AU163" s="521">
        <f t="shared" si="459"/>
        <v>444863</v>
      </c>
      <c r="AV163" s="521">
        <f t="shared" si="459"/>
        <v>13039</v>
      </c>
      <c r="AW163" s="521">
        <f t="shared" si="459"/>
        <v>0</v>
      </c>
      <c r="AX163" s="521">
        <f t="shared" si="459"/>
        <v>0</v>
      </c>
      <c r="AY163" s="521">
        <f t="shared" si="459"/>
        <v>0</v>
      </c>
      <c r="AZ163" s="521">
        <f t="shared" si="459"/>
        <v>1774066</v>
      </c>
      <c r="BA163" s="572">
        <f t="shared" si="459"/>
        <v>-0.02</v>
      </c>
      <c r="BB163" s="572">
        <f t="shared" si="459"/>
        <v>0</v>
      </c>
      <c r="BC163" s="572">
        <f t="shared" si="459"/>
        <v>3.43</v>
      </c>
      <c r="BD163" s="572">
        <f t="shared" si="459"/>
        <v>0</v>
      </c>
      <c r="BE163" s="572">
        <f t="shared" si="459"/>
        <v>0</v>
      </c>
      <c r="BF163" s="572">
        <f t="shared" si="459"/>
        <v>0</v>
      </c>
      <c r="BG163" s="572">
        <f t="shared" si="459"/>
        <v>0</v>
      </c>
      <c r="BH163" s="572">
        <f t="shared" si="459"/>
        <v>0.04</v>
      </c>
      <c r="BI163" s="572">
        <f t="shared" si="459"/>
        <v>0</v>
      </c>
      <c r="BJ163" s="572">
        <f t="shared" si="459"/>
        <v>0</v>
      </c>
      <c r="BK163" s="572">
        <f t="shared" si="459"/>
        <v>3.45</v>
      </c>
      <c r="BL163" s="572">
        <f t="shared" si="459"/>
        <v>0</v>
      </c>
      <c r="BM163" s="403">
        <f t="shared" si="459"/>
        <v>3.45</v>
      </c>
      <c r="BN163" s="522">
        <f t="shared" si="459"/>
        <v>16644206</v>
      </c>
      <c r="BO163" s="521">
        <f t="shared" si="459"/>
        <v>12199376</v>
      </c>
      <c r="BP163" s="521">
        <f t="shared" si="459"/>
        <v>11314768</v>
      </c>
      <c r="BQ163" s="521">
        <f t="shared" si="459"/>
        <v>884608</v>
      </c>
      <c r="BR163" s="521">
        <f t="shared" si="459"/>
        <v>12288</v>
      </c>
      <c r="BS163" s="521">
        <f t="shared" si="459"/>
        <v>12288</v>
      </c>
      <c r="BT163" s="521">
        <f t="shared" si="459"/>
        <v>0</v>
      </c>
      <c r="BU163" s="521">
        <f t="shared" si="459"/>
        <v>4127542</v>
      </c>
      <c r="BV163" s="521">
        <f t="shared" ref="BV163:CF163" si="461">SUM(BV159:BV162)</f>
        <v>121994</v>
      </c>
      <c r="BW163" s="521">
        <f t="shared" si="461"/>
        <v>183006</v>
      </c>
      <c r="BX163" s="572">
        <f t="shared" si="461"/>
        <v>20.720199999999998</v>
      </c>
      <c r="BY163" s="572">
        <f t="shared" si="461"/>
        <v>18.177199999999999</v>
      </c>
      <c r="BZ163" s="403">
        <f t="shared" si="461"/>
        <v>2.5429999999999997</v>
      </c>
      <c r="CA163" s="833">
        <f t="shared" si="461"/>
        <v>0</v>
      </c>
      <c r="CB163" s="834">
        <f t="shared" si="461"/>
        <v>0</v>
      </c>
      <c r="CC163" s="834">
        <f t="shared" si="461"/>
        <v>0</v>
      </c>
      <c r="CD163" s="834">
        <f t="shared" si="461"/>
        <v>0</v>
      </c>
      <c r="CE163" s="834">
        <f t="shared" si="461"/>
        <v>0</v>
      </c>
      <c r="CF163" s="829">
        <f t="shared" si="461"/>
        <v>0</v>
      </c>
    </row>
    <row r="164" spans="1:84" s="222" customFormat="1" ht="12.75" customHeight="1" x14ac:dyDescent="0.2">
      <c r="A164" s="224">
        <v>34</v>
      </c>
      <c r="B164" s="225">
        <v>3418</v>
      </c>
      <c r="C164" s="225">
        <v>600078001</v>
      </c>
      <c r="D164" s="225">
        <v>70695954</v>
      </c>
      <c r="E164" s="226" t="s">
        <v>75</v>
      </c>
      <c r="F164" s="225">
        <v>3111</v>
      </c>
      <c r="G164" s="226" t="s">
        <v>291</v>
      </c>
      <c r="H164" s="227" t="s">
        <v>271</v>
      </c>
      <c r="I164" s="423">
        <f t="shared" ref="I164:I166" si="462">J164+P164+Q164+R164</f>
        <v>1905833</v>
      </c>
      <c r="J164" s="418">
        <f>K164+L164</f>
        <v>1410257</v>
      </c>
      <c r="K164" s="418">
        <v>1299380</v>
      </c>
      <c r="L164" s="418">
        <v>110877</v>
      </c>
      <c r="M164" s="418">
        <f>N164+O164</f>
        <v>0</v>
      </c>
      <c r="N164" s="418"/>
      <c r="O164" s="418"/>
      <c r="P164" s="68">
        <f t="shared" ref="P164:P166" si="463">ROUND(J164*33.8%,0)</f>
        <v>476667</v>
      </c>
      <c r="Q164" s="68">
        <f t="shared" ref="Q164:Q166" si="464">ROUND(J164*1%,0)</f>
        <v>14103</v>
      </c>
      <c r="R164" s="418">
        <v>4806</v>
      </c>
      <c r="S164" s="419">
        <f>T164+U164</f>
        <v>2.6635999999999997</v>
      </c>
      <c r="T164" s="420">
        <v>2.2902999999999998</v>
      </c>
      <c r="U164" s="527">
        <v>0.37329999999999997</v>
      </c>
      <c r="V164" s="427">
        <f t="shared" ref="V164:W166" si="465">AI164*-1</f>
        <v>0</v>
      </c>
      <c r="W164" s="421">
        <f t="shared" si="465"/>
        <v>-3200</v>
      </c>
      <c r="X164" s="421">
        <v>0</v>
      </c>
      <c r="Y164" s="421">
        <v>0</v>
      </c>
      <c r="Z164" s="421">
        <v>0</v>
      </c>
      <c r="AA164" s="421">
        <v>0</v>
      </c>
      <c r="AB164" s="421">
        <v>0</v>
      </c>
      <c r="AC164" s="421">
        <v>0</v>
      </c>
      <c r="AD164" s="421">
        <v>0</v>
      </c>
      <c r="AE164" s="421">
        <v>0</v>
      </c>
      <c r="AF164" s="421">
        <f>V164+X164+Y164+AA164+AB164+AD164</f>
        <v>0</v>
      </c>
      <c r="AG164" s="421">
        <f>W164+Z164+AC164+AE164</f>
        <v>-3200</v>
      </c>
      <c r="AH164" s="421">
        <f>SUM(AF164:AG164)</f>
        <v>-3200</v>
      </c>
      <c r="AI164" s="421">
        <v>0</v>
      </c>
      <c r="AJ164" s="421">
        <v>3200</v>
      </c>
      <c r="AK164" s="421">
        <v>0</v>
      </c>
      <c r="AL164" s="421">
        <v>0</v>
      </c>
      <c r="AM164" s="421">
        <v>0</v>
      </c>
      <c r="AN164" s="421">
        <v>0</v>
      </c>
      <c r="AO164" s="421">
        <f t="shared" ref="AO164:AO166" si="466">AI164+AK164+AL164+AM164</f>
        <v>0</v>
      </c>
      <c r="AP164" s="421">
        <f>AJ164+AN164</f>
        <v>3200</v>
      </c>
      <c r="AQ164" s="421">
        <f>SUM(AO164:AP164)</f>
        <v>3200</v>
      </c>
      <c r="AR164" s="421">
        <f t="shared" ref="AR164:AS166" si="467">AF164+AO164</f>
        <v>0</v>
      </c>
      <c r="AS164" s="421">
        <f t="shared" si="467"/>
        <v>0</v>
      </c>
      <c r="AT164" s="421">
        <f>SUM(AR164:AS164)</f>
        <v>0</v>
      </c>
      <c r="AU164" s="68">
        <f t="shared" ref="AU164:AU166" si="468">ROUND((AH164+AI164+AJ164+AK164+AL164)*33.8%,0)</f>
        <v>0</v>
      </c>
      <c r="AV164" s="68">
        <f>ROUND(AH164*1%,0)</f>
        <v>-32</v>
      </c>
      <c r="AW164" s="421">
        <v>0</v>
      </c>
      <c r="AX164" s="421">
        <v>0</v>
      </c>
      <c r="AY164" s="421">
        <f>AW164+AX164</f>
        <v>0</v>
      </c>
      <c r="AZ164" s="421">
        <f>AT164+AU164+AV164+AY164</f>
        <v>-32</v>
      </c>
      <c r="BA164" s="422">
        <v>0</v>
      </c>
      <c r="BB164" s="422">
        <v>0</v>
      </c>
      <c r="BC164" s="422">
        <v>0</v>
      </c>
      <c r="BD164" s="422">
        <v>0</v>
      </c>
      <c r="BE164" s="422">
        <v>0</v>
      </c>
      <c r="BF164" s="422">
        <v>0</v>
      </c>
      <c r="BG164" s="422">
        <v>0</v>
      </c>
      <c r="BH164" s="422">
        <v>0</v>
      </c>
      <c r="BI164" s="422">
        <v>0</v>
      </c>
      <c r="BJ164" s="422">
        <v>0</v>
      </c>
      <c r="BK164" s="422">
        <f>BA164+BC164+BD164+BF164+BH164+BI164</f>
        <v>0</v>
      </c>
      <c r="BL164" s="422">
        <f>BB164+BE164+BG164+BJ164</f>
        <v>0</v>
      </c>
      <c r="BM164" s="611">
        <f>SUM(BK164:BL164)</f>
        <v>0</v>
      </c>
      <c r="BN164" s="428">
        <f>I164+AZ164</f>
        <v>1905801</v>
      </c>
      <c r="BO164" s="421">
        <f>J164+AH164</f>
        <v>1407057</v>
      </c>
      <c r="BP164" s="421">
        <f t="shared" ref="BP164:BQ166" si="469">K164+AF164</f>
        <v>1299380</v>
      </c>
      <c r="BQ164" s="421">
        <f t="shared" si="469"/>
        <v>107677</v>
      </c>
      <c r="BR164" s="421">
        <f>M164+AQ164</f>
        <v>3200</v>
      </c>
      <c r="BS164" s="421">
        <f t="shared" ref="BS164:BT166" si="470">N164+AO164</f>
        <v>0</v>
      </c>
      <c r="BT164" s="421">
        <f t="shared" si="470"/>
        <v>3200</v>
      </c>
      <c r="BU164" s="421">
        <f t="shared" ref="BU164:BV166" si="471">P164+AU164</f>
        <v>476667</v>
      </c>
      <c r="BV164" s="421">
        <f t="shared" si="471"/>
        <v>14071</v>
      </c>
      <c r="BW164" s="421">
        <f>R164+AY164</f>
        <v>4806</v>
      </c>
      <c r="BX164" s="422">
        <f>S164+BM164</f>
        <v>2.6635999999999997</v>
      </c>
      <c r="BY164" s="422">
        <f t="shared" ref="BY164:BZ166" si="472">T164+BK164</f>
        <v>2.2902999999999998</v>
      </c>
      <c r="BZ164" s="611">
        <f t="shared" si="472"/>
        <v>0.37329999999999997</v>
      </c>
      <c r="CA164" s="423"/>
      <c r="CB164" s="418"/>
      <c r="CC164" s="418"/>
      <c r="CD164" s="418"/>
      <c r="CE164" s="418"/>
      <c r="CF164" s="527"/>
    </row>
    <row r="165" spans="1:84" s="222" customFormat="1" ht="12.75" customHeight="1" x14ac:dyDescent="0.2">
      <c r="A165" s="224">
        <v>34</v>
      </c>
      <c r="B165" s="225">
        <v>3418</v>
      </c>
      <c r="C165" s="225">
        <v>600078001</v>
      </c>
      <c r="D165" s="225">
        <v>70695954</v>
      </c>
      <c r="E165" s="226" t="s">
        <v>75</v>
      </c>
      <c r="F165" s="225">
        <v>3111</v>
      </c>
      <c r="G165" s="226" t="s">
        <v>292</v>
      </c>
      <c r="H165" s="227" t="s">
        <v>272</v>
      </c>
      <c r="I165" s="423">
        <f t="shared" si="462"/>
        <v>0</v>
      </c>
      <c r="J165" s="418">
        <f>K165+L165</f>
        <v>0</v>
      </c>
      <c r="K165" s="418">
        <v>0</v>
      </c>
      <c r="L165" s="418">
        <v>0</v>
      </c>
      <c r="M165" s="418">
        <f>N165+O165</f>
        <v>0</v>
      </c>
      <c r="N165" s="418"/>
      <c r="O165" s="418"/>
      <c r="P165" s="68">
        <f t="shared" si="463"/>
        <v>0</v>
      </c>
      <c r="Q165" s="68">
        <f t="shared" si="464"/>
        <v>0</v>
      </c>
      <c r="R165" s="418">
        <v>0</v>
      </c>
      <c r="S165" s="419">
        <f>T165+U165</f>
        <v>0</v>
      </c>
      <c r="T165" s="420">
        <v>0</v>
      </c>
      <c r="U165" s="527">
        <v>0</v>
      </c>
      <c r="V165" s="427">
        <f t="shared" si="465"/>
        <v>0</v>
      </c>
      <c r="W165" s="421">
        <f t="shared" si="465"/>
        <v>0</v>
      </c>
      <c r="X165" s="421">
        <v>0</v>
      </c>
      <c r="Y165" s="421">
        <v>0</v>
      </c>
      <c r="Z165" s="421">
        <v>0</v>
      </c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f>V165+X165+Y165+AA165+AB165+AD165</f>
        <v>0</v>
      </c>
      <c r="AG165" s="421">
        <f>W165+Z165+AC165+AE165</f>
        <v>0</v>
      </c>
      <c r="AH165" s="421">
        <f>SUM(AF165:AG165)</f>
        <v>0</v>
      </c>
      <c r="AI165" s="421">
        <v>0</v>
      </c>
      <c r="AJ165" s="421">
        <v>0</v>
      </c>
      <c r="AK165" s="421">
        <v>0</v>
      </c>
      <c r="AL165" s="421">
        <v>0</v>
      </c>
      <c r="AM165" s="421">
        <v>0</v>
      </c>
      <c r="AN165" s="421">
        <v>0</v>
      </c>
      <c r="AO165" s="421">
        <f t="shared" si="466"/>
        <v>0</v>
      </c>
      <c r="AP165" s="421">
        <f>AJ165+AN165</f>
        <v>0</v>
      </c>
      <c r="AQ165" s="421">
        <f>SUM(AO165:AP165)</f>
        <v>0</v>
      </c>
      <c r="AR165" s="421">
        <f t="shared" si="467"/>
        <v>0</v>
      </c>
      <c r="AS165" s="421">
        <f t="shared" si="467"/>
        <v>0</v>
      </c>
      <c r="AT165" s="421">
        <f>SUM(AR165:AS165)</f>
        <v>0</v>
      </c>
      <c r="AU165" s="68">
        <f t="shared" si="468"/>
        <v>0</v>
      </c>
      <c r="AV165" s="68">
        <f>ROUND(AH165*1%,0)</f>
        <v>0</v>
      </c>
      <c r="AW165" s="421">
        <v>0</v>
      </c>
      <c r="AX165" s="421">
        <v>0</v>
      </c>
      <c r="AY165" s="421">
        <f>AW165+AX165</f>
        <v>0</v>
      </c>
      <c r="AZ165" s="421">
        <f>AT165+AU165+AV165+AY165</f>
        <v>0</v>
      </c>
      <c r="BA165" s="422">
        <v>0</v>
      </c>
      <c r="BB165" s="422">
        <v>0</v>
      </c>
      <c r="BC165" s="422">
        <v>0</v>
      </c>
      <c r="BD165" s="422">
        <v>0</v>
      </c>
      <c r="BE165" s="422">
        <v>0</v>
      </c>
      <c r="BF165" s="422">
        <v>0</v>
      </c>
      <c r="BG165" s="422">
        <v>0</v>
      </c>
      <c r="BH165" s="422">
        <v>0</v>
      </c>
      <c r="BI165" s="422">
        <v>0</v>
      </c>
      <c r="BJ165" s="422">
        <v>0</v>
      </c>
      <c r="BK165" s="422">
        <f>BA165+BC165+BD165+BF165+BH165+BI165</f>
        <v>0</v>
      </c>
      <c r="BL165" s="422">
        <f>BB165+BE165+BG165+BJ165</f>
        <v>0</v>
      </c>
      <c r="BM165" s="611">
        <f>SUM(BK165:BL165)</f>
        <v>0</v>
      </c>
      <c r="BN165" s="428">
        <f>I165+AZ165</f>
        <v>0</v>
      </c>
      <c r="BO165" s="421">
        <f>J165+AH165</f>
        <v>0</v>
      </c>
      <c r="BP165" s="421">
        <f t="shared" si="469"/>
        <v>0</v>
      </c>
      <c r="BQ165" s="421">
        <f t="shared" si="469"/>
        <v>0</v>
      </c>
      <c r="BR165" s="421">
        <f>M165+AQ165</f>
        <v>0</v>
      </c>
      <c r="BS165" s="421">
        <f t="shared" si="470"/>
        <v>0</v>
      </c>
      <c r="BT165" s="421">
        <f t="shared" si="470"/>
        <v>0</v>
      </c>
      <c r="BU165" s="421">
        <f t="shared" si="471"/>
        <v>0</v>
      </c>
      <c r="BV165" s="421">
        <f t="shared" si="471"/>
        <v>0</v>
      </c>
      <c r="BW165" s="421">
        <f>R165+AY165</f>
        <v>0</v>
      </c>
      <c r="BX165" s="422">
        <f>S165+BM165</f>
        <v>0</v>
      </c>
      <c r="BY165" s="422">
        <f t="shared" si="472"/>
        <v>0</v>
      </c>
      <c r="BZ165" s="611">
        <f t="shared" si="472"/>
        <v>0</v>
      </c>
      <c r="CA165" s="423"/>
      <c r="CB165" s="418"/>
      <c r="CC165" s="418"/>
      <c r="CD165" s="418"/>
      <c r="CE165" s="418"/>
      <c r="CF165" s="527"/>
    </row>
    <row r="166" spans="1:84" s="222" customFormat="1" ht="12.75" customHeight="1" x14ac:dyDescent="0.2">
      <c r="A166" s="224">
        <v>34</v>
      </c>
      <c r="B166" s="225">
        <v>3418</v>
      </c>
      <c r="C166" s="225">
        <v>600078001</v>
      </c>
      <c r="D166" s="225">
        <v>70695954</v>
      </c>
      <c r="E166" s="226" t="s">
        <v>75</v>
      </c>
      <c r="F166" s="225">
        <v>3141</v>
      </c>
      <c r="G166" s="226" t="s">
        <v>295</v>
      </c>
      <c r="H166" s="227" t="s">
        <v>272</v>
      </c>
      <c r="I166" s="423">
        <f t="shared" si="462"/>
        <v>216405</v>
      </c>
      <c r="J166" s="418">
        <f>K166+L166</f>
        <v>160070</v>
      </c>
      <c r="K166" s="418">
        <v>0</v>
      </c>
      <c r="L166" s="418">
        <v>160070</v>
      </c>
      <c r="M166" s="418">
        <f>N166+O166</f>
        <v>0</v>
      </c>
      <c r="N166" s="418"/>
      <c r="O166" s="418"/>
      <c r="P166" s="68">
        <f t="shared" si="463"/>
        <v>54104</v>
      </c>
      <c r="Q166" s="68">
        <f t="shared" si="464"/>
        <v>1601</v>
      </c>
      <c r="R166" s="418">
        <v>630</v>
      </c>
      <c r="S166" s="419">
        <f>T166+U166</f>
        <v>0.48</v>
      </c>
      <c r="T166" s="420">
        <v>0</v>
      </c>
      <c r="U166" s="527">
        <v>0.48</v>
      </c>
      <c r="V166" s="427">
        <f t="shared" si="465"/>
        <v>0</v>
      </c>
      <c r="W166" s="421">
        <f t="shared" si="465"/>
        <v>-9600</v>
      </c>
      <c r="X166" s="421">
        <v>0</v>
      </c>
      <c r="Y166" s="421">
        <v>0</v>
      </c>
      <c r="Z166" s="421">
        <v>0</v>
      </c>
      <c r="AA166" s="421">
        <v>0</v>
      </c>
      <c r="AB166" s="421">
        <v>0</v>
      </c>
      <c r="AC166" s="421">
        <v>0</v>
      </c>
      <c r="AD166" s="421">
        <v>0</v>
      </c>
      <c r="AE166" s="421">
        <v>0</v>
      </c>
      <c r="AF166" s="421">
        <f>V166+X166+Y166+AA166+AB166+AD166</f>
        <v>0</v>
      </c>
      <c r="AG166" s="421">
        <f>W166+Z166+AC166+AE166</f>
        <v>-9600</v>
      </c>
      <c r="AH166" s="421">
        <f>SUM(AF166:AG166)</f>
        <v>-9600</v>
      </c>
      <c r="AI166" s="421">
        <v>0</v>
      </c>
      <c r="AJ166" s="421">
        <v>9600</v>
      </c>
      <c r="AK166" s="421">
        <v>0</v>
      </c>
      <c r="AL166" s="421">
        <v>0</v>
      </c>
      <c r="AM166" s="421">
        <v>0</v>
      </c>
      <c r="AN166" s="421">
        <v>0</v>
      </c>
      <c r="AO166" s="421">
        <f t="shared" si="466"/>
        <v>0</v>
      </c>
      <c r="AP166" s="421">
        <f>AJ166+AN166</f>
        <v>9600</v>
      </c>
      <c r="AQ166" s="421">
        <f>SUM(AO166:AP166)</f>
        <v>9600</v>
      </c>
      <c r="AR166" s="421">
        <f t="shared" si="467"/>
        <v>0</v>
      </c>
      <c r="AS166" s="421">
        <f t="shared" si="467"/>
        <v>0</v>
      </c>
      <c r="AT166" s="421">
        <f>SUM(AR166:AS166)</f>
        <v>0</v>
      </c>
      <c r="AU166" s="68">
        <f t="shared" si="468"/>
        <v>0</v>
      </c>
      <c r="AV166" s="68">
        <f>ROUND(AH166*1%,0)</f>
        <v>-96</v>
      </c>
      <c r="AW166" s="421">
        <v>0</v>
      </c>
      <c r="AX166" s="421">
        <v>0</v>
      </c>
      <c r="AY166" s="421">
        <f>AW166+AX166</f>
        <v>0</v>
      </c>
      <c r="AZ166" s="421">
        <f>AT166+AU166+AV166+AY166</f>
        <v>-96</v>
      </c>
      <c r="BA166" s="422">
        <v>0</v>
      </c>
      <c r="BB166" s="422">
        <v>0</v>
      </c>
      <c r="BC166" s="422">
        <v>0</v>
      </c>
      <c r="BD166" s="422">
        <v>0</v>
      </c>
      <c r="BE166" s="422">
        <v>0</v>
      </c>
      <c r="BF166" s="422">
        <v>0</v>
      </c>
      <c r="BG166" s="422">
        <v>0</v>
      </c>
      <c r="BH166" s="422">
        <v>0</v>
      </c>
      <c r="BI166" s="422">
        <v>0</v>
      </c>
      <c r="BJ166" s="422">
        <v>0</v>
      </c>
      <c r="BK166" s="422">
        <f>BA166+BC166+BD166+BF166+BH166+BI166</f>
        <v>0</v>
      </c>
      <c r="BL166" s="422">
        <f>BB166+BE166+BG166+BJ166</f>
        <v>0</v>
      </c>
      <c r="BM166" s="611">
        <f>SUM(BK166:BL166)</f>
        <v>0</v>
      </c>
      <c r="BN166" s="428">
        <f>I166+AZ166</f>
        <v>216309</v>
      </c>
      <c r="BO166" s="421">
        <f>J166+AH166</f>
        <v>150470</v>
      </c>
      <c r="BP166" s="421">
        <f t="shared" si="469"/>
        <v>0</v>
      </c>
      <c r="BQ166" s="421">
        <f t="shared" si="469"/>
        <v>150470</v>
      </c>
      <c r="BR166" s="421">
        <f>M166+AQ166</f>
        <v>9600</v>
      </c>
      <c r="BS166" s="421">
        <f t="shared" si="470"/>
        <v>0</v>
      </c>
      <c r="BT166" s="421">
        <f t="shared" si="470"/>
        <v>9600</v>
      </c>
      <c r="BU166" s="421">
        <f t="shared" si="471"/>
        <v>54104</v>
      </c>
      <c r="BV166" s="421">
        <f t="shared" si="471"/>
        <v>1505</v>
      </c>
      <c r="BW166" s="421">
        <f>R166+AY166</f>
        <v>630</v>
      </c>
      <c r="BX166" s="422">
        <f>S166+BM166</f>
        <v>0.48</v>
      </c>
      <c r="BY166" s="422">
        <f t="shared" si="472"/>
        <v>0</v>
      </c>
      <c r="BZ166" s="611">
        <f t="shared" si="472"/>
        <v>0.48</v>
      </c>
      <c r="CA166" s="423"/>
      <c r="CB166" s="418"/>
      <c r="CC166" s="418"/>
      <c r="CD166" s="418"/>
      <c r="CE166" s="418"/>
      <c r="CF166" s="527"/>
    </row>
    <row r="167" spans="1:84" s="222" customFormat="1" ht="12.75" customHeight="1" x14ac:dyDescent="0.2">
      <c r="A167" s="153">
        <v>34</v>
      </c>
      <c r="B167" s="14">
        <v>3418</v>
      </c>
      <c r="C167" s="152">
        <v>600078001</v>
      </c>
      <c r="D167" s="152">
        <v>70695954</v>
      </c>
      <c r="E167" s="223" t="s">
        <v>76</v>
      </c>
      <c r="F167" s="14"/>
      <c r="G167" s="223"/>
      <c r="H167" s="592"/>
      <c r="I167" s="522">
        <f t="shared" ref="I167:BU167" si="473">SUM(I164:I166)</f>
        <v>2122238</v>
      </c>
      <c r="J167" s="521">
        <f t="shared" si="473"/>
        <v>1570327</v>
      </c>
      <c r="K167" s="521">
        <f t="shared" si="473"/>
        <v>1299380</v>
      </c>
      <c r="L167" s="521">
        <f t="shared" si="473"/>
        <v>270947</v>
      </c>
      <c r="M167" s="521">
        <f t="shared" si="473"/>
        <v>0</v>
      </c>
      <c r="N167" s="521">
        <f t="shared" si="473"/>
        <v>0</v>
      </c>
      <c r="O167" s="521">
        <f t="shared" si="473"/>
        <v>0</v>
      </c>
      <c r="P167" s="521">
        <f t="shared" si="473"/>
        <v>530771</v>
      </c>
      <c r="Q167" s="521">
        <f t="shared" si="473"/>
        <v>15704</v>
      </c>
      <c r="R167" s="521">
        <f t="shared" si="473"/>
        <v>5436</v>
      </c>
      <c r="S167" s="572">
        <f t="shared" si="473"/>
        <v>3.1435999999999997</v>
      </c>
      <c r="T167" s="572">
        <f t="shared" si="473"/>
        <v>2.2902999999999998</v>
      </c>
      <c r="U167" s="448">
        <f t="shared" si="473"/>
        <v>0.85329999999999995</v>
      </c>
      <c r="V167" s="614">
        <f t="shared" si="473"/>
        <v>0</v>
      </c>
      <c r="W167" s="521">
        <f t="shared" si="473"/>
        <v>-12800</v>
      </c>
      <c r="X167" s="521">
        <f t="shared" si="473"/>
        <v>0</v>
      </c>
      <c r="Y167" s="521">
        <f t="shared" si="473"/>
        <v>0</v>
      </c>
      <c r="Z167" s="521">
        <f t="shared" si="473"/>
        <v>0</v>
      </c>
      <c r="AA167" s="521">
        <f t="shared" si="473"/>
        <v>0</v>
      </c>
      <c r="AB167" s="521">
        <f t="shared" si="473"/>
        <v>0</v>
      </c>
      <c r="AC167" s="521">
        <f t="shared" si="473"/>
        <v>0</v>
      </c>
      <c r="AD167" s="521">
        <f t="shared" si="473"/>
        <v>0</v>
      </c>
      <c r="AE167" s="521">
        <f t="shared" si="473"/>
        <v>0</v>
      </c>
      <c r="AF167" s="521">
        <f t="shared" si="473"/>
        <v>0</v>
      </c>
      <c r="AG167" s="521">
        <f t="shared" si="473"/>
        <v>-12800</v>
      </c>
      <c r="AH167" s="521">
        <f t="shared" si="473"/>
        <v>-12800</v>
      </c>
      <c r="AI167" s="521">
        <f t="shared" si="473"/>
        <v>0</v>
      </c>
      <c r="AJ167" s="521">
        <f t="shared" si="473"/>
        <v>12800</v>
      </c>
      <c r="AK167" s="521">
        <f t="shared" ref="AK167" si="474">SUM(AK164:AK166)</f>
        <v>0</v>
      </c>
      <c r="AL167" s="521">
        <f t="shared" si="473"/>
        <v>0</v>
      </c>
      <c r="AM167" s="521">
        <f t="shared" si="473"/>
        <v>0</v>
      </c>
      <c r="AN167" s="521">
        <f t="shared" si="473"/>
        <v>0</v>
      </c>
      <c r="AO167" s="521">
        <f t="shared" si="473"/>
        <v>0</v>
      </c>
      <c r="AP167" s="521">
        <f t="shared" si="473"/>
        <v>12800</v>
      </c>
      <c r="AQ167" s="521">
        <f t="shared" si="473"/>
        <v>12800</v>
      </c>
      <c r="AR167" s="521">
        <f t="shared" si="473"/>
        <v>0</v>
      </c>
      <c r="AS167" s="521">
        <f t="shared" si="473"/>
        <v>0</v>
      </c>
      <c r="AT167" s="521">
        <f t="shared" si="473"/>
        <v>0</v>
      </c>
      <c r="AU167" s="521">
        <f t="shared" si="473"/>
        <v>0</v>
      </c>
      <c r="AV167" s="521">
        <f t="shared" si="473"/>
        <v>-128</v>
      </c>
      <c r="AW167" s="521">
        <f t="shared" si="473"/>
        <v>0</v>
      </c>
      <c r="AX167" s="521">
        <f t="shared" si="473"/>
        <v>0</v>
      </c>
      <c r="AY167" s="521">
        <f t="shared" si="473"/>
        <v>0</v>
      </c>
      <c r="AZ167" s="521">
        <f t="shared" si="473"/>
        <v>-128</v>
      </c>
      <c r="BA167" s="572">
        <f t="shared" si="473"/>
        <v>0</v>
      </c>
      <c r="BB167" s="572">
        <f t="shared" si="473"/>
        <v>0</v>
      </c>
      <c r="BC167" s="572">
        <f t="shared" si="473"/>
        <v>0</v>
      </c>
      <c r="BD167" s="572">
        <f t="shared" si="473"/>
        <v>0</v>
      </c>
      <c r="BE167" s="572">
        <f t="shared" si="473"/>
        <v>0</v>
      </c>
      <c r="BF167" s="572">
        <f t="shared" si="473"/>
        <v>0</v>
      </c>
      <c r="BG167" s="572">
        <f t="shared" si="473"/>
        <v>0</v>
      </c>
      <c r="BH167" s="572">
        <f t="shared" si="473"/>
        <v>0</v>
      </c>
      <c r="BI167" s="572">
        <f t="shared" si="473"/>
        <v>0</v>
      </c>
      <c r="BJ167" s="572">
        <f t="shared" si="473"/>
        <v>0</v>
      </c>
      <c r="BK167" s="572">
        <f t="shared" si="473"/>
        <v>0</v>
      </c>
      <c r="BL167" s="572">
        <f t="shared" si="473"/>
        <v>0</v>
      </c>
      <c r="BM167" s="403">
        <f t="shared" si="473"/>
        <v>0</v>
      </c>
      <c r="BN167" s="522">
        <f t="shared" si="473"/>
        <v>2122110</v>
      </c>
      <c r="BO167" s="521">
        <f t="shared" si="473"/>
        <v>1557527</v>
      </c>
      <c r="BP167" s="521">
        <f t="shared" si="473"/>
        <v>1299380</v>
      </c>
      <c r="BQ167" s="521">
        <f t="shared" si="473"/>
        <v>258147</v>
      </c>
      <c r="BR167" s="521">
        <f t="shared" si="473"/>
        <v>12800</v>
      </c>
      <c r="BS167" s="521">
        <f t="shared" si="473"/>
        <v>0</v>
      </c>
      <c r="BT167" s="521">
        <f t="shared" si="473"/>
        <v>12800</v>
      </c>
      <c r="BU167" s="521">
        <f t="shared" si="473"/>
        <v>530771</v>
      </c>
      <c r="BV167" s="521">
        <f t="shared" ref="BV167:CF167" si="475">SUM(BV164:BV166)</f>
        <v>15576</v>
      </c>
      <c r="BW167" s="521">
        <f t="shared" si="475"/>
        <v>5436</v>
      </c>
      <c r="BX167" s="572">
        <f t="shared" si="475"/>
        <v>3.1435999999999997</v>
      </c>
      <c r="BY167" s="572">
        <f t="shared" si="475"/>
        <v>2.2902999999999998</v>
      </c>
      <c r="BZ167" s="403">
        <f t="shared" si="475"/>
        <v>0.85329999999999995</v>
      </c>
      <c r="CA167" s="833">
        <f t="shared" si="475"/>
        <v>0</v>
      </c>
      <c r="CB167" s="834">
        <f t="shared" si="475"/>
        <v>0</v>
      </c>
      <c r="CC167" s="834">
        <f t="shared" si="475"/>
        <v>0</v>
      </c>
      <c r="CD167" s="834">
        <f t="shared" si="475"/>
        <v>0</v>
      </c>
      <c r="CE167" s="834">
        <f t="shared" si="475"/>
        <v>0</v>
      </c>
      <c r="CF167" s="829">
        <f t="shared" si="475"/>
        <v>0</v>
      </c>
    </row>
    <row r="168" spans="1:84" s="222" customFormat="1" ht="12.75" customHeight="1" x14ac:dyDescent="0.2">
      <c r="A168" s="224">
        <v>35</v>
      </c>
      <c r="B168" s="225">
        <v>3428</v>
      </c>
      <c r="C168" s="225">
        <v>600078311</v>
      </c>
      <c r="D168" s="225">
        <v>72742518</v>
      </c>
      <c r="E168" s="226" t="s">
        <v>77</v>
      </c>
      <c r="F168" s="225">
        <v>3111</v>
      </c>
      <c r="G168" s="226" t="s">
        <v>291</v>
      </c>
      <c r="H168" s="227" t="s">
        <v>271</v>
      </c>
      <c r="I168" s="423">
        <f t="shared" ref="I168:I173" si="476">J168+P168+Q168+R168</f>
        <v>3227983</v>
      </c>
      <c r="J168" s="418">
        <f t="shared" ref="J168:J173" si="477">K168+L168</f>
        <v>2386327</v>
      </c>
      <c r="K168" s="418">
        <v>2253191</v>
      </c>
      <c r="L168" s="418">
        <v>133136</v>
      </c>
      <c r="M168" s="418">
        <f t="shared" ref="M168:M173" si="478">N168+O168</f>
        <v>0</v>
      </c>
      <c r="N168" s="418"/>
      <c r="O168" s="418"/>
      <c r="P168" s="68">
        <f t="shared" ref="P168:P173" si="479">ROUND(J168*33.8%,0)</f>
        <v>806579</v>
      </c>
      <c r="Q168" s="68">
        <f t="shared" ref="Q168:Q173" si="480">ROUND(J168*1%,0)</f>
        <v>23863</v>
      </c>
      <c r="R168" s="418">
        <v>11214</v>
      </c>
      <c r="S168" s="419">
        <f t="shared" ref="S168:S173" si="481">T168+U168</f>
        <v>4.5334000000000003</v>
      </c>
      <c r="T168" s="420">
        <v>4</v>
      </c>
      <c r="U168" s="527">
        <v>0.53339999999999999</v>
      </c>
      <c r="V168" s="427">
        <f t="shared" ref="V168:W173" si="482">AI168*-1</f>
        <v>0</v>
      </c>
      <c r="W168" s="421">
        <f t="shared" si="482"/>
        <v>0</v>
      </c>
      <c r="X168" s="421">
        <v>0</v>
      </c>
      <c r="Y168" s="421">
        <v>0</v>
      </c>
      <c r="Z168" s="421">
        <v>0</v>
      </c>
      <c r="AA168" s="421">
        <v>0</v>
      </c>
      <c r="AB168" s="421">
        <v>0</v>
      </c>
      <c r="AC168" s="421">
        <v>0</v>
      </c>
      <c r="AD168" s="421">
        <v>0</v>
      </c>
      <c r="AE168" s="421">
        <v>0</v>
      </c>
      <c r="AF168" s="421">
        <f t="shared" ref="AF168:AF173" si="483">V168+X168+Y168+AA168+AB168+AD168</f>
        <v>0</v>
      </c>
      <c r="AG168" s="421">
        <f t="shared" ref="AG168:AG173" si="484">W168+Z168+AC168+AE168</f>
        <v>0</v>
      </c>
      <c r="AH168" s="421">
        <f t="shared" ref="AH168:AH173" si="485">SUM(AF168:AG168)</f>
        <v>0</v>
      </c>
      <c r="AI168" s="421">
        <v>0</v>
      </c>
      <c r="AJ168" s="421">
        <v>0</v>
      </c>
      <c r="AK168" s="421">
        <v>0</v>
      </c>
      <c r="AL168" s="421">
        <v>0</v>
      </c>
      <c r="AM168" s="421">
        <v>0</v>
      </c>
      <c r="AN168" s="421">
        <v>0</v>
      </c>
      <c r="AO168" s="421">
        <f t="shared" ref="AO168:AO173" si="486">AI168+AK168+AL168+AM168</f>
        <v>0</v>
      </c>
      <c r="AP168" s="421">
        <f t="shared" ref="AP168:AP173" si="487">AJ168+AN168</f>
        <v>0</v>
      </c>
      <c r="AQ168" s="421">
        <f t="shared" ref="AQ168:AQ173" si="488">SUM(AO168:AP168)</f>
        <v>0</v>
      </c>
      <c r="AR168" s="421">
        <f t="shared" ref="AR168:AS173" si="489">AF168+AO168</f>
        <v>0</v>
      </c>
      <c r="AS168" s="421">
        <f t="shared" si="489"/>
        <v>0</v>
      </c>
      <c r="AT168" s="421">
        <f t="shared" ref="AT168:AT173" si="490">SUM(AR168:AS168)</f>
        <v>0</v>
      </c>
      <c r="AU168" s="68">
        <f t="shared" ref="AU168:AU173" si="491">ROUND((AH168+AI168+AJ168+AK168+AL168)*33.8%,0)</f>
        <v>0</v>
      </c>
      <c r="AV168" s="68">
        <f t="shared" ref="AV168:AV173" si="492">ROUND(AH168*1%,0)</f>
        <v>0</v>
      </c>
      <c r="AW168" s="421">
        <v>0</v>
      </c>
      <c r="AX168" s="421">
        <v>0</v>
      </c>
      <c r="AY168" s="421">
        <f t="shared" ref="AY168:AY173" si="493">AW168+AX168</f>
        <v>0</v>
      </c>
      <c r="AZ168" s="421">
        <f t="shared" ref="AZ168:AZ173" si="494">AT168+AU168+AV168+AY168</f>
        <v>0</v>
      </c>
      <c r="BA168" s="422">
        <v>0</v>
      </c>
      <c r="BB168" s="422">
        <v>0</v>
      </c>
      <c r="BC168" s="422">
        <v>0</v>
      </c>
      <c r="BD168" s="422">
        <v>0</v>
      </c>
      <c r="BE168" s="422">
        <v>0</v>
      </c>
      <c r="BF168" s="422">
        <v>0</v>
      </c>
      <c r="BG168" s="422">
        <v>0</v>
      </c>
      <c r="BH168" s="422">
        <v>0</v>
      </c>
      <c r="BI168" s="422">
        <v>0</v>
      </c>
      <c r="BJ168" s="422">
        <v>0</v>
      </c>
      <c r="BK168" s="422">
        <f t="shared" ref="BK168:BK173" si="495">BA168+BC168+BD168+BF168+BH168+BI168</f>
        <v>0</v>
      </c>
      <c r="BL168" s="422">
        <f t="shared" ref="BL168:BL173" si="496">BB168+BE168+BG168+BJ168</f>
        <v>0</v>
      </c>
      <c r="BM168" s="611">
        <f t="shared" ref="BM168:BM173" si="497">SUM(BK168:BL168)</f>
        <v>0</v>
      </c>
      <c r="BN168" s="428">
        <f t="shared" ref="BN168:BN173" si="498">I168+AZ168</f>
        <v>3227983</v>
      </c>
      <c r="BO168" s="421">
        <f t="shared" ref="BO168:BO173" si="499">J168+AH168</f>
        <v>2386327</v>
      </c>
      <c r="BP168" s="421">
        <f t="shared" ref="BP168:BQ173" si="500">K168+AF168</f>
        <v>2253191</v>
      </c>
      <c r="BQ168" s="421">
        <f t="shared" si="500"/>
        <v>133136</v>
      </c>
      <c r="BR168" s="421">
        <f t="shared" ref="BR168:BR173" si="501">M168+AQ168</f>
        <v>0</v>
      </c>
      <c r="BS168" s="421">
        <f t="shared" ref="BS168:BT173" si="502">N168+AO168</f>
        <v>0</v>
      </c>
      <c r="BT168" s="421">
        <f t="shared" si="502"/>
        <v>0</v>
      </c>
      <c r="BU168" s="421">
        <f t="shared" ref="BU168:BV173" si="503">P168+AU168</f>
        <v>806579</v>
      </c>
      <c r="BV168" s="421">
        <f t="shared" si="503"/>
        <v>23863</v>
      </c>
      <c r="BW168" s="421">
        <f t="shared" ref="BW168:BW173" si="504">R168+AY168</f>
        <v>11214</v>
      </c>
      <c r="BX168" s="422">
        <f t="shared" ref="BX168:BX173" si="505">S168+BM168</f>
        <v>4.5334000000000003</v>
      </c>
      <c r="BY168" s="422">
        <f t="shared" ref="BY168:BZ173" si="506">T168+BK168</f>
        <v>4</v>
      </c>
      <c r="BZ168" s="611">
        <f t="shared" si="506"/>
        <v>0.53339999999999999</v>
      </c>
      <c r="CA168" s="423"/>
      <c r="CB168" s="418"/>
      <c r="CC168" s="418"/>
      <c r="CD168" s="418"/>
      <c r="CE168" s="418"/>
      <c r="CF168" s="527"/>
    </row>
    <row r="169" spans="1:84" s="222" customFormat="1" ht="12.75" customHeight="1" x14ac:dyDescent="0.2">
      <c r="A169" s="224">
        <v>35</v>
      </c>
      <c r="B169" s="225">
        <v>3428</v>
      </c>
      <c r="C169" s="225">
        <v>600078311</v>
      </c>
      <c r="D169" s="225">
        <v>72742518</v>
      </c>
      <c r="E169" s="226" t="s">
        <v>77</v>
      </c>
      <c r="F169" s="225">
        <v>3117</v>
      </c>
      <c r="G169" s="226" t="s">
        <v>294</v>
      </c>
      <c r="H169" s="227" t="s">
        <v>271</v>
      </c>
      <c r="I169" s="423">
        <f t="shared" si="476"/>
        <v>4086106</v>
      </c>
      <c r="J169" s="418">
        <f t="shared" si="477"/>
        <v>2986095</v>
      </c>
      <c r="K169" s="418">
        <v>2591893</v>
      </c>
      <c r="L169" s="418">
        <v>394202</v>
      </c>
      <c r="M169" s="418">
        <f t="shared" si="478"/>
        <v>0</v>
      </c>
      <c r="N169" s="418"/>
      <c r="O169" s="418"/>
      <c r="P169" s="68">
        <f t="shared" si="479"/>
        <v>1009300</v>
      </c>
      <c r="Q169" s="68">
        <f t="shared" si="480"/>
        <v>29861</v>
      </c>
      <c r="R169" s="418">
        <v>60850</v>
      </c>
      <c r="S169" s="419">
        <f t="shared" si="481"/>
        <v>5.0543999999999993</v>
      </c>
      <c r="T169" s="420">
        <v>3.9544999999999999</v>
      </c>
      <c r="U169" s="527">
        <v>1.0998999999999999</v>
      </c>
      <c r="V169" s="427">
        <f t="shared" si="482"/>
        <v>0</v>
      </c>
      <c r="W169" s="421">
        <f t="shared" si="482"/>
        <v>0</v>
      </c>
      <c r="X169" s="421">
        <v>0</v>
      </c>
      <c r="Y169" s="421">
        <v>0</v>
      </c>
      <c r="Z169" s="421">
        <v>0</v>
      </c>
      <c r="AA169" s="421">
        <v>0</v>
      </c>
      <c r="AB169" s="421">
        <v>0</v>
      </c>
      <c r="AC169" s="421">
        <v>0</v>
      </c>
      <c r="AD169" s="421">
        <v>0</v>
      </c>
      <c r="AE169" s="421">
        <v>0</v>
      </c>
      <c r="AF169" s="421">
        <f t="shared" si="483"/>
        <v>0</v>
      </c>
      <c r="AG169" s="421">
        <f t="shared" si="484"/>
        <v>0</v>
      </c>
      <c r="AH169" s="421">
        <f t="shared" si="485"/>
        <v>0</v>
      </c>
      <c r="AI169" s="421">
        <v>0</v>
      </c>
      <c r="AJ169" s="421">
        <v>0</v>
      </c>
      <c r="AK169" s="421">
        <v>0</v>
      </c>
      <c r="AL169" s="421">
        <v>0</v>
      </c>
      <c r="AM169" s="421">
        <v>0</v>
      </c>
      <c r="AN169" s="421">
        <v>0</v>
      </c>
      <c r="AO169" s="421">
        <f t="shared" si="486"/>
        <v>0</v>
      </c>
      <c r="AP169" s="421">
        <f t="shared" si="487"/>
        <v>0</v>
      </c>
      <c r="AQ169" s="421">
        <f t="shared" si="488"/>
        <v>0</v>
      </c>
      <c r="AR169" s="421">
        <f t="shared" si="489"/>
        <v>0</v>
      </c>
      <c r="AS169" s="421">
        <f t="shared" si="489"/>
        <v>0</v>
      </c>
      <c r="AT169" s="421">
        <f t="shared" si="490"/>
        <v>0</v>
      </c>
      <c r="AU169" s="68">
        <f t="shared" si="491"/>
        <v>0</v>
      </c>
      <c r="AV169" s="68">
        <f t="shared" si="492"/>
        <v>0</v>
      </c>
      <c r="AW169" s="421">
        <v>0</v>
      </c>
      <c r="AX169" s="421">
        <v>0</v>
      </c>
      <c r="AY169" s="421">
        <f t="shared" si="493"/>
        <v>0</v>
      </c>
      <c r="AZ169" s="421">
        <f t="shared" si="494"/>
        <v>0</v>
      </c>
      <c r="BA169" s="422">
        <v>0</v>
      </c>
      <c r="BB169" s="422">
        <v>0</v>
      </c>
      <c r="BC169" s="422">
        <v>0</v>
      </c>
      <c r="BD169" s="422">
        <v>0</v>
      </c>
      <c r="BE169" s="422">
        <v>0</v>
      </c>
      <c r="BF169" s="422">
        <v>0</v>
      </c>
      <c r="BG169" s="422">
        <v>0</v>
      </c>
      <c r="BH169" s="422">
        <v>0</v>
      </c>
      <c r="BI169" s="422">
        <v>0</v>
      </c>
      <c r="BJ169" s="422">
        <v>0</v>
      </c>
      <c r="BK169" s="422">
        <f t="shared" si="495"/>
        <v>0</v>
      </c>
      <c r="BL169" s="422">
        <f t="shared" si="496"/>
        <v>0</v>
      </c>
      <c r="BM169" s="611">
        <f t="shared" si="497"/>
        <v>0</v>
      </c>
      <c r="BN169" s="428">
        <f t="shared" si="498"/>
        <v>4086106</v>
      </c>
      <c r="BO169" s="421">
        <f t="shared" si="499"/>
        <v>2986095</v>
      </c>
      <c r="BP169" s="421">
        <f t="shared" si="500"/>
        <v>2591893</v>
      </c>
      <c r="BQ169" s="421">
        <f t="shared" si="500"/>
        <v>394202</v>
      </c>
      <c r="BR169" s="421">
        <f t="shared" si="501"/>
        <v>0</v>
      </c>
      <c r="BS169" s="421">
        <f t="shared" si="502"/>
        <v>0</v>
      </c>
      <c r="BT169" s="421">
        <f t="shared" si="502"/>
        <v>0</v>
      </c>
      <c r="BU169" s="421">
        <f t="shared" si="503"/>
        <v>1009300</v>
      </c>
      <c r="BV169" s="421">
        <f t="shared" si="503"/>
        <v>29861</v>
      </c>
      <c r="BW169" s="421">
        <f t="shared" si="504"/>
        <v>60850</v>
      </c>
      <c r="BX169" s="422">
        <f t="shared" si="505"/>
        <v>5.0543999999999993</v>
      </c>
      <c r="BY169" s="422">
        <f t="shared" si="506"/>
        <v>3.9544999999999999</v>
      </c>
      <c r="BZ169" s="611">
        <f t="shared" si="506"/>
        <v>1.0998999999999999</v>
      </c>
      <c r="CA169" s="423"/>
      <c r="CB169" s="418"/>
      <c r="CC169" s="418"/>
      <c r="CD169" s="418"/>
      <c r="CE169" s="418"/>
      <c r="CF169" s="527"/>
    </row>
    <row r="170" spans="1:84" s="222" customFormat="1" x14ac:dyDescent="0.2">
      <c r="A170" s="224">
        <v>35</v>
      </c>
      <c r="B170" s="225">
        <v>3428</v>
      </c>
      <c r="C170" s="225">
        <v>600078311</v>
      </c>
      <c r="D170" s="225">
        <v>72742518</v>
      </c>
      <c r="E170" s="226" t="s">
        <v>77</v>
      </c>
      <c r="F170" s="225">
        <v>3117</v>
      </c>
      <c r="G170" s="226" t="s">
        <v>292</v>
      </c>
      <c r="H170" s="227" t="s">
        <v>272</v>
      </c>
      <c r="I170" s="423">
        <f t="shared" si="476"/>
        <v>0</v>
      </c>
      <c r="J170" s="418">
        <f t="shared" si="477"/>
        <v>0</v>
      </c>
      <c r="K170" s="418">
        <v>0</v>
      </c>
      <c r="L170" s="418">
        <v>0</v>
      </c>
      <c r="M170" s="418">
        <f t="shared" si="478"/>
        <v>0</v>
      </c>
      <c r="N170" s="418"/>
      <c r="O170" s="418"/>
      <c r="P170" s="68">
        <f t="shared" si="479"/>
        <v>0</v>
      </c>
      <c r="Q170" s="68">
        <f t="shared" si="480"/>
        <v>0</v>
      </c>
      <c r="R170" s="418">
        <v>0</v>
      </c>
      <c r="S170" s="419">
        <f t="shared" si="481"/>
        <v>0</v>
      </c>
      <c r="T170" s="420">
        <v>0</v>
      </c>
      <c r="U170" s="527">
        <v>0</v>
      </c>
      <c r="V170" s="427">
        <f t="shared" si="482"/>
        <v>0</v>
      </c>
      <c r="W170" s="421">
        <f t="shared" si="482"/>
        <v>0</v>
      </c>
      <c r="X170" s="421">
        <v>1229861</v>
      </c>
      <c r="Y170" s="421">
        <v>0</v>
      </c>
      <c r="Z170" s="421">
        <v>0</v>
      </c>
      <c r="AA170" s="421">
        <v>0</v>
      </c>
      <c r="AB170" s="421">
        <v>0</v>
      </c>
      <c r="AC170" s="421">
        <v>0</v>
      </c>
      <c r="AD170" s="421">
        <v>0</v>
      </c>
      <c r="AE170" s="421">
        <v>0</v>
      </c>
      <c r="AF170" s="421">
        <f t="shared" si="483"/>
        <v>1229861</v>
      </c>
      <c r="AG170" s="421">
        <f t="shared" si="484"/>
        <v>0</v>
      </c>
      <c r="AH170" s="421">
        <f t="shared" si="485"/>
        <v>1229861</v>
      </c>
      <c r="AI170" s="421">
        <v>0</v>
      </c>
      <c r="AJ170" s="421">
        <v>0</v>
      </c>
      <c r="AK170" s="421">
        <v>0</v>
      </c>
      <c r="AL170" s="421">
        <v>0</v>
      </c>
      <c r="AM170" s="421">
        <v>0</v>
      </c>
      <c r="AN170" s="421">
        <v>0</v>
      </c>
      <c r="AO170" s="421">
        <f t="shared" si="486"/>
        <v>0</v>
      </c>
      <c r="AP170" s="421">
        <f t="shared" si="487"/>
        <v>0</v>
      </c>
      <c r="AQ170" s="421">
        <f t="shared" si="488"/>
        <v>0</v>
      </c>
      <c r="AR170" s="421">
        <f t="shared" si="489"/>
        <v>1229861</v>
      </c>
      <c r="AS170" s="421">
        <f t="shared" si="489"/>
        <v>0</v>
      </c>
      <c r="AT170" s="421">
        <f t="shared" si="490"/>
        <v>1229861</v>
      </c>
      <c r="AU170" s="68">
        <f t="shared" si="491"/>
        <v>415693</v>
      </c>
      <c r="AV170" s="68">
        <f t="shared" si="492"/>
        <v>12299</v>
      </c>
      <c r="AW170" s="421">
        <v>0</v>
      </c>
      <c r="AX170" s="421">
        <v>0</v>
      </c>
      <c r="AY170" s="421">
        <f t="shared" si="493"/>
        <v>0</v>
      </c>
      <c r="AZ170" s="421">
        <f t="shared" si="494"/>
        <v>1657853</v>
      </c>
      <c r="BA170" s="422">
        <v>0</v>
      </c>
      <c r="BB170" s="422">
        <v>0</v>
      </c>
      <c r="BC170" s="422">
        <v>3.3</v>
      </c>
      <c r="BD170" s="422">
        <v>0</v>
      </c>
      <c r="BE170" s="422">
        <v>0</v>
      </c>
      <c r="BF170" s="422">
        <v>0</v>
      </c>
      <c r="BG170" s="422">
        <v>0</v>
      </c>
      <c r="BH170" s="422">
        <v>0</v>
      </c>
      <c r="BI170" s="422">
        <v>0</v>
      </c>
      <c r="BJ170" s="422">
        <v>0</v>
      </c>
      <c r="BK170" s="422">
        <f t="shared" si="495"/>
        <v>3.3</v>
      </c>
      <c r="BL170" s="422">
        <f t="shared" si="496"/>
        <v>0</v>
      </c>
      <c r="BM170" s="611">
        <f t="shared" si="497"/>
        <v>3.3</v>
      </c>
      <c r="BN170" s="428">
        <f t="shared" si="498"/>
        <v>1657853</v>
      </c>
      <c r="BO170" s="421">
        <f t="shared" si="499"/>
        <v>1229861</v>
      </c>
      <c r="BP170" s="421">
        <f t="shared" si="500"/>
        <v>1229861</v>
      </c>
      <c r="BQ170" s="421">
        <f t="shared" si="500"/>
        <v>0</v>
      </c>
      <c r="BR170" s="421">
        <f t="shared" si="501"/>
        <v>0</v>
      </c>
      <c r="BS170" s="421">
        <f t="shared" si="502"/>
        <v>0</v>
      </c>
      <c r="BT170" s="421">
        <f t="shared" si="502"/>
        <v>0</v>
      </c>
      <c r="BU170" s="421">
        <f t="shared" si="503"/>
        <v>415693</v>
      </c>
      <c r="BV170" s="421">
        <f t="shared" si="503"/>
        <v>12299</v>
      </c>
      <c r="BW170" s="421">
        <f t="shared" si="504"/>
        <v>0</v>
      </c>
      <c r="BX170" s="422">
        <f t="shared" si="505"/>
        <v>3.3</v>
      </c>
      <c r="BY170" s="422">
        <f t="shared" si="506"/>
        <v>3.3</v>
      </c>
      <c r="BZ170" s="611">
        <f t="shared" si="506"/>
        <v>0</v>
      </c>
      <c r="CA170" s="423"/>
      <c r="CB170" s="418"/>
      <c r="CC170" s="418"/>
      <c r="CD170" s="418"/>
      <c r="CE170" s="418"/>
      <c r="CF170" s="527"/>
    </row>
    <row r="171" spans="1:84" s="222" customFormat="1" ht="12.75" customHeight="1" x14ac:dyDescent="0.2">
      <c r="A171" s="224">
        <v>35</v>
      </c>
      <c r="B171" s="225">
        <v>3428</v>
      </c>
      <c r="C171" s="225">
        <v>600078311</v>
      </c>
      <c r="D171" s="225">
        <v>72742518</v>
      </c>
      <c r="E171" s="226" t="s">
        <v>77</v>
      </c>
      <c r="F171" s="225">
        <v>3141</v>
      </c>
      <c r="G171" s="226" t="s">
        <v>295</v>
      </c>
      <c r="H171" s="227" t="s">
        <v>272</v>
      </c>
      <c r="I171" s="423">
        <f t="shared" si="476"/>
        <v>749337</v>
      </c>
      <c r="J171" s="418">
        <f t="shared" si="477"/>
        <v>553577</v>
      </c>
      <c r="K171" s="418">
        <v>0</v>
      </c>
      <c r="L171" s="418">
        <v>553577</v>
      </c>
      <c r="M171" s="418">
        <f t="shared" si="478"/>
        <v>0</v>
      </c>
      <c r="N171" s="418"/>
      <c r="O171" s="418"/>
      <c r="P171" s="68">
        <f t="shared" si="479"/>
        <v>187109</v>
      </c>
      <c r="Q171" s="68">
        <f t="shared" si="480"/>
        <v>5536</v>
      </c>
      <c r="R171" s="418">
        <v>3115</v>
      </c>
      <c r="S171" s="419">
        <f t="shared" si="481"/>
        <v>1.66</v>
      </c>
      <c r="T171" s="420">
        <v>0</v>
      </c>
      <c r="U171" s="527">
        <v>1.66</v>
      </c>
      <c r="V171" s="427">
        <f t="shared" si="482"/>
        <v>0</v>
      </c>
      <c r="W171" s="421">
        <f t="shared" si="482"/>
        <v>0</v>
      </c>
      <c r="X171" s="421">
        <v>0</v>
      </c>
      <c r="Y171" s="421">
        <v>0</v>
      </c>
      <c r="Z171" s="421">
        <v>0</v>
      </c>
      <c r="AA171" s="421">
        <v>0</v>
      </c>
      <c r="AB171" s="421">
        <v>0</v>
      </c>
      <c r="AC171" s="421">
        <v>0</v>
      </c>
      <c r="AD171" s="421">
        <v>0</v>
      </c>
      <c r="AE171" s="421">
        <v>0</v>
      </c>
      <c r="AF171" s="421">
        <f t="shared" si="483"/>
        <v>0</v>
      </c>
      <c r="AG171" s="421">
        <f t="shared" si="484"/>
        <v>0</v>
      </c>
      <c r="AH171" s="421">
        <f t="shared" si="485"/>
        <v>0</v>
      </c>
      <c r="AI171" s="421">
        <v>0</v>
      </c>
      <c r="AJ171" s="421">
        <v>0</v>
      </c>
      <c r="AK171" s="421">
        <v>0</v>
      </c>
      <c r="AL171" s="421">
        <v>0</v>
      </c>
      <c r="AM171" s="421">
        <v>0</v>
      </c>
      <c r="AN171" s="421">
        <v>0</v>
      </c>
      <c r="AO171" s="421">
        <f t="shared" si="486"/>
        <v>0</v>
      </c>
      <c r="AP171" s="421">
        <f t="shared" si="487"/>
        <v>0</v>
      </c>
      <c r="AQ171" s="421">
        <f t="shared" si="488"/>
        <v>0</v>
      </c>
      <c r="AR171" s="421">
        <f t="shared" si="489"/>
        <v>0</v>
      </c>
      <c r="AS171" s="421">
        <f t="shared" si="489"/>
        <v>0</v>
      </c>
      <c r="AT171" s="421">
        <f t="shared" si="490"/>
        <v>0</v>
      </c>
      <c r="AU171" s="68">
        <f t="shared" si="491"/>
        <v>0</v>
      </c>
      <c r="AV171" s="68">
        <f t="shared" si="492"/>
        <v>0</v>
      </c>
      <c r="AW171" s="421">
        <v>0</v>
      </c>
      <c r="AX171" s="421">
        <v>0</v>
      </c>
      <c r="AY171" s="421">
        <f t="shared" si="493"/>
        <v>0</v>
      </c>
      <c r="AZ171" s="421">
        <f t="shared" si="494"/>
        <v>0</v>
      </c>
      <c r="BA171" s="422">
        <v>0</v>
      </c>
      <c r="BB171" s="422">
        <v>0</v>
      </c>
      <c r="BC171" s="422">
        <v>0</v>
      </c>
      <c r="BD171" s="422">
        <v>0</v>
      </c>
      <c r="BE171" s="422">
        <v>0</v>
      </c>
      <c r="BF171" s="422">
        <v>0</v>
      </c>
      <c r="BG171" s="422">
        <v>0</v>
      </c>
      <c r="BH171" s="422">
        <v>0</v>
      </c>
      <c r="BI171" s="422">
        <v>0</v>
      </c>
      <c r="BJ171" s="422">
        <v>0</v>
      </c>
      <c r="BK171" s="422">
        <f t="shared" si="495"/>
        <v>0</v>
      </c>
      <c r="BL171" s="422">
        <f t="shared" si="496"/>
        <v>0</v>
      </c>
      <c r="BM171" s="611">
        <f t="shared" si="497"/>
        <v>0</v>
      </c>
      <c r="BN171" s="428">
        <f t="shared" si="498"/>
        <v>749337</v>
      </c>
      <c r="BO171" s="421">
        <f t="shared" si="499"/>
        <v>553577</v>
      </c>
      <c r="BP171" s="421">
        <f t="shared" si="500"/>
        <v>0</v>
      </c>
      <c r="BQ171" s="421">
        <f t="shared" si="500"/>
        <v>553577</v>
      </c>
      <c r="BR171" s="421">
        <f t="shared" si="501"/>
        <v>0</v>
      </c>
      <c r="BS171" s="421">
        <f t="shared" si="502"/>
        <v>0</v>
      </c>
      <c r="BT171" s="421">
        <f t="shared" si="502"/>
        <v>0</v>
      </c>
      <c r="BU171" s="421">
        <f t="shared" si="503"/>
        <v>187109</v>
      </c>
      <c r="BV171" s="421">
        <f t="shared" si="503"/>
        <v>5536</v>
      </c>
      <c r="BW171" s="421">
        <f t="shared" si="504"/>
        <v>3115</v>
      </c>
      <c r="BX171" s="422">
        <f t="shared" si="505"/>
        <v>1.66</v>
      </c>
      <c r="BY171" s="422">
        <f t="shared" si="506"/>
        <v>0</v>
      </c>
      <c r="BZ171" s="611">
        <f t="shared" si="506"/>
        <v>1.66</v>
      </c>
      <c r="CA171" s="423"/>
      <c r="CB171" s="418"/>
      <c r="CC171" s="418"/>
      <c r="CD171" s="418"/>
      <c r="CE171" s="418"/>
      <c r="CF171" s="527"/>
    </row>
    <row r="172" spans="1:84" s="222" customFormat="1" ht="12.75" customHeight="1" x14ac:dyDescent="0.2">
      <c r="A172" s="224">
        <v>35</v>
      </c>
      <c r="B172" s="225">
        <v>3428</v>
      </c>
      <c r="C172" s="225">
        <v>600078311</v>
      </c>
      <c r="D172" s="225">
        <v>72742518</v>
      </c>
      <c r="E172" s="226" t="s">
        <v>77</v>
      </c>
      <c r="F172" s="225">
        <v>3143</v>
      </c>
      <c r="G172" s="226" t="s">
        <v>596</v>
      </c>
      <c r="H172" s="227" t="s">
        <v>271</v>
      </c>
      <c r="I172" s="423">
        <f t="shared" si="476"/>
        <v>1306069</v>
      </c>
      <c r="J172" s="418">
        <f t="shared" si="477"/>
        <v>968894</v>
      </c>
      <c r="K172" s="418">
        <v>968894</v>
      </c>
      <c r="L172" s="418">
        <v>0</v>
      </c>
      <c r="M172" s="418">
        <f t="shared" si="478"/>
        <v>0</v>
      </c>
      <c r="N172" s="418"/>
      <c r="O172" s="418"/>
      <c r="P172" s="68">
        <f t="shared" si="479"/>
        <v>327486</v>
      </c>
      <c r="Q172" s="68">
        <f t="shared" si="480"/>
        <v>9689</v>
      </c>
      <c r="R172" s="418">
        <v>0</v>
      </c>
      <c r="S172" s="419">
        <f t="shared" si="481"/>
        <v>2.0535999999999999</v>
      </c>
      <c r="T172" s="420">
        <v>2.0535999999999999</v>
      </c>
      <c r="U172" s="527">
        <v>0</v>
      </c>
      <c r="V172" s="427">
        <f t="shared" si="482"/>
        <v>0</v>
      </c>
      <c r="W172" s="421">
        <f t="shared" si="482"/>
        <v>0</v>
      </c>
      <c r="X172" s="421">
        <v>0</v>
      </c>
      <c r="Y172" s="421">
        <v>0</v>
      </c>
      <c r="Z172" s="421">
        <v>0</v>
      </c>
      <c r="AA172" s="421">
        <v>0</v>
      </c>
      <c r="AB172" s="421">
        <v>0</v>
      </c>
      <c r="AC172" s="421">
        <v>0</v>
      </c>
      <c r="AD172" s="421">
        <v>0</v>
      </c>
      <c r="AE172" s="421">
        <v>0</v>
      </c>
      <c r="AF172" s="421">
        <f t="shared" si="483"/>
        <v>0</v>
      </c>
      <c r="AG172" s="421">
        <f t="shared" si="484"/>
        <v>0</v>
      </c>
      <c r="AH172" s="421">
        <f t="shared" si="485"/>
        <v>0</v>
      </c>
      <c r="AI172" s="421">
        <v>0</v>
      </c>
      <c r="AJ172" s="421">
        <v>0</v>
      </c>
      <c r="AK172" s="421">
        <v>0</v>
      </c>
      <c r="AL172" s="421">
        <v>0</v>
      </c>
      <c r="AM172" s="421">
        <v>0</v>
      </c>
      <c r="AN172" s="421">
        <v>0</v>
      </c>
      <c r="AO172" s="421">
        <f t="shared" si="486"/>
        <v>0</v>
      </c>
      <c r="AP172" s="421">
        <f t="shared" si="487"/>
        <v>0</v>
      </c>
      <c r="AQ172" s="421">
        <f t="shared" si="488"/>
        <v>0</v>
      </c>
      <c r="AR172" s="421">
        <f t="shared" si="489"/>
        <v>0</v>
      </c>
      <c r="AS172" s="421">
        <f t="shared" si="489"/>
        <v>0</v>
      </c>
      <c r="AT172" s="421">
        <f t="shared" si="490"/>
        <v>0</v>
      </c>
      <c r="AU172" s="68">
        <f t="shared" si="491"/>
        <v>0</v>
      </c>
      <c r="AV172" s="68">
        <f t="shared" si="492"/>
        <v>0</v>
      </c>
      <c r="AW172" s="421">
        <v>0</v>
      </c>
      <c r="AX172" s="421">
        <v>0</v>
      </c>
      <c r="AY172" s="421">
        <f t="shared" si="493"/>
        <v>0</v>
      </c>
      <c r="AZ172" s="421">
        <f t="shared" si="494"/>
        <v>0</v>
      </c>
      <c r="BA172" s="422">
        <v>0</v>
      </c>
      <c r="BB172" s="422">
        <v>0</v>
      </c>
      <c r="BC172" s="422">
        <v>0</v>
      </c>
      <c r="BD172" s="422">
        <v>0</v>
      </c>
      <c r="BE172" s="422">
        <v>0</v>
      </c>
      <c r="BF172" s="422">
        <v>0</v>
      </c>
      <c r="BG172" s="422">
        <v>0</v>
      </c>
      <c r="BH172" s="422">
        <v>0</v>
      </c>
      <c r="BI172" s="422">
        <v>0</v>
      </c>
      <c r="BJ172" s="422">
        <v>0</v>
      </c>
      <c r="BK172" s="422">
        <f t="shared" si="495"/>
        <v>0</v>
      </c>
      <c r="BL172" s="422">
        <f t="shared" si="496"/>
        <v>0</v>
      </c>
      <c r="BM172" s="611">
        <f t="shared" si="497"/>
        <v>0</v>
      </c>
      <c r="BN172" s="428">
        <f t="shared" si="498"/>
        <v>1306069</v>
      </c>
      <c r="BO172" s="421">
        <f t="shared" si="499"/>
        <v>968894</v>
      </c>
      <c r="BP172" s="421">
        <f t="shared" si="500"/>
        <v>968894</v>
      </c>
      <c r="BQ172" s="421">
        <f t="shared" si="500"/>
        <v>0</v>
      </c>
      <c r="BR172" s="421">
        <f t="shared" si="501"/>
        <v>0</v>
      </c>
      <c r="BS172" s="421">
        <f t="shared" si="502"/>
        <v>0</v>
      </c>
      <c r="BT172" s="421">
        <f t="shared" si="502"/>
        <v>0</v>
      </c>
      <c r="BU172" s="421">
        <f t="shared" si="503"/>
        <v>327486</v>
      </c>
      <c r="BV172" s="421">
        <f t="shared" si="503"/>
        <v>9689</v>
      </c>
      <c r="BW172" s="421">
        <f t="shared" si="504"/>
        <v>0</v>
      </c>
      <c r="BX172" s="422">
        <f t="shared" si="505"/>
        <v>2.0535999999999999</v>
      </c>
      <c r="BY172" s="422">
        <f t="shared" si="506"/>
        <v>2.0535999999999999</v>
      </c>
      <c r="BZ172" s="611">
        <f t="shared" si="506"/>
        <v>0</v>
      </c>
      <c r="CA172" s="423"/>
      <c r="CB172" s="418"/>
      <c r="CC172" s="418"/>
      <c r="CD172" s="418"/>
      <c r="CE172" s="418"/>
      <c r="CF172" s="527"/>
    </row>
    <row r="173" spans="1:84" s="222" customFormat="1" ht="12.75" customHeight="1" x14ac:dyDescent="0.2">
      <c r="A173" s="224">
        <v>35</v>
      </c>
      <c r="B173" s="225">
        <v>3428</v>
      </c>
      <c r="C173" s="225">
        <v>600078311</v>
      </c>
      <c r="D173" s="225">
        <v>72742518</v>
      </c>
      <c r="E173" s="226" t="s">
        <v>77</v>
      </c>
      <c r="F173" s="225">
        <v>3143</v>
      </c>
      <c r="G173" s="226" t="s">
        <v>597</v>
      </c>
      <c r="H173" s="227" t="s">
        <v>272</v>
      </c>
      <c r="I173" s="423">
        <f t="shared" si="476"/>
        <v>21503</v>
      </c>
      <c r="J173" s="418">
        <f t="shared" si="477"/>
        <v>15391</v>
      </c>
      <c r="K173" s="418">
        <v>0</v>
      </c>
      <c r="L173" s="418">
        <v>15391</v>
      </c>
      <c r="M173" s="418">
        <f t="shared" si="478"/>
        <v>0</v>
      </c>
      <c r="N173" s="418"/>
      <c r="O173" s="418"/>
      <c r="P173" s="68">
        <f t="shared" si="479"/>
        <v>5202</v>
      </c>
      <c r="Q173" s="68">
        <f t="shared" si="480"/>
        <v>154</v>
      </c>
      <c r="R173" s="418">
        <v>756</v>
      </c>
      <c r="S173" s="419">
        <f t="shared" si="481"/>
        <v>0.06</v>
      </c>
      <c r="T173" s="420">
        <v>0</v>
      </c>
      <c r="U173" s="527">
        <v>0.06</v>
      </c>
      <c r="V173" s="427">
        <f t="shared" si="482"/>
        <v>0</v>
      </c>
      <c r="W173" s="421">
        <f t="shared" si="482"/>
        <v>0</v>
      </c>
      <c r="X173" s="421">
        <v>0</v>
      </c>
      <c r="Y173" s="421">
        <v>0</v>
      </c>
      <c r="Z173" s="421">
        <v>0</v>
      </c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f t="shared" si="483"/>
        <v>0</v>
      </c>
      <c r="AG173" s="421">
        <f t="shared" si="484"/>
        <v>0</v>
      </c>
      <c r="AH173" s="421">
        <f t="shared" si="485"/>
        <v>0</v>
      </c>
      <c r="AI173" s="421">
        <v>0</v>
      </c>
      <c r="AJ173" s="421">
        <v>0</v>
      </c>
      <c r="AK173" s="421">
        <v>0</v>
      </c>
      <c r="AL173" s="421">
        <v>0</v>
      </c>
      <c r="AM173" s="421">
        <v>0</v>
      </c>
      <c r="AN173" s="421">
        <v>0</v>
      </c>
      <c r="AO173" s="421">
        <f t="shared" si="486"/>
        <v>0</v>
      </c>
      <c r="AP173" s="421">
        <f t="shared" si="487"/>
        <v>0</v>
      </c>
      <c r="AQ173" s="421">
        <f t="shared" si="488"/>
        <v>0</v>
      </c>
      <c r="AR173" s="421">
        <f t="shared" si="489"/>
        <v>0</v>
      </c>
      <c r="AS173" s="421">
        <f t="shared" si="489"/>
        <v>0</v>
      </c>
      <c r="AT173" s="421">
        <f t="shared" si="490"/>
        <v>0</v>
      </c>
      <c r="AU173" s="68">
        <f t="shared" si="491"/>
        <v>0</v>
      </c>
      <c r="AV173" s="68">
        <f t="shared" si="492"/>
        <v>0</v>
      </c>
      <c r="AW173" s="421">
        <v>0</v>
      </c>
      <c r="AX173" s="421">
        <v>0</v>
      </c>
      <c r="AY173" s="421">
        <f t="shared" si="493"/>
        <v>0</v>
      </c>
      <c r="AZ173" s="421">
        <f t="shared" si="494"/>
        <v>0</v>
      </c>
      <c r="BA173" s="422">
        <v>0</v>
      </c>
      <c r="BB173" s="422">
        <v>0</v>
      </c>
      <c r="BC173" s="422">
        <v>0</v>
      </c>
      <c r="BD173" s="422">
        <v>0</v>
      </c>
      <c r="BE173" s="422">
        <v>0</v>
      </c>
      <c r="BF173" s="422">
        <v>0</v>
      </c>
      <c r="BG173" s="422">
        <v>0</v>
      </c>
      <c r="BH173" s="422">
        <v>0</v>
      </c>
      <c r="BI173" s="422">
        <v>0</v>
      </c>
      <c r="BJ173" s="422">
        <v>0</v>
      </c>
      <c r="BK173" s="422">
        <f t="shared" si="495"/>
        <v>0</v>
      </c>
      <c r="BL173" s="422">
        <f t="shared" si="496"/>
        <v>0</v>
      </c>
      <c r="BM173" s="611">
        <f t="shared" si="497"/>
        <v>0</v>
      </c>
      <c r="BN173" s="428">
        <f t="shared" si="498"/>
        <v>21503</v>
      </c>
      <c r="BO173" s="421">
        <f t="shared" si="499"/>
        <v>15391</v>
      </c>
      <c r="BP173" s="421">
        <f t="shared" si="500"/>
        <v>0</v>
      </c>
      <c r="BQ173" s="421">
        <f t="shared" si="500"/>
        <v>15391</v>
      </c>
      <c r="BR173" s="421">
        <f t="shared" si="501"/>
        <v>0</v>
      </c>
      <c r="BS173" s="421">
        <f t="shared" si="502"/>
        <v>0</v>
      </c>
      <c r="BT173" s="421">
        <f t="shared" si="502"/>
        <v>0</v>
      </c>
      <c r="BU173" s="421">
        <f t="shared" si="503"/>
        <v>5202</v>
      </c>
      <c r="BV173" s="421">
        <f t="shared" si="503"/>
        <v>154</v>
      </c>
      <c r="BW173" s="421">
        <f t="shared" si="504"/>
        <v>756</v>
      </c>
      <c r="BX173" s="422">
        <f t="shared" si="505"/>
        <v>0.06</v>
      </c>
      <c r="BY173" s="422">
        <f t="shared" si="506"/>
        <v>0</v>
      </c>
      <c r="BZ173" s="611">
        <f t="shared" si="506"/>
        <v>0.06</v>
      </c>
      <c r="CA173" s="423"/>
      <c r="CB173" s="418"/>
      <c r="CC173" s="418"/>
      <c r="CD173" s="418"/>
      <c r="CE173" s="418"/>
      <c r="CF173" s="527"/>
    </row>
    <row r="174" spans="1:84" s="222" customFormat="1" ht="12.75" customHeight="1" x14ac:dyDescent="0.2">
      <c r="A174" s="153">
        <v>35</v>
      </c>
      <c r="B174" s="14">
        <v>3428</v>
      </c>
      <c r="C174" s="152">
        <v>600078311</v>
      </c>
      <c r="D174" s="152">
        <v>72742518</v>
      </c>
      <c r="E174" s="223" t="s">
        <v>78</v>
      </c>
      <c r="F174" s="14"/>
      <c r="G174" s="223"/>
      <c r="H174" s="592"/>
      <c r="I174" s="522">
        <f t="shared" ref="I174:BU174" si="507">SUM(I168:I173)</f>
        <v>9390998</v>
      </c>
      <c r="J174" s="521">
        <f t="shared" si="507"/>
        <v>6910284</v>
      </c>
      <c r="K174" s="521">
        <f t="shared" si="507"/>
        <v>5813978</v>
      </c>
      <c r="L174" s="521">
        <f t="shared" si="507"/>
        <v>1096306</v>
      </c>
      <c r="M174" s="521">
        <f t="shared" si="507"/>
        <v>0</v>
      </c>
      <c r="N174" s="521">
        <f t="shared" si="507"/>
        <v>0</v>
      </c>
      <c r="O174" s="521">
        <f t="shared" si="507"/>
        <v>0</v>
      </c>
      <c r="P174" s="521">
        <f t="shared" si="507"/>
        <v>2335676</v>
      </c>
      <c r="Q174" s="521">
        <f t="shared" si="507"/>
        <v>69103</v>
      </c>
      <c r="R174" s="521">
        <f t="shared" si="507"/>
        <v>75935</v>
      </c>
      <c r="S174" s="572">
        <f t="shared" si="507"/>
        <v>13.3614</v>
      </c>
      <c r="T174" s="572">
        <f t="shared" si="507"/>
        <v>10.008099999999999</v>
      </c>
      <c r="U174" s="448">
        <f t="shared" si="507"/>
        <v>3.3532999999999995</v>
      </c>
      <c r="V174" s="614">
        <f t="shared" si="507"/>
        <v>0</v>
      </c>
      <c r="W174" s="521">
        <f t="shared" si="507"/>
        <v>0</v>
      </c>
      <c r="X174" s="521">
        <f t="shared" si="507"/>
        <v>1229861</v>
      </c>
      <c r="Y174" s="521">
        <f t="shared" si="507"/>
        <v>0</v>
      </c>
      <c r="Z174" s="521">
        <f t="shared" si="507"/>
        <v>0</v>
      </c>
      <c r="AA174" s="521">
        <f t="shared" si="507"/>
        <v>0</v>
      </c>
      <c r="AB174" s="521">
        <f t="shared" si="507"/>
        <v>0</v>
      </c>
      <c r="AC174" s="521">
        <f t="shared" si="507"/>
        <v>0</v>
      </c>
      <c r="AD174" s="521">
        <f t="shared" si="507"/>
        <v>0</v>
      </c>
      <c r="AE174" s="521">
        <f t="shared" si="507"/>
        <v>0</v>
      </c>
      <c r="AF174" s="521">
        <f t="shared" si="507"/>
        <v>1229861</v>
      </c>
      <c r="AG174" s="521">
        <f t="shared" si="507"/>
        <v>0</v>
      </c>
      <c r="AH174" s="521">
        <f t="shared" si="507"/>
        <v>1229861</v>
      </c>
      <c r="AI174" s="521">
        <f t="shared" si="507"/>
        <v>0</v>
      </c>
      <c r="AJ174" s="521">
        <f t="shared" si="507"/>
        <v>0</v>
      </c>
      <c r="AK174" s="521">
        <f t="shared" ref="AK174" si="508">SUM(AK168:AK173)</f>
        <v>0</v>
      </c>
      <c r="AL174" s="521">
        <f t="shared" si="507"/>
        <v>0</v>
      </c>
      <c r="AM174" s="521">
        <f t="shared" si="507"/>
        <v>0</v>
      </c>
      <c r="AN174" s="521">
        <f t="shared" si="507"/>
        <v>0</v>
      </c>
      <c r="AO174" s="521">
        <f t="shared" si="507"/>
        <v>0</v>
      </c>
      <c r="AP174" s="521">
        <f t="shared" si="507"/>
        <v>0</v>
      </c>
      <c r="AQ174" s="521">
        <f t="shared" si="507"/>
        <v>0</v>
      </c>
      <c r="AR174" s="521">
        <f t="shared" si="507"/>
        <v>1229861</v>
      </c>
      <c r="AS174" s="521">
        <f t="shared" si="507"/>
        <v>0</v>
      </c>
      <c r="AT174" s="521">
        <f t="shared" si="507"/>
        <v>1229861</v>
      </c>
      <c r="AU174" s="521">
        <f t="shared" si="507"/>
        <v>415693</v>
      </c>
      <c r="AV174" s="521">
        <f t="shared" si="507"/>
        <v>12299</v>
      </c>
      <c r="AW174" s="521">
        <f t="shared" si="507"/>
        <v>0</v>
      </c>
      <c r="AX174" s="521">
        <f t="shared" si="507"/>
        <v>0</v>
      </c>
      <c r="AY174" s="521">
        <f t="shared" si="507"/>
        <v>0</v>
      </c>
      <c r="AZ174" s="521">
        <f t="shared" si="507"/>
        <v>1657853</v>
      </c>
      <c r="BA174" s="572">
        <f t="shared" si="507"/>
        <v>0</v>
      </c>
      <c r="BB174" s="572">
        <f t="shared" si="507"/>
        <v>0</v>
      </c>
      <c r="BC174" s="572">
        <f t="shared" si="507"/>
        <v>3.3</v>
      </c>
      <c r="BD174" s="572">
        <f t="shared" si="507"/>
        <v>0</v>
      </c>
      <c r="BE174" s="572">
        <f t="shared" si="507"/>
        <v>0</v>
      </c>
      <c r="BF174" s="572">
        <f t="shared" si="507"/>
        <v>0</v>
      </c>
      <c r="BG174" s="572">
        <f t="shared" si="507"/>
        <v>0</v>
      </c>
      <c r="BH174" s="572">
        <f t="shared" si="507"/>
        <v>0</v>
      </c>
      <c r="BI174" s="572">
        <f t="shared" si="507"/>
        <v>0</v>
      </c>
      <c r="BJ174" s="572">
        <f t="shared" si="507"/>
        <v>0</v>
      </c>
      <c r="BK174" s="572">
        <f t="shared" si="507"/>
        <v>3.3</v>
      </c>
      <c r="BL174" s="572">
        <f t="shared" si="507"/>
        <v>0</v>
      </c>
      <c r="BM174" s="403">
        <f t="shared" si="507"/>
        <v>3.3</v>
      </c>
      <c r="BN174" s="522">
        <f t="shared" si="507"/>
        <v>11048851</v>
      </c>
      <c r="BO174" s="521">
        <f t="shared" si="507"/>
        <v>8140145</v>
      </c>
      <c r="BP174" s="521">
        <f t="shared" si="507"/>
        <v>7043839</v>
      </c>
      <c r="BQ174" s="521">
        <f t="shared" si="507"/>
        <v>1096306</v>
      </c>
      <c r="BR174" s="521">
        <f t="shared" si="507"/>
        <v>0</v>
      </c>
      <c r="BS174" s="521">
        <f t="shared" si="507"/>
        <v>0</v>
      </c>
      <c r="BT174" s="521">
        <f t="shared" si="507"/>
        <v>0</v>
      </c>
      <c r="BU174" s="521">
        <f t="shared" si="507"/>
        <v>2751369</v>
      </c>
      <c r="BV174" s="521">
        <f t="shared" ref="BV174:CF174" si="509">SUM(BV168:BV173)</f>
        <v>81402</v>
      </c>
      <c r="BW174" s="521">
        <f t="shared" si="509"/>
        <v>75935</v>
      </c>
      <c r="BX174" s="572">
        <f t="shared" si="509"/>
        <v>16.661399999999997</v>
      </c>
      <c r="BY174" s="572">
        <f t="shared" si="509"/>
        <v>13.3081</v>
      </c>
      <c r="BZ174" s="403">
        <f t="shared" si="509"/>
        <v>3.3532999999999995</v>
      </c>
      <c r="CA174" s="833">
        <f t="shared" si="509"/>
        <v>0</v>
      </c>
      <c r="CB174" s="834">
        <f t="shared" si="509"/>
        <v>0</v>
      </c>
      <c r="CC174" s="834">
        <f t="shared" si="509"/>
        <v>0</v>
      </c>
      <c r="CD174" s="834">
        <f t="shared" si="509"/>
        <v>0</v>
      </c>
      <c r="CE174" s="834">
        <f t="shared" si="509"/>
        <v>0</v>
      </c>
      <c r="CF174" s="829">
        <f t="shared" si="509"/>
        <v>0</v>
      </c>
    </row>
    <row r="175" spans="1:84" s="222" customFormat="1" ht="12.75" customHeight="1" x14ac:dyDescent="0.2">
      <c r="A175" s="224">
        <v>36</v>
      </c>
      <c r="B175" s="225">
        <v>3433</v>
      </c>
      <c r="C175" s="225">
        <v>600078043</v>
      </c>
      <c r="D175" s="225">
        <v>70695130</v>
      </c>
      <c r="E175" s="226" t="s">
        <v>79</v>
      </c>
      <c r="F175" s="225">
        <v>3111</v>
      </c>
      <c r="G175" s="226" t="s">
        <v>291</v>
      </c>
      <c r="H175" s="227" t="s">
        <v>271</v>
      </c>
      <c r="I175" s="423">
        <f t="shared" ref="I175:I176" si="510">J175+P175+Q175+R175</f>
        <v>3513505</v>
      </c>
      <c r="J175" s="418">
        <f>K175+L175</f>
        <v>2598139</v>
      </c>
      <c r="K175" s="418">
        <v>2363019</v>
      </c>
      <c r="L175" s="418">
        <v>235120</v>
      </c>
      <c r="M175" s="418">
        <f>N175+O175</f>
        <v>0</v>
      </c>
      <c r="N175" s="418"/>
      <c r="O175" s="418"/>
      <c r="P175" s="68">
        <f t="shared" ref="P175:P176" si="511">ROUND(J175*33.8%,0)</f>
        <v>878171</v>
      </c>
      <c r="Q175" s="68">
        <f t="shared" ref="Q175:Q176" si="512">ROUND(J175*1%,0)</f>
        <v>25981</v>
      </c>
      <c r="R175" s="418">
        <v>11214</v>
      </c>
      <c r="S175" s="419">
        <f>T175+U175</f>
        <v>4.8001000000000005</v>
      </c>
      <c r="T175" s="420">
        <v>4</v>
      </c>
      <c r="U175" s="527">
        <v>0.80010000000000003</v>
      </c>
      <c r="V175" s="427">
        <f>AI175*-1</f>
        <v>0</v>
      </c>
      <c r="W175" s="421">
        <f>AJ175*-1</f>
        <v>0</v>
      </c>
      <c r="X175" s="421">
        <v>0</v>
      </c>
      <c r="Y175" s="421">
        <v>0</v>
      </c>
      <c r="Z175" s="421">
        <v>0</v>
      </c>
      <c r="AA175" s="421">
        <v>0</v>
      </c>
      <c r="AB175" s="421">
        <v>0</v>
      </c>
      <c r="AC175" s="421">
        <v>0</v>
      </c>
      <c r="AD175" s="421">
        <v>0</v>
      </c>
      <c r="AE175" s="421">
        <v>0</v>
      </c>
      <c r="AF175" s="421">
        <f>V175+X175+Y175+AA175+AB175+AD175</f>
        <v>0</v>
      </c>
      <c r="AG175" s="421">
        <f>W175+Z175+AC175+AE175</f>
        <v>0</v>
      </c>
      <c r="AH175" s="421">
        <f>SUM(AF175:AG175)</f>
        <v>0</v>
      </c>
      <c r="AI175" s="421">
        <v>0</v>
      </c>
      <c r="AJ175" s="421">
        <v>0</v>
      </c>
      <c r="AK175" s="421">
        <v>0</v>
      </c>
      <c r="AL175" s="421">
        <v>0</v>
      </c>
      <c r="AM175" s="421">
        <v>0</v>
      </c>
      <c r="AN175" s="421">
        <v>0</v>
      </c>
      <c r="AO175" s="421">
        <f t="shared" ref="AO175:AO176" si="513">AI175+AK175+AL175+AM175</f>
        <v>0</v>
      </c>
      <c r="AP175" s="421">
        <f>AJ175+AN175</f>
        <v>0</v>
      </c>
      <c r="AQ175" s="421">
        <f>SUM(AO175:AP175)</f>
        <v>0</v>
      </c>
      <c r="AR175" s="421">
        <f>AF175+AO175</f>
        <v>0</v>
      </c>
      <c r="AS175" s="421">
        <f>AG175+AP175</f>
        <v>0</v>
      </c>
      <c r="AT175" s="421">
        <f>SUM(AR175:AS175)</f>
        <v>0</v>
      </c>
      <c r="AU175" s="68">
        <f t="shared" ref="AU175:AU176" si="514">ROUND((AH175+AI175+AJ175+AK175+AL175)*33.8%,0)</f>
        <v>0</v>
      </c>
      <c r="AV175" s="68">
        <f>ROUND(AH175*1%,0)</f>
        <v>0</v>
      </c>
      <c r="AW175" s="421">
        <v>0</v>
      </c>
      <c r="AX175" s="421">
        <v>0</v>
      </c>
      <c r="AY175" s="421">
        <f>AW175+AX175</f>
        <v>0</v>
      </c>
      <c r="AZ175" s="421">
        <f>AT175+AU175+AV175+AY175</f>
        <v>0</v>
      </c>
      <c r="BA175" s="422">
        <v>0</v>
      </c>
      <c r="BB175" s="422">
        <v>0</v>
      </c>
      <c r="BC175" s="422">
        <v>0</v>
      </c>
      <c r="BD175" s="422">
        <v>0</v>
      </c>
      <c r="BE175" s="422">
        <v>0</v>
      </c>
      <c r="BF175" s="422">
        <v>0</v>
      </c>
      <c r="BG175" s="422">
        <v>0</v>
      </c>
      <c r="BH175" s="422">
        <v>0</v>
      </c>
      <c r="BI175" s="422">
        <v>0</v>
      </c>
      <c r="BJ175" s="422">
        <v>0</v>
      </c>
      <c r="BK175" s="422">
        <f>BA175+BC175+BD175+BF175+BH175+BI175</f>
        <v>0</v>
      </c>
      <c r="BL175" s="422">
        <f>BB175+BE175+BG175+BJ175</f>
        <v>0</v>
      </c>
      <c r="BM175" s="611">
        <f>SUM(BK175:BL175)</f>
        <v>0</v>
      </c>
      <c r="BN175" s="428">
        <f>I175+AZ175</f>
        <v>3513505</v>
      </c>
      <c r="BO175" s="421">
        <f>J175+AH175</f>
        <v>2598139</v>
      </c>
      <c r="BP175" s="421">
        <f>K175+AF175</f>
        <v>2363019</v>
      </c>
      <c r="BQ175" s="421">
        <f>L175+AG175</f>
        <v>235120</v>
      </c>
      <c r="BR175" s="421">
        <f>M175+AQ175</f>
        <v>0</v>
      </c>
      <c r="BS175" s="421">
        <f>N175+AO175</f>
        <v>0</v>
      </c>
      <c r="BT175" s="421">
        <f>O175+AP175</f>
        <v>0</v>
      </c>
      <c r="BU175" s="421">
        <f>P175+AU175</f>
        <v>878171</v>
      </c>
      <c r="BV175" s="421">
        <f>Q175+AV175</f>
        <v>25981</v>
      </c>
      <c r="BW175" s="421">
        <f>R175+AY175</f>
        <v>11214</v>
      </c>
      <c r="BX175" s="422">
        <f>S175+BM175</f>
        <v>4.8001000000000005</v>
      </c>
      <c r="BY175" s="422">
        <f>T175+BK175</f>
        <v>4</v>
      </c>
      <c r="BZ175" s="611">
        <f>U175+BL175</f>
        <v>0.80010000000000003</v>
      </c>
      <c r="CA175" s="423"/>
      <c r="CB175" s="418"/>
      <c r="CC175" s="418"/>
      <c r="CD175" s="418"/>
      <c r="CE175" s="418"/>
      <c r="CF175" s="527"/>
    </row>
    <row r="176" spans="1:84" s="222" customFormat="1" ht="12.75" customHeight="1" x14ac:dyDescent="0.2">
      <c r="A176" s="224">
        <v>36</v>
      </c>
      <c r="B176" s="225">
        <v>3433</v>
      </c>
      <c r="C176" s="225">
        <v>600078043</v>
      </c>
      <c r="D176" s="225">
        <v>70695130</v>
      </c>
      <c r="E176" s="226" t="s">
        <v>79</v>
      </c>
      <c r="F176" s="225">
        <v>3141</v>
      </c>
      <c r="G176" s="226" t="s">
        <v>295</v>
      </c>
      <c r="H176" s="227" t="s">
        <v>272</v>
      </c>
      <c r="I176" s="423">
        <f t="shared" si="510"/>
        <v>412027</v>
      </c>
      <c r="J176" s="418">
        <f>K176+L176</f>
        <v>304567</v>
      </c>
      <c r="K176" s="418">
        <v>0</v>
      </c>
      <c r="L176" s="418">
        <v>304567</v>
      </c>
      <c r="M176" s="418">
        <f>N176+O176</f>
        <v>0</v>
      </c>
      <c r="N176" s="418"/>
      <c r="O176" s="418"/>
      <c r="P176" s="68">
        <f t="shared" si="511"/>
        <v>102944</v>
      </c>
      <c r="Q176" s="68">
        <f t="shared" si="512"/>
        <v>3046</v>
      </c>
      <c r="R176" s="418">
        <v>1470</v>
      </c>
      <c r="S176" s="419">
        <f>T176+U176</f>
        <v>0.91</v>
      </c>
      <c r="T176" s="420">
        <v>0</v>
      </c>
      <c r="U176" s="527">
        <v>0.91</v>
      </c>
      <c r="V176" s="427">
        <f>AI176*-1</f>
        <v>0</v>
      </c>
      <c r="W176" s="421">
        <f>AJ176*-1</f>
        <v>0</v>
      </c>
      <c r="X176" s="421">
        <v>0</v>
      </c>
      <c r="Y176" s="421">
        <v>0</v>
      </c>
      <c r="Z176" s="421">
        <v>0</v>
      </c>
      <c r="AA176" s="421">
        <v>0</v>
      </c>
      <c r="AB176" s="421">
        <v>0</v>
      </c>
      <c r="AC176" s="421">
        <v>0</v>
      </c>
      <c r="AD176" s="421">
        <v>0</v>
      </c>
      <c r="AE176" s="421">
        <v>0</v>
      </c>
      <c r="AF176" s="421">
        <f>V176+X176+Y176+AA176+AB176+AD176</f>
        <v>0</v>
      </c>
      <c r="AG176" s="421">
        <f>W176+Z176+AC176+AE176</f>
        <v>0</v>
      </c>
      <c r="AH176" s="421">
        <f>SUM(AF176:AG176)</f>
        <v>0</v>
      </c>
      <c r="AI176" s="421">
        <v>0</v>
      </c>
      <c r="AJ176" s="421">
        <v>0</v>
      </c>
      <c r="AK176" s="421">
        <v>0</v>
      </c>
      <c r="AL176" s="421">
        <v>0</v>
      </c>
      <c r="AM176" s="421">
        <v>0</v>
      </c>
      <c r="AN176" s="421">
        <v>0</v>
      </c>
      <c r="AO176" s="421">
        <f t="shared" si="513"/>
        <v>0</v>
      </c>
      <c r="AP176" s="421">
        <f>AJ176+AN176</f>
        <v>0</v>
      </c>
      <c r="AQ176" s="421">
        <f>SUM(AO176:AP176)</f>
        <v>0</v>
      </c>
      <c r="AR176" s="421">
        <f>AF176+AO176</f>
        <v>0</v>
      </c>
      <c r="AS176" s="421">
        <f>AG176+AP176</f>
        <v>0</v>
      </c>
      <c r="AT176" s="421">
        <f>SUM(AR176:AS176)</f>
        <v>0</v>
      </c>
      <c r="AU176" s="68">
        <f t="shared" si="514"/>
        <v>0</v>
      </c>
      <c r="AV176" s="68">
        <f>ROUND(AH176*1%,0)</f>
        <v>0</v>
      </c>
      <c r="AW176" s="421">
        <v>0</v>
      </c>
      <c r="AX176" s="421">
        <v>0</v>
      </c>
      <c r="AY176" s="421">
        <f>AW176+AX176</f>
        <v>0</v>
      </c>
      <c r="AZ176" s="421">
        <f>AT176+AU176+AV176+AY176</f>
        <v>0</v>
      </c>
      <c r="BA176" s="422">
        <v>0</v>
      </c>
      <c r="BB176" s="422">
        <v>0</v>
      </c>
      <c r="BC176" s="422">
        <v>0</v>
      </c>
      <c r="BD176" s="422">
        <v>0</v>
      </c>
      <c r="BE176" s="422">
        <v>0</v>
      </c>
      <c r="BF176" s="422">
        <v>0</v>
      </c>
      <c r="BG176" s="422">
        <v>0</v>
      </c>
      <c r="BH176" s="422">
        <v>0</v>
      </c>
      <c r="BI176" s="422">
        <v>0</v>
      </c>
      <c r="BJ176" s="422">
        <v>0</v>
      </c>
      <c r="BK176" s="422">
        <f>BA176+BC176+BD176+BF176+BH176+BI176</f>
        <v>0</v>
      </c>
      <c r="BL176" s="422">
        <f>BB176+BE176+BG176+BJ176</f>
        <v>0</v>
      </c>
      <c r="BM176" s="611">
        <f>SUM(BK176:BL176)</f>
        <v>0</v>
      </c>
      <c r="BN176" s="428">
        <f>I176+AZ176</f>
        <v>412027</v>
      </c>
      <c r="BO176" s="421">
        <f>J176+AH176</f>
        <v>304567</v>
      </c>
      <c r="BP176" s="421">
        <f>K176+AF176</f>
        <v>0</v>
      </c>
      <c r="BQ176" s="421">
        <f>L176+AG176</f>
        <v>304567</v>
      </c>
      <c r="BR176" s="421">
        <f>M176+AQ176</f>
        <v>0</v>
      </c>
      <c r="BS176" s="421">
        <f>N176+AO176</f>
        <v>0</v>
      </c>
      <c r="BT176" s="421">
        <f>O176+AP176</f>
        <v>0</v>
      </c>
      <c r="BU176" s="421">
        <f>P176+AU176</f>
        <v>102944</v>
      </c>
      <c r="BV176" s="421">
        <f>Q176+AV176</f>
        <v>3046</v>
      </c>
      <c r="BW176" s="421">
        <f>R176+AY176</f>
        <v>1470</v>
      </c>
      <c r="BX176" s="422">
        <f>S176+BM176</f>
        <v>0.91</v>
      </c>
      <c r="BY176" s="422">
        <f>T176+BK176</f>
        <v>0</v>
      </c>
      <c r="BZ176" s="611">
        <f>U176+BL176</f>
        <v>0.91</v>
      </c>
      <c r="CA176" s="423"/>
      <c r="CB176" s="418"/>
      <c r="CC176" s="418"/>
      <c r="CD176" s="418"/>
      <c r="CE176" s="418"/>
      <c r="CF176" s="527"/>
    </row>
    <row r="177" spans="1:84" s="222" customFormat="1" ht="12.75" customHeight="1" x14ac:dyDescent="0.2">
      <c r="A177" s="153">
        <v>36</v>
      </c>
      <c r="B177" s="14">
        <v>3433</v>
      </c>
      <c r="C177" s="152">
        <v>600078043</v>
      </c>
      <c r="D177" s="152">
        <v>70695130</v>
      </c>
      <c r="E177" s="223" t="s">
        <v>80</v>
      </c>
      <c r="F177" s="14"/>
      <c r="G177" s="223"/>
      <c r="H177" s="592"/>
      <c r="I177" s="522">
        <f t="shared" ref="I177:BU177" si="515">SUM(I175:I176)</f>
        <v>3925532</v>
      </c>
      <c r="J177" s="521">
        <f t="shared" si="515"/>
        <v>2902706</v>
      </c>
      <c r="K177" s="521">
        <f t="shared" si="515"/>
        <v>2363019</v>
      </c>
      <c r="L177" s="521">
        <f t="shared" si="515"/>
        <v>539687</v>
      </c>
      <c r="M177" s="521">
        <f t="shared" si="515"/>
        <v>0</v>
      </c>
      <c r="N177" s="521">
        <f t="shared" si="515"/>
        <v>0</v>
      </c>
      <c r="O177" s="521">
        <f t="shared" si="515"/>
        <v>0</v>
      </c>
      <c r="P177" s="521">
        <f t="shared" si="515"/>
        <v>981115</v>
      </c>
      <c r="Q177" s="521">
        <f t="shared" si="515"/>
        <v>29027</v>
      </c>
      <c r="R177" s="521">
        <f t="shared" si="515"/>
        <v>12684</v>
      </c>
      <c r="S177" s="572">
        <f t="shared" si="515"/>
        <v>5.7101000000000006</v>
      </c>
      <c r="T177" s="572">
        <f t="shared" si="515"/>
        <v>4</v>
      </c>
      <c r="U177" s="448">
        <f t="shared" si="515"/>
        <v>1.7101000000000002</v>
      </c>
      <c r="V177" s="614">
        <f t="shared" si="515"/>
        <v>0</v>
      </c>
      <c r="W177" s="521">
        <f t="shared" si="515"/>
        <v>0</v>
      </c>
      <c r="X177" s="521">
        <f t="shared" si="515"/>
        <v>0</v>
      </c>
      <c r="Y177" s="521">
        <f t="shared" si="515"/>
        <v>0</v>
      </c>
      <c r="Z177" s="521">
        <f t="shared" si="515"/>
        <v>0</v>
      </c>
      <c r="AA177" s="521">
        <f t="shared" si="515"/>
        <v>0</v>
      </c>
      <c r="AB177" s="521">
        <f t="shared" si="515"/>
        <v>0</v>
      </c>
      <c r="AC177" s="521">
        <f t="shared" si="515"/>
        <v>0</v>
      </c>
      <c r="AD177" s="521">
        <f t="shared" si="515"/>
        <v>0</v>
      </c>
      <c r="AE177" s="521">
        <f t="shared" si="515"/>
        <v>0</v>
      </c>
      <c r="AF177" s="521">
        <f t="shared" si="515"/>
        <v>0</v>
      </c>
      <c r="AG177" s="521">
        <f t="shared" si="515"/>
        <v>0</v>
      </c>
      <c r="AH177" s="521">
        <f t="shared" si="515"/>
        <v>0</v>
      </c>
      <c r="AI177" s="521">
        <f t="shared" si="515"/>
        <v>0</v>
      </c>
      <c r="AJ177" s="521">
        <f t="shared" si="515"/>
        <v>0</v>
      </c>
      <c r="AK177" s="521">
        <f t="shared" ref="AK177" si="516">SUM(AK175:AK176)</f>
        <v>0</v>
      </c>
      <c r="AL177" s="521">
        <f t="shared" si="515"/>
        <v>0</v>
      </c>
      <c r="AM177" s="521">
        <f t="shared" si="515"/>
        <v>0</v>
      </c>
      <c r="AN177" s="521">
        <f t="shared" si="515"/>
        <v>0</v>
      </c>
      <c r="AO177" s="521">
        <f t="shared" si="515"/>
        <v>0</v>
      </c>
      <c r="AP177" s="521">
        <f t="shared" si="515"/>
        <v>0</v>
      </c>
      <c r="AQ177" s="521">
        <f t="shared" si="515"/>
        <v>0</v>
      </c>
      <c r="AR177" s="521">
        <f t="shared" si="515"/>
        <v>0</v>
      </c>
      <c r="AS177" s="521">
        <f t="shared" si="515"/>
        <v>0</v>
      </c>
      <c r="AT177" s="521">
        <f t="shared" si="515"/>
        <v>0</v>
      </c>
      <c r="AU177" s="521">
        <f t="shared" si="515"/>
        <v>0</v>
      </c>
      <c r="AV177" s="521">
        <f t="shared" si="515"/>
        <v>0</v>
      </c>
      <c r="AW177" s="521">
        <f t="shared" si="515"/>
        <v>0</v>
      </c>
      <c r="AX177" s="521">
        <f t="shared" si="515"/>
        <v>0</v>
      </c>
      <c r="AY177" s="521">
        <f t="shared" si="515"/>
        <v>0</v>
      </c>
      <c r="AZ177" s="521">
        <f t="shared" si="515"/>
        <v>0</v>
      </c>
      <c r="BA177" s="572">
        <f t="shared" si="515"/>
        <v>0</v>
      </c>
      <c r="BB177" s="572">
        <f t="shared" si="515"/>
        <v>0</v>
      </c>
      <c r="BC177" s="572">
        <f t="shared" si="515"/>
        <v>0</v>
      </c>
      <c r="BD177" s="572">
        <f t="shared" si="515"/>
        <v>0</v>
      </c>
      <c r="BE177" s="572">
        <f t="shared" si="515"/>
        <v>0</v>
      </c>
      <c r="BF177" s="572">
        <f t="shared" si="515"/>
        <v>0</v>
      </c>
      <c r="BG177" s="572">
        <f t="shared" si="515"/>
        <v>0</v>
      </c>
      <c r="BH177" s="572">
        <f t="shared" si="515"/>
        <v>0</v>
      </c>
      <c r="BI177" s="572">
        <f t="shared" si="515"/>
        <v>0</v>
      </c>
      <c r="BJ177" s="572">
        <f t="shared" si="515"/>
        <v>0</v>
      </c>
      <c r="BK177" s="572">
        <f t="shared" si="515"/>
        <v>0</v>
      </c>
      <c r="BL177" s="572">
        <f t="shared" si="515"/>
        <v>0</v>
      </c>
      <c r="BM177" s="403">
        <f t="shared" si="515"/>
        <v>0</v>
      </c>
      <c r="BN177" s="522">
        <f t="shared" si="515"/>
        <v>3925532</v>
      </c>
      <c r="BO177" s="521">
        <f t="shared" si="515"/>
        <v>2902706</v>
      </c>
      <c r="BP177" s="521">
        <f t="shared" si="515"/>
        <v>2363019</v>
      </c>
      <c r="BQ177" s="521">
        <f t="shared" si="515"/>
        <v>539687</v>
      </c>
      <c r="BR177" s="521">
        <f t="shared" si="515"/>
        <v>0</v>
      </c>
      <c r="BS177" s="521">
        <f t="shared" si="515"/>
        <v>0</v>
      </c>
      <c r="BT177" s="521">
        <f t="shared" si="515"/>
        <v>0</v>
      </c>
      <c r="BU177" s="521">
        <f t="shared" si="515"/>
        <v>981115</v>
      </c>
      <c r="BV177" s="521">
        <f t="shared" ref="BV177:CF177" si="517">SUM(BV175:BV176)</f>
        <v>29027</v>
      </c>
      <c r="BW177" s="521">
        <f t="shared" si="517"/>
        <v>12684</v>
      </c>
      <c r="BX177" s="572">
        <f t="shared" si="517"/>
        <v>5.7101000000000006</v>
      </c>
      <c r="BY177" s="572">
        <f t="shared" si="517"/>
        <v>4</v>
      </c>
      <c r="BZ177" s="403">
        <f t="shared" si="517"/>
        <v>1.7101000000000002</v>
      </c>
      <c r="CA177" s="833">
        <f t="shared" si="517"/>
        <v>0</v>
      </c>
      <c r="CB177" s="834">
        <f t="shared" si="517"/>
        <v>0</v>
      </c>
      <c r="CC177" s="834">
        <f t="shared" si="517"/>
        <v>0</v>
      </c>
      <c r="CD177" s="834">
        <f t="shared" si="517"/>
        <v>0</v>
      </c>
      <c r="CE177" s="834">
        <f t="shared" si="517"/>
        <v>0</v>
      </c>
      <c r="CF177" s="829">
        <f t="shared" si="517"/>
        <v>0</v>
      </c>
    </row>
    <row r="178" spans="1:84" s="222" customFormat="1" ht="12.75" customHeight="1" x14ac:dyDescent="0.2">
      <c r="A178" s="224">
        <v>37</v>
      </c>
      <c r="B178" s="225">
        <v>3432</v>
      </c>
      <c r="C178" s="225">
        <v>600078329</v>
      </c>
      <c r="D178" s="225">
        <v>70695121</v>
      </c>
      <c r="E178" s="226" t="s">
        <v>81</v>
      </c>
      <c r="F178" s="225">
        <v>3117</v>
      </c>
      <c r="G178" s="226" t="s">
        <v>294</v>
      </c>
      <c r="H178" s="227" t="s">
        <v>271</v>
      </c>
      <c r="I178" s="423">
        <f t="shared" ref="I178:I182" si="518">J178+P178+Q178+R178</f>
        <v>5070460</v>
      </c>
      <c r="J178" s="418">
        <f>K178+L178</f>
        <v>3704591</v>
      </c>
      <c r="K178" s="418">
        <v>3325789</v>
      </c>
      <c r="L178" s="418">
        <v>378802</v>
      </c>
      <c r="M178" s="418">
        <f>N178+O178</f>
        <v>0</v>
      </c>
      <c r="N178" s="418"/>
      <c r="O178" s="418"/>
      <c r="P178" s="68">
        <f t="shared" ref="P178:P182" si="519">ROUND(J178*33.8%,0)</f>
        <v>1252152</v>
      </c>
      <c r="Q178" s="68">
        <f t="shared" ref="Q178:Q182" si="520">ROUND(J178*1%,0)</f>
        <v>37046</v>
      </c>
      <c r="R178" s="418">
        <v>76671</v>
      </c>
      <c r="S178" s="419">
        <f>T178+U178</f>
        <v>6.3671000000000006</v>
      </c>
      <c r="T178" s="420">
        <v>5.3939000000000004</v>
      </c>
      <c r="U178" s="527">
        <v>0.97320000000000007</v>
      </c>
      <c r="V178" s="427">
        <f t="shared" ref="V178:W182" si="521">AI178*-1</f>
        <v>0</v>
      </c>
      <c r="W178" s="421">
        <f t="shared" si="521"/>
        <v>0</v>
      </c>
      <c r="X178" s="421">
        <v>0</v>
      </c>
      <c r="Y178" s="421">
        <v>0</v>
      </c>
      <c r="Z178" s="421">
        <v>0</v>
      </c>
      <c r="AA178" s="421">
        <v>0</v>
      </c>
      <c r="AB178" s="421">
        <v>0</v>
      </c>
      <c r="AC178" s="421">
        <v>0</v>
      </c>
      <c r="AD178" s="421">
        <v>0</v>
      </c>
      <c r="AE178" s="421">
        <v>0</v>
      </c>
      <c r="AF178" s="421">
        <f>V178+X178+Y178+AA178+AB178+AD178</f>
        <v>0</v>
      </c>
      <c r="AG178" s="421">
        <f>W178+Z178+AC178+AE178</f>
        <v>0</v>
      </c>
      <c r="AH178" s="421">
        <f>SUM(AF178:AG178)</f>
        <v>0</v>
      </c>
      <c r="AI178" s="421">
        <v>0</v>
      </c>
      <c r="AJ178" s="421">
        <v>0</v>
      </c>
      <c r="AK178" s="421">
        <v>0</v>
      </c>
      <c r="AL178" s="421">
        <v>0</v>
      </c>
      <c r="AM178" s="421">
        <v>0</v>
      </c>
      <c r="AN178" s="421">
        <v>0</v>
      </c>
      <c r="AO178" s="421">
        <f t="shared" ref="AO178:AO182" si="522">AI178+AK178+AL178+AM178</f>
        <v>0</v>
      </c>
      <c r="AP178" s="421">
        <f>AJ178+AN178</f>
        <v>0</v>
      </c>
      <c r="AQ178" s="421">
        <f>SUM(AO178:AP178)</f>
        <v>0</v>
      </c>
      <c r="AR178" s="421">
        <f t="shared" ref="AR178:AS182" si="523">AF178+AO178</f>
        <v>0</v>
      </c>
      <c r="AS178" s="421">
        <f t="shared" si="523"/>
        <v>0</v>
      </c>
      <c r="AT178" s="421">
        <f>SUM(AR178:AS178)</f>
        <v>0</v>
      </c>
      <c r="AU178" s="68">
        <f t="shared" ref="AU178:AU182" si="524">ROUND((AH178+AI178+AJ178+AK178+AL178)*33.8%,0)</f>
        <v>0</v>
      </c>
      <c r="AV178" s="68">
        <f>ROUND(AH178*1%,0)</f>
        <v>0</v>
      </c>
      <c r="AW178" s="421">
        <v>0</v>
      </c>
      <c r="AX178" s="421">
        <v>0</v>
      </c>
      <c r="AY178" s="421">
        <f>AW178+AX178</f>
        <v>0</v>
      </c>
      <c r="AZ178" s="421">
        <f>AT178+AU178+AV178+AY178</f>
        <v>0</v>
      </c>
      <c r="BA178" s="422">
        <v>0</v>
      </c>
      <c r="BB178" s="422">
        <v>0</v>
      </c>
      <c r="BC178" s="422">
        <v>0</v>
      </c>
      <c r="BD178" s="422">
        <v>0</v>
      </c>
      <c r="BE178" s="422">
        <v>0</v>
      </c>
      <c r="BF178" s="422">
        <v>0</v>
      </c>
      <c r="BG178" s="422">
        <v>0</v>
      </c>
      <c r="BH178" s="422">
        <v>0</v>
      </c>
      <c r="BI178" s="422">
        <v>0</v>
      </c>
      <c r="BJ178" s="422">
        <v>0</v>
      </c>
      <c r="BK178" s="422">
        <f>BA178+BC178+BD178+BF178+BH178+BI178</f>
        <v>0</v>
      </c>
      <c r="BL178" s="422">
        <f>BB178+BE178+BG178+BJ178</f>
        <v>0</v>
      </c>
      <c r="BM178" s="611">
        <f>SUM(BK178:BL178)</f>
        <v>0</v>
      </c>
      <c r="BN178" s="428">
        <f>I178+AZ178</f>
        <v>5070460</v>
      </c>
      <c r="BO178" s="421">
        <f>J178+AH178</f>
        <v>3704591</v>
      </c>
      <c r="BP178" s="421">
        <f t="shared" ref="BP178:BQ182" si="525">K178+AF178</f>
        <v>3325789</v>
      </c>
      <c r="BQ178" s="421">
        <f t="shared" si="525"/>
        <v>378802</v>
      </c>
      <c r="BR178" s="421">
        <f>M178+AQ178</f>
        <v>0</v>
      </c>
      <c r="BS178" s="421">
        <f t="shared" ref="BS178:BT182" si="526">N178+AO178</f>
        <v>0</v>
      </c>
      <c r="BT178" s="421">
        <f t="shared" si="526"/>
        <v>0</v>
      </c>
      <c r="BU178" s="421">
        <f t="shared" ref="BU178:BV182" si="527">P178+AU178</f>
        <v>1252152</v>
      </c>
      <c r="BV178" s="421">
        <f t="shared" si="527"/>
        <v>37046</v>
      </c>
      <c r="BW178" s="421">
        <f>R178+AY178</f>
        <v>76671</v>
      </c>
      <c r="BX178" s="422">
        <f>S178+BM178</f>
        <v>6.3671000000000006</v>
      </c>
      <c r="BY178" s="422">
        <f t="shared" ref="BY178:BZ182" si="528">T178+BK178</f>
        <v>5.3939000000000004</v>
      </c>
      <c r="BZ178" s="611">
        <f t="shared" si="528"/>
        <v>0.97320000000000007</v>
      </c>
      <c r="CA178" s="423"/>
      <c r="CB178" s="418"/>
      <c r="CC178" s="418"/>
      <c r="CD178" s="418"/>
      <c r="CE178" s="418"/>
      <c r="CF178" s="527"/>
    </row>
    <row r="179" spans="1:84" s="222" customFormat="1" x14ac:dyDescent="0.2">
      <c r="A179" s="224">
        <v>37</v>
      </c>
      <c r="B179" s="225">
        <v>3432</v>
      </c>
      <c r="C179" s="225">
        <v>600078329</v>
      </c>
      <c r="D179" s="225">
        <v>70695121</v>
      </c>
      <c r="E179" s="226" t="s">
        <v>81</v>
      </c>
      <c r="F179" s="225">
        <v>3117</v>
      </c>
      <c r="G179" s="226" t="s">
        <v>292</v>
      </c>
      <c r="H179" s="227" t="s">
        <v>272</v>
      </c>
      <c r="I179" s="423">
        <f t="shared" si="518"/>
        <v>0</v>
      </c>
      <c r="J179" s="418">
        <f>K179+L179</f>
        <v>0</v>
      </c>
      <c r="K179" s="418">
        <v>0</v>
      </c>
      <c r="L179" s="418">
        <v>0</v>
      </c>
      <c r="M179" s="418">
        <f>N179+O179</f>
        <v>0</v>
      </c>
      <c r="N179" s="418"/>
      <c r="O179" s="418"/>
      <c r="P179" s="68">
        <f t="shared" si="519"/>
        <v>0</v>
      </c>
      <c r="Q179" s="68">
        <f t="shared" si="520"/>
        <v>0</v>
      </c>
      <c r="R179" s="418">
        <v>0</v>
      </c>
      <c r="S179" s="419">
        <f>T179+U179</f>
        <v>0</v>
      </c>
      <c r="T179" s="420">
        <v>0</v>
      </c>
      <c r="U179" s="527">
        <v>0</v>
      </c>
      <c r="V179" s="427">
        <f t="shared" si="521"/>
        <v>0</v>
      </c>
      <c r="W179" s="421">
        <f t="shared" si="521"/>
        <v>0</v>
      </c>
      <c r="X179" s="421">
        <v>700407</v>
      </c>
      <c r="Y179" s="421">
        <v>0</v>
      </c>
      <c r="Z179" s="421">
        <v>0</v>
      </c>
      <c r="AA179" s="421">
        <v>0</v>
      </c>
      <c r="AB179" s="421">
        <v>0</v>
      </c>
      <c r="AC179" s="421">
        <v>0</v>
      </c>
      <c r="AD179" s="421">
        <v>0</v>
      </c>
      <c r="AE179" s="421">
        <v>0</v>
      </c>
      <c r="AF179" s="421">
        <f>V179+X179+Y179+AA179+AB179+AD179</f>
        <v>700407</v>
      </c>
      <c r="AG179" s="421">
        <f>W179+Z179+AC179+AE179</f>
        <v>0</v>
      </c>
      <c r="AH179" s="421">
        <f>SUM(AF179:AG179)</f>
        <v>700407</v>
      </c>
      <c r="AI179" s="421">
        <v>0</v>
      </c>
      <c r="AJ179" s="421">
        <v>0</v>
      </c>
      <c r="AK179" s="421">
        <v>0</v>
      </c>
      <c r="AL179" s="421">
        <v>0</v>
      </c>
      <c r="AM179" s="421">
        <v>0</v>
      </c>
      <c r="AN179" s="421">
        <v>0</v>
      </c>
      <c r="AO179" s="421">
        <f t="shared" si="522"/>
        <v>0</v>
      </c>
      <c r="AP179" s="421">
        <f>AJ179+AN179</f>
        <v>0</v>
      </c>
      <c r="AQ179" s="421">
        <f>SUM(AO179:AP179)</f>
        <v>0</v>
      </c>
      <c r="AR179" s="421">
        <f t="shared" si="523"/>
        <v>700407</v>
      </c>
      <c r="AS179" s="421">
        <f t="shared" si="523"/>
        <v>0</v>
      </c>
      <c r="AT179" s="421">
        <f>SUM(AR179:AS179)</f>
        <v>700407</v>
      </c>
      <c r="AU179" s="68">
        <f t="shared" si="524"/>
        <v>236738</v>
      </c>
      <c r="AV179" s="68">
        <f>ROUND(AH179*1%,0)</f>
        <v>7004</v>
      </c>
      <c r="AW179" s="421">
        <v>0</v>
      </c>
      <c r="AX179" s="421">
        <v>0</v>
      </c>
      <c r="AY179" s="421">
        <f>AW179+AX179</f>
        <v>0</v>
      </c>
      <c r="AZ179" s="421">
        <f>AT179+AU179+AV179+AY179</f>
        <v>944149</v>
      </c>
      <c r="BA179" s="422">
        <v>0</v>
      </c>
      <c r="BB179" s="422">
        <v>0</v>
      </c>
      <c r="BC179" s="422">
        <v>1.89</v>
      </c>
      <c r="BD179" s="422">
        <v>0</v>
      </c>
      <c r="BE179" s="422">
        <v>0</v>
      </c>
      <c r="BF179" s="422">
        <v>0</v>
      </c>
      <c r="BG179" s="422">
        <v>0</v>
      </c>
      <c r="BH179" s="422">
        <v>0</v>
      </c>
      <c r="BI179" s="422">
        <v>0</v>
      </c>
      <c r="BJ179" s="422">
        <v>0</v>
      </c>
      <c r="BK179" s="422">
        <f>BA179+BC179+BD179+BF179+BH179+BI179</f>
        <v>1.89</v>
      </c>
      <c r="BL179" s="422">
        <f>BB179+BE179+BG179+BJ179</f>
        <v>0</v>
      </c>
      <c r="BM179" s="611">
        <f>SUM(BK179:BL179)</f>
        <v>1.89</v>
      </c>
      <c r="BN179" s="428">
        <f>I179+AZ179</f>
        <v>944149</v>
      </c>
      <c r="BO179" s="421">
        <f>J179+AH179</f>
        <v>700407</v>
      </c>
      <c r="BP179" s="421">
        <f t="shared" si="525"/>
        <v>700407</v>
      </c>
      <c r="BQ179" s="421">
        <f t="shared" si="525"/>
        <v>0</v>
      </c>
      <c r="BR179" s="421">
        <f>M179+AQ179</f>
        <v>0</v>
      </c>
      <c r="BS179" s="421">
        <f t="shared" si="526"/>
        <v>0</v>
      </c>
      <c r="BT179" s="421">
        <f t="shared" si="526"/>
        <v>0</v>
      </c>
      <c r="BU179" s="421">
        <f t="shared" si="527"/>
        <v>236738</v>
      </c>
      <c r="BV179" s="421">
        <f t="shared" si="527"/>
        <v>7004</v>
      </c>
      <c r="BW179" s="421">
        <f>R179+AY179</f>
        <v>0</v>
      </c>
      <c r="BX179" s="422">
        <f>S179+BM179</f>
        <v>1.89</v>
      </c>
      <c r="BY179" s="422">
        <f t="shared" si="528"/>
        <v>1.89</v>
      </c>
      <c r="BZ179" s="611">
        <f t="shared" si="528"/>
        <v>0</v>
      </c>
      <c r="CA179" s="423"/>
      <c r="CB179" s="418"/>
      <c r="CC179" s="418"/>
      <c r="CD179" s="418"/>
      <c r="CE179" s="418"/>
      <c r="CF179" s="527"/>
    </row>
    <row r="180" spans="1:84" s="222" customFormat="1" ht="12.75" customHeight="1" x14ac:dyDescent="0.2">
      <c r="A180" s="224">
        <v>37</v>
      </c>
      <c r="B180" s="225">
        <v>3432</v>
      </c>
      <c r="C180" s="225">
        <v>600078329</v>
      </c>
      <c r="D180" s="225">
        <v>70695121</v>
      </c>
      <c r="E180" s="226" t="s">
        <v>81</v>
      </c>
      <c r="F180" s="225">
        <v>3141</v>
      </c>
      <c r="G180" s="226" t="s">
        <v>295</v>
      </c>
      <c r="H180" s="227" t="s">
        <v>272</v>
      </c>
      <c r="I180" s="423">
        <f t="shared" si="518"/>
        <v>421752</v>
      </c>
      <c r="J180" s="418">
        <f>K180+L180</f>
        <v>311237</v>
      </c>
      <c r="K180" s="418">
        <v>0</v>
      </c>
      <c r="L180" s="418">
        <v>311237</v>
      </c>
      <c r="M180" s="418">
        <f>N180+O180</f>
        <v>0</v>
      </c>
      <c r="N180" s="418"/>
      <c r="O180" s="418"/>
      <c r="P180" s="68">
        <f t="shared" si="519"/>
        <v>105198</v>
      </c>
      <c r="Q180" s="68">
        <f t="shared" si="520"/>
        <v>3112</v>
      </c>
      <c r="R180" s="418">
        <v>2205</v>
      </c>
      <c r="S180" s="419">
        <f>T180+U180</f>
        <v>0.93</v>
      </c>
      <c r="T180" s="420">
        <v>0</v>
      </c>
      <c r="U180" s="527">
        <v>0.93</v>
      </c>
      <c r="V180" s="427">
        <f t="shared" si="521"/>
        <v>0</v>
      </c>
      <c r="W180" s="421">
        <f t="shared" si="521"/>
        <v>0</v>
      </c>
      <c r="X180" s="421">
        <v>0</v>
      </c>
      <c r="Y180" s="421">
        <v>0</v>
      </c>
      <c r="Z180" s="421">
        <v>0</v>
      </c>
      <c r="AA180" s="421">
        <v>0</v>
      </c>
      <c r="AB180" s="421">
        <v>0</v>
      </c>
      <c r="AC180" s="421">
        <v>0</v>
      </c>
      <c r="AD180" s="421">
        <v>0</v>
      </c>
      <c r="AE180" s="421">
        <v>0</v>
      </c>
      <c r="AF180" s="421">
        <f>V180+X180+Y180+AA180+AB180+AD180</f>
        <v>0</v>
      </c>
      <c r="AG180" s="421">
        <f>W180+Z180+AC180+AE180</f>
        <v>0</v>
      </c>
      <c r="AH180" s="421">
        <f>SUM(AF180:AG180)</f>
        <v>0</v>
      </c>
      <c r="AI180" s="421">
        <v>0</v>
      </c>
      <c r="AJ180" s="421">
        <v>0</v>
      </c>
      <c r="AK180" s="421">
        <v>0</v>
      </c>
      <c r="AL180" s="421">
        <v>0</v>
      </c>
      <c r="AM180" s="421">
        <v>0</v>
      </c>
      <c r="AN180" s="421">
        <v>0</v>
      </c>
      <c r="AO180" s="421">
        <f t="shared" si="522"/>
        <v>0</v>
      </c>
      <c r="AP180" s="421">
        <f>AJ180+AN180</f>
        <v>0</v>
      </c>
      <c r="AQ180" s="421">
        <f>SUM(AO180:AP180)</f>
        <v>0</v>
      </c>
      <c r="AR180" s="421">
        <f t="shared" si="523"/>
        <v>0</v>
      </c>
      <c r="AS180" s="421">
        <f t="shared" si="523"/>
        <v>0</v>
      </c>
      <c r="AT180" s="421">
        <f>SUM(AR180:AS180)</f>
        <v>0</v>
      </c>
      <c r="AU180" s="68">
        <f t="shared" si="524"/>
        <v>0</v>
      </c>
      <c r="AV180" s="68">
        <f>ROUND(AH180*1%,0)</f>
        <v>0</v>
      </c>
      <c r="AW180" s="421">
        <v>0</v>
      </c>
      <c r="AX180" s="421">
        <v>0</v>
      </c>
      <c r="AY180" s="421">
        <f>AW180+AX180</f>
        <v>0</v>
      </c>
      <c r="AZ180" s="421">
        <f>AT180+AU180+AV180+AY180</f>
        <v>0</v>
      </c>
      <c r="BA180" s="422">
        <v>0</v>
      </c>
      <c r="BB180" s="422">
        <v>0</v>
      </c>
      <c r="BC180" s="422">
        <v>0</v>
      </c>
      <c r="BD180" s="422">
        <v>0</v>
      </c>
      <c r="BE180" s="422">
        <v>0</v>
      </c>
      <c r="BF180" s="422">
        <v>0</v>
      </c>
      <c r="BG180" s="422">
        <v>0</v>
      </c>
      <c r="BH180" s="422">
        <v>0</v>
      </c>
      <c r="BI180" s="422">
        <v>0</v>
      </c>
      <c r="BJ180" s="422">
        <v>0</v>
      </c>
      <c r="BK180" s="422">
        <f>BA180+BC180+BD180+BF180+BH180+BI180</f>
        <v>0</v>
      </c>
      <c r="BL180" s="422">
        <f>BB180+BE180+BG180+BJ180</f>
        <v>0</v>
      </c>
      <c r="BM180" s="611">
        <f>SUM(BK180:BL180)</f>
        <v>0</v>
      </c>
      <c r="BN180" s="428">
        <f>I180+AZ180</f>
        <v>421752</v>
      </c>
      <c r="BO180" s="421">
        <f>J180+AH180</f>
        <v>311237</v>
      </c>
      <c r="BP180" s="421">
        <f t="shared" si="525"/>
        <v>0</v>
      </c>
      <c r="BQ180" s="421">
        <f t="shared" si="525"/>
        <v>311237</v>
      </c>
      <c r="BR180" s="421">
        <f>M180+AQ180</f>
        <v>0</v>
      </c>
      <c r="BS180" s="421">
        <f t="shared" si="526"/>
        <v>0</v>
      </c>
      <c r="BT180" s="421">
        <f t="shared" si="526"/>
        <v>0</v>
      </c>
      <c r="BU180" s="421">
        <f t="shared" si="527"/>
        <v>105198</v>
      </c>
      <c r="BV180" s="421">
        <f t="shared" si="527"/>
        <v>3112</v>
      </c>
      <c r="BW180" s="421">
        <f>R180+AY180</f>
        <v>2205</v>
      </c>
      <c r="BX180" s="422">
        <f>S180+BM180</f>
        <v>0.93</v>
      </c>
      <c r="BY180" s="422">
        <f t="shared" si="528"/>
        <v>0</v>
      </c>
      <c r="BZ180" s="611">
        <f t="shared" si="528"/>
        <v>0.93</v>
      </c>
      <c r="CA180" s="423"/>
      <c r="CB180" s="418"/>
      <c r="CC180" s="418"/>
      <c r="CD180" s="418"/>
      <c r="CE180" s="418"/>
      <c r="CF180" s="527"/>
    </row>
    <row r="181" spans="1:84" s="222" customFormat="1" ht="12.75" customHeight="1" x14ac:dyDescent="0.2">
      <c r="A181" s="224">
        <v>37</v>
      </c>
      <c r="B181" s="225">
        <v>3432</v>
      </c>
      <c r="C181" s="225">
        <v>600078329</v>
      </c>
      <c r="D181" s="225">
        <v>70695121</v>
      </c>
      <c r="E181" s="226" t="s">
        <v>82</v>
      </c>
      <c r="F181" s="225">
        <v>3143</v>
      </c>
      <c r="G181" s="226" t="s">
        <v>596</v>
      </c>
      <c r="H181" s="227" t="s">
        <v>271</v>
      </c>
      <c r="I181" s="423">
        <f t="shared" si="518"/>
        <v>635318</v>
      </c>
      <c r="J181" s="418">
        <f>K181+L181</f>
        <v>471304</v>
      </c>
      <c r="K181" s="418">
        <v>471304</v>
      </c>
      <c r="L181" s="418">
        <v>0</v>
      </c>
      <c r="M181" s="418">
        <f>N181+O181</f>
        <v>0</v>
      </c>
      <c r="N181" s="418"/>
      <c r="O181" s="418"/>
      <c r="P181" s="68">
        <f t="shared" si="519"/>
        <v>159301</v>
      </c>
      <c r="Q181" s="68">
        <f t="shared" si="520"/>
        <v>4713</v>
      </c>
      <c r="R181" s="418">
        <v>0</v>
      </c>
      <c r="S181" s="419">
        <f>T181+U181</f>
        <v>0.93</v>
      </c>
      <c r="T181" s="420">
        <v>0.93</v>
      </c>
      <c r="U181" s="527">
        <v>0</v>
      </c>
      <c r="V181" s="427">
        <f t="shared" si="521"/>
        <v>0</v>
      </c>
      <c r="W181" s="421">
        <f t="shared" si="521"/>
        <v>0</v>
      </c>
      <c r="X181" s="421">
        <v>0</v>
      </c>
      <c r="Y181" s="421">
        <v>0</v>
      </c>
      <c r="Z181" s="421">
        <v>0</v>
      </c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f>V181+X181+Y181+AA181+AB181+AD181</f>
        <v>0</v>
      </c>
      <c r="AG181" s="421">
        <f>W181+Z181+AC181+AE181</f>
        <v>0</v>
      </c>
      <c r="AH181" s="421">
        <f>SUM(AF181:AG181)</f>
        <v>0</v>
      </c>
      <c r="AI181" s="421">
        <v>0</v>
      </c>
      <c r="AJ181" s="421">
        <v>0</v>
      </c>
      <c r="AK181" s="421">
        <v>0</v>
      </c>
      <c r="AL181" s="421">
        <v>0</v>
      </c>
      <c r="AM181" s="421">
        <v>0</v>
      </c>
      <c r="AN181" s="421">
        <v>0</v>
      </c>
      <c r="AO181" s="421">
        <f t="shared" si="522"/>
        <v>0</v>
      </c>
      <c r="AP181" s="421">
        <f>AJ181+AN181</f>
        <v>0</v>
      </c>
      <c r="AQ181" s="421">
        <f>SUM(AO181:AP181)</f>
        <v>0</v>
      </c>
      <c r="AR181" s="421">
        <f t="shared" si="523"/>
        <v>0</v>
      </c>
      <c r="AS181" s="421">
        <f t="shared" si="523"/>
        <v>0</v>
      </c>
      <c r="AT181" s="421">
        <f>SUM(AR181:AS181)</f>
        <v>0</v>
      </c>
      <c r="AU181" s="68">
        <f t="shared" si="524"/>
        <v>0</v>
      </c>
      <c r="AV181" s="68">
        <f>ROUND(AH181*1%,0)</f>
        <v>0</v>
      </c>
      <c r="AW181" s="421">
        <v>0</v>
      </c>
      <c r="AX181" s="421">
        <v>0</v>
      </c>
      <c r="AY181" s="421">
        <f>AW181+AX181</f>
        <v>0</v>
      </c>
      <c r="AZ181" s="421">
        <f>AT181+AU181+AV181+AY181</f>
        <v>0</v>
      </c>
      <c r="BA181" s="422">
        <v>0</v>
      </c>
      <c r="BB181" s="422">
        <v>0</v>
      </c>
      <c r="BC181" s="422">
        <v>0</v>
      </c>
      <c r="BD181" s="422">
        <v>0</v>
      </c>
      <c r="BE181" s="422">
        <v>0</v>
      </c>
      <c r="BF181" s="422">
        <v>0</v>
      </c>
      <c r="BG181" s="422">
        <v>0</v>
      </c>
      <c r="BH181" s="422">
        <v>0</v>
      </c>
      <c r="BI181" s="422">
        <v>0</v>
      </c>
      <c r="BJ181" s="422">
        <v>0</v>
      </c>
      <c r="BK181" s="422">
        <f>BA181+BC181+BD181+BF181+BH181+BI181</f>
        <v>0</v>
      </c>
      <c r="BL181" s="422">
        <f>BB181+BE181+BG181+BJ181</f>
        <v>0</v>
      </c>
      <c r="BM181" s="611">
        <f>SUM(BK181:BL181)</f>
        <v>0</v>
      </c>
      <c r="BN181" s="428">
        <f>I181+AZ181</f>
        <v>635318</v>
      </c>
      <c r="BO181" s="421">
        <f>J181+AH181</f>
        <v>471304</v>
      </c>
      <c r="BP181" s="421">
        <f t="shared" si="525"/>
        <v>471304</v>
      </c>
      <c r="BQ181" s="421">
        <f t="shared" si="525"/>
        <v>0</v>
      </c>
      <c r="BR181" s="421">
        <f>M181+AQ181</f>
        <v>0</v>
      </c>
      <c r="BS181" s="421">
        <f t="shared" si="526"/>
        <v>0</v>
      </c>
      <c r="BT181" s="421">
        <f t="shared" si="526"/>
        <v>0</v>
      </c>
      <c r="BU181" s="421">
        <f t="shared" si="527"/>
        <v>159301</v>
      </c>
      <c r="BV181" s="421">
        <f t="shared" si="527"/>
        <v>4713</v>
      </c>
      <c r="BW181" s="421">
        <f>R181+AY181</f>
        <v>0</v>
      </c>
      <c r="BX181" s="422">
        <f>S181+BM181</f>
        <v>0.93</v>
      </c>
      <c r="BY181" s="422">
        <f t="shared" si="528"/>
        <v>0.93</v>
      </c>
      <c r="BZ181" s="611">
        <f t="shared" si="528"/>
        <v>0</v>
      </c>
      <c r="CA181" s="423"/>
      <c r="CB181" s="418"/>
      <c r="CC181" s="418"/>
      <c r="CD181" s="418"/>
      <c r="CE181" s="418"/>
      <c r="CF181" s="527"/>
    </row>
    <row r="182" spans="1:84" s="222" customFormat="1" ht="13.5" customHeight="1" x14ac:dyDescent="0.2">
      <c r="A182" s="224">
        <v>37</v>
      </c>
      <c r="B182" s="225">
        <v>3432</v>
      </c>
      <c r="C182" s="225">
        <v>600078329</v>
      </c>
      <c r="D182" s="225">
        <v>70695121</v>
      </c>
      <c r="E182" s="226" t="s">
        <v>82</v>
      </c>
      <c r="F182" s="225">
        <v>3143</v>
      </c>
      <c r="G182" s="226" t="s">
        <v>597</v>
      </c>
      <c r="H182" s="227" t="s">
        <v>272</v>
      </c>
      <c r="I182" s="423">
        <f t="shared" si="518"/>
        <v>11285</v>
      </c>
      <c r="J182" s="418">
        <f>K182+L182</f>
        <v>8078</v>
      </c>
      <c r="K182" s="418">
        <v>0</v>
      </c>
      <c r="L182" s="418">
        <v>8078</v>
      </c>
      <c r="M182" s="418">
        <f>N182+O182</f>
        <v>0</v>
      </c>
      <c r="N182" s="418"/>
      <c r="O182" s="418"/>
      <c r="P182" s="68">
        <f t="shared" si="519"/>
        <v>2730</v>
      </c>
      <c r="Q182" s="68">
        <f t="shared" si="520"/>
        <v>81</v>
      </c>
      <c r="R182" s="418">
        <v>396</v>
      </c>
      <c r="S182" s="419">
        <f>T182+U182</f>
        <v>0.03</v>
      </c>
      <c r="T182" s="420">
        <v>0</v>
      </c>
      <c r="U182" s="527">
        <v>0.03</v>
      </c>
      <c r="V182" s="427">
        <f t="shared" si="521"/>
        <v>0</v>
      </c>
      <c r="W182" s="421">
        <f t="shared" si="521"/>
        <v>0</v>
      </c>
      <c r="X182" s="421">
        <v>0</v>
      </c>
      <c r="Y182" s="421">
        <v>0</v>
      </c>
      <c r="Z182" s="421">
        <v>0</v>
      </c>
      <c r="AA182" s="421">
        <v>0</v>
      </c>
      <c r="AB182" s="421">
        <v>0</v>
      </c>
      <c r="AC182" s="421">
        <v>0</v>
      </c>
      <c r="AD182" s="421">
        <v>0</v>
      </c>
      <c r="AE182" s="421">
        <v>0</v>
      </c>
      <c r="AF182" s="421">
        <f>V182+X182+Y182+AA182+AB182+AD182</f>
        <v>0</v>
      </c>
      <c r="AG182" s="421">
        <f>W182+Z182+AC182+AE182</f>
        <v>0</v>
      </c>
      <c r="AH182" s="421">
        <f>SUM(AF182:AG182)</f>
        <v>0</v>
      </c>
      <c r="AI182" s="421">
        <v>0</v>
      </c>
      <c r="AJ182" s="421">
        <v>0</v>
      </c>
      <c r="AK182" s="421">
        <v>0</v>
      </c>
      <c r="AL182" s="421">
        <v>0</v>
      </c>
      <c r="AM182" s="421">
        <v>0</v>
      </c>
      <c r="AN182" s="421">
        <v>0</v>
      </c>
      <c r="AO182" s="421">
        <f t="shared" si="522"/>
        <v>0</v>
      </c>
      <c r="AP182" s="421">
        <f>AJ182+AN182</f>
        <v>0</v>
      </c>
      <c r="AQ182" s="421">
        <f>SUM(AO182:AP182)</f>
        <v>0</v>
      </c>
      <c r="AR182" s="421">
        <f t="shared" si="523"/>
        <v>0</v>
      </c>
      <c r="AS182" s="421">
        <f t="shared" si="523"/>
        <v>0</v>
      </c>
      <c r="AT182" s="421">
        <f>SUM(AR182:AS182)</f>
        <v>0</v>
      </c>
      <c r="AU182" s="68">
        <f t="shared" si="524"/>
        <v>0</v>
      </c>
      <c r="AV182" s="68">
        <f>ROUND(AH182*1%,0)</f>
        <v>0</v>
      </c>
      <c r="AW182" s="421">
        <v>0</v>
      </c>
      <c r="AX182" s="421">
        <v>0</v>
      </c>
      <c r="AY182" s="421">
        <f>AW182+AX182</f>
        <v>0</v>
      </c>
      <c r="AZ182" s="421">
        <f>AT182+AU182+AV182+AY182</f>
        <v>0</v>
      </c>
      <c r="BA182" s="422">
        <v>0</v>
      </c>
      <c r="BB182" s="422">
        <v>0</v>
      </c>
      <c r="BC182" s="422">
        <v>0</v>
      </c>
      <c r="BD182" s="422">
        <v>0</v>
      </c>
      <c r="BE182" s="422">
        <v>0</v>
      </c>
      <c r="BF182" s="422">
        <v>0</v>
      </c>
      <c r="BG182" s="422">
        <v>0</v>
      </c>
      <c r="BH182" s="422">
        <v>0</v>
      </c>
      <c r="BI182" s="422">
        <v>0</v>
      </c>
      <c r="BJ182" s="422">
        <v>0</v>
      </c>
      <c r="BK182" s="422">
        <f>BA182+BC182+BD182+BF182+BH182+BI182</f>
        <v>0</v>
      </c>
      <c r="BL182" s="422">
        <f>BB182+BE182+BG182+BJ182</f>
        <v>0</v>
      </c>
      <c r="BM182" s="611">
        <f>SUM(BK182:BL182)</f>
        <v>0</v>
      </c>
      <c r="BN182" s="428">
        <f>I182+AZ182</f>
        <v>11285</v>
      </c>
      <c r="BO182" s="421">
        <f>J182+AH182</f>
        <v>8078</v>
      </c>
      <c r="BP182" s="421">
        <f t="shared" si="525"/>
        <v>0</v>
      </c>
      <c r="BQ182" s="421">
        <f t="shared" si="525"/>
        <v>8078</v>
      </c>
      <c r="BR182" s="421">
        <f>M182+AQ182</f>
        <v>0</v>
      </c>
      <c r="BS182" s="421">
        <f t="shared" si="526"/>
        <v>0</v>
      </c>
      <c r="BT182" s="421">
        <f t="shared" si="526"/>
        <v>0</v>
      </c>
      <c r="BU182" s="421">
        <f t="shared" si="527"/>
        <v>2730</v>
      </c>
      <c r="BV182" s="421">
        <f t="shared" si="527"/>
        <v>81</v>
      </c>
      <c r="BW182" s="421">
        <f>R182+AY182</f>
        <v>396</v>
      </c>
      <c r="BX182" s="422">
        <f>S182+BM182</f>
        <v>0.03</v>
      </c>
      <c r="BY182" s="422">
        <f t="shared" si="528"/>
        <v>0</v>
      </c>
      <c r="BZ182" s="611">
        <f t="shared" si="528"/>
        <v>0.03</v>
      </c>
      <c r="CA182" s="423"/>
      <c r="CB182" s="418"/>
      <c r="CC182" s="418"/>
      <c r="CD182" s="418"/>
      <c r="CE182" s="418"/>
      <c r="CF182" s="527"/>
    </row>
    <row r="183" spans="1:84" s="222" customFormat="1" ht="13.5" customHeight="1" x14ac:dyDescent="0.2">
      <c r="A183" s="153">
        <v>37</v>
      </c>
      <c r="B183" s="14">
        <v>3432</v>
      </c>
      <c r="C183" s="152">
        <v>600078329</v>
      </c>
      <c r="D183" s="152">
        <v>70695121</v>
      </c>
      <c r="E183" s="223" t="s">
        <v>83</v>
      </c>
      <c r="F183" s="14"/>
      <c r="G183" s="223"/>
      <c r="H183" s="592"/>
      <c r="I183" s="522">
        <f t="shared" ref="I183:BU183" si="529">SUM(I178:I182)</f>
        <v>6138815</v>
      </c>
      <c r="J183" s="521">
        <f t="shared" si="529"/>
        <v>4495210</v>
      </c>
      <c r="K183" s="521">
        <f t="shared" si="529"/>
        <v>3797093</v>
      </c>
      <c r="L183" s="521">
        <f t="shared" si="529"/>
        <v>698117</v>
      </c>
      <c r="M183" s="521">
        <f t="shared" si="529"/>
        <v>0</v>
      </c>
      <c r="N183" s="521">
        <f t="shared" si="529"/>
        <v>0</v>
      </c>
      <c r="O183" s="521">
        <f t="shared" si="529"/>
        <v>0</v>
      </c>
      <c r="P183" s="521">
        <f t="shared" si="529"/>
        <v>1519381</v>
      </c>
      <c r="Q183" s="521">
        <f t="shared" si="529"/>
        <v>44952</v>
      </c>
      <c r="R183" s="521">
        <f t="shared" si="529"/>
        <v>79272</v>
      </c>
      <c r="S183" s="572">
        <f t="shared" si="529"/>
        <v>8.2570999999999994</v>
      </c>
      <c r="T183" s="572">
        <f t="shared" si="529"/>
        <v>6.3239000000000001</v>
      </c>
      <c r="U183" s="448">
        <f t="shared" si="529"/>
        <v>1.9332</v>
      </c>
      <c r="V183" s="614">
        <f t="shared" si="529"/>
        <v>0</v>
      </c>
      <c r="W183" s="521">
        <f t="shared" si="529"/>
        <v>0</v>
      </c>
      <c r="X183" s="521">
        <f t="shared" si="529"/>
        <v>700407</v>
      </c>
      <c r="Y183" s="521">
        <f t="shared" si="529"/>
        <v>0</v>
      </c>
      <c r="Z183" s="521">
        <f t="shared" si="529"/>
        <v>0</v>
      </c>
      <c r="AA183" s="521">
        <f t="shared" si="529"/>
        <v>0</v>
      </c>
      <c r="AB183" s="521">
        <f t="shared" si="529"/>
        <v>0</v>
      </c>
      <c r="AC183" s="521">
        <f t="shared" si="529"/>
        <v>0</v>
      </c>
      <c r="AD183" s="521">
        <f t="shared" si="529"/>
        <v>0</v>
      </c>
      <c r="AE183" s="521">
        <f t="shared" si="529"/>
        <v>0</v>
      </c>
      <c r="AF183" s="521">
        <f t="shared" si="529"/>
        <v>700407</v>
      </c>
      <c r="AG183" s="521">
        <f t="shared" si="529"/>
        <v>0</v>
      </c>
      <c r="AH183" s="521">
        <f t="shared" si="529"/>
        <v>700407</v>
      </c>
      <c r="AI183" s="521">
        <f t="shared" si="529"/>
        <v>0</v>
      </c>
      <c r="AJ183" s="521">
        <f t="shared" si="529"/>
        <v>0</v>
      </c>
      <c r="AK183" s="521">
        <f t="shared" ref="AK183" si="530">SUM(AK178:AK182)</f>
        <v>0</v>
      </c>
      <c r="AL183" s="521">
        <f t="shared" si="529"/>
        <v>0</v>
      </c>
      <c r="AM183" s="521">
        <f t="shared" si="529"/>
        <v>0</v>
      </c>
      <c r="AN183" s="521">
        <f t="shared" si="529"/>
        <v>0</v>
      </c>
      <c r="AO183" s="521">
        <f t="shared" si="529"/>
        <v>0</v>
      </c>
      <c r="AP183" s="521">
        <f t="shared" si="529"/>
        <v>0</v>
      </c>
      <c r="AQ183" s="521">
        <f t="shared" si="529"/>
        <v>0</v>
      </c>
      <c r="AR183" s="521">
        <f t="shared" si="529"/>
        <v>700407</v>
      </c>
      <c r="AS183" s="521">
        <f t="shared" si="529"/>
        <v>0</v>
      </c>
      <c r="AT183" s="521">
        <f t="shared" si="529"/>
        <v>700407</v>
      </c>
      <c r="AU183" s="521">
        <f t="shared" si="529"/>
        <v>236738</v>
      </c>
      <c r="AV183" s="521">
        <f t="shared" si="529"/>
        <v>7004</v>
      </c>
      <c r="AW183" s="521">
        <f t="shared" si="529"/>
        <v>0</v>
      </c>
      <c r="AX183" s="521">
        <f t="shared" si="529"/>
        <v>0</v>
      </c>
      <c r="AY183" s="521">
        <f t="shared" si="529"/>
        <v>0</v>
      </c>
      <c r="AZ183" s="521">
        <f t="shared" si="529"/>
        <v>944149</v>
      </c>
      <c r="BA183" s="572">
        <f t="shared" si="529"/>
        <v>0</v>
      </c>
      <c r="BB183" s="572">
        <f t="shared" si="529"/>
        <v>0</v>
      </c>
      <c r="BC183" s="572">
        <f t="shared" si="529"/>
        <v>1.89</v>
      </c>
      <c r="BD183" s="572">
        <f t="shared" si="529"/>
        <v>0</v>
      </c>
      <c r="BE183" s="572">
        <f t="shared" si="529"/>
        <v>0</v>
      </c>
      <c r="BF183" s="572">
        <f t="shared" si="529"/>
        <v>0</v>
      </c>
      <c r="BG183" s="572">
        <f t="shared" si="529"/>
        <v>0</v>
      </c>
      <c r="BH183" s="572">
        <f t="shared" si="529"/>
        <v>0</v>
      </c>
      <c r="BI183" s="572">
        <f t="shared" si="529"/>
        <v>0</v>
      </c>
      <c r="BJ183" s="572">
        <f t="shared" si="529"/>
        <v>0</v>
      </c>
      <c r="BK183" s="572">
        <f t="shared" si="529"/>
        <v>1.89</v>
      </c>
      <c r="BL183" s="572">
        <f t="shared" si="529"/>
        <v>0</v>
      </c>
      <c r="BM183" s="403">
        <f t="shared" si="529"/>
        <v>1.89</v>
      </c>
      <c r="BN183" s="522">
        <f t="shared" si="529"/>
        <v>7082964</v>
      </c>
      <c r="BO183" s="521">
        <f t="shared" si="529"/>
        <v>5195617</v>
      </c>
      <c r="BP183" s="521">
        <f t="shared" si="529"/>
        <v>4497500</v>
      </c>
      <c r="BQ183" s="521">
        <f t="shared" si="529"/>
        <v>698117</v>
      </c>
      <c r="BR183" s="521">
        <f t="shared" si="529"/>
        <v>0</v>
      </c>
      <c r="BS183" s="521">
        <f t="shared" si="529"/>
        <v>0</v>
      </c>
      <c r="BT183" s="521">
        <f t="shared" si="529"/>
        <v>0</v>
      </c>
      <c r="BU183" s="521">
        <f t="shared" si="529"/>
        <v>1756119</v>
      </c>
      <c r="BV183" s="521">
        <f t="shared" ref="BV183:CF183" si="531">SUM(BV178:BV182)</f>
        <v>51956</v>
      </c>
      <c r="BW183" s="521">
        <f t="shared" si="531"/>
        <v>79272</v>
      </c>
      <c r="BX183" s="572">
        <f t="shared" si="531"/>
        <v>10.1471</v>
      </c>
      <c r="BY183" s="572">
        <f t="shared" si="531"/>
        <v>8.2139000000000006</v>
      </c>
      <c r="BZ183" s="403">
        <f t="shared" si="531"/>
        <v>1.9332</v>
      </c>
      <c r="CA183" s="833">
        <f t="shared" si="531"/>
        <v>0</v>
      </c>
      <c r="CB183" s="834">
        <f t="shared" si="531"/>
        <v>0</v>
      </c>
      <c r="CC183" s="834">
        <f t="shared" si="531"/>
        <v>0</v>
      </c>
      <c r="CD183" s="834">
        <f t="shared" si="531"/>
        <v>0</v>
      </c>
      <c r="CE183" s="834">
        <f t="shared" si="531"/>
        <v>0</v>
      </c>
      <c r="CF183" s="829">
        <f t="shared" si="531"/>
        <v>0</v>
      </c>
    </row>
    <row r="184" spans="1:84" s="222" customFormat="1" ht="12.75" customHeight="1" x14ac:dyDescent="0.2">
      <c r="A184" s="224">
        <v>38</v>
      </c>
      <c r="B184" s="225">
        <v>3435</v>
      </c>
      <c r="C184" s="225">
        <v>650022131</v>
      </c>
      <c r="D184" s="225">
        <v>70981531</v>
      </c>
      <c r="E184" s="226" t="s">
        <v>84</v>
      </c>
      <c r="F184" s="225">
        <v>3111</v>
      </c>
      <c r="G184" s="226" t="s">
        <v>291</v>
      </c>
      <c r="H184" s="227" t="s">
        <v>271</v>
      </c>
      <c r="I184" s="423">
        <f t="shared" ref="I184:I189" si="532">J184+P184+Q184+R184</f>
        <v>7809603</v>
      </c>
      <c r="J184" s="418">
        <f t="shared" ref="J184:J189" si="533">K184+L184</f>
        <v>5771838</v>
      </c>
      <c r="K184" s="418">
        <v>5472318</v>
      </c>
      <c r="L184" s="418">
        <v>299520</v>
      </c>
      <c r="M184" s="418">
        <f t="shared" ref="M184:M189" si="534">N184+O184</f>
        <v>0</v>
      </c>
      <c r="N184" s="418"/>
      <c r="O184" s="418"/>
      <c r="P184" s="68">
        <f t="shared" ref="P184:P189" si="535">ROUND(J184*33.8%,0)</f>
        <v>1950881</v>
      </c>
      <c r="Q184" s="68">
        <f t="shared" ref="Q184:Q189" si="536">ROUND(J184*1%,0)</f>
        <v>57718</v>
      </c>
      <c r="R184" s="418">
        <v>29166</v>
      </c>
      <c r="S184" s="419">
        <f t="shared" ref="S184:S189" si="537">T184+U184</f>
        <v>10.989999999999998</v>
      </c>
      <c r="T184" s="420">
        <v>9.7899999999999991</v>
      </c>
      <c r="U184" s="527">
        <v>1.2</v>
      </c>
      <c r="V184" s="427">
        <f t="shared" ref="V184:W189" si="538">AI184*-1</f>
        <v>0</v>
      </c>
      <c r="W184" s="421">
        <f t="shared" si="538"/>
        <v>0</v>
      </c>
      <c r="X184" s="421">
        <v>0</v>
      </c>
      <c r="Y184" s="421">
        <v>0</v>
      </c>
      <c r="Z184" s="421">
        <v>0</v>
      </c>
      <c r="AA184" s="421">
        <v>0</v>
      </c>
      <c r="AB184" s="421">
        <v>0</v>
      </c>
      <c r="AC184" s="421">
        <v>0</v>
      </c>
      <c r="AD184" s="421">
        <v>0</v>
      </c>
      <c r="AE184" s="421">
        <v>0</v>
      </c>
      <c r="AF184" s="421">
        <f t="shared" ref="AF184:AF189" si="539">V184+X184+Y184+AA184+AB184+AD184</f>
        <v>0</v>
      </c>
      <c r="AG184" s="421">
        <f t="shared" ref="AG184:AG189" si="540">W184+Z184+AC184+AE184</f>
        <v>0</v>
      </c>
      <c r="AH184" s="421">
        <f t="shared" ref="AH184:AH189" si="541">SUM(AF184:AG184)</f>
        <v>0</v>
      </c>
      <c r="AI184" s="421">
        <v>0</v>
      </c>
      <c r="AJ184" s="421">
        <v>0</v>
      </c>
      <c r="AK184" s="421">
        <v>0</v>
      </c>
      <c r="AL184" s="421">
        <v>0</v>
      </c>
      <c r="AM184" s="421">
        <v>0</v>
      </c>
      <c r="AN184" s="421">
        <v>0</v>
      </c>
      <c r="AO184" s="421">
        <f t="shared" ref="AO184:AO189" si="542">AI184+AK184+AL184+AM184</f>
        <v>0</v>
      </c>
      <c r="AP184" s="421">
        <f t="shared" ref="AP184:AP189" si="543">AJ184+AN184</f>
        <v>0</v>
      </c>
      <c r="AQ184" s="421">
        <f t="shared" ref="AQ184:AQ189" si="544">SUM(AO184:AP184)</f>
        <v>0</v>
      </c>
      <c r="AR184" s="421">
        <f t="shared" ref="AR184:AS189" si="545">AF184+AO184</f>
        <v>0</v>
      </c>
      <c r="AS184" s="421">
        <f t="shared" si="545"/>
        <v>0</v>
      </c>
      <c r="AT184" s="421">
        <f t="shared" ref="AT184:AT189" si="546">SUM(AR184:AS184)</f>
        <v>0</v>
      </c>
      <c r="AU184" s="68">
        <f t="shared" ref="AU184:AU189" si="547">ROUND((AH184+AI184+AJ184+AK184+AL184)*33.8%,0)</f>
        <v>0</v>
      </c>
      <c r="AV184" s="68">
        <f t="shared" ref="AV184:AV189" si="548">ROUND(AH184*1%,0)</f>
        <v>0</v>
      </c>
      <c r="AW184" s="421">
        <v>0</v>
      </c>
      <c r="AX184" s="421">
        <v>0</v>
      </c>
      <c r="AY184" s="421">
        <f t="shared" ref="AY184:AY189" si="549">AW184+AX184</f>
        <v>0</v>
      </c>
      <c r="AZ184" s="421">
        <f t="shared" ref="AZ184:AZ189" si="550">AT184+AU184+AV184+AY184</f>
        <v>0</v>
      </c>
      <c r="BA184" s="422">
        <v>0</v>
      </c>
      <c r="BB184" s="422">
        <v>0</v>
      </c>
      <c r="BC184" s="422">
        <v>0</v>
      </c>
      <c r="BD184" s="422">
        <v>0</v>
      </c>
      <c r="BE184" s="422">
        <v>0</v>
      </c>
      <c r="BF184" s="422">
        <v>0</v>
      </c>
      <c r="BG184" s="422">
        <v>0</v>
      </c>
      <c r="BH184" s="422">
        <v>0</v>
      </c>
      <c r="BI184" s="422">
        <v>0</v>
      </c>
      <c r="BJ184" s="422">
        <v>0</v>
      </c>
      <c r="BK184" s="422">
        <f t="shared" ref="BK184:BK189" si="551">BA184+BC184+BD184+BF184+BH184+BI184</f>
        <v>0</v>
      </c>
      <c r="BL184" s="422">
        <f t="shared" ref="BL184:BL189" si="552">BB184+BE184+BG184+BJ184</f>
        <v>0</v>
      </c>
      <c r="BM184" s="611">
        <f t="shared" ref="BM184:BM189" si="553">SUM(BK184:BL184)</f>
        <v>0</v>
      </c>
      <c r="BN184" s="428">
        <f t="shared" ref="BN184:BN189" si="554">I184+AZ184</f>
        <v>7809603</v>
      </c>
      <c r="BO184" s="421">
        <f t="shared" ref="BO184:BO189" si="555">J184+AH184</f>
        <v>5771838</v>
      </c>
      <c r="BP184" s="421">
        <f t="shared" ref="BP184:BQ189" si="556">K184+AF184</f>
        <v>5472318</v>
      </c>
      <c r="BQ184" s="421">
        <f t="shared" si="556"/>
        <v>299520</v>
      </c>
      <c r="BR184" s="421">
        <f t="shared" ref="BR184:BR189" si="557">M184+AQ184</f>
        <v>0</v>
      </c>
      <c r="BS184" s="421">
        <f t="shared" ref="BS184:BT189" si="558">N184+AO184</f>
        <v>0</v>
      </c>
      <c r="BT184" s="421">
        <f t="shared" si="558"/>
        <v>0</v>
      </c>
      <c r="BU184" s="421">
        <f t="shared" ref="BU184:BV189" si="559">P184+AU184</f>
        <v>1950881</v>
      </c>
      <c r="BV184" s="421">
        <f t="shared" si="559"/>
        <v>57718</v>
      </c>
      <c r="BW184" s="421">
        <f t="shared" ref="BW184:BW189" si="560">R184+AY184</f>
        <v>29166</v>
      </c>
      <c r="BX184" s="422">
        <f t="shared" ref="BX184:BX189" si="561">S184+BM184</f>
        <v>10.989999999999998</v>
      </c>
      <c r="BY184" s="422">
        <f t="shared" ref="BY184:BZ189" si="562">T184+BK184</f>
        <v>9.7899999999999991</v>
      </c>
      <c r="BZ184" s="611">
        <f t="shared" si="562"/>
        <v>1.2</v>
      </c>
      <c r="CA184" s="423"/>
      <c r="CB184" s="418"/>
      <c r="CC184" s="418"/>
      <c r="CD184" s="418"/>
      <c r="CE184" s="418"/>
      <c r="CF184" s="527"/>
    </row>
    <row r="185" spans="1:84" s="222" customFormat="1" ht="13.5" customHeight="1" x14ac:dyDescent="0.2">
      <c r="A185" s="224">
        <v>38</v>
      </c>
      <c r="B185" s="225">
        <v>3435</v>
      </c>
      <c r="C185" s="225">
        <v>650022131</v>
      </c>
      <c r="D185" s="225">
        <v>70981531</v>
      </c>
      <c r="E185" s="226" t="s">
        <v>84</v>
      </c>
      <c r="F185" s="225">
        <v>3113</v>
      </c>
      <c r="G185" s="226" t="s">
        <v>294</v>
      </c>
      <c r="H185" s="227" t="s">
        <v>271</v>
      </c>
      <c r="I185" s="423">
        <f t="shared" si="532"/>
        <v>25124261</v>
      </c>
      <c r="J185" s="418">
        <f t="shared" si="533"/>
        <v>18369736</v>
      </c>
      <c r="K185" s="418">
        <v>16792750</v>
      </c>
      <c r="L185" s="418">
        <v>1576986</v>
      </c>
      <c r="M185" s="418">
        <f t="shared" si="534"/>
        <v>0</v>
      </c>
      <c r="N185" s="418"/>
      <c r="O185" s="418"/>
      <c r="P185" s="68">
        <f t="shared" si="535"/>
        <v>6208971</v>
      </c>
      <c r="Q185" s="68">
        <f>ROUND(J185*1%,0)+1</f>
        <v>183698</v>
      </c>
      <c r="R185" s="418">
        <v>361856</v>
      </c>
      <c r="S185" s="419">
        <f t="shared" si="537"/>
        <v>29.2134</v>
      </c>
      <c r="T185" s="420">
        <v>24.500499999999999</v>
      </c>
      <c r="U185" s="527">
        <v>4.7128999999999994</v>
      </c>
      <c r="V185" s="427">
        <f t="shared" si="538"/>
        <v>-9600</v>
      </c>
      <c r="W185" s="421">
        <f t="shared" si="538"/>
        <v>-6400</v>
      </c>
      <c r="X185" s="421">
        <v>0</v>
      </c>
      <c r="Y185" s="421">
        <v>0</v>
      </c>
      <c r="Z185" s="421">
        <v>0</v>
      </c>
      <c r="AA185" s="421">
        <v>0</v>
      </c>
      <c r="AB185" s="421">
        <v>282000</v>
      </c>
      <c r="AC185" s="421">
        <v>0</v>
      </c>
      <c r="AD185" s="421">
        <v>0</v>
      </c>
      <c r="AE185" s="421">
        <v>0</v>
      </c>
      <c r="AF185" s="421">
        <f t="shared" si="539"/>
        <v>272400</v>
      </c>
      <c r="AG185" s="421">
        <f t="shared" si="540"/>
        <v>-6400</v>
      </c>
      <c r="AH185" s="421">
        <f t="shared" si="541"/>
        <v>266000</v>
      </c>
      <c r="AI185" s="421">
        <v>9600</v>
      </c>
      <c r="AJ185" s="421">
        <v>6400</v>
      </c>
      <c r="AK185" s="421">
        <v>169200</v>
      </c>
      <c r="AL185" s="421">
        <v>0</v>
      </c>
      <c r="AM185" s="421">
        <v>0</v>
      </c>
      <c r="AN185" s="421">
        <v>0</v>
      </c>
      <c r="AO185" s="421">
        <f t="shared" si="542"/>
        <v>178800</v>
      </c>
      <c r="AP185" s="421">
        <f t="shared" si="543"/>
        <v>6400</v>
      </c>
      <c r="AQ185" s="421">
        <f t="shared" si="544"/>
        <v>185200</v>
      </c>
      <c r="AR185" s="421">
        <f t="shared" si="545"/>
        <v>451200</v>
      </c>
      <c r="AS185" s="421">
        <f t="shared" si="545"/>
        <v>0</v>
      </c>
      <c r="AT185" s="421">
        <f t="shared" si="546"/>
        <v>451200</v>
      </c>
      <c r="AU185" s="68">
        <f t="shared" si="547"/>
        <v>152506</v>
      </c>
      <c r="AV185" s="68">
        <f t="shared" si="548"/>
        <v>2660</v>
      </c>
      <c r="AW185" s="421">
        <v>0</v>
      </c>
      <c r="AX185" s="421">
        <v>0</v>
      </c>
      <c r="AY185" s="421">
        <f t="shared" si="549"/>
        <v>0</v>
      </c>
      <c r="AZ185" s="421">
        <f t="shared" si="550"/>
        <v>606366</v>
      </c>
      <c r="BA185" s="422">
        <v>0</v>
      </c>
      <c r="BB185" s="422">
        <v>-0.02</v>
      </c>
      <c r="BC185" s="422">
        <v>0</v>
      </c>
      <c r="BD185" s="422">
        <v>0.5</v>
      </c>
      <c r="BE185" s="422">
        <v>0</v>
      </c>
      <c r="BF185" s="422">
        <v>0</v>
      </c>
      <c r="BG185" s="422">
        <v>0</v>
      </c>
      <c r="BH185" s="422">
        <v>0</v>
      </c>
      <c r="BI185" s="422">
        <v>0</v>
      </c>
      <c r="BJ185" s="422">
        <v>0</v>
      </c>
      <c r="BK185" s="422">
        <f t="shared" si="551"/>
        <v>0.5</v>
      </c>
      <c r="BL185" s="422">
        <f t="shared" si="552"/>
        <v>-0.02</v>
      </c>
      <c r="BM185" s="611">
        <f t="shared" si="553"/>
        <v>0.48</v>
      </c>
      <c r="BN185" s="428">
        <f t="shared" si="554"/>
        <v>25730627</v>
      </c>
      <c r="BO185" s="421">
        <f t="shared" si="555"/>
        <v>18635736</v>
      </c>
      <c r="BP185" s="421">
        <f t="shared" si="556"/>
        <v>17065150</v>
      </c>
      <c r="BQ185" s="421">
        <f t="shared" si="556"/>
        <v>1570586</v>
      </c>
      <c r="BR185" s="421">
        <f t="shared" si="557"/>
        <v>185200</v>
      </c>
      <c r="BS185" s="421">
        <f t="shared" si="558"/>
        <v>178800</v>
      </c>
      <c r="BT185" s="421">
        <f t="shared" si="558"/>
        <v>6400</v>
      </c>
      <c r="BU185" s="421">
        <f t="shared" si="559"/>
        <v>6361477</v>
      </c>
      <c r="BV185" s="421">
        <f t="shared" si="559"/>
        <v>186358</v>
      </c>
      <c r="BW185" s="421">
        <f t="shared" si="560"/>
        <v>361856</v>
      </c>
      <c r="BX185" s="422">
        <f t="shared" si="561"/>
        <v>29.6934</v>
      </c>
      <c r="BY185" s="422">
        <f t="shared" si="562"/>
        <v>25.000499999999999</v>
      </c>
      <c r="BZ185" s="611">
        <f t="shared" si="562"/>
        <v>4.6928999999999998</v>
      </c>
      <c r="CA185" s="423">
        <v>606526</v>
      </c>
      <c r="CB185" s="418">
        <v>282000</v>
      </c>
      <c r="CC185" s="418">
        <v>169200</v>
      </c>
      <c r="CD185" s="418">
        <v>152506</v>
      </c>
      <c r="CE185" s="418">
        <v>2820</v>
      </c>
      <c r="CF185" s="527">
        <v>0.5</v>
      </c>
    </row>
    <row r="186" spans="1:84" s="222" customFormat="1" ht="13.5" customHeight="1" x14ac:dyDescent="0.2">
      <c r="A186" s="224">
        <v>38</v>
      </c>
      <c r="B186" s="225">
        <v>3435</v>
      </c>
      <c r="C186" s="225">
        <v>650022131</v>
      </c>
      <c r="D186" s="225">
        <v>70981531</v>
      </c>
      <c r="E186" s="226" t="s">
        <v>84</v>
      </c>
      <c r="F186" s="225">
        <v>3113</v>
      </c>
      <c r="G186" s="226" t="s">
        <v>292</v>
      </c>
      <c r="H186" s="227" t="s">
        <v>272</v>
      </c>
      <c r="I186" s="423">
        <f t="shared" si="532"/>
        <v>0</v>
      </c>
      <c r="J186" s="418">
        <f t="shared" si="533"/>
        <v>0</v>
      </c>
      <c r="K186" s="418">
        <v>0</v>
      </c>
      <c r="L186" s="418">
        <v>0</v>
      </c>
      <c r="M186" s="418">
        <f t="shared" si="534"/>
        <v>0</v>
      </c>
      <c r="N186" s="418"/>
      <c r="O186" s="418"/>
      <c r="P186" s="68">
        <f t="shared" si="535"/>
        <v>0</v>
      </c>
      <c r="Q186" s="68">
        <f t="shared" si="536"/>
        <v>0</v>
      </c>
      <c r="R186" s="418">
        <v>0</v>
      </c>
      <c r="S186" s="419">
        <f t="shared" si="537"/>
        <v>0</v>
      </c>
      <c r="T186" s="420">
        <v>0</v>
      </c>
      <c r="U186" s="527">
        <v>0</v>
      </c>
      <c r="V186" s="427">
        <f t="shared" si="538"/>
        <v>0</v>
      </c>
      <c r="W186" s="421">
        <f t="shared" si="538"/>
        <v>0</v>
      </c>
      <c r="X186" s="421">
        <f>4845569+20631</f>
        <v>4866200</v>
      </c>
      <c r="Y186" s="421">
        <v>0</v>
      </c>
      <c r="Z186" s="421">
        <v>0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f t="shared" si="539"/>
        <v>4866200</v>
      </c>
      <c r="AG186" s="421">
        <f t="shared" si="540"/>
        <v>0</v>
      </c>
      <c r="AH186" s="421">
        <f t="shared" si="541"/>
        <v>4866200</v>
      </c>
      <c r="AI186" s="421">
        <v>0</v>
      </c>
      <c r="AJ186" s="421">
        <v>0</v>
      </c>
      <c r="AK186" s="421">
        <v>0</v>
      </c>
      <c r="AL186" s="421">
        <v>0</v>
      </c>
      <c r="AM186" s="421">
        <v>0</v>
      </c>
      <c r="AN186" s="421">
        <v>0</v>
      </c>
      <c r="AO186" s="421">
        <f t="shared" si="542"/>
        <v>0</v>
      </c>
      <c r="AP186" s="421">
        <f t="shared" si="543"/>
        <v>0</v>
      </c>
      <c r="AQ186" s="421">
        <f t="shared" si="544"/>
        <v>0</v>
      </c>
      <c r="AR186" s="421">
        <f t="shared" si="545"/>
        <v>4866200</v>
      </c>
      <c r="AS186" s="421">
        <f t="shared" si="545"/>
        <v>0</v>
      </c>
      <c r="AT186" s="421">
        <f t="shared" si="546"/>
        <v>4866200</v>
      </c>
      <c r="AU186" s="68">
        <f t="shared" si="547"/>
        <v>1644776</v>
      </c>
      <c r="AV186" s="68">
        <f t="shared" si="548"/>
        <v>48662</v>
      </c>
      <c r="AW186" s="421">
        <v>0</v>
      </c>
      <c r="AX186" s="421">
        <v>0</v>
      </c>
      <c r="AY186" s="421">
        <f t="shared" si="549"/>
        <v>0</v>
      </c>
      <c r="AZ186" s="421">
        <f t="shared" si="550"/>
        <v>6559638</v>
      </c>
      <c r="BA186" s="422">
        <v>0</v>
      </c>
      <c r="BB186" s="422">
        <v>0</v>
      </c>
      <c r="BC186" s="422">
        <f>12.89+0.04</f>
        <v>12.93</v>
      </c>
      <c r="BD186" s="422">
        <v>0</v>
      </c>
      <c r="BE186" s="422">
        <v>0</v>
      </c>
      <c r="BF186" s="422">
        <v>0</v>
      </c>
      <c r="BG186" s="422">
        <v>0</v>
      </c>
      <c r="BH186" s="422">
        <v>0</v>
      </c>
      <c r="BI186" s="422">
        <v>0</v>
      </c>
      <c r="BJ186" s="422">
        <v>0</v>
      </c>
      <c r="BK186" s="422">
        <f t="shared" si="551"/>
        <v>12.93</v>
      </c>
      <c r="BL186" s="422">
        <f t="shared" si="552"/>
        <v>0</v>
      </c>
      <c r="BM186" s="611">
        <f t="shared" si="553"/>
        <v>12.93</v>
      </c>
      <c r="BN186" s="428">
        <f t="shared" si="554"/>
        <v>6559638</v>
      </c>
      <c r="BO186" s="421">
        <f t="shared" si="555"/>
        <v>4866200</v>
      </c>
      <c r="BP186" s="421">
        <f t="shared" si="556"/>
        <v>4866200</v>
      </c>
      <c r="BQ186" s="421">
        <f t="shared" si="556"/>
        <v>0</v>
      </c>
      <c r="BR186" s="421">
        <f t="shared" si="557"/>
        <v>0</v>
      </c>
      <c r="BS186" s="421">
        <f t="shared" si="558"/>
        <v>0</v>
      </c>
      <c r="BT186" s="421">
        <f t="shared" si="558"/>
        <v>0</v>
      </c>
      <c r="BU186" s="421">
        <f t="shared" si="559"/>
        <v>1644776</v>
      </c>
      <c r="BV186" s="421">
        <f t="shared" si="559"/>
        <v>48662</v>
      </c>
      <c r="BW186" s="421">
        <f t="shared" si="560"/>
        <v>0</v>
      </c>
      <c r="BX186" s="422">
        <f t="shared" si="561"/>
        <v>12.93</v>
      </c>
      <c r="BY186" s="422">
        <f t="shared" si="562"/>
        <v>12.93</v>
      </c>
      <c r="BZ186" s="611">
        <f t="shared" si="562"/>
        <v>0</v>
      </c>
      <c r="CA186" s="423"/>
      <c r="CB186" s="418"/>
      <c r="CC186" s="418"/>
      <c r="CD186" s="418"/>
      <c r="CE186" s="418"/>
      <c r="CF186" s="527"/>
    </row>
    <row r="187" spans="1:84" s="222" customFormat="1" ht="12.75" customHeight="1" x14ac:dyDescent="0.2">
      <c r="A187" s="224">
        <v>38</v>
      </c>
      <c r="B187" s="225">
        <v>3435</v>
      </c>
      <c r="C187" s="225">
        <v>650022131</v>
      </c>
      <c r="D187" s="225">
        <v>70981531</v>
      </c>
      <c r="E187" s="226" t="s">
        <v>84</v>
      </c>
      <c r="F187" s="225">
        <v>3141</v>
      </c>
      <c r="G187" s="226" t="s">
        <v>295</v>
      </c>
      <c r="H187" s="227" t="s">
        <v>272</v>
      </c>
      <c r="I187" s="423">
        <f t="shared" si="532"/>
        <v>2011625</v>
      </c>
      <c r="J187" s="418">
        <f t="shared" si="533"/>
        <v>1482852</v>
      </c>
      <c r="K187" s="418">
        <v>0</v>
      </c>
      <c r="L187" s="418">
        <v>1482852</v>
      </c>
      <c r="M187" s="418">
        <f t="shared" si="534"/>
        <v>0</v>
      </c>
      <c r="N187" s="418"/>
      <c r="O187" s="418"/>
      <c r="P187" s="68">
        <f t="shared" si="535"/>
        <v>501204</v>
      </c>
      <c r="Q187" s="68">
        <f t="shared" si="536"/>
        <v>14829</v>
      </c>
      <c r="R187" s="418">
        <v>12740</v>
      </c>
      <c r="S187" s="419">
        <f t="shared" si="537"/>
        <v>4.45</v>
      </c>
      <c r="T187" s="420">
        <v>0</v>
      </c>
      <c r="U187" s="527">
        <v>4.45</v>
      </c>
      <c r="V187" s="427">
        <f t="shared" si="538"/>
        <v>0</v>
      </c>
      <c r="W187" s="421">
        <f t="shared" si="538"/>
        <v>0</v>
      </c>
      <c r="X187" s="421">
        <v>0</v>
      </c>
      <c r="Y187" s="421">
        <v>0</v>
      </c>
      <c r="Z187" s="421">
        <v>0</v>
      </c>
      <c r="AA187" s="421">
        <v>0</v>
      </c>
      <c r="AB187" s="421">
        <v>0</v>
      </c>
      <c r="AC187" s="421">
        <v>0</v>
      </c>
      <c r="AD187" s="421">
        <v>0</v>
      </c>
      <c r="AE187" s="421">
        <v>0</v>
      </c>
      <c r="AF187" s="421">
        <f t="shared" si="539"/>
        <v>0</v>
      </c>
      <c r="AG187" s="421">
        <f t="shared" si="540"/>
        <v>0</v>
      </c>
      <c r="AH187" s="421">
        <f t="shared" si="541"/>
        <v>0</v>
      </c>
      <c r="AI187" s="421">
        <v>0</v>
      </c>
      <c r="AJ187" s="421">
        <v>0</v>
      </c>
      <c r="AK187" s="421">
        <v>0</v>
      </c>
      <c r="AL187" s="421">
        <v>0</v>
      </c>
      <c r="AM187" s="421">
        <v>0</v>
      </c>
      <c r="AN187" s="421">
        <v>0</v>
      </c>
      <c r="AO187" s="421">
        <f t="shared" si="542"/>
        <v>0</v>
      </c>
      <c r="AP187" s="421">
        <f t="shared" si="543"/>
        <v>0</v>
      </c>
      <c r="AQ187" s="421">
        <f t="shared" si="544"/>
        <v>0</v>
      </c>
      <c r="AR187" s="421">
        <f t="shared" si="545"/>
        <v>0</v>
      </c>
      <c r="AS187" s="421">
        <f t="shared" si="545"/>
        <v>0</v>
      </c>
      <c r="AT187" s="421">
        <f t="shared" si="546"/>
        <v>0</v>
      </c>
      <c r="AU187" s="68">
        <f t="shared" si="547"/>
        <v>0</v>
      </c>
      <c r="AV187" s="68">
        <f t="shared" si="548"/>
        <v>0</v>
      </c>
      <c r="AW187" s="421">
        <v>0</v>
      </c>
      <c r="AX187" s="421">
        <v>0</v>
      </c>
      <c r="AY187" s="421">
        <f t="shared" si="549"/>
        <v>0</v>
      </c>
      <c r="AZ187" s="421">
        <f t="shared" si="550"/>
        <v>0</v>
      </c>
      <c r="BA187" s="422">
        <v>0</v>
      </c>
      <c r="BB187" s="422">
        <v>0</v>
      </c>
      <c r="BC187" s="422">
        <v>0</v>
      </c>
      <c r="BD187" s="422">
        <v>0</v>
      </c>
      <c r="BE187" s="422">
        <v>0</v>
      </c>
      <c r="BF187" s="422">
        <v>0</v>
      </c>
      <c r="BG187" s="422">
        <v>0</v>
      </c>
      <c r="BH187" s="422">
        <v>0</v>
      </c>
      <c r="BI187" s="422">
        <v>0</v>
      </c>
      <c r="BJ187" s="422">
        <v>0</v>
      </c>
      <c r="BK187" s="422">
        <f t="shared" si="551"/>
        <v>0</v>
      </c>
      <c r="BL187" s="422">
        <f t="shared" si="552"/>
        <v>0</v>
      </c>
      <c r="BM187" s="611">
        <f t="shared" si="553"/>
        <v>0</v>
      </c>
      <c r="BN187" s="428">
        <f t="shared" si="554"/>
        <v>2011625</v>
      </c>
      <c r="BO187" s="421">
        <f t="shared" si="555"/>
        <v>1482852</v>
      </c>
      <c r="BP187" s="421">
        <f t="shared" si="556"/>
        <v>0</v>
      </c>
      <c r="BQ187" s="421">
        <f t="shared" si="556"/>
        <v>1482852</v>
      </c>
      <c r="BR187" s="421">
        <f t="shared" si="557"/>
        <v>0</v>
      </c>
      <c r="BS187" s="421">
        <f t="shared" si="558"/>
        <v>0</v>
      </c>
      <c r="BT187" s="421">
        <f t="shared" si="558"/>
        <v>0</v>
      </c>
      <c r="BU187" s="421">
        <f t="shared" si="559"/>
        <v>501204</v>
      </c>
      <c r="BV187" s="421">
        <f t="shared" si="559"/>
        <v>14829</v>
      </c>
      <c r="BW187" s="421">
        <f t="shared" si="560"/>
        <v>12740</v>
      </c>
      <c r="BX187" s="422">
        <f t="shared" si="561"/>
        <v>4.45</v>
      </c>
      <c r="BY187" s="422">
        <f t="shared" si="562"/>
        <v>0</v>
      </c>
      <c r="BZ187" s="611">
        <f t="shared" si="562"/>
        <v>4.45</v>
      </c>
      <c r="CA187" s="423"/>
      <c r="CB187" s="418"/>
      <c r="CC187" s="418"/>
      <c r="CD187" s="418"/>
      <c r="CE187" s="418"/>
      <c r="CF187" s="527"/>
    </row>
    <row r="188" spans="1:84" s="222" customFormat="1" ht="12.75" customHeight="1" x14ac:dyDescent="0.2">
      <c r="A188" s="224">
        <v>38</v>
      </c>
      <c r="B188" s="225">
        <v>3435</v>
      </c>
      <c r="C188" s="225">
        <v>650022131</v>
      </c>
      <c r="D188" s="225">
        <v>70981531</v>
      </c>
      <c r="E188" s="226" t="s">
        <v>84</v>
      </c>
      <c r="F188" s="225">
        <v>3143</v>
      </c>
      <c r="G188" s="226" t="s">
        <v>596</v>
      </c>
      <c r="H188" s="227" t="s">
        <v>271</v>
      </c>
      <c r="I188" s="423">
        <f t="shared" si="532"/>
        <v>2149853</v>
      </c>
      <c r="J188" s="418">
        <f t="shared" si="533"/>
        <v>1594847</v>
      </c>
      <c r="K188" s="418">
        <v>1594847</v>
      </c>
      <c r="L188" s="418">
        <v>0</v>
      </c>
      <c r="M188" s="418">
        <f t="shared" si="534"/>
        <v>0</v>
      </c>
      <c r="N188" s="418"/>
      <c r="O188" s="418"/>
      <c r="P188" s="68">
        <f t="shared" si="535"/>
        <v>539058</v>
      </c>
      <c r="Q188" s="68">
        <f t="shared" si="536"/>
        <v>15948</v>
      </c>
      <c r="R188" s="418">
        <v>0</v>
      </c>
      <c r="S188" s="419">
        <f t="shared" si="537"/>
        <v>3.1429</v>
      </c>
      <c r="T188" s="420">
        <v>3.1429</v>
      </c>
      <c r="U188" s="527">
        <v>0</v>
      </c>
      <c r="V188" s="427">
        <f t="shared" si="538"/>
        <v>0</v>
      </c>
      <c r="W188" s="421">
        <f t="shared" si="538"/>
        <v>0</v>
      </c>
      <c r="X188" s="421">
        <v>0</v>
      </c>
      <c r="Y188" s="421">
        <v>0</v>
      </c>
      <c r="Z188" s="421">
        <v>0</v>
      </c>
      <c r="AA188" s="421">
        <v>0</v>
      </c>
      <c r="AB188" s="421">
        <v>0</v>
      </c>
      <c r="AC188" s="421">
        <v>0</v>
      </c>
      <c r="AD188" s="421">
        <v>0</v>
      </c>
      <c r="AE188" s="421">
        <v>0</v>
      </c>
      <c r="AF188" s="421">
        <f t="shared" si="539"/>
        <v>0</v>
      </c>
      <c r="AG188" s="421">
        <f t="shared" si="540"/>
        <v>0</v>
      </c>
      <c r="AH188" s="421">
        <f t="shared" si="541"/>
        <v>0</v>
      </c>
      <c r="AI188" s="421">
        <v>0</v>
      </c>
      <c r="AJ188" s="421">
        <v>0</v>
      </c>
      <c r="AK188" s="421">
        <v>0</v>
      </c>
      <c r="AL188" s="421">
        <v>0</v>
      </c>
      <c r="AM188" s="421">
        <v>0</v>
      </c>
      <c r="AN188" s="421">
        <v>0</v>
      </c>
      <c r="AO188" s="421">
        <f t="shared" si="542"/>
        <v>0</v>
      </c>
      <c r="AP188" s="421">
        <f t="shared" si="543"/>
        <v>0</v>
      </c>
      <c r="AQ188" s="421">
        <f t="shared" si="544"/>
        <v>0</v>
      </c>
      <c r="AR188" s="421">
        <f t="shared" si="545"/>
        <v>0</v>
      </c>
      <c r="AS188" s="421">
        <f t="shared" si="545"/>
        <v>0</v>
      </c>
      <c r="AT188" s="421">
        <f t="shared" si="546"/>
        <v>0</v>
      </c>
      <c r="AU188" s="68">
        <f t="shared" si="547"/>
        <v>0</v>
      </c>
      <c r="AV188" s="68">
        <f t="shared" si="548"/>
        <v>0</v>
      </c>
      <c r="AW188" s="421">
        <v>0</v>
      </c>
      <c r="AX188" s="421">
        <v>0</v>
      </c>
      <c r="AY188" s="421">
        <f t="shared" si="549"/>
        <v>0</v>
      </c>
      <c r="AZ188" s="421">
        <f t="shared" si="550"/>
        <v>0</v>
      </c>
      <c r="BA188" s="422">
        <v>0</v>
      </c>
      <c r="BB188" s="422">
        <v>0</v>
      </c>
      <c r="BC188" s="422">
        <v>0</v>
      </c>
      <c r="BD188" s="422">
        <v>0</v>
      </c>
      <c r="BE188" s="422">
        <v>0</v>
      </c>
      <c r="BF188" s="422">
        <v>0</v>
      </c>
      <c r="BG188" s="422">
        <v>0</v>
      </c>
      <c r="BH188" s="422">
        <v>0</v>
      </c>
      <c r="BI188" s="422">
        <v>0</v>
      </c>
      <c r="BJ188" s="422">
        <v>0</v>
      </c>
      <c r="BK188" s="422">
        <f t="shared" si="551"/>
        <v>0</v>
      </c>
      <c r="BL188" s="422">
        <f t="shared" si="552"/>
        <v>0</v>
      </c>
      <c r="BM188" s="611">
        <f t="shared" si="553"/>
        <v>0</v>
      </c>
      <c r="BN188" s="428">
        <f t="shared" si="554"/>
        <v>2149853</v>
      </c>
      <c r="BO188" s="421">
        <f t="shared" si="555"/>
        <v>1594847</v>
      </c>
      <c r="BP188" s="421">
        <f t="shared" si="556"/>
        <v>1594847</v>
      </c>
      <c r="BQ188" s="421">
        <f t="shared" si="556"/>
        <v>0</v>
      </c>
      <c r="BR188" s="421">
        <f t="shared" si="557"/>
        <v>0</v>
      </c>
      <c r="BS188" s="421">
        <f t="shared" si="558"/>
        <v>0</v>
      </c>
      <c r="BT188" s="421">
        <f t="shared" si="558"/>
        <v>0</v>
      </c>
      <c r="BU188" s="421">
        <f t="shared" si="559"/>
        <v>539058</v>
      </c>
      <c r="BV188" s="421">
        <f t="shared" si="559"/>
        <v>15948</v>
      </c>
      <c r="BW188" s="421">
        <f t="shared" si="560"/>
        <v>0</v>
      </c>
      <c r="BX188" s="422">
        <f t="shared" si="561"/>
        <v>3.1429</v>
      </c>
      <c r="BY188" s="422">
        <f t="shared" si="562"/>
        <v>3.1429</v>
      </c>
      <c r="BZ188" s="611">
        <f t="shared" si="562"/>
        <v>0</v>
      </c>
      <c r="CA188" s="423"/>
      <c r="CB188" s="418"/>
      <c r="CC188" s="418"/>
      <c r="CD188" s="418"/>
      <c r="CE188" s="418"/>
      <c r="CF188" s="527"/>
    </row>
    <row r="189" spans="1:84" s="222" customFormat="1" ht="12.75" customHeight="1" x14ac:dyDescent="0.2">
      <c r="A189" s="224">
        <v>38</v>
      </c>
      <c r="B189" s="225">
        <v>3435</v>
      </c>
      <c r="C189" s="225">
        <v>650022131</v>
      </c>
      <c r="D189" s="225">
        <v>70981531</v>
      </c>
      <c r="E189" s="226" t="s">
        <v>84</v>
      </c>
      <c r="F189" s="225">
        <v>3143</v>
      </c>
      <c r="G189" s="226" t="s">
        <v>597</v>
      </c>
      <c r="H189" s="227" t="s">
        <v>272</v>
      </c>
      <c r="I189" s="423">
        <f t="shared" si="532"/>
        <v>58903</v>
      </c>
      <c r="J189" s="418">
        <f t="shared" si="533"/>
        <v>42161</v>
      </c>
      <c r="K189" s="418">
        <v>0</v>
      </c>
      <c r="L189" s="418">
        <v>42161</v>
      </c>
      <c r="M189" s="418">
        <f t="shared" si="534"/>
        <v>0</v>
      </c>
      <c r="N189" s="418"/>
      <c r="O189" s="418"/>
      <c r="P189" s="68">
        <f t="shared" si="535"/>
        <v>14250</v>
      </c>
      <c r="Q189" s="68">
        <f t="shared" si="536"/>
        <v>422</v>
      </c>
      <c r="R189" s="418">
        <v>2070</v>
      </c>
      <c r="S189" s="419">
        <f t="shared" si="537"/>
        <v>0.16</v>
      </c>
      <c r="T189" s="420">
        <v>0</v>
      </c>
      <c r="U189" s="527">
        <v>0.16</v>
      </c>
      <c r="V189" s="427">
        <f t="shared" si="538"/>
        <v>0</v>
      </c>
      <c r="W189" s="421">
        <f t="shared" si="538"/>
        <v>0</v>
      </c>
      <c r="X189" s="421">
        <v>0</v>
      </c>
      <c r="Y189" s="421">
        <v>0</v>
      </c>
      <c r="Z189" s="421">
        <v>0</v>
      </c>
      <c r="AA189" s="421">
        <v>0</v>
      </c>
      <c r="AB189" s="421">
        <v>0</v>
      </c>
      <c r="AC189" s="421">
        <v>0</v>
      </c>
      <c r="AD189" s="421">
        <v>0</v>
      </c>
      <c r="AE189" s="421">
        <v>0</v>
      </c>
      <c r="AF189" s="421">
        <f t="shared" si="539"/>
        <v>0</v>
      </c>
      <c r="AG189" s="421">
        <f t="shared" si="540"/>
        <v>0</v>
      </c>
      <c r="AH189" s="421">
        <f t="shared" si="541"/>
        <v>0</v>
      </c>
      <c r="AI189" s="421">
        <v>0</v>
      </c>
      <c r="AJ189" s="421">
        <v>0</v>
      </c>
      <c r="AK189" s="421">
        <v>0</v>
      </c>
      <c r="AL189" s="421">
        <v>0</v>
      </c>
      <c r="AM189" s="421">
        <v>0</v>
      </c>
      <c r="AN189" s="421">
        <v>0</v>
      </c>
      <c r="AO189" s="421">
        <f t="shared" si="542"/>
        <v>0</v>
      </c>
      <c r="AP189" s="421">
        <f t="shared" si="543"/>
        <v>0</v>
      </c>
      <c r="AQ189" s="421">
        <f t="shared" si="544"/>
        <v>0</v>
      </c>
      <c r="AR189" s="421">
        <f t="shared" si="545"/>
        <v>0</v>
      </c>
      <c r="AS189" s="421">
        <f t="shared" si="545"/>
        <v>0</v>
      </c>
      <c r="AT189" s="421">
        <f t="shared" si="546"/>
        <v>0</v>
      </c>
      <c r="AU189" s="68">
        <f t="shared" si="547"/>
        <v>0</v>
      </c>
      <c r="AV189" s="68">
        <f t="shared" si="548"/>
        <v>0</v>
      </c>
      <c r="AW189" s="421">
        <v>0</v>
      </c>
      <c r="AX189" s="421">
        <v>0</v>
      </c>
      <c r="AY189" s="421">
        <f t="shared" si="549"/>
        <v>0</v>
      </c>
      <c r="AZ189" s="421">
        <f t="shared" si="550"/>
        <v>0</v>
      </c>
      <c r="BA189" s="422">
        <v>0</v>
      </c>
      <c r="BB189" s="422">
        <v>0</v>
      </c>
      <c r="BC189" s="422">
        <v>0</v>
      </c>
      <c r="BD189" s="422">
        <v>0</v>
      </c>
      <c r="BE189" s="422">
        <v>0</v>
      </c>
      <c r="BF189" s="422">
        <v>0</v>
      </c>
      <c r="BG189" s="422">
        <v>0</v>
      </c>
      <c r="BH189" s="422">
        <v>0</v>
      </c>
      <c r="BI189" s="422">
        <v>0</v>
      </c>
      <c r="BJ189" s="422">
        <v>0</v>
      </c>
      <c r="BK189" s="422">
        <f t="shared" si="551"/>
        <v>0</v>
      </c>
      <c r="BL189" s="422">
        <f t="shared" si="552"/>
        <v>0</v>
      </c>
      <c r="BM189" s="611">
        <f t="shared" si="553"/>
        <v>0</v>
      </c>
      <c r="BN189" s="428">
        <f t="shared" si="554"/>
        <v>58903</v>
      </c>
      <c r="BO189" s="421">
        <f t="shared" si="555"/>
        <v>42161</v>
      </c>
      <c r="BP189" s="421">
        <f t="shared" si="556"/>
        <v>0</v>
      </c>
      <c r="BQ189" s="421">
        <f t="shared" si="556"/>
        <v>42161</v>
      </c>
      <c r="BR189" s="421">
        <f t="shared" si="557"/>
        <v>0</v>
      </c>
      <c r="BS189" s="421">
        <f t="shared" si="558"/>
        <v>0</v>
      </c>
      <c r="BT189" s="421">
        <f t="shared" si="558"/>
        <v>0</v>
      </c>
      <c r="BU189" s="421">
        <f t="shared" si="559"/>
        <v>14250</v>
      </c>
      <c r="BV189" s="421">
        <f t="shared" si="559"/>
        <v>422</v>
      </c>
      <c r="BW189" s="421">
        <f t="shared" si="560"/>
        <v>2070</v>
      </c>
      <c r="BX189" s="422">
        <f t="shared" si="561"/>
        <v>0.16</v>
      </c>
      <c r="BY189" s="422">
        <f t="shared" si="562"/>
        <v>0</v>
      </c>
      <c r="BZ189" s="611">
        <f t="shared" si="562"/>
        <v>0.16</v>
      </c>
      <c r="CA189" s="423"/>
      <c r="CB189" s="418"/>
      <c r="CC189" s="418"/>
      <c r="CD189" s="418"/>
      <c r="CE189" s="418"/>
      <c r="CF189" s="527"/>
    </row>
    <row r="190" spans="1:84" s="222" customFormat="1" ht="12.75" customHeight="1" thickBot="1" x14ac:dyDescent="0.25">
      <c r="A190" s="156">
        <v>38</v>
      </c>
      <c r="B190" s="157">
        <v>3435</v>
      </c>
      <c r="C190" s="158">
        <v>650022131</v>
      </c>
      <c r="D190" s="158">
        <v>70981531</v>
      </c>
      <c r="E190" s="228" t="s">
        <v>85</v>
      </c>
      <c r="F190" s="157"/>
      <c r="G190" s="228"/>
      <c r="H190" s="593"/>
      <c r="I190" s="615">
        <f t="shared" ref="I190:BT190" si="563">SUM(I184:I189)</f>
        <v>37154245</v>
      </c>
      <c r="J190" s="616">
        <f t="shared" si="563"/>
        <v>27261434</v>
      </c>
      <c r="K190" s="616">
        <f t="shared" si="563"/>
        <v>23859915</v>
      </c>
      <c r="L190" s="616">
        <f t="shared" si="563"/>
        <v>3401519</v>
      </c>
      <c r="M190" s="616">
        <f t="shared" si="563"/>
        <v>0</v>
      </c>
      <c r="N190" s="616">
        <f t="shared" si="563"/>
        <v>0</v>
      </c>
      <c r="O190" s="616">
        <f t="shared" si="563"/>
        <v>0</v>
      </c>
      <c r="P190" s="616">
        <f t="shared" si="563"/>
        <v>9214364</v>
      </c>
      <c r="Q190" s="616">
        <f t="shared" si="563"/>
        <v>272615</v>
      </c>
      <c r="R190" s="616">
        <f t="shared" si="563"/>
        <v>405832</v>
      </c>
      <c r="S190" s="617">
        <f t="shared" si="563"/>
        <v>47.956299999999999</v>
      </c>
      <c r="T190" s="617">
        <f t="shared" si="563"/>
        <v>37.433399999999992</v>
      </c>
      <c r="U190" s="618">
        <f t="shared" si="563"/>
        <v>10.5229</v>
      </c>
      <c r="V190" s="619">
        <f t="shared" si="563"/>
        <v>-9600</v>
      </c>
      <c r="W190" s="616">
        <f t="shared" si="563"/>
        <v>-6400</v>
      </c>
      <c r="X190" s="616">
        <f t="shared" si="563"/>
        <v>4866200</v>
      </c>
      <c r="Y190" s="616">
        <f t="shared" si="563"/>
        <v>0</v>
      </c>
      <c r="Z190" s="616">
        <f t="shared" si="563"/>
        <v>0</v>
      </c>
      <c r="AA190" s="616">
        <f t="shared" si="563"/>
        <v>0</v>
      </c>
      <c r="AB190" s="616">
        <f t="shared" si="563"/>
        <v>282000</v>
      </c>
      <c r="AC190" s="616">
        <f t="shared" si="563"/>
        <v>0</v>
      </c>
      <c r="AD190" s="616">
        <f t="shared" si="563"/>
        <v>0</v>
      </c>
      <c r="AE190" s="616">
        <f t="shared" si="563"/>
        <v>0</v>
      </c>
      <c r="AF190" s="616">
        <f t="shared" si="563"/>
        <v>5138600</v>
      </c>
      <c r="AG190" s="616">
        <f t="shared" si="563"/>
        <v>-6400</v>
      </c>
      <c r="AH190" s="616">
        <f t="shared" si="563"/>
        <v>5132200</v>
      </c>
      <c r="AI190" s="616">
        <f t="shared" si="563"/>
        <v>9600</v>
      </c>
      <c r="AJ190" s="616">
        <f t="shared" si="563"/>
        <v>6400</v>
      </c>
      <c r="AK190" s="616">
        <f t="shared" ref="AK190" si="564">SUM(AK184:AK189)</f>
        <v>169200</v>
      </c>
      <c r="AL190" s="616">
        <f t="shared" si="563"/>
        <v>0</v>
      </c>
      <c r="AM190" s="616">
        <f t="shared" si="563"/>
        <v>0</v>
      </c>
      <c r="AN190" s="616">
        <f t="shared" si="563"/>
        <v>0</v>
      </c>
      <c r="AO190" s="616">
        <f t="shared" si="563"/>
        <v>178800</v>
      </c>
      <c r="AP190" s="616">
        <f t="shared" si="563"/>
        <v>6400</v>
      </c>
      <c r="AQ190" s="616">
        <f t="shared" si="563"/>
        <v>185200</v>
      </c>
      <c r="AR190" s="616">
        <f t="shared" si="563"/>
        <v>5317400</v>
      </c>
      <c r="AS190" s="616">
        <f t="shared" si="563"/>
        <v>0</v>
      </c>
      <c r="AT190" s="616">
        <f t="shared" si="563"/>
        <v>5317400</v>
      </c>
      <c r="AU190" s="616">
        <f t="shared" si="563"/>
        <v>1797282</v>
      </c>
      <c r="AV190" s="616">
        <f t="shared" si="563"/>
        <v>51322</v>
      </c>
      <c r="AW190" s="616">
        <f t="shared" si="563"/>
        <v>0</v>
      </c>
      <c r="AX190" s="616">
        <f t="shared" si="563"/>
        <v>0</v>
      </c>
      <c r="AY190" s="616">
        <f t="shared" si="563"/>
        <v>0</v>
      </c>
      <c r="AZ190" s="616">
        <f t="shared" si="563"/>
        <v>7166004</v>
      </c>
      <c r="BA190" s="617">
        <f t="shared" si="563"/>
        <v>0</v>
      </c>
      <c r="BB190" s="617">
        <f t="shared" si="563"/>
        <v>-0.02</v>
      </c>
      <c r="BC190" s="617">
        <f t="shared" si="563"/>
        <v>12.93</v>
      </c>
      <c r="BD190" s="617">
        <f t="shared" si="563"/>
        <v>0.5</v>
      </c>
      <c r="BE190" s="617">
        <f t="shared" si="563"/>
        <v>0</v>
      </c>
      <c r="BF190" s="617">
        <f t="shared" si="563"/>
        <v>0</v>
      </c>
      <c r="BG190" s="617">
        <f t="shared" si="563"/>
        <v>0</v>
      </c>
      <c r="BH190" s="617">
        <f t="shared" si="563"/>
        <v>0</v>
      </c>
      <c r="BI190" s="617">
        <f t="shared" si="563"/>
        <v>0</v>
      </c>
      <c r="BJ190" s="617">
        <f t="shared" si="563"/>
        <v>0</v>
      </c>
      <c r="BK190" s="617">
        <f t="shared" si="563"/>
        <v>13.43</v>
      </c>
      <c r="BL190" s="617">
        <f t="shared" si="563"/>
        <v>-0.02</v>
      </c>
      <c r="BM190" s="583">
        <f t="shared" si="563"/>
        <v>13.41</v>
      </c>
      <c r="BN190" s="615">
        <f t="shared" si="563"/>
        <v>44320249</v>
      </c>
      <c r="BO190" s="616">
        <f t="shared" si="563"/>
        <v>32393634</v>
      </c>
      <c r="BP190" s="616">
        <f t="shared" si="563"/>
        <v>28998515</v>
      </c>
      <c r="BQ190" s="616">
        <f t="shared" si="563"/>
        <v>3395119</v>
      </c>
      <c r="BR190" s="616">
        <f t="shared" si="563"/>
        <v>185200</v>
      </c>
      <c r="BS190" s="616">
        <f t="shared" si="563"/>
        <v>178800</v>
      </c>
      <c r="BT190" s="616">
        <f t="shared" si="563"/>
        <v>6400</v>
      </c>
      <c r="BU190" s="616">
        <f t="shared" ref="BU190:CF190" si="565">SUM(BU184:BU189)</f>
        <v>11011646</v>
      </c>
      <c r="BV190" s="616">
        <f t="shared" si="565"/>
        <v>323937</v>
      </c>
      <c r="BW190" s="616">
        <f t="shared" si="565"/>
        <v>405832</v>
      </c>
      <c r="BX190" s="617">
        <f t="shared" si="565"/>
        <v>61.366299999999995</v>
      </c>
      <c r="BY190" s="617">
        <f t="shared" si="565"/>
        <v>50.863399999999992</v>
      </c>
      <c r="BZ190" s="583">
        <f t="shared" si="565"/>
        <v>10.5029</v>
      </c>
      <c r="CA190" s="835">
        <f t="shared" si="565"/>
        <v>606526</v>
      </c>
      <c r="CB190" s="836">
        <f t="shared" si="565"/>
        <v>282000</v>
      </c>
      <c r="CC190" s="836">
        <f t="shared" si="565"/>
        <v>169200</v>
      </c>
      <c r="CD190" s="836">
        <f t="shared" si="565"/>
        <v>152506</v>
      </c>
      <c r="CE190" s="836">
        <f t="shared" si="565"/>
        <v>2820</v>
      </c>
      <c r="CF190" s="830">
        <f t="shared" si="565"/>
        <v>0.5</v>
      </c>
    </row>
    <row r="191" spans="1:84" s="222" customFormat="1" ht="12.75" customHeight="1" thickBot="1" x14ac:dyDescent="0.25">
      <c r="A191" s="229"/>
      <c r="B191" s="230"/>
      <c r="C191" s="230"/>
      <c r="D191" s="230"/>
      <c r="E191" s="85" t="s">
        <v>753</v>
      </c>
      <c r="F191" s="230"/>
      <c r="G191" s="230"/>
      <c r="H191" s="586"/>
      <c r="I191" s="587">
        <f t="shared" ref="I191:BU191" si="566">I13+I17+I20+I24+I28+I31+I35+I39+I43+I47+I51+I55+I58+I62+I66+I70+I74+I78+I83+I89+I95+I101+I107+I113+I119+I125+I131+I137+I139+I147+I154+I158+I163+I167+I174+I177+I183+I190</f>
        <v>614938429</v>
      </c>
      <c r="J191" s="588">
        <f t="shared" si="566"/>
        <v>451874820</v>
      </c>
      <c r="K191" s="588">
        <f t="shared" si="566"/>
        <v>393557065</v>
      </c>
      <c r="L191" s="588">
        <f t="shared" si="566"/>
        <v>58317755</v>
      </c>
      <c r="M191" s="588">
        <f t="shared" si="566"/>
        <v>0</v>
      </c>
      <c r="N191" s="588">
        <f t="shared" si="566"/>
        <v>0</v>
      </c>
      <c r="O191" s="588">
        <f t="shared" si="566"/>
        <v>0</v>
      </c>
      <c r="P191" s="588">
        <f t="shared" si="566"/>
        <v>152733689</v>
      </c>
      <c r="Q191" s="588">
        <f t="shared" si="566"/>
        <v>4518750</v>
      </c>
      <c r="R191" s="588">
        <f t="shared" si="566"/>
        <v>5811170</v>
      </c>
      <c r="S191" s="584">
        <f t="shared" si="566"/>
        <v>788.82709999999997</v>
      </c>
      <c r="T191" s="584">
        <f t="shared" si="566"/>
        <v>609.42650000000015</v>
      </c>
      <c r="U191" s="585">
        <f t="shared" si="566"/>
        <v>179.40059999999997</v>
      </c>
      <c r="V191" s="594">
        <f t="shared" si="566"/>
        <v>-357123</v>
      </c>
      <c r="W191" s="588">
        <f t="shared" si="566"/>
        <v>-243392</v>
      </c>
      <c r="X191" s="588">
        <f t="shared" si="566"/>
        <v>41959984</v>
      </c>
      <c r="Y191" s="588">
        <f t="shared" si="566"/>
        <v>0</v>
      </c>
      <c r="Z191" s="588">
        <f t="shared" si="566"/>
        <v>0</v>
      </c>
      <c r="AA191" s="588">
        <f t="shared" si="566"/>
        <v>511726</v>
      </c>
      <c r="AB191" s="769">
        <f t="shared" si="566"/>
        <v>1974000</v>
      </c>
      <c r="AC191" s="588">
        <f t="shared" si="566"/>
        <v>0</v>
      </c>
      <c r="AD191" s="588">
        <f t="shared" si="566"/>
        <v>0</v>
      </c>
      <c r="AE191" s="588">
        <f t="shared" si="566"/>
        <v>0</v>
      </c>
      <c r="AF191" s="588">
        <f t="shared" si="566"/>
        <v>44088587</v>
      </c>
      <c r="AG191" s="588">
        <f t="shared" si="566"/>
        <v>-243392</v>
      </c>
      <c r="AH191" s="588">
        <f t="shared" si="566"/>
        <v>43845195</v>
      </c>
      <c r="AI191" s="588">
        <f t="shared" si="566"/>
        <v>357123</v>
      </c>
      <c r="AJ191" s="588">
        <f t="shared" si="566"/>
        <v>243392</v>
      </c>
      <c r="AK191" s="769">
        <f t="shared" ref="AK191" si="567">AK13+AK17+AK20+AK24+AK28+AK31+AK35+AK39+AK43+AK47+AK51+AK55+AK58+AK62+AK66+AK70+AK74+AK78+AK83+AK89+AK95+AK101+AK107+AK113+AK119+AK125+AK131+AK137+AK139+AK147+AK154+AK158+AK163+AK167+AK174+AK177+AK183+AK190</f>
        <v>498012</v>
      </c>
      <c r="AL191" s="588">
        <f t="shared" si="566"/>
        <v>0</v>
      </c>
      <c r="AM191" s="588">
        <f t="shared" si="566"/>
        <v>220730</v>
      </c>
      <c r="AN191" s="588">
        <f t="shared" si="566"/>
        <v>0</v>
      </c>
      <c r="AO191" s="588">
        <f t="shared" si="566"/>
        <v>1075865</v>
      </c>
      <c r="AP191" s="588">
        <f t="shared" si="566"/>
        <v>243392</v>
      </c>
      <c r="AQ191" s="588">
        <f t="shared" si="566"/>
        <v>1319257</v>
      </c>
      <c r="AR191" s="588">
        <f t="shared" si="566"/>
        <v>45164452</v>
      </c>
      <c r="AS191" s="588">
        <f t="shared" si="566"/>
        <v>0</v>
      </c>
      <c r="AT191" s="588">
        <f t="shared" si="566"/>
        <v>45164452</v>
      </c>
      <c r="AU191" s="588">
        <f t="shared" si="566"/>
        <v>15190978</v>
      </c>
      <c r="AV191" s="588">
        <f t="shared" si="566"/>
        <v>438451</v>
      </c>
      <c r="AW191" s="588">
        <f t="shared" si="566"/>
        <v>10750</v>
      </c>
      <c r="AX191" s="588">
        <f t="shared" si="566"/>
        <v>0</v>
      </c>
      <c r="AY191" s="588">
        <f t="shared" si="566"/>
        <v>10750</v>
      </c>
      <c r="AZ191" s="588">
        <f t="shared" si="566"/>
        <v>60804631</v>
      </c>
      <c r="BA191" s="584">
        <f t="shared" si="566"/>
        <v>-0.27</v>
      </c>
      <c r="BB191" s="584">
        <f t="shared" si="566"/>
        <v>-0.67999999999999994</v>
      </c>
      <c r="BC191" s="584">
        <f t="shared" si="566"/>
        <v>111.19</v>
      </c>
      <c r="BD191" s="584">
        <f t="shared" si="566"/>
        <v>3.5</v>
      </c>
      <c r="BE191" s="584">
        <f t="shared" si="566"/>
        <v>0</v>
      </c>
      <c r="BF191" s="584">
        <f t="shared" si="566"/>
        <v>0</v>
      </c>
      <c r="BG191" s="584">
        <f t="shared" si="566"/>
        <v>0</v>
      </c>
      <c r="BH191" s="584">
        <f t="shared" si="566"/>
        <v>0.73</v>
      </c>
      <c r="BI191" s="584">
        <f t="shared" si="566"/>
        <v>0</v>
      </c>
      <c r="BJ191" s="584">
        <f t="shared" si="566"/>
        <v>0</v>
      </c>
      <c r="BK191" s="584">
        <f t="shared" si="566"/>
        <v>115.15</v>
      </c>
      <c r="BL191" s="584">
        <f t="shared" si="566"/>
        <v>-0.67999999999999994</v>
      </c>
      <c r="BM191" s="635">
        <f t="shared" si="566"/>
        <v>114.47000000000001</v>
      </c>
      <c r="BN191" s="587">
        <f t="shared" si="566"/>
        <v>675743060</v>
      </c>
      <c r="BO191" s="588">
        <f t="shared" si="566"/>
        <v>495720015</v>
      </c>
      <c r="BP191" s="588">
        <f t="shared" si="566"/>
        <v>437645652</v>
      </c>
      <c r="BQ191" s="588">
        <f t="shared" si="566"/>
        <v>58074363</v>
      </c>
      <c r="BR191" s="588">
        <f t="shared" si="566"/>
        <v>1319257</v>
      </c>
      <c r="BS191" s="588">
        <f t="shared" si="566"/>
        <v>1075865</v>
      </c>
      <c r="BT191" s="588">
        <f t="shared" si="566"/>
        <v>243392</v>
      </c>
      <c r="BU191" s="588">
        <f t="shared" si="566"/>
        <v>167924667</v>
      </c>
      <c r="BV191" s="588">
        <f t="shared" ref="BV191:CF191" si="568">BV13+BV17+BV20+BV24+BV28+BV31+BV35+BV39+BV43+BV47+BV51+BV55+BV58+BV62+BV66+BV70+BV74+BV78+BV83+BV89+BV95+BV101+BV107+BV113+BV119+BV125+BV131+BV137+BV139+BV147+BV154+BV158+BV163+BV167+BV174+BV177+BV183+BV190</f>
        <v>4957201</v>
      </c>
      <c r="BW191" s="588">
        <f t="shared" si="568"/>
        <v>5821920</v>
      </c>
      <c r="BX191" s="584">
        <f t="shared" si="568"/>
        <v>903.2971</v>
      </c>
      <c r="BY191" s="584">
        <f t="shared" si="568"/>
        <v>724.5764999999999</v>
      </c>
      <c r="BZ191" s="635">
        <f t="shared" si="568"/>
        <v>178.72059999999999</v>
      </c>
      <c r="CA191" s="837">
        <f t="shared" si="568"/>
        <v>3327292</v>
      </c>
      <c r="CB191" s="769">
        <f t="shared" si="568"/>
        <v>1974000</v>
      </c>
      <c r="CC191" s="769">
        <f t="shared" si="568"/>
        <v>498012</v>
      </c>
      <c r="CD191" s="769">
        <f t="shared" si="568"/>
        <v>835540</v>
      </c>
      <c r="CE191" s="769">
        <f t="shared" si="568"/>
        <v>19740</v>
      </c>
      <c r="CF191" s="838">
        <f t="shared" si="568"/>
        <v>3.5</v>
      </c>
    </row>
    <row r="192" spans="1:84" ht="12.75" customHeight="1" x14ac:dyDescent="0.2">
      <c r="D192" s="9"/>
      <c r="E192" s="5"/>
      <c r="F192" s="9"/>
      <c r="G192" s="5"/>
      <c r="H192" s="5"/>
      <c r="I192" s="432">
        <f>J191+M191+P191+Q191+R191</f>
        <v>614938429</v>
      </c>
      <c r="J192" s="432">
        <f>SUM(K191:L191)</f>
        <v>451874820</v>
      </c>
      <c r="K192" s="432"/>
      <c r="L192" s="432"/>
      <c r="M192" s="432">
        <f>SUM(N191:O191)</f>
        <v>0</v>
      </c>
      <c r="N192" s="432"/>
      <c r="O192" s="432"/>
      <c r="P192" s="432"/>
      <c r="Q192" s="432"/>
      <c r="R192" s="432"/>
      <c r="S192" s="433">
        <f>SUM(T191:U191)</f>
        <v>788.82710000000009</v>
      </c>
      <c r="T192" s="433"/>
      <c r="U192" s="433"/>
      <c r="V192" s="432">
        <f>AI191</f>
        <v>357123</v>
      </c>
      <c r="W192" s="432">
        <f>AJ191</f>
        <v>243392</v>
      </c>
      <c r="X192" s="433"/>
      <c r="Y192" s="432"/>
      <c r="Z192" s="432"/>
      <c r="AA192" s="433"/>
      <c r="AB192" s="433"/>
      <c r="AC192" s="433"/>
      <c r="AD192" s="433"/>
      <c r="AE192" s="433"/>
      <c r="AF192" s="434"/>
      <c r="AG192" s="434"/>
      <c r="AH192" s="434">
        <f>SUM(AF191:AG191)</f>
        <v>43845195</v>
      </c>
      <c r="AI192" s="434">
        <f>V191</f>
        <v>-357123</v>
      </c>
      <c r="AJ192" s="434">
        <f>W191</f>
        <v>-243392</v>
      </c>
      <c r="AK192" s="434"/>
      <c r="AL192" s="435"/>
      <c r="AM192" s="435"/>
      <c r="AN192" s="435"/>
      <c r="AO192" s="434"/>
      <c r="AP192" s="434"/>
      <c r="AQ192" s="434">
        <f>SUM(AO191:AP191)</f>
        <v>1319257</v>
      </c>
      <c r="AR192" s="434"/>
      <c r="AS192" s="434"/>
      <c r="AT192" s="434">
        <f>SUM(AR191:AS191)</f>
        <v>45164452</v>
      </c>
      <c r="AU192" s="436"/>
      <c r="AV192" s="436"/>
      <c r="AW192" s="435"/>
      <c r="AX192" s="435"/>
      <c r="AY192" s="434">
        <f>SUM(AW191:AX191)</f>
        <v>10750</v>
      </c>
      <c r="AZ192" s="434">
        <f>AH191+AQ191+AU191+AV191+AY191</f>
        <v>60804631</v>
      </c>
      <c r="BA192" s="437"/>
      <c r="BB192" s="437"/>
      <c r="BC192" s="437"/>
      <c r="BD192" s="437"/>
      <c r="BE192" s="437"/>
      <c r="BF192" s="437"/>
      <c r="BG192" s="437"/>
      <c r="BH192" s="437"/>
      <c r="BI192" s="437"/>
      <c r="BJ192" s="437"/>
      <c r="BK192" s="525">
        <f>BA191+BC191+BD191+BF191+BH191+BI191</f>
        <v>115.15</v>
      </c>
      <c r="BL192" s="525">
        <f>BB191+BE191+BG191+BJ191</f>
        <v>-0.67999999999999994</v>
      </c>
      <c r="BM192" s="525">
        <f>SUM(BK191:BL191)</f>
        <v>114.47</v>
      </c>
      <c r="BN192" s="432">
        <f>BO191+BR191+BU191+BV191+BW191</f>
        <v>675743060</v>
      </c>
      <c r="BO192" s="432">
        <f>SUM(BP191:BQ191)</f>
        <v>495720015</v>
      </c>
      <c r="BP192" s="435">
        <f>K191+AF191</f>
        <v>437645652</v>
      </c>
      <c r="BQ192" s="435">
        <f>L191+AG191</f>
        <v>58074363</v>
      </c>
      <c r="BR192" s="86">
        <f>SUM(BS191:BT191)</f>
        <v>1319257</v>
      </c>
      <c r="BS192" s="435">
        <f>N191+AO191</f>
        <v>1075865</v>
      </c>
      <c r="BT192" s="435">
        <f>O191+AP191</f>
        <v>243392</v>
      </c>
      <c r="BU192" s="435">
        <f>P191+AU191</f>
        <v>167924667</v>
      </c>
      <c r="BV192" s="435">
        <f>Q191+AV191</f>
        <v>4957201</v>
      </c>
      <c r="BW192" s="435">
        <f>R191+AY191</f>
        <v>5821920</v>
      </c>
      <c r="BX192" s="433">
        <f>SUM(BY191:BZ191)</f>
        <v>903.29709999999989</v>
      </c>
      <c r="BY192" s="437">
        <f>T191+BK191</f>
        <v>724.57650000000012</v>
      </c>
      <c r="BZ192" s="437">
        <f>U191+BL191</f>
        <v>178.72059999999996</v>
      </c>
      <c r="CA192" s="236">
        <f>SUM(CB191:CE191)</f>
        <v>3327292</v>
      </c>
    </row>
    <row r="193" spans="4:84" ht="12.75" customHeight="1" thickBot="1" x14ac:dyDescent="0.25">
      <c r="D193" s="9"/>
      <c r="E193" s="5"/>
      <c r="F193" s="9"/>
      <c r="G193" s="5"/>
      <c r="H193" s="5"/>
      <c r="I193" s="432">
        <f>J194+M194+P194+Q194+R194</f>
        <v>614938429</v>
      </c>
      <c r="J193" s="432">
        <f>SUM(K194:L194)</f>
        <v>451874820</v>
      </c>
      <c r="K193" s="432"/>
      <c r="L193" s="432"/>
      <c r="M193" s="432">
        <f>SUM(N194:O194)</f>
        <v>0</v>
      </c>
      <c r="N193" s="432"/>
      <c r="O193" s="432"/>
      <c r="P193" s="432"/>
      <c r="Q193" s="432"/>
      <c r="R193" s="432"/>
      <c r="S193" s="433">
        <f>SUM(T194:U194)</f>
        <v>788.82709999999986</v>
      </c>
      <c r="T193" s="433"/>
      <c r="U193" s="433"/>
      <c r="V193" s="432">
        <f>AI194</f>
        <v>357123</v>
      </c>
      <c r="W193" s="432">
        <f>AJ194</f>
        <v>243392</v>
      </c>
      <c r="X193" s="433"/>
      <c r="Y193" s="432"/>
      <c r="Z193" s="432"/>
      <c r="AA193" s="433"/>
      <c r="AB193" s="433"/>
      <c r="AC193" s="433"/>
      <c r="AD193" s="433"/>
      <c r="AE193" s="433"/>
      <c r="AF193" s="434"/>
      <c r="AG193" s="434"/>
      <c r="AH193" s="434">
        <f>SUM(AF194:AG194)</f>
        <v>43845195</v>
      </c>
      <c r="AI193" s="434"/>
      <c r="AJ193" s="434"/>
      <c r="AK193" s="434"/>
      <c r="AL193" s="435"/>
      <c r="AM193" s="435"/>
      <c r="AN193" s="435"/>
      <c r="AO193" s="434"/>
      <c r="AP193" s="434"/>
      <c r="AQ193" s="434">
        <f>SUM(AO194:AP194)</f>
        <v>1319257</v>
      </c>
      <c r="AR193" s="434"/>
      <c r="AS193" s="434"/>
      <c r="AT193" s="434">
        <f>SUM(AR194:AS194)</f>
        <v>45164452</v>
      </c>
      <c r="AU193" s="436"/>
      <c r="AV193" s="436"/>
      <c r="AW193" s="435"/>
      <c r="AX193" s="435"/>
      <c r="AY193" s="434">
        <f>SUM(AW194:AX194)</f>
        <v>10750</v>
      </c>
      <c r="AZ193" s="434">
        <f>AH194+AQ194+AU194+AV194+AY194</f>
        <v>60804631</v>
      </c>
      <c r="BA193" s="437"/>
      <c r="BB193" s="437"/>
      <c r="BC193" s="437"/>
      <c r="BD193" s="437"/>
      <c r="BE193" s="437"/>
      <c r="BF193" s="437"/>
      <c r="BG193" s="437"/>
      <c r="BH193" s="437"/>
      <c r="BI193" s="437"/>
      <c r="BJ193" s="437"/>
      <c r="BK193" s="525">
        <f>BA194+BC194+BD194+BF194+BH194+BI194</f>
        <v>115.15</v>
      </c>
      <c r="BL193" s="525">
        <f>BB194+BE194+BG194+BJ194</f>
        <v>-0.67999999999999994</v>
      </c>
      <c r="BM193" s="525">
        <f>SUM(BK194:BL194)</f>
        <v>114.46999999999998</v>
      </c>
      <c r="BN193" s="432">
        <f>BO194+BR194+BU194+BV194+BW194</f>
        <v>675743060</v>
      </c>
      <c r="BO193" s="432">
        <f>SUM(BP194:BQ194)</f>
        <v>495720015</v>
      </c>
      <c r="BP193" s="53"/>
      <c r="BQ193" s="53"/>
      <c r="BR193" s="86">
        <f>SUM(BS194:BT194)</f>
        <v>1319257</v>
      </c>
      <c r="BS193" s="53"/>
      <c r="BT193" s="53"/>
      <c r="BU193" s="53"/>
      <c r="BV193" s="53"/>
      <c r="BW193" s="53"/>
      <c r="BX193" s="433">
        <f>SUM(BY194:BZ194)</f>
        <v>903.29709999999989</v>
      </c>
      <c r="BY193" s="87"/>
      <c r="BZ193" s="87"/>
      <c r="CA193" s="236">
        <f>SUM(CB194:CE194)</f>
        <v>3327292</v>
      </c>
    </row>
    <row r="194" spans="4:84" ht="12.75" customHeight="1" thickBot="1" x14ac:dyDescent="0.25">
      <c r="D194" s="9"/>
      <c r="E194" s="5"/>
      <c r="F194" s="9"/>
      <c r="G194" s="5"/>
      <c r="H194" s="446" t="s">
        <v>0</v>
      </c>
      <c r="I194" s="139">
        <f t="shared" ref="I194:BU194" si="569">SUM(I195:I204)</f>
        <v>614938429</v>
      </c>
      <c r="J194" s="34">
        <f t="shared" si="569"/>
        <v>451874820</v>
      </c>
      <c r="K194" s="34">
        <f t="shared" si="569"/>
        <v>393557065</v>
      </c>
      <c r="L194" s="34">
        <f t="shared" si="569"/>
        <v>58317755</v>
      </c>
      <c r="M194" s="34">
        <f t="shared" si="569"/>
        <v>0</v>
      </c>
      <c r="N194" s="34">
        <f t="shared" si="569"/>
        <v>0</v>
      </c>
      <c r="O194" s="34">
        <f t="shared" si="569"/>
        <v>0</v>
      </c>
      <c r="P194" s="34">
        <f t="shared" si="569"/>
        <v>152733689</v>
      </c>
      <c r="Q194" s="34">
        <f t="shared" si="569"/>
        <v>4518750</v>
      </c>
      <c r="R194" s="34">
        <f t="shared" si="569"/>
        <v>5811170</v>
      </c>
      <c r="S194" s="35">
        <f t="shared" si="569"/>
        <v>788.8271000000002</v>
      </c>
      <c r="T194" s="35">
        <f t="shared" si="569"/>
        <v>609.42649999999981</v>
      </c>
      <c r="U194" s="36">
        <f t="shared" si="569"/>
        <v>179.40060000000003</v>
      </c>
      <c r="V194" s="149">
        <f t="shared" si="569"/>
        <v>-357123</v>
      </c>
      <c r="W194" s="34">
        <f t="shared" si="569"/>
        <v>-243392</v>
      </c>
      <c r="X194" s="34">
        <f t="shared" si="569"/>
        <v>41959984</v>
      </c>
      <c r="Y194" s="34">
        <f t="shared" si="569"/>
        <v>0</v>
      </c>
      <c r="Z194" s="34">
        <f t="shared" si="569"/>
        <v>0</v>
      </c>
      <c r="AA194" s="34">
        <f t="shared" si="569"/>
        <v>511726</v>
      </c>
      <c r="AB194" s="768">
        <f t="shared" si="569"/>
        <v>1974000</v>
      </c>
      <c r="AC194" s="34">
        <f t="shared" si="569"/>
        <v>0</v>
      </c>
      <c r="AD194" s="34">
        <f t="shared" si="569"/>
        <v>0</v>
      </c>
      <c r="AE194" s="34">
        <f t="shared" si="569"/>
        <v>0</v>
      </c>
      <c r="AF194" s="34">
        <f t="shared" si="569"/>
        <v>44088587</v>
      </c>
      <c r="AG194" s="34">
        <f t="shared" si="569"/>
        <v>-243392</v>
      </c>
      <c r="AH194" s="34">
        <f t="shared" si="569"/>
        <v>43845195</v>
      </c>
      <c r="AI194" s="34">
        <f t="shared" si="569"/>
        <v>357123</v>
      </c>
      <c r="AJ194" s="34">
        <f t="shared" si="569"/>
        <v>243392</v>
      </c>
      <c r="AK194" s="768">
        <f t="shared" ref="AK194" si="570">SUM(AK195:AK204)</f>
        <v>498012</v>
      </c>
      <c r="AL194" s="34">
        <f t="shared" si="569"/>
        <v>0</v>
      </c>
      <c r="AM194" s="34">
        <f t="shared" si="569"/>
        <v>220730</v>
      </c>
      <c r="AN194" s="34">
        <f t="shared" si="569"/>
        <v>0</v>
      </c>
      <c r="AO194" s="34">
        <f t="shared" si="569"/>
        <v>1075865</v>
      </c>
      <c r="AP194" s="34">
        <f t="shared" si="569"/>
        <v>243392</v>
      </c>
      <c r="AQ194" s="34">
        <f t="shared" si="569"/>
        <v>1319257</v>
      </c>
      <c r="AR194" s="34">
        <f t="shared" si="569"/>
        <v>45164452</v>
      </c>
      <c r="AS194" s="34">
        <f t="shared" si="569"/>
        <v>0</v>
      </c>
      <c r="AT194" s="34">
        <f t="shared" si="569"/>
        <v>45164452</v>
      </c>
      <c r="AU194" s="34">
        <f t="shared" si="569"/>
        <v>15190978</v>
      </c>
      <c r="AV194" s="34">
        <f t="shared" si="569"/>
        <v>438451</v>
      </c>
      <c r="AW194" s="34">
        <f t="shared" si="569"/>
        <v>10750</v>
      </c>
      <c r="AX194" s="34">
        <f t="shared" si="569"/>
        <v>0</v>
      </c>
      <c r="AY194" s="34">
        <f t="shared" si="569"/>
        <v>10750</v>
      </c>
      <c r="AZ194" s="34">
        <f t="shared" si="569"/>
        <v>60804631</v>
      </c>
      <c r="BA194" s="35">
        <f t="shared" si="569"/>
        <v>-0.26999999999999996</v>
      </c>
      <c r="BB194" s="35">
        <f t="shared" si="569"/>
        <v>-0.67999999999999994</v>
      </c>
      <c r="BC194" s="35">
        <f t="shared" si="569"/>
        <v>111.19</v>
      </c>
      <c r="BD194" s="35">
        <f t="shared" si="569"/>
        <v>3.5</v>
      </c>
      <c r="BE194" s="35">
        <f t="shared" si="569"/>
        <v>0</v>
      </c>
      <c r="BF194" s="35">
        <f t="shared" si="569"/>
        <v>0</v>
      </c>
      <c r="BG194" s="35">
        <f t="shared" si="569"/>
        <v>0</v>
      </c>
      <c r="BH194" s="35">
        <f t="shared" si="569"/>
        <v>0.73</v>
      </c>
      <c r="BI194" s="35">
        <f t="shared" si="569"/>
        <v>0</v>
      </c>
      <c r="BJ194" s="35">
        <f t="shared" si="569"/>
        <v>0</v>
      </c>
      <c r="BK194" s="35">
        <f t="shared" si="569"/>
        <v>115.14999999999999</v>
      </c>
      <c r="BL194" s="35">
        <f t="shared" si="569"/>
        <v>-0.67999999999999994</v>
      </c>
      <c r="BM194" s="148">
        <f t="shared" si="569"/>
        <v>114.46999999999998</v>
      </c>
      <c r="BN194" s="139">
        <f t="shared" si="569"/>
        <v>675743060</v>
      </c>
      <c r="BO194" s="34">
        <f t="shared" si="569"/>
        <v>495720015</v>
      </c>
      <c r="BP194" s="34">
        <f t="shared" si="569"/>
        <v>437645652</v>
      </c>
      <c r="BQ194" s="34">
        <f t="shared" si="569"/>
        <v>58074363</v>
      </c>
      <c r="BR194" s="34">
        <f t="shared" si="569"/>
        <v>1319257</v>
      </c>
      <c r="BS194" s="34">
        <f t="shared" si="569"/>
        <v>1075865</v>
      </c>
      <c r="BT194" s="34">
        <f t="shared" si="569"/>
        <v>243392</v>
      </c>
      <c r="BU194" s="34">
        <f t="shared" si="569"/>
        <v>167924667</v>
      </c>
      <c r="BV194" s="34">
        <f t="shared" ref="BV194:BZ194" si="571">SUM(BV195:BV204)</f>
        <v>4957201</v>
      </c>
      <c r="BW194" s="34">
        <f t="shared" si="571"/>
        <v>5821920</v>
      </c>
      <c r="BX194" s="35">
        <f t="shared" si="571"/>
        <v>903.2971</v>
      </c>
      <c r="BY194" s="35">
        <f t="shared" si="571"/>
        <v>724.5764999999999</v>
      </c>
      <c r="BZ194" s="148">
        <f t="shared" si="571"/>
        <v>178.72060000000002</v>
      </c>
      <c r="CA194" s="779">
        <f t="shared" ref="CA194:CF194" si="572">SUM(CA195:CA204)</f>
        <v>3327292</v>
      </c>
      <c r="CB194" s="768">
        <f t="shared" si="572"/>
        <v>1974000</v>
      </c>
      <c r="CC194" s="768">
        <f t="shared" si="572"/>
        <v>498012</v>
      </c>
      <c r="CD194" s="768">
        <f t="shared" si="572"/>
        <v>835540</v>
      </c>
      <c r="CE194" s="768">
        <f t="shared" si="572"/>
        <v>19740</v>
      </c>
      <c r="CF194" s="781">
        <f t="shared" si="572"/>
        <v>3.5</v>
      </c>
    </row>
    <row r="195" spans="4:84" ht="12.75" customHeight="1" x14ac:dyDescent="0.2">
      <c r="D195" s="9"/>
      <c r="E195" s="5"/>
      <c r="F195" s="9"/>
      <c r="G195" s="5"/>
      <c r="H195" s="447">
        <v>3111</v>
      </c>
      <c r="I195" s="503">
        <f t="shared" ref="I195:CA195" si="573">SUMIF($F$12:$F$467,"=3111",I$12:I$467)</f>
        <v>160757746</v>
      </c>
      <c r="J195" s="504">
        <f t="shared" si="573"/>
        <v>118848493</v>
      </c>
      <c r="K195" s="504">
        <f t="shared" si="573"/>
        <v>108547610</v>
      </c>
      <c r="L195" s="504">
        <f t="shared" si="573"/>
        <v>10300883</v>
      </c>
      <c r="M195" s="504">
        <f t="shared" si="573"/>
        <v>0</v>
      </c>
      <c r="N195" s="504">
        <f t="shared" si="573"/>
        <v>0</v>
      </c>
      <c r="O195" s="504">
        <f t="shared" si="573"/>
        <v>0</v>
      </c>
      <c r="P195" s="504">
        <f t="shared" si="573"/>
        <v>40170793</v>
      </c>
      <c r="Q195" s="504">
        <f t="shared" si="573"/>
        <v>1188485</v>
      </c>
      <c r="R195" s="504">
        <f t="shared" si="573"/>
        <v>549975</v>
      </c>
      <c r="S195" s="507">
        <f t="shared" si="573"/>
        <v>225.38370000000003</v>
      </c>
      <c r="T195" s="507">
        <f t="shared" si="573"/>
        <v>189.92249999999999</v>
      </c>
      <c r="U195" s="510">
        <f t="shared" si="573"/>
        <v>35.461200000000005</v>
      </c>
      <c r="V195" s="505">
        <f t="shared" si="573"/>
        <v>-88960</v>
      </c>
      <c r="W195" s="504">
        <f t="shared" si="573"/>
        <v>-118912</v>
      </c>
      <c r="X195" s="504">
        <f t="shared" si="573"/>
        <v>6328524</v>
      </c>
      <c r="Y195" s="504">
        <f t="shared" si="573"/>
        <v>0</v>
      </c>
      <c r="Z195" s="504">
        <f t="shared" si="573"/>
        <v>0</v>
      </c>
      <c r="AA195" s="504">
        <f t="shared" si="573"/>
        <v>0</v>
      </c>
      <c r="AB195" s="504">
        <f t="shared" si="573"/>
        <v>0</v>
      </c>
      <c r="AC195" s="504">
        <f t="shared" si="573"/>
        <v>0</v>
      </c>
      <c r="AD195" s="504">
        <f t="shared" si="573"/>
        <v>0</v>
      </c>
      <c r="AE195" s="504">
        <f t="shared" si="573"/>
        <v>0</v>
      </c>
      <c r="AF195" s="504">
        <f t="shared" si="573"/>
        <v>6239564</v>
      </c>
      <c r="AG195" s="504">
        <f t="shared" si="573"/>
        <v>-118912</v>
      </c>
      <c r="AH195" s="504">
        <f t="shared" si="573"/>
        <v>6120652</v>
      </c>
      <c r="AI195" s="504">
        <f t="shared" si="573"/>
        <v>88960</v>
      </c>
      <c r="AJ195" s="504">
        <f t="shared" si="573"/>
        <v>118912</v>
      </c>
      <c r="AK195" s="504">
        <f t="shared" si="573"/>
        <v>0</v>
      </c>
      <c r="AL195" s="504">
        <f t="shared" si="573"/>
        <v>0</v>
      </c>
      <c r="AM195" s="504">
        <f t="shared" si="573"/>
        <v>170000</v>
      </c>
      <c r="AN195" s="504">
        <f t="shared" si="573"/>
        <v>0</v>
      </c>
      <c r="AO195" s="504">
        <f t="shared" si="573"/>
        <v>258960</v>
      </c>
      <c r="AP195" s="504">
        <f t="shared" si="573"/>
        <v>118912</v>
      </c>
      <c r="AQ195" s="504">
        <f t="shared" si="573"/>
        <v>377872</v>
      </c>
      <c r="AR195" s="504">
        <f t="shared" si="573"/>
        <v>6498524</v>
      </c>
      <c r="AS195" s="504">
        <f t="shared" si="573"/>
        <v>0</v>
      </c>
      <c r="AT195" s="504">
        <f t="shared" si="573"/>
        <v>6498524</v>
      </c>
      <c r="AU195" s="504">
        <f t="shared" si="573"/>
        <v>2139041</v>
      </c>
      <c r="AV195" s="504">
        <f t="shared" si="573"/>
        <v>61206</v>
      </c>
      <c r="AW195" s="504">
        <f t="shared" si="573"/>
        <v>0</v>
      </c>
      <c r="AX195" s="504">
        <f t="shared" si="573"/>
        <v>0</v>
      </c>
      <c r="AY195" s="504">
        <f t="shared" si="573"/>
        <v>0</v>
      </c>
      <c r="AZ195" s="504">
        <f t="shared" si="573"/>
        <v>8698771</v>
      </c>
      <c r="BA195" s="507">
        <f t="shared" si="573"/>
        <v>-0.05</v>
      </c>
      <c r="BB195" s="507">
        <f t="shared" si="573"/>
        <v>-0.47</v>
      </c>
      <c r="BC195" s="507">
        <f t="shared" si="573"/>
        <v>17.59</v>
      </c>
      <c r="BD195" s="507">
        <f t="shared" si="573"/>
        <v>0</v>
      </c>
      <c r="BE195" s="507">
        <f t="shared" si="573"/>
        <v>0</v>
      </c>
      <c r="BF195" s="507">
        <f t="shared" si="573"/>
        <v>0</v>
      </c>
      <c r="BG195" s="507">
        <f t="shared" si="573"/>
        <v>0</v>
      </c>
      <c r="BH195" s="507">
        <f t="shared" si="573"/>
        <v>0</v>
      </c>
      <c r="BI195" s="507">
        <f t="shared" si="573"/>
        <v>0</v>
      </c>
      <c r="BJ195" s="507">
        <f t="shared" si="573"/>
        <v>0</v>
      </c>
      <c r="BK195" s="507">
        <f t="shared" si="573"/>
        <v>17.54</v>
      </c>
      <c r="BL195" s="507">
        <f t="shared" si="573"/>
        <v>-0.47</v>
      </c>
      <c r="BM195" s="508">
        <f t="shared" si="573"/>
        <v>17.07</v>
      </c>
      <c r="BN195" s="503">
        <f t="shared" si="573"/>
        <v>169456517</v>
      </c>
      <c r="BO195" s="504">
        <f t="shared" si="573"/>
        <v>124969145</v>
      </c>
      <c r="BP195" s="504">
        <f t="shared" si="573"/>
        <v>114787174</v>
      </c>
      <c r="BQ195" s="504">
        <f t="shared" si="573"/>
        <v>10181971</v>
      </c>
      <c r="BR195" s="504">
        <f t="shared" si="573"/>
        <v>377872</v>
      </c>
      <c r="BS195" s="504">
        <f t="shared" si="573"/>
        <v>258960</v>
      </c>
      <c r="BT195" s="504">
        <f t="shared" si="573"/>
        <v>118912</v>
      </c>
      <c r="BU195" s="504">
        <f t="shared" si="573"/>
        <v>42309834</v>
      </c>
      <c r="BV195" s="504">
        <f t="shared" si="573"/>
        <v>1249691</v>
      </c>
      <c r="BW195" s="504">
        <f t="shared" si="573"/>
        <v>549975</v>
      </c>
      <c r="BX195" s="507">
        <f t="shared" si="573"/>
        <v>242.45370000000003</v>
      </c>
      <c r="BY195" s="507">
        <f t="shared" si="573"/>
        <v>207.46249999999995</v>
      </c>
      <c r="BZ195" s="508">
        <f t="shared" si="573"/>
        <v>34.991200000000006</v>
      </c>
      <c r="CA195" s="503">
        <f t="shared" si="573"/>
        <v>0</v>
      </c>
      <c r="CB195" s="504">
        <f t="shared" ref="CB195:CF195" si="574">SUMIF($F$12:$F$467,"=3111",CB$12:CB$467)</f>
        <v>0</v>
      </c>
      <c r="CC195" s="504">
        <f t="shared" si="574"/>
        <v>0</v>
      </c>
      <c r="CD195" s="504">
        <f t="shared" si="574"/>
        <v>0</v>
      </c>
      <c r="CE195" s="504">
        <f t="shared" si="574"/>
        <v>0</v>
      </c>
      <c r="CF195" s="510">
        <f t="shared" si="574"/>
        <v>0</v>
      </c>
    </row>
    <row r="196" spans="4:84" ht="13.5" customHeight="1" x14ac:dyDescent="0.2">
      <c r="D196" s="9"/>
      <c r="E196" s="5"/>
      <c r="F196" s="9"/>
      <c r="G196" s="5"/>
      <c r="H196" s="2">
        <v>3113</v>
      </c>
      <c r="I196" s="167">
        <f t="shared" ref="I196:CA196" si="575">SUMIF($F$12:$F$467,"=3113",I$12:I$467)</f>
        <v>334553069</v>
      </c>
      <c r="J196" s="16">
        <f t="shared" si="575"/>
        <v>244602459</v>
      </c>
      <c r="K196" s="16">
        <f t="shared" si="575"/>
        <v>226319335</v>
      </c>
      <c r="L196" s="16">
        <f t="shared" si="575"/>
        <v>18283124</v>
      </c>
      <c r="M196" s="16">
        <f t="shared" si="575"/>
        <v>0</v>
      </c>
      <c r="N196" s="16">
        <f t="shared" si="575"/>
        <v>0</v>
      </c>
      <c r="O196" s="16">
        <f t="shared" si="575"/>
        <v>0</v>
      </c>
      <c r="P196" s="16">
        <f t="shared" si="575"/>
        <v>82675633</v>
      </c>
      <c r="Q196" s="16">
        <f t="shared" si="575"/>
        <v>2446025</v>
      </c>
      <c r="R196" s="16">
        <f t="shared" si="575"/>
        <v>4828952</v>
      </c>
      <c r="S196" s="13">
        <f t="shared" si="575"/>
        <v>370.87920000000003</v>
      </c>
      <c r="T196" s="13">
        <f t="shared" si="575"/>
        <v>316.32739999999995</v>
      </c>
      <c r="U196" s="17">
        <f t="shared" si="575"/>
        <v>54.5518</v>
      </c>
      <c r="V196" s="168">
        <f t="shared" si="575"/>
        <v>-165763</v>
      </c>
      <c r="W196" s="16">
        <f t="shared" si="575"/>
        <v>-77120</v>
      </c>
      <c r="X196" s="16">
        <f t="shared" si="575"/>
        <v>33701192</v>
      </c>
      <c r="Y196" s="16">
        <f t="shared" si="575"/>
        <v>0</v>
      </c>
      <c r="Z196" s="16">
        <f t="shared" si="575"/>
        <v>0</v>
      </c>
      <c r="AA196" s="16">
        <f t="shared" si="575"/>
        <v>511726</v>
      </c>
      <c r="AB196" s="16">
        <f t="shared" si="575"/>
        <v>1974000</v>
      </c>
      <c r="AC196" s="16">
        <f t="shared" si="575"/>
        <v>0</v>
      </c>
      <c r="AD196" s="16">
        <f t="shared" si="575"/>
        <v>0</v>
      </c>
      <c r="AE196" s="16">
        <f t="shared" si="575"/>
        <v>0</v>
      </c>
      <c r="AF196" s="16">
        <f t="shared" si="575"/>
        <v>36021155</v>
      </c>
      <c r="AG196" s="16">
        <f t="shared" si="575"/>
        <v>-77120</v>
      </c>
      <c r="AH196" s="16">
        <f t="shared" si="575"/>
        <v>35944035</v>
      </c>
      <c r="AI196" s="16">
        <f t="shared" si="575"/>
        <v>165763</v>
      </c>
      <c r="AJ196" s="16">
        <f t="shared" si="575"/>
        <v>77120</v>
      </c>
      <c r="AK196" s="16">
        <f t="shared" si="575"/>
        <v>498012</v>
      </c>
      <c r="AL196" s="16">
        <f t="shared" si="575"/>
        <v>0</v>
      </c>
      <c r="AM196" s="16">
        <f t="shared" si="575"/>
        <v>50730</v>
      </c>
      <c r="AN196" s="16">
        <f t="shared" si="575"/>
        <v>0</v>
      </c>
      <c r="AO196" s="16">
        <f t="shared" si="575"/>
        <v>714505</v>
      </c>
      <c r="AP196" s="16">
        <f t="shared" si="575"/>
        <v>77120</v>
      </c>
      <c r="AQ196" s="16">
        <f t="shared" si="575"/>
        <v>791625</v>
      </c>
      <c r="AR196" s="16">
        <f t="shared" si="575"/>
        <v>36735660</v>
      </c>
      <c r="AS196" s="16">
        <f t="shared" si="575"/>
        <v>0</v>
      </c>
      <c r="AT196" s="16">
        <f t="shared" si="575"/>
        <v>36735660</v>
      </c>
      <c r="AU196" s="16">
        <f t="shared" si="575"/>
        <v>12399506</v>
      </c>
      <c r="AV196" s="16">
        <f t="shared" si="575"/>
        <v>359440</v>
      </c>
      <c r="AW196" s="16">
        <f t="shared" si="575"/>
        <v>10750</v>
      </c>
      <c r="AX196" s="16">
        <f t="shared" si="575"/>
        <v>0</v>
      </c>
      <c r="AY196" s="16">
        <f t="shared" si="575"/>
        <v>10750</v>
      </c>
      <c r="AZ196" s="16">
        <f t="shared" si="575"/>
        <v>49505356</v>
      </c>
      <c r="BA196" s="13">
        <f t="shared" si="575"/>
        <v>-0.16999999999999998</v>
      </c>
      <c r="BB196" s="13">
        <f t="shared" si="575"/>
        <v>-0.18</v>
      </c>
      <c r="BC196" s="13">
        <f t="shared" si="575"/>
        <v>88.41</v>
      </c>
      <c r="BD196" s="13">
        <f t="shared" si="575"/>
        <v>3.5</v>
      </c>
      <c r="BE196" s="13">
        <f t="shared" si="575"/>
        <v>0</v>
      </c>
      <c r="BF196" s="13">
        <f t="shared" si="575"/>
        <v>0</v>
      </c>
      <c r="BG196" s="13">
        <f t="shared" si="575"/>
        <v>0</v>
      </c>
      <c r="BH196" s="13">
        <f t="shared" si="575"/>
        <v>0.73</v>
      </c>
      <c r="BI196" s="13">
        <f t="shared" si="575"/>
        <v>0</v>
      </c>
      <c r="BJ196" s="13">
        <f t="shared" si="575"/>
        <v>0</v>
      </c>
      <c r="BK196" s="13">
        <f t="shared" si="575"/>
        <v>92.47</v>
      </c>
      <c r="BL196" s="13">
        <f t="shared" si="575"/>
        <v>-0.18</v>
      </c>
      <c r="BM196" s="169">
        <f t="shared" si="575"/>
        <v>92.289999999999992</v>
      </c>
      <c r="BN196" s="167">
        <f t="shared" si="575"/>
        <v>384058425</v>
      </c>
      <c r="BO196" s="16">
        <f t="shared" si="575"/>
        <v>280546494</v>
      </c>
      <c r="BP196" s="16">
        <f t="shared" si="575"/>
        <v>262340490</v>
      </c>
      <c r="BQ196" s="16">
        <f t="shared" si="575"/>
        <v>18206004</v>
      </c>
      <c r="BR196" s="16">
        <f t="shared" si="575"/>
        <v>791625</v>
      </c>
      <c r="BS196" s="16">
        <f t="shared" si="575"/>
        <v>714505</v>
      </c>
      <c r="BT196" s="16">
        <f t="shared" si="575"/>
        <v>77120</v>
      </c>
      <c r="BU196" s="16">
        <f t="shared" si="575"/>
        <v>95075139</v>
      </c>
      <c r="BV196" s="16">
        <f t="shared" si="575"/>
        <v>2805465</v>
      </c>
      <c r="BW196" s="16">
        <f t="shared" si="575"/>
        <v>4839702</v>
      </c>
      <c r="BX196" s="13">
        <f t="shared" si="575"/>
        <v>463.16919999999993</v>
      </c>
      <c r="BY196" s="13">
        <f t="shared" si="575"/>
        <v>408.79739999999998</v>
      </c>
      <c r="BZ196" s="169">
        <f t="shared" si="575"/>
        <v>54.3718</v>
      </c>
      <c r="CA196" s="167">
        <f t="shared" si="575"/>
        <v>3327292</v>
      </c>
      <c r="CB196" s="16">
        <f t="shared" ref="CB196:CF196" si="576">SUMIF($F$12:$F$467,"=3113",CB$12:CB$467)</f>
        <v>1974000</v>
      </c>
      <c r="CC196" s="16">
        <f t="shared" si="576"/>
        <v>498012</v>
      </c>
      <c r="CD196" s="16">
        <f t="shared" si="576"/>
        <v>835540</v>
      </c>
      <c r="CE196" s="16">
        <f t="shared" si="576"/>
        <v>19740</v>
      </c>
      <c r="CF196" s="17">
        <f t="shared" si="576"/>
        <v>3.5</v>
      </c>
    </row>
    <row r="197" spans="4:84" ht="12.75" customHeight="1" x14ac:dyDescent="0.2">
      <c r="D197" s="9"/>
      <c r="E197" s="5"/>
      <c r="F197" s="9"/>
      <c r="G197" s="5"/>
      <c r="H197" s="2">
        <v>3114</v>
      </c>
      <c r="I197" s="167">
        <f t="shared" ref="I197:CA197" si="577">SUMIF($F$12:$F$467,"=3114",I$12:I$467)</f>
        <v>0</v>
      </c>
      <c r="J197" s="16">
        <f t="shared" si="577"/>
        <v>0</v>
      </c>
      <c r="K197" s="16">
        <f t="shared" si="577"/>
        <v>0</v>
      </c>
      <c r="L197" s="16">
        <f t="shared" si="577"/>
        <v>0</v>
      </c>
      <c r="M197" s="16">
        <f t="shared" si="577"/>
        <v>0</v>
      </c>
      <c r="N197" s="16">
        <f t="shared" si="577"/>
        <v>0</v>
      </c>
      <c r="O197" s="16">
        <f t="shared" si="577"/>
        <v>0</v>
      </c>
      <c r="P197" s="16">
        <f t="shared" si="577"/>
        <v>0</v>
      </c>
      <c r="Q197" s="16">
        <f t="shared" si="577"/>
        <v>0</v>
      </c>
      <c r="R197" s="16">
        <f t="shared" si="577"/>
        <v>0</v>
      </c>
      <c r="S197" s="13">
        <f t="shared" si="577"/>
        <v>0</v>
      </c>
      <c r="T197" s="13">
        <f t="shared" si="577"/>
        <v>0</v>
      </c>
      <c r="U197" s="17">
        <f t="shared" si="577"/>
        <v>0</v>
      </c>
      <c r="V197" s="168">
        <f t="shared" si="577"/>
        <v>0</v>
      </c>
      <c r="W197" s="16">
        <f t="shared" si="577"/>
        <v>0</v>
      </c>
      <c r="X197" s="16">
        <f t="shared" si="577"/>
        <v>0</v>
      </c>
      <c r="Y197" s="16">
        <f t="shared" si="577"/>
        <v>0</v>
      </c>
      <c r="Z197" s="16">
        <f t="shared" si="577"/>
        <v>0</v>
      </c>
      <c r="AA197" s="16">
        <f t="shared" si="577"/>
        <v>0</v>
      </c>
      <c r="AB197" s="16">
        <f t="shared" si="577"/>
        <v>0</v>
      </c>
      <c r="AC197" s="16">
        <f t="shared" si="577"/>
        <v>0</v>
      </c>
      <c r="AD197" s="16">
        <f t="shared" si="577"/>
        <v>0</v>
      </c>
      <c r="AE197" s="16">
        <f t="shared" si="577"/>
        <v>0</v>
      </c>
      <c r="AF197" s="16">
        <f t="shared" si="577"/>
        <v>0</v>
      </c>
      <c r="AG197" s="16">
        <f t="shared" si="577"/>
        <v>0</v>
      </c>
      <c r="AH197" s="16">
        <f t="shared" si="577"/>
        <v>0</v>
      </c>
      <c r="AI197" s="16">
        <f t="shared" si="577"/>
        <v>0</v>
      </c>
      <c r="AJ197" s="16">
        <f t="shared" si="577"/>
        <v>0</v>
      </c>
      <c r="AK197" s="16">
        <f t="shared" si="577"/>
        <v>0</v>
      </c>
      <c r="AL197" s="16">
        <f t="shared" si="577"/>
        <v>0</v>
      </c>
      <c r="AM197" s="16">
        <f t="shared" si="577"/>
        <v>0</v>
      </c>
      <c r="AN197" s="16">
        <f t="shared" si="577"/>
        <v>0</v>
      </c>
      <c r="AO197" s="16">
        <f t="shared" si="577"/>
        <v>0</v>
      </c>
      <c r="AP197" s="16">
        <f t="shared" si="577"/>
        <v>0</v>
      </c>
      <c r="AQ197" s="16">
        <f t="shared" si="577"/>
        <v>0</v>
      </c>
      <c r="AR197" s="16">
        <f t="shared" si="577"/>
        <v>0</v>
      </c>
      <c r="AS197" s="16">
        <f t="shared" si="577"/>
        <v>0</v>
      </c>
      <c r="AT197" s="16">
        <f t="shared" si="577"/>
        <v>0</v>
      </c>
      <c r="AU197" s="16">
        <f t="shared" si="577"/>
        <v>0</v>
      </c>
      <c r="AV197" s="16">
        <f t="shared" si="577"/>
        <v>0</v>
      </c>
      <c r="AW197" s="16">
        <f t="shared" si="577"/>
        <v>0</v>
      </c>
      <c r="AX197" s="16">
        <f t="shared" si="577"/>
        <v>0</v>
      </c>
      <c r="AY197" s="16">
        <f t="shared" si="577"/>
        <v>0</v>
      </c>
      <c r="AZ197" s="16">
        <f t="shared" si="577"/>
        <v>0</v>
      </c>
      <c r="BA197" s="13">
        <f t="shared" si="577"/>
        <v>0</v>
      </c>
      <c r="BB197" s="13">
        <f t="shared" si="577"/>
        <v>0</v>
      </c>
      <c r="BC197" s="13">
        <f t="shared" si="577"/>
        <v>0</v>
      </c>
      <c r="BD197" s="13">
        <f t="shared" si="577"/>
        <v>0</v>
      </c>
      <c r="BE197" s="13">
        <f t="shared" si="577"/>
        <v>0</v>
      </c>
      <c r="BF197" s="13">
        <f t="shared" si="577"/>
        <v>0</v>
      </c>
      <c r="BG197" s="13">
        <f t="shared" si="577"/>
        <v>0</v>
      </c>
      <c r="BH197" s="13">
        <f t="shared" si="577"/>
        <v>0</v>
      </c>
      <c r="BI197" s="13">
        <f t="shared" si="577"/>
        <v>0</v>
      </c>
      <c r="BJ197" s="13">
        <f t="shared" si="577"/>
        <v>0</v>
      </c>
      <c r="BK197" s="13">
        <f t="shared" si="577"/>
        <v>0</v>
      </c>
      <c r="BL197" s="13">
        <f t="shared" si="577"/>
        <v>0</v>
      </c>
      <c r="BM197" s="169">
        <f t="shared" si="577"/>
        <v>0</v>
      </c>
      <c r="BN197" s="167">
        <f t="shared" si="577"/>
        <v>0</v>
      </c>
      <c r="BO197" s="16">
        <f t="shared" si="577"/>
        <v>0</v>
      </c>
      <c r="BP197" s="16">
        <f t="shared" si="577"/>
        <v>0</v>
      </c>
      <c r="BQ197" s="16">
        <f t="shared" si="577"/>
        <v>0</v>
      </c>
      <c r="BR197" s="16">
        <f t="shared" si="577"/>
        <v>0</v>
      </c>
      <c r="BS197" s="16">
        <f t="shared" si="577"/>
        <v>0</v>
      </c>
      <c r="BT197" s="16">
        <f t="shared" si="577"/>
        <v>0</v>
      </c>
      <c r="BU197" s="16">
        <f t="shared" si="577"/>
        <v>0</v>
      </c>
      <c r="BV197" s="16">
        <f t="shared" si="577"/>
        <v>0</v>
      </c>
      <c r="BW197" s="16">
        <f t="shared" si="577"/>
        <v>0</v>
      </c>
      <c r="BX197" s="13">
        <f t="shared" si="577"/>
        <v>0</v>
      </c>
      <c r="BY197" s="13">
        <f t="shared" si="577"/>
        <v>0</v>
      </c>
      <c r="BZ197" s="169">
        <f t="shared" si="577"/>
        <v>0</v>
      </c>
      <c r="CA197" s="167">
        <f t="shared" si="577"/>
        <v>0</v>
      </c>
      <c r="CB197" s="16">
        <f t="shared" ref="CB197:CF197" si="578">SUMIF($F$12:$F$467,"=3114",CB$12:CB$467)</f>
        <v>0</v>
      </c>
      <c r="CC197" s="16">
        <f t="shared" si="578"/>
        <v>0</v>
      </c>
      <c r="CD197" s="16">
        <f t="shared" si="578"/>
        <v>0</v>
      </c>
      <c r="CE197" s="16">
        <f t="shared" si="578"/>
        <v>0</v>
      </c>
      <c r="CF197" s="17">
        <f t="shared" si="578"/>
        <v>0</v>
      </c>
    </row>
    <row r="198" spans="4:84" ht="12.75" customHeight="1" x14ac:dyDescent="0.2">
      <c r="D198" s="9"/>
      <c r="E198" s="5"/>
      <c r="F198" s="9"/>
      <c r="G198" s="5"/>
      <c r="H198" s="2">
        <v>3117</v>
      </c>
      <c r="I198" s="167">
        <f t="shared" ref="I198:CA198" si="579">SUMIF($F$12:$F$467,"=3117",I$12:I$467)</f>
        <v>9156566</v>
      </c>
      <c r="J198" s="16">
        <f t="shared" si="579"/>
        <v>6690686</v>
      </c>
      <c r="K198" s="16">
        <f t="shared" si="579"/>
        <v>5917682</v>
      </c>
      <c r="L198" s="16">
        <f t="shared" si="579"/>
        <v>773004</v>
      </c>
      <c r="M198" s="16">
        <f t="shared" si="579"/>
        <v>0</v>
      </c>
      <c r="N198" s="16">
        <f t="shared" si="579"/>
        <v>0</v>
      </c>
      <c r="O198" s="16">
        <f t="shared" si="579"/>
        <v>0</v>
      </c>
      <c r="P198" s="16">
        <f t="shared" si="579"/>
        <v>2261452</v>
      </c>
      <c r="Q198" s="16">
        <f t="shared" si="579"/>
        <v>66907</v>
      </c>
      <c r="R198" s="16">
        <f t="shared" si="579"/>
        <v>137521</v>
      </c>
      <c r="S198" s="13">
        <f t="shared" si="579"/>
        <v>11.4215</v>
      </c>
      <c r="T198" s="13">
        <f t="shared" si="579"/>
        <v>9.3483999999999998</v>
      </c>
      <c r="U198" s="17">
        <f t="shared" si="579"/>
        <v>2.0731000000000002</v>
      </c>
      <c r="V198" s="168">
        <f t="shared" si="579"/>
        <v>0</v>
      </c>
      <c r="W198" s="16">
        <f t="shared" si="579"/>
        <v>0</v>
      </c>
      <c r="X198" s="16">
        <f t="shared" si="579"/>
        <v>1930268</v>
      </c>
      <c r="Y198" s="16">
        <f t="shared" si="579"/>
        <v>0</v>
      </c>
      <c r="Z198" s="16">
        <f t="shared" si="579"/>
        <v>0</v>
      </c>
      <c r="AA198" s="16">
        <f t="shared" si="579"/>
        <v>0</v>
      </c>
      <c r="AB198" s="16">
        <f t="shared" si="579"/>
        <v>0</v>
      </c>
      <c r="AC198" s="16">
        <f t="shared" si="579"/>
        <v>0</v>
      </c>
      <c r="AD198" s="16">
        <f t="shared" si="579"/>
        <v>0</v>
      </c>
      <c r="AE198" s="16">
        <f t="shared" si="579"/>
        <v>0</v>
      </c>
      <c r="AF198" s="16">
        <f t="shared" si="579"/>
        <v>1930268</v>
      </c>
      <c r="AG198" s="16">
        <f t="shared" si="579"/>
        <v>0</v>
      </c>
      <c r="AH198" s="16">
        <f t="shared" si="579"/>
        <v>1930268</v>
      </c>
      <c r="AI198" s="16">
        <f t="shared" si="579"/>
        <v>0</v>
      </c>
      <c r="AJ198" s="16">
        <f t="shared" si="579"/>
        <v>0</v>
      </c>
      <c r="AK198" s="16">
        <f t="shared" si="579"/>
        <v>0</v>
      </c>
      <c r="AL198" s="16">
        <f t="shared" si="579"/>
        <v>0</v>
      </c>
      <c r="AM198" s="16">
        <f t="shared" si="579"/>
        <v>0</v>
      </c>
      <c r="AN198" s="16">
        <f t="shared" si="579"/>
        <v>0</v>
      </c>
      <c r="AO198" s="16">
        <f t="shared" si="579"/>
        <v>0</v>
      </c>
      <c r="AP198" s="16">
        <f t="shared" si="579"/>
        <v>0</v>
      </c>
      <c r="AQ198" s="16">
        <f t="shared" si="579"/>
        <v>0</v>
      </c>
      <c r="AR198" s="16">
        <f t="shared" si="579"/>
        <v>1930268</v>
      </c>
      <c r="AS198" s="16">
        <f t="shared" si="579"/>
        <v>0</v>
      </c>
      <c r="AT198" s="16">
        <f t="shared" si="579"/>
        <v>1930268</v>
      </c>
      <c r="AU198" s="16">
        <f t="shared" si="579"/>
        <v>652431</v>
      </c>
      <c r="AV198" s="16">
        <f t="shared" si="579"/>
        <v>19303</v>
      </c>
      <c r="AW198" s="16">
        <f t="shared" si="579"/>
        <v>0</v>
      </c>
      <c r="AX198" s="16">
        <f t="shared" si="579"/>
        <v>0</v>
      </c>
      <c r="AY198" s="16">
        <f t="shared" si="579"/>
        <v>0</v>
      </c>
      <c r="AZ198" s="16">
        <f t="shared" si="579"/>
        <v>2602002</v>
      </c>
      <c r="BA198" s="13">
        <f t="shared" si="579"/>
        <v>0</v>
      </c>
      <c r="BB198" s="13">
        <f t="shared" si="579"/>
        <v>0</v>
      </c>
      <c r="BC198" s="13">
        <f t="shared" si="579"/>
        <v>5.1899999999999995</v>
      </c>
      <c r="BD198" s="13">
        <f t="shared" si="579"/>
        <v>0</v>
      </c>
      <c r="BE198" s="13">
        <f t="shared" si="579"/>
        <v>0</v>
      </c>
      <c r="BF198" s="13">
        <f t="shared" si="579"/>
        <v>0</v>
      </c>
      <c r="BG198" s="13">
        <f t="shared" si="579"/>
        <v>0</v>
      </c>
      <c r="BH198" s="13">
        <f t="shared" si="579"/>
        <v>0</v>
      </c>
      <c r="BI198" s="13">
        <f t="shared" si="579"/>
        <v>0</v>
      </c>
      <c r="BJ198" s="13">
        <f t="shared" si="579"/>
        <v>0</v>
      </c>
      <c r="BK198" s="13">
        <f t="shared" si="579"/>
        <v>5.1899999999999995</v>
      </c>
      <c r="BL198" s="13">
        <f t="shared" si="579"/>
        <v>0</v>
      </c>
      <c r="BM198" s="169">
        <f t="shared" si="579"/>
        <v>5.1899999999999995</v>
      </c>
      <c r="BN198" s="167">
        <f t="shared" si="579"/>
        <v>11758568</v>
      </c>
      <c r="BO198" s="16">
        <f t="shared" si="579"/>
        <v>8620954</v>
      </c>
      <c r="BP198" s="16">
        <f t="shared" si="579"/>
        <v>7847950</v>
      </c>
      <c r="BQ198" s="16">
        <f t="shared" si="579"/>
        <v>773004</v>
      </c>
      <c r="BR198" s="16">
        <f t="shared" si="579"/>
        <v>0</v>
      </c>
      <c r="BS198" s="16">
        <f t="shared" si="579"/>
        <v>0</v>
      </c>
      <c r="BT198" s="16">
        <f t="shared" si="579"/>
        <v>0</v>
      </c>
      <c r="BU198" s="16">
        <f t="shared" si="579"/>
        <v>2913883</v>
      </c>
      <c r="BV198" s="16">
        <f t="shared" si="579"/>
        <v>86210</v>
      </c>
      <c r="BW198" s="16">
        <f t="shared" si="579"/>
        <v>137521</v>
      </c>
      <c r="BX198" s="13">
        <f t="shared" si="579"/>
        <v>16.611499999999999</v>
      </c>
      <c r="BY198" s="13">
        <f t="shared" si="579"/>
        <v>14.538400000000001</v>
      </c>
      <c r="BZ198" s="169">
        <f t="shared" si="579"/>
        <v>2.0731000000000002</v>
      </c>
      <c r="CA198" s="167">
        <f t="shared" si="579"/>
        <v>0</v>
      </c>
      <c r="CB198" s="16">
        <f t="shared" ref="CB198:CF198" si="580">SUMIF($F$12:$F$467,"=3117",CB$12:CB$467)</f>
        <v>0</v>
      </c>
      <c r="CC198" s="16">
        <f t="shared" si="580"/>
        <v>0</v>
      </c>
      <c r="CD198" s="16">
        <f t="shared" si="580"/>
        <v>0</v>
      </c>
      <c r="CE198" s="16">
        <f t="shared" si="580"/>
        <v>0</v>
      </c>
      <c r="CF198" s="17">
        <f t="shared" si="580"/>
        <v>0</v>
      </c>
    </row>
    <row r="199" spans="4:84" ht="12.75" customHeight="1" x14ac:dyDescent="0.2">
      <c r="D199" s="9"/>
      <c r="E199" s="5"/>
      <c r="F199" s="9"/>
      <c r="G199" s="5"/>
      <c r="H199" s="2">
        <v>3122</v>
      </c>
      <c r="I199" s="167">
        <f t="shared" ref="I199:CA199" si="581">SUMIF($F$12:$F$467,"=3122",I$12:I$467)</f>
        <v>0</v>
      </c>
      <c r="J199" s="16">
        <f t="shared" si="581"/>
        <v>0</v>
      </c>
      <c r="K199" s="16">
        <f t="shared" si="581"/>
        <v>0</v>
      </c>
      <c r="L199" s="16">
        <f t="shared" si="581"/>
        <v>0</v>
      </c>
      <c r="M199" s="16">
        <f t="shared" si="581"/>
        <v>0</v>
      </c>
      <c r="N199" s="16">
        <f t="shared" si="581"/>
        <v>0</v>
      </c>
      <c r="O199" s="16">
        <f t="shared" si="581"/>
        <v>0</v>
      </c>
      <c r="P199" s="16">
        <f t="shared" si="581"/>
        <v>0</v>
      </c>
      <c r="Q199" s="16">
        <f t="shared" si="581"/>
        <v>0</v>
      </c>
      <c r="R199" s="16">
        <f t="shared" si="581"/>
        <v>0</v>
      </c>
      <c r="S199" s="13">
        <f t="shared" si="581"/>
        <v>0</v>
      </c>
      <c r="T199" s="13">
        <f t="shared" si="581"/>
        <v>0</v>
      </c>
      <c r="U199" s="17">
        <f t="shared" si="581"/>
        <v>0</v>
      </c>
      <c r="V199" s="168">
        <f t="shared" si="581"/>
        <v>0</v>
      </c>
      <c r="W199" s="16">
        <f t="shared" si="581"/>
        <v>0</v>
      </c>
      <c r="X199" s="16">
        <f t="shared" si="581"/>
        <v>0</v>
      </c>
      <c r="Y199" s="16">
        <f t="shared" si="581"/>
        <v>0</v>
      </c>
      <c r="Z199" s="16">
        <f t="shared" si="581"/>
        <v>0</v>
      </c>
      <c r="AA199" s="16">
        <f t="shared" si="581"/>
        <v>0</v>
      </c>
      <c r="AB199" s="16">
        <f t="shared" si="581"/>
        <v>0</v>
      </c>
      <c r="AC199" s="16">
        <f t="shared" si="581"/>
        <v>0</v>
      </c>
      <c r="AD199" s="16">
        <f t="shared" si="581"/>
        <v>0</v>
      </c>
      <c r="AE199" s="16">
        <f t="shared" si="581"/>
        <v>0</v>
      </c>
      <c r="AF199" s="16">
        <f t="shared" si="581"/>
        <v>0</v>
      </c>
      <c r="AG199" s="16">
        <f t="shared" si="581"/>
        <v>0</v>
      </c>
      <c r="AH199" s="16">
        <f t="shared" si="581"/>
        <v>0</v>
      </c>
      <c r="AI199" s="16">
        <f t="shared" si="581"/>
        <v>0</v>
      </c>
      <c r="AJ199" s="16">
        <f t="shared" si="581"/>
        <v>0</v>
      </c>
      <c r="AK199" s="16">
        <f t="shared" si="581"/>
        <v>0</v>
      </c>
      <c r="AL199" s="16">
        <f t="shared" si="581"/>
        <v>0</v>
      </c>
      <c r="AM199" s="16">
        <f t="shared" si="581"/>
        <v>0</v>
      </c>
      <c r="AN199" s="16">
        <f t="shared" si="581"/>
        <v>0</v>
      </c>
      <c r="AO199" s="16">
        <f t="shared" si="581"/>
        <v>0</v>
      </c>
      <c r="AP199" s="16">
        <f t="shared" si="581"/>
        <v>0</v>
      </c>
      <c r="AQ199" s="16">
        <f t="shared" si="581"/>
        <v>0</v>
      </c>
      <c r="AR199" s="16">
        <f t="shared" si="581"/>
        <v>0</v>
      </c>
      <c r="AS199" s="16">
        <f t="shared" si="581"/>
        <v>0</v>
      </c>
      <c r="AT199" s="16">
        <f t="shared" si="581"/>
        <v>0</v>
      </c>
      <c r="AU199" s="16">
        <f t="shared" si="581"/>
        <v>0</v>
      </c>
      <c r="AV199" s="16">
        <f t="shared" si="581"/>
        <v>0</v>
      </c>
      <c r="AW199" s="16">
        <f t="shared" si="581"/>
        <v>0</v>
      </c>
      <c r="AX199" s="16">
        <f t="shared" si="581"/>
        <v>0</v>
      </c>
      <c r="AY199" s="16">
        <f t="shared" si="581"/>
        <v>0</v>
      </c>
      <c r="AZ199" s="16">
        <f t="shared" si="581"/>
        <v>0</v>
      </c>
      <c r="BA199" s="13">
        <f t="shared" si="581"/>
        <v>0</v>
      </c>
      <c r="BB199" s="13">
        <f t="shared" si="581"/>
        <v>0</v>
      </c>
      <c r="BC199" s="13">
        <f t="shared" si="581"/>
        <v>0</v>
      </c>
      <c r="BD199" s="13">
        <f t="shared" si="581"/>
        <v>0</v>
      </c>
      <c r="BE199" s="13">
        <f t="shared" si="581"/>
        <v>0</v>
      </c>
      <c r="BF199" s="13">
        <f t="shared" si="581"/>
        <v>0</v>
      </c>
      <c r="BG199" s="13">
        <f t="shared" si="581"/>
        <v>0</v>
      </c>
      <c r="BH199" s="13">
        <f t="shared" si="581"/>
        <v>0</v>
      </c>
      <c r="BI199" s="13">
        <f t="shared" si="581"/>
        <v>0</v>
      </c>
      <c r="BJ199" s="13">
        <f t="shared" si="581"/>
        <v>0</v>
      </c>
      <c r="BK199" s="13">
        <f t="shared" si="581"/>
        <v>0</v>
      </c>
      <c r="BL199" s="13">
        <f t="shared" si="581"/>
        <v>0</v>
      </c>
      <c r="BM199" s="169">
        <f t="shared" si="581"/>
        <v>0</v>
      </c>
      <c r="BN199" s="167">
        <f t="shared" si="581"/>
        <v>0</v>
      </c>
      <c r="BO199" s="16">
        <f t="shared" si="581"/>
        <v>0</v>
      </c>
      <c r="BP199" s="16">
        <f t="shared" si="581"/>
        <v>0</v>
      </c>
      <c r="BQ199" s="16">
        <f t="shared" si="581"/>
        <v>0</v>
      </c>
      <c r="BR199" s="16">
        <f t="shared" si="581"/>
        <v>0</v>
      </c>
      <c r="BS199" s="16">
        <f t="shared" si="581"/>
        <v>0</v>
      </c>
      <c r="BT199" s="16">
        <f t="shared" si="581"/>
        <v>0</v>
      </c>
      <c r="BU199" s="16">
        <f t="shared" si="581"/>
        <v>0</v>
      </c>
      <c r="BV199" s="16">
        <f t="shared" si="581"/>
        <v>0</v>
      </c>
      <c r="BW199" s="16">
        <f t="shared" si="581"/>
        <v>0</v>
      </c>
      <c r="BX199" s="13">
        <f t="shared" si="581"/>
        <v>0</v>
      </c>
      <c r="BY199" s="13">
        <f t="shared" si="581"/>
        <v>0</v>
      </c>
      <c r="BZ199" s="169">
        <f t="shared" si="581"/>
        <v>0</v>
      </c>
      <c r="CA199" s="167">
        <f t="shared" si="581"/>
        <v>0</v>
      </c>
      <c r="CB199" s="16">
        <f t="shared" ref="CB199:CF199" si="582">SUMIF($F$12:$F$467,"=3122",CB$12:CB$467)</f>
        <v>0</v>
      </c>
      <c r="CC199" s="16">
        <f t="shared" si="582"/>
        <v>0</v>
      </c>
      <c r="CD199" s="16">
        <f t="shared" si="582"/>
        <v>0</v>
      </c>
      <c r="CE199" s="16">
        <f t="shared" si="582"/>
        <v>0</v>
      </c>
      <c r="CF199" s="17">
        <f t="shared" si="582"/>
        <v>0</v>
      </c>
    </row>
    <row r="200" spans="4:84" ht="12.75" customHeight="1" x14ac:dyDescent="0.2">
      <c r="D200" s="9"/>
      <c r="E200" s="5"/>
      <c r="F200" s="9"/>
      <c r="G200" s="5"/>
      <c r="H200" s="2">
        <v>3124</v>
      </c>
      <c r="I200" s="167">
        <f t="shared" ref="I200:CA200" si="583">SUMIF($F$12:$F$467,"=3124",I$12:I$467)</f>
        <v>0</v>
      </c>
      <c r="J200" s="16">
        <f t="shared" si="583"/>
        <v>0</v>
      </c>
      <c r="K200" s="16">
        <f t="shared" si="583"/>
        <v>0</v>
      </c>
      <c r="L200" s="16">
        <f t="shared" si="583"/>
        <v>0</v>
      </c>
      <c r="M200" s="16">
        <f t="shared" si="583"/>
        <v>0</v>
      </c>
      <c r="N200" s="16">
        <f t="shared" si="583"/>
        <v>0</v>
      </c>
      <c r="O200" s="16">
        <f t="shared" si="583"/>
        <v>0</v>
      </c>
      <c r="P200" s="16">
        <f t="shared" si="583"/>
        <v>0</v>
      </c>
      <c r="Q200" s="16">
        <f t="shared" si="583"/>
        <v>0</v>
      </c>
      <c r="R200" s="16">
        <f t="shared" si="583"/>
        <v>0</v>
      </c>
      <c r="S200" s="13">
        <f t="shared" si="583"/>
        <v>0</v>
      </c>
      <c r="T200" s="13">
        <f t="shared" si="583"/>
        <v>0</v>
      </c>
      <c r="U200" s="17">
        <f t="shared" si="583"/>
        <v>0</v>
      </c>
      <c r="V200" s="168">
        <f t="shared" si="583"/>
        <v>0</v>
      </c>
      <c r="W200" s="16">
        <f t="shared" si="583"/>
        <v>0</v>
      </c>
      <c r="X200" s="16">
        <f t="shared" si="583"/>
        <v>0</v>
      </c>
      <c r="Y200" s="16">
        <f t="shared" si="583"/>
        <v>0</v>
      </c>
      <c r="Z200" s="16">
        <f t="shared" si="583"/>
        <v>0</v>
      </c>
      <c r="AA200" s="16">
        <f t="shared" si="583"/>
        <v>0</v>
      </c>
      <c r="AB200" s="16">
        <f t="shared" si="583"/>
        <v>0</v>
      </c>
      <c r="AC200" s="16">
        <f t="shared" si="583"/>
        <v>0</v>
      </c>
      <c r="AD200" s="16">
        <f t="shared" si="583"/>
        <v>0</v>
      </c>
      <c r="AE200" s="16">
        <f t="shared" si="583"/>
        <v>0</v>
      </c>
      <c r="AF200" s="16">
        <f t="shared" si="583"/>
        <v>0</v>
      </c>
      <c r="AG200" s="16">
        <f t="shared" si="583"/>
        <v>0</v>
      </c>
      <c r="AH200" s="16">
        <f t="shared" si="583"/>
        <v>0</v>
      </c>
      <c r="AI200" s="16">
        <f t="shared" si="583"/>
        <v>0</v>
      </c>
      <c r="AJ200" s="16">
        <f t="shared" si="583"/>
        <v>0</v>
      </c>
      <c r="AK200" s="16">
        <f t="shared" si="583"/>
        <v>0</v>
      </c>
      <c r="AL200" s="16">
        <f t="shared" si="583"/>
        <v>0</v>
      </c>
      <c r="AM200" s="16">
        <f t="shared" si="583"/>
        <v>0</v>
      </c>
      <c r="AN200" s="16">
        <f t="shared" si="583"/>
        <v>0</v>
      </c>
      <c r="AO200" s="16">
        <f t="shared" si="583"/>
        <v>0</v>
      </c>
      <c r="AP200" s="16">
        <f t="shared" si="583"/>
        <v>0</v>
      </c>
      <c r="AQ200" s="16">
        <f t="shared" si="583"/>
        <v>0</v>
      </c>
      <c r="AR200" s="16">
        <f t="shared" si="583"/>
        <v>0</v>
      </c>
      <c r="AS200" s="16">
        <f t="shared" si="583"/>
        <v>0</v>
      </c>
      <c r="AT200" s="16">
        <f t="shared" si="583"/>
        <v>0</v>
      </c>
      <c r="AU200" s="16">
        <f t="shared" si="583"/>
        <v>0</v>
      </c>
      <c r="AV200" s="16">
        <f t="shared" si="583"/>
        <v>0</v>
      </c>
      <c r="AW200" s="16">
        <f t="shared" si="583"/>
        <v>0</v>
      </c>
      <c r="AX200" s="16">
        <f t="shared" si="583"/>
        <v>0</v>
      </c>
      <c r="AY200" s="16">
        <f t="shared" si="583"/>
        <v>0</v>
      </c>
      <c r="AZ200" s="16">
        <f t="shared" si="583"/>
        <v>0</v>
      </c>
      <c r="BA200" s="13">
        <f t="shared" si="583"/>
        <v>0</v>
      </c>
      <c r="BB200" s="13">
        <f t="shared" si="583"/>
        <v>0</v>
      </c>
      <c r="BC200" s="13">
        <f t="shared" si="583"/>
        <v>0</v>
      </c>
      <c r="BD200" s="13">
        <f t="shared" si="583"/>
        <v>0</v>
      </c>
      <c r="BE200" s="13">
        <f t="shared" si="583"/>
        <v>0</v>
      </c>
      <c r="BF200" s="13">
        <f t="shared" si="583"/>
        <v>0</v>
      </c>
      <c r="BG200" s="13">
        <f t="shared" si="583"/>
        <v>0</v>
      </c>
      <c r="BH200" s="13">
        <f t="shared" si="583"/>
        <v>0</v>
      </c>
      <c r="BI200" s="13">
        <f t="shared" si="583"/>
        <v>0</v>
      </c>
      <c r="BJ200" s="13">
        <f t="shared" si="583"/>
        <v>0</v>
      </c>
      <c r="BK200" s="13">
        <f t="shared" si="583"/>
        <v>0</v>
      </c>
      <c r="BL200" s="13">
        <f t="shared" si="583"/>
        <v>0</v>
      </c>
      <c r="BM200" s="169">
        <f t="shared" si="583"/>
        <v>0</v>
      </c>
      <c r="BN200" s="167">
        <f t="shared" si="583"/>
        <v>0</v>
      </c>
      <c r="BO200" s="16">
        <f t="shared" si="583"/>
        <v>0</v>
      </c>
      <c r="BP200" s="16">
        <f t="shared" si="583"/>
        <v>0</v>
      </c>
      <c r="BQ200" s="16">
        <f t="shared" si="583"/>
        <v>0</v>
      </c>
      <c r="BR200" s="16">
        <f t="shared" si="583"/>
        <v>0</v>
      </c>
      <c r="BS200" s="16">
        <f t="shared" si="583"/>
        <v>0</v>
      </c>
      <c r="BT200" s="16">
        <f t="shared" si="583"/>
        <v>0</v>
      </c>
      <c r="BU200" s="16">
        <f t="shared" si="583"/>
        <v>0</v>
      </c>
      <c r="BV200" s="16">
        <f t="shared" si="583"/>
        <v>0</v>
      </c>
      <c r="BW200" s="16">
        <f t="shared" si="583"/>
        <v>0</v>
      </c>
      <c r="BX200" s="13">
        <f t="shared" si="583"/>
        <v>0</v>
      </c>
      <c r="BY200" s="13">
        <f t="shared" si="583"/>
        <v>0</v>
      </c>
      <c r="BZ200" s="169">
        <f t="shared" si="583"/>
        <v>0</v>
      </c>
      <c r="CA200" s="167">
        <f t="shared" si="583"/>
        <v>0</v>
      </c>
      <c r="CB200" s="16">
        <f t="shared" ref="CB200:CF200" si="584">SUMIF($F$12:$F$467,"=3124",CB$12:CB$467)</f>
        <v>0</v>
      </c>
      <c r="CC200" s="16">
        <f t="shared" si="584"/>
        <v>0</v>
      </c>
      <c r="CD200" s="16">
        <f t="shared" si="584"/>
        <v>0</v>
      </c>
      <c r="CE200" s="16">
        <f t="shared" si="584"/>
        <v>0</v>
      </c>
      <c r="CF200" s="17">
        <f t="shared" si="584"/>
        <v>0</v>
      </c>
    </row>
    <row r="201" spans="4:84" ht="12.75" customHeight="1" x14ac:dyDescent="0.2">
      <c r="D201" s="9"/>
      <c r="E201" s="5"/>
      <c r="F201" s="9"/>
      <c r="G201" s="5"/>
      <c r="H201" s="2">
        <v>3141</v>
      </c>
      <c r="I201" s="167">
        <f t="shared" ref="I201:CA201" si="585">SUMIF($F$12:$F$467,"=3141",I$12:I$467)</f>
        <v>36052471</v>
      </c>
      <c r="J201" s="16">
        <f t="shared" si="585"/>
        <v>26582756</v>
      </c>
      <c r="K201" s="16">
        <f t="shared" si="585"/>
        <v>0</v>
      </c>
      <c r="L201" s="16">
        <f t="shared" si="585"/>
        <v>26582756</v>
      </c>
      <c r="M201" s="16">
        <f t="shared" si="585"/>
        <v>0</v>
      </c>
      <c r="N201" s="16">
        <f t="shared" si="585"/>
        <v>0</v>
      </c>
      <c r="O201" s="16">
        <f t="shared" si="585"/>
        <v>0</v>
      </c>
      <c r="P201" s="16">
        <f t="shared" si="585"/>
        <v>8984970</v>
      </c>
      <c r="Q201" s="16">
        <f t="shared" si="585"/>
        <v>265829</v>
      </c>
      <c r="R201" s="16">
        <f t="shared" si="585"/>
        <v>218916</v>
      </c>
      <c r="S201" s="13">
        <f t="shared" si="585"/>
        <v>79.720000000000027</v>
      </c>
      <c r="T201" s="13">
        <f t="shared" si="585"/>
        <v>0</v>
      </c>
      <c r="U201" s="17">
        <f t="shared" si="585"/>
        <v>79.720000000000027</v>
      </c>
      <c r="V201" s="168">
        <f t="shared" si="585"/>
        <v>0</v>
      </c>
      <c r="W201" s="16">
        <f t="shared" si="585"/>
        <v>-47360</v>
      </c>
      <c r="X201" s="16">
        <f t="shared" si="585"/>
        <v>0</v>
      </c>
      <c r="Y201" s="16">
        <f t="shared" si="585"/>
        <v>0</v>
      </c>
      <c r="Z201" s="16">
        <f t="shared" si="585"/>
        <v>0</v>
      </c>
      <c r="AA201" s="16">
        <f t="shared" si="585"/>
        <v>0</v>
      </c>
      <c r="AB201" s="16">
        <f t="shared" si="585"/>
        <v>0</v>
      </c>
      <c r="AC201" s="16">
        <f t="shared" si="585"/>
        <v>0</v>
      </c>
      <c r="AD201" s="16">
        <f t="shared" si="585"/>
        <v>0</v>
      </c>
      <c r="AE201" s="16">
        <f t="shared" si="585"/>
        <v>0</v>
      </c>
      <c r="AF201" s="16">
        <f t="shared" si="585"/>
        <v>0</v>
      </c>
      <c r="AG201" s="16">
        <f t="shared" si="585"/>
        <v>-47360</v>
      </c>
      <c r="AH201" s="16">
        <f t="shared" si="585"/>
        <v>-47360</v>
      </c>
      <c r="AI201" s="16">
        <f t="shared" si="585"/>
        <v>0</v>
      </c>
      <c r="AJ201" s="16">
        <f t="shared" si="585"/>
        <v>47360</v>
      </c>
      <c r="AK201" s="16">
        <f t="shared" si="585"/>
        <v>0</v>
      </c>
      <c r="AL201" s="16">
        <f t="shared" si="585"/>
        <v>0</v>
      </c>
      <c r="AM201" s="16">
        <f t="shared" si="585"/>
        <v>0</v>
      </c>
      <c r="AN201" s="16">
        <f t="shared" si="585"/>
        <v>0</v>
      </c>
      <c r="AO201" s="16">
        <f t="shared" si="585"/>
        <v>0</v>
      </c>
      <c r="AP201" s="16">
        <f t="shared" si="585"/>
        <v>47360</v>
      </c>
      <c r="AQ201" s="16">
        <f t="shared" si="585"/>
        <v>47360</v>
      </c>
      <c r="AR201" s="16">
        <f t="shared" si="585"/>
        <v>0</v>
      </c>
      <c r="AS201" s="16">
        <f t="shared" si="585"/>
        <v>0</v>
      </c>
      <c r="AT201" s="16">
        <f t="shared" si="585"/>
        <v>0</v>
      </c>
      <c r="AU201" s="16">
        <f t="shared" si="585"/>
        <v>0</v>
      </c>
      <c r="AV201" s="16">
        <f t="shared" si="585"/>
        <v>-474</v>
      </c>
      <c r="AW201" s="16">
        <f t="shared" si="585"/>
        <v>0</v>
      </c>
      <c r="AX201" s="16">
        <f t="shared" si="585"/>
        <v>0</v>
      </c>
      <c r="AY201" s="16">
        <f t="shared" si="585"/>
        <v>0</v>
      </c>
      <c r="AZ201" s="16">
        <f t="shared" si="585"/>
        <v>-474</v>
      </c>
      <c r="BA201" s="13">
        <f t="shared" si="585"/>
        <v>0</v>
      </c>
      <c r="BB201" s="13">
        <f t="shared" si="585"/>
        <v>-0.03</v>
      </c>
      <c r="BC201" s="13">
        <f t="shared" si="585"/>
        <v>0</v>
      </c>
      <c r="BD201" s="13">
        <f t="shared" si="585"/>
        <v>0</v>
      </c>
      <c r="BE201" s="13">
        <f t="shared" si="585"/>
        <v>0</v>
      </c>
      <c r="BF201" s="13">
        <f t="shared" si="585"/>
        <v>0</v>
      </c>
      <c r="BG201" s="13">
        <f t="shared" si="585"/>
        <v>0</v>
      </c>
      <c r="BH201" s="13">
        <f t="shared" si="585"/>
        <v>0</v>
      </c>
      <c r="BI201" s="13">
        <f t="shared" si="585"/>
        <v>0</v>
      </c>
      <c r="BJ201" s="13">
        <f t="shared" si="585"/>
        <v>0</v>
      </c>
      <c r="BK201" s="13">
        <f t="shared" si="585"/>
        <v>0</v>
      </c>
      <c r="BL201" s="13">
        <f t="shared" si="585"/>
        <v>-0.03</v>
      </c>
      <c r="BM201" s="169">
        <f t="shared" si="585"/>
        <v>-0.03</v>
      </c>
      <c r="BN201" s="167">
        <f t="shared" si="585"/>
        <v>36051997</v>
      </c>
      <c r="BO201" s="16">
        <f t="shared" si="585"/>
        <v>26535396</v>
      </c>
      <c r="BP201" s="16">
        <f t="shared" si="585"/>
        <v>0</v>
      </c>
      <c r="BQ201" s="16">
        <f t="shared" si="585"/>
        <v>26535396</v>
      </c>
      <c r="BR201" s="16">
        <f t="shared" si="585"/>
        <v>47360</v>
      </c>
      <c r="BS201" s="16">
        <f t="shared" si="585"/>
        <v>0</v>
      </c>
      <c r="BT201" s="16">
        <f t="shared" si="585"/>
        <v>47360</v>
      </c>
      <c r="BU201" s="16">
        <f t="shared" si="585"/>
        <v>8984970</v>
      </c>
      <c r="BV201" s="16">
        <f t="shared" si="585"/>
        <v>265355</v>
      </c>
      <c r="BW201" s="16">
        <f t="shared" si="585"/>
        <v>218916</v>
      </c>
      <c r="BX201" s="13">
        <f t="shared" si="585"/>
        <v>79.690000000000026</v>
      </c>
      <c r="BY201" s="13">
        <f t="shared" si="585"/>
        <v>0</v>
      </c>
      <c r="BZ201" s="169">
        <f t="shared" si="585"/>
        <v>79.690000000000026</v>
      </c>
      <c r="CA201" s="167">
        <f t="shared" si="585"/>
        <v>0</v>
      </c>
      <c r="CB201" s="16">
        <f t="shared" ref="CB201:CF201" si="586">SUMIF($F$12:$F$467,"=3141",CB$12:CB$467)</f>
        <v>0</v>
      </c>
      <c r="CC201" s="16">
        <f t="shared" si="586"/>
        <v>0</v>
      </c>
      <c r="CD201" s="16">
        <f t="shared" si="586"/>
        <v>0</v>
      </c>
      <c r="CE201" s="16">
        <f t="shared" si="586"/>
        <v>0</v>
      </c>
      <c r="CF201" s="17">
        <f t="shared" si="586"/>
        <v>0</v>
      </c>
    </row>
    <row r="202" spans="4:84" ht="12.75" customHeight="1" x14ac:dyDescent="0.2">
      <c r="D202" s="9"/>
      <c r="E202" s="5"/>
      <c r="F202" s="9"/>
      <c r="G202" s="5"/>
      <c r="H202" s="2">
        <v>3143</v>
      </c>
      <c r="I202" s="167">
        <f t="shared" ref="I202:CA202" si="587">SUMIF($F$12:$F$467,"=3143",I$12:I$467)</f>
        <v>35800811</v>
      </c>
      <c r="J202" s="16">
        <f t="shared" si="587"/>
        <v>26537530</v>
      </c>
      <c r="K202" s="16">
        <f t="shared" si="587"/>
        <v>25959687</v>
      </c>
      <c r="L202" s="16">
        <f t="shared" si="587"/>
        <v>577843</v>
      </c>
      <c r="M202" s="16">
        <f t="shared" si="587"/>
        <v>0</v>
      </c>
      <c r="N202" s="16">
        <f t="shared" si="587"/>
        <v>0</v>
      </c>
      <c r="O202" s="16">
        <f t="shared" si="587"/>
        <v>0</v>
      </c>
      <c r="P202" s="16">
        <f t="shared" si="587"/>
        <v>8969682</v>
      </c>
      <c r="Q202" s="16">
        <f t="shared" si="587"/>
        <v>265375</v>
      </c>
      <c r="R202" s="16">
        <f t="shared" si="587"/>
        <v>28224</v>
      </c>
      <c r="S202" s="13">
        <f t="shared" si="587"/>
        <v>52.834200000000003</v>
      </c>
      <c r="T202" s="13">
        <f t="shared" si="587"/>
        <v>50.654199999999996</v>
      </c>
      <c r="U202" s="17">
        <f t="shared" si="587"/>
        <v>2.1800000000000002</v>
      </c>
      <c r="V202" s="168">
        <f t="shared" si="587"/>
        <v>-51200</v>
      </c>
      <c r="W202" s="16">
        <f t="shared" si="587"/>
        <v>0</v>
      </c>
      <c r="X202" s="16">
        <f t="shared" si="587"/>
        <v>0</v>
      </c>
      <c r="Y202" s="16">
        <f t="shared" si="587"/>
        <v>0</v>
      </c>
      <c r="Z202" s="16">
        <f t="shared" si="587"/>
        <v>0</v>
      </c>
      <c r="AA202" s="16">
        <f t="shared" si="587"/>
        <v>0</v>
      </c>
      <c r="AB202" s="16">
        <f t="shared" si="587"/>
        <v>0</v>
      </c>
      <c r="AC202" s="16">
        <f t="shared" si="587"/>
        <v>0</v>
      </c>
      <c r="AD202" s="16">
        <f t="shared" si="587"/>
        <v>0</v>
      </c>
      <c r="AE202" s="16">
        <f t="shared" si="587"/>
        <v>0</v>
      </c>
      <c r="AF202" s="16">
        <f t="shared" si="587"/>
        <v>-51200</v>
      </c>
      <c r="AG202" s="16">
        <f t="shared" si="587"/>
        <v>0</v>
      </c>
      <c r="AH202" s="16">
        <f t="shared" si="587"/>
        <v>-51200</v>
      </c>
      <c r="AI202" s="16">
        <f t="shared" si="587"/>
        <v>51200</v>
      </c>
      <c r="AJ202" s="16">
        <f t="shared" si="587"/>
        <v>0</v>
      </c>
      <c r="AK202" s="16">
        <f t="shared" si="587"/>
        <v>0</v>
      </c>
      <c r="AL202" s="16">
        <f t="shared" si="587"/>
        <v>0</v>
      </c>
      <c r="AM202" s="16">
        <f t="shared" si="587"/>
        <v>0</v>
      </c>
      <c r="AN202" s="16">
        <f t="shared" si="587"/>
        <v>0</v>
      </c>
      <c r="AO202" s="16">
        <f t="shared" si="587"/>
        <v>51200</v>
      </c>
      <c r="AP202" s="16">
        <f t="shared" si="587"/>
        <v>0</v>
      </c>
      <c r="AQ202" s="16">
        <f t="shared" si="587"/>
        <v>51200</v>
      </c>
      <c r="AR202" s="16">
        <f t="shared" si="587"/>
        <v>0</v>
      </c>
      <c r="AS202" s="16">
        <f t="shared" si="587"/>
        <v>0</v>
      </c>
      <c r="AT202" s="16">
        <f t="shared" si="587"/>
        <v>0</v>
      </c>
      <c r="AU202" s="16">
        <f t="shared" si="587"/>
        <v>0</v>
      </c>
      <c r="AV202" s="16">
        <f t="shared" si="587"/>
        <v>-512</v>
      </c>
      <c r="AW202" s="16">
        <f t="shared" si="587"/>
        <v>0</v>
      </c>
      <c r="AX202" s="16">
        <f t="shared" si="587"/>
        <v>0</v>
      </c>
      <c r="AY202" s="16">
        <f t="shared" si="587"/>
        <v>0</v>
      </c>
      <c r="AZ202" s="16">
        <f t="shared" si="587"/>
        <v>-512</v>
      </c>
      <c r="BA202" s="13">
        <f t="shared" si="587"/>
        <v>0</v>
      </c>
      <c r="BB202" s="13">
        <f t="shared" si="587"/>
        <v>0</v>
      </c>
      <c r="BC202" s="13">
        <f t="shared" si="587"/>
        <v>0</v>
      </c>
      <c r="BD202" s="13">
        <f t="shared" si="587"/>
        <v>0</v>
      </c>
      <c r="BE202" s="13">
        <f t="shared" si="587"/>
        <v>0</v>
      </c>
      <c r="BF202" s="13">
        <f t="shared" si="587"/>
        <v>0</v>
      </c>
      <c r="BG202" s="13">
        <f t="shared" si="587"/>
        <v>0</v>
      </c>
      <c r="BH202" s="13">
        <f t="shared" si="587"/>
        <v>0</v>
      </c>
      <c r="BI202" s="13">
        <f t="shared" si="587"/>
        <v>0</v>
      </c>
      <c r="BJ202" s="13">
        <f t="shared" si="587"/>
        <v>0</v>
      </c>
      <c r="BK202" s="13">
        <f t="shared" si="587"/>
        <v>0</v>
      </c>
      <c r="BL202" s="13">
        <f t="shared" si="587"/>
        <v>0</v>
      </c>
      <c r="BM202" s="169">
        <f t="shared" si="587"/>
        <v>0</v>
      </c>
      <c r="BN202" s="167">
        <f t="shared" si="587"/>
        <v>35800299</v>
      </c>
      <c r="BO202" s="16">
        <f t="shared" si="587"/>
        <v>26486330</v>
      </c>
      <c r="BP202" s="16">
        <f t="shared" si="587"/>
        <v>25908487</v>
      </c>
      <c r="BQ202" s="16">
        <f t="shared" si="587"/>
        <v>577843</v>
      </c>
      <c r="BR202" s="16">
        <f t="shared" si="587"/>
        <v>51200</v>
      </c>
      <c r="BS202" s="16">
        <f t="shared" si="587"/>
        <v>51200</v>
      </c>
      <c r="BT202" s="16">
        <f t="shared" si="587"/>
        <v>0</v>
      </c>
      <c r="BU202" s="16">
        <f t="shared" si="587"/>
        <v>8969682</v>
      </c>
      <c r="BV202" s="16">
        <f t="shared" si="587"/>
        <v>264863</v>
      </c>
      <c r="BW202" s="16">
        <f t="shared" si="587"/>
        <v>28224</v>
      </c>
      <c r="BX202" s="13">
        <f t="shared" si="587"/>
        <v>52.834200000000003</v>
      </c>
      <c r="BY202" s="13">
        <f t="shared" si="587"/>
        <v>50.654199999999996</v>
      </c>
      <c r="BZ202" s="169">
        <f t="shared" si="587"/>
        <v>2.1800000000000002</v>
      </c>
      <c r="CA202" s="167">
        <f t="shared" si="587"/>
        <v>0</v>
      </c>
      <c r="CB202" s="16">
        <f t="shared" ref="CB202:CF202" si="588">SUMIF($F$12:$F$467,"=3143",CB$12:CB$467)</f>
        <v>0</v>
      </c>
      <c r="CC202" s="16">
        <f t="shared" si="588"/>
        <v>0</v>
      </c>
      <c r="CD202" s="16">
        <f t="shared" si="588"/>
        <v>0</v>
      </c>
      <c r="CE202" s="16">
        <f t="shared" si="588"/>
        <v>0</v>
      </c>
      <c r="CF202" s="17">
        <f t="shared" si="588"/>
        <v>0</v>
      </c>
    </row>
    <row r="203" spans="4:84" ht="12.75" customHeight="1" x14ac:dyDescent="0.2">
      <c r="D203" s="9"/>
      <c r="E203" s="5"/>
      <c r="F203" s="9"/>
      <c r="G203" s="5"/>
      <c r="H203" s="2">
        <v>3231</v>
      </c>
      <c r="I203" s="167">
        <f t="shared" ref="I203:CA203" si="589">SUMIF($F$12:$F$467,"=3231",I$12:I$467)</f>
        <v>33145440</v>
      </c>
      <c r="J203" s="16">
        <f t="shared" si="589"/>
        <v>24559553</v>
      </c>
      <c r="K203" s="16">
        <f t="shared" si="589"/>
        <v>23642050</v>
      </c>
      <c r="L203" s="16">
        <f t="shared" si="589"/>
        <v>917503</v>
      </c>
      <c r="M203" s="16">
        <f t="shared" si="589"/>
        <v>0</v>
      </c>
      <c r="N203" s="16">
        <f t="shared" si="589"/>
        <v>0</v>
      </c>
      <c r="O203" s="16">
        <f t="shared" si="589"/>
        <v>0</v>
      </c>
      <c r="P203" s="16">
        <f t="shared" si="589"/>
        <v>8301129</v>
      </c>
      <c r="Q203" s="16">
        <f t="shared" si="589"/>
        <v>245596</v>
      </c>
      <c r="R203" s="16">
        <f t="shared" si="589"/>
        <v>39162</v>
      </c>
      <c r="S203" s="13">
        <f t="shared" si="589"/>
        <v>40.008499999999998</v>
      </c>
      <c r="T203" s="13">
        <f t="shared" si="589"/>
        <v>37.433999999999997</v>
      </c>
      <c r="U203" s="17">
        <f t="shared" si="589"/>
        <v>2.5745</v>
      </c>
      <c r="V203" s="168">
        <f t="shared" si="589"/>
        <v>-51200</v>
      </c>
      <c r="W203" s="16">
        <f t="shared" si="589"/>
        <v>0</v>
      </c>
      <c r="X203" s="16">
        <f t="shared" si="589"/>
        <v>0</v>
      </c>
      <c r="Y203" s="16">
        <f t="shared" si="589"/>
        <v>0</v>
      </c>
      <c r="Z203" s="16">
        <f t="shared" si="589"/>
        <v>0</v>
      </c>
      <c r="AA203" s="16">
        <f t="shared" si="589"/>
        <v>0</v>
      </c>
      <c r="AB203" s="16">
        <f t="shared" si="589"/>
        <v>0</v>
      </c>
      <c r="AC203" s="16">
        <f t="shared" si="589"/>
        <v>0</v>
      </c>
      <c r="AD203" s="16">
        <f t="shared" si="589"/>
        <v>0</v>
      </c>
      <c r="AE203" s="16">
        <f t="shared" si="589"/>
        <v>0</v>
      </c>
      <c r="AF203" s="16">
        <f t="shared" si="589"/>
        <v>-51200</v>
      </c>
      <c r="AG203" s="16">
        <f t="shared" si="589"/>
        <v>0</v>
      </c>
      <c r="AH203" s="16">
        <f t="shared" si="589"/>
        <v>-51200</v>
      </c>
      <c r="AI203" s="16">
        <f t="shared" si="589"/>
        <v>51200</v>
      </c>
      <c r="AJ203" s="16">
        <f t="shared" si="589"/>
        <v>0</v>
      </c>
      <c r="AK203" s="16">
        <f t="shared" si="589"/>
        <v>0</v>
      </c>
      <c r="AL203" s="16">
        <f t="shared" si="589"/>
        <v>0</v>
      </c>
      <c r="AM203" s="16">
        <f t="shared" si="589"/>
        <v>0</v>
      </c>
      <c r="AN203" s="16">
        <f t="shared" si="589"/>
        <v>0</v>
      </c>
      <c r="AO203" s="16">
        <f t="shared" si="589"/>
        <v>51200</v>
      </c>
      <c r="AP203" s="16">
        <f t="shared" si="589"/>
        <v>0</v>
      </c>
      <c r="AQ203" s="16">
        <f t="shared" si="589"/>
        <v>51200</v>
      </c>
      <c r="AR203" s="16">
        <f t="shared" si="589"/>
        <v>0</v>
      </c>
      <c r="AS203" s="16">
        <f t="shared" si="589"/>
        <v>0</v>
      </c>
      <c r="AT203" s="16">
        <f t="shared" si="589"/>
        <v>0</v>
      </c>
      <c r="AU203" s="16">
        <f t="shared" si="589"/>
        <v>0</v>
      </c>
      <c r="AV203" s="16">
        <f t="shared" si="589"/>
        <v>-512</v>
      </c>
      <c r="AW203" s="16">
        <f t="shared" si="589"/>
        <v>0</v>
      </c>
      <c r="AX203" s="16">
        <f t="shared" si="589"/>
        <v>0</v>
      </c>
      <c r="AY203" s="16">
        <f t="shared" si="589"/>
        <v>0</v>
      </c>
      <c r="AZ203" s="16">
        <f t="shared" si="589"/>
        <v>-512</v>
      </c>
      <c r="BA203" s="13">
        <f t="shared" si="589"/>
        <v>-0.05</v>
      </c>
      <c r="BB203" s="13">
        <f t="shared" si="589"/>
        <v>0</v>
      </c>
      <c r="BC203" s="13">
        <f t="shared" si="589"/>
        <v>0</v>
      </c>
      <c r="BD203" s="13">
        <f t="shared" si="589"/>
        <v>0</v>
      </c>
      <c r="BE203" s="13">
        <f t="shared" si="589"/>
        <v>0</v>
      </c>
      <c r="BF203" s="13">
        <f t="shared" si="589"/>
        <v>0</v>
      </c>
      <c r="BG203" s="13">
        <f t="shared" si="589"/>
        <v>0</v>
      </c>
      <c r="BH203" s="13">
        <f t="shared" si="589"/>
        <v>0</v>
      </c>
      <c r="BI203" s="13">
        <f t="shared" si="589"/>
        <v>0</v>
      </c>
      <c r="BJ203" s="13">
        <f t="shared" si="589"/>
        <v>0</v>
      </c>
      <c r="BK203" s="13">
        <f t="shared" si="589"/>
        <v>-0.05</v>
      </c>
      <c r="BL203" s="13">
        <f t="shared" si="589"/>
        <v>0</v>
      </c>
      <c r="BM203" s="169">
        <f t="shared" si="589"/>
        <v>-0.05</v>
      </c>
      <c r="BN203" s="167">
        <f t="shared" si="589"/>
        <v>33144928</v>
      </c>
      <c r="BO203" s="16">
        <f t="shared" si="589"/>
        <v>24508353</v>
      </c>
      <c r="BP203" s="16">
        <f t="shared" si="589"/>
        <v>23590850</v>
      </c>
      <c r="BQ203" s="16">
        <f t="shared" si="589"/>
        <v>917503</v>
      </c>
      <c r="BR203" s="16">
        <f t="shared" si="589"/>
        <v>51200</v>
      </c>
      <c r="BS203" s="16">
        <f t="shared" si="589"/>
        <v>51200</v>
      </c>
      <c r="BT203" s="16">
        <f t="shared" si="589"/>
        <v>0</v>
      </c>
      <c r="BU203" s="16">
        <f t="shared" si="589"/>
        <v>8301129</v>
      </c>
      <c r="BV203" s="16">
        <f t="shared" si="589"/>
        <v>245084</v>
      </c>
      <c r="BW203" s="16">
        <f t="shared" si="589"/>
        <v>39162</v>
      </c>
      <c r="BX203" s="13">
        <f t="shared" si="589"/>
        <v>39.958500000000001</v>
      </c>
      <c r="BY203" s="13">
        <f t="shared" si="589"/>
        <v>37.384</v>
      </c>
      <c r="BZ203" s="169">
        <f t="shared" si="589"/>
        <v>2.5745</v>
      </c>
      <c r="CA203" s="167">
        <f t="shared" si="589"/>
        <v>0</v>
      </c>
      <c r="CB203" s="16">
        <f t="shared" ref="CB203:CF203" si="590">SUMIF($F$12:$F$467,"=3231",CB$12:CB$467)</f>
        <v>0</v>
      </c>
      <c r="CC203" s="16">
        <f t="shared" si="590"/>
        <v>0</v>
      </c>
      <c r="CD203" s="16">
        <f t="shared" si="590"/>
        <v>0</v>
      </c>
      <c r="CE203" s="16">
        <f t="shared" si="590"/>
        <v>0</v>
      </c>
      <c r="CF203" s="17">
        <f t="shared" si="590"/>
        <v>0</v>
      </c>
    </row>
    <row r="204" spans="4:84" ht="13.5" thickBot="1" x14ac:dyDescent="0.25">
      <c r="D204" s="9"/>
      <c r="E204" s="5"/>
      <c r="F204" s="9"/>
      <c r="G204" s="5"/>
      <c r="H204" s="151">
        <v>3233</v>
      </c>
      <c r="I204" s="170">
        <f t="shared" ref="I204:CA204" si="591">SUMIF($F$12:$F$467,"=3233",I$12:I$467)</f>
        <v>5472326</v>
      </c>
      <c r="J204" s="171">
        <f t="shared" si="591"/>
        <v>4053343</v>
      </c>
      <c r="K204" s="171">
        <f t="shared" si="591"/>
        <v>3170701</v>
      </c>
      <c r="L204" s="171">
        <f t="shared" si="591"/>
        <v>882642</v>
      </c>
      <c r="M204" s="171">
        <f t="shared" si="591"/>
        <v>0</v>
      </c>
      <c r="N204" s="171">
        <f t="shared" si="591"/>
        <v>0</v>
      </c>
      <c r="O204" s="171">
        <f t="shared" si="591"/>
        <v>0</v>
      </c>
      <c r="P204" s="171">
        <f t="shared" si="591"/>
        <v>1370030</v>
      </c>
      <c r="Q204" s="171">
        <f t="shared" si="591"/>
        <v>40533</v>
      </c>
      <c r="R204" s="171">
        <f t="shared" si="591"/>
        <v>8420</v>
      </c>
      <c r="S204" s="172">
        <f t="shared" si="591"/>
        <v>8.58</v>
      </c>
      <c r="T204" s="172">
        <f t="shared" si="591"/>
        <v>5.74</v>
      </c>
      <c r="U204" s="173">
        <f t="shared" si="591"/>
        <v>2.84</v>
      </c>
      <c r="V204" s="174">
        <f t="shared" si="591"/>
        <v>0</v>
      </c>
      <c r="W204" s="171">
        <f t="shared" si="591"/>
        <v>0</v>
      </c>
      <c r="X204" s="171">
        <f t="shared" si="591"/>
        <v>0</v>
      </c>
      <c r="Y204" s="171">
        <f t="shared" si="591"/>
        <v>0</v>
      </c>
      <c r="Z204" s="171">
        <f t="shared" si="591"/>
        <v>0</v>
      </c>
      <c r="AA204" s="171">
        <f t="shared" si="591"/>
        <v>0</v>
      </c>
      <c r="AB204" s="171">
        <f t="shared" si="591"/>
        <v>0</v>
      </c>
      <c r="AC204" s="171">
        <f t="shared" si="591"/>
        <v>0</v>
      </c>
      <c r="AD204" s="171">
        <f t="shared" si="591"/>
        <v>0</v>
      </c>
      <c r="AE204" s="171">
        <f t="shared" si="591"/>
        <v>0</v>
      </c>
      <c r="AF204" s="171">
        <f t="shared" si="591"/>
        <v>0</v>
      </c>
      <c r="AG204" s="171">
        <f t="shared" si="591"/>
        <v>0</v>
      </c>
      <c r="AH204" s="171">
        <f t="shared" si="591"/>
        <v>0</v>
      </c>
      <c r="AI204" s="171">
        <f t="shared" si="591"/>
        <v>0</v>
      </c>
      <c r="AJ204" s="171">
        <f t="shared" si="591"/>
        <v>0</v>
      </c>
      <c r="AK204" s="171">
        <f t="shared" si="591"/>
        <v>0</v>
      </c>
      <c r="AL204" s="171">
        <f t="shared" si="591"/>
        <v>0</v>
      </c>
      <c r="AM204" s="171">
        <f t="shared" si="591"/>
        <v>0</v>
      </c>
      <c r="AN204" s="171">
        <f t="shared" si="591"/>
        <v>0</v>
      </c>
      <c r="AO204" s="171">
        <f t="shared" si="591"/>
        <v>0</v>
      </c>
      <c r="AP204" s="171">
        <f t="shared" si="591"/>
        <v>0</v>
      </c>
      <c r="AQ204" s="171">
        <f t="shared" si="591"/>
        <v>0</v>
      </c>
      <c r="AR204" s="171">
        <f t="shared" si="591"/>
        <v>0</v>
      </c>
      <c r="AS204" s="171">
        <f t="shared" si="591"/>
        <v>0</v>
      </c>
      <c r="AT204" s="171">
        <f t="shared" si="591"/>
        <v>0</v>
      </c>
      <c r="AU204" s="171">
        <f t="shared" si="591"/>
        <v>0</v>
      </c>
      <c r="AV204" s="171">
        <f t="shared" si="591"/>
        <v>0</v>
      </c>
      <c r="AW204" s="171">
        <f t="shared" si="591"/>
        <v>0</v>
      </c>
      <c r="AX204" s="171">
        <f t="shared" si="591"/>
        <v>0</v>
      </c>
      <c r="AY204" s="171">
        <f t="shared" si="591"/>
        <v>0</v>
      </c>
      <c r="AZ204" s="171">
        <f t="shared" si="591"/>
        <v>0</v>
      </c>
      <c r="BA204" s="172">
        <f t="shared" si="591"/>
        <v>0</v>
      </c>
      <c r="BB204" s="172">
        <f t="shared" si="591"/>
        <v>0</v>
      </c>
      <c r="BC204" s="172">
        <f t="shared" si="591"/>
        <v>0</v>
      </c>
      <c r="BD204" s="172">
        <f t="shared" si="591"/>
        <v>0</v>
      </c>
      <c r="BE204" s="172">
        <f t="shared" si="591"/>
        <v>0</v>
      </c>
      <c r="BF204" s="172">
        <f t="shared" si="591"/>
        <v>0</v>
      </c>
      <c r="BG204" s="172">
        <f t="shared" si="591"/>
        <v>0</v>
      </c>
      <c r="BH204" s="172">
        <f t="shared" si="591"/>
        <v>0</v>
      </c>
      <c r="BI204" s="172">
        <f t="shared" si="591"/>
        <v>0</v>
      </c>
      <c r="BJ204" s="172">
        <f t="shared" si="591"/>
        <v>0</v>
      </c>
      <c r="BK204" s="172">
        <f t="shared" si="591"/>
        <v>0</v>
      </c>
      <c r="BL204" s="172">
        <f t="shared" si="591"/>
        <v>0</v>
      </c>
      <c r="BM204" s="175">
        <f t="shared" si="591"/>
        <v>0</v>
      </c>
      <c r="BN204" s="170">
        <f t="shared" si="591"/>
        <v>5472326</v>
      </c>
      <c r="BO204" s="171">
        <f t="shared" si="591"/>
        <v>4053343</v>
      </c>
      <c r="BP204" s="171">
        <f t="shared" si="591"/>
        <v>3170701</v>
      </c>
      <c r="BQ204" s="171">
        <f t="shared" si="591"/>
        <v>882642</v>
      </c>
      <c r="BR204" s="171">
        <f t="shared" si="591"/>
        <v>0</v>
      </c>
      <c r="BS204" s="171">
        <f t="shared" si="591"/>
        <v>0</v>
      </c>
      <c r="BT204" s="171">
        <f t="shared" si="591"/>
        <v>0</v>
      </c>
      <c r="BU204" s="171">
        <f t="shared" si="591"/>
        <v>1370030</v>
      </c>
      <c r="BV204" s="171">
        <f t="shared" si="591"/>
        <v>40533</v>
      </c>
      <c r="BW204" s="171">
        <f t="shared" si="591"/>
        <v>8420</v>
      </c>
      <c r="BX204" s="172">
        <f t="shared" si="591"/>
        <v>8.58</v>
      </c>
      <c r="BY204" s="172">
        <f t="shared" si="591"/>
        <v>5.74</v>
      </c>
      <c r="BZ204" s="175">
        <f t="shared" si="591"/>
        <v>2.84</v>
      </c>
      <c r="CA204" s="170">
        <f t="shared" si="591"/>
        <v>0</v>
      </c>
      <c r="CB204" s="171">
        <f t="shared" ref="CB204:CF204" si="592">SUMIF($F$12:$F$467,"=3233",CB$12:CB$467)</f>
        <v>0</v>
      </c>
      <c r="CC204" s="171">
        <f t="shared" si="592"/>
        <v>0</v>
      </c>
      <c r="CD204" s="171">
        <f t="shared" si="592"/>
        <v>0</v>
      </c>
      <c r="CE204" s="171">
        <f t="shared" si="592"/>
        <v>0</v>
      </c>
      <c r="CF204" s="173">
        <f t="shared" si="592"/>
        <v>0</v>
      </c>
    </row>
    <row r="205" spans="4:84" ht="12.75" customHeight="1" x14ac:dyDescent="0.2">
      <c r="D205" s="5"/>
      <c r="E205" s="5"/>
      <c r="F205" s="5"/>
      <c r="G205" s="5"/>
      <c r="H205" s="5"/>
    </row>
    <row r="206" spans="4:84" x14ac:dyDescent="0.2"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4"/>
    </row>
  </sheetData>
  <mergeCells count="59">
    <mergeCell ref="AB11:AC11"/>
    <mergeCell ref="BD8:BE10"/>
    <mergeCell ref="BD11:BE11"/>
    <mergeCell ref="CA6:CF7"/>
    <mergeCell ref="CA8:CF9"/>
    <mergeCell ref="BS9:BT9"/>
    <mergeCell ref="BU9:BU10"/>
    <mergeCell ref="BA7:BM7"/>
    <mergeCell ref="BC8:BC9"/>
    <mergeCell ref="BF8:BG8"/>
    <mergeCell ref="BH8:BH9"/>
    <mergeCell ref="BI8:BJ9"/>
    <mergeCell ref="BK8:BM9"/>
    <mergeCell ref="AZ7:AZ10"/>
    <mergeCell ref="AM9:AN9"/>
    <mergeCell ref="AI7:AQ8"/>
    <mergeCell ref="V9:W9"/>
    <mergeCell ref="X9:X10"/>
    <mergeCell ref="Y9:Z9"/>
    <mergeCell ref="AA9:AA10"/>
    <mergeCell ref="AD9:AE9"/>
    <mergeCell ref="AR7:AT9"/>
    <mergeCell ref="AU7:AU10"/>
    <mergeCell ref="AV7:AV10"/>
    <mergeCell ref="AW7:AY9"/>
    <mergeCell ref="AB9:AC10"/>
    <mergeCell ref="AK9:AK10"/>
    <mergeCell ref="BY8:BZ9"/>
    <mergeCell ref="BV9:BV10"/>
    <mergeCell ref="BN8:BN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F9:AG9"/>
    <mergeCell ref="BO9:BO10"/>
    <mergeCell ref="BP9:BQ9"/>
    <mergeCell ref="A3:E3"/>
    <mergeCell ref="I8:I10"/>
    <mergeCell ref="I6:U7"/>
    <mergeCell ref="BX8:BX10"/>
    <mergeCell ref="AQ9:AQ10"/>
    <mergeCell ref="AO9:AP9"/>
    <mergeCell ref="AH9:AH10"/>
    <mergeCell ref="AI9:AJ9"/>
    <mergeCell ref="AL9:AL10"/>
    <mergeCell ref="BR9:BR10"/>
    <mergeCell ref="BA8:BB9"/>
    <mergeCell ref="BO8:BW8"/>
    <mergeCell ref="BW9:BW10"/>
    <mergeCell ref="V6:BM6"/>
    <mergeCell ref="BN6:BZ7"/>
    <mergeCell ref="V7:AH8"/>
  </mergeCells>
  <pageMargins left="0.7" right="0.7" top="0.78740157499999996" bottom="0.78740157499999996" header="0.3" footer="0.3"/>
  <pageSetup paperSize="8" scale="27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CF131"/>
  <sheetViews>
    <sheetView zoomScaleNormal="100" workbookViewId="0">
      <pane xSplit="8" ySplit="11" topLeftCell="BN86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2" customWidth="1"/>
    <col min="8" max="8" width="8" customWidth="1"/>
    <col min="9" max="12" width="10.85546875" style="8" customWidth="1"/>
    <col min="13" max="15" width="10.85546875" style="8" hidden="1" customWidth="1"/>
    <col min="16" max="18" width="10.85546875" style="8" customWidth="1"/>
    <col min="19" max="21" width="9.28515625" style="7" customWidth="1"/>
    <col min="22" max="27" width="10.28515625" style="8" customWidth="1"/>
    <col min="28" max="28" width="10.5703125" style="8" customWidth="1"/>
    <col min="29" max="29" width="10.28515625" style="8" hidden="1" customWidth="1"/>
    <col min="30" max="44" width="10.28515625" style="8" customWidth="1"/>
    <col min="45" max="45" width="10.28515625" style="7" customWidth="1"/>
    <col min="46" max="47" width="9.28515625" style="7" customWidth="1"/>
    <col min="48" max="48" width="9.140625" style="8" customWidth="1"/>
    <col min="49" max="49" width="9.7109375" style="8" customWidth="1"/>
    <col min="50" max="50" width="9.85546875" style="8" customWidth="1"/>
    <col min="51" max="51" width="9.140625" style="8" customWidth="1"/>
    <col min="52" max="52" width="9.7109375" style="8" customWidth="1"/>
    <col min="53" max="55" width="9.140625" style="7" customWidth="1"/>
    <col min="56" max="56" width="9.7109375" style="7" customWidth="1"/>
    <col min="57" max="57" width="9.140625" style="7" hidden="1" customWidth="1"/>
    <col min="58" max="58" width="10.140625" style="7" customWidth="1"/>
    <col min="59" max="65" width="9.28515625" style="7" customWidth="1"/>
    <col min="66" max="75" width="10.85546875" style="7" customWidth="1"/>
    <col min="76" max="78" width="9.28515625" style="7" customWidth="1"/>
    <col min="79" max="83" width="9.7109375" style="8" customWidth="1"/>
    <col min="84" max="84" width="9.7109375" style="7" customWidth="1"/>
    <col min="205" max="205" width="7" customWidth="1"/>
    <col min="206" max="206" width="30.140625" customWidth="1"/>
    <col min="207" max="207" width="6.28515625" customWidth="1"/>
    <col min="208" max="208" width="31.42578125" customWidth="1"/>
    <col min="209" max="209" width="10.5703125" customWidth="1"/>
    <col min="210" max="210" width="10.42578125" customWidth="1"/>
    <col min="211" max="211" width="9.5703125" customWidth="1"/>
    <col min="212" max="212" width="8.42578125" customWidth="1"/>
    <col min="213" max="213" width="9" customWidth="1"/>
    <col min="214" max="214" width="10.42578125" customWidth="1"/>
    <col min="217" max="217" width="10.28515625" customWidth="1"/>
    <col min="461" max="461" width="7" customWidth="1"/>
    <col min="462" max="462" width="30.140625" customWidth="1"/>
    <col min="463" max="463" width="6.28515625" customWidth="1"/>
    <col min="464" max="464" width="31.42578125" customWidth="1"/>
    <col min="465" max="465" width="10.5703125" customWidth="1"/>
    <col min="466" max="466" width="10.42578125" customWidth="1"/>
    <col min="467" max="467" width="9.5703125" customWidth="1"/>
    <col min="468" max="468" width="8.42578125" customWidth="1"/>
    <col min="469" max="469" width="9" customWidth="1"/>
    <col min="470" max="470" width="10.42578125" customWidth="1"/>
    <col min="473" max="473" width="10.28515625" customWidth="1"/>
    <col min="717" max="717" width="7" customWidth="1"/>
    <col min="718" max="718" width="30.140625" customWidth="1"/>
    <col min="719" max="719" width="6.28515625" customWidth="1"/>
    <col min="720" max="720" width="31.42578125" customWidth="1"/>
    <col min="721" max="721" width="10.5703125" customWidth="1"/>
    <col min="722" max="722" width="10.42578125" customWidth="1"/>
    <col min="723" max="723" width="9.5703125" customWidth="1"/>
    <col min="724" max="724" width="8.42578125" customWidth="1"/>
    <col min="725" max="725" width="9" customWidth="1"/>
    <col min="726" max="726" width="10.42578125" customWidth="1"/>
    <col min="729" max="729" width="10.28515625" customWidth="1"/>
    <col min="973" max="973" width="7" customWidth="1"/>
    <col min="974" max="974" width="30.140625" customWidth="1"/>
    <col min="975" max="975" width="6.28515625" customWidth="1"/>
    <col min="976" max="976" width="31.42578125" customWidth="1"/>
    <col min="977" max="977" width="10.5703125" customWidth="1"/>
    <col min="978" max="978" width="10.42578125" customWidth="1"/>
    <col min="979" max="979" width="9.5703125" customWidth="1"/>
    <col min="980" max="980" width="8.42578125" customWidth="1"/>
    <col min="981" max="981" width="9" customWidth="1"/>
    <col min="982" max="982" width="10.42578125" customWidth="1"/>
    <col min="985" max="985" width="10.28515625" customWidth="1"/>
    <col min="1229" max="1229" width="7" customWidth="1"/>
    <col min="1230" max="1230" width="30.140625" customWidth="1"/>
    <col min="1231" max="1231" width="6.28515625" customWidth="1"/>
    <col min="1232" max="1232" width="31.42578125" customWidth="1"/>
    <col min="1233" max="1233" width="10.5703125" customWidth="1"/>
    <col min="1234" max="1234" width="10.42578125" customWidth="1"/>
    <col min="1235" max="1235" width="9.5703125" customWidth="1"/>
    <col min="1236" max="1236" width="8.42578125" customWidth="1"/>
    <col min="1237" max="1237" width="9" customWidth="1"/>
    <col min="1238" max="1238" width="10.42578125" customWidth="1"/>
    <col min="1241" max="1241" width="10.28515625" customWidth="1"/>
    <col min="1485" max="1485" width="7" customWidth="1"/>
    <col min="1486" max="1486" width="30.140625" customWidth="1"/>
    <col min="1487" max="1487" width="6.28515625" customWidth="1"/>
    <col min="1488" max="1488" width="31.42578125" customWidth="1"/>
    <col min="1489" max="1489" width="10.5703125" customWidth="1"/>
    <col min="1490" max="1490" width="10.42578125" customWidth="1"/>
    <col min="1491" max="1491" width="9.5703125" customWidth="1"/>
    <col min="1492" max="1492" width="8.42578125" customWidth="1"/>
    <col min="1493" max="1493" width="9" customWidth="1"/>
    <col min="1494" max="1494" width="10.42578125" customWidth="1"/>
    <col min="1497" max="1497" width="10.28515625" customWidth="1"/>
    <col min="1741" max="1741" width="7" customWidth="1"/>
    <col min="1742" max="1742" width="30.140625" customWidth="1"/>
    <col min="1743" max="1743" width="6.28515625" customWidth="1"/>
    <col min="1744" max="1744" width="31.42578125" customWidth="1"/>
    <col min="1745" max="1745" width="10.5703125" customWidth="1"/>
    <col min="1746" max="1746" width="10.42578125" customWidth="1"/>
    <col min="1747" max="1747" width="9.5703125" customWidth="1"/>
    <col min="1748" max="1748" width="8.42578125" customWidth="1"/>
    <col min="1749" max="1749" width="9" customWidth="1"/>
    <col min="1750" max="1750" width="10.42578125" customWidth="1"/>
    <col min="1753" max="1753" width="10.28515625" customWidth="1"/>
    <col min="1997" max="1997" width="7" customWidth="1"/>
    <col min="1998" max="1998" width="30.140625" customWidth="1"/>
    <col min="1999" max="1999" width="6.28515625" customWidth="1"/>
    <col min="2000" max="2000" width="31.42578125" customWidth="1"/>
    <col min="2001" max="2001" width="10.5703125" customWidth="1"/>
    <col min="2002" max="2002" width="10.42578125" customWidth="1"/>
    <col min="2003" max="2003" width="9.5703125" customWidth="1"/>
    <col min="2004" max="2004" width="8.42578125" customWidth="1"/>
    <col min="2005" max="2005" width="9" customWidth="1"/>
    <col min="2006" max="2006" width="10.42578125" customWidth="1"/>
    <col min="2009" max="2009" width="10.28515625" customWidth="1"/>
    <col min="2253" max="2253" width="7" customWidth="1"/>
    <col min="2254" max="2254" width="30.140625" customWidth="1"/>
    <col min="2255" max="2255" width="6.28515625" customWidth="1"/>
    <col min="2256" max="2256" width="31.42578125" customWidth="1"/>
    <col min="2257" max="2257" width="10.5703125" customWidth="1"/>
    <col min="2258" max="2258" width="10.42578125" customWidth="1"/>
    <col min="2259" max="2259" width="9.5703125" customWidth="1"/>
    <col min="2260" max="2260" width="8.42578125" customWidth="1"/>
    <col min="2261" max="2261" width="9" customWidth="1"/>
    <col min="2262" max="2262" width="10.42578125" customWidth="1"/>
    <col min="2265" max="2265" width="10.28515625" customWidth="1"/>
    <col min="2509" max="2509" width="7" customWidth="1"/>
    <col min="2510" max="2510" width="30.140625" customWidth="1"/>
    <col min="2511" max="2511" width="6.28515625" customWidth="1"/>
    <col min="2512" max="2512" width="31.42578125" customWidth="1"/>
    <col min="2513" max="2513" width="10.5703125" customWidth="1"/>
    <col min="2514" max="2514" width="10.42578125" customWidth="1"/>
    <col min="2515" max="2515" width="9.5703125" customWidth="1"/>
    <col min="2516" max="2516" width="8.42578125" customWidth="1"/>
    <col min="2517" max="2517" width="9" customWidth="1"/>
    <col min="2518" max="2518" width="10.42578125" customWidth="1"/>
    <col min="2521" max="2521" width="10.28515625" customWidth="1"/>
    <col min="2765" max="2765" width="7" customWidth="1"/>
    <col min="2766" max="2766" width="30.140625" customWidth="1"/>
    <col min="2767" max="2767" width="6.28515625" customWidth="1"/>
    <col min="2768" max="2768" width="31.42578125" customWidth="1"/>
    <col min="2769" max="2769" width="10.5703125" customWidth="1"/>
    <col min="2770" max="2770" width="10.42578125" customWidth="1"/>
    <col min="2771" max="2771" width="9.5703125" customWidth="1"/>
    <col min="2772" max="2772" width="8.42578125" customWidth="1"/>
    <col min="2773" max="2773" width="9" customWidth="1"/>
    <col min="2774" max="2774" width="10.42578125" customWidth="1"/>
    <col min="2777" max="2777" width="10.28515625" customWidth="1"/>
    <col min="3021" max="3021" width="7" customWidth="1"/>
    <col min="3022" max="3022" width="30.140625" customWidth="1"/>
    <col min="3023" max="3023" width="6.28515625" customWidth="1"/>
    <col min="3024" max="3024" width="31.42578125" customWidth="1"/>
    <col min="3025" max="3025" width="10.5703125" customWidth="1"/>
    <col min="3026" max="3026" width="10.42578125" customWidth="1"/>
    <col min="3027" max="3027" width="9.5703125" customWidth="1"/>
    <col min="3028" max="3028" width="8.42578125" customWidth="1"/>
    <col min="3029" max="3029" width="9" customWidth="1"/>
    <col min="3030" max="3030" width="10.42578125" customWidth="1"/>
    <col min="3033" max="3033" width="10.28515625" customWidth="1"/>
    <col min="3277" max="3277" width="7" customWidth="1"/>
    <col min="3278" max="3278" width="30.140625" customWidth="1"/>
    <col min="3279" max="3279" width="6.28515625" customWidth="1"/>
    <col min="3280" max="3280" width="31.42578125" customWidth="1"/>
    <col min="3281" max="3281" width="10.5703125" customWidth="1"/>
    <col min="3282" max="3282" width="10.42578125" customWidth="1"/>
    <col min="3283" max="3283" width="9.5703125" customWidth="1"/>
    <col min="3284" max="3284" width="8.42578125" customWidth="1"/>
    <col min="3285" max="3285" width="9" customWidth="1"/>
    <col min="3286" max="3286" width="10.42578125" customWidth="1"/>
    <col min="3289" max="3289" width="10.28515625" customWidth="1"/>
    <col min="3533" max="3533" width="7" customWidth="1"/>
    <col min="3534" max="3534" width="30.140625" customWidth="1"/>
    <col min="3535" max="3535" width="6.28515625" customWidth="1"/>
    <col min="3536" max="3536" width="31.42578125" customWidth="1"/>
    <col min="3537" max="3537" width="10.5703125" customWidth="1"/>
    <col min="3538" max="3538" width="10.42578125" customWidth="1"/>
    <col min="3539" max="3539" width="9.5703125" customWidth="1"/>
    <col min="3540" max="3540" width="8.42578125" customWidth="1"/>
    <col min="3541" max="3541" width="9" customWidth="1"/>
    <col min="3542" max="3542" width="10.42578125" customWidth="1"/>
    <col min="3545" max="3545" width="10.28515625" customWidth="1"/>
    <col min="3789" max="3789" width="7" customWidth="1"/>
    <col min="3790" max="3790" width="30.140625" customWidth="1"/>
    <col min="3791" max="3791" width="6.28515625" customWidth="1"/>
    <col min="3792" max="3792" width="31.42578125" customWidth="1"/>
    <col min="3793" max="3793" width="10.5703125" customWidth="1"/>
    <col min="3794" max="3794" width="10.42578125" customWidth="1"/>
    <col min="3795" max="3795" width="9.5703125" customWidth="1"/>
    <col min="3796" max="3796" width="8.42578125" customWidth="1"/>
    <col min="3797" max="3797" width="9" customWidth="1"/>
    <col min="3798" max="3798" width="10.42578125" customWidth="1"/>
    <col min="3801" max="3801" width="10.28515625" customWidth="1"/>
    <col min="4045" max="4045" width="7" customWidth="1"/>
    <col min="4046" max="4046" width="30.140625" customWidth="1"/>
    <col min="4047" max="4047" width="6.28515625" customWidth="1"/>
    <col min="4048" max="4048" width="31.42578125" customWidth="1"/>
    <col min="4049" max="4049" width="10.5703125" customWidth="1"/>
    <col min="4050" max="4050" width="10.42578125" customWidth="1"/>
    <col min="4051" max="4051" width="9.5703125" customWidth="1"/>
    <col min="4052" max="4052" width="8.42578125" customWidth="1"/>
    <col min="4053" max="4053" width="9" customWidth="1"/>
    <col min="4054" max="4054" width="10.42578125" customWidth="1"/>
    <col min="4057" max="4057" width="10.28515625" customWidth="1"/>
    <col min="4301" max="4301" width="7" customWidth="1"/>
    <col min="4302" max="4302" width="30.140625" customWidth="1"/>
    <col min="4303" max="4303" width="6.28515625" customWidth="1"/>
    <col min="4304" max="4304" width="31.42578125" customWidth="1"/>
    <col min="4305" max="4305" width="10.5703125" customWidth="1"/>
    <col min="4306" max="4306" width="10.42578125" customWidth="1"/>
    <col min="4307" max="4307" width="9.5703125" customWidth="1"/>
    <col min="4308" max="4308" width="8.42578125" customWidth="1"/>
    <col min="4309" max="4309" width="9" customWidth="1"/>
    <col min="4310" max="4310" width="10.42578125" customWidth="1"/>
    <col min="4313" max="4313" width="10.28515625" customWidth="1"/>
    <col min="4557" max="4557" width="7" customWidth="1"/>
    <col min="4558" max="4558" width="30.140625" customWidth="1"/>
    <col min="4559" max="4559" width="6.28515625" customWidth="1"/>
    <col min="4560" max="4560" width="31.42578125" customWidth="1"/>
    <col min="4561" max="4561" width="10.5703125" customWidth="1"/>
    <col min="4562" max="4562" width="10.42578125" customWidth="1"/>
    <col min="4563" max="4563" width="9.5703125" customWidth="1"/>
    <col min="4564" max="4564" width="8.42578125" customWidth="1"/>
    <col min="4565" max="4565" width="9" customWidth="1"/>
    <col min="4566" max="4566" width="10.42578125" customWidth="1"/>
    <col min="4569" max="4569" width="10.28515625" customWidth="1"/>
    <col min="4813" max="4813" width="7" customWidth="1"/>
    <col min="4814" max="4814" width="30.140625" customWidth="1"/>
    <col min="4815" max="4815" width="6.28515625" customWidth="1"/>
    <col min="4816" max="4816" width="31.42578125" customWidth="1"/>
    <col min="4817" max="4817" width="10.5703125" customWidth="1"/>
    <col min="4818" max="4818" width="10.42578125" customWidth="1"/>
    <col min="4819" max="4819" width="9.5703125" customWidth="1"/>
    <col min="4820" max="4820" width="8.42578125" customWidth="1"/>
    <col min="4821" max="4821" width="9" customWidth="1"/>
    <col min="4822" max="4822" width="10.42578125" customWidth="1"/>
    <col min="4825" max="4825" width="10.28515625" customWidth="1"/>
    <col min="5069" max="5069" width="7" customWidth="1"/>
    <col min="5070" max="5070" width="30.140625" customWidth="1"/>
    <col min="5071" max="5071" width="6.28515625" customWidth="1"/>
    <col min="5072" max="5072" width="31.42578125" customWidth="1"/>
    <col min="5073" max="5073" width="10.5703125" customWidth="1"/>
    <col min="5074" max="5074" width="10.42578125" customWidth="1"/>
    <col min="5075" max="5075" width="9.5703125" customWidth="1"/>
    <col min="5076" max="5076" width="8.42578125" customWidth="1"/>
    <col min="5077" max="5077" width="9" customWidth="1"/>
    <col min="5078" max="5078" width="10.42578125" customWidth="1"/>
    <col min="5081" max="5081" width="10.28515625" customWidth="1"/>
    <col min="5325" max="5325" width="7" customWidth="1"/>
    <col min="5326" max="5326" width="30.140625" customWidth="1"/>
    <col min="5327" max="5327" width="6.28515625" customWidth="1"/>
    <col min="5328" max="5328" width="31.42578125" customWidth="1"/>
    <col min="5329" max="5329" width="10.5703125" customWidth="1"/>
    <col min="5330" max="5330" width="10.42578125" customWidth="1"/>
    <col min="5331" max="5331" width="9.5703125" customWidth="1"/>
    <col min="5332" max="5332" width="8.42578125" customWidth="1"/>
    <col min="5333" max="5333" width="9" customWidth="1"/>
    <col min="5334" max="5334" width="10.42578125" customWidth="1"/>
    <col min="5337" max="5337" width="10.28515625" customWidth="1"/>
    <col min="5581" max="5581" width="7" customWidth="1"/>
    <col min="5582" max="5582" width="30.140625" customWidth="1"/>
    <col min="5583" max="5583" width="6.28515625" customWidth="1"/>
    <col min="5584" max="5584" width="31.42578125" customWidth="1"/>
    <col min="5585" max="5585" width="10.5703125" customWidth="1"/>
    <col min="5586" max="5586" width="10.42578125" customWidth="1"/>
    <col min="5587" max="5587" width="9.5703125" customWidth="1"/>
    <col min="5588" max="5588" width="8.42578125" customWidth="1"/>
    <col min="5589" max="5589" width="9" customWidth="1"/>
    <col min="5590" max="5590" width="10.42578125" customWidth="1"/>
    <col min="5593" max="5593" width="10.28515625" customWidth="1"/>
    <col min="5837" max="5837" width="7" customWidth="1"/>
    <col min="5838" max="5838" width="30.140625" customWidth="1"/>
    <col min="5839" max="5839" width="6.28515625" customWidth="1"/>
    <col min="5840" max="5840" width="31.42578125" customWidth="1"/>
    <col min="5841" max="5841" width="10.5703125" customWidth="1"/>
    <col min="5842" max="5842" width="10.42578125" customWidth="1"/>
    <col min="5843" max="5843" width="9.5703125" customWidth="1"/>
    <col min="5844" max="5844" width="8.42578125" customWidth="1"/>
    <col min="5845" max="5845" width="9" customWidth="1"/>
    <col min="5846" max="5846" width="10.42578125" customWidth="1"/>
    <col min="5849" max="5849" width="10.28515625" customWidth="1"/>
    <col min="6093" max="6093" width="7" customWidth="1"/>
    <col min="6094" max="6094" width="30.140625" customWidth="1"/>
    <col min="6095" max="6095" width="6.28515625" customWidth="1"/>
    <col min="6096" max="6096" width="31.42578125" customWidth="1"/>
    <col min="6097" max="6097" width="10.5703125" customWidth="1"/>
    <col min="6098" max="6098" width="10.42578125" customWidth="1"/>
    <col min="6099" max="6099" width="9.5703125" customWidth="1"/>
    <col min="6100" max="6100" width="8.42578125" customWidth="1"/>
    <col min="6101" max="6101" width="9" customWidth="1"/>
    <col min="6102" max="6102" width="10.42578125" customWidth="1"/>
    <col min="6105" max="6105" width="10.28515625" customWidth="1"/>
    <col min="6349" max="6349" width="7" customWidth="1"/>
    <col min="6350" max="6350" width="30.140625" customWidth="1"/>
    <col min="6351" max="6351" width="6.28515625" customWidth="1"/>
    <col min="6352" max="6352" width="31.42578125" customWidth="1"/>
    <col min="6353" max="6353" width="10.5703125" customWidth="1"/>
    <col min="6354" max="6354" width="10.42578125" customWidth="1"/>
    <col min="6355" max="6355" width="9.5703125" customWidth="1"/>
    <col min="6356" max="6356" width="8.42578125" customWidth="1"/>
    <col min="6357" max="6357" width="9" customWidth="1"/>
    <col min="6358" max="6358" width="10.42578125" customWidth="1"/>
    <col min="6361" max="6361" width="10.28515625" customWidth="1"/>
    <col min="6605" max="6605" width="7" customWidth="1"/>
    <col min="6606" max="6606" width="30.140625" customWidth="1"/>
    <col min="6607" max="6607" width="6.28515625" customWidth="1"/>
    <col min="6608" max="6608" width="31.42578125" customWidth="1"/>
    <col min="6609" max="6609" width="10.5703125" customWidth="1"/>
    <col min="6610" max="6610" width="10.42578125" customWidth="1"/>
    <col min="6611" max="6611" width="9.5703125" customWidth="1"/>
    <col min="6612" max="6612" width="8.42578125" customWidth="1"/>
    <col min="6613" max="6613" width="9" customWidth="1"/>
    <col min="6614" max="6614" width="10.42578125" customWidth="1"/>
    <col min="6617" max="6617" width="10.28515625" customWidth="1"/>
    <col min="6861" max="6861" width="7" customWidth="1"/>
    <col min="6862" max="6862" width="30.140625" customWidth="1"/>
    <col min="6863" max="6863" width="6.28515625" customWidth="1"/>
    <col min="6864" max="6864" width="31.42578125" customWidth="1"/>
    <col min="6865" max="6865" width="10.5703125" customWidth="1"/>
    <col min="6866" max="6866" width="10.42578125" customWidth="1"/>
    <col min="6867" max="6867" width="9.5703125" customWidth="1"/>
    <col min="6868" max="6868" width="8.42578125" customWidth="1"/>
    <col min="6869" max="6869" width="9" customWidth="1"/>
    <col min="6870" max="6870" width="10.42578125" customWidth="1"/>
    <col min="6873" max="6873" width="10.28515625" customWidth="1"/>
    <col min="7117" max="7117" width="7" customWidth="1"/>
    <col min="7118" max="7118" width="30.140625" customWidth="1"/>
    <col min="7119" max="7119" width="6.28515625" customWidth="1"/>
    <col min="7120" max="7120" width="31.42578125" customWidth="1"/>
    <col min="7121" max="7121" width="10.5703125" customWidth="1"/>
    <col min="7122" max="7122" width="10.42578125" customWidth="1"/>
    <col min="7123" max="7123" width="9.5703125" customWidth="1"/>
    <col min="7124" max="7124" width="8.42578125" customWidth="1"/>
    <col min="7125" max="7125" width="9" customWidth="1"/>
    <col min="7126" max="7126" width="10.42578125" customWidth="1"/>
    <col min="7129" max="7129" width="10.28515625" customWidth="1"/>
    <col min="7373" max="7373" width="7" customWidth="1"/>
    <col min="7374" max="7374" width="30.140625" customWidth="1"/>
    <col min="7375" max="7375" width="6.28515625" customWidth="1"/>
    <col min="7376" max="7376" width="31.42578125" customWidth="1"/>
    <col min="7377" max="7377" width="10.5703125" customWidth="1"/>
    <col min="7378" max="7378" width="10.42578125" customWidth="1"/>
    <col min="7379" max="7379" width="9.5703125" customWidth="1"/>
    <col min="7380" max="7380" width="8.42578125" customWidth="1"/>
    <col min="7381" max="7381" width="9" customWidth="1"/>
    <col min="7382" max="7382" width="10.42578125" customWidth="1"/>
    <col min="7385" max="7385" width="10.28515625" customWidth="1"/>
    <col min="7629" max="7629" width="7" customWidth="1"/>
    <col min="7630" max="7630" width="30.140625" customWidth="1"/>
    <col min="7631" max="7631" width="6.28515625" customWidth="1"/>
    <col min="7632" max="7632" width="31.42578125" customWidth="1"/>
    <col min="7633" max="7633" width="10.5703125" customWidth="1"/>
    <col min="7634" max="7634" width="10.42578125" customWidth="1"/>
    <col min="7635" max="7635" width="9.5703125" customWidth="1"/>
    <col min="7636" max="7636" width="8.42578125" customWidth="1"/>
    <col min="7637" max="7637" width="9" customWidth="1"/>
    <col min="7638" max="7638" width="10.42578125" customWidth="1"/>
    <col min="7641" max="7641" width="10.28515625" customWidth="1"/>
    <col min="7885" max="7885" width="7" customWidth="1"/>
    <col min="7886" max="7886" width="30.140625" customWidth="1"/>
    <col min="7887" max="7887" width="6.28515625" customWidth="1"/>
    <col min="7888" max="7888" width="31.42578125" customWidth="1"/>
    <col min="7889" max="7889" width="10.5703125" customWidth="1"/>
    <col min="7890" max="7890" width="10.42578125" customWidth="1"/>
    <col min="7891" max="7891" width="9.5703125" customWidth="1"/>
    <col min="7892" max="7892" width="8.42578125" customWidth="1"/>
    <col min="7893" max="7893" width="9" customWidth="1"/>
    <col min="7894" max="7894" width="10.42578125" customWidth="1"/>
    <col min="7897" max="7897" width="10.28515625" customWidth="1"/>
    <col min="8141" max="8141" width="7" customWidth="1"/>
    <col min="8142" max="8142" width="30.140625" customWidth="1"/>
    <col min="8143" max="8143" width="6.28515625" customWidth="1"/>
    <col min="8144" max="8144" width="31.42578125" customWidth="1"/>
    <col min="8145" max="8145" width="10.5703125" customWidth="1"/>
    <col min="8146" max="8146" width="10.42578125" customWidth="1"/>
    <col min="8147" max="8147" width="9.5703125" customWidth="1"/>
    <col min="8148" max="8148" width="8.42578125" customWidth="1"/>
    <col min="8149" max="8149" width="9" customWidth="1"/>
    <col min="8150" max="8150" width="10.42578125" customWidth="1"/>
    <col min="8153" max="8153" width="10.28515625" customWidth="1"/>
    <col min="8397" max="8397" width="7" customWidth="1"/>
    <col min="8398" max="8398" width="30.140625" customWidth="1"/>
    <col min="8399" max="8399" width="6.28515625" customWidth="1"/>
    <col min="8400" max="8400" width="31.42578125" customWidth="1"/>
    <col min="8401" max="8401" width="10.5703125" customWidth="1"/>
    <col min="8402" max="8402" width="10.42578125" customWidth="1"/>
    <col min="8403" max="8403" width="9.5703125" customWidth="1"/>
    <col min="8404" max="8404" width="8.42578125" customWidth="1"/>
    <col min="8405" max="8405" width="9" customWidth="1"/>
    <col min="8406" max="8406" width="10.42578125" customWidth="1"/>
    <col min="8409" max="8409" width="10.28515625" customWidth="1"/>
    <col min="8653" max="8653" width="7" customWidth="1"/>
    <col min="8654" max="8654" width="30.140625" customWidth="1"/>
    <col min="8655" max="8655" width="6.28515625" customWidth="1"/>
    <col min="8656" max="8656" width="31.42578125" customWidth="1"/>
    <col min="8657" max="8657" width="10.5703125" customWidth="1"/>
    <col min="8658" max="8658" width="10.42578125" customWidth="1"/>
    <col min="8659" max="8659" width="9.5703125" customWidth="1"/>
    <col min="8660" max="8660" width="8.42578125" customWidth="1"/>
    <col min="8661" max="8661" width="9" customWidth="1"/>
    <col min="8662" max="8662" width="10.42578125" customWidth="1"/>
    <col min="8665" max="8665" width="10.28515625" customWidth="1"/>
    <col min="8909" max="8909" width="7" customWidth="1"/>
    <col min="8910" max="8910" width="30.140625" customWidth="1"/>
    <col min="8911" max="8911" width="6.28515625" customWidth="1"/>
    <col min="8912" max="8912" width="31.42578125" customWidth="1"/>
    <col min="8913" max="8913" width="10.5703125" customWidth="1"/>
    <col min="8914" max="8914" width="10.42578125" customWidth="1"/>
    <col min="8915" max="8915" width="9.5703125" customWidth="1"/>
    <col min="8916" max="8916" width="8.42578125" customWidth="1"/>
    <col min="8917" max="8917" width="9" customWidth="1"/>
    <col min="8918" max="8918" width="10.42578125" customWidth="1"/>
    <col min="8921" max="8921" width="10.28515625" customWidth="1"/>
    <col min="9165" max="9165" width="7" customWidth="1"/>
    <col min="9166" max="9166" width="30.140625" customWidth="1"/>
    <col min="9167" max="9167" width="6.28515625" customWidth="1"/>
    <col min="9168" max="9168" width="31.42578125" customWidth="1"/>
    <col min="9169" max="9169" width="10.5703125" customWidth="1"/>
    <col min="9170" max="9170" width="10.42578125" customWidth="1"/>
    <col min="9171" max="9171" width="9.5703125" customWidth="1"/>
    <col min="9172" max="9172" width="8.42578125" customWidth="1"/>
    <col min="9173" max="9173" width="9" customWidth="1"/>
    <col min="9174" max="9174" width="10.42578125" customWidth="1"/>
    <col min="9177" max="9177" width="10.28515625" customWidth="1"/>
    <col min="9421" max="9421" width="7" customWidth="1"/>
    <col min="9422" max="9422" width="30.140625" customWidth="1"/>
    <col min="9423" max="9423" width="6.28515625" customWidth="1"/>
    <col min="9424" max="9424" width="31.42578125" customWidth="1"/>
    <col min="9425" max="9425" width="10.5703125" customWidth="1"/>
    <col min="9426" max="9426" width="10.42578125" customWidth="1"/>
    <col min="9427" max="9427" width="9.5703125" customWidth="1"/>
    <col min="9428" max="9428" width="8.42578125" customWidth="1"/>
    <col min="9429" max="9429" width="9" customWidth="1"/>
    <col min="9430" max="9430" width="10.42578125" customWidth="1"/>
    <col min="9433" max="9433" width="10.28515625" customWidth="1"/>
    <col min="9677" max="9677" width="7" customWidth="1"/>
    <col min="9678" max="9678" width="30.140625" customWidth="1"/>
    <col min="9679" max="9679" width="6.28515625" customWidth="1"/>
    <col min="9680" max="9680" width="31.42578125" customWidth="1"/>
    <col min="9681" max="9681" width="10.5703125" customWidth="1"/>
    <col min="9682" max="9682" width="10.42578125" customWidth="1"/>
    <col min="9683" max="9683" width="9.5703125" customWidth="1"/>
    <col min="9684" max="9684" width="8.42578125" customWidth="1"/>
    <col min="9685" max="9685" width="9" customWidth="1"/>
    <col min="9686" max="9686" width="10.42578125" customWidth="1"/>
    <col min="9689" max="9689" width="10.28515625" customWidth="1"/>
    <col min="9933" max="9933" width="7" customWidth="1"/>
    <col min="9934" max="9934" width="30.140625" customWidth="1"/>
    <col min="9935" max="9935" width="6.28515625" customWidth="1"/>
    <col min="9936" max="9936" width="31.42578125" customWidth="1"/>
    <col min="9937" max="9937" width="10.5703125" customWidth="1"/>
    <col min="9938" max="9938" width="10.42578125" customWidth="1"/>
    <col min="9939" max="9939" width="9.5703125" customWidth="1"/>
    <col min="9940" max="9940" width="8.42578125" customWidth="1"/>
    <col min="9941" max="9941" width="9" customWidth="1"/>
    <col min="9942" max="9942" width="10.42578125" customWidth="1"/>
    <col min="9945" max="9945" width="10.28515625" customWidth="1"/>
    <col min="10189" max="10189" width="7" customWidth="1"/>
    <col min="10190" max="10190" width="30.140625" customWidth="1"/>
    <col min="10191" max="10191" width="6.28515625" customWidth="1"/>
    <col min="10192" max="10192" width="31.42578125" customWidth="1"/>
    <col min="10193" max="10193" width="10.5703125" customWidth="1"/>
    <col min="10194" max="10194" width="10.42578125" customWidth="1"/>
    <col min="10195" max="10195" width="9.5703125" customWidth="1"/>
    <col min="10196" max="10196" width="8.42578125" customWidth="1"/>
    <col min="10197" max="10197" width="9" customWidth="1"/>
    <col min="10198" max="10198" width="10.42578125" customWidth="1"/>
    <col min="10201" max="10201" width="10.28515625" customWidth="1"/>
    <col min="10445" max="10445" width="7" customWidth="1"/>
    <col min="10446" max="10446" width="30.140625" customWidth="1"/>
    <col min="10447" max="10447" width="6.28515625" customWidth="1"/>
    <col min="10448" max="10448" width="31.42578125" customWidth="1"/>
    <col min="10449" max="10449" width="10.5703125" customWidth="1"/>
    <col min="10450" max="10450" width="10.42578125" customWidth="1"/>
    <col min="10451" max="10451" width="9.5703125" customWidth="1"/>
    <col min="10452" max="10452" width="8.42578125" customWidth="1"/>
    <col min="10453" max="10453" width="9" customWidth="1"/>
    <col min="10454" max="10454" width="10.42578125" customWidth="1"/>
    <col min="10457" max="10457" width="10.28515625" customWidth="1"/>
    <col min="10701" max="10701" width="7" customWidth="1"/>
    <col min="10702" max="10702" width="30.140625" customWidth="1"/>
    <col min="10703" max="10703" width="6.28515625" customWidth="1"/>
    <col min="10704" max="10704" width="31.42578125" customWidth="1"/>
    <col min="10705" max="10705" width="10.5703125" customWidth="1"/>
    <col min="10706" max="10706" width="10.42578125" customWidth="1"/>
    <col min="10707" max="10707" width="9.5703125" customWidth="1"/>
    <col min="10708" max="10708" width="8.42578125" customWidth="1"/>
    <col min="10709" max="10709" width="9" customWidth="1"/>
    <col min="10710" max="10710" width="10.42578125" customWidth="1"/>
    <col min="10713" max="10713" width="10.28515625" customWidth="1"/>
    <col min="10957" max="10957" width="7" customWidth="1"/>
    <col min="10958" max="10958" width="30.140625" customWidth="1"/>
    <col min="10959" max="10959" width="6.28515625" customWidth="1"/>
    <col min="10960" max="10960" width="31.42578125" customWidth="1"/>
    <col min="10961" max="10961" width="10.5703125" customWidth="1"/>
    <col min="10962" max="10962" width="10.42578125" customWidth="1"/>
    <col min="10963" max="10963" width="9.5703125" customWidth="1"/>
    <col min="10964" max="10964" width="8.42578125" customWidth="1"/>
    <col min="10965" max="10965" width="9" customWidth="1"/>
    <col min="10966" max="10966" width="10.42578125" customWidth="1"/>
    <col min="10969" max="10969" width="10.28515625" customWidth="1"/>
    <col min="11213" max="11213" width="7" customWidth="1"/>
    <col min="11214" max="11214" width="30.140625" customWidth="1"/>
    <col min="11215" max="11215" width="6.28515625" customWidth="1"/>
    <col min="11216" max="11216" width="31.42578125" customWidth="1"/>
    <col min="11217" max="11217" width="10.5703125" customWidth="1"/>
    <col min="11218" max="11218" width="10.42578125" customWidth="1"/>
    <col min="11219" max="11219" width="9.5703125" customWidth="1"/>
    <col min="11220" max="11220" width="8.42578125" customWidth="1"/>
    <col min="11221" max="11221" width="9" customWidth="1"/>
    <col min="11222" max="11222" width="10.42578125" customWidth="1"/>
    <col min="11225" max="11225" width="10.28515625" customWidth="1"/>
    <col min="11469" max="11469" width="7" customWidth="1"/>
    <col min="11470" max="11470" width="30.140625" customWidth="1"/>
    <col min="11471" max="11471" width="6.28515625" customWidth="1"/>
    <col min="11472" max="11472" width="31.42578125" customWidth="1"/>
    <col min="11473" max="11473" width="10.5703125" customWidth="1"/>
    <col min="11474" max="11474" width="10.42578125" customWidth="1"/>
    <col min="11475" max="11475" width="9.5703125" customWidth="1"/>
    <col min="11476" max="11476" width="8.42578125" customWidth="1"/>
    <col min="11477" max="11477" width="9" customWidth="1"/>
    <col min="11478" max="11478" width="10.42578125" customWidth="1"/>
    <col min="11481" max="11481" width="10.28515625" customWidth="1"/>
    <col min="11725" max="11725" width="7" customWidth="1"/>
    <col min="11726" max="11726" width="30.140625" customWidth="1"/>
    <col min="11727" max="11727" width="6.28515625" customWidth="1"/>
    <col min="11728" max="11728" width="31.42578125" customWidth="1"/>
    <col min="11729" max="11729" width="10.5703125" customWidth="1"/>
    <col min="11730" max="11730" width="10.42578125" customWidth="1"/>
    <col min="11731" max="11731" width="9.5703125" customWidth="1"/>
    <col min="11732" max="11732" width="8.42578125" customWidth="1"/>
    <col min="11733" max="11733" width="9" customWidth="1"/>
    <col min="11734" max="11734" width="10.42578125" customWidth="1"/>
    <col min="11737" max="11737" width="10.28515625" customWidth="1"/>
    <col min="11981" max="11981" width="7" customWidth="1"/>
    <col min="11982" max="11982" width="30.140625" customWidth="1"/>
    <col min="11983" max="11983" width="6.28515625" customWidth="1"/>
    <col min="11984" max="11984" width="31.42578125" customWidth="1"/>
    <col min="11985" max="11985" width="10.5703125" customWidth="1"/>
    <col min="11986" max="11986" width="10.42578125" customWidth="1"/>
    <col min="11987" max="11987" width="9.5703125" customWidth="1"/>
    <col min="11988" max="11988" width="8.42578125" customWidth="1"/>
    <col min="11989" max="11989" width="9" customWidth="1"/>
    <col min="11990" max="11990" width="10.42578125" customWidth="1"/>
    <col min="11993" max="11993" width="10.28515625" customWidth="1"/>
    <col min="12237" max="12237" width="7" customWidth="1"/>
    <col min="12238" max="12238" width="30.140625" customWidth="1"/>
    <col min="12239" max="12239" width="6.28515625" customWidth="1"/>
    <col min="12240" max="12240" width="31.42578125" customWidth="1"/>
    <col min="12241" max="12241" width="10.5703125" customWidth="1"/>
    <col min="12242" max="12242" width="10.42578125" customWidth="1"/>
    <col min="12243" max="12243" width="9.5703125" customWidth="1"/>
    <col min="12244" max="12244" width="8.42578125" customWidth="1"/>
    <col min="12245" max="12245" width="9" customWidth="1"/>
    <col min="12246" max="12246" width="10.42578125" customWidth="1"/>
    <col min="12249" max="12249" width="10.28515625" customWidth="1"/>
    <col min="12493" max="12493" width="7" customWidth="1"/>
    <col min="12494" max="12494" width="30.140625" customWidth="1"/>
    <col min="12495" max="12495" width="6.28515625" customWidth="1"/>
    <col min="12496" max="12496" width="31.42578125" customWidth="1"/>
    <col min="12497" max="12497" width="10.5703125" customWidth="1"/>
    <col min="12498" max="12498" width="10.42578125" customWidth="1"/>
    <col min="12499" max="12499" width="9.5703125" customWidth="1"/>
    <col min="12500" max="12500" width="8.42578125" customWidth="1"/>
    <col min="12501" max="12501" width="9" customWidth="1"/>
    <col min="12502" max="12502" width="10.42578125" customWidth="1"/>
    <col min="12505" max="12505" width="10.28515625" customWidth="1"/>
    <col min="12749" max="12749" width="7" customWidth="1"/>
    <col min="12750" max="12750" width="30.140625" customWidth="1"/>
    <col min="12751" max="12751" width="6.28515625" customWidth="1"/>
    <col min="12752" max="12752" width="31.42578125" customWidth="1"/>
    <col min="12753" max="12753" width="10.5703125" customWidth="1"/>
    <col min="12754" max="12754" width="10.42578125" customWidth="1"/>
    <col min="12755" max="12755" width="9.5703125" customWidth="1"/>
    <col min="12756" max="12756" width="8.42578125" customWidth="1"/>
    <col min="12757" max="12757" width="9" customWidth="1"/>
    <col min="12758" max="12758" width="10.42578125" customWidth="1"/>
    <col min="12761" max="12761" width="10.28515625" customWidth="1"/>
    <col min="13005" max="13005" width="7" customWidth="1"/>
    <col min="13006" max="13006" width="30.140625" customWidth="1"/>
    <col min="13007" max="13007" width="6.28515625" customWidth="1"/>
    <col min="13008" max="13008" width="31.42578125" customWidth="1"/>
    <col min="13009" max="13009" width="10.5703125" customWidth="1"/>
    <col min="13010" max="13010" width="10.42578125" customWidth="1"/>
    <col min="13011" max="13011" width="9.5703125" customWidth="1"/>
    <col min="13012" max="13012" width="8.42578125" customWidth="1"/>
    <col min="13013" max="13013" width="9" customWidth="1"/>
    <col min="13014" max="13014" width="10.42578125" customWidth="1"/>
    <col min="13017" max="13017" width="10.28515625" customWidth="1"/>
    <col min="13261" max="13261" width="7" customWidth="1"/>
    <col min="13262" max="13262" width="30.140625" customWidth="1"/>
    <col min="13263" max="13263" width="6.28515625" customWidth="1"/>
    <col min="13264" max="13264" width="31.42578125" customWidth="1"/>
    <col min="13265" max="13265" width="10.5703125" customWidth="1"/>
    <col min="13266" max="13266" width="10.42578125" customWidth="1"/>
    <col min="13267" max="13267" width="9.5703125" customWidth="1"/>
    <col min="13268" max="13268" width="8.42578125" customWidth="1"/>
    <col min="13269" max="13269" width="9" customWidth="1"/>
    <col min="13270" max="13270" width="10.42578125" customWidth="1"/>
    <col min="13273" max="13273" width="10.28515625" customWidth="1"/>
    <col min="13517" max="13517" width="7" customWidth="1"/>
    <col min="13518" max="13518" width="30.140625" customWidth="1"/>
    <col min="13519" max="13519" width="6.28515625" customWidth="1"/>
    <col min="13520" max="13520" width="31.42578125" customWidth="1"/>
    <col min="13521" max="13521" width="10.5703125" customWidth="1"/>
    <col min="13522" max="13522" width="10.42578125" customWidth="1"/>
    <col min="13523" max="13523" width="9.5703125" customWidth="1"/>
    <col min="13524" max="13524" width="8.42578125" customWidth="1"/>
    <col min="13525" max="13525" width="9" customWidth="1"/>
    <col min="13526" max="13526" width="10.42578125" customWidth="1"/>
    <col min="13529" max="13529" width="10.28515625" customWidth="1"/>
    <col min="13773" max="13773" width="7" customWidth="1"/>
    <col min="13774" max="13774" width="30.140625" customWidth="1"/>
    <col min="13775" max="13775" width="6.28515625" customWidth="1"/>
    <col min="13776" max="13776" width="31.42578125" customWidth="1"/>
    <col min="13777" max="13777" width="10.5703125" customWidth="1"/>
    <col min="13778" max="13778" width="10.42578125" customWidth="1"/>
    <col min="13779" max="13779" width="9.5703125" customWidth="1"/>
    <col min="13780" max="13780" width="8.42578125" customWidth="1"/>
    <col min="13781" max="13781" width="9" customWidth="1"/>
    <col min="13782" max="13782" width="10.42578125" customWidth="1"/>
    <col min="13785" max="13785" width="10.28515625" customWidth="1"/>
    <col min="14029" max="14029" width="7" customWidth="1"/>
    <col min="14030" max="14030" width="30.140625" customWidth="1"/>
    <col min="14031" max="14031" width="6.28515625" customWidth="1"/>
    <col min="14032" max="14032" width="31.42578125" customWidth="1"/>
    <col min="14033" max="14033" width="10.5703125" customWidth="1"/>
    <col min="14034" max="14034" width="10.42578125" customWidth="1"/>
    <col min="14035" max="14035" width="9.5703125" customWidth="1"/>
    <col min="14036" max="14036" width="8.42578125" customWidth="1"/>
    <col min="14037" max="14037" width="9" customWidth="1"/>
    <col min="14038" max="14038" width="10.42578125" customWidth="1"/>
    <col min="14041" max="14041" width="10.28515625" customWidth="1"/>
    <col min="14285" max="14285" width="7" customWidth="1"/>
    <col min="14286" max="14286" width="30.140625" customWidth="1"/>
    <col min="14287" max="14287" width="6.28515625" customWidth="1"/>
    <col min="14288" max="14288" width="31.42578125" customWidth="1"/>
    <col min="14289" max="14289" width="10.5703125" customWidth="1"/>
    <col min="14290" max="14290" width="10.42578125" customWidth="1"/>
    <col min="14291" max="14291" width="9.5703125" customWidth="1"/>
    <col min="14292" max="14292" width="8.42578125" customWidth="1"/>
    <col min="14293" max="14293" width="9" customWidth="1"/>
    <col min="14294" max="14294" width="10.42578125" customWidth="1"/>
    <col min="14297" max="14297" width="10.28515625" customWidth="1"/>
    <col min="14541" max="14541" width="7" customWidth="1"/>
    <col min="14542" max="14542" width="30.140625" customWidth="1"/>
    <col min="14543" max="14543" width="6.28515625" customWidth="1"/>
    <col min="14544" max="14544" width="31.42578125" customWidth="1"/>
    <col min="14545" max="14545" width="10.5703125" customWidth="1"/>
    <col min="14546" max="14546" width="10.42578125" customWidth="1"/>
    <col min="14547" max="14547" width="9.5703125" customWidth="1"/>
    <col min="14548" max="14548" width="8.42578125" customWidth="1"/>
    <col min="14549" max="14549" width="9" customWidth="1"/>
    <col min="14550" max="14550" width="10.42578125" customWidth="1"/>
    <col min="14553" max="14553" width="10.28515625" customWidth="1"/>
    <col min="14797" max="14797" width="7" customWidth="1"/>
    <col min="14798" max="14798" width="30.140625" customWidth="1"/>
    <col min="14799" max="14799" width="6.28515625" customWidth="1"/>
    <col min="14800" max="14800" width="31.42578125" customWidth="1"/>
    <col min="14801" max="14801" width="10.5703125" customWidth="1"/>
    <col min="14802" max="14802" width="10.42578125" customWidth="1"/>
    <col min="14803" max="14803" width="9.5703125" customWidth="1"/>
    <col min="14804" max="14804" width="8.42578125" customWidth="1"/>
    <col min="14805" max="14805" width="9" customWidth="1"/>
    <col min="14806" max="14806" width="10.42578125" customWidth="1"/>
    <col min="14809" max="14809" width="10.28515625" customWidth="1"/>
    <col min="15053" max="15053" width="7" customWidth="1"/>
    <col min="15054" max="15054" width="30.140625" customWidth="1"/>
    <col min="15055" max="15055" width="6.28515625" customWidth="1"/>
    <col min="15056" max="15056" width="31.42578125" customWidth="1"/>
    <col min="15057" max="15057" width="10.5703125" customWidth="1"/>
    <col min="15058" max="15058" width="10.42578125" customWidth="1"/>
    <col min="15059" max="15059" width="9.5703125" customWidth="1"/>
    <col min="15060" max="15060" width="8.42578125" customWidth="1"/>
    <col min="15061" max="15061" width="9" customWidth="1"/>
    <col min="15062" max="15062" width="10.42578125" customWidth="1"/>
    <col min="15065" max="15065" width="10.28515625" customWidth="1"/>
    <col min="15309" max="15309" width="7" customWidth="1"/>
    <col min="15310" max="15310" width="30.140625" customWidth="1"/>
    <col min="15311" max="15311" width="6.28515625" customWidth="1"/>
    <col min="15312" max="15312" width="31.42578125" customWidth="1"/>
    <col min="15313" max="15313" width="10.5703125" customWidth="1"/>
    <col min="15314" max="15314" width="10.42578125" customWidth="1"/>
    <col min="15315" max="15315" width="9.5703125" customWidth="1"/>
    <col min="15316" max="15316" width="8.42578125" customWidth="1"/>
    <col min="15317" max="15317" width="9" customWidth="1"/>
    <col min="15318" max="15318" width="10.42578125" customWidth="1"/>
    <col min="15321" max="15321" width="10.28515625" customWidth="1"/>
    <col min="15565" max="15565" width="7" customWidth="1"/>
    <col min="15566" max="15566" width="30.140625" customWidth="1"/>
    <col min="15567" max="15567" width="6.28515625" customWidth="1"/>
    <col min="15568" max="15568" width="31.42578125" customWidth="1"/>
    <col min="15569" max="15569" width="10.5703125" customWidth="1"/>
    <col min="15570" max="15570" width="10.42578125" customWidth="1"/>
    <col min="15571" max="15571" width="9.5703125" customWidth="1"/>
    <col min="15572" max="15572" width="8.42578125" customWidth="1"/>
    <col min="15573" max="15573" width="9" customWidth="1"/>
    <col min="15574" max="15574" width="10.42578125" customWidth="1"/>
    <col min="15577" max="15577" width="10.28515625" customWidth="1"/>
    <col min="15821" max="15821" width="7" customWidth="1"/>
    <col min="15822" max="15822" width="30.140625" customWidth="1"/>
    <col min="15823" max="15823" width="6.28515625" customWidth="1"/>
    <col min="15824" max="15824" width="31.42578125" customWidth="1"/>
    <col min="15825" max="15825" width="10.5703125" customWidth="1"/>
    <col min="15826" max="15826" width="10.42578125" customWidth="1"/>
    <col min="15827" max="15827" width="9.5703125" customWidth="1"/>
    <col min="15828" max="15828" width="8.42578125" customWidth="1"/>
    <col min="15829" max="15829" width="9" customWidth="1"/>
    <col min="15830" max="15830" width="10.42578125" customWidth="1"/>
    <col min="15833" max="15833" width="10.28515625" customWidth="1"/>
    <col min="16077" max="16077" width="7" customWidth="1"/>
    <col min="16078" max="16078" width="30.140625" customWidth="1"/>
    <col min="16079" max="16079" width="6.28515625" customWidth="1"/>
    <col min="16080" max="16080" width="31.42578125" customWidth="1"/>
    <col min="16081" max="16081" width="10.5703125" customWidth="1"/>
    <col min="16082" max="16082" width="10.42578125" customWidth="1"/>
    <col min="16083" max="16083" width="9.5703125" customWidth="1"/>
    <col min="16084" max="16084" width="8.42578125" customWidth="1"/>
    <col min="16085" max="16085" width="9" customWidth="1"/>
    <col min="16086" max="16086" width="10.42578125" customWidth="1"/>
    <col min="16089" max="16089" width="10.28515625" customWidth="1"/>
  </cols>
  <sheetData>
    <row r="1" spans="1:84" ht="15" x14ac:dyDescent="0.25">
      <c r="A1" s="50" t="s">
        <v>2</v>
      </c>
      <c r="B1" s="50"/>
      <c r="C1" s="42"/>
      <c r="D1" s="50"/>
      <c r="E1" s="50"/>
      <c r="F1" s="90"/>
      <c r="G1" s="681" t="s">
        <v>794</v>
      </c>
      <c r="H1" s="90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84" ht="12.75" customHeight="1" x14ac:dyDescent="0.25">
      <c r="A3" s="965" t="s">
        <v>4</v>
      </c>
      <c r="B3" s="965"/>
      <c r="C3" s="965"/>
      <c r="D3" s="965"/>
      <c r="E3" s="965"/>
      <c r="F3" s="90"/>
      <c r="G3" s="90"/>
      <c r="H3" s="90"/>
      <c r="AX3" s="524"/>
      <c r="AY3" s="524"/>
    </row>
    <row r="4" spans="1:84" ht="15" x14ac:dyDescent="0.25">
      <c r="A4" s="89"/>
      <c r="B4" s="50"/>
      <c r="C4" s="50"/>
      <c r="D4" s="50"/>
      <c r="E4" s="50"/>
      <c r="F4" s="90"/>
      <c r="G4" s="90"/>
      <c r="H4" s="90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52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90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89"/>
      <c r="B7" s="6"/>
      <c r="D7" s="10"/>
      <c r="E7" s="6"/>
      <c r="F7" s="90"/>
      <c r="G7" s="90"/>
      <c r="H7" s="90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117"/>
      <c r="B8" s="91"/>
      <c r="C8" s="91"/>
      <c r="D8" s="91"/>
      <c r="E8" s="91"/>
      <c r="F8" s="91"/>
      <c r="G8" s="91"/>
      <c r="H8" s="91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840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25">
      <c r="A9" s="12" t="s">
        <v>773</v>
      </c>
      <c r="D9" s="12"/>
      <c r="F9" s="59"/>
      <c r="G9" s="60"/>
      <c r="H9" s="60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249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821" t="s">
        <v>889</v>
      </c>
      <c r="CB11" s="758" t="s">
        <v>882</v>
      </c>
      <c r="CC11" s="758" t="s">
        <v>883</v>
      </c>
      <c r="CD11" s="758" t="s">
        <v>890</v>
      </c>
      <c r="CE11" s="758" t="s">
        <v>891</v>
      </c>
      <c r="CF11" s="828" t="s">
        <v>884</v>
      </c>
    </row>
    <row r="12" spans="1:84" ht="14.1" customHeight="1" x14ac:dyDescent="0.2">
      <c r="A12" s="231">
        <v>1</v>
      </c>
      <c r="B12" s="232">
        <v>3440</v>
      </c>
      <c r="C12" s="232">
        <v>600078078</v>
      </c>
      <c r="D12" s="232">
        <v>72743441</v>
      </c>
      <c r="E12" s="233" t="s">
        <v>86</v>
      </c>
      <c r="F12" s="232">
        <v>3111</v>
      </c>
      <c r="G12" s="234" t="s">
        <v>291</v>
      </c>
      <c r="H12" s="683" t="s">
        <v>271</v>
      </c>
      <c r="I12" s="682">
        <f>J12+P12+Q12+R12</f>
        <v>11110596</v>
      </c>
      <c r="J12" s="409">
        <f>K12+L12</f>
        <v>8214307</v>
      </c>
      <c r="K12" s="409">
        <v>7378587</v>
      </c>
      <c r="L12" s="409">
        <v>835720</v>
      </c>
      <c r="M12" s="409">
        <f>N12+O12</f>
        <v>0</v>
      </c>
      <c r="N12" s="409"/>
      <c r="O12" s="409"/>
      <c r="P12" s="68">
        <f>ROUND(J12*33.8%,0)</f>
        <v>2776436</v>
      </c>
      <c r="Q12" s="68">
        <f>ROUND(J12*1%,0)</f>
        <v>82143</v>
      </c>
      <c r="R12" s="409">
        <v>37710</v>
      </c>
      <c r="S12" s="410">
        <f>T12+U12</f>
        <v>15.286899999999999</v>
      </c>
      <c r="T12" s="411">
        <v>12.4</v>
      </c>
      <c r="U12" s="509">
        <v>2.8868999999999998</v>
      </c>
      <c r="V12" s="412">
        <f t="shared" ref="V12:W14" si="0">AI12*-1</f>
        <v>-96000</v>
      </c>
      <c r="W12" s="413">
        <f t="shared" si="0"/>
        <v>-19200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-96000</v>
      </c>
      <c r="AG12" s="413">
        <f>W12+Z12+AC12+AE12</f>
        <v>-19200</v>
      </c>
      <c r="AH12" s="413">
        <f>SUM(AF12:AG12)</f>
        <v>-115200</v>
      </c>
      <c r="AI12" s="413">
        <v>96000</v>
      </c>
      <c r="AJ12" s="413">
        <v>19200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96000</v>
      </c>
      <c r="AP12" s="413">
        <f>AJ12+AN12</f>
        <v>19200</v>
      </c>
      <c r="AQ12" s="413">
        <f>SUM(AO12:AP12)</f>
        <v>115200</v>
      </c>
      <c r="AR12" s="413">
        <f t="shared" ref="AR12:AS14" si="1">AF12+AO12</f>
        <v>0</v>
      </c>
      <c r="AS12" s="413">
        <f t="shared" si="1"/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-1152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-1152</v>
      </c>
      <c r="BA12" s="414">
        <v>0</v>
      </c>
      <c r="BB12" s="414">
        <v>-0.04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0</v>
      </c>
      <c r="BL12" s="414">
        <f>BB12+BE12+BG12+BJ12</f>
        <v>-0.04</v>
      </c>
      <c r="BM12" s="610">
        <f>SUM(BK12:BL12)</f>
        <v>-0.04</v>
      </c>
      <c r="BN12" s="415">
        <f>I12+AZ12</f>
        <v>11109444</v>
      </c>
      <c r="BO12" s="413">
        <f>J12+AH12</f>
        <v>8099107</v>
      </c>
      <c r="BP12" s="413">
        <f t="shared" ref="BP12:BQ14" si="2">K12+AF12</f>
        <v>7282587</v>
      </c>
      <c r="BQ12" s="413">
        <f t="shared" si="2"/>
        <v>816520</v>
      </c>
      <c r="BR12" s="413">
        <f>M12+AQ12</f>
        <v>115200</v>
      </c>
      <c r="BS12" s="413">
        <f t="shared" ref="BS12:BT14" si="3">N12+AO12</f>
        <v>96000</v>
      </c>
      <c r="BT12" s="413">
        <f t="shared" si="3"/>
        <v>19200</v>
      </c>
      <c r="BU12" s="413">
        <f t="shared" ref="BU12:BV14" si="4">P12+AU12</f>
        <v>2776436</v>
      </c>
      <c r="BV12" s="413">
        <f t="shared" si="4"/>
        <v>80991</v>
      </c>
      <c r="BW12" s="413">
        <f>R12+AY12</f>
        <v>37710</v>
      </c>
      <c r="BX12" s="414">
        <f>S12+BM12</f>
        <v>15.2469</v>
      </c>
      <c r="BY12" s="414">
        <f t="shared" ref="BY12:BZ14" si="5">T12+BK12</f>
        <v>12.4</v>
      </c>
      <c r="BZ12" s="610">
        <f t="shared" si="5"/>
        <v>2.8468999999999998</v>
      </c>
      <c r="CA12" s="408"/>
      <c r="CB12" s="409"/>
      <c r="CC12" s="409"/>
      <c r="CD12" s="409"/>
      <c r="CE12" s="409"/>
      <c r="CF12" s="509"/>
    </row>
    <row r="13" spans="1:84" x14ac:dyDescent="0.2">
      <c r="A13" s="206">
        <v>1</v>
      </c>
      <c r="B13" s="207">
        <v>3440</v>
      </c>
      <c r="C13" s="207">
        <v>600078078</v>
      </c>
      <c r="D13" s="207">
        <v>72743441</v>
      </c>
      <c r="E13" s="205" t="s">
        <v>86</v>
      </c>
      <c r="F13" s="207">
        <v>3111</v>
      </c>
      <c r="G13" s="208" t="s">
        <v>292</v>
      </c>
      <c r="H13" s="684" t="s">
        <v>272</v>
      </c>
      <c r="I13" s="423">
        <f>J13+P13+Q13+R13</f>
        <v>0</v>
      </c>
      <c r="J13" s="599">
        <f>K13+L13</f>
        <v>0</v>
      </c>
      <c r="K13" s="599">
        <v>0</v>
      </c>
      <c r="L13" s="599">
        <v>0</v>
      </c>
      <c r="M13" s="599">
        <f>N13+O13</f>
        <v>0</v>
      </c>
      <c r="N13" s="599"/>
      <c r="O13" s="599"/>
      <c r="P13" s="68">
        <f>ROUND(J13*33.8%,0)</f>
        <v>0</v>
      </c>
      <c r="Q13" s="68">
        <f>ROUND(J13*1%,0)</f>
        <v>0</v>
      </c>
      <c r="R13" s="599">
        <v>0</v>
      </c>
      <c r="S13" s="569">
        <f>T13+U13</f>
        <v>0</v>
      </c>
      <c r="T13" s="573">
        <v>0</v>
      </c>
      <c r="U13" s="600">
        <v>0</v>
      </c>
      <c r="V13" s="427">
        <f t="shared" si="0"/>
        <v>0</v>
      </c>
      <c r="W13" s="421">
        <f t="shared" si="0"/>
        <v>0</v>
      </c>
      <c r="X13" s="421">
        <f>834303+47212</f>
        <v>881515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f>V13+X13+Y13+AA13+AB13+AD13</f>
        <v>881515</v>
      </c>
      <c r="AG13" s="421">
        <f>W13+Z13+AC13+AE13</f>
        <v>0</v>
      </c>
      <c r="AH13" s="421">
        <f>SUM(AF13:AG13)</f>
        <v>881515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f>AI13+AK13+AL13+AM13</f>
        <v>0</v>
      </c>
      <c r="AP13" s="421">
        <f>AJ13+AN13</f>
        <v>0</v>
      </c>
      <c r="AQ13" s="421">
        <f>SUM(AO13:AP13)</f>
        <v>0</v>
      </c>
      <c r="AR13" s="421">
        <f t="shared" si="1"/>
        <v>881515</v>
      </c>
      <c r="AS13" s="421">
        <f t="shared" si="1"/>
        <v>0</v>
      </c>
      <c r="AT13" s="421">
        <f>SUM(AR13:AS13)</f>
        <v>881515</v>
      </c>
      <c r="AU13" s="68">
        <f>ROUND((AH13+AI13+AJ13+AK13+AL13)*33.8%,0)</f>
        <v>297952</v>
      </c>
      <c r="AV13" s="68">
        <f>ROUND(AH13*1%,0)</f>
        <v>8815</v>
      </c>
      <c r="AW13" s="421">
        <v>0</v>
      </c>
      <c r="AX13" s="421">
        <v>0</v>
      </c>
      <c r="AY13" s="421">
        <f>AW13+AX13</f>
        <v>0</v>
      </c>
      <c r="AZ13" s="421">
        <f>AT13+AU13+AV13+AY13</f>
        <v>1188282</v>
      </c>
      <c r="BA13" s="422">
        <v>0</v>
      </c>
      <c r="BB13" s="422">
        <v>0</v>
      </c>
      <c r="BC13" s="422">
        <f>2.25+0.13</f>
        <v>2.38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f>BA13+BC13+BD13+BF13+BH13+BI13</f>
        <v>2.38</v>
      </c>
      <c r="BL13" s="422">
        <f>BB13+BE13+BG13+BJ13</f>
        <v>0</v>
      </c>
      <c r="BM13" s="611">
        <f>SUM(BK13:BL13)</f>
        <v>2.38</v>
      </c>
      <c r="BN13" s="428">
        <f>I13+AZ13</f>
        <v>1188282</v>
      </c>
      <c r="BO13" s="421">
        <f>J13+AH13</f>
        <v>881515</v>
      </c>
      <c r="BP13" s="421">
        <f t="shared" si="2"/>
        <v>881515</v>
      </c>
      <c r="BQ13" s="421">
        <f t="shared" si="2"/>
        <v>0</v>
      </c>
      <c r="BR13" s="421">
        <f>M13+AQ13</f>
        <v>0</v>
      </c>
      <c r="BS13" s="421">
        <f t="shared" si="3"/>
        <v>0</v>
      </c>
      <c r="BT13" s="421">
        <f t="shared" si="3"/>
        <v>0</v>
      </c>
      <c r="BU13" s="421">
        <f t="shared" si="4"/>
        <v>297952</v>
      </c>
      <c r="BV13" s="421">
        <f t="shared" si="4"/>
        <v>8815</v>
      </c>
      <c r="BW13" s="421">
        <f>R13+AY13</f>
        <v>0</v>
      </c>
      <c r="BX13" s="422">
        <f>S13+BM13</f>
        <v>2.38</v>
      </c>
      <c r="BY13" s="422">
        <f t="shared" si="5"/>
        <v>2.38</v>
      </c>
      <c r="BZ13" s="611">
        <f t="shared" si="5"/>
        <v>0</v>
      </c>
      <c r="CA13" s="423"/>
      <c r="CB13" s="418"/>
      <c r="CC13" s="418"/>
      <c r="CD13" s="418"/>
      <c r="CE13" s="418"/>
      <c r="CF13" s="527"/>
    </row>
    <row r="14" spans="1:84" x14ac:dyDescent="0.2">
      <c r="A14" s="206">
        <v>1</v>
      </c>
      <c r="B14" s="207">
        <v>3440</v>
      </c>
      <c r="C14" s="207">
        <v>600078078</v>
      </c>
      <c r="D14" s="207">
        <v>72743441</v>
      </c>
      <c r="E14" s="205" t="s">
        <v>86</v>
      </c>
      <c r="F14" s="207">
        <v>3141</v>
      </c>
      <c r="G14" s="208" t="s">
        <v>295</v>
      </c>
      <c r="H14" s="684" t="s">
        <v>272</v>
      </c>
      <c r="I14" s="423">
        <f>J14+P14+Q14+R14</f>
        <v>1239530</v>
      </c>
      <c r="J14" s="418">
        <f>K14+L14</f>
        <v>915936</v>
      </c>
      <c r="K14" s="418">
        <v>0</v>
      </c>
      <c r="L14" s="418">
        <v>915936</v>
      </c>
      <c r="M14" s="418">
        <f>N14+O14</f>
        <v>0</v>
      </c>
      <c r="N14" s="418"/>
      <c r="O14" s="418"/>
      <c r="P14" s="68">
        <f>ROUND(J14*33.8%,0)</f>
        <v>309586</v>
      </c>
      <c r="Q14" s="68">
        <f>ROUND(J14*1%,0)</f>
        <v>9159</v>
      </c>
      <c r="R14" s="418">
        <v>4849</v>
      </c>
      <c r="S14" s="419">
        <f>T14+U14</f>
        <v>2.75</v>
      </c>
      <c r="T14" s="420">
        <v>0</v>
      </c>
      <c r="U14" s="527">
        <v>2.75</v>
      </c>
      <c r="V14" s="427">
        <f t="shared" si="0"/>
        <v>0</v>
      </c>
      <c r="W14" s="421">
        <f t="shared" si="0"/>
        <v>-38400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-38400</v>
      </c>
      <c r="AH14" s="421">
        <f>SUM(AF14:AG14)</f>
        <v>-38400</v>
      </c>
      <c r="AI14" s="421">
        <v>0</v>
      </c>
      <c r="AJ14" s="421">
        <v>38400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38400</v>
      </c>
      <c r="AQ14" s="421">
        <f>SUM(AO14:AP14)</f>
        <v>38400</v>
      </c>
      <c r="AR14" s="421">
        <f t="shared" si="1"/>
        <v>0</v>
      </c>
      <c r="AS14" s="421">
        <f t="shared" si="1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-384</v>
      </c>
      <c r="AW14" s="421">
        <v>0</v>
      </c>
      <c r="AX14" s="421">
        <v>0</v>
      </c>
      <c r="AY14" s="421">
        <f>AW14+AX14</f>
        <v>0</v>
      </c>
      <c r="AZ14" s="421">
        <f>AT14+AU14+AV14+AY14</f>
        <v>-384</v>
      </c>
      <c r="BA14" s="422">
        <v>0</v>
      </c>
      <c r="BB14" s="422">
        <v>-0.08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-0.08</v>
      </c>
      <c r="BM14" s="611">
        <f>SUM(BK14:BL14)</f>
        <v>-0.08</v>
      </c>
      <c r="BN14" s="428">
        <f>I14+AZ14</f>
        <v>1239146</v>
      </c>
      <c r="BO14" s="421">
        <f>J14+AH14</f>
        <v>877536</v>
      </c>
      <c r="BP14" s="421">
        <f t="shared" si="2"/>
        <v>0</v>
      </c>
      <c r="BQ14" s="421">
        <f t="shared" si="2"/>
        <v>877536</v>
      </c>
      <c r="BR14" s="421">
        <f>M14+AQ14</f>
        <v>38400</v>
      </c>
      <c r="BS14" s="421">
        <f t="shared" si="3"/>
        <v>0</v>
      </c>
      <c r="BT14" s="421">
        <f t="shared" si="3"/>
        <v>38400</v>
      </c>
      <c r="BU14" s="421">
        <f t="shared" si="4"/>
        <v>309586</v>
      </c>
      <c r="BV14" s="421">
        <f t="shared" si="4"/>
        <v>8775</v>
      </c>
      <c r="BW14" s="421">
        <f>R14+AY14</f>
        <v>4849</v>
      </c>
      <c r="BX14" s="422">
        <f>S14+BM14</f>
        <v>2.67</v>
      </c>
      <c r="BY14" s="422">
        <f t="shared" si="5"/>
        <v>0</v>
      </c>
      <c r="BZ14" s="611">
        <f t="shared" si="5"/>
        <v>2.67</v>
      </c>
      <c r="CA14" s="423"/>
      <c r="CB14" s="418"/>
      <c r="CC14" s="418"/>
      <c r="CD14" s="418"/>
      <c r="CE14" s="418"/>
      <c r="CF14" s="527"/>
    </row>
    <row r="15" spans="1:84" x14ac:dyDescent="0.2">
      <c r="A15" s="155">
        <v>1</v>
      </c>
      <c r="B15" s="18">
        <v>3440</v>
      </c>
      <c r="C15" s="18">
        <v>600078078</v>
      </c>
      <c r="D15" s="18">
        <v>72743441</v>
      </c>
      <c r="E15" s="164" t="s">
        <v>87</v>
      </c>
      <c r="F15" s="18"/>
      <c r="G15" s="154"/>
      <c r="H15" s="685"/>
      <c r="I15" s="453">
        <f t="shared" ref="I15:BU15" si="6">SUM(I12:I14)</f>
        <v>12350126</v>
      </c>
      <c r="J15" s="449">
        <f t="shared" si="6"/>
        <v>9130243</v>
      </c>
      <c r="K15" s="449">
        <f t="shared" si="6"/>
        <v>7378587</v>
      </c>
      <c r="L15" s="449">
        <f t="shared" si="6"/>
        <v>1751656</v>
      </c>
      <c r="M15" s="449">
        <f t="shared" si="6"/>
        <v>0</v>
      </c>
      <c r="N15" s="449">
        <f t="shared" si="6"/>
        <v>0</v>
      </c>
      <c r="O15" s="449">
        <f t="shared" si="6"/>
        <v>0</v>
      </c>
      <c r="P15" s="449">
        <f t="shared" si="6"/>
        <v>3086022</v>
      </c>
      <c r="Q15" s="449">
        <f t="shared" si="6"/>
        <v>91302</v>
      </c>
      <c r="R15" s="449">
        <f t="shared" si="6"/>
        <v>42559</v>
      </c>
      <c r="S15" s="450">
        <f t="shared" si="6"/>
        <v>18.036899999999999</v>
      </c>
      <c r="T15" s="450">
        <f t="shared" si="6"/>
        <v>12.4</v>
      </c>
      <c r="U15" s="40">
        <f t="shared" si="6"/>
        <v>5.6368999999999998</v>
      </c>
      <c r="V15" s="457">
        <f t="shared" si="6"/>
        <v>-96000</v>
      </c>
      <c r="W15" s="449">
        <f t="shared" si="6"/>
        <v>-57600</v>
      </c>
      <c r="X15" s="449">
        <f t="shared" si="6"/>
        <v>881515</v>
      </c>
      <c r="Y15" s="449">
        <f t="shared" si="6"/>
        <v>0</v>
      </c>
      <c r="Z15" s="449">
        <f t="shared" si="6"/>
        <v>0</v>
      </c>
      <c r="AA15" s="449">
        <f t="shared" si="6"/>
        <v>0</v>
      </c>
      <c r="AB15" s="449">
        <f t="shared" si="6"/>
        <v>0</v>
      </c>
      <c r="AC15" s="449">
        <f t="shared" si="6"/>
        <v>0</v>
      </c>
      <c r="AD15" s="449">
        <f t="shared" si="6"/>
        <v>0</v>
      </c>
      <c r="AE15" s="449">
        <f t="shared" si="6"/>
        <v>0</v>
      </c>
      <c r="AF15" s="449">
        <f t="shared" si="6"/>
        <v>785515</v>
      </c>
      <c r="AG15" s="449">
        <f t="shared" si="6"/>
        <v>-57600</v>
      </c>
      <c r="AH15" s="449">
        <f t="shared" si="6"/>
        <v>727915</v>
      </c>
      <c r="AI15" s="449">
        <f t="shared" si="6"/>
        <v>96000</v>
      </c>
      <c r="AJ15" s="449">
        <f t="shared" si="6"/>
        <v>57600</v>
      </c>
      <c r="AK15" s="449">
        <f t="shared" ref="AK15" si="7">SUM(AK12:AK14)</f>
        <v>0</v>
      </c>
      <c r="AL15" s="449">
        <f t="shared" si="6"/>
        <v>0</v>
      </c>
      <c r="AM15" s="449">
        <f t="shared" si="6"/>
        <v>0</v>
      </c>
      <c r="AN15" s="449">
        <f t="shared" si="6"/>
        <v>0</v>
      </c>
      <c r="AO15" s="449">
        <f t="shared" si="6"/>
        <v>96000</v>
      </c>
      <c r="AP15" s="449">
        <f t="shared" si="6"/>
        <v>57600</v>
      </c>
      <c r="AQ15" s="449">
        <f t="shared" si="6"/>
        <v>153600</v>
      </c>
      <c r="AR15" s="449">
        <f t="shared" si="6"/>
        <v>881515</v>
      </c>
      <c r="AS15" s="449">
        <f t="shared" si="6"/>
        <v>0</v>
      </c>
      <c r="AT15" s="449">
        <f t="shared" si="6"/>
        <v>881515</v>
      </c>
      <c r="AU15" s="449">
        <f t="shared" si="6"/>
        <v>297952</v>
      </c>
      <c r="AV15" s="449">
        <f t="shared" si="6"/>
        <v>7279</v>
      </c>
      <c r="AW15" s="449">
        <f t="shared" si="6"/>
        <v>0</v>
      </c>
      <c r="AX15" s="449">
        <f t="shared" si="6"/>
        <v>0</v>
      </c>
      <c r="AY15" s="449">
        <f t="shared" si="6"/>
        <v>0</v>
      </c>
      <c r="AZ15" s="449">
        <f t="shared" si="6"/>
        <v>1186746</v>
      </c>
      <c r="BA15" s="450">
        <f t="shared" si="6"/>
        <v>0</v>
      </c>
      <c r="BB15" s="450">
        <f t="shared" si="6"/>
        <v>-0.12</v>
      </c>
      <c r="BC15" s="450">
        <f t="shared" si="6"/>
        <v>2.38</v>
      </c>
      <c r="BD15" s="450">
        <f t="shared" si="6"/>
        <v>0</v>
      </c>
      <c r="BE15" s="450">
        <f t="shared" si="6"/>
        <v>0</v>
      </c>
      <c r="BF15" s="450">
        <f t="shared" si="6"/>
        <v>0</v>
      </c>
      <c r="BG15" s="450">
        <f t="shared" si="6"/>
        <v>0</v>
      </c>
      <c r="BH15" s="450">
        <f t="shared" si="6"/>
        <v>0</v>
      </c>
      <c r="BI15" s="450">
        <f t="shared" si="6"/>
        <v>0</v>
      </c>
      <c r="BJ15" s="450">
        <f t="shared" si="6"/>
        <v>0</v>
      </c>
      <c r="BK15" s="450">
        <f t="shared" si="6"/>
        <v>2.38</v>
      </c>
      <c r="BL15" s="450">
        <f t="shared" si="6"/>
        <v>-0.12</v>
      </c>
      <c r="BM15" s="455">
        <f t="shared" si="6"/>
        <v>2.2599999999999998</v>
      </c>
      <c r="BN15" s="453">
        <f t="shared" si="6"/>
        <v>13536872</v>
      </c>
      <c r="BO15" s="449">
        <f t="shared" si="6"/>
        <v>9858158</v>
      </c>
      <c r="BP15" s="449">
        <f t="shared" si="6"/>
        <v>8164102</v>
      </c>
      <c r="BQ15" s="449">
        <f t="shared" si="6"/>
        <v>1694056</v>
      </c>
      <c r="BR15" s="449">
        <f t="shared" si="6"/>
        <v>153600</v>
      </c>
      <c r="BS15" s="449">
        <f t="shared" si="6"/>
        <v>96000</v>
      </c>
      <c r="BT15" s="449">
        <f t="shared" si="6"/>
        <v>57600</v>
      </c>
      <c r="BU15" s="449">
        <f t="shared" si="6"/>
        <v>3383974</v>
      </c>
      <c r="BV15" s="449">
        <f t="shared" ref="BV15:CF15" si="8">SUM(BV12:BV14)</f>
        <v>98581</v>
      </c>
      <c r="BW15" s="449">
        <f t="shared" si="8"/>
        <v>42559</v>
      </c>
      <c r="BX15" s="450">
        <f t="shared" si="8"/>
        <v>20.296900000000001</v>
      </c>
      <c r="BY15" s="450">
        <f t="shared" si="8"/>
        <v>14.780000000000001</v>
      </c>
      <c r="BZ15" s="455">
        <f t="shared" si="8"/>
        <v>5.5168999999999997</v>
      </c>
      <c r="CA15" s="853">
        <f t="shared" si="8"/>
        <v>0</v>
      </c>
      <c r="CB15" s="851">
        <f t="shared" si="8"/>
        <v>0</v>
      </c>
      <c r="CC15" s="851">
        <f t="shared" si="8"/>
        <v>0</v>
      </c>
      <c r="CD15" s="851">
        <f t="shared" si="8"/>
        <v>0</v>
      </c>
      <c r="CE15" s="851">
        <f t="shared" si="8"/>
        <v>0</v>
      </c>
      <c r="CF15" s="849">
        <f t="shared" si="8"/>
        <v>0</v>
      </c>
    </row>
    <row r="16" spans="1:84" x14ac:dyDescent="0.2">
      <c r="A16" s="206">
        <v>2</v>
      </c>
      <c r="B16" s="207">
        <v>3458</v>
      </c>
      <c r="C16" s="207">
        <v>600029069</v>
      </c>
      <c r="D16" s="207">
        <v>75121557</v>
      </c>
      <c r="E16" s="205" t="s">
        <v>88</v>
      </c>
      <c r="F16" s="207">
        <v>3233</v>
      </c>
      <c r="G16" s="208" t="s">
        <v>298</v>
      </c>
      <c r="H16" s="684" t="s">
        <v>272</v>
      </c>
      <c r="I16" s="423">
        <f>J16+P16+Q16+R16</f>
        <v>2726633</v>
      </c>
      <c r="J16" s="418">
        <f>K16+L16</f>
        <v>2021200</v>
      </c>
      <c r="K16" s="418">
        <v>1701044</v>
      </c>
      <c r="L16" s="418">
        <v>320156</v>
      </c>
      <c r="M16" s="418">
        <f>N16+O16</f>
        <v>0</v>
      </c>
      <c r="N16" s="418"/>
      <c r="O16" s="418"/>
      <c r="P16" s="68">
        <f>ROUND(J16*33.8%,0)</f>
        <v>683166</v>
      </c>
      <c r="Q16" s="68">
        <f>ROUND(J16*1%,0)</f>
        <v>20212</v>
      </c>
      <c r="R16" s="418">
        <v>2055</v>
      </c>
      <c r="S16" s="419">
        <f>T16+U16</f>
        <v>4.1100000000000003</v>
      </c>
      <c r="T16" s="420">
        <v>3.08</v>
      </c>
      <c r="U16" s="527">
        <v>1.03</v>
      </c>
      <c r="V16" s="427">
        <f>AI16*-1</f>
        <v>0</v>
      </c>
      <c r="W16" s="421">
        <f>AJ16*-1</f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0</v>
      </c>
      <c r="AG16" s="421">
        <f>W16+Z16+AC16+AE16</f>
        <v>0</v>
      </c>
      <c r="AH16" s="421">
        <f>SUM(AF16:AG16)</f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>AI16+AK16+AL16+AM16</f>
        <v>0</v>
      </c>
      <c r="AP16" s="421">
        <f>AJ16+AN16</f>
        <v>0</v>
      </c>
      <c r="AQ16" s="421">
        <f>SUM(AO16:AP16)</f>
        <v>0</v>
      </c>
      <c r="AR16" s="421">
        <f>AF16+AO16</f>
        <v>0</v>
      </c>
      <c r="AS16" s="421">
        <f>AG16+AP16</f>
        <v>0</v>
      </c>
      <c r="AT16" s="421">
        <f>SUM(AR16:AS16)</f>
        <v>0</v>
      </c>
      <c r="AU16" s="68">
        <f>ROUND((AH16+AI16+AJ16+AK16+AL16)*33.8%,0)</f>
        <v>0</v>
      </c>
      <c r="AV16" s="68">
        <f>ROUND(AH16*1%,0)</f>
        <v>0</v>
      </c>
      <c r="AW16" s="421">
        <v>0</v>
      </c>
      <c r="AX16" s="421">
        <v>0</v>
      </c>
      <c r="AY16" s="421">
        <f>AW16+AX16</f>
        <v>0</v>
      </c>
      <c r="AZ16" s="421">
        <f>AT16+AU16+AV16+AY16</f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611">
        <f>SUM(BK16:BL16)</f>
        <v>0</v>
      </c>
      <c r="BN16" s="428">
        <f>I16+AZ16</f>
        <v>2726633</v>
      </c>
      <c r="BO16" s="421">
        <f>J16+AH16</f>
        <v>2021200</v>
      </c>
      <c r="BP16" s="421">
        <f>K16+AF16</f>
        <v>1701044</v>
      </c>
      <c r="BQ16" s="421">
        <f>L16+AG16</f>
        <v>320156</v>
      </c>
      <c r="BR16" s="421">
        <f>M16+AQ16</f>
        <v>0</v>
      </c>
      <c r="BS16" s="421">
        <f>N16+AO16</f>
        <v>0</v>
      </c>
      <c r="BT16" s="421">
        <f>O16+AP16</f>
        <v>0</v>
      </c>
      <c r="BU16" s="421">
        <f>P16+AU16</f>
        <v>683166</v>
      </c>
      <c r="BV16" s="421">
        <f>Q16+AV16</f>
        <v>20212</v>
      </c>
      <c r="BW16" s="421">
        <f>R16+AY16</f>
        <v>2055</v>
      </c>
      <c r="BX16" s="422">
        <f>S16+BM16</f>
        <v>4.1100000000000003</v>
      </c>
      <c r="BY16" s="422">
        <f>T16+BK16</f>
        <v>3.08</v>
      </c>
      <c r="BZ16" s="611">
        <f>U16+BL16</f>
        <v>1.03</v>
      </c>
      <c r="CA16" s="423"/>
      <c r="CB16" s="418"/>
      <c r="CC16" s="418"/>
      <c r="CD16" s="418"/>
      <c r="CE16" s="418"/>
      <c r="CF16" s="527"/>
    </row>
    <row r="17" spans="1:84" x14ac:dyDescent="0.2">
      <c r="A17" s="155">
        <v>2</v>
      </c>
      <c r="B17" s="18">
        <v>3458</v>
      </c>
      <c r="C17" s="18">
        <v>600029069</v>
      </c>
      <c r="D17" s="18">
        <v>75121557</v>
      </c>
      <c r="E17" s="164" t="s">
        <v>89</v>
      </c>
      <c r="F17" s="18"/>
      <c r="G17" s="154"/>
      <c r="H17" s="685"/>
      <c r="I17" s="453">
        <f t="shared" ref="I17:BU17" si="9">SUM(I16)</f>
        <v>2726633</v>
      </c>
      <c r="J17" s="449">
        <f t="shared" si="9"/>
        <v>2021200</v>
      </c>
      <c r="K17" s="449">
        <f t="shared" si="9"/>
        <v>1701044</v>
      </c>
      <c r="L17" s="449">
        <f t="shared" si="9"/>
        <v>320156</v>
      </c>
      <c r="M17" s="449">
        <f t="shared" si="9"/>
        <v>0</v>
      </c>
      <c r="N17" s="449">
        <f t="shared" si="9"/>
        <v>0</v>
      </c>
      <c r="O17" s="449">
        <f t="shared" si="9"/>
        <v>0</v>
      </c>
      <c r="P17" s="449">
        <f t="shared" si="9"/>
        <v>683166</v>
      </c>
      <c r="Q17" s="449">
        <f t="shared" si="9"/>
        <v>20212</v>
      </c>
      <c r="R17" s="449">
        <f t="shared" si="9"/>
        <v>2055</v>
      </c>
      <c r="S17" s="450">
        <f t="shared" si="9"/>
        <v>4.1100000000000003</v>
      </c>
      <c r="T17" s="450">
        <f t="shared" si="9"/>
        <v>3.08</v>
      </c>
      <c r="U17" s="40">
        <f t="shared" si="9"/>
        <v>1.03</v>
      </c>
      <c r="V17" s="457">
        <f t="shared" si="9"/>
        <v>0</v>
      </c>
      <c r="W17" s="449">
        <f t="shared" si="9"/>
        <v>0</v>
      </c>
      <c r="X17" s="449">
        <f t="shared" si="9"/>
        <v>0</v>
      </c>
      <c r="Y17" s="449">
        <f t="shared" si="9"/>
        <v>0</v>
      </c>
      <c r="Z17" s="449">
        <f t="shared" si="9"/>
        <v>0</v>
      </c>
      <c r="AA17" s="449">
        <f t="shared" si="9"/>
        <v>0</v>
      </c>
      <c r="AB17" s="449">
        <f t="shared" si="9"/>
        <v>0</v>
      </c>
      <c r="AC17" s="449">
        <f t="shared" si="9"/>
        <v>0</v>
      </c>
      <c r="AD17" s="449">
        <f t="shared" si="9"/>
        <v>0</v>
      </c>
      <c r="AE17" s="449">
        <f t="shared" si="9"/>
        <v>0</v>
      </c>
      <c r="AF17" s="449">
        <f t="shared" si="9"/>
        <v>0</v>
      </c>
      <c r="AG17" s="449">
        <f t="shared" si="9"/>
        <v>0</v>
      </c>
      <c r="AH17" s="449">
        <f t="shared" si="9"/>
        <v>0</v>
      </c>
      <c r="AI17" s="449">
        <f t="shared" si="9"/>
        <v>0</v>
      </c>
      <c r="AJ17" s="449">
        <f t="shared" si="9"/>
        <v>0</v>
      </c>
      <c r="AK17" s="449">
        <f t="shared" ref="AK17" si="10">SUM(AK16)</f>
        <v>0</v>
      </c>
      <c r="AL17" s="449">
        <f t="shared" si="9"/>
        <v>0</v>
      </c>
      <c r="AM17" s="449">
        <f t="shared" si="9"/>
        <v>0</v>
      </c>
      <c r="AN17" s="449">
        <f t="shared" si="9"/>
        <v>0</v>
      </c>
      <c r="AO17" s="449">
        <f t="shared" si="9"/>
        <v>0</v>
      </c>
      <c r="AP17" s="449">
        <f t="shared" si="9"/>
        <v>0</v>
      </c>
      <c r="AQ17" s="449">
        <f t="shared" si="9"/>
        <v>0</v>
      </c>
      <c r="AR17" s="449">
        <f t="shared" si="9"/>
        <v>0</v>
      </c>
      <c r="AS17" s="449">
        <f t="shared" si="9"/>
        <v>0</v>
      </c>
      <c r="AT17" s="449">
        <f t="shared" si="9"/>
        <v>0</v>
      </c>
      <c r="AU17" s="449">
        <f t="shared" si="9"/>
        <v>0</v>
      </c>
      <c r="AV17" s="449">
        <f t="shared" si="9"/>
        <v>0</v>
      </c>
      <c r="AW17" s="449">
        <f t="shared" si="9"/>
        <v>0</v>
      </c>
      <c r="AX17" s="449">
        <f t="shared" si="9"/>
        <v>0</v>
      </c>
      <c r="AY17" s="449">
        <f t="shared" si="9"/>
        <v>0</v>
      </c>
      <c r="AZ17" s="449">
        <f t="shared" si="9"/>
        <v>0</v>
      </c>
      <c r="BA17" s="450">
        <f t="shared" si="9"/>
        <v>0</v>
      </c>
      <c r="BB17" s="450">
        <f t="shared" si="9"/>
        <v>0</v>
      </c>
      <c r="BC17" s="450">
        <f t="shared" si="9"/>
        <v>0</v>
      </c>
      <c r="BD17" s="450">
        <f t="shared" si="9"/>
        <v>0</v>
      </c>
      <c r="BE17" s="450">
        <f t="shared" si="9"/>
        <v>0</v>
      </c>
      <c r="BF17" s="450">
        <f t="shared" si="9"/>
        <v>0</v>
      </c>
      <c r="BG17" s="450">
        <f t="shared" si="9"/>
        <v>0</v>
      </c>
      <c r="BH17" s="450">
        <f t="shared" si="9"/>
        <v>0</v>
      </c>
      <c r="BI17" s="450">
        <f t="shared" si="9"/>
        <v>0</v>
      </c>
      <c r="BJ17" s="450">
        <f t="shared" si="9"/>
        <v>0</v>
      </c>
      <c r="BK17" s="450">
        <f t="shared" si="9"/>
        <v>0</v>
      </c>
      <c r="BL17" s="450">
        <f t="shared" si="9"/>
        <v>0</v>
      </c>
      <c r="BM17" s="455">
        <f t="shared" si="9"/>
        <v>0</v>
      </c>
      <c r="BN17" s="453">
        <f t="shared" si="9"/>
        <v>2726633</v>
      </c>
      <c r="BO17" s="449">
        <f t="shared" si="9"/>
        <v>2021200</v>
      </c>
      <c r="BP17" s="449">
        <f t="shared" si="9"/>
        <v>1701044</v>
      </c>
      <c r="BQ17" s="449">
        <f t="shared" si="9"/>
        <v>320156</v>
      </c>
      <c r="BR17" s="449">
        <f t="shared" si="9"/>
        <v>0</v>
      </c>
      <c r="BS17" s="449">
        <f t="shared" si="9"/>
        <v>0</v>
      </c>
      <c r="BT17" s="449">
        <f t="shared" si="9"/>
        <v>0</v>
      </c>
      <c r="BU17" s="449">
        <f t="shared" si="9"/>
        <v>683166</v>
      </c>
      <c r="BV17" s="449">
        <f t="shared" ref="BV17:CF17" si="11">SUM(BV16)</f>
        <v>20212</v>
      </c>
      <c r="BW17" s="449">
        <f t="shared" si="11"/>
        <v>2055</v>
      </c>
      <c r="BX17" s="450">
        <f t="shared" si="11"/>
        <v>4.1100000000000003</v>
      </c>
      <c r="BY17" s="450">
        <f t="shared" si="11"/>
        <v>3.08</v>
      </c>
      <c r="BZ17" s="455">
        <f t="shared" si="11"/>
        <v>1.03</v>
      </c>
      <c r="CA17" s="853">
        <f t="shared" si="11"/>
        <v>0</v>
      </c>
      <c r="CB17" s="851">
        <f t="shared" si="11"/>
        <v>0</v>
      </c>
      <c r="CC17" s="851">
        <f t="shared" si="11"/>
        <v>0</v>
      </c>
      <c r="CD17" s="851">
        <f t="shared" si="11"/>
        <v>0</v>
      </c>
      <c r="CE17" s="851">
        <f t="shared" si="11"/>
        <v>0</v>
      </c>
      <c r="CF17" s="849">
        <f t="shared" si="11"/>
        <v>0</v>
      </c>
    </row>
    <row r="18" spans="1:84" x14ac:dyDescent="0.2">
      <c r="A18" s="206">
        <v>3</v>
      </c>
      <c r="B18" s="207">
        <v>3439</v>
      </c>
      <c r="C18" s="207">
        <v>600010473</v>
      </c>
      <c r="D18" s="207">
        <v>43256791</v>
      </c>
      <c r="E18" s="205" t="s">
        <v>767</v>
      </c>
      <c r="F18" s="207">
        <v>3113</v>
      </c>
      <c r="G18" s="208" t="s">
        <v>294</v>
      </c>
      <c r="H18" s="684" t="s">
        <v>271</v>
      </c>
      <c r="I18" s="423">
        <f t="shared" ref="I18:I22" si="12">J18+P18+Q18+R18</f>
        <v>25288165</v>
      </c>
      <c r="J18" s="418">
        <f>K18+L18</f>
        <v>18394590</v>
      </c>
      <c r="K18" s="418">
        <v>17060160</v>
      </c>
      <c r="L18" s="418">
        <v>1334430</v>
      </c>
      <c r="M18" s="418">
        <f>N18+O18</f>
        <v>0</v>
      </c>
      <c r="N18" s="418"/>
      <c r="O18" s="418"/>
      <c r="P18" s="68">
        <f>ROUND(J18*33.8%,0)+1</f>
        <v>6217372</v>
      </c>
      <c r="Q18" s="68">
        <f t="shared" ref="Q18:Q22" si="13">ROUND(J18*1%,0)</f>
        <v>183946</v>
      </c>
      <c r="R18" s="418">
        <v>492257</v>
      </c>
      <c r="S18" s="419">
        <f>T18+U18</f>
        <v>30.729299999999999</v>
      </c>
      <c r="T18" s="420">
        <v>26.962</v>
      </c>
      <c r="U18" s="527">
        <v>3.7672999999999996</v>
      </c>
      <c r="V18" s="427">
        <f t="shared" ref="V18:W22" si="14">AI18*-1</f>
        <v>-108800</v>
      </c>
      <c r="W18" s="421">
        <f t="shared" si="14"/>
        <v>-73600</v>
      </c>
      <c r="X18" s="421">
        <v>0</v>
      </c>
      <c r="Y18" s="421">
        <v>0</v>
      </c>
      <c r="Z18" s="421">
        <v>0</v>
      </c>
      <c r="AA18" s="421">
        <v>0</v>
      </c>
      <c r="AB18" s="421">
        <v>282000</v>
      </c>
      <c r="AC18" s="421">
        <v>0</v>
      </c>
      <c r="AD18" s="421">
        <v>0</v>
      </c>
      <c r="AE18" s="421">
        <v>0</v>
      </c>
      <c r="AF18" s="421">
        <f>V18+X18+Y18+AA18+AB18+AD18</f>
        <v>173200</v>
      </c>
      <c r="AG18" s="421">
        <f>W18+Z18+AC18+AE18</f>
        <v>-73600</v>
      </c>
      <c r="AH18" s="421">
        <f>SUM(AF18:AG18)</f>
        <v>99600</v>
      </c>
      <c r="AI18" s="421">
        <v>108800</v>
      </c>
      <c r="AJ18" s="421">
        <v>73600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ref="AO18:AO22" si="15">AI18+AK18+AL18+AM18</f>
        <v>108800</v>
      </c>
      <c r="AP18" s="421">
        <f>AJ18+AN18</f>
        <v>73600</v>
      </c>
      <c r="AQ18" s="421">
        <f>SUM(AO18:AP18)</f>
        <v>182400</v>
      </c>
      <c r="AR18" s="421">
        <f t="shared" ref="AR18:AS22" si="16">AF18+AO18</f>
        <v>282000</v>
      </c>
      <c r="AS18" s="421">
        <f t="shared" si="16"/>
        <v>0</v>
      </c>
      <c r="AT18" s="421">
        <f>SUM(AR18:AS18)</f>
        <v>282000</v>
      </c>
      <c r="AU18" s="68">
        <f t="shared" ref="AU18:AU22" si="17">ROUND((AH18+AI18+AJ18+AK18+AL18)*33.8%,0)</f>
        <v>95316</v>
      </c>
      <c r="AV18" s="68">
        <f>ROUND(AH18*1%,0)</f>
        <v>996</v>
      </c>
      <c r="AW18" s="421">
        <v>0</v>
      </c>
      <c r="AX18" s="421">
        <v>0</v>
      </c>
      <c r="AY18" s="421">
        <f>AW18+AX18</f>
        <v>0</v>
      </c>
      <c r="AZ18" s="421">
        <f>AT18+AU18+AV18+AY18</f>
        <v>378312</v>
      </c>
      <c r="BA18" s="422">
        <v>-0.16</v>
      </c>
      <c r="BB18" s="422">
        <v>-0.18</v>
      </c>
      <c r="BC18" s="422">
        <v>0</v>
      </c>
      <c r="BD18" s="422">
        <v>0.5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0.33999999999999997</v>
      </c>
      <c r="BL18" s="422">
        <f>BB18+BE18+BG18+BJ18</f>
        <v>-0.18</v>
      </c>
      <c r="BM18" s="611">
        <f>SUM(BK18:BL18)</f>
        <v>0.15999999999999998</v>
      </c>
      <c r="BN18" s="428">
        <f>I18+AZ18</f>
        <v>25666477</v>
      </c>
      <c r="BO18" s="421">
        <f>J18+AH18</f>
        <v>18494190</v>
      </c>
      <c r="BP18" s="421">
        <f t="shared" ref="BP18:BQ22" si="18">K18+AF18</f>
        <v>17233360</v>
      </c>
      <c r="BQ18" s="421">
        <f t="shared" si="18"/>
        <v>1260830</v>
      </c>
      <c r="BR18" s="421">
        <f>M18+AQ18</f>
        <v>182400</v>
      </c>
      <c r="BS18" s="421">
        <f t="shared" ref="BS18:BT22" si="19">N18+AO18</f>
        <v>108800</v>
      </c>
      <c r="BT18" s="421">
        <f t="shared" si="19"/>
        <v>73600</v>
      </c>
      <c r="BU18" s="421">
        <f t="shared" ref="BU18:BV22" si="20">P18+AU18</f>
        <v>6312688</v>
      </c>
      <c r="BV18" s="421">
        <f t="shared" si="20"/>
        <v>184942</v>
      </c>
      <c r="BW18" s="421">
        <f>R18+AY18</f>
        <v>492257</v>
      </c>
      <c r="BX18" s="422">
        <f>S18+BM18</f>
        <v>30.889299999999999</v>
      </c>
      <c r="BY18" s="422">
        <f t="shared" ref="BY18:BZ22" si="21">T18+BK18</f>
        <v>27.302</v>
      </c>
      <c r="BZ18" s="611">
        <f t="shared" si="21"/>
        <v>3.5872999999999995</v>
      </c>
      <c r="CA18" s="423">
        <v>380136</v>
      </c>
      <c r="CB18" s="418">
        <v>282000</v>
      </c>
      <c r="CC18" s="418">
        <v>0</v>
      </c>
      <c r="CD18" s="418">
        <v>95316</v>
      </c>
      <c r="CE18" s="418">
        <v>2820</v>
      </c>
      <c r="CF18" s="527">
        <v>0.5</v>
      </c>
    </row>
    <row r="19" spans="1:84" x14ac:dyDescent="0.2">
      <c r="A19" s="206">
        <v>3</v>
      </c>
      <c r="B19" s="207">
        <v>3439</v>
      </c>
      <c r="C19" s="207">
        <v>600010473</v>
      </c>
      <c r="D19" s="207">
        <v>43256791</v>
      </c>
      <c r="E19" s="205" t="s">
        <v>767</v>
      </c>
      <c r="F19" s="207">
        <v>3113</v>
      </c>
      <c r="G19" s="208" t="s">
        <v>292</v>
      </c>
      <c r="H19" s="684" t="s">
        <v>272</v>
      </c>
      <c r="I19" s="423">
        <f t="shared" si="12"/>
        <v>0</v>
      </c>
      <c r="J19" s="418">
        <f>K19+L19</f>
        <v>0</v>
      </c>
      <c r="K19" s="418">
        <v>0</v>
      </c>
      <c r="L19" s="418">
        <v>0</v>
      </c>
      <c r="M19" s="418">
        <f>N19+O19</f>
        <v>0</v>
      </c>
      <c r="N19" s="418"/>
      <c r="O19" s="418"/>
      <c r="P19" s="68">
        <f t="shared" ref="P19:P22" si="22">ROUND(J19*33.8%,0)</f>
        <v>0</v>
      </c>
      <c r="Q19" s="68">
        <f t="shared" si="13"/>
        <v>0</v>
      </c>
      <c r="R19" s="418">
        <v>0</v>
      </c>
      <c r="S19" s="419">
        <f>T19+U19</f>
        <v>0</v>
      </c>
      <c r="T19" s="420">
        <v>0</v>
      </c>
      <c r="U19" s="527">
        <v>0</v>
      </c>
      <c r="V19" s="427">
        <f t="shared" si="14"/>
        <v>0</v>
      </c>
      <c r="W19" s="421">
        <f t="shared" si="14"/>
        <v>0</v>
      </c>
      <c r="X19" s="421">
        <v>5539152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>V19+X19+Y19+AA19+AB19+AD19</f>
        <v>5539152</v>
      </c>
      <c r="AG19" s="421">
        <f>W19+Z19+AC19+AE19</f>
        <v>0</v>
      </c>
      <c r="AH19" s="421">
        <f>SUM(AF19:AG19)</f>
        <v>5539152</v>
      </c>
      <c r="AI19" s="421">
        <v>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15"/>
        <v>0</v>
      </c>
      <c r="AP19" s="421">
        <f>AJ19+AN19</f>
        <v>0</v>
      </c>
      <c r="AQ19" s="421">
        <f>SUM(AO19:AP19)</f>
        <v>0</v>
      </c>
      <c r="AR19" s="421">
        <f t="shared" si="16"/>
        <v>5539152</v>
      </c>
      <c r="AS19" s="421">
        <f t="shared" si="16"/>
        <v>0</v>
      </c>
      <c r="AT19" s="421">
        <f>SUM(AR19:AS19)</f>
        <v>5539152</v>
      </c>
      <c r="AU19" s="68">
        <f t="shared" si="17"/>
        <v>1872233</v>
      </c>
      <c r="AV19" s="68">
        <f>ROUND(AH19*1%,0)</f>
        <v>55392</v>
      </c>
      <c r="AW19" s="421">
        <v>0</v>
      </c>
      <c r="AX19" s="421">
        <v>0</v>
      </c>
      <c r="AY19" s="421">
        <f>AW19+AX19</f>
        <v>0</v>
      </c>
      <c r="AZ19" s="421">
        <f>AT19+AU19+AV19+AY19</f>
        <v>7466777</v>
      </c>
      <c r="BA19" s="422">
        <v>0</v>
      </c>
      <c r="BB19" s="422">
        <v>0</v>
      </c>
      <c r="BC19" s="422">
        <v>14.48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14.48</v>
      </c>
      <c r="BL19" s="422">
        <f>BB19+BE19+BG19+BJ19</f>
        <v>0</v>
      </c>
      <c r="BM19" s="611">
        <f>SUM(BK19:BL19)</f>
        <v>14.48</v>
      </c>
      <c r="BN19" s="428">
        <f>I19+AZ19</f>
        <v>7466777</v>
      </c>
      <c r="BO19" s="421">
        <f>J19+AH19</f>
        <v>5539152</v>
      </c>
      <c r="BP19" s="421">
        <f t="shared" si="18"/>
        <v>5539152</v>
      </c>
      <c r="BQ19" s="421">
        <f t="shared" si="18"/>
        <v>0</v>
      </c>
      <c r="BR19" s="421">
        <f>M19+AQ19</f>
        <v>0</v>
      </c>
      <c r="BS19" s="421">
        <f t="shared" si="19"/>
        <v>0</v>
      </c>
      <c r="BT19" s="421">
        <f t="shared" si="19"/>
        <v>0</v>
      </c>
      <c r="BU19" s="421">
        <f t="shared" si="20"/>
        <v>1872233</v>
      </c>
      <c r="BV19" s="421">
        <f t="shared" si="20"/>
        <v>55392</v>
      </c>
      <c r="BW19" s="421">
        <f>R19+AY19</f>
        <v>0</v>
      </c>
      <c r="BX19" s="422">
        <f>S19+BM19</f>
        <v>14.48</v>
      </c>
      <c r="BY19" s="422">
        <f t="shared" si="21"/>
        <v>14.48</v>
      </c>
      <c r="BZ19" s="611">
        <f t="shared" si="21"/>
        <v>0</v>
      </c>
      <c r="CA19" s="423"/>
      <c r="CB19" s="418"/>
      <c r="CC19" s="418"/>
      <c r="CD19" s="418"/>
      <c r="CE19" s="418"/>
      <c r="CF19" s="527"/>
    </row>
    <row r="20" spans="1:84" x14ac:dyDescent="0.2">
      <c r="A20" s="206">
        <v>3</v>
      </c>
      <c r="B20" s="207">
        <v>3439</v>
      </c>
      <c r="C20" s="207">
        <v>600010473</v>
      </c>
      <c r="D20" s="207">
        <v>43256791</v>
      </c>
      <c r="E20" s="205" t="s">
        <v>767</v>
      </c>
      <c r="F20" s="207">
        <v>3143</v>
      </c>
      <c r="G20" s="208" t="s">
        <v>596</v>
      </c>
      <c r="H20" s="686" t="s">
        <v>271</v>
      </c>
      <c r="I20" s="423">
        <f t="shared" si="12"/>
        <v>2186636</v>
      </c>
      <c r="J20" s="418">
        <f>K20+L20</f>
        <v>1622134</v>
      </c>
      <c r="K20" s="418">
        <v>1622134</v>
      </c>
      <c r="L20" s="418">
        <v>0</v>
      </c>
      <c r="M20" s="418">
        <f>N20+O20</f>
        <v>0</v>
      </c>
      <c r="N20" s="418"/>
      <c r="O20" s="418"/>
      <c r="P20" s="68">
        <f t="shared" si="22"/>
        <v>548281</v>
      </c>
      <c r="Q20" s="68">
        <f t="shared" si="13"/>
        <v>16221</v>
      </c>
      <c r="R20" s="418">
        <v>0</v>
      </c>
      <c r="S20" s="419">
        <f>T20+U20</f>
        <v>3.36</v>
      </c>
      <c r="T20" s="420">
        <v>3.36</v>
      </c>
      <c r="U20" s="527">
        <v>0</v>
      </c>
      <c r="V20" s="427">
        <f t="shared" si="14"/>
        <v>-6400</v>
      </c>
      <c r="W20" s="421">
        <f t="shared" si="14"/>
        <v>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-6400</v>
      </c>
      <c r="AG20" s="421">
        <f>W20+Z20+AC20+AE20</f>
        <v>0</v>
      </c>
      <c r="AH20" s="421">
        <f>SUM(AF20:AG20)</f>
        <v>-6400</v>
      </c>
      <c r="AI20" s="421">
        <v>6400</v>
      </c>
      <c r="AJ20" s="421">
        <v>0</v>
      </c>
      <c r="AK20" s="421">
        <v>0</v>
      </c>
      <c r="AL20" s="421">
        <v>27840</v>
      </c>
      <c r="AM20" s="421">
        <v>0</v>
      </c>
      <c r="AN20" s="421">
        <v>0</v>
      </c>
      <c r="AO20" s="421">
        <f t="shared" si="15"/>
        <v>34240</v>
      </c>
      <c r="AP20" s="421">
        <f>AJ20+AN20</f>
        <v>0</v>
      </c>
      <c r="AQ20" s="421">
        <f>SUM(AO20:AP20)</f>
        <v>34240</v>
      </c>
      <c r="AR20" s="421">
        <f t="shared" si="16"/>
        <v>27840</v>
      </c>
      <c r="AS20" s="421">
        <f t="shared" si="16"/>
        <v>0</v>
      </c>
      <c r="AT20" s="421">
        <f>SUM(AR20:AS20)</f>
        <v>27840</v>
      </c>
      <c r="AU20" s="68">
        <f t="shared" si="17"/>
        <v>9410</v>
      </c>
      <c r="AV20" s="68">
        <f>ROUND(AH20*1%,0)</f>
        <v>-64</v>
      </c>
      <c r="AW20" s="421">
        <v>0</v>
      </c>
      <c r="AX20" s="421">
        <v>0</v>
      </c>
      <c r="AY20" s="421">
        <f>AW20+AX20</f>
        <v>0</v>
      </c>
      <c r="AZ20" s="421">
        <f>AT20+AU20+AV20+AY20</f>
        <v>37186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0</v>
      </c>
      <c r="BL20" s="422">
        <f>BB20+BE20+BG20+BJ20</f>
        <v>0</v>
      </c>
      <c r="BM20" s="611">
        <f>SUM(BK20:BL20)</f>
        <v>0</v>
      </c>
      <c r="BN20" s="428">
        <f>I20+AZ20</f>
        <v>2223822</v>
      </c>
      <c r="BO20" s="421">
        <f>J20+AH20</f>
        <v>1615734</v>
      </c>
      <c r="BP20" s="421">
        <f t="shared" si="18"/>
        <v>1615734</v>
      </c>
      <c r="BQ20" s="421">
        <f t="shared" si="18"/>
        <v>0</v>
      </c>
      <c r="BR20" s="421">
        <f>M20+AQ20</f>
        <v>34240</v>
      </c>
      <c r="BS20" s="421">
        <f t="shared" si="19"/>
        <v>34240</v>
      </c>
      <c r="BT20" s="421">
        <f t="shared" si="19"/>
        <v>0</v>
      </c>
      <c r="BU20" s="421">
        <f t="shared" si="20"/>
        <v>557691</v>
      </c>
      <c r="BV20" s="421">
        <f t="shared" si="20"/>
        <v>16157</v>
      </c>
      <c r="BW20" s="421">
        <f>R20+AY20</f>
        <v>0</v>
      </c>
      <c r="BX20" s="422">
        <f>S20+BM20</f>
        <v>3.36</v>
      </c>
      <c r="BY20" s="422">
        <f t="shared" si="21"/>
        <v>3.36</v>
      </c>
      <c r="BZ20" s="611">
        <f t="shared" si="21"/>
        <v>0</v>
      </c>
      <c r="CA20" s="423"/>
      <c r="CB20" s="418"/>
      <c r="CC20" s="418"/>
      <c r="CD20" s="418"/>
      <c r="CE20" s="418"/>
      <c r="CF20" s="527"/>
    </row>
    <row r="21" spans="1:84" x14ac:dyDescent="0.2">
      <c r="A21" s="206">
        <v>3</v>
      </c>
      <c r="B21" s="207">
        <v>3439</v>
      </c>
      <c r="C21" s="207">
        <v>600010473</v>
      </c>
      <c r="D21" s="207">
        <v>43256791</v>
      </c>
      <c r="E21" s="205" t="s">
        <v>767</v>
      </c>
      <c r="F21" s="207">
        <v>3143</v>
      </c>
      <c r="G21" s="208" t="s">
        <v>597</v>
      </c>
      <c r="H21" s="686" t="s">
        <v>272</v>
      </c>
      <c r="I21" s="423">
        <f t="shared" si="12"/>
        <v>43523</v>
      </c>
      <c r="J21" s="418">
        <f>K21+L21</f>
        <v>31152</v>
      </c>
      <c r="K21" s="418">
        <v>0</v>
      </c>
      <c r="L21" s="418">
        <v>31152</v>
      </c>
      <c r="M21" s="418">
        <f>N21+O21</f>
        <v>0</v>
      </c>
      <c r="N21" s="418"/>
      <c r="O21" s="418"/>
      <c r="P21" s="68">
        <f t="shared" si="22"/>
        <v>10529</v>
      </c>
      <c r="Q21" s="68">
        <f t="shared" si="13"/>
        <v>312</v>
      </c>
      <c r="R21" s="418">
        <v>1530</v>
      </c>
      <c r="S21" s="419">
        <f>T21+U21</f>
        <v>0.12</v>
      </c>
      <c r="T21" s="420">
        <v>0</v>
      </c>
      <c r="U21" s="527">
        <v>0.12</v>
      </c>
      <c r="V21" s="427">
        <f t="shared" si="14"/>
        <v>0</v>
      </c>
      <c r="W21" s="421">
        <f t="shared" si="14"/>
        <v>0</v>
      </c>
      <c r="X21" s="421">
        <v>0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0</v>
      </c>
      <c r="AG21" s="421">
        <f>W21+Z21+AC21+AE21</f>
        <v>0</v>
      </c>
      <c r="AH21" s="421">
        <f>SUM(AF21:AG21)</f>
        <v>0</v>
      </c>
      <c r="AI21" s="421">
        <v>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15"/>
        <v>0</v>
      </c>
      <c r="AP21" s="421">
        <f>AJ21+AN21</f>
        <v>0</v>
      </c>
      <c r="AQ21" s="421">
        <f>SUM(AO21:AP21)</f>
        <v>0</v>
      </c>
      <c r="AR21" s="421">
        <f t="shared" si="16"/>
        <v>0</v>
      </c>
      <c r="AS21" s="421">
        <f t="shared" si="16"/>
        <v>0</v>
      </c>
      <c r="AT21" s="421">
        <f>SUM(AR21:AS21)</f>
        <v>0</v>
      </c>
      <c r="AU21" s="68">
        <f t="shared" si="17"/>
        <v>0</v>
      </c>
      <c r="AV21" s="68">
        <f>ROUND(AH21*1%,0)</f>
        <v>0</v>
      </c>
      <c r="AW21" s="421">
        <v>0</v>
      </c>
      <c r="AX21" s="421">
        <v>0</v>
      </c>
      <c r="AY21" s="421">
        <f>AW21+AX21</f>
        <v>0</v>
      </c>
      <c r="AZ21" s="421">
        <f>AT21+AU21+AV21+AY21</f>
        <v>0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0</v>
      </c>
      <c r="BL21" s="422">
        <f>BB21+BE21+BG21+BJ21</f>
        <v>0</v>
      </c>
      <c r="BM21" s="611">
        <f>SUM(BK21:BL21)</f>
        <v>0</v>
      </c>
      <c r="BN21" s="428">
        <f>I21+AZ21</f>
        <v>43523</v>
      </c>
      <c r="BO21" s="421">
        <f>J21+AH21</f>
        <v>31152</v>
      </c>
      <c r="BP21" s="421">
        <f t="shared" si="18"/>
        <v>0</v>
      </c>
      <c r="BQ21" s="421">
        <f t="shared" si="18"/>
        <v>31152</v>
      </c>
      <c r="BR21" s="421">
        <f>M21+AQ21</f>
        <v>0</v>
      </c>
      <c r="BS21" s="421">
        <f t="shared" si="19"/>
        <v>0</v>
      </c>
      <c r="BT21" s="421">
        <f t="shared" si="19"/>
        <v>0</v>
      </c>
      <c r="BU21" s="421">
        <f t="shared" si="20"/>
        <v>10529</v>
      </c>
      <c r="BV21" s="421">
        <f t="shared" si="20"/>
        <v>312</v>
      </c>
      <c r="BW21" s="421">
        <f>R21+AY21</f>
        <v>1530</v>
      </c>
      <c r="BX21" s="422">
        <f>S21+BM21</f>
        <v>0.12</v>
      </c>
      <c r="BY21" s="422">
        <f t="shared" si="21"/>
        <v>0</v>
      </c>
      <c r="BZ21" s="611">
        <f t="shared" si="21"/>
        <v>0.12</v>
      </c>
      <c r="CA21" s="423"/>
      <c r="CB21" s="418"/>
      <c r="CC21" s="418"/>
      <c r="CD21" s="418"/>
      <c r="CE21" s="418"/>
      <c r="CF21" s="527"/>
    </row>
    <row r="22" spans="1:84" x14ac:dyDescent="0.2">
      <c r="A22" s="206">
        <v>3</v>
      </c>
      <c r="B22" s="207">
        <v>3439</v>
      </c>
      <c r="C22" s="207">
        <v>600010473</v>
      </c>
      <c r="D22" s="207">
        <v>43256791</v>
      </c>
      <c r="E22" s="205" t="s">
        <v>767</v>
      </c>
      <c r="F22" s="207">
        <v>3143</v>
      </c>
      <c r="G22" s="208" t="s">
        <v>297</v>
      </c>
      <c r="H22" s="684" t="s">
        <v>272</v>
      </c>
      <c r="I22" s="423">
        <f t="shared" si="12"/>
        <v>243248</v>
      </c>
      <c r="J22" s="418">
        <f>K22+L22</f>
        <v>180140</v>
      </c>
      <c r="K22" s="418">
        <v>167310</v>
      </c>
      <c r="L22" s="418">
        <v>12830</v>
      </c>
      <c r="M22" s="418">
        <f>N22+O22</f>
        <v>0</v>
      </c>
      <c r="N22" s="418"/>
      <c r="O22" s="418"/>
      <c r="P22" s="68">
        <f t="shared" si="22"/>
        <v>60887</v>
      </c>
      <c r="Q22" s="68">
        <f t="shared" si="13"/>
        <v>1801</v>
      </c>
      <c r="R22" s="418">
        <v>420</v>
      </c>
      <c r="S22" s="419">
        <f>T22+U22</f>
        <v>0.38</v>
      </c>
      <c r="T22" s="420">
        <v>0.33</v>
      </c>
      <c r="U22" s="527">
        <v>0.05</v>
      </c>
      <c r="V22" s="427">
        <f t="shared" si="14"/>
        <v>-12800</v>
      </c>
      <c r="W22" s="421">
        <f t="shared" si="14"/>
        <v>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-12800</v>
      </c>
      <c r="AG22" s="421">
        <f>W22+Z22+AC22+AE22</f>
        <v>0</v>
      </c>
      <c r="AH22" s="421">
        <f>SUM(AF22:AG22)</f>
        <v>-12800</v>
      </c>
      <c r="AI22" s="421">
        <v>12800</v>
      </c>
      <c r="AJ22" s="421">
        <v>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si="15"/>
        <v>12800</v>
      </c>
      <c r="AP22" s="421">
        <f>AJ22+AN22</f>
        <v>0</v>
      </c>
      <c r="AQ22" s="421">
        <f>SUM(AO22:AP22)</f>
        <v>12800</v>
      </c>
      <c r="AR22" s="421">
        <f t="shared" si="16"/>
        <v>0</v>
      </c>
      <c r="AS22" s="421">
        <f t="shared" si="16"/>
        <v>0</v>
      </c>
      <c r="AT22" s="421">
        <f>SUM(AR22:AS22)</f>
        <v>0</v>
      </c>
      <c r="AU22" s="68">
        <f t="shared" si="17"/>
        <v>0</v>
      </c>
      <c r="AV22" s="68">
        <f>ROUND(AH22*1%,0)</f>
        <v>-128</v>
      </c>
      <c r="AW22" s="421">
        <v>0</v>
      </c>
      <c r="AX22" s="421">
        <v>0</v>
      </c>
      <c r="AY22" s="421">
        <f>AW22+AX22</f>
        <v>0</v>
      </c>
      <c r="AZ22" s="421">
        <f>AT22+AU22+AV22+AY22</f>
        <v>-128</v>
      </c>
      <c r="BA22" s="422">
        <v>-0.03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-0.03</v>
      </c>
      <c r="BL22" s="422">
        <f>BB22+BE22+BG22+BJ22</f>
        <v>0</v>
      </c>
      <c r="BM22" s="611">
        <f>SUM(BK22:BL22)</f>
        <v>-0.03</v>
      </c>
      <c r="BN22" s="428">
        <f>I22+AZ22</f>
        <v>243120</v>
      </c>
      <c r="BO22" s="421">
        <f>J22+AH22</f>
        <v>167340</v>
      </c>
      <c r="BP22" s="421">
        <f t="shared" si="18"/>
        <v>154510</v>
      </c>
      <c r="BQ22" s="421">
        <f t="shared" si="18"/>
        <v>12830</v>
      </c>
      <c r="BR22" s="421">
        <f>M22+AQ22</f>
        <v>12800</v>
      </c>
      <c r="BS22" s="421">
        <f t="shared" si="19"/>
        <v>12800</v>
      </c>
      <c r="BT22" s="421">
        <f t="shared" si="19"/>
        <v>0</v>
      </c>
      <c r="BU22" s="421">
        <f t="shared" si="20"/>
        <v>60887</v>
      </c>
      <c r="BV22" s="421">
        <f t="shared" si="20"/>
        <v>1673</v>
      </c>
      <c r="BW22" s="421">
        <f>R22+AY22</f>
        <v>420</v>
      </c>
      <c r="BX22" s="422">
        <f>S22+BM22</f>
        <v>0.35</v>
      </c>
      <c r="BY22" s="422">
        <f t="shared" si="21"/>
        <v>0.30000000000000004</v>
      </c>
      <c r="BZ22" s="611">
        <f t="shared" si="21"/>
        <v>0.05</v>
      </c>
      <c r="CA22" s="423"/>
      <c r="CB22" s="418"/>
      <c r="CC22" s="418"/>
      <c r="CD22" s="418"/>
      <c r="CE22" s="418"/>
      <c r="CF22" s="527"/>
    </row>
    <row r="23" spans="1:84" x14ac:dyDescent="0.2">
      <c r="A23" s="155">
        <v>3</v>
      </c>
      <c r="B23" s="18">
        <v>3439</v>
      </c>
      <c r="C23" s="18">
        <v>600010473</v>
      </c>
      <c r="D23" s="18">
        <v>43256791</v>
      </c>
      <c r="E23" s="164" t="s">
        <v>90</v>
      </c>
      <c r="F23" s="18"/>
      <c r="G23" s="154"/>
      <c r="H23" s="685"/>
      <c r="I23" s="454">
        <f t="shared" ref="I23:BU23" si="23">SUM(I18:I22)</f>
        <v>27761572</v>
      </c>
      <c r="J23" s="451">
        <f t="shared" si="23"/>
        <v>20228016</v>
      </c>
      <c r="K23" s="451">
        <f t="shared" si="23"/>
        <v>18849604</v>
      </c>
      <c r="L23" s="451">
        <f t="shared" si="23"/>
        <v>1378412</v>
      </c>
      <c r="M23" s="451">
        <f t="shared" si="23"/>
        <v>0</v>
      </c>
      <c r="N23" s="451">
        <f t="shared" si="23"/>
        <v>0</v>
      </c>
      <c r="O23" s="451">
        <f t="shared" si="23"/>
        <v>0</v>
      </c>
      <c r="P23" s="451">
        <f t="shared" si="23"/>
        <v>6837069</v>
      </c>
      <c r="Q23" s="451">
        <f t="shared" si="23"/>
        <v>202280</v>
      </c>
      <c r="R23" s="451">
        <f t="shared" si="23"/>
        <v>494207</v>
      </c>
      <c r="S23" s="452">
        <f t="shared" si="23"/>
        <v>34.589300000000001</v>
      </c>
      <c r="T23" s="452">
        <f t="shared" si="23"/>
        <v>30.651999999999997</v>
      </c>
      <c r="U23" s="39">
        <f t="shared" si="23"/>
        <v>3.9372999999999996</v>
      </c>
      <c r="V23" s="458">
        <f t="shared" si="23"/>
        <v>-128000</v>
      </c>
      <c r="W23" s="451">
        <f t="shared" si="23"/>
        <v>-73600</v>
      </c>
      <c r="X23" s="451">
        <f t="shared" si="23"/>
        <v>5539152</v>
      </c>
      <c r="Y23" s="451">
        <f t="shared" si="23"/>
        <v>0</v>
      </c>
      <c r="Z23" s="451">
        <f t="shared" si="23"/>
        <v>0</v>
      </c>
      <c r="AA23" s="451">
        <f t="shared" si="23"/>
        <v>0</v>
      </c>
      <c r="AB23" s="451">
        <f t="shared" si="23"/>
        <v>282000</v>
      </c>
      <c r="AC23" s="451">
        <f t="shared" si="23"/>
        <v>0</v>
      </c>
      <c r="AD23" s="451">
        <f t="shared" si="23"/>
        <v>0</v>
      </c>
      <c r="AE23" s="451">
        <f t="shared" si="23"/>
        <v>0</v>
      </c>
      <c r="AF23" s="451">
        <f t="shared" si="23"/>
        <v>5693152</v>
      </c>
      <c r="AG23" s="451">
        <f t="shared" si="23"/>
        <v>-73600</v>
      </c>
      <c r="AH23" s="451">
        <f t="shared" si="23"/>
        <v>5619552</v>
      </c>
      <c r="AI23" s="451">
        <f t="shared" si="23"/>
        <v>128000</v>
      </c>
      <c r="AJ23" s="451">
        <f t="shared" si="23"/>
        <v>73600</v>
      </c>
      <c r="AK23" s="451">
        <f t="shared" ref="AK23" si="24">SUM(AK18:AK22)</f>
        <v>0</v>
      </c>
      <c r="AL23" s="451">
        <f t="shared" si="23"/>
        <v>27840</v>
      </c>
      <c r="AM23" s="451">
        <f t="shared" si="23"/>
        <v>0</v>
      </c>
      <c r="AN23" s="451">
        <f t="shared" si="23"/>
        <v>0</v>
      </c>
      <c r="AO23" s="451">
        <f t="shared" si="23"/>
        <v>155840</v>
      </c>
      <c r="AP23" s="451">
        <f t="shared" si="23"/>
        <v>73600</v>
      </c>
      <c r="AQ23" s="451">
        <f t="shared" si="23"/>
        <v>229440</v>
      </c>
      <c r="AR23" s="451">
        <f t="shared" si="23"/>
        <v>5848992</v>
      </c>
      <c r="AS23" s="451">
        <f t="shared" si="23"/>
        <v>0</v>
      </c>
      <c r="AT23" s="451">
        <f t="shared" si="23"/>
        <v>5848992</v>
      </c>
      <c r="AU23" s="451">
        <f t="shared" si="23"/>
        <v>1976959</v>
      </c>
      <c r="AV23" s="451">
        <f t="shared" si="23"/>
        <v>56196</v>
      </c>
      <c r="AW23" s="451">
        <f t="shared" si="23"/>
        <v>0</v>
      </c>
      <c r="AX23" s="451">
        <f t="shared" si="23"/>
        <v>0</v>
      </c>
      <c r="AY23" s="451">
        <f t="shared" si="23"/>
        <v>0</v>
      </c>
      <c r="AZ23" s="451">
        <f t="shared" si="23"/>
        <v>7882147</v>
      </c>
      <c r="BA23" s="452">
        <f t="shared" si="23"/>
        <v>-0.19</v>
      </c>
      <c r="BB23" s="452">
        <f t="shared" si="23"/>
        <v>-0.18</v>
      </c>
      <c r="BC23" s="452">
        <f t="shared" si="23"/>
        <v>14.48</v>
      </c>
      <c r="BD23" s="452">
        <f t="shared" si="23"/>
        <v>0.5</v>
      </c>
      <c r="BE23" s="452">
        <f t="shared" si="23"/>
        <v>0</v>
      </c>
      <c r="BF23" s="452">
        <f t="shared" si="23"/>
        <v>0</v>
      </c>
      <c r="BG23" s="452">
        <f t="shared" si="23"/>
        <v>0</v>
      </c>
      <c r="BH23" s="452">
        <f t="shared" si="23"/>
        <v>0</v>
      </c>
      <c r="BI23" s="452">
        <f t="shared" si="23"/>
        <v>0</v>
      </c>
      <c r="BJ23" s="452">
        <f t="shared" si="23"/>
        <v>0</v>
      </c>
      <c r="BK23" s="452">
        <f t="shared" si="23"/>
        <v>14.790000000000001</v>
      </c>
      <c r="BL23" s="452">
        <f t="shared" si="23"/>
        <v>-0.18</v>
      </c>
      <c r="BM23" s="456">
        <f t="shared" si="23"/>
        <v>14.610000000000001</v>
      </c>
      <c r="BN23" s="454">
        <f t="shared" si="23"/>
        <v>35643719</v>
      </c>
      <c r="BO23" s="451">
        <f t="shared" si="23"/>
        <v>25847568</v>
      </c>
      <c r="BP23" s="451">
        <f t="shared" si="23"/>
        <v>24542756</v>
      </c>
      <c r="BQ23" s="451">
        <f t="shared" si="23"/>
        <v>1304812</v>
      </c>
      <c r="BR23" s="451">
        <f t="shared" si="23"/>
        <v>229440</v>
      </c>
      <c r="BS23" s="451">
        <f t="shared" si="23"/>
        <v>155840</v>
      </c>
      <c r="BT23" s="451">
        <f t="shared" si="23"/>
        <v>73600</v>
      </c>
      <c r="BU23" s="451">
        <f t="shared" si="23"/>
        <v>8814028</v>
      </c>
      <c r="BV23" s="451">
        <f t="shared" ref="BV23:CF23" si="25">SUM(BV18:BV22)</f>
        <v>258476</v>
      </c>
      <c r="BW23" s="451">
        <f t="shared" si="25"/>
        <v>494207</v>
      </c>
      <c r="BX23" s="452">
        <f t="shared" si="25"/>
        <v>49.199299999999994</v>
      </c>
      <c r="BY23" s="452">
        <f t="shared" si="25"/>
        <v>45.441999999999993</v>
      </c>
      <c r="BZ23" s="456">
        <f t="shared" si="25"/>
        <v>3.7572999999999994</v>
      </c>
      <c r="CA23" s="854">
        <f t="shared" si="25"/>
        <v>380136</v>
      </c>
      <c r="CB23" s="852">
        <f t="shared" si="25"/>
        <v>282000</v>
      </c>
      <c r="CC23" s="852">
        <f t="shared" si="25"/>
        <v>0</v>
      </c>
      <c r="CD23" s="852">
        <f t="shared" si="25"/>
        <v>95316</v>
      </c>
      <c r="CE23" s="852">
        <f t="shared" si="25"/>
        <v>2820</v>
      </c>
      <c r="CF23" s="848">
        <f t="shared" si="25"/>
        <v>0.5</v>
      </c>
    </row>
    <row r="24" spans="1:84" x14ac:dyDescent="0.2">
      <c r="A24" s="206">
        <v>4</v>
      </c>
      <c r="B24" s="207">
        <v>3438</v>
      </c>
      <c r="C24" s="207">
        <v>600078493</v>
      </c>
      <c r="D24" s="207">
        <v>43257089</v>
      </c>
      <c r="E24" s="205" t="s">
        <v>91</v>
      </c>
      <c r="F24" s="207">
        <v>3113</v>
      </c>
      <c r="G24" s="208" t="s">
        <v>294</v>
      </c>
      <c r="H24" s="684" t="s">
        <v>271</v>
      </c>
      <c r="I24" s="423">
        <f t="shared" ref="I24:I27" si="26">J24+P24+Q24+R24</f>
        <v>29666722</v>
      </c>
      <c r="J24" s="418">
        <f>K24+L24</f>
        <v>21734005</v>
      </c>
      <c r="K24" s="418">
        <v>20192811</v>
      </c>
      <c r="L24" s="418">
        <v>1541194</v>
      </c>
      <c r="M24" s="418">
        <f>N24+O24</f>
        <v>0</v>
      </c>
      <c r="N24" s="418"/>
      <c r="O24" s="418"/>
      <c r="P24" s="68">
        <f t="shared" ref="P24:P27" si="27">ROUND(J24*33.8%,0)</f>
        <v>7346094</v>
      </c>
      <c r="Q24" s="68">
        <f>ROUND(J24*1%,0)+1</f>
        <v>217341</v>
      </c>
      <c r="R24" s="418">
        <v>369282</v>
      </c>
      <c r="S24" s="419">
        <f>T24+U24</f>
        <v>34.475099999999998</v>
      </c>
      <c r="T24" s="420">
        <v>29.909099999999999</v>
      </c>
      <c r="U24" s="527">
        <v>4.5659999999999998</v>
      </c>
      <c r="V24" s="427">
        <f t="shared" ref="V24:W27" si="28">AI24*-1</f>
        <v>-25600</v>
      </c>
      <c r="W24" s="421">
        <f t="shared" si="28"/>
        <v>-3200</v>
      </c>
      <c r="X24" s="421">
        <v>0</v>
      </c>
      <c r="Y24" s="421">
        <v>0</v>
      </c>
      <c r="Z24" s="421">
        <v>0</v>
      </c>
      <c r="AA24" s="421">
        <v>0</v>
      </c>
      <c r="AB24" s="421">
        <v>451200</v>
      </c>
      <c r="AC24" s="421">
        <v>0</v>
      </c>
      <c r="AD24" s="421">
        <v>0</v>
      </c>
      <c r="AE24" s="421">
        <v>0</v>
      </c>
      <c r="AF24" s="421">
        <f>V24+X24+Y24+AA24+AB24+AD24</f>
        <v>425600</v>
      </c>
      <c r="AG24" s="421">
        <f>W24+Z24+AC24+AE24</f>
        <v>-3200</v>
      </c>
      <c r="AH24" s="421">
        <f>SUM(AF24:AG24)</f>
        <v>422400</v>
      </c>
      <c r="AI24" s="421">
        <v>25600</v>
      </c>
      <c r="AJ24" s="421">
        <v>3200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ref="AO24:AO27" si="29">AI24+AK24+AL24+AM24</f>
        <v>25600</v>
      </c>
      <c r="AP24" s="421">
        <f>AJ24+AN24</f>
        <v>3200</v>
      </c>
      <c r="AQ24" s="421">
        <f>SUM(AO24:AP24)</f>
        <v>28800</v>
      </c>
      <c r="AR24" s="421">
        <f t="shared" ref="AR24:AS27" si="30">AF24+AO24</f>
        <v>451200</v>
      </c>
      <c r="AS24" s="421">
        <f t="shared" si="30"/>
        <v>0</v>
      </c>
      <c r="AT24" s="421">
        <f>SUM(AR24:AS24)</f>
        <v>451200</v>
      </c>
      <c r="AU24" s="68">
        <f t="shared" ref="AU24:AU27" si="31">ROUND((AH24+AI24+AJ24+AK24+AL24)*33.8%,0)</f>
        <v>152506</v>
      </c>
      <c r="AV24" s="68">
        <f>ROUND(AH24*1%,0)</f>
        <v>4224</v>
      </c>
      <c r="AW24" s="421">
        <v>0</v>
      </c>
      <c r="AX24" s="421">
        <v>0</v>
      </c>
      <c r="AY24" s="421">
        <f>AW24+AX24</f>
        <v>0</v>
      </c>
      <c r="AZ24" s="421">
        <f>AT24+AU24+AV24+AY24</f>
        <v>607930</v>
      </c>
      <c r="BA24" s="422">
        <v>0</v>
      </c>
      <c r="BB24" s="422">
        <v>0</v>
      </c>
      <c r="BC24" s="422">
        <v>0</v>
      </c>
      <c r="BD24" s="422">
        <v>0.8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0.8</v>
      </c>
      <c r="BL24" s="422">
        <f>BB24+BE24+BG24+BJ24</f>
        <v>0</v>
      </c>
      <c r="BM24" s="611">
        <f>SUM(BK24:BL24)</f>
        <v>0.8</v>
      </c>
      <c r="BN24" s="428">
        <f>I24+AZ24</f>
        <v>30274652</v>
      </c>
      <c r="BO24" s="421">
        <f>J24+AH24</f>
        <v>22156405</v>
      </c>
      <c r="BP24" s="421">
        <f t="shared" ref="BP24:BQ27" si="32">K24+AF24</f>
        <v>20618411</v>
      </c>
      <c r="BQ24" s="421">
        <f t="shared" si="32"/>
        <v>1537994</v>
      </c>
      <c r="BR24" s="421">
        <f>M24+AQ24</f>
        <v>28800</v>
      </c>
      <c r="BS24" s="421">
        <f t="shared" ref="BS24:BT27" si="33">N24+AO24</f>
        <v>25600</v>
      </c>
      <c r="BT24" s="421">
        <f t="shared" si="33"/>
        <v>3200</v>
      </c>
      <c r="BU24" s="421">
        <f t="shared" ref="BU24:BV27" si="34">P24+AU24</f>
        <v>7498600</v>
      </c>
      <c r="BV24" s="421">
        <f t="shared" si="34"/>
        <v>221565</v>
      </c>
      <c r="BW24" s="421">
        <f>R24+AY24</f>
        <v>369282</v>
      </c>
      <c r="BX24" s="422">
        <f>S24+BM24</f>
        <v>35.275099999999995</v>
      </c>
      <c r="BY24" s="422">
        <f t="shared" ref="BY24:BZ27" si="35">T24+BK24</f>
        <v>30.709099999999999</v>
      </c>
      <c r="BZ24" s="611">
        <f t="shared" si="35"/>
        <v>4.5659999999999998</v>
      </c>
      <c r="CA24" s="423">
        <v>608218</v>
      </c>
      <c r="CB24" s="418">
        <v>451200</v>
      </c>
      <c r="CC24" s="418">
        <v>0</v>
      </c>
      <c r="CD24" s="418">
        <v>152506</v>
      </c>
      <c r="CE24" s="418">
        <v>4512</v>
      </c>
      <c r="CF24" s="527">
        <v>0.8</v>
      </c>
    </row>
    <row r="25" spans="1:84" x14ac:dyDescent="0.2">
      <c r="A25" s="206">
        <v>4</v>
      </c>
      <c r="B25" s="207">
        <v>3438</v>
      </c>
      <c r="C25" s="207">
        <v>600078493</v>
      </c>
      <c r="D25" s="207">
        <v>43257089</v>
      </c>
      <c r="E25" s="205" t="s">
        <v>91</v>
      </c>
      <c r="F25" s="207">
        <v>3113</v>
      </c>
      <c r="G25" s="208" t="s">
        <v>292</v>
      </c>
      <c r="H25" s="684" t="s">
        <v>272</v>
      </c>
      <c r="I25" s="423">
        <f t="shared" si="26"/>
        <v>0</v>
      </c>
      <c r="J25" s="418">
        <f>K25+L25</f>
        <v>0</v>
      </c>
      <c r="K25" s="418">
        <v>0</v>
      </c>
      <c r="L25" s="418">
        <v>0</v>
      </c>
      <c r="M25" s="418">
        <f>N25+O25</f>
        <v>0</v>
      </c>
      <c r="N25" s="418"/>
      <c r="O25" s="418"/>
      <c r="P25" s="68">
        <f t="shared" si="27"/>
        <v>0</v>
      </c>
      <c r="Q25" s="68">
        <f t="shared" ref="Q25:Q27" si="36">ROUND(J25*1%,0)</f>
        <v>0</v>
      </c>
      <c r="R25" s="418">
        <v>0</v>
      </c>
      <c r="S25" s="419">
        <f>T25+U25</f>
        <v>0</v>
      </c>
      <c r="T25" s="420">
        <v>0</v>
      </c>
      <c r="U25" s="527">
        <v>0</v>
      </c>
      <c r="V25" s="427">
        <f t="shared" si="28"/>
        <v>0</v>
      </c>
      <c r="W25" s="421">
        <f t="shared" si="28"/>
        <v>0</v>
      </c>
      <c r="X25" s="421">
        <f>3223864-169951</f>
        <v>3053913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>V25+X25+Y25+AA25+AB25+AD25</f>
        <v>3053913</v>
      </c>
      <c r="AG25" s="421">
        <f>W25+Z25+AC25+AE25</f>
        <v>0</v>
      </c>
      <c r="AH25" s="421">
        <f>SUM(AF25:AG25)</f>
        <v>3053913</v>
      </c>
      <c r="AI25" s="421">
        <v>0</v>
      </c>
      <c r="AJ25" s="421">
        <v>0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si="29"/>
        <v>0</v>
      </c>
      <c r="AP25" s="421">
        <f>AJ25+AN25</f>
        <v>0</v>
      </c>
      <c r="AQ25" s="421">
        <f>SUM(AO25:AP25)</f>
        <v>0</v>
      </c>
      <c r="AR25" s="421">
        <f t="shared" si="30"/>
        <v>3053913</v>
      </c>
      <c r="AS25" s="421">
        <f t="shared" si="30"/>
        <v>0</v>
      </c>
      <c r="AT25" s="421">
        <f>SUM(AR25:AS25)</f>
        <v>3053913</v>
      </c>
      <c r="AU25" s="68">
        <f t="shared" si="31"/>
        <v>1032223</v>
      </c>
      <c r="AV25" s="68">
        <f>ROUND(AH25*1%,0)</f>
        <v>30539</v>
      </c>
      <c r="AW25" s="421">
        <v>0</v>
      </c>
      <c r="AX25" s="421">
        <v>0</v>
      </c>
      <c r="AY25" s="421">
        <f>AW25+AX25</f>
        <v>0</v>
      </c>
      <c r="AZ25" s="421">
        <f>AT25+AU25+AV25+AY25</f>
        <v>4116675</v>
      </c>
      <c r="BA25" s="422">
        <v>0</v>
      </c>
      <c r="BB25" s="422">
        <v>0</v>
      </c>
      <c r="BC25" s="422">
        <f>8.48-0.46</f>
        <v>8.02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8.02</v>
      </c>
      <c r="BL25" s="422">
        <f>BB25+BE25+BG25+BJ25</f>
        <v>0</v>
      </c>
      <c r="BM25" s="611">
        <f>SUM(BK25:BL25)</f>
        <v>8.02</v>
      </c>
      <c r="BN25" s="428">
        <f>I25+AZ25</f>
        <v>4116675</v>
      </c>
      <c r="BO25" s="421">
        <f>J25+AH25</f>
        <v>3053913</v>
      </c>
      <c r="BP25" s="421">
        <f t="shared" si="32"/>
        <v>3053913</v>
      </c>
      <c r="BQ25" s="421">
        <f t="shared" si="32"/>
        <v>0</v>
      </c>
      <c r="BR25" s="421">
        <f>M25+AQ25</f>
        <v>0</v>
      </c>
      <c r="BS25" s="421">
        <f t="shared" si="33"/>
        <v>0</v>
      </c>
      <c r="BT25" s="421">
        <f t="shared" si="33"/>
        <v>0</v>
      </c>
      <c r="BU25" s="421">
        <f t="shared" si="34"/>
        <v>1032223</v>
      </c>
      <c r="BV25" s="421">
        <f t="shared" si="34"/>
        <v>30539</v>
      </c>
      <c r="BW25" s="421">
        <f>R25+AY25</f>
        <v>0</v>
      </c>
      <c r="BX25" s="422">
        <f>S25+BM25</f>
        <v>8.02</v>
      </c>
      <c r="BY25" s="422">
        <f t="shared" si="35"/>
        <v>8.02</v>
      </c>
      <c r="BZ25" s="611">
        <f t="shared" si="35"/>
        <v>0</v>
      </c>
      <c r="CA25" s="423"/>
      <c r="CB25" s="418"/>
      <c r="CC25" s="418"/>
      <c r="CD25" s="418"/>
      <c r="CE25" s="418"/>
      <c r="CF25" s="527"/>
    </row>
    <row r="26" spans="1:84" x14ac:dyDescent="0.2">
      <c r="A26" s="206">
        <v>4</v>
      </c>
      <c r="B26" s="207">
        <v>3438</v>
      </c>
      <c r="C26" s="207">
        <v>600078493</v>
      </c>
      <c r="D26" s="207">
        <v>43257089</v>
      </c>
      <c r="E26" s="205" t="s">
        <v>91</v>
      </c>
      <c r="F26" s="207">
        <v>3143</v>
      </c>
      <c r="G26" s="208" t="s">
        <v>596</v>
      </c>
      <c r="H26" s="686" t="s">
        <v>271</v>
      </c>
      <c r="I26" s="423">
        <f t="shared" si="26"/>
        <v>1917997</v>
      </c>
      <c r="J26" s="418">
        <f>K26+L26</f>
        <v>1422847</v>
      </c>
      <c r="K26" s="418">
        <v>1422847</v>
      </c>
      <c r="L26" s="418">
        <v>0</v>
      </c>
      <c r="M26" s="418">
        <f>N26+O26</f>
        <v>0</v>
      </c>
      <c r="N26" s="418"/>
      <c r="O26" s="418"/>
      <c r="P26" s="68">
        <f t="shared" si="27"/>
        <v>480922</v>
      </c>
      <c r="Q26" s="68">
        <f t="shared" si="36"/>
        <v>14228</v>
      </c>
      <c r="R26" s="418">
        <v>0</v>
      </c>
      <c r="S26" s="419">
        <f>T26+U26</f>
        <v>2.6606999999999998</v>
      </c>
      <c r="T26" s="420">
        <v>2.6606999999999998</v>
      </c>
      <c r="U26" s="527">
        <v>0</v>
      </c>
      <c r="V26" s="427">
        <f t="shared" si="28"/>
        <v>0</v>
      </c>
      <c r="W26" s="421">
        <f t="shared" si="28"/>
        <v>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0</v>
      </c>
      <c r="AG26" s="421">
        <f>W26+Z26+AC26+AE26</f>
        <v>0</v>
      </c>
      <c r="AH26" s="421">
        <f>SUM(AF26:AG26)</f>
        <v>0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29"/>
        <v>0</v>
      </c>
      <c r="AP26" s="421">
        <f>AJ26+AN26</f>
        <v>0</v>
      </c>
      <c r="AQ26" s="421">
        <f>SUM(AO26:AP26)</f>
        <v>0</v>
      </c>
      <c r="AR26" s="421">
        <f t="shared" si="30"/>
        <v>0</v>
      </c>
      <c r="AS26" s="421">
        <f t="shared" si="30"/>
        <v>0</v>
      </c>
      <c r="AT26" s="421">
        <f>SUM(AR26:AS26)</f>
        <v>0</v>
      </c>
      <c r="AU26" s="68">
        <f t="shared" si="31"/>
        <v>0</v>
      </c>
      <c r="AV26" s="68">
        <f>ROUND(AH26*1%,0)</f>
        <v>0</v>
      </c>
      <c r="AW26" s="421">
        <v>0</v>
      </c>
      <c r="AX26" s="421">
        <v>0</v>
      </c>
      <c r="AY26" s="421">
        <f>AW26+AX26</f>
        <v>0</v>
      </c>
      <c r="AZ26" s="421">
        <f>AT26+AU26+AV26+AY26</f>
        <v>0</v>
      </c>
      <c r="BA26" s="422">
        <v>0</v>
      </c>
      <c r="BB26" s="422">
        <v>0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0</v>
      </c>
      <c r="BL26" s="422">
        <f>BB26+BE26+BG26+BJ26</f>
        <v>0</v>
      </c>
      <c r="BM26" s="611">
        <f>SUM(BK26:BL26)</f>
        <v>0</v>
      </c>
      <c r="BN26" s="428">
        <f>I26+AZ26</f>
        <v>1917997</v>
      </c>
      <c r="BO26" s="421">
        <f>J26+AH26</f>
        <v>1422847</v>
      </c>
      <c r="BP26" s="421">
        <f t="shared" si="32"/>
        <v>1422847</v>
      </c>
      <c r="BQ26" s="421">
        <f t="shared" si="32"/>
        <v>0</v>
      </c>
      <c r="BR26" s="421">
        <f>M26+AQ26</f>
        <v>0</v>
      </c>
      <c r="BS26" s="421">
        <f t="shared" si="33"/>
        <v>0</v>
      </c>
      <c r="BT26" s="421">
        <f t="shared" si="33"/>
        <v>0</v>
      </c>
      <c r="BU26" s="421">
        <f t="shared" si="34"/>
        <v>480922</v>
      </c>
      <c r="BV26" s="421">
        <f t="shared" si="34"/>
        <v>14228</v>
      </c>
      <c r="BW26" s="421">
        <f>R26+AY26</f>
        <v>0</v>
      </c>
      <c r="BX26" s="422">
        <f>S26+BM26</f>
        <v>2.6606999999999998</v>
      </c>
      <c r="BY26" s="422">
        <f t="shared" si="35"/>
        <v>2.6606999999999998</v>
      </c>
      <c r="BZ26" s="611">
        <f t="shared" si="35"/>
        <v>0</v>
      </c>
      <c r="CA26" s="423"/>
      <c r="CB26" s="418"/>
      <c r="CC26" s="418"/>
      <c r="CD26" s="418"/>
      <c r="CE26" s="418"/>
      <c r="CF26" s="527"/>
    </row>
    <row r="27" spans="1:84" x14ac:dyDescent="0.2">
      <c r="A27" s="206">
        <v>4</v>
      </c>
      <c r="B27" s="207">
        <v>3438</v>
      </c>
      <c r="C27" s="207">
        <v>600078493</v>
      </c>
      <c r="D27" s="207">
        <v>43257089</v>
      </c>
      <c r="E27" s="205" t="s">
        <v>91</v>
      </c>
      <c r="F27" s="207">
        <v>3143</v>
      </c>
      <c r="G27" s="208" t="s">
        <v>597</v>
      </c>
      <c r="H27" s="686" t="s">
        <v>272</v>
      </c>
      <c r="I27" s="423">
        <f t="shared" si="26"/>
        <v>42011</v>
      </c>
      <c r="J27" s="418">
        <f>K27+L27</f>
        <v>30070</v>
      </c>
      <c r="K27" s="418">
        <v>0</v>
      </c>
      <c r="L27" s="418">
        <v>30070</v>
      </c>
      <c r="M27" s="418">
        <f>N27+O27</f>
        <v>0</v>
      </c>
      <c r="N27" s="418"/>
      <c r="O27" s="418"/>
      <c r="P27" s="68">
        <f t="shared" si="27"/>
        <v>10164</v>
      </c>
      <c r="Q27" s="68">
        <f t="shared" si="36"/>
        <v>301</v>
      </c>
      <c r="R27" s="418">
        <v>1476</v>
      </c>
      <c r="S27" s="419">
        <f>T27+U27</f>
        <v>0.11</v>
      </c>
      <c r="T27" s="420">
        <v>0</v>
      </c>
      <c r="U27" s="527">
        <v>0.11</v>
      </c>
      <c r="V27" s="427">
        <f t="shared" si="28"/>
        <v>0</v>
      </c>
      <c r="W27" s="421">
        <f t="shared" si="28"/>
        <v>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>V27+X27+Y27+AA27+AB27+AD27</f>
        <v>0</v>
      </c>
      <c r="AG27" s="421">
        <f>W27+Z27+AC27+AE27</f>
        <v>0</v>
      </c>
      <c r="AH27" s="421">
        <f>SUM(AF27:AG27)</f>
        <v>0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29"/>
        <v>0</v>
      </c>
      <c r="AP27" s="421">
        <f>AJ27+AN27</f>
        <v>0</v>
      </c>
      <c r="AQ27" s="421">
        <f>SUM(AO27:AP27)</f>
        <v>0</v>
      </c>
      <c r="AR27" s="421">
        <f t="shared" si="30"/>
        <v>0</v>
      </c>
      <c r="AS27" s="421">
        <f t="shared" si="30"/>
        <v>0</v>
      </c>
      <c r="AT27" s="421">
        <f>SUM(AR27:AS27)</f>
        <v>0</v>
      </c>
      <c r="AU27" s="68">
        <f t="shared" si="31"/>
        <v>0</v>
      </c>
      <c r="AV27" s="68">
        <f>ROUND(AH27*1%,0)</f>
        <v>0</v>
      </c>
      <c r="AW27" s="421">
        <v>0</v>
      </c>
      <c r="AX27" s="421">
        <v>0</v>
      </c>
      <c r="AY27" s="421">
        <f>AW27+AX27</f>
        <v>0</v>
      </c>
      <c r="AZ27" s="421">
        <f>AT27+AU27+AV27+AY27</f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>BA27+BC27+BD27+BF27+BH27+BI27</f>
        <v>0</v>
      </c>
      <c r="BL27" s="422">
        <f>BB27+BE27+BG27+BJ27</f>
        <v>0</v>
      </c>
      <c r="BM27" s="611">
        <f>SUM(BK27:BL27)</f>
        <v>0</v>
      </c>
      <c r="BN27" s="428">
        <f>I27+AZ27</f>
        <v>42011</v>
      </c>
      <c r="BO27" s="421">
        <f>J27+AH27</f>
        <v>30070</v>
      </c>
      <c r="BP27" s="421">
        <f t="shared" si="32"/>
        <v>0</v>
      </c>
      <c r="BQ27" s="421">
        <f t="shared" si="32"/>
        <v>30070</v>
      </c>
      <c r="BR27" s="421">
        <f>M27+AQ27</f>
        <v>0</v>
      </c>
      <c r="BS27" s="421">
        <f t="shared" si="33"/>
        <v>0</v>
      </c>
      <c r="BT27" s="421">
        <f t="shared" si="33"/>
        <v>0</v>
      </c>
      <c r="BU27" s="421">
        <f t="shared" si="34"/>
        <v>10164</v>
      </c>
      <c r="BV27" s="421">
        <f t="shared" si="34"/>
        <v>301</v>
      </c>
      <c r="BW27" s="421">
        <f>R27+AY27</f>
        <v>1476</v>
      </c>
      <c r="BX27" s="422">
        <f>S27+BM27</f>
        <v>0.11</v>
      </c>
      <c r="BY27" s="422">
        <f t="shared" si="35"/>
        <v>0</v>
      </c>
      <c r="BZ27" s="611">
        <f t="shared" si="35"/>
        <v>0.11</v>
      </c>
      <c r="CA27" s="423"/>
      <c r="CB27" s="418"/>
      <c r="CC27" s="418"/>
      <c r="CD27" s="418"/>
      <c r="CE27" s="418"/>
      <c r="CF27" s="527"/>
    </row>
    <row r="28" spans="1:84" x14ac:dyDescent="0.2">
      <c r="A28" s="155">
        <v>4</v>
      </c>
      <c r="B28" s="18">
        <v>3438</v>
      </c>
      <c r="C28" s="18">
        <v>600078493</v>
      </c>
      <c r="D28" s="18">
        <v>43257089</v>
      </c>
      <c r="E28" s="164" t="s">
        <v>92</v>
      </c>
      <c r="F28" s="18"/>
      <c r="G28" s="154"/>
      <c r="H28" s="685"/>
      <c r="I28" s="454">
        <f t="shared" ref="I28:BU28" si="37">SUM(I24:I27)</f>
        <v>31626730</v>
      </c>
      <c r="J28" s="451">
        <f t="shared" si="37"/>
        <v>23186922</v>
      </c>
      <c r="K28" s="451">
        <f t="shared" si="37"/>
        <v>21615658</v>
      </c>
      <c r="L28" s="451">
        <f t="shared" si="37"/>
        <v>1571264</v>
      </c>
      <c r="M28" s="451">
        <f t="shared" si="37"/>
        <v>0</v>
      </c>
      <c r="N28" s="451">
        <f t="shared" si="37"/>
        <v>0</v>
      </c>
      <c r="O28" s="451">
        <f t="shared" si="37"/>
        <v>0</v>
      </c>
      <c r="P28" s="451">
        <f t="shared" si="37"/>
        <v>7837180</v>
      </c>
      <c r="Q28" s="451">
        <f t="shared" si="37"/>
        <v>231870</v>
      </c>
      <c r="R28" s="451">
        <f t="shared" si="37"/>
        <v>370758</v>
      </c>
      <c r="S28" s="452">
        <f t="shared" si="37"/>
        <v>37.245799999999996</v>
      </c>
      <c r="T28" s="452">
        <f t="shared" si="37"/>
        <v>32.569800000000001</v>
      </c>
      <c r="U28" s="39">
        <f t="shared" si="37"/>
        <v>4.6760000000000002</v>
      </c>
      <c r="V28" s="458">
        <f t="shared" si="37"/>
        <v>-25600</v>
      </c>
      <c r="W28" s="451">
        <f t="shared" si="37"/>
        <v>-3200</v>
      </c>
      <c r="X28" s="451">
        <f t="shared" si="37"/>
        <v>3053913</v>
      </c>
      <c r="Y28" s="451">
        <f t="shared" si="37"/>
        <v>0</v>
      </c>
      <c r="Z28" s="451">
        <f t="shared" si="37"/>
        <v>0</v>
      </c>
      <c r="AA28" s="451">
        <f t="shared" si="37"/>
        <v>0</v>
      </c>
      <c r="AB28" s="451">
        <f t="shared" si="37"/>
        <v>451200</v>
      </c>
      <c r="AC28" s="451">
        <f t="shared" si="37"/>
        <v>0</v>
      </c>
      <c r="AD28" s="451">
        <f t="shared" si="37"/>
        <v>0</v>
      </c>
      <c r="AE28" s="451">
        <f t="shared" si="37"/>
        <v>0</v>
      </c>
      <c r="AF28" s="451">
        <f t="shared" si="37"/>
        <v>3479513</v>
      </c>
      <c r="AG28" s="451">
        <f t="shared" si="37"/>
        <v>-3200</v>
      </c>
      <c r="AH28" s="451">
        <f t="shared" si="37"/>
        <v>3476313</v>
      </c>
      <c r="AI28" s="451">
        <f t="shared" si="37"/>
        <v>25600</v>
      </c>
      <c r="AJ28" s="451">
        <f t="shared" si="37"/>
        <v>3200</v>
      </c>
      <c r="AK28" s="451">
        <f t="shared" ref="AK28" si="38">SUM(AK24:AK27)</f>
        <v>0</v>
      </c>
      <c r="AL28" s="451">
        <f t="shared" si="37"/>
        <v>0</v>
      </c>
      <c r="AM28" s="451">
        <f t="shared" si="37"/>
        <v>0</v>
      </c>
      <c r="AN28" s="451">
        <f t="shared" si="37"/>
        <v>0</v>
      </c>
      <c r="AO28" s="451">
        <f t="shared" si="37"/>
        <v>25600</v>
      </c>
      <c r="AP28" s="451">
        <f t="shared" si="37"/>
        <v>3200</v>
      </c>
      <c r="AQ28" s="451">
        <f t="shared" si="37"/>
        <v>28800</v>
      </c>
      <c r="AR28" s="451">
        <f t="shared" si="37"/>
        <v>3505113</v>
      </c>
      <c r="AS28" s="451">
        <f t="shared" si="37"/>
        <v>0</v>
      </c>
      <c r="AT28" s="451">
        <f t="shared" si="37"/>
        <v>3505113</v>
      </c>
      <c r="AU28" s="451">
        <f t="shared" si="37"/>
        <v>1184729</v>
      </c>
      <c r="AV28" s="451">
        <f t="shared" si="37"/>
        <v>34763</v>
      </c>
      <c r="AW28" s="451">
        <f t="shared" si="37"/>
        <v>0</v>
      </c>
      <c r="AX28" s="451">
        <f t="shared" si="37"/>
        <v>0</v>
      </c>
      <c r="AY28" s="451">
        <f t="shared" si="37"/>
        <v>0</v>
      </c>
      <c r="AZ28" s="451">
        <f t="shared" si="37"/>
        <v>4724605</v>
      </c>
      <c r="BA28" s="452">
        <f t="shared" si="37"/>
        <v>0</v>
      </c>
      <c r="BB28" s="452">
        <f t="shared" si="37"/>
        <v>0</v>
      </c>
      <c r="BC28" s="452">
        <f t="shared" si="37"/>
        <v>8.02</v>
      </c>
      <c r="BD28" s="452">
        <f t="shared" si="37"/>
        <v>0.8</v>
      </c>
      <c r="BE28" s="452">
        <f t="shared" si="37"/>
        <v>0</v>
      </c>
      <c r="BF28" s="452">
        <f t="shared" si="37"/>
        <v>0</v>
      </c>
      <c r="BG28" s="452">
        <f t="shared" si="37"/>
        <v>0</v>
      </c>
      <c r="BH28" s="452">
        <f t="shared" si="37"/>
        <v>0</v>
      </c>
      <c r="BI28" s="452">
        <f t="shared" si="37"/>
        <v>0</v>
      </c>
      <c r="BJ28" s="452">
        <f t="shared" si="37"/>
        <v>0</v>
      </c>
      <c r="BK28" s="452">
        <f t="shared" si="37"/>
        <v>8.82</v>
      </c>
      <c r="BL28" s="452">
        <f t="shared" si="37"/>
        <v>0</v>
      </c>
      <c r="BM28" s="456">
        <f t="shared" si="37"/>
        <v>8.82</v>
      </c>
      <c r="BN28" s="454">
        <f t="shared" si="37"/>
        <v>36351335</v>
      </c>
      <c r="BO28" s="451">
        <f t="shared" si="37"/>
        <v>26663235</v>
      </c>
      <c r="BP28" s="451">
        <f t="shared" si="37"/>
        <v>25095171</v>
      </c>
      <c r="BQ28" s="451">
        <f t="shared" si="37"/>
        <v>1568064</v>
      </c>
      <c r="BR28" s="451">
        <f t="shared" si="37"/>
        <v>28800</v>
      </c>
      <c r="BS28" s="451">
        <f t="shared" si="37"/>
        <v>25600</v>
      </c>
      <c r="BT28" s="451">
        <f t="shared" si="37"/>
        <v>3200</v>
      </c>
      <c r="BU28" s="451">
        <f t="shared" si="37"/>
        <v>9021909</v>
      </c>
      <c r="BV28" s="451">
        <f t="shared" ref="BV28:CF28" si="39">SUM(BV24:BV27)</f>
        <v>266633</v>
      </c>
      <c r="BW28" s="451">
        <f t="shared" si="39"/>
        <v>370758</v>
      </c>
      <c r="BX28" s="452">
        <f t="shared" si="39"/>
        <v>46.065799999999989</v>
      </c>
      <c r="BY28" s="452">
        <f t="shared" si="39"/>
        <v>41.389800000000001</v>
      </c>
      <c r="BZ28" s="456">
        <f t="shared" si="39"/>
        <v>4.6760000000000002</v>
      </c>
      <c r="CA28" s="854">
        <f t="shared" si="39"/>
        <v>608218</v>
      </c>
      <c r="CB28" s="852">
        <f t="shared" si="39"/>
        <v>451200</v>
      </c>
      <c r="CC28" s="852">
        <f t="shared" si="39"/>
        <v>0</v>
      </c>
      <c r="CD28" s="852">
        <f t="shared" si="39"/>
        <v>152506</v>
      </c>
      <c r="CE28" s="852">
        <f t="shared" si="39"/>
        <v>4512</v>
      </c>
      <c r="CF28" s="848">
        <f t="shared" si="39"/>
        <v>0.8</v>
      </c>
    </row>
    <row r="29" spans="1:84" s="3" customFormat="1" x14ac:dyDescent="0.2">
      <c r="A29" s="206">
        <v>5</v>
      </c>
      <c r="B29" s="207">
        <v>3459</v>
      </c>
      <c r="C29" s="207">
        <v>651040264</v>
      </c>
      <c r="D29" s="207">
        <v>75121531</v>
      </c>
      <c r="E29" s="205" t="s">
        <v>93</v>
      </c>
      <c r="F29" s="207">
        <v>3231</v>
      </c>
      <c r="G29" s="208" t="s">
        <v>296</v>
      </c>
      <c r="H29" s="686" t="s">
        <v>271</v>
      </c>
      <c r="I29" s="423">
        <f>J29+P29+Q29+R29</f>
        <v>17362186</v>
      </c>
      <c r="J29" s="418">
        <f>K29+L29</f>
        <v>12863190</v>
      </c>
      <c r="K29" s="418">
        <v>12395019</v>
      </c>
      <c r="L29" s="418">
        <v>468171</v>
      </c>
      <c r="M29" s="418">
        <f>N29+O29</f>
        <v>0</v>
      </c>
      <c r="N29" s="418"/>
      <c r="O29" s="418"/>
      <c r="P29" s="68">
        <f>ROUND(J29*33.8%,0)</f>
        <v>4347758</v>
      </c>
      <c r="Q29" s="68">
        <f>ROUND(J29*1%,0)</f>
        <v>128632</v>
      </c>
      <c r="R29" s="418">
        <v>22606</v>
      </c>
      <c r="S29" s="419">
        <f>T29+U29</f>
        <v>20.9024</v>
      </c>
      <c r="T29" s="420">
        <v>19.588699999999999</v>
      </c>
      <c r="U29" s="527">
        <v>1.3137000000000001</v>
      </c>
      <c r="V29" s="427">
        <f>AI29*-1</f>
        <v>-12800</v>
      </c>
      <c r="W29" s="421">
        <f>AJ29*-1</f>
        <v>-32000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>V29+X29+Y29+AA29+AB29+AD29</f>
        <v>-12800</v>
      </c>
      <c r="AG29" s="421">
        <f>W29+Z29+AC29+AE29</f>
        <v>-32000</v>
      </c>
      <c r="AH29" s="421">
        <f>SUM(AF29:AG29)</f>
        <v>-44800</v>
      </c>
      <c r="AI29" s="421">
        <v>12800</v>
      </c>
      <c r="AJ29" s="421">
        <v>32000</v>
      </c>
      <c r="AK29" s="421">
        <v>0</v>
      </c>
      <c r="AL29" s="421">
        <v>0</v>
      </c>
      <c r="AM29" s="421">
        <v>0</v>
      </c>
      <c r="AN29" s="421">
        <v>0</v>
      </c>
      <c r="AO29" s="421">
        <f>AI29+AK29+AL29+AM29</f>
        <v>12800</v>
      </c>
      <c r="AP29" s="421">
        <f>AJ29+AN29</f>
        <v>32000</v>
      </c>
      <c r="AQ29" s="421">
        <f>SUM(AO29:AP29)</f>
        <v>44800</v>
      </c>
      <c r="AR29" s="421">
        <f>AF29+AO29</f>
        <v>0</v>
      </c>
      <c r="AS29" s="421">
        <f>AG29+AP29</f>
        <v>0</v>
      </c>
      <c r="AT29" s="421">
        <f>SUM(AR29:AS29)</f>
        <v>0</v>
      </c>
      <c r="AU29" s="68">
        <f>ROUND((AH29+AI29+AJ29+AK29+AL29)*33.8%,0)</f>
        <v>0</v>
      </c>
      <c r="AV29" s="68">
        <f>ROUND(AH29*1%,0)</f>
        <v>-448</v>
      </c>
      <c r="AW29" s="421">
        <v>0</v>
      </c>
      <c r="AX29" s="421">
        <v>0</v>
      </c>
      <c r="AY29" s="421">
        <f>AW29+AX29</f>
        <v>0</v>
      </c>
      <c r="AZ29" s="421">
        <f>AT29+AU29+AV29+AY29</f>
        <v>-448</v>
      </c>
      <c r="BA29" s="422">
        <v>0</v>
      </c>
      <c r="BB29" s="422">
        <v>-0.11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>BA29+BC29+BD29+BF29+BH29+BI29</f>
        <v>0</v>
      </c>
      <c r="BL29" s="422">
        <f>BB29+BE29+BG29+BJ29</f>
        <v>-0.11</v>
      </c>
      <c r="BM29" s="611">
        <f>SUM(BK29:BL29)</f>
        <v>-0.11</v>
      </c>
      <c r="BN29" s="428">
        <f>I29+AZ29</f>
        <v>17361738</v>
      </c>
      <c r="BO29" s="421">
        <f>J29+AH29</f>
        <v>12818390</v>
      </c>
      <c r="BP29" s="421">
        <f>K29+AF29</f>
        <v>12382219</v>
      </c>
      <c r="BQ29" s="421">
        <f>L29+AG29</f>
        <v>436171</v>
      </c>
      <c r="BR29" s="421">
        <f>M29+AQ29</f>
        <v>44800</v>
      </c>
      <c r="BS29" s="421">
        <f>N29+AO29</f>
        <v>12800</v>
      </c>
      <c r="BT29" s="421">
        <f>O29+AP29</f>
        <v>32000</v>
      </c>
      <c r="BU29" s="421">
        <f>P29+AU29</f>
        <v>4347758</v>
      </c>
      <c r="BV29" s="421">
        <f>Q29+AV29</f>
        <v>128184</v>
      </c>
      <c r="BW29" s="421">
        <f>R29+AY29</f>
        <v>22606</v>
      </c>
      <c r="BX29" s="422">
        <f>S29+BM29</f>
        <v>20.792400000000001</v>
      </c>
      <c r="BY29" s="422">
        <f>T29+BK29</f>
        <v>19.588699999999999</v>
      </c>
      <c r="BZ29" s="611">
        <f>U29+BL29</f>
        <v>1.2037</v>
      </c>
      <c r="CA29" s="423"/>
      <c r="CB29" s="418"/>
      <c r="CC29" s="418"/>
      <c r="CD29" s="418"/>
      <c r="CE29" s="418"/>
      <c r="CF29" s="527"/>
    </row>
    <row r="30" spans="1:84" s="3" customFormat="1" x14ac:dyDescent="0.2">
      <c r="A30" s="155">
        <v>5</v>
      </c>
      <c r="B30" s="18">
        <v>3459</v>
      </c>
      <c r="C30" s="18">
        <v>651040264</v>
      </c>
      <c r="D30" s="18">
        <v>75121531</v>
      </c>
      <c r="E30" s="164" t="s">
        <v>94</v>
      </c>
      <c r="F30" s="18"/>
      <c r="G30" s="154"/>
      <c r="H30" s="685"/>
      <c r="I30" s="453">
        <f t="shared" ref="I30:BU30" si="40">SUM(I29)</f>
        <v>17362186</v>
      </c>
      <c r="J30" s="449">
        <f t="shared" si="40"/>
        <v>12863190</v>
      </c>
      <c r="K30" s="449">
        <f t="shared" si="40"/>
        <v>12395019</v>
      </c>
      <c r="L30" s="449">
        <f t="shared" si="40"/>
        <v>468171</v>
      </c>
      <c r="M30" s="449">
        <f t="shared" si="40"/>
        <v>0</v>
      </c>
      <c r="N30" s="449">
        <f t="shared" si="40"/>
        <v>0</v>
      </c>
      <c r="O30" s="449">
        <f t="shared" si="40"/>
        <v>0</v>
      </c>
      <c r="P30" s="449">
        <f t="shared" si="40"/>
        <v>4347758</v>
      </c>
      <c r="Q30" s="449">
        <f t="shared" si="40"/>
        <v>128632</v>
      </c>
      <c r="R30" s="449">
        <f t="shared" si="40"/>
        <v>22606</v>
      </c>
      <c r="S30" s="450">
        <f t="shared" si="40"/>
        <v>20.9024</v>
      </c>
      <c r="T30" s="450">
        <f t="shared" si="40"/>
        <v>19.588699999999999</v>
      </c>
      <c r="U30" s="40">
        <f t="shared" si="40"/>
        <v>1.3137000000000001</v>
      </c>
      <c r="V30" s="457">
        <f t="shared" si="40"/>
        <v>-12800</v>
      </c>
      <c r="W30" s="449">
        <f t="shared" si="40"/>
        <v>-32000</v>
      </c>
      <c r="X30" s="449">
        <f t="shared" si="40"/>
        <v>0</v>
      </c>
      <c r="Y30" s="449">
        <f t="shared" si="40"/>
        <v>0</v>
      </c>
      <c r="Z30" s="449">
        <f t="shared" si="40"/>
        <v>0</v>
      </c>
      <c r="AA30" s="449">
        <f t="shared" si="40"/>
        <v>0</v>
      </c>
      <c r="AB30" s="449">
        <f t="shared" si="40"/>
        <v>0</v>
      </c>
      <c r="AC30" s="449">
        <f t="shared" si="40"/>
        <v>0</v>
      </c>
      <c r="AD30" s="449">
        <f t="shared" si="40"/>
        <v>0</v>
      </c>
      <c r="AE30" s="449">
        <f t="shared" si="40"/>
        <v>0</v>
      </c>
      <c r="AF30" s="449">
        <f t="shared" si="40"/>
        <v>-12800</v>
      </c>
      <c r="AG30" s="449">
        <f t="shared" si="40"/>
        <v>-32000</v>
      </c>
      <c r="AH30" s="449">
        <f t="shared" si="40"/>
        <v>-44800</v>
      </c>
      <c r="AI30" s="449">
        <f t="shared" si="40"/>
        <v>12800</v>
      </c>
      <c r="AJ30" s="449">
        <f t="shared" si="40"/>
        <v>32000</v>
      </c>
      <c r="AK30" s="449">
        <f t="shared" ref="AK30" si="41">SUM(AK29)</f>
        <v>0</v>
      </c>
      <c r="AL30" s="449">
        <f t="shared" si="40"/>
        <v>0</v>
      </c>
      <c r="AM30" s="449">
        <f t="shared" si="40"/>
        <v>0</v>
      </c>
      <c r="AN30" s="449">
        <f t="shared" si="40"/>
        <v>0</v>
      </c>
      <c r="AO30" s="449">
        <f t="shared" si="40"/>
        <v>12800</v>
      </c>
      <c r="AP30" s="449">
        <f t="shared" si="40"/>
        <v>32000</v>
      </c>
      <c r="AQ30" s="449">
        <f t="shared" si="40"/>
        <v>44800</v>
      </c>
      <c r="AR30" s="449">
        <f t="shared" si="40"/>
        <v>0</v>
      </c>
      <c r="AS30" s="449">
        <f t="shared" si="40"/>
        <v>0</v>
      </c>
      <c r="AT30" s="449">
        <f t="shared" si="40"/>
        <v>0</v>
      </c>
      <c r="AU30" s="449">
        <f t="shared" si="40"/>
        <v>0</v>
      </c>
      <c r="AV30" s="449">
        <f t="shared" si="40"/>
        <v>-448</v>
      </c>
      <c r="AW30" s="449">
        <f t="shared" si="40"/>
        <v>0</v>
      </c>
      <c r="AX30" s="449">
        <f t="shared" si="40"/>
        <v>0</v>
      </c>
      <c r="AY30" s="449">
        <f t="shared" si="40"/>
        <v>0</v>
      </c>
      <c r="AZ30" s="449">
        <f t="shared" si="40"/>
        <v>-448</v>
      </c>
      <c r="BA30" s="450">
        <f t="shared" si="40"/>
        <v>0</v>
      </c>
      <c r="BB30" s="450">
        <f t="shared" si="40"/>
        <v>-0.11</v>
      </c>
      <c r="BC30" s="450">
        <f t="shared" si="40"/>
        <v>0</v>
      </c>
      <c r="BD30" s="450">
        <f t="shared" si="40"/>
        <v>0</v>
      </c>
      <c r="BE30" s="450">
        <f t="shared" si="40"/>
        <v>0</v>
      </c>
      <c r="BF30" s="450">
        <f t="shared" si="40"/>
        <v>0</v>
      </c>
      <c r="BG30" s="450">
        <f t="shared" si="40"/>
        <v>0</v>
      </c>
      <c r="BH30" s="450">
        <f t="shared" si="40"/>
        <v>0</v>
      </c>
      <c r="BI30" s="450">
        <f t="shared" si="40"/>
        <v>0</v>
      </c>
      <c r="BJ30" s="450">
        <f t="shared" si="40"/>
        <v>0</v>
      </c>
      <c r="BK30" s="450">
        <f t="shared" si="40"/>
        <v>0</v>
      </c>
      <c r="BL30" s="450">
        <f t="shared" si="40"/>
        <v>-0.11</v>
      </c>
      <c r="BM30" s="455">
        <f t="shared" si="40"/>
        <v>-0.11</v>
      </c>
      <c r="BN30" s="453">
        <f t="shared" si="40"/>
        <v>17361738</v>
      </c>
      <c r="BO30" s="449">
        <f t="shared" si="40"/>
        <v>12818390</v>
      </c>
      <c r="BP30" s="449">
        <f t="shared" si="40"/>
        <v>12382219</v>
      </c>
      <c r="BQ30" s="449">
        <f t="shared" si="40"/>
        <v>436171</v>
      </c>
      <c r="BR30" s="449">
        <f t="shared" si="40"/>
        <v>44800</v>
      </c>
      <c r="BS30" s="449">
        <f t="shared" si="40"/>
        <v>12800</v>
      </c>
      <c r="BT30" s="449">
        <f t="shared" si="40"/>
        <v>32000</v>
      </c>
      <c r="BU30" s="449">
        <f t="shared" si="40"/>
        <v>4347758</v>
      </c>
      <c r="BV30" s="449">
        <f t="shared" ref="BV30:CF30" si="42">SUM(BV29)</f>
        <v>128184</v>
      </c>
      <c r="BW30" s="449">
        <f t="shared" si="42"/>
        <v>22606</v>
      </c>
      <c r="BX30" s="450">
        <f t="shared" si="42"/>
        <v>20.792400000000001</v>
      </c>
      <c r="BY30" s="450">
        <f t="shared" si="42"/>
        <v>19.588699999999999</v>
      </c>
      <c r="BZ30" s="455">
        <f t="shared" si="42"/>
        <v>1.2037</v>
      </c>
      <c r="CA30" s="853">
        <f t="shared" si="42"/>
        <v>0</v>
      </c>
      <c r="CB30" s="851">
        <f t="shared" si="42"/>
        <v>0</v>
      </c>
      <c r="CC30" s="851">
        <f t="shared" si="42"/>
        <v>0</v>
      </c>
      <c r="CD30" s="851">
        <f t="shared" si="42"/>
        <v>0</v>
      </c>
      <c r="CE30" s="851">
        <f t="shared" si="42"/>
        <v>0</v>
      </c>
      <c r="CF30" s="849">
        <f t="shared" si="42"/>
        <v>0</v>
      </c>
    </row>
    <row r="31" spans="1:84" s="3" customFormat="1" x14ac:dyDescent="0.2">
      <c r="A31" s="206">
        <v>6</v>
      </c>
      <c r="B31" s="207">
        <v>3401</v>
      </c>
      <c r="C31" s="207">
        <v>650023404</v>
      </c>
      <c r="D31" s="207">
        <v>70981477</v>
      </c>
      <c r="E31" s="205" t="s">
        <v>95</v>
      </c>
      <c r="F31" s="207">
        <v>3111</v>
      </c>
      <c r="G31" s="208" t="s">
        <v>291</v>
      </c>
      <c r="H31" s="684" t="s">
        <v>271</v>
      </c>
      <c r="I31" s="423">
        <f t="shared" ref="I31:I36" si="43">J31+P31+Q31+R31</f>
        <v>1686778</v>
      </c>
      <c r="J31" s="418">
        <f>K31+L31</f>
        <v>1246961</v>
      </c>
      <c r="K31" s="418">
        <v>1180393</v>
      </c>
      <c r="L31" s="418">
        <v>66568</v>
      </c>
      <c r="M31" s="418">
        <f t="shared" ref="M31:M36" si="44">N31+O31</f>
        <v>0</v>
      </c>
      <c r="N31" s="418"/>
      <c r="O31" s="418"/>
      <c r="P31" s="68">
        <f t="shared" ref="P31:P36" si="45">ROUND(J31*33.8%,0)</f>
        <v>421473</v>
      </c>
      <c r="Q31" s="68">
        <f t="shared" ref="Q31:Q36" si="46">ROUND(J31*1%,0)</f>
        <v>12470</v>
      </c>
      <c r="R31" s="418">
        <v>5874</v>
      </c>
      <c r="S31" s="419">
        <f t="shared" ref="S31:S36" si="47">T31+U31</f>
        <v>2.2667000000000002</v>
      </c>
      <c r="T31" s="420">
        <v>2</v>
      </c>
      <c r="U31" s="527">
        <v>0.26669999999999999</v>
      </c>
      <c r="V31" s="427">
        <f t="shared" ref="V31:W36" si="48">AI31*-1</f>
        <v>-6400</v>
      </c>
      <c r="W31" s="421">
        <f t="shared" si="48"/>
        <v>-6400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f t="shared" ref="AF31:AF36" si="49">V31+X31+Y31+AA31+AB31+AD31</f>
        <v>-6400</v>
      </c>
      <c r="AG31" s="421">
        <f t="shared" ref="AG31:AG36" si="50">W31+Z31+AC31+AE31</f>
        <v>-6400</v>
      </c>
      <c r="AH31" s="421">
        <f t="shared" ref="AH31:AH36" si="51">SUM(AF31:AG31)</f>
        <v>-12800</v>
      </c>
      <c r="AI31" s="421">
        <v>6400</v>
      </c>
      <c r="AJ31" s="421">
        <v>6400</v>
      </c>
      <c r="AK31" s="421">
        <v>0</v>
      </c>
      <c r="AL31" s="421">
        <v>0</v>
      </c>
      <c r="AM31" s="421">
        <v>0</v>
      </c>
      <c r="AN31" s="421">
        <v>0</v>
      </c>
      <c r="AO31" s="421">
        <f t="shared" ref="AO31:AO36" si="52">AI31+AK31+AL31+AM31</f>
        <v>6400</v>
      </c>
      <c r="AP31" s="421">
        <f t="shared" ref="AP31:AP36" si="53">AJ31+AN31</f>
        <v>6400</v>
      </c>
      <c r="AQ31" s="421">
        <f t="shared" ref="AQ31:AQ36" si="54">SUM(AO31:AP31)</f>
        <v>12800</v>
      </c>
      <c r="AR31" s="421">
        <f t="shared" ref="AR31:AS36" si="55">AF31+AO31</f>
        <v>0</v>
      </c>
      <c r="AS31" s="421">
        <f t="shared" si="55"/>
        <v>0</v>
      </c>
      <c r="AT31" s="421">
        <f t="shared" ref="AT31:AT36" si="56">SUM(AR31:AS31)</f>
        <v>0</v>
      </c>
      <c r="AU31" s="68">
        <f t="shared" ref="AU31:AU36" si="57">ROUND((AH31+AI31+AJ31+AK31+AL31)*33.8%,0)</f>
        <v>0</v>
      </c>
      <c r="AV31" s="68">
        <f t="shared" ref="AV31:AV36" si="58">ROUND(AH31*1%,0)</f>
        <v>-128</v>
      </c>
      <c r="AW31" s="421">
        <v>0</v>
      </c>
      <c r="AX31" s="421">
        <v>0</v>
      </c>
      <c r="AY31" s="421">
        <f t="shared" ref="AY31:AY36" si="59">AW31+AX31</f>
        <v>0</v>
      </c>
      <c r="AZ31" s="421">
        <f t="shared" ref="AZ31:AZ36" si="60">AT31+AU31+AV31+AY31</f>
        <v>-128</v>
      </c>
      <c r="BA31" s="422">
        <v>0</v>
      </c>
      <c r="BB31" s="422">
        <v>0</v>
      </c>
      <c r="BC31" s="422">
        <v>0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 t="shared" ref="BK31:BK36" si="61">BA31+BC31+BD31+BF31+BH31+BI31</f>
        <v>0</v>
      </c>
      <c r="BL31" s="422">
        <f t="shared" ref="BL31:BL36" si="62">BB31+BE31+BG31+BJ31</f>
        <v>0</v>
      </c>
      <c r="BM31" s="611">
        <f t="shared" ref="BM31:BM36" si="63">SUM(BK31:BL31)</f>
        <v>0</v>
      </c>
      <c r="BN31" s="428">
        <f t="shared" ref="BN31:BN36" si="64">I31+AZ31</f>
        <v>1686650</v>
      </c>
      <c r="BO31" s="421">
        <f t="shared" ref="BO31:BO36" si="65">J31+AH31</f>
        <v>1234161</v>
      </c>
      <c r="BP31" s="421">
        <f t="shared" ref="BP31:BQ36" si="66">K31+AF31</f>
        <v>1173993</v>
      </c>
      <c r="BQ31" s="421">
        <f t="shared" si="66"/>
        <v>60168</v>
      </c>
      <c r="BR31" s="421">
        <f t="shared" ref="BR31:BR36" si="67">M31+AQ31</f>
        <v>12800</v>
      </c>
      <c r="BS31" s="421">
        <f t="shared" ref="BS31:BT36" si="68">N31+AO31</f>
        <v>6400</v>
      </c>
      <c r="BT31" s="421">
        <f t="shared" si="68"/>
        <v>6400</v>
      </c>
      <c r="BU31" s="421">
        <f t="shared" ref="BU31:BV36" si="69">P31+AU31</f>
        <v>421473</v>
      </c>
      <c r="BV31" s="421">
        <f t="shared" si="69"/>
        <v>12342</v>
      </c>
      <c r="BW31" s="421">
        <f t="shared" ref="BW31:BW36" si="70">R31+AY31</f>
        <v>5874</v>
      </c>
      <c r="BX31" s="422">
        <f t="shared" ref="BX31:BX36" si="71">S31+BM31</f>
        <v>2.2667000000000002</v>
      </c>
      <c r="BY31" s="422">
        <f t="shared" ref="BY31:BZ36" si="72">T31+BK31</f>
        <v>2</v>
      </c>
      <c r="BZ31" s="611">
        <f t="shared" si="72"/>
        <v>0.26669999999999999</v>
      </c>
      <c r="CA31" s="423"/>
      <c r="CB31" s="418"/>
      <c r="CC31" s="418"/>
      <c r="CD31" s="418"/>
      <c r="CE31" s="418"/>
      <c r="CF31" s="527"/>
    </row>
    <row r="32" spans="1:84" x14ac:dyDescent="0.2">
      <c r="A32" s="206">
        <v>6</v>
      </c>
      <c r="B32" s="207">
        <v>3401</v>
      </c>
      <c r="C32" s="207">
        <v>650023404</v>
      </c>
      <c r="D32" s="207">
        <v>70981477</v>
      </c>
      <c r="E32" s="205" t="s">
        <v>95</v>
      </c>
      <c r="F32" s="207">
        <v>3117</v>
      </c>
      <c r="G32" s="208" t="s">
        <v>294</v>
      </c>
      <c r="H32" s="684" t="s">
        <v>271</v>
      </c>
      <c r="I32" s="423">
        <f t="shared" si="43"/>
        <v>3322492</v>
      </c>
      <c r="J32" s="418">
        <f t="shared" ref="J32:J36" si="73">K32+L32</f>
        <v>2432256</v>
      </c>
      <c r="K32" s="418">
        <v>2079414</v>
      </c>
      <c r="L32" s="418">
        <v>352842</v>
      </c>
      <c r="M32" s="418">
        <f t="shared" si="44"/>
        <v>0</v>
      </c>
      <c r="N32" s="418"/>
      <c r="O32" s="418"/>
      <c r="P32" s="68">
        <f>ROUND(J32*33.8%,0)-1</f>
        <v>822102</v>
      </c>
      <c r="Q32" s="68">
        <f>ROUND(J32*1%,0)-1</f>
        <v>24322</v>
      </c>
      <c r="R32" s="418">
        <v>43812</v>
      </c>
      <c r="S32" s="419">
        <f t="shared" si="47"/>
        <v>4.4855</v>
      </c>
      <c r="T32" s="420">
        <v>3.4998999999999998</v>
      </c>
      <c r="U32" s="527">
        <v>0.98559999999999992</v>
      </c>
      <c r="V32" s="427">
        <f t="shared" si="48"/>
        <v>-6400</v>
      </c>
      <c r="W32" s="421">
        <f t="shared" si="48"/>
        <v>-6400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 t="shared" si="49"/>
        <v>-6400</v>
      </c>
      <c r="AG32" s="421">
        <f t="shared" si="50"/>
        <v>-6400</v>
      </c>
      <c r="AH32" s="421">
        <f t="shared" si="51"/>
        <v>-12800</v>
      </c>
      <c r="AI32" s="421">
        <v>6400</v>
      </c>
      <c r="AJ32" s="421">
        <v>6400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52"/>
        <v>6400</v>
      </c>
      <c r="AP32" s="421">
        <f t="shared" si="53"/>
        <v>6400</v>
      </c>
      <c r="AQ32" s="421">
        <f t="shared" si="54"/>
        <v>12800</v>
      </c>
      <c r="AR32" s="421">
        <f t="shared" si="55"/>
        <v>0</v>
      </c>
      <c r="AS32" s="421">
        <f t="shared" si="55"/>
        <v>0</v>
      </c>
      <c r="AT32" s="421">
        <f t="shared" si="56"/>
        <v>0</v>
      </c>
      <c r="AU32" s="68">
        <f t="shared" si="57"/>
        <v>0</v>
      </c>
      <c r="AV32" s="68">
        <f t="shared" si="58"/>
        <v>-128</v>
      </c>
      <c r="AW32" s="421">
        <v>0</v>
      </c>
      <c r="AX32" s="421">
        <v>0</v>
      </c>
      <c r="AY32" s="421">
        <f t="shared" si="59"/>
        <v>0</v>
      </c>
      <c r="AZ32" s="421">
        <f t="shared" si="60"/>
        <v>-128</v>
      </c>
      <c r="BA32" s="422">
        <v>-0.01</v>
      </c>
      <c r="BB32" s="422">
        <v>-0.02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 t="shared" si="61"/>
        <v>-0.01</v>
      </c>
      <c r="BL32" s="422">
        <f t="shared" si="62"/>
        <v>-0.02</v>
      </c>
      <c r="BM32" s="611">
        <f t="shared" si="63"/>
        <v>-0.03</v>
      </c>
      <c r="BN32" s="428">
        <f t="shared" si="64"/>
        <v>3322364</v>
      </c>
      <c r="BO32" s="421">
        <f t="shared" si="65"/>
        <v>2419456</v>
      </c>
      <c r="BP32" s="421">
        <f t="shared" si="66"/>
        <v>2073014</v>
      </c>
      <c r="BQ32" s="421">
        <f t="shared" si="66"/>
        <v>346442</v>
      </c>
      <c r="BR32" s="421">
        <f t="shared" si="67"/>
        <v>12800</v>
      </c>
      <c r="BS32" s="421">
        <f t="shared" si="68"/>
        <v>6400</v>
      </c>
      <c r="BT32" s="421">
        <f t="shared" si="68"/>
        <v>6400</v>
      </c>
      <c r="BU32" s="421">
        <f t="shared" si="69"/>
        <v>822102</v>
      </c>
      <c r="BV32" s="421">
        <f t="shared" si="69"/>
        <v>24194</v>
      </c>
      <c r="BW32" s="421">
        <f t="shared" si="70"/>
        <v>43812</v>
      </c>
      <c r="BX32" s="422">
        <f t="shared" si="71"/>
        <v>4.4554999999999998</v>
      </c>
      <c r="BY32" s="422">
        <f t="shared" si="72"/>
        <v>3.4899</v>
      </c>
      <c r="BZ32" s="611">
        <f t="shared" si="72"/>
        <v>0.9655999999999999</v>
      </c>
      <c r="CA32" s="423"/>
      <c r="CB32" s="418"/>
      <c r="CC32" s="418"/>
      <c r="CD32" s="418"/>
      <c r="CE32" s="418"/>
      <c r="CF32" s="527"/>
    </row>
    <row r="33" spans="1:84" x14ac:dyDescent="0.2">
      <c r="A33" s="206">
        <v>6</v>
      </c>
      <c r="B33" s="207">
        <v>3401</v>
      </c>
      <c r="C33" s="207">
        <v>650023404</v>
      </c>
      <c r="D33" s="207">
        <v>70981477</v>
      </c>
      <c r="E33" s="205" t="s">
        <v>95</v>
      </c>
      <c r="F33" s="207">
        <v>3117</v>
      </c>
      <c r="G33" s="208" t="s">
        <v>299</v>
      </c>
      <c r="H33" s="684" t="s">
        <v>272</v>
      </c>
      <c r="I33" s="423">
        <f t="shared" si="43"/>
        <v>0</v>
      </c>
      <c r="J33" s="418">
        <f t="shared" si="73"/>
        <v>0</v>
      </c>
      <c r="K33" s="418">
        <v>0</v>
      </c>
      <c r="L33" s="418">
        <v>0</v>
      </c>
      <c r="M33" s="418">
        <f t="shared" si="44"/>
        <v>0</v>
      </c>
      <c r="N33" s="418"/>
      <c r="O33" s="418"/>
      <c r="P33" s="68">
        <f t="shared" si="45"/>
        <v>0</v>
      </c>
      <c r="Q33" s="68">
        <f t="shared" si="46"/>
        <v>0</v>
      </c>
      <c r="R33" s="418">
        <v>0</v>
      </c>
      <c r="S33" s="419">
        <f t="shared" si="47"/>
        <v>0</v>
      </c>
      <c r="T33" s="420">
        <v>0</v>
      </c>
      <c r="U33" s="527">
        <v>0</v>
      </c>
      <c r="V33" s="427">
        <f t="shared" si="48"/>
        <v>0</v>
      </c>
      <c r="W33" s="421">
        <f t="shared" si="48"/>
        <v>0</v>
      </c>
      <c r="X33" s="421">
        <v>327615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 t="shared" si="49"/>
        <v>327615</v>
      </c>
      <c r="AG33" s="421">
        <f t="shared" si="50"/>
        <v>0</v>
      </c>
      <c r="AH33" s="421">
        <f t="shared" si="51"/>
        <v>327615</v>
      </c>
      <c r="AI33" s="421">
        <v>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52"/>
        <v>0</v>
      </c>
      <c r="AP33" s="421">
        <f t="shared" si="53"/>
        <v>0</v>
      </c>
      <c r="AQ33" s="421">
        <f t="shared" si="54"/>
        <v>0</v>
      </c>
      <c r="AR33" s="421">
        <f t="shared" si="55"/>
        <v>327615</v>
      </c>
      <c r="AS33" s="421">
        <f t="shared" si="55"/>
        <v>0</v>
      </c>
      <c r="AT33" s="421">
        <f t="shared" si="56"/>
        <v>327615</v>
      </c>
      <c r="AU33" s="68">
        <f t="shared" si="57"/>
        <v>110734</v>
      </c>
      <c r="AV33" s="68">
        <f t="shared" si="58"/>
        <v>3276</v>
      </c>
      <c r="AW33" s="421">
        <v>0</v>
      </c>
      <c r="AX33" s="421">
        <v>0</v>
      </c>
      <c r="AY33" s="421">
        <f t="shared" si="59"/>
        <v>0</v>
      </c>
      <c r="AZ33" s="421">
        <f t="shared" si="60"/>
        <v>441625</v>
      </c>
      <c r="BA33" s="422">
        <v>0</v>
      </c>
      <c r="BB33" s="422">
        <v>0</v>
      </c>
      <c r="BC33" s="422">
        <v>0.85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 t="shared" si="61"/>
        <v>0.85</v>
      </c>
      <c r="BL33" s="422">
        <f t="shared" si="62"/>
        <v>0</v>
      </c>
      <c r="BM33" s="611">
        <f t="shared" si="63"/>
        <v>0.85</v>
      </c>
      <c r="BN33" s="428">
        <f t="shared" si="64"/>
        <v>441625</v>
      </c>
      <c r="BO33" s="421">
        <f t="shared" si="65"/>
        <v>327615</v>
      </c>
      <c r="BP33" s="421">
        <f t="shared" si="66"/>
        <v>327615</v>
      </c>
      <c r="BQ33" s="421">
        <f t="shared" si="66"/>
        <v>0</v>
      </c>
      <c r="BR33" s="421">
        <f t="shared" si="67"/>
        <v>0</v>
      </c>
      <c r="BS33" s="421">
        <f t="shared" si="68"/>
        <v>0</v>
      </c>
      <c r="BT33" s="421">
        <f t="shared" si="68"/>
        <v>0</v>
      </c>
      <c r="BU33" s="421">
        <f t="shared" si="69"/>
        <v>110734</v>
      </c>
      <c r="BV33" s="421">
        <f t="shared" si="69"/>
        <v>3276</v>
      </c>
      <c r="BW33" s="421">
        <f t="shared" si="70"/>
        <v>0</v>
      </c>
      <c r="BX33" s="422">
        <f t="shared" si="71"/>
        <v>0.85</v>
      </c>
      <c r="BY33" s="422">
        <f t="shared" si="72"/>
        <v>0.85</v>
      </c>
      <c r="BZ33" s="611">
        <f t="shared" si="72"/>
        <v>0</v>
      </c>
      <c r="CA33" s="423"/>
      <c r="CB33" s="418"/>
      <c r="CC33" s="418"/>
      <c r="CD33" s="418"/>
      <c r="CE33" s="418"/>
      <c r="CF33" s="527"/>
    </row>
    <row r="34" spans="1:84" x14ac:dyDescent="0.2">
      <c r="A34" s="206">
        <v>6</v>
      </c>
      <c r="B34" s="207">
        <v>3401</v>
      </c>
      <c r="C34" s="207">
        <v>650023404</v>
      </c>
      <c r="D34" s="207">
        <v>70981477</v>
      </c>
      <c r="E34" s="205" t="s">
        <v>95</v>
      </c>
      <c r="F34" s="207">
        <v>3141</v>
      </c>
      <c r="G34" s="208" t="s">
        <v>295</v>
      </c>
      <c r="H34" s="684" t="s">
        <v>272</v>
      </c>
      <c r="I34" s="423">
        <f t="shared" si="43"/>
        <v>526463</v>
      </c>
      <c r="J34" s="418">
        <f t="shared" si="73"/>
        <v>389071</v>
      </c>
      <c r="K34" s="418">
        <v>0</v>
      </c>
      <c r="L34" s="418">
        <v>389071</v>
      </c>
      <c r="M34" s="418">
        <f t="shared" si="44"/>
        <v>0</v>
      </c>
      <c r="N34" s="418"/>
      <c r="O34" s="418"/>
      <c r="P34" s="68">
        <f t="shared" si="45"/>
        <v>131506</v>
      </c>
      <c r="Q34" s="68">
        <f t="shared" si="46"/>
        <v>3891</v>
      </c>
      <c r="R34" s="418">
        <v>1995</v>
      </c>
      <c r="S34" s="419">
        <f t="shared" si="47"/>
        <v>1.17</v>
      </c>
      <c r="T34" s="420">
        <v>0</v>
      </c>
      <c r="U34" s="527">
        <v>1.17</v>
      </c>
      <c r="V34" s="427">
        <f t="shared" si="48"/>
        <v>0</v>
      </c>
      <c r="W34" s="421">
        <f t="shared" si="48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 t="shared" si="49"/>
        <v>0</v>
      </c>
      <c r="AG34" s="421">
        <f t="shared" si="50"/>
        <v>0</v>
      </c>
      <c r="AH34" s="421">
        <f t="shared" si="51"/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52"/>
        <v>0</v>
      </c>
      <c r="AP34" s="421">
        <f t="shared" si="53"/>
        <v>0</v>
      </c>
      <c r="AQ34" s="421">
        <f t="shared" si="54"/>
        <v>0</v>
      </c>
      <c r="AR34" s="421">
        <f t="shared" si="55"/>
        <v>0</v>
      </c>
      <c r="AS34" s="421">
        <f t="shared" si="55"/>
        <v>0</v>
      </c>
      <c r="AT34" s="421">
        <f t="shared" si="56"/>
        <v>0</v>
      </c>
      <c r="AU34" s="68">
        <f t="shared" si="57"/>
        <v>0</v>
      </c>
      <c r="AV34" s="68">
        <f t="shared" si="58"/>
        <v>0</v>
      </c>
      <c r="AW34" s="421">
        <v>0</v>
      </c>
      <c r="AX34" s="421">
        <v>0</v>
      </c>
      <c r="AY34" s="421">
        <f t="shared" si="59"/>
        <v>0</v>
      </c>
      <c r="AZ34" s="421">
        <f t="shared" si="60"/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 t="shared" si="61"/>
        <v>0</v>
      </c>
      <c r="BL34" s="422">
        <f t="shared" si="62"/>
        <v>0</v>
      </c>
      <c r="BM34" s="611">
        <f t="shared" si="63"/>
        <v>0</v>
      </c>
      <c r="BN34" s="428">
        <f t="shared" si="64"/>
        <v>526463</v>
      </c>
      <c r="BO34" s="421">
        <f t="shared" si="65"/>
        <v>389071</v>
      </c>
      <c r="BP34" s="421">
        <f t="shared" si="66"/>
        <v>0</v>
      </c>
      <c r="BQ34" s="421">
        <f t="shared" si="66"/>
        <v>389071</v>
      </c>
      <c r="BR34" s="421">
        <f t="shared" si="67"/>
        <v>0</v>
      </c>
      <c r="BS34" s="421">
        <f t="shared" si="68"/>
        <v>0</v>
      </c>
      <c r="BT34" s="421">
        <f t="shared" si="68"/>
        <v>0</v>
      </c>
      <c r="BU34" s="421">
        <f t="shared" si="69"/>
        <v>131506</v>
      </c>
      <c r="BV34" s="421">
        <f t="shared" si="69"/>
        <v>3891</v>
      </c>
      <c r="BW34" s="421">
        <f t="shared" si="70"/>
        <v>1995</v>
      </c>
      <c r="BX34" s="422">
        <f t="shared" si="71"/>
        <v>1.17</v>
      </c>
      <c r="BY34" s="422">
        <f t="shared" si="72"/>
        <v>0</v>
      </c>
      <c r="BZ34" s="611">
        <f t="shared" si="72"/>
        <v>1.17</v>
      </c>
      <c r="CA34" s="423"/>
      <c r="CB34" s="418"/>
      <c r="CC34" s="418"/>
      <c r="CD34" s="418"/>
      <c r="CE34" s="418"/>
      <c r="CF34" s="527"/>
    </row>
    <row r="35" spans="1:84" x14ac:dyDescent="0.2">
      <c r="A35" s="206">
        <v>6</v>
      </c>
      <c r="B35" s="207">
        <v>3401</v>
      </c>
      <c r="C35" s="207">
        <v>650023404</v>
      </c>
      <c r="D35" s="207">
        <v>70981477</v>
      </c>
      <c r="E35" s="205" t="s">
        <v>95</v>
      </c>
      <c r="F35" s="207">
        <v>3143</v>
      </c>
      <c r="G35" s="208" t="s">
        <v>596</v>
      </c>
      <c r="H35" s="686" t="s">
        <v>271</v>
      </c>
      <c r="I35" s="423">
        <f t="shared" si="43"/>
        <v>741171</v>
      </c>
      <c r="J35" s="418">
        <f t="shared" si="73"/>
        <v>549830</v>
      </c>
      <c r="K35" s="418">
        <v>549830</v>
      </c>
      <c r="L35" s="418">
        <v>0</v>
      </c>
      <c r="M35" s="418">
        <f t="shared" si="44"/>
        <v>0</v>
      </c>
      <c r="N35" s="418"/>
      <c r="O35" s="418"/>
      <c r="P35" s="68">
        <f t="shared" si="45"/>
        <v>185843</v>
      </c>
      <c r="Q35" s="68">
        <f t="shared" si="46"/>
        <v>5498</v>
      </c>
      <c r="R35" s="418">
        <v>0</v>
      </c>
      <c r="S35" s="419">
        <f t="shared" si="47"/>
        <v>1</v>
      </c>
      <c r="T35" s="420">
        <v>1</v>
      </c>
      <c r="U35" s="527">
        <v>0</v>
      </c>
      <c r="V35" s="427">
        <f t="shared" si="48"/>
        <v>0</v>
      </c>
      <c r="W35" s="421">
        <f t="shared" si="48"/>
        <v>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 t="shared" si="49"/>
        <v>0</v>
      </c>
      <c r="AG35" s="421">
        <f t="shared" si="50"/>
        <v>0</v>
      </c>
      <c r="AH35" s="421">
        <f t="shared" si="51"/>
        <v>0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52"/>
        <v>0</v>
      </c>
      <c r="AP35" s="421">
        <f t="shared" si="53"/>
        <v>0</v>
      </c>
      <c r="AQ35" s="421">
        <f t="shared" si="54"/>
        <v>0</v>
      </c>
      <c r="AR35" s="421">
        <f t="shared" si="55"/>
        <v>0</v>
      </c>
      <c r="AS35" s="421">
        <f t="shared" si="55"/>
        <v>0</v>
      </c>
      <c r="AT35" s="421">
        <f t="shared" si="56"/>
        <v>0</v>
      </c>
      <c r="AU35" s="68">
        <f t="shared" si="57"/>
        <v>0</v>
      </c>
      <c r="AV35" s="68">
        <f t="shared" si="58"/>
        <v>0</v>
      </c>
      <c r="AW35" s="421">
        <v>0</v>
      </c>
      <c r="AX35" s="421">
        <v>0</v>
      </c>
      <c r="AY35" s="421">
        <f t="shared" si="59"/>
        <v>0</v>
      </c>
      <c r="AZ35" s="421">
        <f t="shared" si="60"/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 t="shared" si="61"/>
        <v>0</v>
      </c>
      <c r="BL35" s="422">
        <f t="shared" si="62"/>
        <v>0</v>
      </c>
      <c r="BM35" s="611">
        <f t="shared" si="63"/>
        <v>0</v>
      </c>
      <c r="BN35" s="428">
        <f t="shared" si="64"/>
        <v>741171</v>
      </c>
      <c r="BO35" s="421">
        <f t="shared" si="65"/>
        <v>549830</v>
      </c>
      <c r="BP35" s="421">
        <f t="shared" si="66"/>
        <v>549830</v>
      </c>
      <c r="BQ35" s="421">
        <f t="shared" si="66"/>
        <v>0</v>
      </c>
      <c r="BR35" s="421">
        <f t="shared" si="67"/>
        <v>0</v>
      </c>
      <c r="BS35" s="421">
        <f t="shared" si="68"/>
        <v>0</v>
      </c>
      <c r="BT35" s="421">
        <f t="shared" si="68"/>
        <v>0</v>
      </c>
      <c r="BU35" s="421">
        <f t="shared" si="69"/>
        <v>185843</v>
      </c>
      <c r="BV35" s="421">
        <f t="shared" si="69"/>
        <v>5498</v>
      </c>
      <c r="BW35" s="421">
        <f t="shared" si="70"/>
        <v>0</v>
      </c>
      <c r="BX35" s="422">
        <f t="shared" si="71"/>
        <v>1</v>
      </c>
      <c r="BY35" s="422">
        <f t="shared" si="72"/>
        <v>1</v>
      </c>
      <c r="BZ35" s="611">
        <f t="shared" si="72"/>
        <v>0</v>
      </c>
      <c r="CA35" s="423"/>
      <c r="CB35" s="418"/>
      <c r="CC35" s="418"/>
      <c r="CD35" s="418"/>
      <c r="CE35" s="418"/>
      <c r="CF35" s="527"/>
    </row>
    <row r="36" spans="1:84" x14ac:dyDescent="0.2">
      <c r="A36" s="206">
        <v>6</v>
      </c>
      <c r="B36" s="207">
        <v>3401</v>
      </c>
      <c r="C36" s="207">
        <v>650023404</v>
      </c>
      <c r="D36" s="207">
        <v>70981477</v>
      </c>
      <c r="E36" s="205" t="s">
        <v>95</v>
      </c>
      <c r="F36" s="207">
        <v>3143</v>
      </c>
      <c r="G36" s="208" t="s">
        <v>597</v>
      </c>
      <c r="H36" s="686" t="s">
        <v>272</v>
      </c>
      <c r="I36" s="423">
        <f t="shared" si="43"/>
        <v>14863</v>
      </c>
      <c r="J36" s="418">
        <f t="shared" si="73"/>
        <v>10639</v>
      </c>
      <c r="K36" s="418">
        <v>0</v>
      </c>
      <c r="L36" s="418">
        <v>10639</v>
      </c>
      <c r="M36" s="418">
        <f t="shared" si="44"/>
        <v>0</v>
      </c>
      <c r="N36" s="418"/>
      <c r="O36" s="418"/>
      <c r="P36" s="68">
        <f t="shared" si="45"/>
        <v>3596</v>
      </c>
      <c r="Q36" s="68">
        <f t="shared" si="46"/>
        <v>106</v>
      </c>
      <c r="R36" s="418">
        <v>522</v>
      </c>
      <c r="S36" s="419">
        <f t="shared" si="47"/>
        <v>0.04</v>
      </c>
      <c r="T36" s="420">
        <v>0</v>
      </c>
      <c r="U36" s="527">
        <v>0.04</v>
      </c>
      <c r="V36" s="427">
        <f t="shared" si="48"/>
        <v>0</v>
      </c>
      <c r="W36" s="421">
        <f t="shared" si="48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 t="shared" si="49"/>
        <v>0</v>
      </c>
      <c r="AG36" s="421">
        <f t="shared" si="50"/>
        <v>0</v>
      </c>
      <c r="AH36" s="421">
        <f t="shared" si="51"/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si="52"/>
        <v>0</v>
      </c>
      <c r="AP36" s="421">
        <f t="shared" si="53"/>
        <v>0</v>
      </c>
      <c r="AQ36" s="421">
        <f t="shared" si="54"/>
        <v>0</v>
      </c>
      <c r="AR36" s="421">
        <f t="shared" si="55"/>
        <v>0</v>
      </c>
      <c r="AS36" s="421">
        <f t="shared" si="55"/>
        <v>0</v>
      </c>
      <c r="AT36" s="421">
        <f t="shared" si="56"/>
        <v>0</v>
      </c>
      <c r="AU36" s="68">
        <f t="shared" si="57"/>
        <v>0</v>
      </c>
      <c r="AV36" s="68">
        <f t="shared" si="58"/>
        <v>0</v>
      </c>
      <c r="AW36" s="421">
        <v>0</v>
      </c>
      <c r="AX36" s="421">
        <v>0</v>
      </c>
      <c r="AY36" s="421">
        <f t="shared" si="59"/>
        <v>0</v>
      </c>
      <c r="AZ36" s="421">
        <f t="shared" si="60"/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 t="shared" si="61"/>
        <v>0</v>
      </c>
      <c r="BL36" s="422">
        <f t="shared" si="62"/>
        <v>0</v>
      </c>
      <c r="BM36" s="611">
        <f t="shared" si="63"/>
        <v>0</v>
      </c>
      <c r="BN36" s="428">
        <f t="shared" si="64"/>
        <v>14863</v>
      </c>
      <c r="BO36" s="421">
        <f t="shared" si="65"/>
        <v>10639</v>
      </c>
      <c r="BP36" s="421">
        <f t="shared" si="66"/>
        <v>0</v>
      </c>
      <c r="BQ36" s="421">
        <f t="shared" si="66"/>
        <v>10639</v>
      </c>
      <c r="BR36" s="421">
        <f t="shared" si="67"/>
        <v>0</v>
      </c>
      <c r="BS36" s="421">
        <f t="shared" si="68"/>
        <v>0</v>
      </c>
      <c r="BT36" s="421">
        <f t="shared" si="68"/>
        <v>0</v>
      </c>
      <c r="BU36" s="421">
        <f t="shared" si="69"/>
        <v>3596</v>
      </c>
      <c r="BV36" s="421">
        <f t="shared" si="69"/>
        <v>106</v>
      </c>
      <c r="BW36" s="421">
        <f t="shared" si="70"/>
        <v>522</v>
      </c>
      <c r="BX36" s="422">
        <f t="shared" si="71"/>
        <v>0.04</v>
      </c>
      <c r="BY36" s="422">
        <f t="shared" si="72"/>
        <v>0</v>
      </c>
      <c r="BZ36" s="611">
        <f t="shared" si="72"/>
        <v>0.04</v>
      </c>
      <c r="CA36" s="423"/>
      <c r="CB36" s="418"/>
      <c r="CC36" s="418"/>
      <c r="CD36" s="418"/>
      <c r="CE36" s="418"/>
      <c r="CF36" s="527"/>
    </row>
    <row r="37" spans="1:84" x14ac:dyDescent="0.2">
      <c r="A37" s="155">
        <v>6</v>
      </c>
      <c r="B37" s="18">
        <v>3401</v>
      </c>
      <c r="C37" s="18">
        <v>650023404</v>
      </c>
      <c r="D37" s="18">
        <v>70981477</v>
      </c>
      <c r="E37" s="164" t="s">
        <v>96</v>
      </c>
      <c r="F37" s="18"/>
      <c r="G37" s="154"/>
      <c r="H37" s="685"/>
      <c r="I37" s="453">
        <f t="shared" ref="I37:BT37" si="74">SUM(I31:I36)</f>
        <v>6291767</v>
      </c>
      <c r="J37" s="449">
        <f t="shared" si="74"/>
        <v>4628757</v>
      </c>
      <c r="K37" s="449">
        <f t="shared" si="74"/>
        <v>3809637</v>
      </c>
      <c r="L37" s="449">
        <f t="shared" si="74"/>
        <v>819120</v>
      </c>
      <c r="M37" s="449">
        <f t="shared" si="74"/>
        <v>0</v>
      </c>
      <c r="N37" s="449">
        <f t="shared" si="74"/>
        <v>0</v>
      </c>
      <c r="O37" s="449">
        <f t="shared" si="74"/>
        <v>0</v>
      </c>
      <c r="P37" s="449">
        <f t="shared" si="74"/>
        <v>1564520</v>
      </c>
      <c r="Q37" s="449">
        <f t="shared" si="74"/>
        <v>46287</v>
      </c>
      <c r="R37" s="449">
        <f t="shared" si="74"/>
        <v>52203</v>
      </c>
      <c r="S37" s="450">
        <f t="shared" si="74"/>
        <v>8.9621999999999993</v>
      </c>
      <c r="T37" s="450">
        <f t="shared" si="74"/>
        <v>6.4999000000000002</v>
      </c>
      <c r="U37" s="40">
        <f t="shared" si="74"/>
        <v>2.4622999999999999</v>
      </c>
      <c r="V37" s="457">
        <f t="shared" si="74"/>
        <v>-12800</v>
      </c>
      <c r="W37" s="449">
        <f t="shared" si="74"/>
        <v>-12800</v>
      </c>
      <c r="X37" s="449">
        <f t="shared" si="74"/>
        <v>327615</v>
      </c>
      <c r="Y37" s="449">
        <f t="shared" si="74"/>
        <v>0</v>
      </c>
      <c r="Z37" s="449">
        <f t="shared" si="74"/>
        <v>0</v>
      </c>
      <c r="AA37" s="449">
        <f t="shared" si="74"/>
        <v>0</v>
      </c>
      <c r="AB37" s="449">
        <f t="shared" si="74"/>
        <v>0</v>
      </c>
      <c r="AC37" s="449">
        <f t="shared" si="74"/>
        <v>0</v>
      </c>
      <c r="AD37" s="449">
        <f t="shared" si="74"/>
        <v>0</v>
      </c>
      <c r="AE37" s="449">
        <f t="shared" si="74"/>
        <v>0</v>
      </c>
      <c r="AF37" s="449">
        <f t="shared" si="74"/>
        <v>314815</v>
      </c>
      <c r="AG37" s="449">
        <f t="shared" si="74"/>
        <v>-12800</v>
      </c>
      <c r="AH37" s="449">
        <f t="shared" si="74"/>
        <v>302015</v>
      </c>
      <c r="AI37" s="449">
        <f t="shared" si="74"/>
        <v>12800</v>
      </c>
      <c r="AJ37" s="449">
        <f t="shared" si="74"/>
        <v>12800</v>
      </c>
      <c r="AK37" s="449">
        <f t="shared" ref="AK37" si="75">SUM(AK31:AK36)</f>
        <v>0</v>
      </c>
      <c r="AL37" s="449">
        <f t="shared" si="74"/>
        <v>0</v>
      </c>
      <c r="AM37" s="449">
        <f t="shared" si="74"/>
        <v>0</v>
      </c>
      <c r="AN37" s="449">
        <f t="shared" si="74"/>
        <v>0</v>
      </c>
      <c r="AO37" s="449">
        <f t="shared" si="74"/>
        <v>12800</v>
      </c>
      <c r="AP37" s="449">
        <f t="shared" si="74"/>
        <v>12800</v>
      </c>
      <c r="AQ37" s="449">
        <f t="shared" si="74"/>
        <v>25600</v>
      </c>
      <c r="AR37" s="449">
        <f t="shared" si="74"/>
        <v>327615</v>
      </c>
      <c r="AS37" s="449">
        <f t="shared" si="74"/>
        <v>0</v>
      </c>
      <c r="AT37" s="449">
        <f t="shared" si="74"/>
        <v>327615</v>
      </c>
      <c r="AU37" s="449">
        <f t="shared" si="74"/>
        <v>110734</v>
      </c>
      <c r="AV37" s="449">
        <f t="shared" si="74"/>
        <v>3020</v>
      </c>
      <c r="AW37" s="449">
        <f t="shared" si="74"/>
        <v>0</v>
      </c>
      <c r="AX37" s="449">
        <f t="shared" si="74"/>
        <v>0</v>
      </c>
      <c r="AY37" s="449">
        <f t="shared" si="74"/>
        <v>0</v>
      </c>
      <c r="AZ37" s="449">
        <f t="shared" si="74"/>
        <v>441369</v>
      </c>
      <c r="BA37" s="450">
        <f t="shared" si="74"/>
        <v>-0.01</v>
      </c>
      <c r="BB37" s="450">
        <f t="shared" si="74"/>
        <v>-0.02</v>
      </c>
      <c r="BC37" s="450">
        <f t="shared" si="74"/>
        <v>0.85</v>
      </c>
      <c r="BD37" s="450">
        <f t="shared" si="74"/>
        <v>0</v>
      </c>
      <c r="BE37" s="450">
        <f t="shared" si="74"/>
        <v>0</v>
      </c>
      <c r="BF37" s="450">
        <f t="shared" si="74"/>
        <v>0</v>
      </c>
      <c r="BG37" s="450">
        <f t="shared" si="74"/>
        <v>0</v>
      </c>
      <c r="BH37" s="450">
        <f t="shared" si="74"/>
        <v>0</v>
      </c>
      <c r="BI37" s="450">
        <f t="shared" si="74"/>
        <v>0</v>
      </c>
      <c r="BJ37" s="450">
        <f t="shared" si="74"/>
        <v>0</v>
      </c>
      <c r="BK37" s="450">
        <f t="shared" si="74"/>
        <v>0.84</v>
      </c>
      <c r="BL37" s="450">
        <f t="shared" si="74"/>
        <v>-0.02</v>
      </c>
      <c r="BM37" s="455">
        <f t="shared" si="74"/>
        <v>0.82</v>
      </c>
      <c r="BN37" s="453">
        <f t="shared" si="74"/>
        <v>6733136</v>
      </c>
      <c r="BO37" s="449">
        <f t="shared" si="74"/>
        <v>4930772</v>
      </c>
      <c r="BP37" s="449">
        <f t="shared" si="74"/>
        <v>4124452</v>
      </c>
      <c r="BQ37" s="449">
        <f t="shared" si="74"/>
        <v>806320</v>
      </c>
      <c r="BR37" s="449">
        <f t="shared" si="74"/>
        <v>25600</v>
      </c>
      <c r="BS37" s="449">
        <f t="shared" si="74"/>
        <v>12800</v>
      </c>
      <c r="BT37" s="449">
        <f t="shared" si="74"/>
        <v>12800</v>
      </c>
      <c r="BU37" s="449">
        <f t="shared" ref="BU37:CF37" si="76">SUM(BU31:BU36)</f>
        <v>1675254</v>
      </c>
      <c r="BV37" s="449">
        <f t="shared" si="76"/>
        <v>49307</v>
      </c>
      <c r="BW37" s="449">
        <f t="shared" si="76"/>
        <v>52203</v>
      </c>
      <c r="BX37" s="450">
        <f t="shared" si="76"/>
        <v>9.7821999999999996</v>
      </c>
      <c r="BY37" s="450">
        <f t="shared" si="76"/>
        <v>7.3399000000000001</v>
      </c>
      <c r="BZ37" s="455">
        <f t="shared" si="76"/>
        <v>2.4422999999999999</v>
      </c>
      <c r="CA37" s="853">
        <f t="shared" si="76"/>
        <v>0</v>
      </c>
      <c r="CB37" s="851">
        <f t="shared" si="76"/>
        <v>0</v>
      </c>
      <c r="CC37" s="851">
        <f t="shared" si="76"/>
        <v>0</v>
      </c>
      <c r="CD37" s="851">
        <f t="shared" si="76"/>
        <v>0</v>
      </c>
      <c r="CE37" s="851">
        <f t="shared" si="76"/>
        <v>0</v>
      </c>
      <c r="CF37" s="849">
        <f t="shared" si="76"/>
        <v>0</v>
      </c>
    </row>
    <row r="38" spans="1:84" x14ac:dyDescent="0.2">
      <c r="A38" s="206">
        <v>7</v>
      </c>
      <c r="B38" s="207">
        <v>3404</v>
      </c>
      <c r="C38" s="207">
        <v>650023021</v>
      </c>
      <c r="D38" s="207">
        <v>70982597</v>
      </c>
      <c r="E38" s="205" t="s">
        <v>97</v>
      </c>
      <c r="F38" s="207">
        <v>3111</v>
      </c>
      <c r="G38" s="208" t="s">
        <v>291</v>
      </c>
      <c r="H38" s="684" t="s">
        <v>271</v>
      </c>
      <c r="I38" s="423">
        <f t="shared" ref="I38:I43" si="77">J38+P38+Q38+R38</f>
        <v>6169797</v>
      </c>
      <c r="J38" s="418">
        <f>K38+L38</f>
        <v>4563334</v>
      </c>
      <c r="K38" s="418">
        <v>4323718</v>
      </c>
      <c r="L38" s="418">
        <v>239616</v>
      </c>
      <c r="M38" s="418">
        <f t="shared" ref="M38:M43" si="78">N38+O38</f>
        <v>0</v>
      </c>
      <c r="N38" s="418"/>
      <c r="O38" s="418"/>
      <c r="P38" s="68">
        <f t="shared" ref="P38:P43" si="79">ROUND(J38*33.8%,0)</f>
        <v>1542407</v>
      </c>
      <c r="Q38" s="68">
        <f t="shared" ref="Q38:Q43" si="80">ROUND(J38*1%,0)</f>
        <v>45633</v>
      </c>
      <c r="R38" s="418">
        <v>18423</v>
      </c>
      <c r="S38" s="419">
        <f t="shared" ref="S38:S43" si="81">T38+U38</f>
        <v>8.5405999999999995</v>
      </c>
      <c r="T38" s="420">
        <v>7.5805999999999996</v>
      </c>
      <c r="U38" s="527">
        <v>0.96</v>
      </c>
      <c r="V38" s="427">
        <f t="shared" ref="V38:W43" si="82">AI38*-1</f>
        <v>-12800</v>
      </c>
      <c r="W38" s="421">
        <f t="shared" si="82"/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 t="shared" ref="AF38:AF43" si="83">V38+X38+Y38+AA38+AB38+AD38</f>
        <v>-12800</v>
      </c>
      <c r="AG38" s="421">
        <f t="shared" ref="AG38:AG43" si="84">W38+Z38+AC38+AE38</f>
        <v>0</v>
      </c>
      <c r="AH38" s="421">
        <f t="shared" ref="AH38:AH43" si="85">SUM(AF38:AG38)</f>
        <v>-12800</v>
      </c>
      <c r="AI38" s="421">
        <v>12800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ref="AO38:AO43" si="86">AI38+AK38+AL38+AM38</f>
        <v>12800</v>
      </c>
      <c r="AP38" s="421">
        <f t="shared" ref="AP38:AP43" si="87">AJ38+AN38</f>
        <v>0</v>
      </c>
      <c r="AQ38" s="421">
        <f t="shared" ref="AQ38:AQ43" si="88">SUM(AO38:AP38)</f>
        <v>12800</v>
      </c>
      <c r="AR38" s="421">
        <f t="shared" ref="AR38:AS43" si="89">AF38+AO38</f>
        <v>0</v>
      </c>
      <c r="AS38" s="421">
        <f t="shared" si="89"/>
        <v>0</v>
      </c>
      <c r="AT38" s="421">
        <f t="shared" ref="AT38:AT43" si="90">SUM(AR38:AS38)</f>
        <v>0</v>
      </c>
      <c r="AU38" s="68">
        <f t="shared" ref="AU38:AU43" si="91">ROUND((AH38+AI38+AJ38+AK38+AL38)*33.8%,0)</f>
        <v>0</v>
      </c>
      <c r="AV38" s="68">
        <f t="shared" ref="AV38:AV43" si="92">ROUND(AH38*1%,0)</f>
        <v>-128</v>
      </c>
      <c r="AW38" s="421">
        <v>0</v>
      </c>
      <c r="AX38" s="421">
        <v>0</v>
      </c>
      <c r="AY38" s="421">
        <f t="shared" ref="AY38:AY43" si="93">AW38+AX38</f>
        <v>0</v>
      </c>
      <c r="AZ38" s="421">
        <f t="shared" ref="AZ38:AZ43" si="94">AT38+AU38+AV38+AY38</f>
        <v>-128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 t="shared" ref="BK38:BK43" si="95">BA38+BC38+BD38+BF38+BH38+BI38</f>
        <v>0</v>
      </c>
      <c r="BL38" s="422">
        <f t="shared" ref="BL38:BL43" si="96">BB38+BE38+BG38+BJ38</f>
        <v>0</v>
      </c>
      <c r="BM38" s="611">
        <f t="shared" ref="BM38:BM43" si="97">SUM(BK38:BL38)</f>
        <v>0</v>
      </c>
      <c r="BN38" s="428">
        <f t="shared" ref="BN38:BN43" si="98">I38+AZ38</f>
        <v>6169669</v>
      </c>
      <c r="BO38" s="421">
        <f t="shared" ref="BO38:BO43" si="99">J38+AH38</f>
        <v>4550534</v>
      </c>
      <c r="BP38" s="421">
        <f t="shared" ref="BP38:BQ43" si="100">K38+AF38</f>
        <v>4310918</v>
      </c>
      <c r="BQ38" s="421">
        <f t="shared" si="100"/>
        <v>239616</v>
      </c>
      <c r="BR38" s="421">
        <f t="shared" ref="BR38:BR43" si="101">M38+AQ38</f>
        <v>12800</v>
      </c>
      <c r="BS38" s="421">
        <f t="shared" ref="BS38:BT43" si="102">N38+AO38</f>
        <v>12800</v>
      </c>
      <c r="BT38" s="421">
        <f t="shared" si="102"/>
        <v>0</v>
      </c>
      <c r="BU38" s="421">
        <f t="shared" ref="BU38:BV43" si="103">P38+AU38</f>
        <v>1542407</v>
      </c>
      <c r="BV38" s="421">
        <f t="shared" si="103"/>
        <v>45505</v>
      </c>
      <c r="BW38" s="421">
        <f t="shared" ref="BW38:BW43" si="104">R38+AY38</f>
        <v>18423</v>
      </c>
      <c r="BX38" s="422">
        <f t="shared" ref="BX38:BX43" si="105">S38+BM38</f>
        <v>8.5405999999999995</v>
      </c>
      <c r="BY38" s="422">
        <f t="shared" ref="BY38:BZ43" si="106">T38+BK38</f>
        <v>7.5805999999999996</v>
      </c>
      <c r="BZ38" s="611">
        <f t="shared" si="106"/>
        <v>0.96</v>
      </c>
      <c r="CA38" s="423"/>
      <c r="CB38" s="418"/>
      <c r="CC38" s="418"/>
      <c r="CD38" s="418"/>
      <c r="CE38" s="418"/>
      <c r="CF38" s="527"/>
    </row>
    <row r="39" spans="1:84" x14ac:dyDescent="0.2">
      <c r="A39" s="206">
        <v>7</v>
      </c>
      <c r="B39" s="207">
        <v>3404</v>
      </c>
      <c r="C39" s="207">
        <v>650023021</v>
      </c>
      <c r="D39" s="207">
        <v>70982597</v>
      </c>
      <c r="E39" s="205" t="s">
        <v>97</v>
      </c>
      <c r="F39" s="207">
        <v>3113</v>
      </c>
      <c r="G39" s="208" t="s">
        <v>294</v>
      </c>
      <c r="H39" s="684" t="s">
        <v>271</v>
      </c>
      <c r="I39" s="423">
        <f t="shared" si="77"/>
        <v>20138255</v>
      </c>
      <c r="J39" s="418">
        <f t="shared" ref="J39:J43" si="107">K39+L39</f>
        <v>14755434</v>
      </c>
      <c r="K39" s="418">
        <v>13372366</v>
      </c>
      <c r="L39" s="418">
        <v>1383068</v>
      </c>
      <c r="M39" s="418">
        <f t="shared" si="78"/>
        <v>0</v>
      </c>
      <c r="N39" s="418"/>
      <c r="O39" s="418"/>
      <c r="P39" s="68">
        <f t="shared" si="79"/>
        <v>4987337</v>
      </c>
      <c r="Q39" s="68">
        <f>ROUND(J39*1%,0)+1</f>
        <v>147555</v>
      </c>
      <c r="R39" s="418">
        <v>247929</v>
      </c>
      <c r="S39" s="419">
        <f t="shared" si="81"/>
        <v>24.8001</v>
      </c>
      <c r="T39" s="420">
        <v>20.7273</v>
      </c>
      <c r="U39" s="527">
        <v>4.0728</v>
      </c>
      <c r="V39" s="427">
        <f t="shared" si="82"/>
        <v>-51200</v>
      </c>
      <c r="W39" s="421">
        <f t="shared" si="82"/>
        <v>0</v>
      </c>
      <c r="X39" s="421">
        <v>0</v>
      </c>
      <c r="Y39" s="421">
        <v>0</v>
      </c>
      <c r="Z39" s="421">
        <v>0</v>
      </c>
      <c r="AA39" s="421">
        <v>17212</v>
      </c>
      <c r="AB39" s="421">
        <v>282000</v>
      </c>
      <c r="AC39" s="421">
        <v>0</v>
      </c>
      <c r="AD39" s="421">
        <v>0</v>
      </c>
      <c r="AE39" s="421">
        <v>0</v>
      </c>
      <c r="AF39" s="421">
        <f t="shared" si="83"/>
        <v>248012</v>
      </c>
      <c r="AG39" s="421">
        <f t="shared" si="84"/>
        <v>0</v>
      </c>
      <c r="AH39" s="421">
        <f t="shared" si="85"/>
        <v>248012</v>
      </c>
      <c r="AI39" s="421">
        <v>51200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 t="shared" si="86"/>
        <v>51200</v>
      </c>
      <c r="AP39" s="421">
        <f t="shared" si="87"/>
        <v>0</v>
      </c>
      <c r="AQ39" s="421">
        <f t="shared" si="88"/>
        <v>51200</v>
      </c>
      <c r="AR39" s="421">
        <f t="shared" si="89"/>
        <v>299212</v>
      </c>
      <c r="AS39" s="421">
        <f t="shared" si="89"/>
        <v>0</v>
      </c>
      <c r="AT39" s="421">
        <f t="shared" si="90"/>
        <v>299212</v>
      </c>
      <c r="AU39" s="68">
        <f t="shared" si="91"/>
        <v>101134</v>
      </c>
      <c r="AV39" s="68">
        <f t="shared" si="92"/>
        <v>2480</v>
      </c>
      <c r="AW39" s="421">
        <v>0</v>
      </c>
      <c r="AX39" s="421">
        <v>0</v>
      </c>
      <c r="AY39" s="421">
        <f t="shared" si="93"/>
        <v>0</v>
      </c>
      <c r="AZ39" s="421">
        <f t="shared" si="94"/>
        <v>402826</v>
      </c>
      <c r="BA39" s="422">
        <v>0</v>
      </c>
      <c r="BB39" s="422">
        <v>0</v>
      </c>
      <c r="BC39" s="422">
        <v>0</v>
      </c>
      <c r="BD39" s="422">
        <v>0.5</v>
      </c>
      <c r="BE39" s="422">
        <v>0</v>
      </c>
      <c r="BF39" s="422">
        <v>0</v>
      </c>
      <c r="BG39" s="422">
        <v>0</v>
      </c>
      <c r="BH39" s="422">
        <v>0.02</v>
      </c>
      <c r="BI39" s="422">
        <v>0</v>
      </c>
      <c r="BJ39" s="422">
        <v>0</v>
      </c>
      <c r="BK39" s="422">
        <f t="shared" si="95"/>
        <v>0.52</v>
      </c>
      <c r="BL39" s="422">
        <f t="shared" si="96"/>
        <v>0</v>
      </c>
      <c r="BM39" s="611">
        <f t="shared" si="97"/>
        <v>0.52</v>
      </c>
      <c r="BN39" s="428">
        <f t="shared" si="98"/>
        <v>20541081</v>
      </c>
      <c r="BO39" s="421">
        <f t="shared" si="99"/>
        <v>15003446</v>
      </c>
      <c r="BP39" s="421">
        <f t="shared" si="100"/>
        <v>13620378</v>
      </c>
      <c r="BQ39" s="421">
        <f t="shared" si="100"/>
        <v>1383068</v>
      </c>
      <c r="BR39" s="421">
        <f t="shared" si="101"/>
        <v>51200</v>
      </c>
      <c r="BS39" s="421">
        <f t="shared" si="102"/>
        <v>51200</v>
      </c>
      <c r="BT39" s="421">
        <f t="shared" si="102"/>
        <v>0</v>
      </c>
      <c r="BU39" s="421">
        <f t="shared" si="103"/>
        <v>5088471</v>
      </c>
      <c r="BV39" s="421">
        <f t="shared" si="103"/>
        <v>150035</v>
      </c>
      <c r="BW39" s="421">
        <f t="shared" si="104"/>
        <v>247929</v>
      </c>
      <c r="BX39" s="422">
        <f t="shared" si="105"/>
        <v>25.3201</v>
      </c>
      <c r="BY39" s="422">
        <f t="shared" si="106"/>
        <v>21.247299999999999</v>
      </c>
      <c r="BZ39" s="611">
        <f t="shared" si="106"/>
        <v>4.0728</v>
      </c>
      <c r="CA39" s="423">
        <v>380136</v>
      </c>
      <c r="CB39" s="418">
        <v>282000</v>
      </c>
      <c r="CC39" s="418">
        <v>0</v>
      </c>
      <c r="CD39" s="418">
        <v>95316</v>
      </c>
      <c r="CE39" s="418">
        <v>2820</v>
      </c>
      <c r="CF39" s="527">
        <v>0.5</v>
      </c>
    </row>
    <row r="40" spans="1:84" x14ac:dyDescent="0.2">
      <c r="A40" s="206">
        <v>7</v>
      </c>
      <c r="B40" s="207">
        <v>3404</v>
      </c>
      <c r="C40" s="207">
        <v>650023021</v>
      </c>
      <c r="D40" s="207">
        <v>70982597</v>
      </c>
      <c r="E40" s="205" t="s">
        <v>97</v>
      </c>
      <c r="F40" s="207">
        <v>3113</v>
      </c>
      <c r="G40" s="208" t="s">
        <v>292</v>
      </c>
      <c r="H40" s="684" t="s">
        <v>272</v>
      </c>
      <c r="I40" s="423">
        <f t="shared" si="77"/>
        <v>0</v>
      </c>
      <c r="J40" s="418">
        <f t="shared" si="107"/>
        <v>0</v>
      </c>
      <c r="K40" s="418">
        <v>0</v>
      </c>
      <c r="L40" s="418">
        <v>0</v>
      </c>
      <c r="M40" s="418">
        <f t="shared" si="78"/>
        <v>0</v>
      </c>
      <c r="N40" s="418"/>
      <c r="O40" s="418"/>
      <c r="P40" s="68">
        <f t="shared" si="79"/>
        <v>0</v>
      </c>
      <c r="Q40" s="68">
        <f t="shared" si="80"/>
        <v>0</v>
      </c>
      <c r="R40" s="418">
        <v>0</v>
      </c>
      <c r="S40" s="419">
        <f t="shared" si="81"/>
        <v>0</v>
      </c>
      <c r="T40" s="420">
        <v>0</v>
      </c>
      <c r="U40" s="527">
        <v>0</v>
      </c>
      <c r="V40" s="427">
        <f t="shared" si="82"/>
        <v>0</v>
      </c>
      <c r="W40" s="421">
        <f t="shared" si="82"/>
        <v>0</v>
      </c>
      <c r="X40" s="421">
        <f>3254820+494402+34330</f>
        <v>3783552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 t="shared" si="83"/>
        <v>3783552</v>
      </c>
      <c r="AG40" s="421">
        <f t="shared" si="84"/>
        <v>0</v>
      </c>
      <c r="AH40" s="421">
        <f t="shared" si="85"/>
        <v>3783552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86"/>
        <v>0</v>
      </c>
      <c r="AP40" s="421">
        <f t="shared" si="87"/>
        <v>0</v>
      </c>
      <c r="AQ40" s="421">
        <f t="shared" si="88"/>
        <v>0</v>
      </c>
      <c r="AR40" s="421">
        <f t="shared" si="89"/>
        <v>3783552</v>
      </c>
      <c r="AS40" s="421">
        <f t="shared" si="89"/>
        <v>0</v>
      </c>
      <c r="AT40" s="421">
        <f t="shared" si="90"/>
        <v>3783552</v>
      </c>
      <c r="AU40" s="68">
        <f t="shared" si="91"/>
        <v>1278841</v>
      </c>
      <c r="AV40" s="68">
        <f t="shared" si="92"/>
        <v>37836</v>
      </c>
      <c r="AW40" s="421">
        <f>2500+2500</f>
        <v>5000</v>
      </c>
      <c r="AX40" s="421">
        <v>0</v>
      </c>
      <c r="AY40" s="421">
        <f t="shared" si="93"/>
        <v>5000</v>
      </c>
      <c r="AZ40" s="421">
        <f t="shared" si="94"/>
        <v>5105229</v>
      </c>
      <c r="BA40" s="422">
        <v>0</v>
      </c>
      <c r="BB40" s="422">
        <v>0</v>
      </c>
      <c r="BC40" s="422">
        <f>8.78+1.34+0.1</f>
        <v>10.219999999999999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 t="shared" si="95"/>
        <v>10.219999999999999</v>
      </c>
      <c r="BL40" s="422">
        <f t="shared" si="96"/>
        <v>0</v>
      </c>
      <c r="BM40" s="611">
        <f t="shared" si="97"/>
        <v>10.219999999999999</v>
      </c>
      <c r="BN40" s="428">
        <f t="shared" si="98"/>
        <v>5105229</v>
      </c>
      <c r="BO40" s="421">
        <f t="shared" si="99"/>
        <v>3783552</v>
      </c>
      <c r="BP40" s="421">
        <f t="shared" si="100"/>
        <v>3783552</v>
      </c>
      <c r="BQ40" s="421">
        <f t="shared" si="100"/>
        <v>0</v>
      </c>
      <c r="BR40" s="421">
        <f t="shared" si="101"/>
        <v>0</v>
      </c>
      <c r="BS40" s="421">
        <f t="shared" si="102"/>
        <v>0</v>
      </c>
      <c r="BT40" s="421">
        <f t="shared" si="102"/>
        <v>0</v>
      </c>
      <c r="BU40" s="421">
        <f t="shared" si="103"/>
        <v>1278841</v>
      </c>
      <c r="BV40" s="421">
        <f t="shared" si="103"/>
        <v>37836</v>
      </c>
      <c r="BW40" s="421">
        <f t="shared" si="104"/>
        <v>5000</v>
      </c>
      <c r="BX40" s="422">
        <f t="shared" si="105"/>
        <v>10.219999999999999</v>
      </c>
      <c r="BY40" s="422">
        <f t="shared" si="106"/>
        <v>10.219999999999999</v>
      </c>
      <c r="BZ40" s="611">
        <f t="shared" si="106"/>
        <v>0</v>
      </c>
      <c r="CA40" s="423"/>
      <c r="CB40" s="418"/>
      <c r="CC40" s="418"/>
      <c r="CD40" s="418"/>
      <c r="CE40" s="418"/>
      <c r="CF40" s="527"/>
    </row>
    <row r="41" spans="1:84" x14ac:dyDescent="0.2">
      <c r="A41" s="206">
        <v>7</v>
      </c>
      <c r="B41" s="207">
        <v>3404</v>
      </c>
      <c r="C41" s="207">
        <v>650023021</v>
      </c>
      <c r="D41" s="207">
        <v>70982597</v>
      </c>
      <c r="E41" s="205" t="s">
        <v>97</v>
      </c>
      <c r="F41" s="207">
        <v>3141</v>
      </c>
      <c r="G41" s="208" t="s">
        <v>295</v>
      </c>
      <c r="H41" s="684" t="s">
        <v>272</v>
      </c>
      <c r="I41" s="423">
        <f t="shared" si="77"/>
        <v>1580415</v>
      </c>
      <c r="J41" s="418">
        <f t="shared" si="107"/>
        <v>1164979</v>
      </c>
      <c r="K41" s="418">
        <v>0</v>
      </c>
      <c r="L41" s="418">
        <v>1164979</v>
      </c>
      <c r="M41" s="418">
        <f t="shared" si="78"/>
        <v>0</v>
      </c>
      <c r="N41" s="418"/>
      <c r="O41" s="418"/>
      <c r="P41" s="68">
        <f t="shared" si="79"/>
        <v>393763</v>
      </c>
      <c r="Q41" s="68">
        <f t="shared" si="80"/>
        <v>11650</v>
      </c>
      <c r="R41" s="418">
        <v>10023</v>
      </c>
      <c r="S41" s="419">
        <f t="shared" si="81"/>
        <v>3.49</v>
      </c>
      <c r="T41" s="420">
        <v>0</v>
      </c>
      <c r="U41" s="527">
        <v>3.49</v>
      </c>
      <c r="V41" s="427">
        <f t="shared" si="82"/>
        <v>0</v>
      </c>
      <c r="W41" s="421">
        <f t="shared" si="82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 t="shared" si="83"/>
        <v>0</v>
      </c>
      <c r="AG41" s="421">
        <f t="shared" si="84"/>
        <v>0</v>
      </c>
      <c r="AH41" s="421">
        <f t="shared" si="85"/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86"/>
        <v>0</v>
      </c>
      <c r="AP41" s="421">
        <f t="shared" si="87"/>
        <v>0</v>
      </c>
      <c r="AQ41" s="421">
        <f t="shared" si="88"/>
        <v>0</v>
      </c>
      <c r="AR41" s="421">
        <f t="shared" si="89"/>
        <v>0</v>
      </c>
      <c r="AS41" s="421">
        <f t="shared" si="89"/>
        <v>0</v>
      </c>
      <c r="AT41" s="421">
        <f t="shared" si="90"/>
        <v>0</v>
      </c>
      <c r="AU41" s="68">
        <f t="shared" si="91"/>
        <v>0</v>
      </c>
      <c r="AV41" s="68">
        <f t="shared" si="92"/>
        <v>0</v>
      </c>
      <c r="AW41" s="421">
        <v>0</v>
      </c>
      <c r="AX41" s="421">
        <v>0</v>
      </c>
      <c r="AY41" s="421">
        <f t="shared" si="93"/>
        <v>0</v>
      </c>
      <c r="AZ41" s="421">
        <f t="shared" si="94"/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 t="shared" si="95"/>
        <v>0</v>
      </c>
      <c r="BL41" s="422">
        <f t="shared" si="96"/>
        <v>0</v>
      </c>
      <c r="BM41" s="611">
        <f t="shared" si="97"/>
        <v>0</v>
      </c>
      <c r="BN41" s="428">
        <f t="shared" si="98"/>
        <v>1580415</v>
      </c>
      <c r="BO41" s="421">
        <f t="shared" si="99"/>
        <v>1164979</v>
      </c>
      <c r="BP41" s="421">
        <f t="shared" si="100"/>
        <v>0</v>
      </c>
      <c r="BQ41" s="421">
        <f t="shared" si="100"/>
        <v>1164979</v>
      </c>
      <c r="BR41" s="421">
        <f t="shared" si="101"/>
        <v>0</v>
      </c>
      <c r="BS41" s="421">
        <f t="shared" si="102"/>
        <v>0</v>
      </c>
      <c r="BT41" s="421">
        <f t="shared" si="102"/>
        <v>0</v>
      </c>
      <c r="BU41" s="421">
        <f t="shared" si="103"/>
        <v>393763</v>
      </c>
      <c r="BV41" s="421">
        <f t="shared" si="103"/>
        <v>11650</v>
      </c>
      <c r="BW41" s="421">
        <f t="shared" si="104"/>
        <v>10023</v>
      </c>
      <c r="BX41" s="422">
        <f t="shared" si="105"/>
        <v>3.49</v>
      </c>
      <c r="BY41" s="422">
        <f t="shared" si="106"/>
        <v>0</v>
      </c>
      <c r="BZ41" s="611">
        <f t="shared" si="106"/>
        <v>3.49</v>
      </c>
      <c r="CA41" s="423"/>
      <c r="CB41" s="418"/>
      <c r="CC41" s="418"/>
      <c r="CD41" s="418"/>
      <c r="CE41" s="418"/>
      <c r="CF41" s="527"/>
    </row>
    <row r="42" spans="1:84" s="3" customFormat="1" x14ac:dyDescent="0.2">
      <c r="A42" s="206">
        <v>7</v>
      </c>
      <c r="B42" s="207">
        <v>3404</v>
      </c>
      <c r="C42" s="207">
        <v>650023021</v>
      </c>
      <c r="D42" s="207">
        <v>70982597</v>
      </c>
      <c r="E42" s="205" t="s">
        <v>97</v>
      </c>
      <c r="F42" s="207">
        <v>3143</v>
      </c>
      <c r="G42" s="208" t="s">
        <v>596</v>
      </c>
      <c r="H42" s="686" t="s">
        <v>271</v>
      </c>
      <c r="I42" s="423">
        <f t="shared" si="77"/>
        <v>1945045</v>
      </c>
      <c r="J42" s="418">
        <f t="shared" si="107"/>
        <v>1442912</v>
      </c>
      <c r="K42" s="418">
        <v>1442912</v>
      </c>
      <c r="L42" s="418">
        <v>0</v>
      </c>
      <c r="M42" s="418">
        <f t="shared" si="78"/>
        <v>0</v>
      </c>
      <c r="N42" s="418"/>
      <c r="O42" s="418"/>
      <c r="P42" s="68">
        <f t="shared" si="79"/>
        <v>487704</v>
      </c>
      <c r="Q42" s="68">
        <f t="shared" si="80"/>
        <v>14429</v>
      </c>
      <c r="R42" s="418">
        <v>0</v>
      </c>
      <c r="S42" s="419">
        <f t="shared" si="81"/>
        <v>2.9643000000000002</v>
      </c>
      <c r="T42" s="420">
        <v>2.9643000000000002</v>
      </c>
      <c r="U42" s="527">
        <v>0</v>
      </c>
      <c r="V42" s="427">
        <f t="shared" si="82"/>
        <v>0</v>
      </c>
      <c r="W42" s="421">
        <f t="shared" si="82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 t="shared" si="83"/>
        <v>0</v>
      </c>
      <c r="AG42" s="421">
        <f t="shared" si="84"/>
        <v>0</v>
      </c>
      <c r="AH42" s="421">
        <f t="shared" si="85"/>
        <v>0</v>
      </c>
      <c r="AI42" s="421">
        <v>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86"/>
        <v>0</v>
      </c>
      <c r="AP42" s="421">
        <f t="shared" si="87"/>
        <v>0</v>
      </c>
      <c r="AQ42" s="421">
        <f t="shared" si="88"/>
        <v>0</v>
      </c>
      <c r="AR42" s="421">
        <f t="shared" si="89"/>
        <v>0</v>
      </c>
      <c r="AS42" s="421">
        <f t="shared" si="89"/>
        <v>0</v>
      </c>
      <c r="AT42" s="421">
        <f t="shared" si="90"/>
        <v>0</v>
      </c>
      <c r="AU42" s="68">
        <f t="shared" si="91"/>
        <v>0</v>
      </c>
      <c r="AV42" s="68">
        <f t="shared" si="92"/>
        <v>0</v>
      </c>
      <c r="AW42" s="421">
        <v>0</v>
      </c>
      <c r="AX42" s="421">
        <v>0</v>
      </c>
      <c r="AY42" s="421">
        <f t="shared" si="93"/>
        <v>0</v>
      </c>
      <c r="AZ42" s="421">
        <f t="shared" si="94"/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 t="shared" si="95"/>
        <v>0</v>
      </c>
      <c r="BL42" s="422">
        <f t="shared" si="96"/>
        <v>0</v>
      </c>
      <c r="BM42" s="611">
        <f t="shared" si="97"/>
        <v>0</v>
      </c>
      <c r="BN42" s="428">
        <f t="shared" si="98"/>
        <v>1945045</v>
      </c>
      <c r="BO42" s="421">
        <f t="shared" si="99"/>
        <v>1442912</v>
      </c>
      <c r="BP42" s="421">
        <f t="shared" si="100"/>
        <v>1442912</v>
      </c>
      <c r="BQ42" s="421">
        <f t="shared" si="100"/>
        <v>0</v>
      </c>
      <c r="BR42" s="421">
        <f t="shared" si="101"/>
        <v>0</v>
      </c>
      <c r="BS42" s="421">
        <f t="shared" si="102"/>
        <v>0</v>
      </c>
      <c r="BT42" s="421">
        <f t="shared" si="102"/>
        <v>0</v>
      </c>
      <c r="BU42" s="421">
        <f t="shared" si="103"/>
        <v>487704</v>
      </c>
      <c r="BV42" s="421">
        <f t="shared" si="103"/>
        <v>14429</v>
      </c>
      <c r="BW42" s="421">
        <f t="shared" si="104"/>
        <v>0</v>
      </c>
      <c r="BX42" s="422">
        <f t="shared" si="105"/>
        <v>2.9643000000000002</v>
      </c>
      <c r="BY42" s="422">
        <f t="shared" si="106"/>
        <v>2.9643000000000002</v>
      </c>
      <c r="BZ42" s="611">
        <f t="shared" si="106"/>
        <v>0</v>
      </c>
      <c r="CA42" s="423"/>
      <c r="CB42" s="418"/>
      <c r="CC42" s="418"/>
      <c r="CD42" s="418"/>
      <c r="CE42" s="418"/>
      <c r="CF42" s="527"/>
    </row>
    <row r="43" spans="1:84" s="3" customFormat="1" x14ac:dyDescent="0.2">
      <c r="A43" s="206">
        <v>7</v>
      </c>
      <c r="B43" s="207">
        <v>3404</v>
      </c>
      <c r="C43" s="207">
        <v>650023021</v>
      </c>
      <c r="D43" s="207">
        <v>70982597</v>
      </c>
      <c r="E43" s="205" t="s">
        <v>97</v>
      </c>
      <c r="F43" s="207">
        <v>3143</v>
      </c>
      <c r="G43" s="208" t="s">
        <v>597</v>
      </c>
      <c r="H43" s="686" t="s">
        <v>272</v>
      </c>
      <c r="I43" s="423">
        <f t="shared" si="77"/>
        <v>36366</v>
      </c>
      <c r="J43" s="418">
        <f t="shared" si="107"/>
        <v>26030</v>
      </c>
      <c r="K43" s="418">
        <v>0</v>
      </c>
      <c r="L43" s="418">
        <v>26030</v>
      </c>
      <c r="M43" s="418">
        <f t="shared" si="78"/>
        <v>0</v>
      </c>
      <c r="N43" s="418"/>
      <c r="O43" s="418"/>
      <c r="P43" s="68">
        <f t="shared" si="79"/>
        <v>8798</v>
      </c>
      <c r="Q43" s="68">
        <f t="shared" si="80"/>
        <v>260</v>
      </c>
      <c r="R43" s="418">
        <v>1278</v>
      </c>
      <c r="S43" s="419">
        <f t="shared" si="81"/>
        <v>0.1</v>
      </c>
      <c r="T43" s="420">
        <v>0</v>
      </c>
      <c r="U43" s="527">
        <v>0.1</v>
      </c>
      <c r="V43" s="427">
        <f t="shared" si="82"/>
        <v>0</v>
      </c>
      <c r="W43" s="421">
        <f t="shared" si="82"/>
        <v>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 t="shared" si="83"/>
        <v>0</v>
      </c>
      <c r="AG43" s="421">
        <f t="shared" si="84"/>
        <v>0</v>
      </c>
      <c r="AH43" s="421">
        <f t="shared" si="85"/>
        <v>0</v>
      </c>
      <c r="AI43" s="421">
        <v>0</v>
      </c>
      <c r="AJ43" s="421">
        <v>0</v>
      </c>
      <c r="AK43" s="421">
        <v>0</v>
      </c>
      <c r="AL43" s="421">
        <v>0</v>
      </c>
      <c r="AM43" s="421">
        <v>0</v>
      </c>
      <c r="AN43" s="421">
        <v>0</v>
      </c>
      <c r="AO43" s="421">
        <f t="shared" si="86"/>
        <v>0</v>
      </c>
      <c r="AP43" s="421">
        <f t="shared" si="87"/>
        <v>0</v>
      </c>
      <c r="AQ43" s="421">
        <f t="shared" si="88"/>
        <v>0</v>
      </c>
      <c r="AR43" s="421">
        <f t="shared" si="89"/>
        <v>0</v>
      </c>
      <c r="AS43" s="421">
        <f t="shared" si="89"/>
        <v>0</v>
      </c>
      <c r="AT43" s="421">
        <f t="shared" si="90"/>
        <v>0</v>
      </c>
      <c r="AU43" s="68">
        <f t="shared" si="91"/>
        <v>0</v>
      </c>
      <c r="AV43" s="68">
        <f t="shared" si="92"/>
        <v>0</v>
      </c>
      <c r="AW43" s="421">
        <v>0</v>
      </c>
      <c r="AX43" s="421">
        <v>0</v>
      </c>
      <c r="AY43" s="421">
        <f t="shared" si="93"/>
        <v>0</v>
      </c>
      <c r="AZ43" s="421">
        <f t="shared" si="94"/>
        <v>0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 t="shared" si="95"/>
        <v>0</v>
      </c>
      <c r="BL43" s="422">
        <f t="shared" si="96"/>
        <v>0</v>
      </c>
      <c r="BM43" s="611">
        <f t="shared" si="97"/>
        <v>0</v>
      </c>
      <c r="BN43" s="428">
        <f t="shared" si="98"/>
        <v>36366</v>
      </c>
      <c r="BO43" s="421">
        <f t="shared" si="99"/>
        <v>26030</v>
      </c>
      <c r="BP43" s="421">
        <f t="shared" si="100"/>
        <v>0</v>
      </c>
      <c r="BQ43" s="421">
        <f t="shared" si="100"/>
        <v>26030</v>
      </c>
      <c r="BR43" s="421">
        <f t="shared" si="101"/>
        <v>0</v>
      </c>
      <c r="BS43" s="421">
        <f t="shared" si="102"/>
        <v>0</v>
      </c>
      <c r="BT43" s="421">
        <f t="shared" si="102"/>
        <v>0</v>
      </c>
      <c r="BU43" s="421">
        <f t="shared" si="103"/>
        <v>8798</v>
      </c>
      <c r="BV43" s="421">
        <f t="shared" si="103"/>
        <v>260</v>
      </c>
      <c r="BW43" s="421">
        <f t="shared" si="104"/>
        <v>1278</v>
      </c>
      <c r="BX43" s="422">
        <f t="shared" si="105"/>
        <v>0.1</v>
      </c>
      <c r="BY43" s="422">
        <f t="shared" si="106"/>
        <v>0</v>
      </c>
      <c r="BZ43" s="611">
        <f t="shared" si="106"/>
        <v>0.1</v>
      </c>
      <c r="CA43" s="423"/>
      <c r="CB43" s="418"/>
      <c r="CC43" s="418"/>
      <c r="CD43" s="418"/>
      <c r="CE43" s="418"/>
      <c r="CF43" s="527"/>
    </row>
    <row r="44" spans="1:84" x14ac:dyDescent="0.2">
      <c r="A44" s="155">
        <v>7</v>
      </c>
      <c r="B44" s="18">
        <v>3404</v>
      </c>
      <c r="C44" s="18">
        <v>650023021</v>
      </c>
      <c r="D44" s="18">
        <v>70982597</v>
      </c>
      <c r="E44" s="164" t="s">
        <v>98</v>
      </c>
      <c r="F44" s="18"/>
      <c r="G44" s="154"/>
      <c r="H44" s="685"/>
      <c r="I44" s="453">
        <f t="shared" ref="I44:BT44" si="108">SUM(I38:I43)</f>
        <v>29869878</v>
      </c>
      <c r="J44" s="449">
        <f t="shared" si="108"/>
        <v>21952689</v>
      </c>
      <c r="K44" s="449">
        <f t="shared" si="108"/>
        <v>19138996</v>
      </c>
      <c r="L44" s="449">
        <f t="shared" si="108"/>
        <v>2813693</v>
      </c>
      <c r="M44" s="449">
        <f t="shared" si="108"/>
        <v>0</v>
      </c>
      <c r="N44" s="449">
        <f t="shared" si="108"/>
        <v>0</v>
      </c>
      <c r="O44" s="449">
        <f t="shared" si="108"/>
        <v>0</v>
      </c>
      <c r="P44" s="449">
        <f t="shared" si="108"/>
        <v>7420009</v>
      </c>
      <c r="Q44" s="449">
        <f t="shared" si="108"/>
        <v>219527</v>
      </c>
      <c r="R44" s="449">
        <f t="shared" si="108"/>
        <v>277653</v>
      </c>
      <c r="S44" s="450">
        <f t="shared" si="108"/>
        <v>39.895000000000003</v>
      </c>
      <c r="T44" s="450">
        <f t="shared" si="108"/>
        <v>31.272200000000002</v>
      </c>
      <c r="U44" s="40">
        <f t="shared" si="108"/>
        <v>8.6227999999999998</v>
      </c>
      <c r="V44" s="457">
        <f t="shared" si="108"/>
        <v>-64000</v>
      </c>
      <c r="W44" s="449">
        <f t="shared" si="108"/>
        <v>0</v>
      </c>
      <c r="X44" s="449">
        <f t="shared" si="108"/>
        <v>3783552</v>
      </c>
      <c r="Y44" s="449">
        <f t="shared" si="108"/>
        <v>0</v>
      </c>
      <c r="Z44" s="449">
        <f t="shared" si="108"/>
        <v>0</v>
      </c>
      <c r="AA44" s="449">
        <f t="shared" si="108"/>
        <v>17212</v>
      </c>
      <c r="AB44" s="449">
        <f t="shared" si="108"/>
        <v>282000</v>
      </c>
      <c r="AC44" s="449">
        <f t="shared" si="108"/>
        <v>0</v>
      </c>
      <c r="AD44" s="449">
        <f t="shared" si="108"/>
        <v>0</v>
      </c>
      <c r="AE44" s="449">
        <f t="shared" si="108"/>
        <v>0</v>
      </c>
      <c r="AF44" s="449">
        <f t="shared" si="108"/>
        <v>4018764</v>
      </c>
      <c r="AG44" s="449">
        <f t="shared" si="108"/>
        <v>0</v>
      </c>
      <c r="AH44" s="449">
        <f t="shared" si="108"/>
        <v>4018764</v>
      </c>
      <c r="AI44" s="449">
        <f t="shared" si="108"/>
        <v>64000</v>
      </c>
      <c r="AJ44" s="449">
        <f t="shared" si="108"/>
        <v>0</v>
      </c>
      <c r="AK44" s="449">
        <f t="shared" ref="AK44" si="109">SUM(AK38:AK43)</f>
        <v>0</v>
      </c>
      <c r="AL44" s="449">
        <f t="shared" si="108"/>
        <v>0</v>
      </c>
      <c r="AM44" s="449">
        <f t="shared" si="108"/>
        <v>0</v>
      </c>
      <c r="AN44" s="449">
        <f t="shared" si="108"/>
        <v>0</v>
      </c>
      <c r="AO44" s="449">
        <f t="shared" si="108"/>
        <v>64000</v>
      </c>
      <c r="AP44" s="449">
        <f t="shared" si="108"/>
        <v>0</v>
      </c>
      <c r="AQ44" s="449">
        <f t="shared" si="108"/>
        <v>64000</v>
      </c>
      <c r="AR44" s="449">
        <f t="shared" si="108"/>
        <v>4082764</v>
      </c>
      <c r="AS44" s="449">
        <f t="shared" si="108"/>
        <v>0</v>
      </c>
      <c r="AT44" s="449">
        <f t="shared" si="108"/>
        <v>4082764</v>
      </c>
      <c r="AU44" s="449">
        <f t="shared" si="108"/>
        <v>1379975</v>
      </c>
      <c r="AV44" s="449">
        <f t="shared" si="108"/>
        <v>40188</v>
      </c>
      <c r="AW44" s="449">
        <f t="shared" si="108"/>
        <v>5000</v>
      </c>
      <c r="AX44" s="449">
        <f t="shared" si="108"/>
        <v>0</v>
      </c>
      <c r="AY44" s="449">
        <f t="shared" si="108"/>
        <v>5000</v>
      </c>
      <c r="AZ44" s="449">
        <f t="shared" si="108"/>
        <v>5507927</v>
      </c>
      <c r="BA44" s="450">
        <f t="shared" si="108"/>
        <v>0</v>
      </c>
      <c r="BB44" s="450">
        <f t="shared" si="108"/>
        <v>0</v>
      </c>
      <c r="BC44" s="450">
        <f t="shared" si="108"/>
        <v>10.219999999999999</v>
      </c>
      <c r="BD44" s="450">
        <f t="shared" si="108"/>
        <v>0.5</v>
      </c>
      <c r="BE44" s="450">
        <f t="shared" si="108"/>
        <v>0</v>
      </c>
      <c r="BF44" s="450">
        <f t="shared" si="108"/>
        <v>0</v>
      </c>
      <c r="BG44" s="450">
        <f t="shared" si="108"/>
        <v>0</v>
      </c>
      <c r="BH44" s="450">
        <f t="shared" si="108"/>
        <v>0.02</v>
      </c>
      <c r="BI44" s="450">
        <f t="shared" si="108"/>
        <v>0</v>
      </c>
      <c r="BJ44" s="450">
        <f t="shared" si="108"/>
        <v>0</v>
      </c>
      <c r="BK44" s="450">
        <f t="shared" si="108"/>
        <v>10.739999999999998</v>
      </c>
      <c r="BL44" s="450">
        <f t="shared" si="108"/>
        <v>0</v>
      </c>
      <c r="BM44" s="455">
        <f t="shared" si="108"/>
        <v>10.739999999999998</v>
      </c>
      <c r="BN44" s="453">
        <f t="shared" si="108"/>
        <v>35377805</v>
      </c>
      <c r="BO44" s="449">
        <f t="shared" si="108"/>
        <v>25971453</v>
      </c>
      <c r="BP44" s="449">
        <f t="shared" si="108"/>
        <v>23157760</v>
      </c>
      <c r="BQ44" s="449">
        <f t="shared" si="108"/>
        <v>2813693</v>
      </c>
      <c r="BR44" s="449">
        <f t="shared" si="108"/>
        <v>64000</v>
      </c>
      <c r="BS44" s="449">
        <f t="shared" si="108"/>
        <v>64000</v>
      </c>
      <c r="BT44" s="449">
        <f t="shared" si="108"/>
        <v>0</v>
      </c>
      <c r="BU44" s="449">
        <f t="shared" ref="BU44:CF44" si="110">SUM(BU38:BU43)</f>
        <v>8799984</v>
      </c>
      <c r="BV44" s="449">
        <f t="shared" si="110"/>
        <v>259715</v>
      </c>
      <c r="BW44" s="449">
        <f t="shared" si="110"/>
        <v>282653</v>
      </c>
      <c r="BX44" s="450">
        <f t="shared" si="110"/>
        <v>50.635000000000005</v>
      </c>
      <c r="BY44" s="450">
        <f t="shared" si="110"/>
        <v>42.0122</v>
      </c>
      <c r="BZ44" s="455">
        <f t="shared" si="110"/>
        <v>8.6227999999999998</v>
      </c>
      <c r="CA44" s="853">
        <f t="shared" si="110"/>
        <v>380136</v>
      </c>
      <c r="CB44" s="851">
        <f t="shared" si="110"/>
        <v>282000</v>
      </c>
      <c r="CC44" s="851">
        <f t="shared" si="110"/>
        <v>0</v>
      </c>
      <c r="CD44" s="851">
        <f t="shared" si="110"/>
        <v>95316</v>
      </c>
      <c r="CE44" s="851">
        <f t="shared" si="110"/>
        <v>2820</v>
      </c>
      <c r="CF44" s="849">
        <f t="shared" si="110"/>
        <v>0.5</v>
      </c>
    </row>
    <row r="45" spans="1:84" x14ac:dyDescent="0.2">
      <c r="A45" s="206">
        <v>8</v>
      </c>
      <c r="B45" s="207">
        <v>3477</v>
      </c>
      <c r="C45" s="207">
        <v>600098451</v>
      </c>
      <c r="D45" s="207">
        <v>70695491</v>
      </c>
      <c r="E45" s="205" t="s">
        <v>99</v>
      </c>
      <c r="F45" s="207">
        <v>3111</v>
      </c>
      <c r="G45" s="208" t="s">
        <v>291</v>
      </c>
      <c r="H45" s="684" t="s">
        <v>271</v>
      </c>
      <c r="I45" s="423">
        <f t="shared" ref="I45:I47" si="111">J45+P45+Q45+R45</f>
        <v>4214059</v>
      </c>
      <c r="J45" s="418">
        <f>K45+L45</f>
        <v>3115018</v>
      </c>
      <c r="K45" s="418">
        <v>2793581</v>
      </c>
      <c r="L45" s="418">
        <v>321437</v>
      </c>
      <c r="M45" s="418">
        <f>N45+O45</f>
        <v>0</v>
      </c>
      <c r="N45" s="418"/>
      <c r="O45" s="418"/>
      <c r="P45" s="68">
        <f t="shared" ref="P45:P47" si="112">ROUND(J45*33.8%,0)</f>
        <v>1052876</v>
      </c>
      <c r="Q45" s="68">
        <f t="shared" ref="Q45:Q47" si="113">ROUND(J45*1%,0)</f>
        <v>31150</v>
      </c>
      <c r="R45" s="418">
        <v>15015</v>
      </c>
      <c r="S45" s="419">
        <f>T45+U45</f>
        <v>6.0750000000000002</v>
      </c>
      <c r="T45" s="420">
        <v>5</v>
      </c>
      <c r="U45" s="527">
        <v>1.0750000000000002</v>
      </c>
      <c r="V45" s="427">
        <f t="shared" ref="V45:W47" si="114">AI45*-1</f>
        <v>0</v>
      </c>
      <c r="W45" s="421">
        <f t="shared" si="114"/>
        <v>0</v>
      </c>
      <c r="X45" s="421">
        <v>0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>V45+X45+Y45+AA45+AB45+AD45</f>
        <v>0</v>
      </c>
      <c r="AG45" s="421">
        <f>W45+Z45+AC45+AE45</f>
        <v>0</v>
      </c>
      <c r="AH45" s="421">
        <f>SUM(AF45:AG45)</f>
        <v>0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ref="AO45:AO47" si="115">AI45+AK45+AL45+AM45</f>
        <v>0</v>
      </c>
      <c r="AP45" s="421">
        <f>AJ45+AN45</f>
        <v>0</v>
      </c>
      <c r="AQ45" s="421">
        <f>SUM(AO45:AP45)</f>
        <v>0</v>
      </c>
      <c r="AR45" s="421">
        <f t="shared" ref="AR45:AS47" si="116">AF45+AO45</f>
        <v>0</v>
      </c>
      <c r="AS45" s="421">
        <f t="shared" si="116"/>
        <v>0</v>
      </c>
      <c r="AT45" s="421">
        <f>SUM(AR45:AS45)</f>
        <v>0</v>
      </c>
      <c r="AU45" s="68">
        <f t="shared" ref="AU45:AU47" si="117">ROUND((AH45+AI45+AJ45+AK45+AL45)*33.8%,0)</f>
        <v>0</v>
      </c>
      <c r="AV45" s="68">
        <f>ROUND(AH45*1%,0)</f>
        <v>0</v>
      </c>
      <c r="AW45" s="421">
        <v>0</v>
      </c>
      <c r="AX45" s="421">
        <v>0</v>
      </c>
      <c r="AY45" s="421">
        <f>AW45+AX45</f>
        <v>0</v>
      </c>
      <c r="AZ45" s="421">
        <f>AT45+AU45+AV45+AY45</f>
        <v>0</v>
      </c>
      <c r="BA45" s="422">
        <v>0</v>
      </c>
      <c r="BB45" s="422">
        <v>0</v>
      </c>
      <c r="BC45" s="422">
        <v>0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0</v>
      </c>
      <c r="BL45" s="422">
        <f>BB45+BE45+BG45+BJ45</f>
        <v>0</v>
      </c>
      <c r="BM45" s="611">
        <f>SUM(BK45:BL45)</f>
        <v>0</v>
      </c>
      <c r="BN45" s="428">
        <f>I45+AZ45</f>
        <v>4214059</v>
      </c>
      <c r="BO45" s="421">
        <f>J45+AH45</f>
        <v>3115018</v>
      </c>
      <c r="BP45" s="421">
        <f t="shared" ref="BP45:BQ47" si="118">K45+AF45</f>
        <v>2793581</v>
      </c>
      <c r="BQ45" s="421">
        <f t="shared" si="118"/>
        <v>321437</v>
      </c>
      <c r="BR45" s="421">
        <f>M45+AQ45</f>
        <v>0</v>
      </c>
      <c r="BS45" s="421">
        <f t="shared" ref="BS45:BT47" si="119">N45+AO45</f>
        <v>0</v>
      </c>
      <c r="BT45" s="421">
        <f t="shared" si="119"/>
        <v>0</v>
      </c>
      <c r="BU45" s="421">
        <f t="shared" ref="BU45:BV47" si="120">P45+AU45</f>
        <v>1052876</v>
      </c>
      <c r="BV45" s="421">
        <f t="shared" si="120"/>
        <v>31150</v>
      </c>
      <c r="BW45" s="421">
        <f>R45+AY45</f>
        <v>15015</v>
      </c>
      <c r="BX45" s="422">
        <f>S45+BM45</f>
        <v>6.0750000000000002</v>
      </c>
      <c r="BY45" s="422">
        <f t="shared" ref="BY45:BZ47" si="121">T45+BK45</f>
        <v>5</v>
      </c>
      <c r="BZ45" s="611">
        <f t="shared" si="121"/>
        <v>1.0750000000000002</v>
      </c>
      <c r="CA45" s="423"/>
      <c r="CB45" s="418"/>
      <c r="CC45" s="418"/>
      <c r="CD45" s="418"/>
      <c r="CE45" s="418"/>
      <c r="CF45" s="527"/>
    </row>
    <row r="46" spans="1:84" x14ac:dyDescent="0.2">
      <c r="A46" s="206">
        <v>8</v>
      </c>
      <c r="B46" s="207">
        <v>3477</v>
      </c>
      <c r="C46" s="207">
        <v>600098451</v>
      </c>
      <c r="D46" s="207">
        <v>70695491</v>
      </c>
      <c r="E46" s="205" t="s">
        <v>99</v>
      </c>
      <c r="F46" s="207">
        <v>3111</v>
      </c>
      <c r="G46" s="208" t="s">
        <v>292</v>
      </c>
      <c r="H46" s="684" t="s">
        <v>272</v>
      </c>
      <c r="I46" s="423">
        <f t="shared" si="111"/>
        <v>0</v>
      </c>
      <c r="J46" s="418">
        <f>K46+L46</f>
        <v>0</v>
      </c>
      <c r="K46" s="418">
        <v>0</v>
      </c>
      <c r="L46" s="418">
        <v>0</v>
      </c>
      <c r="M46" s="418">
        <f>N46+O46</f>
        <v>0</v>
      </c>
      <c r="N46" s="418"/>
      <c r="O46" s="418"/>
      <c r="P46" s="68">
        <f t="shared" si="112"/>
        <v>0</v>
      </c>
      <c r="Q46" s="68">
        <f t="shared" si="113"/>
        <v>0</v>
      </c>
      <c r="R46" s="418"/>
      <c r="S46" s="419">
        <f>T46+U46</f>
        <v>0</v>
      </c>
      <c r="T46" s="420">
        <v>0</v>
      </c>
      <c r="U46" s="527">
        <v>0</v>
      </c>
      <c r="V46" s="427">
        <f t="shared" si="114"/>
        <v>0</v>
      </c>
      <c r="W46" s="421">
        <f t="shared" si="114"/>
        <v>0</v>
      </c>
      <c r="X46" s="421">
        <v>370801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>V46+X46+Y46+AA46+AB46+AD46</f>
        <v>370801</v>
      </c>
      <c r="AG46" s="421">
        <f>W46+Z46+AC46+AE46</f>
        <v>0</v>
      </c>
      <c r="AH46" s="421">
        <f>SUM(AF46:AG46)</f>
        <v>370801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115"/>
        <v>0</v>
      </c>
      <c r="AP46" s="421">
        <f>AJ46+AN46</f>
        <v>0</v>
      </c>
      <c r="AQ46" s="421">
        <f>SUM(AO46:AP46)</f>
        <v>0</v>
      </c>
      <c r="AR46" s="421">
        <f t="shared" si="116"/>
        <v>370801</v>
      </c>
      <c r="AS46" s="421">
        <f t="shared" si="116"/>
        <v>0</v>
      </c>
      <c r="AT46" s="421">
        <f>SUM(AR46:AS46)</f>
        <v>370801</v>
      </c>
      <c r="AU46" s="68">
        <f t="shared" si="117"/>
        <v>125331</v>
      </c>
      <c r="AV46" s="68">
        <f>ROUND(AH46*1%,0)</f>
        <v>3708</v>
      </c>
      <c r="AW46" s="421">
        <v>0</v>
      </c>
      <c r="AX46" s="421">
        <v>0</v>
      </c>
      <c r="AY46" s="421">
        <f>AW46+AX46</f>
        <v>0</v>
      </c>
      <c r="AZ46" s="421">
        <f>AT46+AU46+AV46+AY46</f>
        <v>499840</v>
      </c>
      <c r="BA46" s="422">
        <v>0</v>
      </c>
      <c r="BB46" s="422">
        <v>0</v>
      </c>
      <c r="BC46" s="422">
        <v>1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>BA46+BC46+BD46+BF46+BH46+BI46</f>
        <v>1</v>
      </c>
      <c r="BL46" s="422">
        <f>BB46+BE46+BG46+BJ46</f>
        <v>0</v>
      </c>
      <c r="BM46" s="611">
        <f>SUM(BK46:BL46)</f>
        <v>1</v>
      </c>
      <c r="BN46" s="428">
        <f>I46+AZ46</f>
        <v>499840</v>
      </c>
      <c r="BO46" s="421">
        <f>J46+AH46</f>
        <v>370801</v>
      </c>
      <c r="BP46" s="421">
        <f t="shared" si="118"/>
        <v>370801</v>
      </c>
      <c r="BQ46" s="421">
        <f t="shared" si="118"/>
        <v>0</v>
      </c>
      <c r="BR46" s="421">
        <f>M46+AQ46</f>
        <v>0</v>
      </c>
      <c r="BS46" s="421">
        <f t="shared" si="119"/>
        <v>0</v>
      </c>
      <c r="BT46" s="421">
        <f t="shared" si="119"/>
        <v>0</v>
      </c>
      <c r="BU46" s="421">
        <f t="shared" si="120"/>
        <v>125331</v>
      </c>
      <c r="BV46" s="421">
        <f t="shared" si="120"/>
        <v>3708</v>
      </c>
      <c r="BW46" s="421">
        <f>R46+AY46</f>
        <v>0</v>
      </c>
      <c r="BX46" s="422">
        <f>S46+BM46</f>
        <v>1</v>
      </c>
      <c r="BY46" s="422">
        <f t="shared" si="121"/>
        <v>1</v>
      </c>
      <c r="BZ46" s="611">
        <f t="shared" si="121"/>
        <v>0</v>
      </c>
      <c r="CA46" s="423"/>
      <c r="CB46" s="418"/>
      <c r="CC46" s="418"/>
      <c r="CD46" s="418"/>
      <c r="CE46" s="418"/>
      <c r="CF46" s="527"/>
    </row>
    <row r="47" spans="1:84" x14ac:dyDescent="0.2">
      <c r="A47" s="206">
        <v>8</v>
      </c>
      <c r="B47" s="207">
        <v>3477</v>
      </c>
      <c r="C47" s="207">
        <v>600098451</v>
      </c>
      <c r="D47" s="207">
        <v>70695491</v>
      </c>
      <c r="E47" s="205" t="s">
        <v>99</v>
      </c>
      <c r="F47" s="207">
        <v>3141</v>
      </c>
      <c r="G47" s="208" t="s">
        <v>295</v>
      </c>
      <c r="H47" s="684" t="s">
        <v>272</v>
      </c>
      <c r="I47" s="423">
        <f t="shared" si="111"/>
        <v>424099</v>
      </c>
      <c r="J47" s="418">
        <f>K47+L47</f>
        <v>313471</v>
      </c>
      <c r="K47" s="418">
        <v>0</v>
      </c>
      <c r="L47" s="418">
        <v>313471</v>
      </c>
      <c r="M47" s="418">
        <f>N47+O47</f>
        <v>0</v>
      </c>
      <c r="N47" s="418"/>
      <c r="O47" s="418"/>
      <c r="P47" s="68">
        <f t="shared" si="112"/>
        <v>105953</v>
      </c>
      <c r="Q47" s="68">
        <f t="shared" si="113"/>
        <v>3135</v>
      </c>
      <c r="R47" s="418">
        <v>1540</v>
      </c>
      <c r="S47" s="419">
        <f>T47+U47</f>
        <v>0.94</v>
      </c>
      <c r="T47" s="420">
        <v>0</v>
      </c>
      <c r="U47" s="527">
        <v>0.94</v>
      </c>
      <c r="V47" s="427">
        <f t="shared" si="114"/>
        <v>0</v>
      </c>
      <c r="W47" s="421">
        <f t="shared" si="114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>V47+X47+Y47+AA47+AB47+AD47</f>
        <v>0</v>
      </c>
      <c r="AG47" s="421">
        <f>W47+Z47+AC47+AE47</f>
        <v>0</v>
      </c>
      <c r="AH47" s="421">
        <f>SUM(AF47:AG47)</f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15"/>
        <v>0</v>
      </c>
      <c r="AP47" s="421">
        <f>AJ47+AN47</f>
        <v>0</v>
      </c>
      <c r="AQ47" s="421">
        <f>SUM(AO47:AP47)</f>
        <v>0</v>
      </c>
      <c r="AR47" s="421">
        <f t="shared" si="116"/>
        <v>0</v>
      </c>
      <c r="AS47" s="421">
        <f t="shared" si="116"/>
        <v>0</v>
      </c>
      <c r="AT47" s="421">
        <f>SUM(AR47:AS47)</f>
        <v>0</v>
      </c>
      <c r="AU47" s="68">
        <f t="shared" si="117"/>
        <v>0</v>
      </c>
      <c r="AV47" s="68">
        <f>ROUND(AH47*1%,0)</f>
        <v>0</v>
      </c>
      <c r="AW47" s="421">
        <v>0</v>
      </c>
      <c r="AX47" s="421">
        <v>0</v>
      </c>
      <c r="AY47" s="421">
        <f>AW47+AX47</f>
        <v>0</v>
      </c>
      <c r="AZ47" s="421">
        <f>AT47+AU47+AV47+AY47</f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>BA47+BC47+BD47+BF47+BH47+BI47</f>
        <v>0</v>
      </c>
      <c r="BL47" s="422">
        <f>BB47+BE47+BG47+BJ47</f>
        <v>0</v>
      </c>
      <c r="BM47" s="611">
        <f>SUM(BK47:BL47)</f>
        <v>0</v>
      </c>
      <c r="BN47" s="428">
        <f>I47+AZ47</f>
        <v>424099</v>
      </c>
      <c r="BO47" s="421">
        <f>J47+AH47</f>
        <v>313471</v>
      </c>
      <c r="BP47" s="421">
        <f t="shared" si="118"/>
        <v>0</v>
      </c>
      <c r="BQ47" s="421">
        <f t="shared" si="118"/>
        <v>313471</v>
      </c>
      <c r="BR47" s="421">
        <f>M47+AQ47</f>
        <v>0</v>
      </c>
      <c r="BS47" s="421">
        <f t="shared" si="119"/>
        <v>0</v>
      </c>
      <c r="BT47" s="421">
        <f t="shared" si="119"/>
        <v>0</v>
      </c>
      <c r="BU47" s="421">
        <f t="shared" si="120"/>
        <v>105953</v>
      </c>
      <c r="BV47" s="421">
        <f t="shared" si="120"/>
        <v>3135</v>
      </c>
      <c r="BW47" s="421">
        <f>R47+AY47</f>
        <v>1540</v>
      </c>
      <c r="BX47" s="422">
        <f>S47+BM47</f>
        <v>0.94</v>
      </c>
      <c r="BY47" s="422">
        <f t="shared" si="121"/>
        <v>0</v>
      </c>
      <c r="BZ47" s="611">
        <f t="shared" si="121"/>
        <v>0.94</v>
      </c>
      <c r="CA47" s="423"/>
      <c r="CB47" s="418"/>
      <c r="CC47" s="418"/>
      <c r="CD47" s="418"/>
      <c r="CE47" s="418"/>
      <c r="CF47" s="527"/>
    </row>
    <row r="48" spans="1:84" x14ac:dyDescent="0.2">
      <c r="A48" s="155">
        <v>8</v>
      </c>
      <c r="B48" s="18">
        <v>3477</v>
      </c>
      <c r="C48" s="18">
        <v>600098451</v>
      </c>
      <c r="D48" s="18">
        <v>70695491</v>
      </c>
      <c r="E48" s="164" t="s">
        <v>100</v>
      </c>
      <c r="F48" s="18"/>
      <c r="G48" s="154"/>
      <c r="H48" s="685"/>
      <c r="I48" s="454">
        <f t="shared" ref="I48:BU48" si="122">SUM(I45:I47)</f>
        <v>4638158</v>
      </c>
      <c r="J48" s="451">
        <f t="shared" si="122"/>
        <v>3428489</v>
      </c>
      <c r="K48" s="451">
        <f t="shared" si="122"/>
        <v>2793581</v>
      </c>
      <c r="L48" s="451">
        <f t="shared" si="122"/>
        <v>634908</v>
      </c>
      <c r="M48" s="451">
        <f t="shared" si="122"/>
        <v>0</v>
      </c>
      <c r="N48" s="451">
        <f t="shared" si="122"/>
        <v>0</v>
      </c>
      <c r="O48" s="451">
        <f t="shared" si="122"/>
        <v>0</v>
      </c>
      <c r="P48" s="451">
        <f t="shared" si="122"/>
        <v>1158829</v>
      </c>
      <c r="Q48" s="451">
        <f t="shared" si="122"/>
        <v>34285</v>
      </c>
      <c r="R48" s="451">
        <f t="shared" si="122"/>
        <v>16555</v>
      </c>
      <c r="S48" s="452">
        <f t="shared" si="122"/>
        <v>7.0150000000000006</v>
      </c>
      <c r="T48" s="452">
        <f t="shared" si="122"/>
        <v>5</v>
      </c>
      <c r="U48" s="39">
        <f t="shared" si="122"/>
        <v>2.0150000000000001</v>
      </c>
      <c r="V48" s="458">
        <f t="shared" si="122"/>
        <v>0</v>
      </c>
      <c r="W48" s="451">
        <f t="shared" si="122"/>
        <v>0</v>
      </c>
      <c r="X48" s="451">
        <f t="shared" si="122"/>
        <v>370801</v>
      </c>
      <c r="Y48" s="451">
        <f t="shared" si="122"/>
        <v>0</v>
      </c>
      <c r="Z48" s="451">
        <f t="shared" si="122"/>
        <v>0</v>
      </c>
      <c r="AA48" s="451">
        <f t="shared" si="122"/>
        <v>0</v>
      </c>
      <c r="AB48" s="451">
        <f t="shared" si="122"/>
        <v>0</v>
      </c>
      <c r="AC48" s="451">
        <f t="shared" si="122"/>
        <v>0</v>
      </c>
      <c r="AD48" s="451">
        <f t="shared" si="122"/>
        <v>0</v>
      </c>
      <c r="AE48" s="451">
        <f t="shared" si="122"/>
        <v>0</v>
      </c>
      <c r="AF48" s="451">
        <f t="shared" si="122"/>
        <v>370801</v>
      </c>
      <c r="AG48" s="451">
        <f t="shared" si="122"/>
        <v>0</v>
      </c>
      <c r="AH48" s="451">
        <f t="shared" si="122"/>
        <v>370801</v>
      </c>
      <c r="AI48" s="451">
        <f t="shared" si="122"/>
        <v>0</v>
      </c>
      <c r="AJ48" s="451">
        <f t="shared" si="122"/>
        <v>0</v>
      </c>
      <c r="AK48" s="451">
        <f t="shared" ref="AK48" si="123">SUM(AK45:AK47)</f>
        <v>0</v>
      </c>
      <c r="AL48" s="451">
        <f t="shared" si="122"/>
        <v>0</v>
      </c>
      <c r="AM48" s="451">
        <f t="shared" si="122"/>
        <v>0</v>
      </c>
      <c r="AN48" s="451">
        <f t="shared" si="122"/>
        <v>0</v>
      </c>
      <c r="AO48" s="451">
        <f t="shared" si="122"/>
        <v>0</v>
      </c>
      <c r="AP48" s="451">
        <f t="shared" si="122"/>
        <v>0</v>
      </c>
      <c r="AQ48" s="451">
        <f t="shared" si="122"/>
        <v>0</v>
      </c>
      <c r="AR48" s="451">
        <f t="shared" si="122"/>
        <v>370801</v>
      </c>
      <c r="AS48" s="451">
        <f t="shared" si="122"/>
        <v>0</v>
      </c>
      <c r="AT48" s="451">
        <f t="shared" si="122"/>
        <v>370801</v>
      </c>
      <c r="AU48" s="451">
        <f t="shared" si="122"/>
        <v>125331</v>
      </c>
      <c r="AV48" s="451">
        <f t="shared" si="122"/>
        <v>3708</v>
      </c>
      <c r="AW48" s="451">
        <f t="shared" si="122"/>
        <v>0</v>
      </c>
      <c r="AX48" s="451">
        <f t="shared" si="122"/>
        <v>0</v>
      </c>
      <c r="AY48" s="451">
        <f t="shared" si="122"/>
        <v>0</v>
      </c>
      <c r="AZ48" s="451">
        <f t="shared" si="122"/>
        <v>499840</v>
      </c>
      <c r="BA48" s="452">
        <f t="shared" si="122"/>
        <v>0</v>
      </c>
      <c r="BB48" s="452">
        <f t="shared" si="122"/>
        <v>0</v>
      </c>
      <c r="BC48" s="452">
        <f t="shared" si="122"/>
        <v>1</v>
      </c>
      <c r="BD48" s="452">
        <f t="shared" si="122"/>
        <v>0</v>
      </c>
      <c r="BE48" s="452">
        <f t="shared" si="122"/>
        <v>0</v>
      </c>
      <c r="BF48" s="452">
        <f t="shared" si="122"/>
        <v>0</v>
      </c>
      <c r="BG48" s="452">
        <f t="shared" si="122"/>
        <v>0</v>
      </c>
      <c r="BH48" s="452">
        <f t="shared" si="122"/>
        <v>0</v>
      </c>
      <c r="BI48" s="452">
        <f t="shared" si="122"/>
        <v>0</v>
      </c>
      <c r="BJ48" s="452">
        <f t="shared" si="122"/>
        <v>0</v>
      </c>
      <c r="BK48" s="452">
        <f t="shared" si="122"/>
        <v>1</v>
      </c>
      <c r="BL48" s="452">
        <f t="shared" si="122"/>
        <v>0</v>
      </c>
      <c r="BM48" s="456">
        <f t="shared" si="122"/>
        <v>1</v>
      </c>
      <c r="BN48" s="454">
        <f t="shared" si="122"/>
        <v>5137998</v>
      </c>
      <c r="BO48" s="451">
        <f t="shared" si="122"/>
        <v>3799290</v>
      </c>
      <c r="BP48" s="451">
        <f t="shared" si="122"/>
        <v>3164382</v>
      </c>
      <c r="BQ48" s="451">
        <f t="shared" si="122"/>
        <v>634908</v>
      </c>
      <c r="BR48" s="451">
        <f t="shared" si="122"/>
        <v>0</v>
      </c>
      <c r="BS48" s="451">
        <f t="shared" si="122"/>
        <v>0</v>
      </c>
      <c r="BT48" s="451">
        <f t="shared" si="122"/>
        <v>0</v>
      </c>
      <c r="BU48" s="451">
        <f t="shared" si="122"/>
        <v>1284160</v>
      </c>
      <c r="BV48" s="451">
        <f t="shared" ref="BV48:CF48" si="124">SUM(BV45:BV47)</f>
        <v>37993</v>
      </c>
      <c r="BW48" s="451">
        <f t="shared" si="124"/>
        <v>16555</v>
      </c>
      <c r="BX48" s="452">
        <f t="shared" si="124"/>
        <v>8.0150000000000006</v>
      </c>
      <c r="BY48" s="452">
        <f t="shared" si="124"/>
        <v>6</v>
      </c>
      <c r="BZ48" s="456">
        <f t="shared" si="124"/>
        <v>2.0150000000000001</v>
      </c>
      <c r="CA48" s="854">
        <f t="shared" si="124"/>
        <v>0</v>
      </c>
      <c r="CB48" s="852">
        <f t="shared" si="124"/>
        <v>0</v>
      </c>
      <c r="CC48" s="852">
        <f t="shared" si="124"/>
        <v>0</v>
      </c>
      <c r="CD48" s="852">
        <f t="shared" si="124"/>
        <v>0</v>
      </c>
      <c r="CE48" s="852">
        <f t="shared" si="124"/>
        <v>0</v>
      </c>
      <c r="CF48" s="848">
        <f t="shared" si="124"/>
        <v>0</v>
      </c>
    </row>
    <row r="49" spans="1:84" x14ac:dyDescent="0.2">
      <c r="A49" s="206">
        <v>9</v>
      </c>
      <c r="B49" s="207">
        <v>3476</v>
      </c>
      <c r="C49" s="207">
        <v>600099164</v>
      </c>
      <c r="D49" s="207">
        <v>854808</v>
      </c>
      <c r="E49" s="205" t="s">
        <v>101</v>
      </c>
      <c r="F49" s="207">
        <v>3113</v>
      </c>
      <c r="G49" s="208" t="s">
        <v>294</v>
      </c>
      <c r="H49" s="684" t="s">
        <v>271</v>
      </c>
      <c r="I49" s="423">
        <f t="shared" ref="I49:I53" si="125">J49+P49+Q49+R49</f>
        <v>10185705</v>
      </c>
      <c r="J49" s="418">
        <f>K49+L49</f>
        <v>7473067</v>
      </c>
      <c r="K49" s="418">
        <v>6810009</v>
      </c>
      <c r="L49" s="418">
        <v>663058</v>
      </c>
      <c r="M49" s="418">
        <f>N49+O49</f>
        <v>0</v>
      </c>
      <c r="N49" s="418"/>
      <c r="O49" s="418"/>
      <c r="P49" s="68">
        <f t="shared" ref="P49:P53" si="126">ROUND(J49*33.8%,0)</f>
        <v>2525897</v>
      </c>
      <c r="Q49" s="68">
        <f t="shared" ref="Q49:Q53" si="127">ROUND(J49*1%,0)</f>
        <v>74731</v>
      </c>
      <c r="R49" s="418">
        <v>112010</v>
      </c>
      <c r="S49" s="419">
        <f>T49+U49</f>
        <v>12.4788</v>
      </c>
      <c r="T49" s="420">
        <v>10.772399999999999</v>
      </c>
      <c r="U49" s="527">
        <v>1.7063999999999999</v>
      </c>
      <c r="V49" s="427">
        <f t="shared" ref="V49:W53" si="128">AI49*-1</f>
        <v>0</v>
      </c>
      <c r="W49" s="421">
        <f t="shared" si="128"/>
        <v>0</v>
      </c>
      <c r="X49" s="421">
        <v>0</v>
      </c>
      <c r="Y49" s="421">
        <v>0</v>
      </c>
      <c r="Z49" s="421">
        <v>0</v>
      </c>
      <c r="AA49" s="421">
        <v>22508</v>
      </c>
      <c r="AB49" s="421">
        <v>0</v>
      </c>
      <c r="AC49" s="421">
        <v>0</v>
      </c>
      <c r="AD49" s="421">
        <v>0</v>
      </c>
      <c r="AE49" s="421">
        <v>0</v>
      </c>
      <c r="AF49" s="421">
        <f>V49+X49+Y49+AA49+AB49+AD49</f>
        <v>22508</v>
      </c>
      <c r="AG49" s="421">
        <f>W49+Z49+AC49+AE49</f>
        <v>0</v>
      </c>
      <c r="AH49" s="421">
        <f>SUM(AF49:AG49)</f>
        <v>22508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ref="AO49:AO53" si="129">AI49+AK49+AL49+AM49</f>
        <v>0</v>
      </c>
      <c r="AP49" s="421">
        <f>AJ49+AN49</f>
        <v>0</v>
      </c>
      <c r="AQ49" s="421">
        <f>SUM(AO49:AP49)</f>
        <v>0</v>
      </c>
      <c r="AR49" s="421">
        <f t="shared" ref="AR49:AS53" si="130">AF49+AO49</f>
        <v>22508</v>
      </c>
      <c r="AS49" s="421">
        <f t="shared" si="130"/>
        <v>0</v>
      </c>
      <c r="AT49" s="421">
        <f>SUM(AR49:AS49)</f>
        <v>22508</v>
      </c>
      <c r="AU49" s="68">
        <f t="shared" ref="AU49:AU53" si="131">ROUND((AH49+AI49+AJ49+AK49+AL49)*33.8%,0)</f>
        <v>7608</v>
      </c>
      <c r="AV49" s="68">
        <f>ROUND(AH49*1%,0)</f>
        <v>225</v>
      </c>
      <c r="AW49" s="421">
        <v>0</v>
      </c>
      <c r="AX49" s="421">
        <v>0</v>
      </c>
      <c r="AY49" s="421">
        <f>AW49+AX49</f>
        <v>0</v>
      </c>
      <c r="AZ49" s="421">
        <f>AT49+AU49+AV49+AY49</f>
        <v>30341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0.03</v>
      </c>
      <c r="BI49" s="422">
        <v>0</v>
      </c>
      <c r="BJ49" s="422">
        <v>0</v>
      </c>
      <c r="BK49" s="422">
        <f>BA49+BC49+BD49+BF49+BH49+BI49</f>
        <v>0.03</v>
      </c>
      <c r="BL49" s="422">
        <f>BB49+BE49+BG49+BJ49</f>
        <v>0</v>
      </c>
      <c r="BM49" s="611">
        <f>SUM(BK49:BL49)</f>
        <v>0.03</v>
      </c>
      <c r="BN49" s="428">
        <f>I49+AZ49</f>
        <v>10216046</v>
      </c>
      <c r="BO49" s="421">
        <f>J49+AH49</f>
        <v>7495575</v>
      </c>
      <c r="BP49" s="421">
        <f t="shared" ref="BP49:BQ53" si="132">K49+AF49</f>
        <v>6832517</v>
      </c>
      <c r="BQ49" s="421">
        <f t="shared" si="132"/>
        <v>663058</v>
      </c>
      <c r="BR49" s="421">
        <f>M49+AQ49</f>
        <v>0</v>
      </c>
      <c r="BS49" s="421">
        <f t="shared" ref="BS49:BT53" si="133">N49+AO49</f>
        <v>0</v>
      </c>
      <c r="BT49" s="421">
        <f t="shared" si="133"/>
        <v>0</v>
      </c>
      <c r="BU49" s="421">
        <f t="shared" ref="BU49:BV53" si="134">P49+AU49</f>
        <v>2533505</v>
      </c>
      <c r="BV49" s="421">
        <f t="shared" si="134"/>
        <v>74956</v>
      </c>
      <c r="BW49" s="421">
        <f>R49+AY49</f>
        <v>112010</v>
      </c>
      <c r="BX49" s="422">
        <f>S49+BM49</f>
        <v>12.508799999999999</v>
      </c>
      <c r="BY49" s="422">
        <f t="shared" ref="BY49:BZ53" si="135">T49+BK49</f>
        <v>10.802399999999999</v>
      </c>
      <c r="BZ49" s="611">
        <f t="shared" si="135"/>
        <v>1.7063999999999999</v>
      </c>
      <c r="CA49" s="423"/>
      <c r="CB49" s="418"/>
      <c r="CC49" s="418"/>
      <c r="CD49" s="418"/>
      <c r="CE49" s="418"/>
      <c r="CF49" s="527"/>
    </row>
    <row r="50" spans="1:84" x14ac:dyDescent="0.2">
      <c r="A50" s="206">
        <v>9</v>
      </c>
      <c r="B50" s="207">
        <v>3476</v>
      </c>
      <c r="C50" s="207">
        <v>600099164</v>
      </c>
      <c r="D50" s="207">
        <v>854808</v>
      </c>
      <c r="E50" s="205" t="s">
        <v>101</v>
      </c>
      <c r="F50" s="207">
        <v>3113</v>
      </c>
      <c r="G50" s="208" t="s">
        <v>292</v>
      </c>
      <c r="H50" s="684" t="s">
        <v>272</v>
      </c>
      <c r="I50" s="423">
        <f t="shared" si="125"/>
        <v>0</v>
      </c>
      <c r="J50" s="418">
        <f>K50+L50</f>
        <v>0</v>
      </c>
      <c r="K50" s="418">
        <v>0</v>
      </c>
      <c r="L50" s="418">
        <v>0</v>
      </c>
      <c r="M50" s="418">
        <f>N50+O50</f>
        <v>0</v>
      </c>
      <c r="N50" s="418"/>
      <c r="O50" s="418"/>
      <c r="P50" s="68">
        <f t="shared" si="126"/>
        <v>0</v>
      </c>
      <c r="Q50" s="68">
        <f t="shared" si="127"/>
        <v>0</v>
      </c>
      <c r="R50" s="418">
        <v>0</v>
      </c>
      <c r="S50" s="419">
        <f>T50+U50</f>
        <v>0</v>
      </c>
      <c r="T50" s="420">
        <v>0</v>
      </c>
      <c r="U50" s="527">
        <v>0</v>
      </c>
      <c r="V50" s="427">
        <f t="shared" si="128"/>
        <v>0</v>
      </c>
      <c r="W50" s="421">
        <f t="shared" si="128"/>
        <v>0</v>
      </c>
      <c r="X50" s="421">
        <v>234915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>V50+X50+Y50+AA50+AB50+AD50</f>
        <v>234915</v>
      </c>
      <c r="AG50" s="421">
        <f>W50+Z50+AC50+AE50</f>
        <v>0</v>
      </c>
      <c r="AH50" s="421">
        <f>SUM(AF50:AG50)</f>
        <v>234915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29"/>
        <v>0</v>
      </c>
      <c r="AP50" s="421">
        <f>AJ50+AN50</f>
        <v>0</v>
      </c>
      <c r="AQ50" s="421">
        <f>SUM(AO50:AP50)</f>
        <v>0</v>
      </c>
      <c r="AR50" s="421">
        <f t="shared" si="130"/>
        <v>234915</v>
      </c>
      <c r="AS50" s="421">
        <f t="shared" si="130"/>
        <v>0</v>
      </c>
      <c r="AT50" s="421">
        <f>SUM(AR50:AS50)</f>
        <v>234915</v>
      </c>
      <c r="AU50" s="68">
        <f t="shared" si="131"/>
        <v>79401</v>
      </c>
      <c r="AV50" s="68">
        <f>ROUND(AH50*1%,0)</f>
        <v>2349</v>
      </c>
      <c r="AW50" s="421">
        <v>0</v>
      </c>
      <c r="AX50" s="421">
        <v>0</v>
      </c>
      <c r="AY50" s="421">
        <f>AW50+AX50</f>
        <v>0</v>
      </c>
      <c r="AZ50" s="421">
        <f>AT50+AU50+AV50+AY50</f>
        <v>316665</v>
      </c>
      <c r="BA50" s="422">
        <v>0</v>
      </c>
      <c r="BB50" s="422">
        <v>0</v>
      </c>
      <c r="BC50" s="422">
        <v>0.6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>BA50+BC50+BD50+BF50+BH50+BI50</f>
        <v>0.6</v>
      </c>
      <c r="BL50" s="422">
        <f>BB50+BE50+BG50+BJ50</f>
        <v>0</v>
      </c>
      <c r="BM50" s="611">
        <f>SUM(BK50:BL50)</f>
        <v>0.6</v>
      </c>
      <c r="BN50" s="428">
        <f>I50+AZ50</f>
        <v>316665</v>
      </c>
      <c r="BO50" s="421">
        <f>J50+AH50</f>
        <v>234915</v>
      </c>
      <c r="BP50" s="421">
        <f t="shared" si="132"/>
        <v>234915</v>
      </c>
      <c r="BQ50" s="421">
        <f t="shared" si="132"/>
        <v>0</v>
      </c>
      <c r="BR50" s="421">
        <f>M50+AQ50</f>
        <v>0</v>
      </c>
      <c r="BS50" s="421">
        <f t="shared" si="133"/>
        <v>0</v>
      </c>
      <c r="BT50" s="421">
        <f t="shared" si="133"/>
        <v>0</v>
      </c>
      <c r="BU50" s="421">
        <f t="shared" si="134"/>
        <v>79401</v>
      </c>
      <c r="BV50" s="421">
        <f t="shared" si="134"/>
        <v>2349</v>
      </c>
      <c r="BW50" s="421">
        <f>R50+AY50</f>
        <v>0</v>
      </c>
      <c r="BX50" s="422">
        <f>S50+BM50</f>
        <v>0.6</v>
      </c>
      <c r="BY50" s="422">
        <f t="shared" si="135"/>
        <v>0.6</v>
      </c>
      <c r="BZ50" s="611">
        <f t="shared" si="135"/>
        <v>0</v>
      </c>
      <c r="CA50" s="423"/>
      <c r="CB50" s="418"/>
      <c r="CC50" s="418"/>
      <c r="CD50" s="418"/>
      <c r="CE50" s="418"/>
      <c r="CF50" s="527"/>
    </row>
    <row r="51" spans="1:84" x14ac:dyDescent="0.2">
      <c r="A51" s="206">
        <v>9</v>
      </c>
      <c r="B51" s="207">
        <v>3476</v>
      </c>
      <c r="C51" s="207">
        <v>600099164</v>
      </c>
      <c r="D51" s="207">
        <v>854808</v>
      </c>
      <c r="E51" s="205" t="s">
        <v>101</v>
      </c>
      <c r="F51" s="207">
        <v>3141</v>
      </c>
      <c r="G51" s="208" t="s">
        <v>295</v>
      </c>
      <c r="H51" s="684" t="s">
        <v>272</v>
      </c>
      <c r="I51" s="423">
        <f t="shared" si="125"/>
        <v>599928</v>
      </c>
      <c r="J51" s="418">
        <f>K51+L51</f>
        <v>442428</v>
      </c>
      <c r="K51" s="418">
        <v>0</v>
      </c>
      <c r="L51" s="418">
        <v>442428</v>
      </c>
      <c r="M51" s="418">
        <f>N51+O51</f>
        <v>0</v>
      </c>
      <c r="N51" s="418"/>
      <c r="O51" s="418"/>
      <c r="P51" s="68">
        <f t="shared" si="126"/>
        <v>149541</v>
      </c>
      <c r="Q51" s="68">
        <f t="shared" si="127"/>
        <v>4424</v>
      </c>
      <c r="R51" s="418">
        <v>3535</v>
      </c>
      <c r="S51" s="419">
        <f>T51+U51</f>
        <v>1.33</v>
      </c>
      <c r="T51" s="420">
        <v>0</v>
      </c>
      <c r="U51" s="527">
        <v>1.33</v>
      </c>
      <c r="V51" s="427">
        <f t="shared" si="128"/>
        <v>0</v>
      </c>
      <c r="W51" s="421">
        <f t="shared" si="128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>V51+X51+Y51+AA51+AB51+AD51</f>
        <v>0</v>
      </c>
      <c r="AG51" s="421">
        <f>W51+Z51+AC51+AE51</f>
        <v>0</v>
      </c>
      <c r="AH51" s="421">
        <f>SUM(AF51:AG51)</f>
        <v>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29"/>
        <v>0</v>
      </c>
      <c r="AP51" s="421">
        <f>AJ51+AN51</f>
        <v>0</v>
      </c>
      <c r="AQ51" s="421">
        <f>SUM(AO51:AP51)</f>
        <v>0</v>
      </c>
      <c r="AR51" s="421">
        <f t="shared" si="130"/>
        <v>0</v>
      </c>
      <c r="AS51" s="421">
        <f t="shared" si="130"/>
        <v>0</v>
      </c>
      <c r="AT51" s="421">
        <f>SUM(AR51:AS51)</f>
        <v>0</v>
      </c>
      <c r="AU51" s="68">
        <f t="shared" si="131"/>
        <v>0</v>
      </c>
      <c r="AV51" s="68">
        <f>ROUND(AH51*1%,0)</f>
        <v>0</v>
      </c>
      <c r="AW51" s="421">
        <v>0</v>
      </c>
      <c r="AX51" s="421">
        <v>0</v>
      </c>
      <c r="AY51" s="421">
        <f>AW51+AX51</f>
        <v>0</v>
      </c>
      <c r="AZ51" s="421">
        <f>AT51+AU51+AV51+AY51</f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>BA51+BC51+BD51+BF51+BH51+BI51</f>
        <v>0</v>
      </c>
      <c r="BL51" s="422">
        <f>BB51+BE51+BG51+BJ51</f>
        <v>0</v>
      </c>
      <c r="BM51" s="611">
        <f>SUM(BK51:BL51)</f>
        <v>0</v>
      </c>
      <c r="BN51" s="428">
        <f>I51+AZ51</f>
        <v>599928</v>
      </c>
      <c r="BO51" s="421">
        <f>J51+AH51</f>
        <v>442428</v>
      </c>
      <c r="BP51" s="421">
        <f t="shared" si="132"/>
        <v>0</v>
      </c>
      <c r="BQ51" s="421">
        <f t="shared" si="132"/>
        <v>442428</v>
      </c>
      <c r="BR51" s="421">
        <f>M51+AQ51</f>
        <v>0</v>
      </c>
      <c r="BS51" s="421">
        <f t="shared" si="133"/>
        <v>0</v>
      </c>
      <c r="BT51" s="421">
        <f t="shared" si="133"/>
        <v>0</v>
      </c>
      <c r="BU51" s="421">
        <f t="shared" si="134"/>
        <v>149541</v>
      </c>
      <c r="BV51" s="421">
        <f t="shared" si="134"/>
        <v>4424</v>
      </c>
      <c r="BW51" s="421">
        <f>R51+AY51</f>
        <v>3535</v>
      </c>
      <c r="BX51" s="422">
        <f>S51+BM51</f>
        <v>1.33</v>
      </c>
      <c r="BY51" s="422">
        <f t="shared" si="135"/>
        <v>0</v>
      </c>
      <c r="BZ51" s="611">
        <f t="shared" si="135"/>
        <v>1.33</v>
      </c>
      <c r="CA51" s="423"/>
      <c r="CB51" s="418"/>
      <c r="CC51" s="418"/>
      <c r="CD51" s="418"/>
      <c r="CE51" s="418"/>
      <c r="CF51" s="527"/>
    </row>
    <row r="52" spans="1:84" x14ac:dyDescent="0.2">
      <c r="A52" s="206">
        <v>9</v>
      </c>
      <c r="B52" s="207">
        <v>3476</v>
      </c>
      <c r="C52" s="207">
        <v>600099164</v>
      </c>
      <c r="D52" s="207">
        <v>854808</v>
      </c>
      <c r="E52" s="205" t="s">
        <v>101</v>
      </c>
      <c r="F52" s="207">
        <v>3143</v>
      </c>
      <c r="G52" s="208" t="s">
        <v>596</v>
      </c>
      <c r="H52" s="686" t="s">
        <v>271</v>
      </c>
      <c r="I52" s="423">
        <f t="shared" si="125"/>
        <v>586432</v>
      </c>
      <c r="J52" s="418">
        <f>K52+L52</f>
        <v>435039</v>
      </c>
      <c r="K52" s="418">
        <v>435039</v>
      </c>
      <c r="L52" s="418">
        <v>0</v>
      </c>
      <c r="M52" s="418">
        <f>N52+O52</f>
        <v>0</v>
      </c>
      <c r="N52" s="418"/>
      <c r="O52" s="418"/>
      <c r="P52" s="68">
        <f t="shared" si="126"/>
        <v>147043</v>
      </c>
      <c r="Q52" s="68">
        <f t="shared" si="127"/>
        <v>4350</v>
      </c>
      <c r="R52" s="418">
        <v>0</v>
      </c>
      <c r="S52" s="419">
        <f>T52+U52</f>
        <v>0.89280000000000004</v>
      </c>
      <c r="T52" s="420">
        <v>0.89280000000000004</v>
      </c>
      <c r="U52" s="527">
        <v>0</v>
      </c>
      <c r="V52" s="427">
        <f t="shared" si="128"/>
        <v>0</v>
      </c>
      <c r="W52" s="421">
        <f t="shared" si="128"/>
        <v>0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f>V52+X52+Y52+AA52+AB52+AD52</f>
        <v>0</v>
      </c>
      <c r="AG52" s="421">
        <f>W52+Z52+AC52+AE52</f>
        <v>0</v>
      </c>
      <c r="AH52" s="421">
        <f>SUM(AF52:AG52)</f>
        <v>0</v>
      </c>
      <c r="AI52" s="421">
        <v>0</v>
      </c>
      <c r="AJ52" s="421">
        <v>0</v>
      </c>
      <c r="AK52" s="421">
        <v>0</v>
      </c>
      <c r="AL52" s="421">
        <v>0</v>
      </c>
      <c r="AM52" s="421">
        <v>0</v>
      </c>
      <c r="AN52" s="421">
        <v>0</v>
      </c>
      <c r="AO52" s="421">
        <f t="shared" si="129"/>
        <v>0</v>
      </c>
      <c r="AP52" s="421">
        <f>AJ52+AN52</f>
        <v>0</v>
      </c>
      <c r="AQ52" s="421">
        <f>SUM(AO52:AP52)</f>
        <v>0</v>
      </c>
      <c r="AR52" s="421">
        <f t="shared" si="130"/>
        <v>0</v>
      </c>
      <c r="AS52" s="421">
        <f t="shared" si="130"/>
        <v>0</v>
      </c>
      <c r="AT52" s="421">
        <f>SUM(AR52:AS52)</f>
        <v>0</v>
      </c>
      <c r="AU52" s="68">
        <f t="shared" si="131"/>
        <v>0</v>
      </c>
      <c r="AV52" s="68">
        <f>ROUND(AH52*1%,0)</f>
        <v>0</v>
      </c>
      <c r="AW52" s="421">
        <v>0</v>
      </c>
      <c r="AX52" s="421">
        <v>0</v>
      </c>
      <c r="AY52" s="421">
        <f>AW52+AX52</f>
        <v>0</v>
      </c>
      <c r="AZ52" s="421">
        <f>AT52+AU52+AV52+AY52</f>
        <v>0</v>
      </c>
      <c r="BA52" s="422">
        <v>0</v>
      </c>
      <c r="BB52" s="422">
        <v>0</v>
      </c>
      <c r="BC52" s="422">
        <v>0</v>
      </c>
      <c r="BD52" s="422">
        <v>0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f>BA52+BC52+BD52+BF52+BH52+BI52</f>
        <v>0</v>
      </c>
      <c r="BL52" s="422">
        <f>BB52+BE52+BG52+BJ52</f>
        <v>0</v>
      </c>
      <c r="BM52" s="611">
        <f>SUM(BK52:BL52)</f>
        <v>0</v>
      </c>
      <c r="BN52" s="428">
        <f>I52+AZ52</f>
        <v>586432</v>
      </c>
      <c r="BO52" s="421">
        <f>J52+AH52</f>
        <v>435039</v>
      </c>
      <c r="BP52" s="421">
        <f t="shared" si="132"/>
        <v>435039</v>
      </c>
      <c r="BQ52" s="421">
        <f t="shared" si="132"/>
        <v>0</v>
      </c>
      <c r="BR52" s="421">
        <f>M52+AQ52</f>
        <v>0</v>
      </c>
      <c r="BS52" s="421">
        <f t="shared" si="133"/>
        <v>0</v>
      </c>
      <c r="BT52" s="421">
        <f t="shared" si="133"/>
        <v>0</v>
      </c>
      <c r="BU52" s="421">
        <f t="shared" si="134"/>
        <v>147043</v>
      </c>
      <c r="BV52" s="421">
        <f t="shared" si="134"/>
        <v>4350</v>
      </c>
      <c r="BW52" s="421">
        <f>R52+AY52</f>
        <v>0</v>
      </c>
      <c r="BX52" s="422">
        <f>S52+BM52</f>
        <v>0.89280000000000004</v>
      </c>
      <c r="BY52" s="422">
        <f t="shared" si="135"/>
        <v>0.89280000000000004</v>
      </c>
      <c r="BZ52" s="611">
        <f t="shared" si="135"/>
        <v>0</v>
      </c>
      <c r="CA52" s="423"/>
      <c r="CB52" s="418"/>
      <c r="CC52" s="418"/>
      <c r="CD52" s="418"/>
      <c r="CE52" s="418"/>
      <c r="CF52" s="527"/>
    </row>
    <row r="53" spans="1:84" x14ac:dyDescent="0.2">
      <c r="A53" s="206">
        <v>9</v>
      </c>
      <c r="B53" s="207">
        <v>3476</v>
      </c>
      <c r="C53" s="207">
        <v>600099164</v>
      </c>
      <c r="D53" s="207">
        <v>854808</v>
      </c>
      <c r="E53" s="205" t="s">
        <v>101</v>
      </c>
      <c r="F53" s="207">
        <v>3143</v>
      </c>
      <c r="G53" s="208" t="s">
        <v>597</v>
      </c>
      <c r="H53" s="686" t="s">
        <v>272</v>
      </c>
      <c r="I53" s="423">
        <f t="shared" si="125"/>
        <v>12799</v>
      </c>
      <c r="J53" s="418">
        <f>K53+L53</f>
        <v>9161</v>
      </c>
      <c r="K53" s="418">
        <v>0</v>
      </c>
      <c r="L53" s="418">
        <v>9161</v>
      </c>
      <c r="M53" s="418">
        <f>N53+O53</f>
        <v>0</v>
      </c>
      <c r="N53" s="418"/>
      <c r="O53" s="418"/>
      <c r="P53" s="68">
        <f t="shared" si="126"/>
        <v>3096</v>
      </c>
      <c r="Q53" s="68">
        <f t="shared" si="127"/>
        <v>92</v>
      </c>
      <c r="R53" s="418">
        <v>450</v>
      </c>
      <c r="S53" s="419">
        <f>T53+U53</f>
        <v>0.03</v>
      </c>
      <c r="T53" s="420">
        <v>0</v>
      </c>
      <c r="U53" s="527">
        <v>0.03</v>
      </c>
      <c r="V53" s="427">
        <f t="shared" si="128"/>
        <v>0</v>
      </c>
      <c r="W53" s="421">
        <f t="shared" si="128"/>
        <v>0</v>
      </c>
      <c r="X53" s="421">
        <v>0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>V53+X53+Y53+AA53+AB53+AD53</f>
        <v>0</v>
      </c>
      <c r="AG53" s="421">
        <f>W53+Z53+AC53+AE53</f>
        <v>0</v>
      </c>
      <c r="AH53" s="421">
        <f>SUM(AF53:AG53)</f>
        <v>0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29"/>
        <v>0</v>
      </c>
      <c r="AP53" s="421">
        <f>AJ53+AN53</f>
        <v>0</v>
      </c>
      <c r="AQ53" s="421">
        <f>SUM(AO53:AP53)</f>
        <v>0</v>
      </c>
      <c r="AR53" s="421">
        <f t="shared" si="130"/>
        <v>0</v>
      </c>
      <c r="AS53" s="421">
        <f t="shared" si="130"/>
        <v>0</v>
      </c>
      <c r="AT53" s="421">
        <f>SUM(AR53:AS53)</f>
        <v>0</v>
      </c>
      <c r="AU53" s="68">
        <f t="shared" si="131"/>
        <v>0</v>
      </c>
      <c r="AV53" s="68">
        <f>ROUND(AH53*1%,0)</f>
        <v>0</v>
      </c>
      <c r="AW53" s="421">
        <v>0</v>
      </c>
      <c r="AX53" s="421">
        <v>0</v>
      </c>
      <c r="AY53" s="421">
        <f>AW53+AX53</f>
        <v>0</v>
      </c>
      <c r="AZ53" s="421">
        <f>AT53+AU53+AV53+AY53</f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>BA53+BC53+BD53+BF53+BH53+BI53</f>
        <v>0</v>
      </c>
      <c r="BL53" s="422">
        <f>BB53+BE53+BG53+BJ53</f>
        <v>0</v>
      </c>
      <c r="BM53" s="611">
        <f>SUM(BK53:BL53)</f>
        <v>0</v>
      </c>
      <c r="BN53" s="428">
        <f>I53+AZ53</f>
        <v>12799</v>
      </c>
      <c r="BO53" s="421">
        <f>J53+AH53</f>
        <v>9161</v>
      </c>
      <c r="BP53" s="421">
        <f t="shared" si="132"/>
        <v>0</v>
      </c>
      <c r="BQ53" s="421">
        <f t="shared" si="132"/>
        <v>9161</v>
      </c>
      <c r="BR53" s="421">
        <f>M53+AQ53</f>
        <v>0</v>
      </c>
      <c r="BS53" s="421">
        <f t="shared" si="133"/>
        <v>0</v>
      </c>
      <c r="BT53" s="421">
        <f t="shared" si="133"/>
        <v>0</v>
      </c>
      <c r="BU53" s="421">
        <f t="shared" si="134"/>
        <v>3096</v>
      </c>
      <c r="BV53" s="421">
        <f t="shared" si="134"/>
        <v>92</v>
      </c>
      <c r="BW53" s="421">
        <f>R53+AY53</f>
        <v>450</v>
      </c>
      <c r="BX53" s="422">
        <f>S53+BM53</f>
        <v>0.03</v>
      </c>
      <c r="BY53" s="422">
        <f t="shared" si="135"/>
        <v>0</v>
      </c>
      <c r="BZ53" s="611">
        <f t="shared" si="135"/>
        <v>0.03</v>
      </c>
      <c r="CA53" s="423"/>
      <c r="CB53" s="418"/>
      <c r="CC53" s="418"/>
      <c r="CD53" s="418"/>
      <c r="CE53" s="418"/>
      <c r="CF53" s="527"/>
    </row>
    <row r="54" spans="1:84" x14ac:dyDescent="0.2">
      <c r="A54" s="155">
        <v>9</v>
      </c>
      <c r="B54" s="18">
        <v>3476</v>
      </c>
      <c r="C54" s="18">
        <v>600099164</v>
      </c>
      <c r="D54" s="18">
        <v>854808</v>
      </c>
      <c r="E54" s="164" t="s">
        <v>102</v>
      </c>
      <c r="F54" s="18"/>
      <c r="G54" s="154"/>
      <c r="H54" s="685"/>
      <c r="I54" s="453">
        <f t="shared" ref="I54:BU54" si="136">SUM(I49:I53)</f>
        <v>11384864</v>
      </c>
      <c r="J54" s="449">
        <f t="shared" si="136"/>
        <v>8359695</v>
      </c>
      <c r="K54" s="449">
        <f t="shared" si="136"/>
        <v>7245048</v>
      </c>
      <c r="L54" s="449">
        <f t="shared" si="136"/>
        <v>1114647</v>
      </c>
      <c r="M54" s="449">
        <f t="shared" si="136"/>
        <v>0</v>
      </c>
      <c r="N54" s="449">
        <f t="shared" si="136"/>
        <v>0</v>
      </c>
      <c r="O54" s="449">
        <f t="shared" si="136"/>
        <v>0</v>
      </c>
      <c r="P54" s="449">
        <f t="shared" si="136"/>
        <v>2825577</v>
      </c>
      <c r="Q54" s="449">
        <f t="shared" si="136"/>
        <v>83597</v>
      </c>
      <c r="R54" s="449">
        <f t="shared" si="136"/>
        <v>115995</v>
      </c>
      <c r="S54" s="450">
        <f t="shared" si="136"/>
        <v>14.731599999999998</v>
      </c>
      <c r="T54" s="450">
        <f t="shared" si="136"/>
        <v>11.665199999999999</v>
      </c>
      <c r="U54" s="40">
        <f t="shared" si="136"/>
        <v>3.0663999999999998</v>
      </c>
      <c r="V54" s="457">
        <f t="shared" si="136"/>
        <v>0</v>
      </c>
      <c r="W54" s="449">
        <f t="shared" si="136"/>
        <v>0</v>
      </c>
      <c r="X54" s="449">
        <f t="shared" si="136"/>
        <v>234915</v>
      </c>
      <c r="Y54" s="449">
        <f t="shared" si="136"/>
        <v>0</v>
      </c>
      <c r="Z54" s="449">
        <f t="shared" si="136"/>
        <v>0</v>
      </c>
      <c r="AA54" s="449">
        <f t="shared" si="136"/>
        <v>22508</v>
      </c>
      <c r="AB54" s="449">
        <f t="shared" si="136"/>
        <v>0</v>
      </c>
      <c r="AC54" s="449">
        <f t="shared" si="136"/>
        <v>0</v>
      </c>
      <c r="AD54" s="449">
        <f t="shared" si="136"/>
        <v>0</v>
      </c>
      <c r="AE54" s="449">
        <f t="shared" si="136"/>
        <v>0</v>
      </c>
      <c r="AF54" s="449">
        <f t="shared" si="136"/>
        <v>257423</v>
      </c>
      <c r="AG54" s="449">
        <f t="shared" si="136"/>
        <v>0</v>
      </c>
      <c r="AH54" s="449">
        <f t="shared" si="136"/>
        <v>257423</v>
      </c>
      <c r="AI54" s="449">
        <f t="shared" si="136"/>
        <v>0</v>
      </c>
      <c r="AJ54" s="449">
        <f t="shared" si="136"/>
        <v>0</v>
      </c>
      <c r="AK54" s="449">
        <f t="shared" ref="AK54" si="137">SUM(AK49:AK53)</f>
        <v>0</v>
      </c>
      <c r="AL54" s="449">
        <f t="shared" si="136"/>
        <v>0</v>
      </c>
      <c r="AM54" s="449">
        <f t="shared" si="136"/>
        <v>0</v>
      </c>
      <c r="AN54" s="449">
        <f t="shared" si="136"/>
        <v>0</v>
      </c>
      <c r="AO54" s="449">
        <f t="shared" si="136"/>
        <v>0</v>
      </c>
      <c r="AP54" s="449">
        <f t="shared" si="136"/>
        <v>0</v>
      </c>
      <c r="AQ54" s="449">
        <f t="shared" si="136"/>
        <v>0</v>
      </c>
      <c r="AR54" s="449">
        <f t="shared" si="136"/>
        <v>257423</v>
      </c>
      <c r="AS54" s="449">
        <f t="shared" si="136"/>
        <v>0</v>
      </c>
      <c r="AT54" s="449">
        <f t="shared" si="136"/>
        <v>257423</v>
      </c>
      <c r="AU54" s="449">
        <f t="shared" si="136"/>
        <v>87009</v>
      </c>
      <c r="AV54" s="449">
        <f t="shared" si="136"/>
        <v>2574</v>
      </c>
      <c r="AW54" s="449">
        <f t="shared" si="136"/>
        <v>0</v>
      </c>
      <c r="AX54" s="449">
        <f t="shared" si="136"/>
        <v>0</v>
      </c>
      <c r="AY54" s="449">
        <f t="shared" si="136"/>
        <v>0</v>
      </c>
      <c r="AZ54" s="449">
        <f t="shared" si="136"/>
        <v>347006</v>
      </c>
      <c r="BA54" s="450">
        <f t="shared" si="136"/>
        <v>0</v>
      </c>
      <c r="BB54" s="450">
        <f t="shared" si="136"/>
        <v>0</v>
      </c>
      <c r="BC54" s="450">
        <f t="shared" si="136"/>
        <v>0.6</v>
      </c>
      <c r="BD54" s="450">
        <f t="shared" si="136"/>
        <v>0</v>
      </c>
      <c r="BE54" s="450">
        <f t="shared" si="136"/>
        <v>0</v>
      </c>
      <c r="BF54" s="450">
        <f t="shared" si="136"/>
        <v>0</v>
      </c>
      <c r="BG54" s="450">
        <f t="shared" si="136"/>
        <v>0</v>
      </c>
      <c r="BH54" s="450">
        <f t="shared" si="136"/>
        <v>0.03</v>
      </c>
      <c r="BI54" s="450">
        <f t="shared" si="136"/>
        <v>0</v>
      </c>
      <c r="BJ54" s="450">
        <f t="shared" si="136"/>
        <v>0</v>
      </c>
      <c r="BK54" s="450">
        <f t="shared" si="136"/>
        <v>0.63</v>
      </c>
      <c r="BL54" s="450">
        <f t="shared" si="136"/>
        <v>0</v>
      </c>
      <c r="BM54" s="455">
        <f t="shared" si="136"/>
        <v>0.63</v>
      </c>
      <c r="BN54" s="453">
        <f t="shared" si="136"/>
        <v>11731870</v>
      </c>
      <c r="BO54" s="449">
        <f t="shared" si="136"/>
        <v>8617118</v>
      </c>
      <c r="BP54" s="449">
        <f t="shared" si="136"/>
        <v>7502471</v>
      </c>
      <c r="BQ54" s="449">
        <f t="shared" si="136"/>
        <v>1114647</v>
      </c>
      <c r="BR54" s="449">
        <f t="shared" si="136"/>
        <v>0</v>
      </c>
      <c r="BS54" s="449">
        <f t="shared" si="136"/>
        <v>0</v>
      </c>
      <c r="BT54" s="449">
        <f t="shared" si="136"/>
        <v>0</v>
      </c>
      <c r="BU54" s="449">
        <f t="shared" si="136"/>
        <v>2912586</v>
      </c>
      <c r="BV54" s="449">
        <f t="shared" ref="BV54:CF54" si="138">SUM(BV49:BV53)</f>
        <v>86171</v>
      </c>
      <c r="BW54" s="449">
        <f t="shared" si="138"/>
        <v>115995</v>
      </c>
      <c r="BX54" s="450">
        <f t="shared" si="138"/>
        <v>15.361599999999997</v>
      </c>
      <c r="BY54" s="450">
        <f t="shared" si="138"/>
        <v>12.295199999999998</v>
      </c>
      <c r="BZ54" s="455">
        <f t="shared" si="138"/>
        <v>3.0663999999999998</v>
      </c>
      <c r="CA54" s="853">
        <f t="shared" si="138"/>
        <v>0</v>
      </c>
      <c r="CB54" s="851">
        <f t="shared" si="138"/>
        <v>0</v>
      </c>
      <c r="CC54" s="851">
        <f t="shared" si="138"/>
        <v>0</v>
      </c>
      <c r="CD54" s="851">
        <f t="shared" si="138"/>
        <v>0</v>
      </c>
      <c r="CE54" s="851">
        <f t="shared" si="138"/>
        <v>0</v>
      </c>
      <c r="CF54" s="849">
        <f t="shared" si="138"/>
        <v>0</v>
      </c>
    </row>
    <row r="55" spans="1:84" x14ac:dyDescent="0.2">
      <c r="A55" s="206">
        <v>10</v>
      </c>
      <c r="B55" s="207">
        <v>3424</v>
      </c>
      <c r="C55" s="207">
        <v>650040384</v>
      </c>
      <c r="D55" s="207">
        <v>72744561</v>
      </c>
      <c r="E55" s="205" t="s">
        <v>103</v>
      </c>
      <c r="F55" s="207">
        <v>3111</v>
      </c>
      <c r="G55" s="208" t="s">
        <v>291</v>
      </c>
      <c r="H55" s="684" t="s">
        <v>271</v>
      </c>
      <c r="I55" s="423">
        <f t="shared" ref="I55:I60" si="139">J55+P55+Q55+R55</f>
        <v>1483471</v>
      </c>
      <c r="J55" s="418">
        <f>K55+L55</f>
        <v>1097329</v>
      </c>
      <c r="K55" s="418">
        <v>1037425</v>
      </c>
      <c r="L55" s="418">
        <v>59904</v>
      </c>
      <c r="M55" s="418">
        <f t="shared" ref="M55:M60" si="140">N55+O55</f>
        <v>0</v>
      </c>
      <c r="N55" s="418"/>
      <c r="O55" s="418"/>
      <c r="P55" s="68">
        <f t="shared" ref="P55:P60" si="141">ROUND(J55*33.8%,0)</f>
        <v>370897</v>
      </c>
      <c r="Q55" s="68">
        <f t="shared" ref="Q55:Q60" si="142">ROUND(J55*1%,0)</f>
        <v>10973</v>
      </c>
      <c r="R55" s="418">
        <v>4272</v>
      </c>
      <c r="S55" s="419">
        <f t="shared" ref="S55:S60" si="143">T55+U55</f>
        <v>2.2400000000000002</v>
      </c>
      <c r="T55" s="420">
        <v>2</v>
      </c>
      <c r="U55" s="527">
        <v>0.24</v>
      </c>
      <c r="V55" s="427">
        <f t="shared" ref="V55:W60" si="144">AI55*-1</f>
        <v>0</v>
      </c>
      <c r="W55" s="421">
        <f t="shared" si="144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 t="shared" ref="AF55:AF60" si="145">V55+X55+Y55+AA55+AB55+AD55</f>
        <v>0</v>
      </c>
      <c r="AG55" s="421">
        <f t="shared" ref="AG55:AG60" si="146">W55+Z55+AC55+AE55</f>
        <v>0</v>
      </c>
      <c r="AH55" s="421">
        <f t="shared" ref="AH55:AH60" si="147">SUM(AF55:AG55)</f>
        <v>0</v>
      </c>
      <c r="AI55" s="421">
        <v>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ref="AO55:AO60" si="148">AI55+AK55+AL55+AM55</f>
        <v>0</v>
      </c>
      <c r="AP55" s="421">
        <f t="shared" ref="AP55:AP60" si="149">AJ55+AN55</f>
        <v>0</v>
      </c>
      <c r="AQ55" s="421">
        <f t="shared" ref="AQ55:AQ60" si="150">SUM(AO55:AP55)</f>
        <v>0</v>
      </c>
      <c r="AR55" s="421">
        <f t="shared" ref="AR55:AS60" si="151">AF55+AO55</f>
        <v>0</v>
      </c>
      <c r="AS55" s="421">
        <f t="shared" si="151"/>
        <v>0</v>
      </c>
      <c r="AT55" s="421">
        <f t="shared" ref="AT55:AT60" si="152">SUM(AR55:AS55)</f>
        <v>0</v>
      </c>
      <c r="AU55" s="68">
        <f t="shared" ref="AU55:AU60" si="153">ROUND((AH55+AI55+AJ55+AK55+AL55)*33.8%,0)</f>
        <v>0</v>
      </c>
      <c r="AV55" s="68">
        <f t="shared" ref="AV55:AV60" si="154">ROUND(AH55*1%,0)</f>
        <v>0</v>
      </c>
      <c r="AW55" s="421">
        <v>0</v>
      </c>
      <c r="AX55" s="421">
        <v>0</v>
      </c>
      <c r="AY55" s="421">
        <f t="shared" ref="AY55:AY60" si="155">AW55+AX55</f>
        <v>0</v>
      </c>
      <c r="AZ55" s="421">
        <f t="shared" ref="AZ55:AZ60" si="156">AT55+AU55+AV55+AY55</f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 t="shared" ref="BK55:BK60" si="157">BA55+BC55+BD55+BF55+BH55+BI55</f>
        <v>0</v>
      </c>
      <c r="BL55" s="422">
        <f t="shared" ref="BL55:BL60" si="158">BB55+BE55+BG55+BJ55</f>
        <v>0</v>
      </c>
      <c r="BM55" s="611">
        <f t="shared" ref="BM55:BM60" si="159">SUM(BK55:BL55)</f>
        <v>0</v>
      </c>
      <c r="BN55" s="428">
        <f t="shared" ref="BN55:BN60" si="160">I55+AZ55</f>
        <v>1483471</v>
      </c>
      <c r="BO55" s="421">
        <f t="shared" ref="BO55:BO60" si="161">J55+AH55</f>
        <v>1097329</v>
      </c>
      <c r="BP55" s="421">
        <f t="shared" ref="BP55:BQ60" si="162">K55+AF55</f>
        <v>1037425</v>
      </c>
      <c r="BQ55" s="421">
        <f t="shared" si="162"/>
        <v>59904</v>
      </c>
      <c r="BR55" s="421">
        <f t="shared" ref="BR55:BR60" si="163">M55+AQ55</f>
        <v>0</v>
      </c>
      <c r="BS55" s="421">
        <f t="shared" ref="BS55:BT60" si="164">N55+AO55</f>
        <v>0</v>
      </c>
      <c r="BT55" s="421">
        <f t="shared" si="164"/>
        <v>0</v>
      </c>
      <c r="BU55" s="421">
        <f t="shared" ref="BU55:BV60" si="165">P55+AU55</f>
        <v>370897</v>
      </c>
      <c r="BV55" s="421">
        <f t="shared" si="165"/>
        <v>10973</v>
      </c>
      <c r="BW55" s="421">
        <f t="shared" ref="BW55:BW60" si="166">R55+AY55</f>
        <v>4272</v>
      </c>
      <c r="BX55" s="422">
        <f t="shared" ref="BX55:BX60" si="167">S55+BM55</f>
        <v>2.2400000000000002</v>
      </c>
      <c r="BY55" s="422">
        <f t="shared" ref="BY55:BZ60" si="168">T55+BK55</f>
        <v>2</v>
      </c>
      <c r="BZ55" s="611">
        <f t="shared" si="168"/>
        <v>0.24</v>
      </c>
      <c r="CA55" s="423"/>
      <c r="CB55" s="418"/>
      <c r="CC55" s="418"/>
      <c r="CD55" s="418"/>
      <c r="CE55" s="418"/>
      <c r="CF55" s="527"/>
    </row>
    <row r="56" spans="1:84" x14ac:dyDescent="0.2">
      <c r="A56" s="206">
        <v>10</v>
      </c>
      <c r="B56" s="207">
        <v>3424</v>
      </c>
      <c r="C56" s="207">
        <v>650040384</v>
      </c>
      <c r="D56" s="207">
        <v>72744561</v>
      </c>
      <c r="E56" s="205" t="s">
        <v>103</v>
      </c>
      <c r="F56" s="207">
        <v>3117</v>
      </c>
      <c r="G56" s="208" t="s">
        <v>294</v>
      </c>
      <c r="H56" s="684" t="s">
        <v>271</v>
      </c>
      <c r="I56" s="423">
        <f t="shared" si="139"/>
        <v>3120059</v>
      </c>
      <c r="J56" s="418">
        <f t="shared" ref="J56:J60" si="169">K56+L56</f>
        <v>2280276</v>
      </c>
      <c r="K56" s="418">
        <v>1958669</v>
      </c>
      <c r="L56" s="418">
        <v>321607</v>
      </c>
      <c r="M56" s="418">
        <f t="shared" si="140"/>
        <v>0</v>
      </c>
      <c r="N56" s="418"/>
      <c r="O56" s="418"/>
      <c r="P56" s="68">
        <f>ROUND(J56*33.8%,0)+1</f>
        <v>770734</v>
      </c>
      <c r="Q56" s="68">
        <f t="shared" si="142"/>
        <v>22803</v>
      </c>
      <c r="R56" s="418">
        <v>46246</v>
      </c>
      <c r="S56" s="419">
        <f t="shared" si="143"/>
        <v>3.7781000000000002</v>
      </c>
      <c r="T56" s="420">
        <v>2.8182</v>
      </c>
      <c r="U56" s="527">
        <v>0.95990000000000009</v>
      </c>
      <c r="V56" s="427">
        <f t="shared" si="144"/>
        <v>0</v>
      </c>
      <c r="W56" s="421">
        <f t="shared" si="144"/>
        <v>-17280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 t="shared" si="145"/>
        <v>0</v>
      </c>
      <c r="AG56" s="421">
        <f t="shared" si="146"/>
        <v>-17280</v>
      </c>
      <c r="AH56" s="421">
        <f t="shared" si="147"/>
        <v>-17280</v>
      </c>
      <c r="AI56" s="421">
        <v>0</v>
      </c>
      <c r="AJ56" s="421">
        <v>17280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48"/>
        <v>0</v>
      </c>
      <c r="AP56" s="421">
        <f t="shared" si="149"/>
        <v>17280</v>
      </c>
      <c r="AQ56" s="421">
        <f t="shared" si="150"/>
        <v>17280</v>
      </c>
      <c r="AR56" s="421">
        <f t="shared" si="151"/>
        <v>0</v>
      </c>
      <c r="AS56" s="421">
        <f t="shared" si="151"/>
        <v>0</v>
      </c>
      <c r="AT56" s="421">
        <f t="shared" si="152"/>
        <v>0</v>
      </c>
      <c r="AU56" s="68">
        <f t="shared" si="153"/>
        <v>0</v>
      </c>
      <c r="AV56" s="68">
        <f t="shared" si="154"/>
        <v>-173</v>
      </c>
      <c r="AW56" s="421">
        <v>0</v>
      </c>
      <c r="AX56" s="421">
        <v>0</v>
      </c>
      <c r="AY56" s="421">
        <f t="shared" si="155"/>
        <v>0</v>
      </c>
      <c r="AZ56" s="421">
        <f t="shared" si="156"/>
        <v>-173</v>
      </c>
      <c r="BA56" s="422">
        <v>0</v>
      </c>
      <c r="BB56" s="422">
        <v>-0.06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 t="shared" si="157"/>
        <v>0</v>
      </c>
      <c r="BL56" s="422">
        <f t="shared" si="158"/>
        <v>-0.06</v>
      </c>
      <c r="BM56" s="611">
        <f t="shared" si="159"/>
        <v>-0.06</v>
      </c>
      <c r="BN56" s="428">
        <f t="shared" si="160"/>
        <v>3119886</v>
      </c>
      <c r="BO56" s="421">
        <f t="shared" si="161"/>
        <v>2262996</v>
      </c>
      <c r="BP56" s="421">
        <f t="shared" si="162"/>
        <v>1958669</v>
      </c>
      <c r="BQ56" s="421">
        <f t="shared" si="162"/>
        <v>304327</v>
      </c>
      <c r="BR56" s="421">
        <f t="shared" si="163"/>
        <v>17280</v>
      </c>
      <c r="BS56" s="421">
        <f t="shared" si="164"/>
        <v>0</v>
      </c>
      <c r="BT56" s="421">
        <f t="shared" si="164"/>
        <v>17280</v>
      </c>
      <c r="BU56" s="421">
        <f t="shared" si="165"/>
        <v>770734</v>
      </c>
      <c r="BV56" s="421">
        <f t="shared" si="165"/>
        <v>22630</v>
      </c>
      <c r="BW56" s="421">
        <f t="shared" si="166"/>
        <v>46246</v>
      </c>
      <c r="BX56" s="422">
        <f t="shared" si="167"/>
        <v>3.7181000000000002</v>
      </c>
      <c r="BY56" s="422">
        <f t="shared" si="168"/>
        <v>2.8182</v>
      </c>
      <c r="BZ56" s="611">
        <f t="shared" si="168"/>
        <v>0.89990000000000014</v>
      </c>
      <c r="CA56" s="423"/>
      <c r="CB56" s="418"/>
      <c r="CC56" s="418"/>
      <c r="CD56" s="418"/>
      <c r="CE56" s="418"/>
      <c r="CF56" s="527"/>
    </row>
    <row r="57" spans="1:84" x14ac:dyDescent="0.2">
      <c r="A57" s="206">
        <v>10</v>
      </c>
      <c r="B57" s="207">
        <v>3424</v>
      </c>
      <c r="C57" s="207">
        <v>650040384</v>
      </c>
      <c r="D57" s="207">
        <v>72744561</v>
      </c>
      <c r="E57" s="205" t="s">
        <v>103</v>
      </c>
      <c r="F57" s="207">
        <v>3117</v>
      </c>
      <c r="G57" s="208" t="s">
        <v>292</v>
      </c>
      <c r="H57" s="684" t="s">
        <v>272</v>
      </c>
      <c r="I57" s="423">
        <f t="shared" si="139"/>
        <v>0</v>
      </c>
      <c r="J57" s="418">
        <f t="shared" si="169"/>
        <v>0</v>
      </c>
      <c r="K57" s="418">
        <v>0</v>
      </c>
      <c r="L57" s="418">
        <v>0</v>
      </c>
      <c r="M57" s="418">
        <f t="shared" si="140"/>
        <v>0</v>
      </c>
      <c r="N57" s="418"/>
      <c r="O57" s="418"/>
      <c r="P57" s="68">
        <f t="shared" si="141"/>
        <v>0</v>
      </c>
      <c r="Q57" s="68">
        <f t="shared" si="142"/>
        <v>0</v>
      </c>
      <c r="R57" s="418"/>
      <c r="S57" s="419">
        <f t="shared" si="143"/>
        <v>0</v>
      </c>
      <c r="T57" s="420">
        <v>0</v>
      </c>
      <c r="U57" s="527">
        <v>0</v>
      </c>
      <c r="V57" s="427">
        <f t="shared" si="144"/>
        <v>0</v>
      </c>
      <c r="W57" s="421">
        <f t="shared" si="144"/>
        <v>0</v>
      </c>
      <c r="X57" s="421">
        <v>236905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 t="shared" si="145"/>
        <v>236905</v>
      </c>
      <c r="AG57" s="421">
        <f t="shared" si="146"/>
        <v>0</v>
      </c>
      <c r="AH57" s="421">
        <f t="shared" si="147"/>
        <v>236905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48"/>
        <v>0</v>
      </c>
      <c r="AP57" s="421">
        <f t="shared" si="149"/>
        <v>0</v>
      </c>
      <c r="AQ57" s="421">
        <f t="shared" si="150"/>
        <v>0</v>
      </c>
      <c r="AR57" s="421">
        <f t="shared" si="151"/>
        <v>236905</v>
      </c>
      <c r="AS57" s="421">
        <f t="shared" si="151"/>
        <v>0</v>
      </c>
      <c r="AT57" s="421">
        <f t="shared" si="152"/>
        <v>236905</v>
      </c>
      <c r="AU57" s="68">
        <f t="shared" si="153"/>
        <v>80074</v>
      </c>
      <c r="AV57" s="68">
        <f t="shared" si="154"/>
        <v>2369</v>
      </c>
      <c r="AW57" s="421">
        <v>0</v>
      </c>
      <c r="AX57" s="421">
        <v>0</v>
      </c>
      <c r="AY57" s="421">
        <f t="shared" si="155"/>
        <v>0</v>
      </c>
      <c r="AZ57" s="421">
        <f t="shared" si="156"/>
        <v>319348</v>
      </c>
      <c r="BA57" s="422">
        <v>0</v>
      </c>
      <c r="BB57" s="422">
        <v>0</v>
      </c>
      <c r="BC57" s="422">
        <v>0.64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 t="shared" si="157"/>
        <v>0.64</v>
      </c>
      <c r="BL57" s="422">
        <f t="shared" si="158"/>
        <v>0</v>
      </c>
      <c r="BM57" s="611">
        <f t="shared" si="159"/>
        <v>0.64</v>
      </c>
      <c r="BN57" s="428">
        <f t="shared" si="160"/>
        <v>319348</v>
      </c>
      <c r="BO57" s="421">
        <f t="shared" si="161"/>
        <v>236905</v>
      </c>
      <c r="BP57" s="421">
        <f t="shared" si="162"/>
        <v>236905</v>
      </c>
      <c r="BQ57" s="421">
        <f t="shared" si="162"/>
        <v>0</v>
      </c>
      <c r="BR57" s="421">
        <f t="shared" si="163"/>
        <v>0</v>
      </c>
      <c r="BS57" s="421">
        <f t="shared" si="164"/>
        <v>0</v>
      </c>
      <c r="BT57" s="421">
        <f t="shared" si="164"/>
        <v>0</v>
      </c>
      <c r="BU57" s="421">
        <f t="shared" si="165"/>
        <v>80074</v>
      </c>
      <c r="BV57" s="421">
        <f t="shared" si="165"/>
        <v>2369</v>
      </c>
      <c r="BW57" s="421">
        <f t="shared" si="166"/>
        <v>0</v>
      </c>
      <c r="BX57" s="422">
        <f t="shared" si="167"/>
        <v>0.64</v>
      </c>
      <c r="BY57" s="422">
        <f t="shared" si="168"/>
        <v>0.64</v>
      </c>
      <c r="BZ57" s="611">
        <f t="shared" si="168"/>
        <v>0</v>
      </c>
      <c r="CA57" s="423"/>
      <c r="CB57" s="418"/>
      <c r="CC57" s="418"/>
      <c r="CD57" s="418"/>
      <c r="CE57" s="418"/>
      <c r="CF57" s="527"/>
    </row>
    <row r="58" spans="1:84" x14ac:dyDescent="0.2">
      <c r="A58" s="206">
        <v>10</v>
      </c>
      <c r="B58" s="207">
        <v>3424</v>
      </c>
      <c r="C58" s="207">
        <v>650040384</v>
      </c>
      <c r="D58" s="207">
        <v>72744561</v>
      </c>
      <c r="E58" s="205" t="s">
        <v>103</v>
      </c>
      <c r="F58" s="207">
        <v>3141</v>
      </c>
      <c r="G58" s="208" t="s">
        <v>295</v>
      </c>
      <c r="H58" s="684" t="s">
        <v>272</v>
      </c>
      <c r="I58" s="423">
        <f t="shared" si="139"/>
        <v>466727</v>
      </c>
      <c r="J58" s="418">
        <f t="shared" si="169"/>
        <v>344619</v>
      </c>
      <c r="K58" s="418">
        <v>0</v>
      </c>
      <c r="L58" s="418">
        <v>344619</v>
      </c>
      <c r="M58" s="418">
        <f t="shared" si="140"/>
        <v>0</v>
      </c>
      <c r="N58" s="418"/>
      <c r="O58" s="418"/>
      <c r="P58" s="68">
        <f t="shared" si="141"/>
        <v>116481</v>
      </c>
      <c r="Q58" s="68">
        <f t="shared" si="142"/>
        <v>3446</v>
      </c>
      <c r="R58" s="418">
        <v>2181</v>
      </c>
      <c r="S58" s="419">
        <f t="shared" si="143"/>
        <v>1.03</v>
      </c>
      <c r="T58" s="420">
        <v>0</v>
      </c>
      <c r="U58" s="527">
        <v>1.03</v>
      </c>
      <c r="V58" s="427">
        <f t="shared" si="144"/>
        <v>0</v>
      </c>
      <c r="W58" s="421">
        <f t="shared" si="144"/>
        <v>0</v>
      </c>
      <c r="X58" s="421">
        <v>0</v>
      </c>
      <c r="Y58" s="421">
        <v>0</v>
      </c>
      <c r="Z58" s="421">
        <v>0</v>
      </c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f t="shared" si="145"/>
        <v>0</v>
      </c>
      <c r="AG58" s="421">
        <f t="shared" si="146"/>
        <v>0</v>
      </c>
      <c r="AH58" s="421">
        <f t="shared" si="147"/>
        <v>0</v>
      </c>
      <c r="AI58" s="421">
        <v>0</v>
      </c>
      <c r="AJ58" s="421">
        <v>0</v>
      </c>
      <c r="AK58" s="421">
        <v>0</v>
      </c>
      <c r="AL58" s="421">
        <v>0</v>
      </c>
      <c r="AM58" s="421">
        <v>0</v>
      </c>
      <c r="AN58" s="421">
        <v>0</v>
      </c>
      <c r="AO58" s="421">
        <f t="shared" si="148"/>
        <v>0</v>
      </c>
      <c r="AP58" s="421">
        <f t="shared" si="149"/>
        <v>0</v>
      </c>
      <c r="AQ58" s="421">
        <f t="shared" si="150"/>
        <v>0</v>
      </c>
      <c r="AR58" s="421">
        <f t="shared" si="151"/>
        <v>0</v>
      </c>
      <c r="AS58" s="421">
        <f t="shared" si="151"/>
        <v>0</v>
      </c>
      <c r="AT58" s="421">
        <f t="shared" si="152"/>
        <v>0</v>
      </c>
      <c r="AU58" s="68">
        <f t="shared" si="153"/>
        <v>0</v>
      </c>
      <c r="AV58" s="68">
        <f t="shared" si="154"/>
        <v>0</v>
      </c>
      <c r="AW58" s="421">
        <v>0</v>
      </c>
      <c r="AX58" s="421">
        <v>0</v>
      </c>
      <c r="AY58" s="421">
        <f t="shared" si="155"/>
        <v>0</v>
      </c>
      <c r="AZ58" s="421">
        <f t="shared" si="156"/>
        <v>0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0</v>
      </c>
      <c r="BK58" s="422">
        <f t="shared" si="157"/>
        <v>0</v>
      </c>
      <c r="BL58" s="422">
        <f t="shared" si="158"/>
        <v>0</v>
      </c>
      <c r="BM58" s="611">
        <f t="shared" si="159"/>
        <v>0</v>
      </c>
      <c r="BN58" s="428">
        <f t="shared" si="160"/>
        <v>466727</v>
      </c>
      <c r="BO58" s="421">
        <f t="shared" si="161"/>
        <v>344619</v>
      </c>
      <c r="BP58" s="421">
        <f t="shared" si="162"/>
        <v>0</v>
      </c>
      <c r="BQ58" s="421">
        <f t="shared" si="162"/>
        <v>344619</v>
      </c>
      <c r="BR58" s="421">
        <f t="shared" si="163"/>
        <v>0</v>
      </c>
      <c r="BS58" s="421">
        <f t="shared" si="164"/>
        <v>0</v>
      </c>
      <c r="BT58" s="421">
        <f t="shared" si="164"/>
        <v>0</v>
      </c>
      <c r="BU58" s="421">
        <f t="shared" si="165"/>
        <v>116481</v>
      </c>
      <c r="BV58" s="421">
        <f t="shared" si="165"/>
        <v>3446</v>
      </c>
      <c r="BW58" s="421">
        <f t="shared" si="166"/>
        <v>2181</v>
      </c>
      <c r="BX58" s="422">
        <f t="shared" si="167"/>
        <v>1.03</v>
      </c>
      <c r="BY58" s="422">
        <f t="shared" si="168"/>
        <v>0</v>
      </c>
      <c r="BZ58" s="611">
        <f t="shared" si="168"/>
        <v>1.03</v>
      </c>
      <c r="CA58" s="423"/>
      <c r="CB58" s="418"/>
      <c r="CC58" s="418"/>
      <c r="CD58" s="418"/>
      <c r="CE58" s="418"/>
      <c r="CF58" s="527"/>
    </row>
    <row r="59" spans="1:84" x14ac:dyDescent="0.2">
      <c r="A59" s="206">
        <v>10</v>
      </c>
      <c r="B59" s="207">
        <v>3424</v>
      </c>
      <c r="C59" s="207">
        <v>650040384</v>
      </c>
      <c r="D59" s="207">
        <v>72744561</v>
      </c>
      <c r="E59" s="205" t="s">
        <v>103</v>
      </c>
      <c r="F59" s="207">
        <v>3143</v>
      </c>
      <c r="G59" s="208" t="s">
        <v>596</v>
      </c>
      <c r="H59" s="686" t="s">
        <v>271</v>
      </c>
      <c r="I59" s="423">
        <f t="shared" si="139"/>
        <v>619255</v>
      </c>
      <c r="J59" s="418">
        <f t="shared" si="169"/>
        <v>459388</v>
      </c>
      <c r="K59" s="418">
        <v>459388</v>
      </c>
      <c r="L59" s="418">
        <v>0</v>
      </c>
      <c r="M59" s="418">
        <f t="shared" si="140"/>
        <v>0</v>
      </c>
      <c r="N59" s="418"/>
      <c r="O59" s="418"/>
      <c r="P59" s="68">
        <f t="shared" si="141"/>
        <v>155273</v>
      </c>
      <c r="Q59" s="68">
        <f t="shared" si="142"/>
        <v>4594</v>
      </c>
      <c r="R59" s="418">
        <v>0</v>
      </c>
      <c r="S59" s="419">
        <f t="shared" si="143"/>
        <v>0.86199999999999999</v>
      </c>
      <c r="T59" s="420">
        <v>0.86199999999999999</v>
      </c>
      <c r="U59" s="527">
        <v>0</v>
      </c>
      <c r="V59" s="427">
        <f t="shared" si="144"/>
        <v>0</v>
      </c>
      <c r="W59" s="421">
        <f t="shared" si="144"/>
        <v>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 t="shared" si="145"/>
        <v>0</v>
      </c>
      <c r="AG59" s="421">
        <f t="shared" si="146"/>
        <v>0</v>
      </c>
      <c r="AH59" s="421">
        <f t="shared" si="147"/>
        <v>0</v>
      </c>
      <c r="AI59" s="421">
        <v>0</v>
      </c>
      <c r="AJ59" s="421">
        <v>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si="148"/>
        <v>0</v>
      </c>
      <c r="AP59" s="421">
        <f t="shared" si="149"/>
        <v>0</v>
      </c>
      <c r="AQ59" s="421">
        <f t="shared" si="150"/>
        <v>0</v>
      </c>
      <c r="AR59" s="421">
        <f t="shared" si="151"/>
        <v>0</v>
      </c>
      <c r="AS59" s="421">
        <f t="shared" si="151"/>
        <v>0</v>
      </c>
      <c r="AT59" s="421">
        <f t="shared" si="152"/>
        <v>0</v>
      </c>
      <c r="AU59" s="68">
        <f t="shared" si="153"/>
        <v>0</v>
      </c>
      <c r="AV59" s="68">
        <f t="shared" si="154"/>
        <v>0</v>
      </c>
      <c r="AW59" s="421">
        <v>0</v>
      </c>
      <c r="AX59" s="421">
        <v>0</v>
      </c>
      <c r="AY59" s="421">
        <f t="shared" si="155"/>
        <v>0</v>
      </c>
      <c r="AZ59" s="421">
        <f t="shared" si="156"/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 t="shared" si="157"/>
        <v>0</v>
      </c>
      <c r="BL59" s="422">
        <f t="shared" si="158"/>
        <v>0</v>
      </c>
      <c r="BM59" s="611">
        <f t="shared" si="159"/>
        <v>0</v>
      </c>
      <c r="BN59" s="428">
        <f t="shared" si="160"/>
        <v>619255</v>
      </c>
      <c r="BO59" s="421">
        <f t="shared" si="161"/>
        <v>459388</v>
      </c>
      <c r="BP59" s="421">
        <f t="shared" si="162"/>
        <v>459388</v>
      </c>
      <c r="BQ59" s="421">
        <f t="shared" si="162"/>
        <v>0</v>
      </c>
      <c r="BR59" s="421">
        <f t="shared" si="163"/>
        <v>0</v>
      </c>
      <c r="BS59" s="421">
        <f t="shared" si="164"/>
        <v>0</v>
      </c>
      <c r="BT59" s="421">
        <f t="shared" si="164"/>
        <v>0</v>
      </c>
      <c r="BU59" s="421">
        <f t="shared" si="165"/>
        <v>155273</v>
      </c>
      <c r="BV59" s="421">
        <f t="shared" si="165"/>
        <v>4594</v>
      </c>
      <c r="BW59" s="421">
        <f t="shared" si="166"/>
        <v>0</v>
      </c>
      <c r="BX59" s="422">
        <f t="shared" si="167"/>
        <v>0.86199999999999999</v>
      </c>
      <c r="BY59" s="422">
        <f t="shared" si="168"/>
        <v>0.86199999999999999</v>
      </c>
      <c r="BZ59" s="611">
        <f t="shared" si="168"/>
        <v>0</v>
      </c>
      <c r="CA59" s="423"/>
      <c r="CB59" s="418"/>
      <c r="CC59" s="418"/>
      <c r="CD59" s="418"/>
      <c r="CE59" s="418"/>
      <c r="CF59" s="527"/>
    </row>
    <row r="60" spans="1:84" x14ac:dyDescent="0.2">
      <c r="A60" s="206">
        <v>10</v>
      </c>
      <c r="B60" s="207">
        <v>3424</v>
      </c>
      <c r="C60" s="207">
        <v>650040384</v>
      </c>
      <c r="D60" s="207">
        <v>72744561</v>
      </c>
      <c r="E60" s="205" t="s">
        <v>103</v>
      </c>
      <c r="F60" s="207">
        <v>3143</v>
      </c>
      <c r="G60" s="208" t="s">
        <v>597</v>
      </c>
      <c r="H60" s="686" t="s">
        <v>272</v>
      </c>
      <c r="I60" s="423">
        <f t="shared" si="139"/>
        <v>12799</v>
      </c>
      <c r="J60" s="418">
        <f t="shared" si="169"/>
        <v>9161</v>
      </c>
      <c r="K60" s="418">
        <v>0</v>
      </c>
      <c r="L60" s="418">
        <v>9161</v>
      </c>
      <c r="M60" s="418">
        <f t="shared" si="140"/>
        <v>0</v>
      </c>
      <c r="N60" s="418"/>
      <c r="O60" s="418"/>
      <c r="P60" s="68">
        <f t="shared" si="141"/>
        <v>3096</v>
      </c>
      <c r="Q60" s="68">
        <f t="shared" si="142"/>
        <v>92</v>
      </c>
      <c r="R60" s="418">
        <v>450</v>
      </c>
      <c r="S60" s="419">
        <f t="shared" si="143"/>
        <v>0.03</v>
      </c>
      <c r="T60" s="420">
        <v>0</v>
      </c>
      <c r="U60" s="527">
        <v>0.03</v>
      </c>
      <c r="V60" s="427">
        <f t="shared" si="144"/>
        <v>0</v>
      </c>
      <c r="W60" s="421">
        <f t="shared" si="144"/>
        <v>0</v>
      </c>
      <c r="X60" s="421">
        <v>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145"/>
        <v>0</v>
      </c>
      <c r="AG60" s="421">
        <f t="shared" si="146"/>
        <v>0</v>
      </c>
      <c r="AH60" s="421">
        <f t="shared" si="147"/>
        <v>0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48"/>
        <v>0</v>
      </c>
      <c r="AP60" s="421">
        <f t="shared" si="149"/>
        <v>0</v>
      </c>
      <c r="AQ60" s="421">
        <f t="shared" si="150"/>
        <v>0</v>
      </c>
      <c r="AR60" s="421">
        <f t="shared" si="151"/>
        <v>0</v>
      </c>
      <c r="AS60" s="421">
        <f t="shared" si="151"/>
        <v>0</v>
      </c>
      <c r="AT60" s="421">
        <f t="shared" si="152"/>
        <v>0</v>
      </c>
      <c r="AU60" s="68">
        <f t="shared" si="153"/>
        <v>0</v>
      </c>
      <c r="AV60" s="68">
        <f t="shared" si="154"/>
        <v>0</v>
      </c>
      <c r="AW60" s="421">
        <v>0</v>
      </c>
      <c r="AX60" s="421">
        <v>0</v>
      </c>
      <c r="AY60" s="421">
        <f t="shared" si="155"/>
        <v>0</v>
      </c>
      <c r="AZ60" s="421">
        <f t="shared" si="156"/>
        <v>0</v>
      </c>
      <c r="BA60" s="422">
        <v>0</v>
      </c>
      <c r="BB60" s="422">
        <v>0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 t="shared" si="157"/>
        <v>0</v>
      </c>
      <c r="BL60" s="422">
        <f t="shared" si="158"/>
        <v>0</v>
      </c>
      <c r="BM60" s="611">
        <f t="shared" si="159"/>
        <v>0</v>
      </c>
      <c r="BN60" s="428">
        <f t="shared" si="160"/>
        <v>12799</v>
      </c>
      <c r="BO60" s="421">
        <f t="shared" si="161"/>
        <v>9161</v>
      </c>
      <c r="BP60" s="421">
        <f t="shared" si="162"/>
        <v>0</v>
      </c>
      <c r="BQ60" s="421">
        <f t="shared" si="162"/>
        <v>9161</v>
      </c>
      <c r="BR60" s="421">
        <f t="shared" si="163"/>
        <v>0</v>
      </c>
      <c r="BS60" s="421">
        <f t="shared" si="164"/>
        <v>0</v>
      </c>
      <c r="BT60" s="421">
        <f t="shared" si="164"/>
        <v>0</v>
      </c>
      <c r="BU60" s="421">
        <f t="shared" si="165"/>
        <v>3096</v>
      </c>
      <c r="BV60" s="421">
        <f t="shared" si="165"/>
        <v>92</v>
      </c>
      <c r="BW60" s="421">
        <f t="shared" si="166"/>
        <v>450</v>
      </c>
      <c r="BX60" s="422">
        <f t="shared" si="167"/>
        <v>0.03</v>
      </c>
      <c r="BY60" s="422">
        <f t="shared" si="168"/>
        <v>0</v>
      </c>
      <c r="BZ60" s="611">
        <f t="shared" si="168"/>
        <v>0.03</v>
      </c>
      <c r="CA60" s="423"/>
      <c r="CB60" s="418"/>
      <c r="CC60" s="418"/>
      <c r="CD60" s="418"/>
      <c r="CE60" s="418"/>
      <c r="CF60" s="527"/>
    </row>
    <row r="61" spans="1:84" x14ac:dyDescent="0.2">
      <c r="A61" s="155">
        <v>10</v>
      </c>
      <c r="B61" s="18">
        <v>3424</v>
      </c>
      <c r="C61" s="18">
        <v>650040384</v>
      </c>
      <c r="D61" s="18">
        <v>72744561</v>
      </c>
      <c r="E61" s="164" t="s">
        <v>104</v>
      </c>
      <c r="F61" s="18"/>
      <c r="G61" s="154"/>
      <c r="H61" s="685"/>
      <c r="I61" s="453">
        <f t="shared" ref="I61:BT61" si="170">SUM(I55:I60)</f>
        <v>5702311</v>
      </c>
      <c r="J61" s="449">
        <f t="shared" si="170"/>
        <v>4190773</v>
      </c>
      <c r="K61" s="449">
        <f t="shared" si="170"/>
        <v>3455482</v>
      </c>
      <c r="L61" s="449">
        <f t="shared" si="170"/>
        <v>735291</v>
      </c>
      <c r="M61" s="449">
        <f t="shared" si="170"/>
        <v>0</v>
      </c>
      <c r="N61" s="449">
        <f t="shared" si="170"/>
        <v>0</v>
      </c>
      <c r="O61" s="449">
        <f t="shared" si="170"/>
        <v>0</v>
      </c>
      <c r="P61" s="449">
        <f t="shared" si="170"/>
        <v>1416481</v>
      </c>
      <c r="Q61" s="449">
        <f t="shared" si="170"/>
        <v>41908</v>
      </c>
      <c r="R61" s="449">
        <f t="shared" si="170"/>
        <v>53149</v>
      </c>
      <c r="S61" s="450">
        <f t="shared" si="170"/>
        <v>7.940100000000001</v>
      </c>
      <c r="T61" s="450">
        <f t="shared" si="170"/>
        <v>5.6802000000000001</v>
      </c>
      <c r="U61" s="40">
        <f t="shared" si="170"/>
        <v>2.2598999999999996</v>
      </c>
      <c r="V61" s="457">
        <f t="shared" si="170"/>
        <v>0</v>
      </c>
      <c r="W61" s="449">
        <f t="shared" si="170"/>
        <v>-17280</v>
      </c>
      <c r="X61" s="449">
        <f t="shared" si="170"/>
        <v>236905</v>
      </c>
      <c r="Y61" s="449">
        <f t="shared" si="170"/>
        <v>0</v>
      </c>
      <c r="Z61" s="449">
        <f t="shared" si="170"/>
        <v>0</v>
      </c>
      <c r="AA61" s="449">
        <f t="shared" si="170"/>
        <v>0</v>
      </c>
      <c r="AB61" s="449">
        <f t="shared" si="170"/>
        <v>0</v>
      </c>
      <c r="AC61" s="449">
        <f t="shared" si="170"/>
        <v>0</v>
      </c>
      <c r="AD61" s="449">
        <f t="shared" si="170"/>
        <v>0</v>
      </c>
      <c r="AE61" s="449">
        <f t="shared" si="170"/>
        <v>0</v>
      </c>
      <c r="AF61" s="449">
        <f t="shared" si="170"/>
        <v>236905</v>
      </c>
      <c r="AG61" s="449">
        <f t="shared" si="170"/>
        <v>-17280</v>
      </c>
      <c r="AH61" s="449">
        <f t="shared" si="170"/>
        <v>219625</v>
      </c>
      <c r="AI61" s="449">
        <f t="shared" si="170"/>
        <v>0</v>
      </c>
      <c r="AJ61" s="449">
        <f t="shared" si="170"/>
        <v>17280</v>
      </c>
      <c r="AK61" s="449">
        <f t="shared" ref="AK61" si="171">SUM(AK55:AK60)</f>
        <v>0</v>
      </c>
      <c r="AL61" s="449">
        <f t="shared" si="170"/>
        <v>0</v>
      </c>
      <c r="AM61" s="449">
        <f t="shared" si="170"/>
        <v>0</v>
      </c>
      <c r="AN61" s="449">
        <f t="shared" si="170"/>
        <v>0</v>
      </c>
      <c r="AO61" s="449">
        <f t="shared" si="170"/>
        <v>0</v>
      </c>
      <c r="AP61" s="449">
        <f t="shared" si="170"/>
        <v>17280</v>
      </c>
      <c r="AQ61" s="449">
        <f t="shared" si="170"/>
        <v>17280</v>
      </c>
      <c r="AR61" s="449">
        <f t="shared" si="170"/>
        <v>236905</v>
      </c>
      <c r="AS61" s="449">
        <f t="shared" si="170"/>
        <v>0</v>
      </c>
      <c r="AT61" s="449">
        <f t="shared" si="170"/>
        <v>236905</v>
      </c>
      <c r="AU61" s="449">
        <f t="shared" si="170"/>
        <v>80074</v>
      </c>
      <c r="AV61" s="449">
        <f t="shared" si="170"/>
        <v>2196</v>
      </c>
      <c r="AW61" s="449">
        <f t="shared" si="170"/>
        <v>0</v>
      </c>
      <c r="AX61" s="449">
        <f t="shared" si="170"/>
        <v>0</v>
      </c>
      <c r="AY61" s="449">
        <f t="shared" si="170"/>
        <v>0</v>
      </c>
      <c r="AZ61" s="449">
        <f t="shared" si="170"/>
        <v>319175</v>
      </c>
      <c r="BA61" s="450">
        <f t="shared" si="170"/>
        <v>0</v>
      </c>
      <c r="BB61" s="450">
        <f t="shared" si="170"/>
        <v>-0.06</v>
      </c>
      <c r="BC61" s="450">
        <f t="shared" si="170"/>
        <v>0.64</v>
      </c>
      <c r="BD61" s="450">
        <f t="shared" si="170"/>
        <v>0</v>
      </c>
      <c r="BE61" s="450">
        <f t="shared" si="170"/>
        <v>0</v>
      </c>
      <c r="BF61" s="450">
        <f t="shared" si="170"/>
        <v>0</v>
      </c>
      <c r="BG61" s="450">
        <f t="shared" si="170"/>
        <v>0</v>
      </c>
      <c r="BH61" s="450">
        <f t="shared" si="170"/>
        <v>0</v>
      </c>
      <c r="BI61" s="450">
        <f t="shared" si="170"/>
        <v>0</v>
      </c>
      <c r="BJ61" s="450">
        <f t="shared" si="170"/>
        <v>0</v>
      </c>
      <c r="BK61" s="450">
        <f t="shared" si="170"/>
        <v>0.64</v>
      </c>
      <c r="BL61" s="450">
        <f t="shared" si="170"/>
        <v>-0.06</v>
      </c>
      <c r="BM61" s="455">
        <f t="shared" si="170"/>
        <v>0.58000000000000007</v>
      </c>
      <c r="BN61" s="453">
        <f t="shared" si="170"/>
        <v>6021486</v>
      </c>
      <c r="BO61" s="449">
        <f t="shared" si="170"/>
        <v>4410398</v>
      </c>
      <c r="BP61" s="449">
        <f t="shared" si="170"/>
        <v>3692387</v>
      </c>
      <c r="BQ61" s="449">
        <f t="shared" si="170"/>
        <v>718011</v>
      </c>
      <c r="BR61" s="449">
        <f t="shared" si="170"/>
        <v>17280</v>
      </c>
      <c r="BS61" s="449">
        <f t="shared" si="170"/>
        <v>0</v>
      </c>
      <c r="BT61" s="449">
        <f t="shared" si="170"/>
        <v>17280</v>
      </c>
      <c r="BU61" s="449">
        <f t="shared" ref="BU61:CF61" si="172">SUM(BU55:BU60)</f>
        <v>1496555</v>
      </c>
      <c r="BV61" s="449">
        <f t="shared" si="172"/>
        <v>44104</v>
      </c>
      <c r="BW61" s="449">
        <f t="shared" si="172"/>
        <v>53149</v>
      </c>
      <c r="BX61" s="450">
        <f t="shared" si="172"/>
        <v>8.5200999999999993</v>
      </c>
      <c r="BY61" s="450">
        <f t="shared" si="172"/>
        <v>6.3201999999999998</v>
      </c>
      <c r="BZ61" s="455">
        <f t="shared" si="172"/>
        <v>2.1999</v>
      </c>
      <c r="CA61" s="853">
        <f t="shared" si="172"/>
        <v>0</v>
      </c>
      <c r="CB61" s="851">
        <f t="shared" si="172"/>
        <v>0</v>
      </c>
      <c r="CC61" s="851">
        <f t="shared" si="172"/>
        <v>0</v>
      </c>
      <c r="CD61" s="851">
        <f t="shared" si="172"/>
        <v>0</v>
      </c>
      <c r="CE61" s="851">
        <f t="shared" si="172"/>
        <v>0</v>
      </c>
      <c r="CF61" s="849">
        <f t="shared" si="172"/>
        <v>0</v>
      </c>
    </row>
    <row r="62" spans="1:84" x14ac:dyDescent="0.2">
      <c r="A62" s="206">
        <v>11</v>
      </c>
      <c r="B62" s="207">
        <v>3430</v>
      </c>
      <c r="C62" s="207">
        <v>600078183</v>
      </c>
      <c r="D62" s="207">
        <v>72744405</v>
      </c>
      <c r="E62" s="205" t="s">
        <v>105</v>
      </c>
      <c r="F62" s="207">
        <v>3111</v>
      </c>
      <c r="G62" s="208" t="s">
        <v>291</v>
      </c>
      <c r="H62" s="684" t="s">
        <v>271</v>
      </c>
      <c r="I62" s="423">
        <f t="shared" ref="I62:I64" si="173">J62+P62+Q62+R62</f>
        <v>3710427</v>
      </c>
      <c r="J62" s="418">
        <f>K62+L62</f>
        <v>2743233</v>
      </c>
      <c r="K62" s="418">
        <v>2508113</v>
      </c>
      <c r="L62" s="418">
        <v>235120</v>
      </c>
      <c r="M62" s="418">
        <f>N62+O62</f>
        <v>0</v>
      </c>
      <c r="N62" s="418"/>
      <c r="O62" s="418"/>
      <c r="P62" s="68">
        <f t="shared" ref="P62:P64" si="174">ROUND(J62*33.8%,0)</f>
        <v>927213</v>
      </c>
      <c r="Q62" s="68">
        <f t="shared" ref="Q62:Q64" si="175">ROUND(J62*1%,0)</f>
        <v>27432</v>
      </c>
      <c r="R62" s="418">
        <v>12549</v>
      </c>
      <c r="S62" s="419">
        <f>T62+U62</f>
        <v>4.8001000000000005</v>
      </c>
      <c r="T62" s="420">
        <v>4</v>
      </c>
      <c r="U62" s="527">
        <v>0.80010000000000003</v>
      </c>
      <c r="V62" s="427">
        <f t="shared" ref="V62:W64" si="176">AI62*-1</f>
        <v>0</v>
      </c>
      <c r="W62" s="421">
        <f t="shared" si="176"/>
        <v>-6400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>V62+X62+Y62+AA62+AB62+AD62</f>
        <v>0</v>
      </c>
      <c r="AG62" s="421">
        <f>W62+Z62+AC62+AE62</f>
        <v>-6400</v>
      </c>
      <c r="AH62" s="421">
        <f>SUM(AF62:AG62)</f>
        <v>-6400</v>
      </c>
      <c r="AI62" s="421">
        <v>0</v>
      </c>
      <c r="AJ62" s="421">
        <v>6400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ref="AO62:AO64" si="177">AI62+AK62+AL62+AM62</f>
        <v>0</v>
      </c>
      <c r="AP62" s="421">
        <f>AJ62+AN62</f>
        <v>6400</v>
      </c>
      <c r="AQ62" s="421">
        <f>SUM(AO62:AP62)</f>
        <v>6400</v>
      </c>
      <c r="AR62" s="421">
        <f t="shared" ref="AR62:AS64" si="178">AF62+AO62</f>
        <v>0</v>
      </c>
      <c r="AS62" s="421">
        <f t="shared" si="178"/>
        <v>0</v>
      </c>
      <c r="AT62" s="421">
        <f>SUM(AR62:AS62)</f>
        <v>0</v>
      </c>
      <c r="AU62" s="68">
        <f t="shared" ref="AU62:AU64" si="179">ROUND((AH62+AI62+AJ62+AK62+AL62)*33.8%,0)</f>
        <v>0</v>
      </c>
      <c r="AV62" s="68">
        <f>ROUND(AH62*1%,0)</f>
        <v>-64</v>
      </c>
      <c r="AW62" s="421">
        <v>0</v>
      </c>
      <c r="AX62" s="421">
        <v>0</v>
      </c>
      <c r="AY62" s="421">
        <f>AW62+AX62</f>
        <v>0</v>
      </c>
      <c r="AZ62" s="421">
        <f>AT62+AU62+AV62+AY62</f>
        <v>-64</v>
      </c>
      <c r="BA62" s="422">
        <v>0</v>
      </c>
      <c r="BB62" s="422">
        <v>-0.03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>BA62+BC62+BD62+BF62+BH62+BI62</f>
        <v>0</v>
      </c>
      <c r="BL62" s="422">
        <f>BB62+BE62+BG62+BJ62</f>
        <v>-0.03</v>
      </c>
      <c r="BM62" s="611">
        <f>SUM(BK62:BL62)</f>
        <v>-0.03</v>
      </c>
      <c r="BN62" s="428">
        <f>I62+AZ62</f>
        <v>3710363</v>
      </c>
      <c r="BO62" s="421">
        <f>J62+AH62</f>
        <v>2736833</v>
      </c>
      <c r="BP62" s="421">
        <f t="shared" ref="BP62:BQ64" si="180">K62+AF62</f>
        <v>2508113</v>
      </c>
      <c r="BQ62" s="421">
        <f t="shared" si="180"/>
        <v>228720</v>
      </c>
      <c r="BR62" s="421">
        <f>M62+AQ62</f>
        <v>6400</v>
      </c>
      <c r="BS62" s="421">
        <f t="shared" ref="BS62:BT64" si="181">N62+AO62</f>
        <v>0</v>
      </c>
      <c r="BT62" s="421">
        <f t="shared" si="181"/>
        <v>6400</v>
      </c>
      <c r="BU62" s="421">
        <f t="shared" ref="BU62:BV64" si="182">P62+AU62</f>
        <v>927213</v>
      </c>
      <c r="BV62" s="421">
        <f t="shared" si="182"/>
        <v>27368</v>
      </c>
      <c r="BW62" s="421">
        <f>R62+AY62</f>
        <v>12549</v>
      </c>
      <c r="BX62" s="422">
        <f>S62+BM62</f>
        <v>4.7701000000000002</v>
      </c>
      <c r="BY62" s="422">
        <f t="shared" ref="BY62:BZ64" si="183">T62+BK62</f>
        <v>4</v>
      </c>
      <c r="BZ62" s="611">
        <f t="shared" si="183"/>
        <v>0.77010000000000001</v>
      </c>
      <c r="CA62" s="423"/>
      <c r="CB62" s="418"/>
      <c r="CC62" s="418"/>
      <c r="CD62" s="418"/>
      <c r="CE62" s="418"/>
      <c r="CF62" s="527"/>
    </row>
    <row r="63" spans="1:84" x14ac:dyDescent="0.2">
      <c r="A63" s="206">
        <v>11</v>
      </c>
      <c r="B63" s="207">
        <v>3430</v>
      </c>
      <c r="C63" s="207">
        <v>600078183</v>
      </c>
      <c r="D63" s="207">
        <v>72744405</v>
      </c>
      <c r="E63" s="205" t="s">
        <v>105</v>
      </c>
      <c r="F63" s="207">
        <v>3111</v>
      </c>
      <c r="G63" s="208" t="s">
        <v>292</v>
      </c>
      <c r="H63" s="684" t="s">
        <v>272</v>
      </c>
      <c r="I63" s="423">
        <f t="shared" si="173"/>
        <v>0</v>
      </c>
      <c r="J63" s="418">
        <f>K63+L63</f>
        <v>0</v>
      </c>
      <c r="K63" s="418">
        <v>0</v>
      </c>
      <c r="L63" s="418">
        <v>0</v>
      </c>
      <c r="M63" s="418">
        <f>N63+O63</f>
        <v>0</v>
      </c>
      <c r="N63" s="418"/>
      <c r="O63" s="418"/>
      <c r="P63" s="68">
        <f t="shared" si="174"/>
        <v>0</v>
      </c>
      <c r="Q63" s="68">
        <f t="shared" si="175"/>
        <v>0</v>
      </c>
      <c r="R63" s="418">
        <v>0</v>
      </c>
      <c r="S63" s="419">
        <f>T63+U63</f>
        <v>0</v>
      </c>
      <c r="T63" s="420">
        <v>0</v>
      </c>
      <c r="U63" s="527">
        <v>0</v>
      </c>
      <c r="V63" s="427">
        <f t="shared" si="176"/>
        <v>0</v>
      </c>
      <c r="W63" s="421">
        <f t="shared" si="176"/>
        <v>0</v>
      </c>
      <c r="X63" s="421">
        <v>648902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>V63+X63+Y63+AA63+AB63+AD63</f>
        <v>648902</v>
      </c>
      <c r="AG63" s="421">
        <f>W63+Z63+AC63+AE63</f>
        <v>0</v>
      </c>
      <c r="AH63" s="421">
        <f>SUM(AF63:AG63)</f>
        <v>648902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77"/>
        <v>0</v>
      </c>
      <c r="AP63" s="421">
        <f>AJ63+AN63</f>
        <v>0</v>
      </c>
      <c r="AQ63" s="421">
        <f>SUM(AO63:AP63)</f>
        <v>0</v>
      </c>
      <c r="AR63" s="421">
        <f t="shared" si="178"/>
        <v>648902</v>
      </c>
      <c r="AS63" s="421">
        <f t="shared" si="178"/>
        <v>0</v>
      </c>
      <c r="AT63" s="421">
        <f>SUM(AR63:AS63)</f>
        <v>648902</v>
      </c>
      <c r="AU63" s="68">
        <f t="shared" si="179"/>
        <v>219329</v>
      </c>
      <c r="AV63" s="68">
        <f>ROUND(AH63*1%,0)</f>
        <v>6489</v>
      </c>
      <c r="AW63" s="421">
        <v>0</v>
      </c>
      <c r="AX63" s="421">
        <v>0</v>
      </c>
      <c r="AY63" s="421">
        <f>AW63+AX63</f>
        <v>0</v>
      </c>
      <c r="AZ63" s="421">
        <f>AT63+AU63+AV63+AY63</f>
        <v>874720</v>
      </c>
      <c r="BA63" s="422">
        <v>0</v>
      </c>
      <c r="BB63" s="422">
        <v>0</v>
      </c>
      <c r="BC63" s="422">
        <v>1.75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>BA63+BC63+BD63+BF63+BH63+BI63</f>
        <v>1.75</v>
      </c>
      <c r="BL63" s="422">
        <f>BB63+BE63+BG63+BJ63</f>
        <v>0</v>
      </c>
      <c r="BM63" s="611">
        <f>SUM(BK63:BL63)</f>
        <v>1.75</v>
      </c>
      <c r="BN63" s="428">
        <f>I63+AZ63</f>
        <v>874720</v>
      </c>
      <c r="BO63" s="421">
        <f>J63+AH63</f>
        <v>648902</v>
      </c>
      <c r="BP63" s="421">
        <f t="shared" si="180"/>
        <v>648902</v>
      </c>
      <c r="BQ63" s="421">
        <f t="shared" si="180"/>
        <v>0</v>
      </c>
      <c r="BR63" s="421">
        <f>M63+AQ63</f>
        <v>0</v>
      </c>
      <c r="BS63" s="421">
        <f t="shared" si="181"/>
        <v>0</v>
      </c>
      <c r="BT63" s="421">
        <f t="shared" si="181"/>
        <v>0</v>
      </c>
      <c r="BU63" s="421">
        <f t="shared" si="182"/>
        <v>219329</v>
      </c>
      <c r="BV63" s="421">
        <f t="shared" si="182"/>
        <v>6489</v>
      </c>
      <c r="BW63" s="421">
        <f>R63+AY63</f>
        <v>0</v>
      </c>
      <c r="BX63" s="422">
        <f>S63+BM63</f>
        <v>1.75</v>
      </c>
      <c r="BY63" s="422">
        <f t="shared" si="183"/>
        <v>1.75</v>
      </c>
      <c r="BZ63" s="611">
        <f t="shared" si="183"/>
        <v>0</v>
      </c>
      <c r="CA63" s="423"/>
      <c r="CB63" s="418"/>
      <c r="CC63" s="418"/>
      <c r="CD63" s="418"/>
      <c r="CE63" s="418"/>
      <c r="CF63" s="527"/>
    </row>
    <row r="64" spans="1:84" x14ac:dyDescent="0.2">
      <c r="A64" s="206">
        <v>11</v>
      </c>
      <c r="B64" s="207">
        <v>3430</v>
      </c>
      <c r="C64" s="207">
        <v>600078183</v>
      </c>
      <c r="D64" s="207">
        <v>72744405</v>
      </c>
      <c r="E64" s="205" t="s">
        <v>105</v>
      </c>
      <c r="F64" s="207">
        <v>3141</v>
      </c>
      <c r="G64" s="208" t="s">
        <v>295</v>
      </c>
      <c r="H64" s="684" t="s">
        <v>272</v>
      </c>
      <c r="I64" s="423">
        <f t="shared" si="173"/>
        <v>445197</v>
      </c>
      <c r="J64" s="418">
        <f>K64+L64</f>
        <v>329045</v>
      </c>
      <c r="K64" s="418">
        <v>0</v>
      </c>
      <c r="L64" s="418">
        <v>329045</v>
      </c>
      <c r="M64" s="418">
        <f>N64+O64</f>
        <v>0</v>
      </c>
      <c r="N64" s="418"/>
      <c r="O64" s="418"/>
      <c r="P64" s="68">
        <f t="shared" si="174"/>
        <v>111217</v>
      </c>
      <c r="Q64" s="68">
        <f t="shared" si="175"/>
        <v>3290</v>
      </c>
      <c r="R64" s="418">
        <v>1645</v>
      </c>
      <c r="S64" s="419">
        <f>T64+U64</f>
        <v>0.99</v>
      </c>
      <c r="T64" s="420">
        <v>0</v>
      </c>
      <c r="U64" s="527">
        <v>0.99</v>
      </c>
      <c r="V64" s="427">
        <f t="shared" si="176"/>
        <v>0</v>
      </c>
      <c r="W64" s="421">
        <f t="shared" si="176"/>
        <v>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>V64+X64+Y64+AA64+AB64+AD64</f>
        <v>0</v>
      </c>
      <c r="AG64" s="421">
        <f>W64+Z64+AC64+AE64</f>
        <v>0</v>
      </c>
      <c r="AH64" s="421">
        <f>SUM(AF64:AG64)</f>
        <v>0</v>
      </c>
      <c r="AI64" s="421">
        <v>0</v>
      </c>
      <c r="AJ64" s="421">
        <v>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77"/>
        <v>0</v>
      </c>
      <c r="AP64" s="421">
        <f>AJ64+AN64</f>
        <v>0</v>
      </c>
      <c r="AQ64" s="421">
        <f>SUM(AO64:AP64)</f>
        <v>0</v>
      </c>
      <c r="AR64" s="421">
        <f t="shared" si="178"/>
        <v>0</v>
      </c>
      <c r="AS64" s="421">
        <f t="shared" si="178"/>
        <v>0</v>
      </c>
      <c r="AT64" s="421">
        <f>SUM(AR64:AS64)</f>
        <v>0</v>
      </c>
      <c r="AU64" s="68">
        <f t="shared" si="179"/>
        <v>0</v>
      </c>
      <c r="AV64" s="68">
        <f>ROUND(AH64*1%,0)</f>
        <v>0</v>
      </c>
      <c r="AW64" s="421">
        <v>0</v>
      </c>
      <c r="AX64" s="421">
        <v>0</v>
      </c>
      <c r="AY64" s="421">
        <f>AW64+AX64</f>
        <v>0</v>
      </c>
      <c r="AZ64" s="421">
        <f>AT64+AU64+AV64+AY64</f>
        <v>0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>BA64+BC64+BD64+BF64+BH64+BI64</f>
        <v>0</v>
      </c>
      <c r="BL64" s="422">
        <f>BB64+BE64+BG64+BJ64</f>
        <v>0</v>
      </c>
      <c r="BM64" s="611">
        <f>SUM(BK64:BL64)</f>
        <v>0</v>
      </c>
      <c r="BN64" s="428">
        <f>I64+AZ64</f>
        <v>445197</v>
      </c>
      <c r="BO64" s="421">
        <f>J64+AH64</f>
        <v>329045</v>
      </c>
      <c r="BP64" s="421">
        <f t="shared" si="180"/>
        <v>0</v>
      </c>
      <c r="BQ64" s="421">
        <f t="shared" si="180"/>
        <v>329045</v>
      </c>
      <c r="BR64" s="421">
        <f>M64+AQ64</f>
        <v>0</v>
      </c>
      <c r="BS64" s="421">
        <f t="shared" si="181"/>
        <v>0</v>
      </c>
      <c r="BT64" s="421">
        <f t="shared" si="181"/>
        <v>0</v>
      </c>
      <c r="BU64" s="421">
        <f t="shared" si="182"/>
        <v>111217</v>
      </c>
      <c r="BV64" s="421">
        <f t="shared" si="182"/>
        <v>3290</v>
      </c>
      <c r="BW64" s="421">
        <f>R64+AY64</f>
        <v>1645</v>
      </c>
      <c r="BX64" s="422">
        <f>S64+BM64</f>
        <v>0.99</v>
      </c>
      <c r="BY64" s="422">
        <f t="shared" si="183"/>
        <v>0</v>
      </c>
      <c r="BZ64" s="611">
        <f t="shared" si="183"/>
        <v>0.99</v>
      </c>
      <c r="CA64" s="423"/>
      <c r="CB64" s="418"/>
      <c r="CC64" s="418"/>
      <c r="CD64" s="418"/>
      <c r="CE64" s="418"/>
      <c r="CF64" s="527"/>
    </row>
    <row r="65" spans="1:84" x14ac:dyDescent="0.2">
      <c r="A65" s="155">
        <v>11</v>
      </c>
      <c r="B65" s="18">
        <v>3430</v>
      </c>
      <c r="C65" s="18">
        <v>600078183</v>
      </c>
      <c r="D65" s="18">
        <v>72744405</v>
      </c>
      <c r="E65" s="164" t="s">
        <v>106</v>
      </c>
      <c r="F65" s="18"/>
      <c r="G65" s="154"/>
      <c r="H65" s="685"/>
      <c r="I65" s="453">
        <f t="shared" ref="I65:BU65" si="184">SUM(I62:I64)</f>
        <v>4155624</v>
      </c>
      <c r="J65" s="449">
        <f t="shared" si="184"/>
        <v>3072278</v>
      </c>
      <c r="K65" s="449">
        <f t="shared" si="184"/>
        <v>2508113</v>
      </c>
      <c r="L65" s="449">
        <f t="shared" si="184"/>
        <v>564165</v>
      </c>
      <c r="M65" s="449">
        <f t="shared" si="184"/>
        <v>0</v>
      </c>
      <c r="N65" s="449">
        <f t="shared" si="184"/>
        <v>0</v>
      </c>
      <c r="O65" s="449">
        <f t="shared" si="184"/>
        <v>0</v>
      </c>
      <c r="P65" s="449">
        <f t="shared" si="184"/>
        <v>1038430</v>
      </c>
      <c r="Q65" s="449">
        <f t="shared" si="184"/>
        <v>30722</v>
      </c>
      <c r="R65" s="449">
        <f t="shared" si="184"/>
        <v>14194</v>
      </c>
      <c r="S65" s="450">
        <f t="shared" si="184"/>
        <v>5.7901000000000007</v>
      </c>
      <c r="T65" s="450">
        <f t="shared" si="184"/>
        <v>4</v>
      </c>
      <c r="U65" s="40">
        <f t="shared" si="184"/>
        <v>1.7901</v>
      </c>
      <c r="V65" s="457">
        <f t="shared" si="184"/>
        <v>0</v>
      </c>
      <c r="W65" s="449">
        <f t="shared" si="184"/>
        <v>-6400</v>
      </c>
      <c r="X65" s="449">
        <f t="shared" si="184"/>
        <v>648902</v>
      </c>
      <c r="Y65" s="449">
        <f t="shared" si="184"/>
        <v>0</v>
      </c>
      <c r="Z65" s="449">
        <f t="shared" si="184"/>
        <v>0</v>
      </c>
      <c r="AA65" s="449">
        <f t="shared" si="184"/>
        <v>0</v>
      </c>
      <c r="AB65" s="449">
        <f t="shared" si="184"/>
        <v>0</v>
      </c>
      <c r="AC65" s="449">
        <f t="shared" si="184"/>
        <v>0</v>
      </c>
      <c r="AD65" s="449">
        <f t="shared" si="184"/>
        <v>0</v>
      </c>
      <c r="AE65" s="449">
        <f t="shared" si="184"/>
        <v>0</v>
      </c>
      <c r="AF65" s="449">
        <f t="shared" si="184"/>
        <v>648902</v>
      </c>
      <c r="AG65" s="449">
        <f t="shared" si="184"/>
        <v>-6400</v>
      </c>
      <c r="AH65" s="449">
        <f t="shared" si="184"/>
        <v>642502</v>
      </c>
      <c r="AI65" s="449">
        <f t="shared" si="184"/>
        <v>0</v>
      </c>
      <c r="AJ65" s="449">
        <f t="shared" si="184"/>
        <v>6400</v>
      </c>
      <c r="AK65" s="449">
        <f t="shared" ref="AK65" si="185">SUM(AK62:AK64)</f>
        <v>0</v>
      </c>
      <c r="AL65" s="449">
        <f t="shared" si="184"/>
        <v>0</v>
      </c>
      <c r="AM65" s="449">
        <f t="shared" si="184"/>
        <v>0</v>
      </c>
      <c r="AN65" s="449">
        <f t="shared" si="184"/>
        <v>0</v>
      </c>
      <c r="AO65" s="449">
        <f t="shared" si="184"/>
        <v>0</v>
      </c>
      <c r="AP65" s="449">
        <f t="shared" si="184"/>
        <v>6400</v>
      </c>
      <c r="AQ65" s="449">
        <f t="shared" si="184"/>
        <v>6400</v>
      </c>
      <c r="AR65" s="449">
        <f t="shared" si="184"/>
        <v>648902</v>
      </c>
      <c r="AS65" s="449">
        <f t="shared" si="184"/>
        <v>0</v>
      </c>
      <c r="AT65" s="449">
        <f t="shared" si="184"/>
        <v>648902</v>
      </c>
      <c r="AU65" s="449">
        <f t="shared" si="184"/>
        <v>219329</v>
      </c>
      <c r="AV65" s="449">
        <f t="shared" si="184"/>
        <v>6425</v>
      </c>
      <c r="AW65" s="449">
        <f t="shared" si="184"/>
        <v>0</v>
      </c>
      <c r="AX65" s="449">
        <f t="shared" si="184"/>
        <v>0</v>
      </c>
      <c r="AY65" s="449">
        <f t="shared" si="184"/>
        <v>0</v>
      </c>
      <c r="AZ65" s="449">
        <f t="shared" si="184"/>
        <v>874656</v>
      </c>
      <c r="BA65" s="450">
        <f t="shared" si="184"/>
        <v>0</v>
      </c>
      <c r="BB65" s="450">
        <f t="shared" si="184"/>
        <v>-0.03</v>
      </c>
      <c r="BC65" s="450">
        <f t="shared" si="184"/>
        <v>1.75</v>
      </c>
      <c r="BD65" s="450">
        <f t="shared" si="184"/>
        <v>0</v>
      </c>
      <c r="BE65" s="450">
        <f t="shared" si="184"/>
        <v>0</v>
      </c>
      <c r="BF65" s="450">
        <f t="shared" si="184"/>
        <v>0</v>
      </c>
      <c r="BG65" s="450">
        <f t="shared" si="184"/>
        <v>0</v>
      </c>
      <c r="BH65" s="450">
        <f t="shared" si="184"/>
        <v>0</v>
      </c>
      <c r="BI65" s="450">
        <f t="shared" si="184"/>
        <v>0</v>
      </c>
      <c r="BJ65" s="450">
        <f t="shared" si="184"/>
        <v>0</v>
      </c>
      <c r="BK65" s="450">
        <f t="shared" si="184"/>
        <v>1.75</v>
      </c>
      <c r="BL65" s="450">
        <f t="shared" si="184"/>
        <v>-0.03</v>
      </c>
      <c r="BM65" s="455">
        <f t="shared" si="184"/>
        <v>1.72</v>
      </c>
      <c r="BN65" s="453">
        <f t="shared" si="184"/>
        <v>5030280</v>
      </c>
      <c r="BO65" s="449">
        <f t="shared" si="184"/>
        <v>3714780</v>
      </c>
      <c r="BP65" s="449">
        <f t="shared" si="184"/>
        <v>3157015</v>
      </c>
      <c r="BQ65" s="449">
        <f t="shared" si="184"/>
        <v>557765</v>
      </c>
      <c r="BR65" s="449">
        <f t="shared" si="184"/>
        <v>6400</v>
      </c>
      <c r="BS65" s="449">
        <f t="shared" si="184"/>
        <v>0</v>
      </c>
      <c r="BT65" s="449">
        <f t="shared" si="184"/>
        <v>6400</v>
      </c>
      <c r="BU65" s="449">
        <f t="shared" si="184"/>
        <v>1257759</v>
      </c>
      <c r="BV65" s="449">
        <f t="shared" ref="BV65:CF65" si="186">SUM(BV62:BV64)</f>
        <v>37147</v>
      </c>
      <c r="BW65" s="449">
        <f t="shared" si="186"/>
        <v>14194</v>
      </c>
      <c r="BX65" s="450">
        <f t="shared" si="186"/>
        <v>7.5101000000000004</v>
      </c>
      <c r="BY65" s="450">
        <f t="shared" si="186"/>
        <v>5.75</v>
      </c>
      <c r="BZ65" s="455">
        <f t="shared" si="186"/>
        <v>1.7601</v>
      </c>
      <c r="CA65" s="853">
        <f t="shared" si="186"/>
        <v>0</v>
      </c>
      <c r="CB65" s="851">
        <f t="shared" si="186"/>
        <v>0</v>
      </c>
      <c r="CC65" s="851">
        <f t="shared" si="186"/>
        <v>0</v>
      </c>
      <c r="CD65" s="851">
        <f t="shared" si="186"/>
        <v>0</v>
      </c>
      <c r="CE65" s="851">
        <f t="shared" si="186"/>
        <v>0</v>
      </c>
      <c r="CF65" s="849">
        <f t="shared" si="186"/>
        <v>0</v>
      </c>
    </row>
    <row r="66" spans="1:84" x14ac:dyDescent="0.2">
      <c r="A66" s="206">
        <v>12</v>
      </c>
      <c r="B66" s="207">
        <v>3431</v>
      </c>
      <c r="C66" s="207">
        <v>600078370</v>
      </c>
      <c r="D66" s="207">
        <v>72744162</v>
      </c>
      <c r="E66" s="205" t="s">
        <v>107</v>
      </c>
      <c r="F66" s="207">
        <v>3117</v>
      </c>
      <c r="G66" s="208" t="s">
        <v>294</v>
      </c>
      <c r="H66" s="684" t="s">
        <v>271</v>
      </c>
      <c r="I66" s="423">
        <f t="shared" ref="I66:I70" si="187">J66+P66+Q66+R66</f>
        <v>4119236</v>
      </c>
      <c r="J66" s="418">
        <f>K66+L66</f>
        <v>2998936</v>
      </c>
      <c r="K66" s="418">
        <v>2741014</v>
      </c>
      <c r="L66" s="418">
        <v>257922</v>
      </c>
      <c r="M66" s="418">
        <f>N66+O66</f>
        <v>0</v>
      </c>
      <c r="N66" s="418"/>
      <c r="O66" s="418"/>
      <c r="P66" s="68">
        <f t="shared" ref="P66:P70" si="188">ROUND(J66*33.8%,0)</f>
        <v>1013640</v>
      </c>
      <c r="Q66" s="68">
        <f t="shared" ref="Q66:Q70" si="189">ROUND(J66*1%,0)</f>
        <v>29989</v>
      </c>
      <c r="R66" s="418">
        <v>76671</v>
      </c>
      <c r="S66" s="419">
        <f>T66+U66</f>
        <v>4.8845999999999998</v>
      </c>
      <c r="T66" s="420">
        <v>4.1844999999999999</v>
      </c>
      <c r="U66" s="527">
        <v>0.70009999999999994</v>
      </c>
      <c r="V66" s="427">
        <f t="shared" ref="V66:W70" si="190">AI66*-1</f>
        <v>0</v>
      </c>
      <c r="W66" s="421">
        <f t="shared" si="190"/>
        <v>-33920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>V66+X66+Y66+AA66+AB66+AD66</f>
        <v>0</v>
      </c>
      <c r="AG66" s="421">
        <f>W66+Z66+AC66+AE66</f>
        <v>-33920</v>
      </c>
      <c r="AH66" s="421">
        <f>SUM(AF66:AG66)</f>
        <v>-33920</v>
      </c>
      <c r="AI66" s="421">
        <v>0</v>
      </c>
      <c r="AJ66" s="421">
        <v>33920</v>
      </c>
      <c r="AK66" s="421">
        <v>112800</v>
      </c>
      <c r="AL66" s="421">
        <v>0</v>
      </c>
      <c r="AM66" s="421">
        <v>0</v>
      </c>
      <c r="AN66" s="421">
        <v>0</v>
      </c>
      <c r="AO66" s="421">
        <f t="shared" ref="AO66:AO70" si="191">AI66+AK66+AL66+AM66</f>
        <v>112800</v>
      </c>
      <c r="AP66" s="421">
        <f>AJ66+AN66</f>
        <v>33920</v>
      </c>
      <c r="AQ66" s="421">
        <f>SUM(AO66:AP66)</f>
        <v>146720</v>
      </c>
      <c r="AR66" s="421">
        <f t="shared" ref="AR66:AS70" si="192">AF66+AO66</f>
        <v>112800</v>
      </c>
      <c r="AS66" s="421">
        <f t="shared" si="192"/>
        <v>0</v>
      </c>
      <c r="AT66" s="421">
        <f>SUM(AR66:AS66)</f>
        <v>112800</v>
      </c>
      <c r="AU66" s="68">
        <f t="shared" ref="AU66:AU70" si="193">ROUND((AH66+AI66+AJ66+AK66+AL66)*33.8%,0)</f>
        <v>38126</v>
      </c>
      <c r="AV66" s="68">
        <f>ROUND(AH66*1%,0)</f>
        <v>-339</v>
      </c>
      <c r="AW66" s="421">
        <v>0</v>
      </c>
      <c r="AX66" s="421">
        <v>0</v>
      </c>
      <c r="AY66" s="421">
        <f>AW66+AX66</f>
        <v>0</v>
      </c>
      <c r="AZ66" s="421">
        <f>AT66+AU66+AV66+AY66</f>
        <v>150587</v>
      </c>
      <c r="BA66" s="422">
        <v>0</v>
      </c>
      <c r="BB66" s="422">
        <v>-0.12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>BA66+BC66+BD66+BF66+BH66+BI66</f>
        <v>0</v>
      </c>
      <c r="BL66" s="422">
        <f>BB66+BE66+BG66+BJ66</f>
        <v>-0.12</v>
      </c>
      <c r="BM66" s="611">
        <f>SUM(BK66:BL66)</f>
        <v>-0.12</v>
      </c>
      <c r="BN66" s="428">
        <f>I66+AZ66</f>
        <v>4269823</v>
      </c>
      <c r="BO66" s="421">
        <f>J66+AH66</f>
        <v>2965016</v>
      </c>
      <c r="BP66" s="421">
        <f t="shared" ref="BP66:BQ70" si="194">K66+AF66</f>
        <v>2741014</v>
      </c>
      <c r="BQ66" s="421">
        <f t="shared" si="194"/>
        <v>224002</v>
      </c>
      <c r="BR66" s="421">
        <f>M66+AQ66</f>
        <v>146720</v>
      </c>
      <c r="BS66" s="421">
        <f t="shared" ref="BS66:BT70" si="195">N66+AO66</f>
        <v>112800</v>
      </c>
      <c r="BT66" s="421">
        <f t="shared" si="195"/>
        <v>33920</v>
      </c>
      <c r="BU66" s="421">
        <f t="shared" ref="BU66:BV70" si="196">P66+AU66</f>
        <v>1051766</v>
      </c>
      <c r="BV66" s="421">
        <f t="shared" si="196"/>
        <v>29650</v>
      </c>
      <c r="BW66" s="421">
        <f>R66+AY66</f>
        <v>76671</v>
      </c>
      <c r="BX66" s="422">
        <f>S66+BM66</f>
        <v>4.7645999999999997</v>
      </c>
      <c r="BY66" s="422">
        <f t="shared" ref="BY66:BZ70" si="197">T66+BK66</f>
        <v>4.1844999999999999</v>
      </c>
      <c r="BZ66" s="611">
        <f t="shared" si="197"/>
        <v>0.58009999999999995</v>
      </c>
      <c r="CA66" s="423">
        <v>150926</v>
      </c>
      <c r="CB66" s="418">
        <v>0</v>
      </c>
      <c r="CC66" s="418">
        <v>112800</v>
      </c>
      <c r="CD66" s="418">
        <v>38126</v>
      </c>
      <c r="CE66" s="418">
        <v>0</v>
      </c>
      <c r="CF66" s="527">
        <v>0</v>
      </c>
    </row>
    <row r="67" spans="1:84" x14ac:dyDescent="0.2">
      <c r="A67" s="206">
        <v>12</v>
      </c>
      <c r="B67" s="207">
        <v>3431</v>
      </c>
      <c r="C67" s="207">
        <v>600078370</v>
      </c>
      <c r="D67" s="207">
        <v>72744162</v>
      </c>
      <c r="E67" s="205" t="s">
        <v>107</v>
      </c>
      <c r="F67" s="207">
        <v>3117</v>
      </c>
      <c r="G67" s="208" t="s">
        <v>292</v>
      </c>
      <c r="H67" s="684" t="s">
        <v>272</v>
      </c>
      <c r="I67" s="423">
        <f t="shared" si="187"/>
        <v>0</v>
      </c>
      <c r="J67" s="418">
        <f>K67+L67</f>
        <v>0</v>
      </c>
      <c r="K67" s="418">
        <v>0</v>
      </c>
      <c r="L67" s="418">
        <v>0</v>
      </c>
      <c r="M67" s="418">
        <f>N67+O67</f>
        <v>0</v>
      </c>
      <c r="N67" s="418"/>
      <c r="O67" s="418"/>
      <c r="P67" s="68">
        <f t="shared" si="188"/>
        <v>0</v>
      </c>
      <c r="Q67" s="68">
        <f t="shared" si="189"/>
        <v>0</v>
      </c>
      <c r="R67" s="418">
        <v>0</v>
      </c>
      <c r="S67" s="419">
        <f>T67+U67</f>
        <v>0</v>
      </c>
      <c r="T67" s="420">
        <v>0</v>
      </c>
      <c r="U67" s="527">
        <v>0</v>
      </c>
      <c r="V67" s="427">
        <f t="shared" si="190"/>
        <v>0</v>
      </c>
      <c r="W67" s="421">
        <f t="shared" si="190"/>
        <v>0</v>
      </c>
      <c r="X67" s="421">
        <v>1019703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>V67+X67+Y67+AA67+AB67+AD67</f>
        <v>1019703</v>
      </c>
      <c r="AG67" s="421">
        <f>W67+Z67+AC67+AE67</f>
        <v>0</v>
      </c>
      <c r="AH67" s="421">
        <f>SUM(AF67:AG67)</f>
        <v>1019703</v>
      </c>
      <c r="AI67" s="421">
        <v>0</v>
      </c>
      <c r="AJ67" s="421">
        <v>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191"/>
        <v>0</v>
      </c>
      <c r="AP67" s="421">
        <f>AJ67+AN67</f>
        <v>0</v>
      </c>
      <c r="AQ67" s="421">
        <f>SUM(AO67:AP67)</f>
        <v>0</v>
      </c>
      <c r="AR67" s="421">
        <f t="shared" si="192"/>
        <v>1019703</v>
      </c>
      <c r="AS67" s="421">
        <f t="shared" si="192"/>
        <v>0</v>
      </c>
      <c r="AT67" s="421">
        <f>SUM(AR67:AS67)</f>
        <v>1019703</v>
      </c>
      <c r="AU67" s="68">
        <f t="shared" si="193"/>
        <v>344660</v>
      </c>
      <c r="AV67" s="68">
        <f>ROUND(AH67*1%,0)</f>
        <v>10197</v>
      </c>
      <c r="AW67" s="421">
        <v>0</v>
      </c>
      <c r="AX67" s="421">
        <v>0</v>
      </c>
      <c r="AY67" s="421">
        <f>AW67+AX67</f>
        <v>0</v>
      </c>
      <c r="AZ67" s="421">
        <f>AT67+AU67+AV67+AY67</f>
        <v>1374560</v>
      </c>
      <c r="BA67" s="422">
        <v>0</v>
      </c>
      <c r="BB67" s="422">
        <v>0</v>
      </c>
      <c r="BC67" s="422">
        <v>2.75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>BA67+BC67+BD67+BF67+BH67+BI67</f>
        <v>2.75</v>
      </c>
      <c r="BL67" s="422">
        <f>BB67+BE67+BG67+BJ67</f>
        <v>0</v>
      </c>
      <c r="BM67" s="611">
        <f>SUM(BK67:BL67)</f>
        <v>2.75</v>
      </c>
      <c r="BN67" s="428">
        <f>I67+AZ67</f>
        <v>1374560</v>
      </c>
      <c r="BO67" s="421">
        <f>J67+AH67</f>
        <v>1019703</v>
      </c>
      <c r="BP67" s="421">
        <f t="shared" si="194"/>
        <v>1019703</v>
      </c>
      <c r="BQ67" s="421">
        <f t="shared" si="194"/>
        <v>0</v>
      </c>
      <c r="BR67" s="421">
        <f>M67+AQ67</f>
        <v>0</v>
      </c>
      <c r="BS67" s="421">
        <f t="shared" si="195"/>
        <v>0</v>
      </c>
      <c r="BT67" s="421">
        <f t="shared" si="195"/>
        <v>0</v>
      </c>
      <c r="BU67" s="421">
        <f t="shared" si="196"/>
        <v>344660</v>
      </c>
      <c r="BV67" s="421">
        <f t="shared" si="196"/>
        <v>10197</v>
      </c>
      <c r="BW67" s="421">
        <f>R67+AY67</f>
        <v>0</v>
      </c>
      <c r="BX67" s="422">
        <f>S67+BM67</f>
        <v>2.75</v>
      </c>
      <c r="BY67" s="422">
        <f t="shared" si="197"/>
        <v>2.75</v>
      </c>
      <c r="BZ67" s="611">
        <f t="shared" si="197"/>
        <v>0</v>
      </c>
      <c r="CA67" s="423"/>
      <c r="CB67" s="418"/>
      <c r="CC67" s="418"/>
      <c r="CD67" s="418"/>
      <c r="CE67" s="418"/>
      <c r="CF67" s="527"/>
    </row>
    <row r="68" spans="1:84" x14ac:dyDescent="0.2">
      <c r="A68" s="206">
        <v>12</v>
      </c>
      <c r="B68" s="207">
        <v>3431</v>
      </c>
      <c r="C68" s="207">
        <v>600078370</v>
      </c>
      <c r="D68" s="207">
        <v>72744162</v>
      </c>
      <c r="E68" s="205" t="s">
        <v>107</v>
      </c>
      <c r="F68" s="207">
        <v>3141</v>
      </c>
      <c r="G68" s="208" t="s">
        <v>295</v>
      </c>
      <c r="H68" s="684" t="s">
        <v>272</v>
      </c>
      <c r="I68" s="423">
        <f t="shared" si="187"/>
        <v>319188</v>
      </c>
      <c r="J68" s="418">
        <f>K68+L68</f>
        <v>235670</v>
      </c>
      <c r="K68" s="418">
        <v>0</v>
      </c>
      <c r="L68" s="418">
        <v>235670</v>
      </c>
      <c r="M68" s="418">
        <f>N68+O68</f>
        <v>0</v>
      </c>
      <c r="N68" s="418"/>
      <c r="O68" s="418"/>
      <c r="P68" s="68">
        <f t="shared" si="188"/>
        <v>79656</v>
      </c>
      <c r="Q68" s="68">
        <f t="shared" si="189"/>
        <v>2357</v>
      </c>
      <c r="R68" s="418">
        <v>1505</v>
      </c>
      <c r="S68" s="419">
        <f>T68+U68</f>
        <v>0.71</v>
      </c>
      <c r="T68" s="420">
        <v>0</v>
      </c>
      <c r="U68" s="527">
        <v>0.71</v>
      </c>
      <c r="V68" s="427">
        <f t="shared" si="190"/>
        <v>0</v>
      </c>
      <c r="W68" s="421">
        <f t="shared" si="190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>V68+X68+Y68+AA68+AB68+AD68</f>
        <v>0</v>
      </c>
      <c r="AG68" s="421">
        <f>W68+Z68+AC68+AE68</f>
        <v>0</v>
      </c>
      <c r="AH68" s="421">
        <f>SUM(AF68:AG68)</f>
        <v>0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91"/>
        <v>0</v>
      </c>
      <c r="AP68" s="421">
        <f>AJ68+AN68</f>
        <v>0</v>
      </c>
      <c r="AQ68" s="421">
        <f>SUM(AO68:AP68)</f>
        <v>0</v>
      </c>
      <c r="AR68" s="421">
        <f t="shared" si="192"/>
        <v>0</v>
      </c>
      <c r="AS68" s="421">
        <f t="shared" si="192"/>
        <v>0</v>
      </c>
      <c r="AT68" s="421">
        <f>SUM(AR68:AS68)</f>
        <v>0</v>
      </c>
      <c r="AU68" s="68">
        <f t="shared" si="193"/>
        <v>0</v>
      </c>
      <c r="AV68" s="68">
        <f>ROUND(AH68*1%,0)</f>
        <v>0</v>
      </c>
      <c r="AW68" s="421">
        <v>0</v>
      </c>
      <c r="AX68" s="421">
        <v>0</v>
      </c>
      <c r="AY68" s="421">
        <f>AW68+AX68</f>
        <v>0</v>
      </c>
      <c r="AZ68" s="421">
        <f>AT68+AU68+AV68+AY68</f>
        <v>0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>BA68+BC68+BD68+BF68+BH68+BI68</f>
        <v>0</v>
      </c>
      <c r="BL68" s="422">
        <f>BB68+BE68+BG68+BJ68</f>
        <v>0</v>
      </c>
      <c r="BM68" s="611">
        <f>SUM(BK68:BL68)</f>
        <v>0</v>
      </c>
      <c r="BN68" s="428">
        <f>I68+AZ68</f>
        <v>319188</v>
      </c>
      <c r="BO68" s="421">
        <f>J68+AH68</f>
        <v>235670</v>
      </c>
      <c r="BP68" s="421">
        <f t="shared" si="194"/>
        <v>0</v>
      </c>
      <c r="BQ68" s="421">
        <f t="shared" si="194"/>
        <v>235670</v>
      </c>
      <c r="BR68" s="421">
        <f>M68+AQ68</f>
        <v>0</v>
      </c>
      <c r="BS68" s="421">
        <f t="shared" si="195"/>
        <v>0</v>
      </c>
      <c r="BT68" s="421">
        <f t="shared" si="195"/>
        <v>0</v>
      </c>
      <c r="BU68" s="421">
        <f t="shared" si="196"/>
        <v>79656</v>
      </c>
      <c r="BV68" s="421">
        <f t="shared" si="196"/>
        <v>2357</v>
      </c>
      <c r="BW68" s="421">
        <f>R68+AY68</f>
        <v>1505</v>
      </c>
      <c r="BX68" s="422">
        <f>S68+BM68</f>
        <v>0.71</v>
      </c>
      <c r="BY68" s="422">
        <f t="shared" si="197"/>
        <v>0</v>
      </c>
      <c r="BZ68" s="611">
        <f t="shared" si="197"/>
        <v>0.71</v>
      </c>
      <c r="CA68" s="423"/>
      <c r="CB68" s="418"/>
      <c r="CC68" s="418"/>
      <c r="CD68" s="418"/>
      <c r="CE68" s="418"/>
      <c r="CF68" s="527"/>
    </row>
    <row r="69" spans="1:84" x14ac:dyDescent="0.2">
      <c r="A69" s="206">
        <v>12</v>
      </c>
      <c r="B69" s="207">
        <v>3431</v>
      </c>
      <c r="C69" s="207">
        <v>600078370</v>
      </c>
      <c r="D69" s="207">
        <v>72744162</v>
      </c>
      <c r="E69" s="205" t="s">
        <v>107</v>
      </c>
      <c r="F69" s="207">
        <v>3143</v>
      </c>
      <c r="G69" s="208" t="s">
        <v>596</v>
      </c>
      <c r="H69" s="686" t="s">
        <v>271</v>
      </c>
      <c r="I69" s="423">
        <f t="shared" si="187"/>
        <v>698534</v>
      </c>
      <c r="J69" s="418">
        <f>K69+L69</f>
        <v>518200</v>
      </c>
      <c r="K69" s="418">
        <v>518200</v>
      </c>
      <c r="L69" s="418">
        <v>0</v>
      </c>
      <c r="M69" s="418">
        <f>N69+O69</f>
        <v>0</v>
      </c>
      <c r="N69" s="418"/>
      <c r="O69" s="418"/>
      <c r="P69" s="68">
        <f t="shared" si="188"/>
        <v>175152</v>
      </c>
      <c r="Q69" s="68">
        <f t="shared" si="189"/>
        <v>5182</v>
      </c>
      <c r="R69" s="418">
        <v>0</v>
      </c>
      <c r="S69" s="419">
        <f>T69+U69</f>
        <v>1</v>
      </c>
      <c r="T69" s="420">
        <v>1</v>
      </c>
      <c r="U69" s="527">
        <v>0</v>
      </c>
      <c r="V69" s="427">
        <f t="shared" si="190"/>
        <v>0</v>
      </c>
      <c r="W69" s="421">
        <f t="shared" si="190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>V69+X69+Y69+AA69+AB69+AD69</f>
        <v>0</v>
      </c>
      <c r="AG69" s="421">
        <f>W69+Z69+AC69+AE69</f>
        <v>0</v>
      </c>
      <c r="AH69" s="421">
        <f>SUM(AF69:AG69)</f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91"/>
        <v>0</v>
      </c>
      <c r="AP69" s="421">
        <f>AJ69+AN69</f>
        <v>0</v>
      </c>
      <c r="AQ69" s="421">
        <f>SUM(AO69:AP69)</f>
        <v>0</v>
      </c>
      <c r="AR69" s="421">
        <f t="shared" si="192"/>
        <v>0</v>
      </c>
      <c r="AS69" s="421">
        <f t="shared" si="192"/>
        <v>0</v>
      </c>
      <c r="AT69" s="421">
        <f>SUM(AR69:AS69)</f>
        <v>0</v>
      </c>
      <c r="AU69" s="68">
        <f t="shared" si="193"/>
        <v>0</v>
      </c>
      <c r="AV69" s="68">
        <f>ROUND(AH69*1%,0)</f>
        <v>0</v>
      </c>
      <c r="AW69" s="421">
        <v>0</v>
      </c>
      <c r="AX69" s="421">
        <v>0</v>
      </c>
      <c r="AY69" s="421">
        <f>AW69+AX69</f>
        <v>0</v>
      </c>
      <c r="AZ69" s="421">
        <f>AT69+AU69+AV69+AY69</f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>BA69+BC69+BD69+BF69+BH69+BI69</f>
        <v>0</v>
      </c>
      <c r="BL69" s="422">
        <f>BB69+BE69+BG69+BJ69</f>
        <v>0</v>
      </c>
      <c r="BM69" s="611">
        <f>SUM(BK69:BL69)</f>
        <v>0</v>
      </c>
      <c r="BN69" s="428">
        <f>I69+AZ69</f>
        <v>698534</v>
      </c>
      <c r="BO69" s="421">
        <f>J69+AH69</f>
        <v>518200</v>
      </c>
      <c r="BP69" s="421">
        <f t="shared" si="194"/>
        <v>518200</v>
      </c>
      <c r="BQ69" s="421">
        <f t="shared" si="194"/>
        <v>0</v>
      </c>
      <c r="BR69" s="421">
        <f>M69+AQ69</f>
        <v>0</v>
      </c>
      <c r="BS69" s="421">
        <f t="shared" si="195"/>
        <v>0</v>
      </c>
      <c r="BT69" s="421">
        <f t="shared" si="195"/>
        <v>0</v>
      </c>
      <c r="BU69" s="421">
        <f t="shared" si="196"/>
        <v>175152</v>
      </c>
      <c r="BV69" s="421">
        <f t="shared" si="196"/>
        <v>5182</v>
      </c>
      <c r="BW69" s="421">
        <f>R69+AY69</f>
        <v>0</v>
      </c>
      <c r="BX69" s="422">
        <f>S69+BM69</f>
        <v>1</v>
      </c>
      <c r="BY69" s="422">
        <f t="shared" si="197"/>
        <v>1</v>
      </c>
      <c r="BZ69" s="611">
        <f t="shared" si="197"/>
        <v>0</v>
      </c>
      <c r="CA69" s="423"/>
      <c r="CB69" s="418"/>
      <c r="CC69" s="418"/>
      <c r="CD69" s="418"/>
      <c r="CE69" s="418"/>
      <c r="CF69" s="527"/>
    </row>
    <row r="70" spans="1:84" x14ac:dyDescent="0.2">
      <c r="A70" s="206">
        <v>12</v>
      </c>
      <c r="B70" s="207">
        <v>3431</v>
      </c>
      <c r="C70" s="207">
        <v>600078370</v>
      </c>
      <c r="D70" s="207">
        <v>72744162</v>
      </c>
      <c r="E70" s="205" t="s">
        <v>107</v>
      </c>
      <c r="F70" s="207">
        <v>3143</v>
      </c>
      <c r="G70" s="208" t="s">
        <v>597</v>
      </c>
      <c r="H70" s="686" t="s">
        <v>272</v>
      </c>
      <c r="I70" s="423">
        <f t="shared" si="187"/>
        <v>14863</v>
      </c>
      <c r="J70" s="418">
        <f>K70+L70</f>
        <v>10639</v>
      </c>
      <c r="K70" s="418">
        <v>0</v>
      </c>
      <c r="L70" s="418">
        <v>10639</v>
      </c>
      <c r="M70" s="418">
        <f>N70+O70</f>
        <v>0</v>
      </c>
      <c r="N70" s="418"/>
      <c r="O70" s="418"/>
      <c r="P70" s="68">
        <f t="shared" si="188"/>
        <v>3596</v>
      </c>
      <c r="Q70" s="68">
        <f t="shared" si="189"/>
        <v>106</v>
      </c>
      <c r="R70" s="418">
        <v>522</v>
      </c>
      <c r="S70" s="419">
        <f>T70+U70</f>
        <v>0.04</v>
      </c>
      <c r="T70" s="420">
        <v>0</v>
      </c>
      <c r="U70" s="527">
        <v>0.04</v>
      </c>
      <c r="V70" s="427">
        <f t="shared" si="190"/>
        <v>0</v>
      </c>
      <c r="W70" s="421">
        <f t="shared" si="190"/>
        <v>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>V70+X70+Y70+AA70+AB70+AD70</f>
        <v>0</v>
      </c>
      <c r="AG70" s="421">
        <f>W70+Z70+AC70+AE70</f>
        <v>0</v>
      </c>
      <c r="AH70" s="421">
        <f>SUM(AF70:AG70)</f>
        <v>0</v>
      </c>
      <c r="AI70" s="421">
        <v>0</v>
      </c>
      <c r="AJ70" s="421">
        <v>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191"/>
        <v>0</v>
      </c>
      <c r="AP70" s="421">
        <f>AJ70+AN70</f>
        <v>0</v>
      </c>
      <c r="AQ70" s="421">
        <f>SUM(AO70:AP70)</f>
        <v>0</v>
      </c>
      <c r="AR70" s="421">
        <f t="shared" si="192"/>
        <v>0</v>
      </c>
      <c r="AS70" s="421">
        <f t="shared" si="192"/>
        <v>0</v>
      </c>
      <c r="AT70" s="421">
        <f>SUM(AR70:AS70)</f>
        <v>0</v>
      </c>
      <c r="AU70" s="68">
        <f t="shared" si="193"/>
        <v>0</v>
      </c>
      <c r="AV70" s="68">
        <f>ROUND(AH70*1%,0)</f>
        <v>0</v>
      </c>
      <c r="AW70" s="421">
        <v>0</v>
      </c>
      <c r="AX70" s="421">
        <v>0</v>
      </c>
      <c r="AY70" s="421">
        <f>AW70+AX70</f>
        <v>0</v>
      </c>
      <c r="AZ70" s="421">
        <f>AT70+AU70+AV70+AY70</f>
        <v>0</v>
      </c>
      <c r="BA70" s="422">
        <v>0</v>
      </c>
      <c r="BB70" s="422">
        <v>0</v>
      </c>
      <c r="BC70" s="422">
        <v>0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>BA70+BC70+BD70+BF70+BH70+BI70</f>
        <v>0</v>
      </c>
      <c r="BL70" s="422">
        <f>BB70+BE70+BG70+BJ70</f>
        <v>0</v>
      </c>
      <c r="BM70" s="611">
        <f>SUM(BK70:BL70)</f>
        <v>0</v>
      </c>
      <c r="BN70" s="428">
        <f>I70+AZ70</f>
        <v>14863</v>
      </c>
      <c r="BO70" s="421">
        <f>J70+AH70</f>
        <v>10639</v>
      </c>
      <c r="BP70" s="421">
        <f t="shared" si="194"/>
        <v>0</v>
      </c>
      <c r="BQ70" s="421">
        <f t="shared" si="194"/>
        <v>10639</v>
      </c>
      <c r="BR70" s="421">
        <f>M70+AQ70</f>
        <v>0</v>
      </c>
      <c r="BS70" s="421">
        <f t="shared" si="195"/>
        <v>0</v>
      </c>
      <c r="BT70" s="421">
        <f t="shared" si="195"/>
        <v>0</v>
      </c>
      <c r="BU70" s="421">
        <f t="shared" si="196"/>
        <v>3596</v>
      </c>
      <c r="BV70" s="421">
        <f t="shared" si="196"/>
        <v>106</v>
      </c>
      <c r="BW70" s="421">
        <f>R70+AY70</f>
        <v>522</v>
      </c>
      <c r="BX70" s="422">
        <f>S70+BM70</f>
        <v>0.04</v>
      </c>
      <c r="BY70" s="422">
        <f t="shared" si="197"/>
        <v>0</v>
      </c>
      <c r="BZ70" s="611">
        <f t="shared" si="197"/>
        <v>0.04</v>
      </c>
      <c r="CA70" s="423"/>
      <c r="CB70" s="418"/>
      <c r="CC70" s="418"/>
      <c r="CD70" s="418"/>
      <c r="CE70" s="418"/>
      <c r="CF70" s="527"/>
    </row>
    <row r="71" spans="1:84" x14ac:dyDescent="0.2">
      <c r="A71" s="155">
        <v>12</v>
      </c>
      <c r="B71" s="18">
        <v>3431</v>
      </c>
      <c r="C71" s="18">
        <v>600078370</v>
      </c>
      <c r="D71" s="18">
        <v>72744162</v>
      </c>
      <c r="E71" s="164" t="s">
        <v>108</v>
      </c>
      <c r="F71" s="18"/>
      <c r="G71" s="154"/>
      <c r="H71" s="685"/>
      <c r="I71" s="453">
        <f t="shared" ref="I71:BU71" si="198">SUM(I66:I70)</f>
        <v>5151821</v>
      </c>
      <c r="J71" s="449">
        <f t="shared" si="198"/>
        <v>3763445</v>
      </c>
      <c r="K71" s="449">
        <f t="shared" si="198"/>
        <v>3259214</v>
      </c>
      <c r="L71" s="449">
        <f t="shared" si="198"/>
        <v>504231</v>
      </c>
      <c r="M71" s="449">
        <f t="shared" si="198"/>
        <v>0</v>
      </c>
      <c r="N71" s="449">
        <f t="shared" si="198"/>
        <v>0</v>
      </c>
      <c r="O71" s="449">
        <f t="shared" si="198"/>
        <v>0</v>
      </c>
      <c r="P71" s="449">
        <f t="shared" si="198"/>
        <v>1272044</v>
      </c>
      <c r="Q71" s="449">
        <f t="shared" si="198"/>
        <v>37634</v>
      </c>
      <c r="R71" s="449">
        <f t="shared" si="198"/>
        <v>78698</v>
      </c>
      <c r="S71" s="450">
        <f t="shared" si="198"/>
        <v>6.6345999999999998</v>
      </c>
      <c r="T71" s="450">
        <f t="shared" si="198"/>
        <v>5.1844999999999999</v>
      </c>
      <c r="U71" s="40">
        <f t="shared" si="198"/>
        <v>1.4500999999999999</v>
      </c>
      <c r="V71" s="457">
        <f t="shared" si="198"/>
        <v>0</v>
      </c>
      <c r="W71" s="449">
        <f t="shared" si="198"/>
        <v>-33920</v>
      </c>
      <c r="X71" s="449">
        <f t="shared" si="198"/>
        <v>1019703</v>
      </c>
      <c r="Y71" s="449">
        <f t="shared" si="198"/>
        <v>0</v>
      </c>
      <c r="Z71" s="449">
        <f t="shared" si="198"/>
        <v>0</v>
      </c>
      <c r="AA71" s="449">
        <f t="shared" si="198"/>
        <v>0</v>
      </c>
      <c r="AB71" s="449">
        <f t="shared" si="198"/>
        <v>0</v>
      </c>
      <c r="AC71" s="449">
        <f t="shared" si="198"/>
        <v>0</v>
      </c>
      <c r="AD71" s="449">
        <f t="shared" si="198"/>
        <v>0</v>
      </c>
      <c r="AE71" s="449">
        <f t="shared" si="198"/>
        <v>0</v>
      </c>
      <c r="AF71" s="449">
        <f t="shared" si="198"/>
        <v>1019703</v>
      </c>
      <c r="AG71" s="449">
        <f t="shared" si="198"/>
        <v>-33920</v>
      </c>
      <c r="AH71" s="449">
        <f t="shared" si="198"/>
        <v>985783</v>
      </c>
      <c r="AI71" s="449">
        <f t="shared" si="198"/>
        <v>0</v>
      </c>
      <c r="AJ71" s="449">
        <f t="shared" si="198"/>
        <v>33920</v>
      </c>
      <c r="AK71" s="449">
        <f t="shared" ref="AK71" si="199">SUM(AK66:AK70)</f>
        <v>112800</v>
      </c>
      <c r="AL71" s="449">
        <f t="shared" si="198"/>
        <v>0</v>
      </c>
      <c r="AM71" s="449">
        <f t="shared" si="198"/>
        <v>0</v>
      </c>
      <c r="AN71" s="449">
        <f t="shared" si="198"/>
        <v>0</v>
      </c>
      <c r="AO71" s="449">
        <f t="shared" si="198"/>
        <v>112800</v>
      </c>
      <c r="AP71" s="449">
        <f t="shared" si="198"/>
        <v>33920</v>
      </c>
      <c r="AQ71" s="449">
        <f t="shared" si="198"/>
        <v>146720</v>
      </c>
      <c r="AR71" s="449">
        <f t="shared" si="198"/>
        <v>1132503</v>
      </c>
      <c r="AS71" s="449">
        <f t="shared" si="198"/>
        <v>0</v>
      </c>
      <c r="AT71" s="449">
        <f t="shared" si="198"/>
        <v>1132503</v>
      </c>
      <c r="AU71" s="449">
        <f t="shared" si="198"/>
        <v>382786</v>
      </c>
      <c r="AV71" s="449">
        <f t="shared" si="198"/>
        <v>9858</v>
      </c>
      <c r="AW71" s="449">
        <f t="shared" si="198"/>
        <v>0</v>
      </c>
      <c r="AX71" s="449">
        <f t="shared" si="198"/>
        <v>0</v>
      </c>
      <c r="AY71" s="449">
        <f t="shared" si="198"/>
        <v>0</v>
      </c>
      <c r="AZ71" s="449">
        <f t="shared" si="198"/>
        <v>1525147</v>
      </c>
      <c r="BA71" s="450">
        <f t="shared" si="198"/>
        <v>0</v>
      </c>
      <c r="BB71" s="450">
        <f t="shared" si="198"/>
        <v>-0.12</v>
      </c>
      <c r="BC71" s="450">
        <f t="shared" si="198"/>
        <v>2.75</v>
      </c>
      <c r="BD71" s="450">
        <f t="shared" si="198"/>
        <v>0</v>
      </c>
      <c r="BE71" s="450">
        <f t="shared" si="198"/>
        <v>0</v>
      </c>
      <c r="BF71" s="450">
        <f t="shared" si="198"/>
        <v>0</v>
      </c>
      <c r="BG71" s="450">
        <f t="shared" si="198"/>
        <v>0</v>
      </c>
      <c r="BH71" s="450">
        <f t="shared" si="198"/>
        <v>0</v>
      </c>
      <c r="BI71" s="450">
        <f t="shared" si="198"/>
        <v>0</v>
      </c>
      <c r="BJ71" s="450">
        <f t="shared" si="198"/>
        <v>0</v>
      </c>
      <c r="BK71" s="450">
        <f t="shared" si="198"/>
        <v>2.75</v>
      </c>
      <c r="BL71" s="450">
        <f t="shared" si="198"/>
        <v>-0.12</v>
      </c>
      <c r="BM71" s="455">
        <f t="shared" si="198"/>
        <v>2.63</v>
      </c>
      <c r="BN71" s="453">
        <f t="shared" si="198"/>
        <v>6676968</v>
      </c>
      <c r="BO71" s="449">
        <f t="shared" si="198"/>
        <v>4749228</v>
      </c>
      <c r="BP71" s="449">
        <f t="shared" si="198"/>
        <v>4278917</v>
      </c>
      <c r="BQ71" s="449">
        <f t="shared" si="198"/>
        <v>470311</v>
      </c>
      <c r="BR71" s="449">
        <f t="shared" si="198"/>
        <v>146720</v>
      </c>
      <c r="BS71" s="449">
        <f t="shared" si="198"/>
        <v>112800</v>
      </c>
      <c r="BT71" s="449">
        <f t="shared" si="198"/>
        <v>33920</v>
      </c>
      <c r="BU71" s="449">
        <f t="shared" si="198"/>
        <v>1654830</v>
      </c>
      <c r="BV71" s="449">
        <f t="shared" ref="BV71:CF71" si="200">SUM(BV66:BV70)</f>
        <v>47492</v>
      </c>
      <c r="BW71" s="449">
        <f t="shared" si="200"/>
        <v>78698</v>
      </c>
      <c r="BX71" s="450">
        <f t="shared" si="200"/>
        <v>9.2645999999999979</v>
      </c>
      <c r="BY71" s="450">
        <f t="shared" si="200"/>
        <v>7.9344999999999999</v>
      </c>
      <c r="BZ71" s="455">
        <f t="shared" si="200"/>
        <v>1.3300999999999998</v>
      </c>
      <c r="CA71" s="853">
        <f t="shared" si="200"/>
        <v>150926</v>
      </c>
      <c r="CB71" s="851">
        <f t="shared" si="200"/>
        <v>0</v>
      </c>
      <c r="CC71" s="851">
        <f t="shared" si="200"/>
        <v>112800</v>
      </c>
      <c r="CD71" s="851">
        <f t="shared" si="200"/>
        <v>38126</v>
      </c>
      <c r="CE71" s="851">
        <f t="shared" si="200"/>
        <v>0</v>
      </c>
      <c r="CF71" s="849">
        <f t="shared" si="200"/>
        <v>0</v>
      </c>
    </row>
    <row r="72" spans="1:84" x14ac:dyDescent="0.2">
      <c r="A72" s="206">
        <v>13</v>
      </c>
      <c r="B72" s="207">
        <v>3437</v>
      </c>
      <c r="C72" s="207">
        <v>600078051</v>
      </c>
      <c r="D72" s="207">
        <v>70695377</v>
      </c>
      <c r="E72" s="205" t="s">
        <v>109</v>
      </c>
      <c r="F72" s="207">
        <v>3111</v>
      </c>
      <c r="G72" s="208" t="s">
        <v>291</v>
      </c>
      <c r="H72" s="684" t="s">
        <v>271</v>
      </c>
      <c r="I72" s="423">
        <f t="shared" ref="I72:I74" si="201">J72+P72+Q72+R72</f>
        <v>10385732</v>
      </c>
      <c r="J72" s="418">
        <f>K72+L72</f>
        <v>7680384</v>
      </c>
      <c r="K72" s="418">
        <v>6958776</v>
      </c>
      <c r="L72" s="418">
        <v>721608</v>
      </c>
      <c r="M72" s="418">
        <f>N72+O72</f>
        <v>0</v>
      </c>
      <c r="N72" s="418"/>
      <c r="O72" s="418"/>
      <c r="P72" s="68">
        <f t="shared" ref="P72:P74" si="202">ROUND(J72*33.8%,0)</f>
        <v>2595970</v>
      </c>
      <c r="Q72" s="68">
        <f t="shared" ref="Q72:Q74" si="203">ROUND(J72*1%,0)</f>
        <v>76804</v>
      </c>
      <c r="R72" s="418">
        <v>32574</v>
      </c>
      <c r="S72" s="419">
        <f>T72+U72</f>
        <v>14.46</v>
      </c>
      <c r="T72" s="420">
        <v>12</v>
      </c>
      <c r="U72" s="527">
        <v>2.46</v>
      </c>
      <c r="V72" s="427">
        <f t="shared" ref="V72:W74" si="204">AI72*-1</f>
        <v>-12800</v>
      </c>
      <c r="W72" s="421">
        <f t="shared" si="204"/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>V72+X72+Y72+AA72+AB72+AD72</f>
        <v>-12800</v>
      </c>
      <c r="AG72" s="421">
        <f>W72+Z72+AC72+AE72</f>
        <v>0</v>
      </c>
      <c r="AH72" s="421">
        <f>SUM(AF72:AG72)</f>
        <v>-12800</v>
      </c>
      <c r="AI72" s="421">
        <v>12800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ref="AO72:AO74" si="205">AI72+AK72+AL72+AM72</f>
        <v>12800</v>
      </c>
      <c r="AP72" s="421">
        <f>AJ72+AN72</f>
        <v>0</v>
      </c>
      <c r="AQ72" s="421">
        <f>SUM(AO72:AP72)</f>
        <v>12800</v>
      </c>
      <c r="AR72" s="421">
        <f t="shared" ref="AR72:AS74" si="206">AF72+AO72</f>
        <v>0</v>
      </c>
      <c r="AS72" s="421">
        <f t="shared" si="206"/>
        <v>0</v>
      </c>
      <c r="AT72" s="421">
        <f>SUM(AR72:AS72)</f>
        <v>0</v>
      </c>
      <c r="AU72" s="68">
        <f t="shared" ref="AU72:AU74" si="207">ROUND((AH72+AI72+AJ72+AK72+AL72)*33.8%,0)</f>
        <v>0</v>
      </c>
      <c r="AV72" s="68">
        <f>ROUND(AH72*1%,0)</f>
        <v>-128</v>
      </c>
      <c r="AW72" s="421">
        <v>0</v>
      </c>
      <c r="AX72" s="421">
        <v>0</v>
      </c>
      <c r="AY72" s="421">
        <f>AW72+AX72</f>
        <v>0</v>
      </c>
      <c r="AZ72" s="421">
        <f>AT72+AU72+AV72+AY72</f>
        <v>-128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>BA72+BC72+BD72+BF72+BH72+BI72</f>
        <v>0</v>
      </c>
      <c r="BL72" s="422">
        <f>BB72+BE72+BG72+BJ72</f>
        <v>0</v>
      </c>
      <c r="BM72" s="611">
        <f>SUM(BK72:BL72)</f>
        <v>0</v>
      </c>
      <c r="BN72" s="428">
        <f>I72+AZ72</f>
        <v>10385604</v>
      </c>
      <c r="BO72" s="421">
        <f>J72+AH72</f>
        <v>7667584</v>
      </c>
      <c r="BP72" s="421">
        <f t="shared" ref="BP72:BQ74" si="208">K72+AF72</f>
        <v>6945976</v>
      </c>
      <c r="BQ72" s="421">
        <f t="shared" si="208"/>
        <v>721608</v>
      </c>
      <c r="BR72" s="421">
        <f>M72+AQ72</f>
        <v>12800</v>
      </c>
      <c r="BS72" s="421">
        <f t="shared" ref="BS72:BT74" si="209">N72+AO72</f>
        <v>12800</v>
      </c>
      <c r="BT72" s="421">
        <f t="shared" si="209"/>
        <v>0</v>
      </c>
      <c r="BU72" s="421">
        <f t="shared" ref="BU72:BV74" si="210">P72+AU72</f>
        <v>2595970</v>
      </c>
      <c r="BV72" s="421">
        <f t="shared" si="210"/>
        <v>76676</v>
      </c>
      <c r="BW72" s="421">
        <f>R72+AY72</f>
        <v>32574</v>
      </c>
      <c r="BX72" s="422">
        <f>S72+BM72</f>
        <v>14.46</v>
      </c>
      <c r="BY72" s="422">
        <f t="shared" ref="BY72:BZ74" si="211">T72+BK72</f>
        <v>12</v>
      </c>
      <c r="BZ72" s="611">
        <f t="shared" si="211"/>
        <v>2.46</v>
      </c>
      <c r="CA72" s="423"/>
      <c r="CB72" s="418"/>
      <c r="CC72" s="418"/>
      <c r="CD72" s="418"/>
      <c r="CE72" s="418"/>
      <c r="CF72" s="527"/>
    </row>
    <row r="73" spans="1:84" x14ac:dyDescent="0.2">
      <c r="A73" s="206">
        <v>13</v>
      </c>
      <c r="B73" s="207">
        <v>3437</v>
      </c>
      <c r="C73" s="207">
        <v>600078051</v>
      </c>
      <c r="D73" s="207">
        <v>70695377</v>
      </c>
      <c r="E73" s="205" t="s">
        <v>109</v>
      </c>
      <c r="F73" s="207">
        <v>3111</v>
      </c>
      <c r="G73" s="208" t="s">
        <v>292</v>
      </c>
      <c r="H73" s="684" t="s">
        <v>272</v>
      </c>
      <c r="I73" s="423">
        <f t="shared" si="201"/>
        <v>0</v>
      </c>
      <c r="J73" s="418">
        <f>K73+L73</f>
        <v>0</v>
      </c>
      <c r="K73" s="418">
        <v>0</v>
      </c>
      <c r="L73" s="418">
        <v>0</v>
      </c>
      <c r="M73" s="418">
        <f>N73+O73</f>
        <v>0</v>
      </c>
      <c r="N73" s="418"/>
      <c r="O73" s="418"/>
      <c r="P73" s="68">
        <f t="shared" si="202"/>
        <v>0</v>
      </c>
      <c r="Q73" s="68">
        <f t="shared" si="203"/>
        <v>0</v>
      </c>
      <c r="R73" s="418">
        <v>0</v>
      </c>
      <c r="S73" s="419">
        <f>T73+U73</f>
        <v>0</v>
      </c>
      <c r="T73" s="420">
        <v>0</v>
      </c>
      <c r="U73" s="527">
        <v>0</v>
      </c>
      <c r="V73" s="427">
        <f t="shared" si="204"/>
        <v>0</v>
      </c>
      <c r="W73" s="421">
        <f t="shared" si="204"/>
        <v>0</v>
      </c>
      <c r="X73" s="421">
        <v>648903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>V73+X73+Y73+AA73+AB73+AD73</f>
        <v>648903</v>
      </c>
      <c r="AG73" s="421">
        <f>W73+Z73+AC73+AE73</f>
        <v>0</v>
      </c>
      <c r="AH73" s="421">
        <f>SUM(AF73:AG73)</f>
        <v>648903</v>
      </c>
      <c r="AI73" s="421">
        <v>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si="205"/>
        <v>0</v>
      </c>
      <c r="AP73" s="421">
        <f>AJ73+AN73</f>
        <v>0</v>
      </c>
      <c r="AQ73" s="421">
        <f>SUM(AO73:AP73)</f>
        <v>0</v>
      </c>
      <c r="AR73" s="421">
        <f t="shared" si="206"/>
        <v>648903</v>
      </c>
      <c r="AS73" s="421">
        <f t="shared" si="206"/>
        <v>0</v>
      </c>
      <c r="AT73" s="421">
        <f>SUM(AR73:AS73)</f>
        <v>648903</v>
      </c>
      <c r="AU73" s="68">
        <f t="shared" si="207"/>
        <v>219329</v>
      </c>
      <c r="AV73" s="68">
        <f>ROUND(AH73*1%,0)</f>
        <v>6489</v>
      </c>
      <c r="AW73" s="421">
        <v>0</v>
      </c>
      <c r="AX73" s="421">
        <v>0</v>
      </c>
      <c r="AY73" s="421">
        <f>AW73+AX73</f>
        <v>0</v>
      </c>
      <c r="AZ73" s="421">
        <f>AT73+AU73+AV73+AY73</f>
        <v>874721</v>
      </c>
      <c r="BA73" s="422">
        <v>0</v>
      </c>
      <c r="BB73" s="422">
        <v>0</v>
      </c>
      <c r="BC73" s="422">
        <v>1.75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>BA73+BC73+BD73+BF73+BH73+BI73</f>
        <v>1.75</v>
      </c>
      <c r="BL73" s="422">
        <f>BB73+BE73+BG73+BJ73</f>
        <v>0</v>
      </c>
      <c r="BM73" s="611">
        <f>SUM(BK73:BL73)</f>
        <v>1.75</v>
      </c>
      <c r="BN73" s="428">
        <f>I73+AZ73</f>
        <v>874721</v>
      </c>
      <c r="BO73" s="421">
        <f>J73+AH73</f>
        <v>648903</v>
      </c>
      <c r="BP73" s="421">
        <f t="shared" si="208"/>
        <v>648903</v>
      </c>
      <c r="BQ73" s="421">
        <f t="shared" si="208"/>
        <v>0</v>
      </c>
      <c r="BR73" s="421">
        <f>M73+AQ73</f>
        <v>0</v>
      </c>
      <c r="BS73" s="421">
        <f t="shared" si="209"/>
        <v>0</v>
      </c>
      <c r="BT73" s="421">
        <f t="shared" si="209"/>
        <v>0</v>
      </c>
      <c r="BU73" s="421">
        <f t="shared" si="210"/>
        <v>219329</v>
      </c>
      <c r="BV73" s="421">
        <f t="shared" si="210"/>
        <v>6489</v>
      </c>
      <c r="BW73" s="421">
        <f>R73+AY73</f>
        <v>0</v>
      </c>
      <c r="BX73" s="422">
        <f>S73+BM73</f>
        <v>1.75</v>
      </c>
      <c r="BY73" s="422">
        <f t="shared" si="211"/>
        <v>1.75</v>
      </c>
      <c r="BZ73" s="611">
        <f t="shared" si="211"/>
        <v>0</v>
      </c>
      <c r="CA73" s="423"/>
      <c r="CB73" s="418"/>
      <c r="CC73" s="418"/>
      <c r="CD73" s="418"/>
      <c r="CE73" s="418"/>
      <c r="CF73" s="527"/>
    </row>
    <row r="74" spans="1:84" x14ac:dyDescent="0.2">
      <c r="A74" s="206">
        <v>13</v>
      </c>
      <c r="B74" s="207">
        <v>3437</v>
      </c>
      <c r="C74" s="207">
        <v>600078051</v>
      </c>
      <c r="D74" s="207">
        <v>70695377</v>
      </c>
      <c r="E74" s="205" t="s">
        <v>109</v>
      </c>
      <c r="F74" s="207">
        <v>3141</v>
      </c>
      <c r="G74" s="208" t="s">
        <v>295</v>
      </c>
      <c r="H74" s="684" t="s">
        <v>272</v>
      </c>
      <c r="I74" s="423">
        <f t="shared" si="201"/>
        <v>626095</v>
      </c>
      <c r="J74" s="418">
        <f>K74+L74</f>
        <v>462437</v>
      </c>
      <c r="K74" s="418">
        <v>0</v>
      </c>
      <c r="L74" s="418">
        <v>462437</v>
      </c>
      <c r="M74" s="418">
        <f>N74+O74</f>
        <v>0</v>
      </c>
      <c r="N74" s="418"/>
      <c r="O74" s="418"/>
      <c r="P74" s="68">
        <f t="shared" si="202"/>
        <v>156304</v>
      </c>
      <c r="Q74" s="68">
        <f t="shared" si="203"/>
        <v>4624</v>
      </c>
      <c r="R74" s="418">
        <v>2730</v>
      </c>
      <c r="S74" s="419">
        <f>T74+U74</f>
        <v>1.39</v>
      </c>
      <c r="T74" s="420">
        <v>0</v>
      </c>
      <c r="U74" s="527">
        <v>1.39</v>
      </c>
      <c r="V74" s="427">
        <f t="shared" si="204"/>
        <v>0</v>
      </c>
      <c r="W74" s="421">
        <f t="shared" si="204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>V74+X74+Y74+AA74+AB74+AD74</f>
        <v>0</v>
      </c>
      <c r="AG74" s="421">
        <f>W74+Z74+AC74+AE74</f>
        <v>0</v>
      </c>
      <c r="AH74" s="421">
        <f>SUM(AF74:AG74)</f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205"/>
        <v>0</v>
      </c>
      <c r="AP74" s="421">
        <f>AJ74+AN74</f>
        <v>0</v>
      </c>
      <c r="AQ74" s="421">
        <f>SUM(AO74:AP74)</f>
        <v>0</v>
      </c>
      <c r="AR74" s="421">
        <f t="shared" si="206"/>
        <v>0</v>
      </c>
      <c r="AS74" s="421">
        <f t="shared" si="206"/>
        <v>0</v>
      </c>
      <c r="AT74" s="421">
        <f>SUM(AR74:AS74)</f>
        <v>0</v>
      </c>
      <c r="AU74" s="68">
        <f t="shared" si="207"/>
        <v>0</v>
      </c>
      <c r="AV74" s="68">
        <f>ROUND(AH74*1%,0)</f>
        <v>0</v>
      </c>
      <c r="AW74" s="421">
        <v>0</v>
      </c>
      <c r="AX74" s="421">
        <v>0</v>
      </c>
      <c r="AY74" s="421">
        <f>AW74+AX74</f>
        <v>0</v>
      </c>
      <c r="AZ74" s="421">
        <f>AT74+AU74+AV74+AY74</f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>BA74+BC74+BD74+BF74+BH74+BI74</f>
        <v>0</v>
      </c>
      <c r="BL74" s="422">
        <f>BB74+BE74+BG74+BJ74</f>
        <v>0</v>
      </c>
      <c r="BM74" s="611">
        <f>SUM(BK74:BL74)</f>
        <v>0</v>
      </c>
      <c r="BN74" s="428">
        <f>I74+AZ74</f>
        <v>626095</v>
      </c>
      <c r="BO74" s="421">
        <f>J74+AH74</f>
        <v>462437</v>
      </c>
      <c r="BP74" s="421">
        <f t="shared" si="208"/>
        <v>0</v>
      </c>
      <c r="BQ74" s="421">
        <f t="shared" si="208"/>
        <v>462437</v>
      </c>
      <c r="BR74" s="421">
        <f>M74+AQ74</f>
        <v>0</v>
      </c>
      <c r="BS74" s="421">
        <f t="shared" si="209"/>
        <v>0</v>
      </c>
      <c r="BT74" s="421">
        <f t="shared" si="209"/>
        <v>0</v>
      </c>
      <c r="BU74" s="421">
        <f t="shared" si="210"/>
        <v>156304</v>
      </c>
      <c r="BV74" s="421">
        <f t="shared" si="210"/>
        <v>4624</v>
      </c>
      <c r="BW74" s="421">
        <f>R74+AY74</f>
        <v>2730</v>
      </c>
      <c r="BX74" s="422">
        <f>S74+BM74</f>
        <v>1.39</v>
      </c>
      <c r="BY74" s="422">
        <f t="shared" si="211"/>
        <v>0</v>
      </c>
      <c r="BZ74" s="611">
        <f t="shared" si="211"/>
        <v>1.39</v>
      </c>
      <c r="CA74" s="423"/>
      <c r="CB74" s="418"/>
      <c r="CC74" s="418"/>
      <c r="CD74" s="418"/>
      <c r="CE74" s="418"/>
      <c r="CF74" s="527"/>
    </row>
    <row r="75" spans="1:84" x14ac:dyDescent="0.2">
      <c r="A75" s="155">
        <v>13</v>
      </c>
      <c r="B75" s="18">
        <v>3437</v>
      </c>
      <c r="C75" s="18">
        <v>600078051</v>
      </c>
      <c r="D75" s="18">
        <v>70695377</v>
      </c>
      <c r="E75" s="164" t="s">
        <v>110</v>
      </c>
      <c r="F75" s="18"/>
      <c r="G75" s="154"/>
      <c r="H75" s="685"/>
      <c r="I75" s="454">
        <f t="shared" ref="I75:BU75" si="212">SUM(I72:I74)</f>
        <v>11011827</v>
      </c>
      <c r="J75" s="451">
        <f t="shared" si="212"/>
        <v>8142821</v>
      </c>
      <c r="K75" s="451">
        <f t="shared" si="212"/>
        <v>6958776</v>
      </c>
      <c r="L75" s="451">
        <f t="shared" si="212"/>
        <v>1184045</v>
      </c>
      <c r="M75" s="451">
        <f t="shared" si="212"/>
        <v>0</v>
      </c>
      <c r="N75" s="451">
        <f t="shared" si="212"/>
        <v>0</v>
      </c>
      <c r="O75" s="451">
        <f t="shared" si="212"/>
        <v>0</v>
      </c>
      <c r="P75" s="451">
        <f t="shared" si="212"/>
        <v>2752274</v>
      </c>
      <c r="Q75" s="451">
        <f t="shared" si="212"/>
        <v>81428</v>
      </c>
      <c r="R75" s="451">
        <f t="shared" si="212"/>
        <v>35304</v>
      </c>
      <c r="S75" s="452">
        <f t="shared" si="212"/>
        <v>15.850000000000001</v>
      </c>
      <c r="T75" s="452">
        <f t="shared" si="212"/>
        <v>12</v>
      </c>
      <c r="U75" s="39">
        <f t="shared" si="212"/>
        <v>3.8499999999999996</v>
      </c>
      <c r="V75" s="458">
        <f t="shared" si="212"/>
        <v>-12800</v>
      </c>
      <c r="W75" s="451">
        <f t="shared" si="212"/>
        <v>0</v>
      </c>
      <c r="X75" s="451">
        <f t="shared" si="212"/>
        <v>648903</v>
      </c>
      <c r="Y75" s="451">
        <f t="shared" si="212"/>
        <v>0</v>
      </c>
      <c r="Z75" s="451">
        <f t="shared" si="212"/>
        <v>0</v>
      </c>
      <c r="AA75" s="451">
        <f t="shared" si="212"/>
        <v>0</v>
      </c>
      <c r="AB75" s="451">
        <f t="shared" si="212"/>
        <v>0</v>
      </c>
      <c r="AC75" s="451">
        <f t="shared" si="212"/>
        <v>0</v>
      </c>
      <c r="AD75" s="451">
        <f t="shared" si="212"/>
        <v>0</v>
      </c>
      <c r="AE75" s="451">
        <f t="shared" si="212"/>
        <v>0</v>
      </c>
      <c r="AF75" s="451">
        <f t="shared" si="212"/>
        <v>636103</v>
      </c>
      <c r="AG75" s="451">
        <f t="shared" si="212"/>
        <v>0</v>
      </c>
      <c r="AH75" s="451">
        <f t="shared" si="212"/>
        <v>636103</v>
      </c>
      <c r="AI75" s="451">
        <f t="shared" si="212"/>
        <v>12800</v>
      </c>
      <c r="AJ75" s="451">
        <f t="shared" si="212"/>
        <v>0</v>
      </c>
      <c r="AK75" s="451">
        <f t="shared" ref="AK75" si="213">SUM(AK72:AK74)</f>
        <v>0</v>
      </c>
      <c r="AL75" s="451">
        <f t="shared" si="212"/>
        <v>0</v>
      </c>
      <c r="AM75" s="451">
        <f t="shared" si="212"/>
        <v>0</v>
      </c>
      <c r="AN75" s="451">
        <f t="shared" si="212"/>
        <v>0</v>
      </c>
      <c r="AO75" s="451">
        <f t="shared" si="212"/>
        <v>12800</v>
      </c>
      <c r="AP75" s="451">
        <f t="shared" si="212"/>
        <v>0</v>
      </c>
      <c r="AQ75" s="451">
        <f t="shared" si="212"/>
        <v>12800</v>
      </c>
      <c r="AR75" s="451">
        <f t="shared" si="212"/>
        <v>648903</v>
      </c>
      <c r="AS75" s="451">
        <f t="shared" si="212"/>
        <v>0</v>
      </c>
      <c r="AT75" s="451">
        <f t="shared" si="212"/>
        <v>648903</v>
      </c>
      <c r="AU75" s="451">
        <f t="shared" si="212"/>
        <v>219329</v>
      </c>
      <c r="AV75" s="451">
        <f t="shared" si="212"/>
        <v>6361</v>
      </c>
      <c r="AW75" s="451">
        <f t="shared" si="212"/>
        <v>0</v>
      </c>
      <c r="AX75" s="451">
        <f t="shared" si="212"/>
        <v>0</v>
      </c>
      <c r="AY75" s="451">
        <f t="shared" si="212"/>
        <v>0</v>
      </c>
      <c r="AZ75" s="451">
        <f t="shared" si="212"/>
        <v>874593</v>
      </c>
      <c r="BA75" s="452">
        <f t="shared" si="212"/>
        <v>0</v>
      </c>
      <c r="BB75" s="452">
        <f t="shared" si="212"/>
        <v>0</v>
      </c>
      <c r="BC75" s="452">
        <f t="shared" si="212"/>
        <v>1.75</v>
      </c>
      <c r="BD75" s="452">
        <f t="shared" si="212"/>
        <v>0</v>
      </c>
      <c r="BE75" s="452">
        <f t="shared" si="212"/>
        <v>0</v>
      </c>
      <c r="BF75" s="452">
        <f t="shared" si="212"/>
        <v>0</v>
      </c>
      <c r="BG75" s="452">
        <f t="shared" si="212"/>
        <v>0</v>
      </c>
      <c r="BH75" s="452">
        <f t="shared" si="212"/>
        <v>0</v>
      </c>
      <c r="BI75" s="452">
        <f t="shared" si="212"/>
        <v>0</v>
      </c>
      <c r="BJ75" s="452">
        <f t="shared" si="212"/>
        <v>0</v>
      </c>
      <c r="BK75" s="452">
        <f t="shared" si="212"/>
        <v>1.75</v>
      </c>
      <c r="BL75" s="452">
        <f t="shared" si="212"/>
        <v>0</v>
      </c>
      <c r="BM75" s="456">
        <f t="shared" si="212"/>
        <v>1.75</v>
      </c>
      <c r="BN75" s="454">
        <f t="shared" si="212"/>
        <v>11886420</v>
      </c>
      <c r="BO75" s="451">
        <f t="shared" si="212"/>
        <v>8778924</v>
      </c>
      <c r="BP75" s="451">
        <f t="shared" si="212"/>
        <v>7594879</v>
      </c>
      <c r="BQ75" s="451">
        <f t="shared" si="212"/>
        <v>1184045</v>
      </c>
      <c r="BR75" s="451">
        <f t="shared" si="212"/>
        <v>12800</v>
      </c>
      <c r="BS75" s="451">
        <f t="shared" si="212"/>
        <v>12800</v>
      </c>
      <c r="BT75" s="451">
        <f t="shared" si="212"/>
        <v>0</v>
      </c>
      <c r="BU75" s="451">
        <f t="shared" si="212"/>
        <v>2971603</v>
      </c>
      <c r="BV75" s="451">
        <f t="shared" ref="BV75:CF75" si="214">SUM(BV72:BV74)</f>
        <v>87789</v>
      </c>
      <c r="BW75" s="451">
        <f t="shared" si="214"/>
        <v>35304</v>
      </c>
      <c r="BX75" s="452">
        <f t="shared" si="214"/>
        <v>17.600000000000001</v>
      </c>
      <c r="BY75" s="452">
        <f t="shared" si="214"/>
        <v>13.75</v>
      </c>
      <c r="BZ75" s="456">
        <f t="shared" si="214"/>
        <v>3.8499999999999996</v>
      </c>
      <c r="CA75" s="854">
        <f t="shared" si="214"/>
        <v>0</v>
      </c>
      <c r="CB75" s="852">
        <f t="shared" si="214"/>
        <v>0</v>
      </c>
      <c r="CC75" s="852">
        <f t="shared" si="214"/>
        <v>0</v>
      </c>
      <c r="CD75" s="852">
        <f t="shared" si="214"/>
        <v>0</v>
      </c>
      <c r="CE75" s="852">
        <f t="shared" si="214"/>
        <v>0</v>
      </c>
      <c r="CF75" s="848">
        <f t="shared" si="214"/>
        <v>0</v>
      </c>
    </row>
    <row r="76" spans="1:84" x14ac:dyDescent="0.2">
      <c r="A76" s="206">
        <v>14</v>
      </c>
      <c r="B76" s="207">
        <v>3436</v>
      </c>
      <c r="C76" s="207">
        <v>600078485</v>
      </c>
      <c r="D76" s="207">
        <v>70695385</v>
      </c>
      <c r="E76" s="205" t="s">
        <v>111</v>
      </c>
      <c r="F76" s="207">
        <v>3113</v>
      </c>
      <c r="G76" s="208" t="s">
        <v>294</v>
      </c>
      <c r="H76" s="684" t="s">
        <v>271</v>
      </c>
      <c r="I76" s="423">
        <f t="shared" ref="I76:I80" si="215">J76+P76+Q76+R76</f>
        <v>25264643</v>
      </c>
      <c r="J76" s="418">
        <f>K76+L76</f>
        <v>18462566</v>
      </c>
      <c r="K76" s="418">
        <v>17030355</v>
      </c>
      <c r="L76" s="418">
        <v>1432211</v>
      </c>
      <c r="M76" s="418">
        <f>N76+O76</f>
        <v>0</v>
      </c>
      <c r="N76" s="418"/>
      <c r="O76" s="418"/>
      <c r="P76" s="68">
        <f t="shared" ref="P76:P80" si="216">ROUND(J76*33.8%,0)</f>
        <v>6240347</v>
      </c>
      <c r="Q76" s="68">
        <f t="shared" ref="Q76:Q80" si="217">ROUND(J76*1%,0)</f>
        <v>184626</v>
      </c>
      <c r="R76" s="418">
        <v>377104</v>
      </c>
      <c r="S76" s="419">
        <f>T76+U76</f>
        <v>29.355699999999999</v>
      </c>
      <c r="T76" s="420">
        <v>25.136299999999999</v>
      </c>
      <c r="U76" s="527">
        <v>4.2194000000000003</v>
      </c>
      <c r="V76" s="427">
        <f t="shared" ref="V76:W80" si="218">AI76*-1</f>
        <v>0</v>
      </c>
      <c r="W76" s="421">
        <f t="shared" si="218"/>
        <v>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>V76+X76+Y76+AA76+AB76+AD76</f>
        <v>0</v>
      </c>
      <c r="AG76" s="421">
        <f>W76+Z76+AC76+AE76</f>
        <v>0</v>
      </c>
      <c r="AH76" s="421">
        <f>SUM(AF76:AG76)</f>
        <v>0</v>
      </c>
      <c r="AI76" s="421">
        <v>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ref="AO76:AO80" si="219">AI76+AK76+AL76+AM76</f>
        <v>0</v>
      </c>
      <c r="AP76" s="421">
        <f>AJ76+AN76</f>
        <v>0</v>
      </c>
      <c r="AQ76" s="421">
        <f>SUM(AO76:AP76)</f>
        <v>0</v>
      </c>
      <c r="AR76" s="421">
        <f t="shared" ref="AR76:AS80" si="220">AF76+AO76</f>
        <v>0</v>
      </c>
      <c r="AS76" s="421">
        <f t="shared" si="220"/>
        <v>0</v>
      </c>
      <c r="AT76" s="421">
        <f>SUM(AR76:AS76)</f>
        <v>0</v>
      </c>
      <c r="AU76" s="68">
        <f t="shared" ref="AU76:AU80" si="221">ROUND((AH76+AI76+AJ76+AK76+AL76)*33.8%,0)</f>
        <v>0</v>
      </c>
      <c r="AV76" s="68">
        <f>ROUND(AH76*1%,0)</f>
        <v>0</v>
      </c>
      <c r="AW76" s="421">
        <v>0</v>
      </c>
      <c r="AX76" s="421">
        <v>0</v>
      </c>
      <c r="AY76" s="421">
        <f>AW76+AX76</f>
        <v>0</v>
      </c>
      <c r="AZ76" s="421">
        <f>AT76+AU76+AV76+AY76</f>
        <v>0</v>
      </c>
      <c r="BA76" s="422">
        <v>0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>BA76+BC76+BD76+BF76+BH76+BI76</f>
        <v>0</v>
      </c>
      <c r="BL76" s="422">
        <f>BB76+BE76+BG76+BJ76</f>
        <v>0</v>
      </c>
      <c r="BM76" s="611">
        <f>SUM(BK76:BL76)</f>
        <v>0</v>
      </c>
      <c r="BN76" s="428">
        <f>I76+AZ76</f>
        <v>25264643</v>
      </c>
      <c r="BO76" s="421">
        <f>J76+AH76</f>
        <v>18462566</v>
      </c>
      <c r="BP76" s="421">
        <f t="shared" ref="BP76:BQ80" si="222">K76+AF76</f>
        <v>17030355</v>
      </c>
      <c r="BQ76" s="421">
        <f t="shared" si="222"/>
        <v>1432211</v>
      </c>
      <c r="BR76" s="421">
        <f>M76+AQ76</f>
        <v>0</v>
      </c>
      <c r="BS76" s="421">
        <f t="shared" ref="BS76:BT80" si="223">N76+AO76</f>
        <v>0</v>
      </c>
      <c r="BT76" s="421">
        <f t="shared" si="223"/>
        <v>0</v>
      </c>
      <c r="BU76" s="421">
        <f t="shared" ref="BU76:BV80" si="224">P76+AU76</f>
        <v>6240347</v>
      </c>
      <c r="BV76" s="421">
        <f t="shared" si="224"/>
        <v>184626</v>
      </c>
      <c r="BW76" s="421">
        <f>R76+AY76</f>
        <v>377104</v>
      </c>
      <c r="BX76" s="422">
        <f>S76+BM76</f>
        <v>29.355699999999999</v>
      </c>
      <c r="BY76" s="422">
        <f t="shared" ref="BY76:BZ80" si="225">T76+BK76</f>
        <v>25.136299999999999</v>
      </c>
      <c r="BZ76" s="611">
        <f t="shared" si="225"/>
        <v>4.2194000000000003</v>
      </c>
      <c r="CA76" s="423"/>
      <c r="CB76" s="418"/>
      <c r="CC76" s="418"/>
      <c r="CD76" s="418"/>
      <c r="CE76" s="418"/>
      <c r="CF76" s="527"/>
    </row>
    <row r="77" spans="1:84" x14ac:dyDescent="0.2">
      <c r="A77" s="206">
        <v>14</v>
      </c>
      <c r="B77" s="207">
        <v>3436</v>
      </c>
      <c r="C77" s="207">
        <v>600078485</v>
      </c>
      <c r="D77" s="207">
        <v>70695385</v>
      </c>
      <c r="E77" s="205" t="s">
        <v>111</v>
      </c>
      <c r="F77" s="207">
        <v>3113</v>
      </c>
      <c r="G77" s="208" t="s">
        <v>292</v>
      </c>
      <c r="H77" s="684" t="s">
        <v>272</v>
      </c>
      <c r="I77" s="423">
        <f t="shared" si="215"/>
        <v>0</v>
      </c>
      <c r="J77" s="418">
        <f>K77+L77</f>
        <v>0</v>
      </c>
      <c r="K77" s="418">
        <v>0</v>
      </c>
      <c r="L77" s="418">
        <v>0</v>
      </c>
      <c r="M77" s="418">
        <f>N77+O77</f>
        <v>0</v>
      </c>
      <c r="N77" s="418"/>
      <c r="O77" s="418"/>
      <c r="P77" s="68">
        <f t="shared" si="216"/>
        <v>0</v>
      </c>
      <c r="Q77" s="68">
        <f t="shared" si="217"/>
        <v>0</v>
      </c>
      <c r="R77" s="418">
        <v>0</v>
      </c>
      <c r="S77" s="419">
        <f>T77+U77</f>
        <v>0</v>
      </c>
      <c r="T77" s="420">
        <v>0</v>
      </c>
      <c r="U77" s="527">
        <v>0</v>
      </c>
      <c r="V77" s="427">
        <f t="shared" si="218"/>
        <v>0</v>
      </c>
      <c r="W77" s="421">
        <f t="shared" si="218"/>
        <v>0</v>
      </c>
      <c r="X77" s="421">
        <v>2276313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>V77+X77+Y77+AA77+AB77+AD77</f>
        <v>2276313</v>
      </c>
      <c r="AG77" s="421">
        <f>W77+Z77+AC77+AE77</f>
        <v>0</v>
      </c>
      <c r="AH77" s="421">
        <f>SUM(AF77:AG77)</f>
        <v>2276313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si="219"/>
        <v>0</v>
      </c>
      <c r="AP77" s="421">
        <f>AJ77+AN77</f>
        <v>0</v>
      </c>
      <c r="AQ77" s="421">
        <f>SUM(AO77:AP77)</f>
        <v>0</v>
      </c>
      <c r="AR77" s="421">
        <f t="shared" si="220"/>
        <v>2276313</v>
      </c>
      <c r="AS77" s="421">
        <f t="shared" si="220"/>
        <v>0</v>
      </c>
      <c r="AT77" s="421">
        <f>SUM(AR77:AS77)</f>
        <v>2276313</v>
      </c>
      <c r="AU77" s="68">
        <f t="shared" si="221"/>
        <v>769394</v>
      </c>
      <c r="AV77" s="68">
        <f>ROUND(AH77*1%,0)</f>
        <v>22763</v>
      </c>
      <c r="AW77" s="421">
        <v>0</v>
      </c>
      <c r="AX77" s="421">
        <v>0</v>
      </c>
      <c r="AY77" s="421">
        <f>AW77+AX77</f>
        <v>0</v>
      </c>
      <c r="AZ77" s="421">
        <f>AT77+AU77+AV77+AY77</f>
        <v>3068470</v>
      </c>
      <c r="BA77" s="422">
        <v>0</v>
      </c>
      <c r="BB77" s="422">
        <v>0</v>
      </c>
      <c r="BC77" s="422">
        <v>6.14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>BA77+BC77+BD77+BF77+BH77+BI77</f>
        <v>6.14</v>
      </c>
      <c r="BL77" s="422">
        <f>BB77+BE77+BG77+BJ77</f>
        <v>0</v>
      </c>
      <c r="BM77" s="611">
        <f>SUM(BK77:BL77)</f>
        <v>6.14</v>
      </c>
      <c r="BN77" s="428">
        <f>I77+AZ77</f>
        <v>3068470</v>
      </c>
      <c r="BO77" s="421">
        <f>J77+AH77</f>
        <v>2276313</v>
      </c>
      <c r="BP77" s="421">
        <f t="shared" si="222"/>
        <v>2276313</v>
      </c>
      <c r="BQ77" s="421">
        <f t="shared" si="222"/>
        <v>0</v>
      </c>
      <c r="BR77" s="421">
        <f>M77+AQ77</f>
        <v>0</v>
      </c>
      <c r="BS77" s="421">
        <f t="shared" si="223"/>
        <v>0</v>
      </c>
      <c r="BT77" s="421">
        <f t="shared" si="223"/>
        <v>0</v>
      </c>
      <c r="BU77" s="421">
        <f t="shared" si="224"/>
        <v>769394</v>
      </c>
      <c r="BV77" s="421">
        <f t="shared" si="224"/>
        <v>22763</v>
      </c>
      <c r="BW77" s="421">
        <f>R77+AY77</f>
        <v>0</v>
      </c>
      <c r="BX77" s="422">
        <f>S77+BM77</f>
        <v>6.14</v>
      </c>
      <c r="BY77" s="422">
        <f t="shared" si="225"/>
        <v>6.14</v>
      </c>
      <c r="BZ77" s="611">
        <f t="shared" si="225"/>
        <v>0</v>
      </c>
      <c r="CA77" s="423"/>
      <c r="CB77" s="418"/>
      <c r="CC77" s="418"/>
      <c r="CD77" s="418"/>
      <c r="CE77" s="418"/>
      <c r="CF77" s="527"/>
    </row>
    <row r="78" spans="1:84" x14ac:dyDescent="0.2">
      <c r="A78" s="206">
        <v>14</v>
      </c>
      <c r="B78" s="207">
        <v>3436</v>
      </c>
      <c r="C78" s="207">
        <v>600078485</v>
      </c>
      <c r="D78" s="207">
        <v>70695385</v>
      </c>
      <c r="E78" s="205" t="s">
        <v>111</v>
      </c>
      <c r="F78" s="207">
        <v>3141</v>
      </c>
      <c r="G78" s="208" t="s">
        <v>295</v>
      </c>
      <c r="H78" s="684" t="s">
        <v>272</v>
      </c>
      <c r="I78" s="423">
        <f t="shared" si="215"/>
        <v>1970347</v>
      </c>
      <c r="J78" s="418">
        <f>K78+L78</f>
        <v>1451738</v>
      </c>
      <c r="K78" s="418">
        <v>0</v>
      </c>
      <c r="L78" s="418">
        <v>1451738</v>
      </c>
      <c r="M78" s="418">
        <f>N78+O78</f>
        <v>0</v>
      </c>
      <c r="N78" s="418"/>
      <c r="O78" s="418"/>
      <c r="P78" s="68">
        <f t="shared" si="216"/>
        <v>490687</v>
      </c>
      <c r="Q78" s="68">
        <f t="shared" si="217"/>
        <v>14517</v>
      </c>
      <c r="R78" s="418">
        <v>13405</v>
      </c>
      <c r="S78" s="419">
        <f>T78+U78</f>
        <v>4.3499999999999996</v>
      </c>
      <c r="T78" s="420">
        <v>0</v>
      </c>
      <c r="U78" s="527">
        <v>4.3499999999999996</v>
      </c>
      <c r="V78" s="427">
        <f t="shared" si="218"/>
        <v>0</v>
      </c>
      <c r="W78" s="421">
        <f t="shared" si="218"/>
        <v>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>V78+X78+Y78+AA78+AB78+AD78</f>
        <v>0</v>
      </c>
      <c r="AG78" s="421">
        <f>W78+Z78+AC78+AE78</f>
        <v>0</v>
      </c>
      <c r="AH78" s="421">
        <f>SUM(AF78:AG78)</f>
        <v>0</v>
      </c>
      <c r="AI78" s="421">
        <v>0</v>
      </c>
      <c r="AJ78" s="421">
        <v>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si="219"/>
        <v>0</v>
      </c>
      <c r="AP78" s="421">
        <f>AJ78+AN78</f>
        <v>0</v>
      </c>
      <c r="AQ78" s="421">
        <f>SUM(AO78:AP78)</f>
        <v>0</v>
      </c>
      <c r="AR78" s="421">
        <f t="shared" si="220"/>
        <v>0</v>
      </c>
      <c r="AS78" s="421">
        <f t="shared" si="220"/>
        <v>0</v>
      </c>
      <c r="AT78" s="421">
        <f>SUM(AR78:AS78)</f>
        <v>0</v>
      </c>
      <c r="AU78" s="68">
        <f t="shared" si="221"/>
        <v>0</v>
      </c>
      <c r="AV78" s="68">
        <f>ROUND(AH78*1%,0)</f>
        <v>0</v>
      </c>
      <c r="AW78" s="421">
        <v>0</v>
      </c>
      <c r="AX78" s="421">
        <v>0</v>
      </c>
      <c r="AY78" s="421">
        <f>AW78+AX78</f>
        <v>0</v>
      </c>
      <c r="AZ78" s="421">
        <f>AT78+AU78+AV78+AY78</f>
        <v>0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>BA78+BC78+BD78+BF78+BH78+BI78</f>
        <v>0</v>
      </c>
      <c r="BL78" s="422">
        <f>BB78+BE78+BG78+BJ78</f>
        <v>0</v>
      </c>
      <c r="BM78" s="611">
        <f>SUM(BK78:BL78)</f>
        <v>0</v>
      </c>
      <c r="BN78" s="428">
        <f>I78+AZ78</f>
        <v>1970347</v>
      </c>
      <c r="BO78" s="421">
        <f>J78+AH78</f>
        <v>1451738</v>
      </c>
      <c r="BP78" s="421">
        <f t="shared" si="222"/>
        <v>0</v>
      </c>
      <c r="BQ78" s="421">
        <f t="shared" si="222"/>
        <v>1451738</v>
      </c>
      <c r="BR78" s="421">
        <f>M78+AQ78</f>
        <v>0</v>
      </c>
      <c r="BS78" s="421">
        <f t="shared" si="223"/>
        <v>0</v>
      </c>
      <c r="BT78" s="421">
        <f t="shared" si="223"/>
        <v>0</v>
      </c>
      <c r="BU78" s="421">
        <f t="shared" si="224"/>
        <v>490687</v>
      </c>
      <c r="BV78" s="421">
        <f t="shared" si="224"/>
        <v>14517</v>
      </c>
      <c r="BW78" s="421">
        <f>R78+AY78</f>
        <v>13405</v>
      </c>
      <c r="BX78" s="422">
        <f>S78+BM78</f>
        <v>4.3499999999999996</v>
      </c>
      <c r="BY78" s="422">
        <f t="shared" si="225"/>
        <v>0</v>
      </c>
      <c r="BZ78" s="611">
        <f t="shared" si="225"/>
        <v>4.3499999999999996</v>
      </c>
      <c r="CA78" s="423"/>
      <c r="CB78" s="418"/>
      <c r="CC78" s="418"/>
      <c r="CD78" s="418"/>
      <c r="CE78" s="418"/>
      <c r="CF78" s="527"/>
    </row>
    <row r="79" spans="1:84" x14ac:dyDescent="0.2">
      <c r="A79" s="206">
        <v>14</v>
      </c>
      <c r="B79" s="207">
        <v>3436</v>
      </c>
      <c r="C79" s="207">
        <v>600078485</v>
      </c>
      <c r="D79" s="207">
        <v>70695385</v>
      </c>
      <c r="E79" s="205" t="s">
        <v>111</v>
      </c>
      <c r="F79" s="207">
        <v>3143</v>
      </c>
      <c r="G79" s="208" t="s">
        <v>596</v>
      </c>
      <c r="H79" s="686" t="s">
        <v>271</v>
      </c>
      <c r="I79" s="423">
        <f t="shared" si="215"/>
        <v>2120532</v>
      </c>
      <c r="J79" s="418">
        <f>K79+L79</f>
        <v>1573095</v>
      </c>
      <c r="K79" s="418">
        <v>1573095</v>
      </c>
      <c r="L79" s="418">
        <v>0</v>
      </c>
      <c r="M79" s="418">
        <f>N79+O79</f>
        <v>0</v>
      </c>
      <c r="N79" s="418"/>
      <c r="O79" s="418"/>
      <c r="P79" s="68">
        <f t="shared" si="216"/>
        <v>531706</v>
      </c>
      <c r="Q79" s="68">
        <f t="shared" si="217"/>
        <v>15731</v>
      </c>
      <c r="R79" s="418">
        <v>0</v>
      </c>
      <c r="S79" s="419">
        <f>T79+U79</f>
        <v>2.9910999999999999</v>
      </c>
      <c r="T79" s="420">
        <v>2.9910999999999999</v>
      </c>
      <c r="U79" s="527">
        <v>0</v>
      </c>
      <c r="V79" s="427">
        <f t="shared" si="218"/>
        <v>0</v>
      </c>
      <c r="W79" s="421">
        <f t="shared" si="218"/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>V79+X79+Y79+AA79+AB79+AD79</f>
        <v>0</v>
      </c>
      <c r="AG79" s="421">
        <f>W79+Z79+AC79+AE79</f>
        <v>0</v>
      </c>
      <c r="AH79" s="421">
        <f>SUM(AF79:AG79)</f>
        <v>0</v>
      </c>
      <c r="AI79" s="421">
        <v>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si="219"/>
        <v>0</v>
      </c>
      <c r="AP79" s="421">
        <f>AJ79+AN79</f>
        <v>0</v>
      </c>
      <c r="AQ79" s="421">
        <f>SUM(AO79:AP79)</f>
        <v>0</v>
      </c>
      <c r="AR79" s="421">
        <f t="shared" si="220"/>
        <v>0</v>
      </c>
      <c r="AS79" s="421">
        <f t="shared" si="220"/>
        <v>0</v>
      </c>
      <c r="AT79" s="421">
        <f>SUM(AR79:AS79)</f>
        <v>0</v>
      </c>
      <c r="AU79" s="68">
        <f t="shared" si="221"/>
        <v>0</v>
      </c>
      <c r="AV79" s="68">
        <f>ROUND(AH79*1%,0)</f>
        <v>0</v>
      </c>
      <c r="AW79" s="421">
        <v>0</v>
      </c>
      <c r="AX79" s="421">
        <v>0</v>
      </c>
      <c r="AY79" s="421">
        <f>AW79+AX79</f>
        <v>0</v>
      </c>
      <c r="AZ79" s="421">
        <f>AT79+AU79+AV79+AY79</f>
        <v>0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>BA79+BC79+BD79+BF79+BH79+BI79</f>
        <v>0</v>
      </c>
      <c r="BL79" s="422">
        <f>BB79+BE79+BG79+BJ79</f>
        <v>0</v>
      </c>
      <c r="BM79" s="611">
        <f>SUM(BK79:BL79)</f>
        <v>0</v>
      </c>
      <c r="BN79" s="428">
        <f>I79+AZ79</f>
        <v>2120532</v>
      </c>
      <c r="BO79" s="421">
        <f>J79+AH79</f>
        <v>1573095</v>
      </c>
      <c r="BP79" s="421">
        <f t="shared" si="222"/>
        <v>1573095</v>
      </c>
      <c r="BQ79" s="421">
        <f t="shared" si="222"/>
        <v>0</v>
      </c>
      <c r="BR79" s="421">
        <f>M79+AQ79</f>
        <v>0</v>
      </c>
      <c r="BS79" s="421">
        <f t="shared" si="223"/>
        <v>0</v>
      </c>
      <c r="BT79" s="421">
        <f t="shared" si="223"/>
        <v>0</v>
      </c>
      <c r="BU79" s="421">
        <f t="shared" si="224"/>
        <v>531706</v>
      </c>
      <c r="BV79" s="421">
        <f t="shared" si="224"/>
        <v>15731</v>
      </c>
      <c r="BW79" s="421">
        <f>R79+AY79</f>
        <v>0</v>
      </c>
      <c r="BX79" s="422">
        <f>S79+BM79</f>
        <v>2.9910999999999999</v>
      </c>
      <c r="BY79" s="422">
        <f t="shared" si="225"/>
        <v>2.9910999999999999</v>
      </c>
      <c r="BZ79" s="611">
        <f t="shared" si="225"/>
        <v>0</v>
      </c>
      <c r="CA79" s="423"/>
      <c r="CB79" s="418"/>
      <c r="CC79" s="418"/>
      <c r="CD79" s="418"/>
      <c r="CE79" s="418"/>
      <c r="CF79" s="527"/>
    </row>
    <row r="80" spans="1:84" x14ac:dyDescent="0.2">
      <c r="A80" s="206">
        <v>14</v>
      </c>
      <c r="B80" s="207">
        <v>3436</v>
      </c>
      <c r="C80" s="207">
        <v>600078485</v>
      </c>
      <c r="D80" s="207">
        <v>70695385</v>
      </c>
      <c r="E80" s="205" t="s">
        <v>111</v>
      </c>
      <c r="F80" s="207">
        <v>3143</v>
      </c>
      <c r="G80" s="208" t="s">
        <v>597</v>
      </c>
      <c r="H80" s="686" t="s">
        <v>272</v>
      </c>
      <c r="I80" s="423">
        <f t="shared" si="215"/>
        <v>55842</v>
      </c>
      <c r="J80" s="418">
        <f>K80+L80</f>
        <v>39970</v>
      </c>
      <c r="K80" s="418">
        <v>0</v>
      </c>
      <c r="L80" s="418">
        <v>39970</v>
      </c>
      <c r="M80" s="418">
        <f>N80+O80</f>
        <v>0</v>
      </c>
      <c r="N80" s="418"/>
      <c r="O80" s="418"/>
      <c r="P80" s="68">
        <f t="shared" si="216"/>
        <v>13510</v>
      </c>
      <c r="Q80" s="68">
        <f t="shared" si="217"/>
        <v>400</v>
      </c>
      <c r="R80" s="418">
        <v>1962</v>
      </c>
      <c r="S80" s="419">
        <f>T80+U80</f>
        <v>0.15</v>
      </c>
      <c r="T80" s="420">
        <v>0</v>
      </c>
      <c r="U80" s="527">
        <v>0.15</v>
      </c>
      <c r="V80" s="427">
        <f t="shared" si="218"/>
        <v>0</v>
      </c>
      <c r="W80" s="421">
        <f t="shared" si="218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>V80+X80+Y80+AA80+AB80+AD80</f>
        <v>0</v>
      </c>
      <c r="AG80" s="421">
        <f>W80+Z80+AC80+AE80</f>
        <v>0</v>
      </c>
      <c r="AH80" s="421">
        <f>SUM(AF80:AG80)</f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219"/>
        <v>0</v>
      </c>
      <c r="AP80" s="421">
        <f>AJ80+AN80</f>
        <v>0</v>
      </c>
      <c r="AQ80" s="421">
        <f>SUM(AO80:AP80)</f>
        <v>0</v>
      </c>
      <c r="AR80" s="421">
        <f t="shared" si="220"/>
        <v>0</v>
      </c>
      <c r="AS80" s="421">
        <f t="shared" si="220"/>
        <v>0</v>
      </c>
      <c r="AT80" s="421">
        <f>SUM(AR80:AS80)</f>
        <v>0</v>
      </c>
      <c r="AU80" s="68">
        <f t="shared" si="221"/>
        <v>0</v>
      </c>
      <c r="AV80" s="68">
        <f>ROUND(AH80*1%,0)</f>
        <v>0</v>
      </c>
      <c r="AW80" s="421">
        <v>0</v>
      </c>
      <c r="AX80" s="421">
        <v>0</v>
      </c>
      <c r="AY80" s="421">
        <f>AW80+AX80</f>
        <v>0</v>
      </c>
      <c r="AZ80" s="421">
        <f>AT80+AU80+AV80+AY80</f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>BA80+BC80+BD80+BF80+BH80+BI80</f>
        <v>0</v>
      </c>
      <c r="BL80" s="422">
        <f>BB80+BE80+BG80+BJ80</f>
        <v>0</v>
      </c>
      <c r="BM80" s="611">
        <f>SUM(BK80:BL80)</f>
        <v>0</v>
      </c>
      <c r="BN80" s="428">
        <f>I80+AZ80</f>
        <v>55842</v>
      </c>
      <c r="BO80" s="421">
        <f>J80+AH80</f>
        <v>39970</v>
      </c>
      <c r="BP80" s="421">
        <f t="shared" si="222"/>
        <v>0</v>
      </c>
      <c r="BQ80" s="421">
        <f t="shared" si="222"/>
        <v>39970</v>
      </c>
      <c r="BR80" s="421">
        <f>M80+AQ80</f>
        <v>0</v>
      </c>
      <c r="BS80" s="421">
        <f t="shared" si="223"/>
        <v>0</v>
      </c>
      <c r="BT80" s="421">
        <f t="shared" si="223"/>
        <v>0</v>
      </c>
      <c r="BU80" s="421">
        <f t="shared" si="224"/>
        <v>13510</v>
      </c>
      <c r="BV80" s="421">
        <f t="shared" si="224"/>
        <v>400</v>
      </c>
      <c r="BW80" s="421">
        <f>R80+AY80</f>
        <v>1962</v>
      </c>
      <c r="BX80" s="422">
        <f>S80+BM80</f>
        <v>0.15</v>
      </c>
      <c r="BY80" s="422">
        <f t="shared" si="225"/>
        <v>0</v>
      </c>
      <c r="BZ80" s="611">
        <f t="shared" si="225"/>
        <v>0.15</v>
      </c>
      <c r="CA80" s="423"/>
      <c r="CB80" s="418"/>
      <c r="CC80" s="418"/>
      <c r="CD80" s="418"/>
      <c r="CE80" s="418"/>
      <c r="CF80" s="527"/>
    </row>
    <row r="81" spans="1:84" x14ac:dyDescent="0.2">
      <c r="A81" s="155">
        <v>14</v>
      </c>
      <c r="B81" s="18">
        <v>3436</v>
      </c>
      <c r="C81" s="18">
        <v>600078485</v>
      </c>
      <c r="D81" s="18">
        <v>70695385</v>
      </c>
      <c r="E81" s="164" t="s">
        <v>112</v>
      </c>
      <c r="F81" s="18"/>
      <c r="G81" s="154"/>
      <c r="H81" s="685"/>
      <c r="I81" s="453">
        <f t="shared" ref="I81:BU81" si="226">SUM(I76:I80)</f>
        <v>29411364</v>
      </c>
      <c r="J81" s="449">
        <f t="shared" si="226"/>
        <v>21527369</v>
      </c>
      <c r="K81" s="449">
        <f t="shared" si="226"/>
        <v>18603450</v>
      </c>
      <c r="L81" s="449">
        <f t="shared" si="226"/>
        <v>2923919</v>
      </c>
      <c r="M81" s="449">
        <f t="shared" si="226"/>
        <v>0</v>
      </c>
      <c r="N81" s="449">
        <f t="shared" si="226"/>
        <v>0</v>
      </c>
      <c r="O81" s="449">
        <f t="shared" si="226"/>
        <v>0</v>
      </c>
      <c r="P81" s="449">
        <f t="shared" si="226"/>
        <v>7276250</v>
      </c>
      <c r="Q81" s="449">
        <f t="shared" si="226"/>
        <v>215274</v>
      </c>
      <c r="R81" s="449">
        <f t="shared" si="226"/>
        <v>392471</v>
      </c>
      <c r="S81" s="450">
        <f t="shared" si="226"/>
        <v>36.846800000000002</v>
      </c>
      <c r="T81" s="450">
        <f t="shared" si="226"/>
        <v>28.127399999999998</v>
      </c>
      <c r="U81" s="40">
        <f t="shared" si="226"/>
        <v>8.7194000000000003</v>
      </c>
      <c r="V81" s="457">
        <f t="shared" si="226"/>
        <v>0</v>
      </c>
      <c r="W81" s="449">
        <f t="shared" si="226"/>
        <v>0</v>
      </c>
      <c r="X81" s="449">
        <f t="shared" si="226"/>
        <v>2276313</v>
      </c>
      <c r="Y81" s="449">
        <f t="shared" si="226"/>
        <v>0</v>
      </c>
      <c r="Z81" s="449">
        <f t="shared" si="226"/>
        <v>0</v>
      </c>
      <c r="AA81" s="449">
        <f t="shared" si="226"/>
        <v>0</v>
      </c>
      <c r="AB81" s="449">
        <f t="shared" si="226"/>
        <v>0</v>
      </c>
      <c r="AC81" s="449">
        <f t="shared" si="226"/>
        <v>0</v>
      </c>
      <c r="AD81" s="449">
        <f t="shared" si="226"/>
        <v>0</v>
      </c>
      <c r="AE81" s="449">
        <f t="shared" si="226"/>
        <v>0</v>
      </c>
      <c r="AF81" s="449">
        <f t="shared" si="226"/>
        <v>2276313</v>
      </c>
      <c r="AG81" s="449">
        <f t="shared" si="226"/>
        <v>0</v>
      </c>
      <c r="AH81" s="449">
        <f t="shared" si="226"/>
        <v>2276313</v>
      </c>
      <c r="AI81" s="449">
        <f t="shared" si="226"/>
        <v>0</v>
      </c>
      <c r="AJ81" s="449">
        <f t="shared" si="226"/>
        <v>0</v>
      </c>
      <c r="AK81" s="449">
        <f t="shared" ref="AK81" si="227">SUM(AK76:AK80)</f>
        <v>0</v>
      </c>
      <c r="AL81" s="449">
        <f t="shared" si="226"/>
        <v>0</v>
      </c>
      <c r="AM81" s="449">
        <f t="shared" si="226"/>
        <v>0</v>
      </c>
      <c r="AN81" s="449">
        <f t="shared" si="226"/>
        <v>0</v>
      </c>
      <c r="AO81" s="449">
        <f t="shared" si="226"/>
        <v>0</v>
      </c>
      <c r="AP81" s="449">
        <f t="shared" si="226"/>
        <v>0</v>
      </c>
      <c r="AQ81" s="449">
        <f t="shared" si="226"/>
        <v>0</v>
      </c>
      <c r="AR81" s="449">
        <f t="shared" si="226"/>
        <v>2276313</v>
      </c>
      <c r="AS81" s="449">
        <f t="shared" si="226"/>
        <v>0</v>
      </c>
      <c r="AT81" s="449">
        <f t="shared" si="226"/>
        <v>2276313</v>
      </c>
      <c r="AU81" s="449">
        <f t="shared" si="226"/>
        <v>769394</v>
      </c>
      <c r="AV81" s="449">
        <f t="shared" si="226"/>
        <v>22763</v>
      </c>
      <c r="AW81" s="449">
        <f t="shared" si="226"/>
        <v>0</v>
      </c>
      <c r="AX81" s="449">
        <f t="shared" si="226"/>
        <v>0</v>
      </c>
      <c r="AY81" s="449">
        <f t="shared" si="226"/>
        <v>0</v>
      </c>
      <c r="AZ81" s="449">
        <f t="shared" si="226"/>
        <v>3068470</v>
      </c>
      <c r="BA81" s="450">
        <f t="shared" si="226"/>
        <v>0</v>
      </c>
      <c r="BB81" s="450">
        <f t="shared" si="226"/>
        <v>0</v>
      </c>
      <c r="BC81" s="450">
        <f t="shared" si="226"/>
        <v>6.14</v>
      </c>
      <c r="BD81" s="450">
        <f t="shared" si="226"/>
        <v>0</v>
      </c>
      <c r="BE81" s="450">
        <f t="shared" si="226"/>
        <v>0</v>
      </c>
      <c r="BF81" s="450">
        <f t="shared" si="226"/>
        <v>0</v>
      </c>
      <c r="BG81" s="450">
        <f t="shared" si="226"/>
        <v>0</v>
      </c>
      <c r="BH81" s="450">
        <f t="shared" si="226"/>
        <v>0</v>
      </c>
      <c r="BI81" s="450">
        <f t="shared" si="226"/>
        <v>0</v>
      </c>
      <c r="BJ81" s="450">
        <f t="shared" si="226"/>
        <v>0</v>
      </c>
      <c r="BK81" s="450">
        <f t="shared" si="226"/>
        <v>6.14</v>
      </c>
      <c r="BL81" s="450">
        <f t="shared" si="226"/>
        <v>0</v>
      </c>
      <c r="BM81" s="455">
        <f t="shared" si="226"/>
        <v>6.14</v>
      </c>
      <c r="BN81" s="453">
        <f t="shared" si="226"/>
        <v>32479834</v>
      </c>
      <c r="BO81" s="449">
        <f t="shared" si="226"/>
        <v>23803682</v>
      </c>
      <c r="BP81" s="449">
        <f t="shared" si="226"/>
        <v>20879763</v>
      </c>
      <c r="BQ81" s="449">
        <f t="shared" si="226"/>
        <v>2923919</v>
      </c>
      <c r="BR81" s="449">
        <f t="shared" si="226"/>
        <v>0</v>
      </c>
      <c r="BS81" s="449">
        <f t="shared" si="226"/>
        <v>0</v>
      </c>
      <c r="BT81" s="449">
        <f t="shared" si="226"/>
        <v>0</v>
      </c>
      <c r="BU81" s="449">
        <f t="shared" si="226"/>
        <v>8045644</v>
      </c>
      <c r="BV81" s="449">
        <f t="shared" ref="BV81:CF81" si="228">SUM(BV76:BV80)</f>
        <v>238037</v>
      </c>
      <c r="BW81" s="449">
        <f t="shared" si="228"/>
        <v>392471</v>
      </c>
      <c r="BX81" s="450">
        <f t="shared" si="228"/>
        <v>42.986800000000002</v>
      </c>
      <c r="BY81" s="450">
        <f t="shared" si="228"/>
        <v>34.267400000000002</v>
      </c>
      <c r="BZ81" s="455">
        <f t="shared" si="228"/>
        <v>8.7194000000000003</v>
      </c>
      <c r="CA81" s="853">
        <f t="shared" si="228"/>
        <v>0</v>
      </c>
      <c r="CB81" s="851">
        <f t="shared" si="228"/>
        <v>0</v>
      </c>
      <c r="CC81" s="851">
        <f t="shared" si="228"/>
        <v>0</v>
      </c>
      <c r="CD81" s="851">
        <f t="shared" si="228"/>
        <v>0</v>
      </c>
      <c r="CE81" s="851">
        <f t="shared" si="228"/>
        <v>0</v>
      </c>
      <c r="CF81" s="849">
        <f t="shared" si="228"/>
        <v>0</v>
      </c>
    </row>
    <row r="82" spans="1:84" x14ac:dyDescent="0.2">
      <c r="A82" s="206">
        <v>15</v>
      </c>
      <c r="B82" s="207">
        <v>3442</v>
      </c>
      <c r="C82" s="207">
        <v>600078205</v>
      </c>
      <c r="D82" s="207">
        <v>72743638</v>
      </c>
      <c r="E82" s="205" t="s">
        <v>841</v>
      </c>
      <c r="F82" s="207">
        <v>3111</v>
      </c>
      <c r="G82" s="208" t="s">
        <v>291</v>
      </c>
      <c r="H82" s="684" t="s">
        <v>271</v>
      </c>
      <c r="I82" s="423">
        <f t="shared" ref="I82:I84" si="229">J82+P82+Q82+R82</f>
        <v>7266556</v>
      </c>
      <c r="J82" s="418">
        <f>K82+L82</f>
        <v>5372992</v>
      </c>
      <c r="K82" s="418">
        <v>4902790</v>
      </c>
      <c r="L82" s="418">
        <v>470202</v>
      </c>
      <c r="M82" s="418">
        <f>N82+O82</f>
        <v>0</v>
      </c>
      <c r="N82" s="418"/>
      <c r="O82" s="418"/>
      <c r="P82" s="68">
        <f t="shared" ref="P82:P84" si="230">ROUND(J82*33.8%,0)</f>
        <v>1816071</v>
      </c>
      <c r="Q82" s="68">
        <f t="shared" ref="Q82:Q84" si="231">ROUND(J82*1%,0)</f>
        <v>53730</v>
      </c>
      <c r="R82" s="418">
        <v>23763</v>
      </c>
      <c r="S82" s="419">
        <f>T82+U82</f>
        <v>9.922699999999999</v>
      </c>
      <c r="T82" s="420">
        <v>8.3225999999999996</v>
      </c>
      <c r="U82" s="527">
        <v>1.6000999999999999</v>
      </c>
      <c r="V82" s="427">
        <f t="shared" ref="V82:W84" si="232">AI82*-1</f>
        <v>0</v>
      </c>
      <c r="W82" s="421">
        <f t="shared" si="232"/>
        <v>-37930</v>
      </c>
      <c r="X82" s="421">
        <v>0</v>
      </c>
      <c r="Y82" s="421"/>
      <c r="Z82" s="421"/>
      <c r="AA82" s="421">
        <v>0</v>
      </c>
      <c r="AB82" s="421">
        <v>0</v>
      </c>
      <c r="AC82" s="421">
        <v>0</v>
      </c>
      <c r="AD82" s="421">
        <v>1033624</v>
      </c>
      <c r="AE82" s="421">
        <v>59904</v>
      </c>
      <c r="AF82" s="421">
        <f>V82+X82+Y82+AA82+AB82+AD82</f>
        <v>1033624</v>
      </c>
      <c r="AG82" s="421">
        <f>W82+Z82+AC82+AE82</f>
        <v>21974</v>
      </c>
      <c r="AH82" s="421">
        <f>SUM(AF82:AG82)</f>
        <v>1055598</v>
      </c>
      <c r="AI82" s="421">
        <v>0</v>
      </c>
      <c r="AJ82" s="421">
        <v>37930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ref="AO82:AO84" si="233">AI82+AK82+AL82+AM82</f>
        <v>0</v>
      </c>
      <c r="AP82" s="421">
        <f>AJ82+AN82</f>
        <v>37930</v>
      </c>
      <c r="AQ82" s="421">
        <f>SUM(AO82:AP82)</f>
        <v>37930</v>
      </c>
      <c r="AR82" s="421">
        <f t="shared" ref="AR82:AS84" si="234">AF82+AO82</f>
        <v>1033624</v>
      </c>
      <c r="AS82" s="421">
        <f t="shared" si="234"/>
        <v>59904</v>
      </c>
      <c r="AT82" s="421">
        <f>SUM(AR82:AS82)</f>
        <v>1093528</v>
      </c>
      <c r="AU82" s="68">
        <f t="shared" ref="AU82:AU84" si="235">ROUND((AH82+AI82+AJ82+AK82+AL82)*33.8%,0)</f>
        <v>369612</v>
      </c>
      <c r="AV82" s="68">
        <f>ROUND(AH82*1%,0)</f>
        <v>10556</v>
      </c>
      <c r="AW82" s="421">
        <v>0</v>
      </c>
      <c r="AX82" s="421">
        <v>5340</v>
      </c>
      <c r="AY82" s="421">
        <f>AW82+AX82</f>
        <v>5340</v>
      </c>
      <c r="AZ82" s="421">
        <f>AT82+AU82+AV82+AY82</f>
        <v>1479036</v>
      </c>
      <c r="BA82" s="422">
        <v>0</v>
      </c>
      <c r="BB82" s="422">
        <v>-0.16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1.85</v>
      </c>
      <c r="BJ82" s="422">
        <v>0.24</v>
      </c>
      <c r="BK82" s="422">
        <f>BA82+BC82+BD82+BF82+BH82+BI82</f>
        <v>1.85</v>
      </c>
      <c r="BL82" s="422">
        <f>BB82+BE82+BG82+BJ82</f>
        <v>7.9999999999999988E-2</v>
      </c>
      <c r="BM82" s="611">
        <f>SUM(BK82:BL82)</f>
        <v>1.9300000000000002</v>
      </c>
      <c r="BN82" s="428">
        <f>I82+AZ82</f>
        <v>8745592</v>
      </c>
      <c r="BO82" s="421">
        <f>J82+AH82</f>
        <v>6428590</v>
      </c>
      <c r="BP82" s="421">
        <f t="shared" ref="BP82:BQ84" si="236">K82+AF82</f>
        <v>5936414</v>
      </c>
      <c r="BQ82" s="421">
        <f t="shared" si="236"/>
        <v>492176</v>
      </c>
      <c r="BR82" s="421">
        <f>M82+AQ82</f>
        <v>37930</v>
      </c>
      <c r="BS82" s="421">
        <f t="shared" ref="BS82:BT84" si="237">N82+AO82</f>
        <v>0</v>
      </c>
      <c r="BT82" s="421">
        <f t="shared" si="237"/>
        <v>37930</v>
      </c>
      <c r="BU82" s="421">
        <f t="shared" ref="BU82:BV84" si="238">P82+AU82</f>
        <v>2185683</v>
      </c>
      <c r="BV82" s="421">
        <f t="shared" si="238"/>
        <v>64286</v>
      </c>
      <c r="BW82" s="421">
        <f>R82+AY82</f>
        <v>29103</v>
      </c>
      <c r="BX82" s="422">
        <f>S82+BM82</f>
        <v>11.852699999999999</v>
      </c>
      <c r="BY82" s="422">
        <f t="shared" ref="BY82:BZ84" si="239">T82+BK82</f>
        <v>10.172599999999999</v>
      </c>
      <c r="BZ82" s="611">
        <f t="shared" si="239"/>
        <v>1.6800999999999999</v>
      </c>
      <c r="CA82" s="423"/>
      <c r="CB82" s="418"/>
      <c r="CC82" s="418"/>
      <c r="CD82" s="418"/>
      <c r="CE82" s="418"/>
      <c r="CF82" s="527"/>
    </row>
    <row r="83" spans="1:84" x14ac:dyDescent="0.2">
      <c r="A83" s="206">
        <v>15</v>
      </c>
      <c r="B83" s="207">
        <v>3442</v>
      </c>
      <c r="C83" s="207">
        <v>600078205</v>
      </c>
      <c r="D83" s="207">
        <v>72743638</v>
      </c>
      <c r="E83" s="205" t="s">
        <v>842</v>
      </c>
      <c r="F83" s="207">
        <v>3111</v>
      </c>
      <c r="G83" s="208" t="s">
        <v>292</v>
      </c>
      <c r="H83" s="684" t="s">
        <v>272</v>
      </c>
      <c r="I83" s="423">
        <f t="shared" si="229"/>
        <v>0</v>
      </c>
      <c r="J83" s="418">
        <f>K83+L83</f>
        <v>0</v>
      </c>
      <c r="K83" s="418">
        <v>0</v>
      </c>
      <c r="L83" s="418">
        <v>0</v>
      </c>
      <c r="M83" s="418">
        <f>N83+O83</f>
        <v>0</v>
      </c>
      <c r="N83" s="418"/>
      <c r="O83" s="418"/>
      <c r="P83" s="68">
        <f t="shared" si="230"/>
        <v>0</v>
      </c>
      <c r="Q83" s="68">
        <f t="shared" si="231"/>
        <v>0</v>
      </c>
      <c r="R83" s="418">
        <v>0</v>
      </c>
      <c r="S83" s="419">
        <f>T83+U83</f>
        <v>0</v>
      </c>
      <c r="T83" s="420">
        <v>0</v>
      </c>
      <c r="U83" s="527">
        <v>0</v>
      </c>
      <c r="V83" s="427">
        <f t="shared" si="232"/>
        <v>0</v>
      </c>
      <c r="W83" s="421">
        <f t="shared" si="232"/>
        <v>0</v>
      </c>
      <c r="X83" s="421">
        <f>1293689+154500</f>
        <v>1448189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>V83+X83+Y83+AA83+AB83+AD83</f>
        <v>1448189</v>
      </c>
      <c r="AG83" s="421">
        <f>W83+Z83+AC83+AE83</f>
        <v>0</v>
      </c>
      <c r="AH83" s="421">
        <f>SUM(AF83:AG83)</f>
        <v>1448189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233"/>
        <v>0</v>
      </c>
      <c r="AP83" s="421">
        <f>AJ83+AN83</f>
        <v>0</v>
      </c>
      <c r="AQ83" s="421">
        <f>SUM(AO83:AP83)</f>
        <v>0</v>
      </c>
      <c r="AR83" s="421">
        <f t="shared" si="234"/>
        <v>1448189</v>
      </c>
      <c r="AS83" s="421">
        <f t="shared" si="234"/>
        <v>0</v>
      </c>
      <c r="AT83" s="421">
        <f>SUM(AR83:AS83)</f>
        <v>1448189</v>
      </c>
      <c r="AU83" s="68">
        <f t="shared" si="235"/>
        <v>489488</v>
      </c>
      <c r="AV83" s="68">
        <f>ROUND(AH83*1%,0)</f>
        <v>14482</v>
      </c>
      <c r="AW83" s="421">
        <v>0</v>
      </c>
      <c r="AX83" s="421">
        <v>0</v>
      </c>
      <c r="AY83" s="421">
        <f>AW83+AX83</f>
        <v>0</v>
      </c>
      <c r="AZ83" s="421">
        <f>AT83+AU83+AV83+AY83</f>
        <v>1952159</v>
      </c>
      <c r="BA83" s="422">
        <v>0</v>
      </c>
      <c r="BB83" s="422">
        <v>0</v>
      </c>
      <c r="BC83" s="422">
        <f>3.89+0.41</f>
        <v>4.3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>BA83+BC83+BD83+BF83+BH83+BI83</f>
        <v>4.3</v>
      </c>
      <c r="BL83" s="422">
        <f>BB83+BE83+BG83+BJ83</f>
        <v>0</v>
      </c>
      <c r="BM83" s="611">
        <f>SUM(BK83:BL83)</f>
        <v>4.3</v>
      </c>
      <c r="BN83" s="428">
        <f>I83+AZ83</f>
        <v>1952159</v>
      </c>
      <c r="BO83" s="421">
        <f>J83+AH83</f>
        <v>1448189</v>
      </c>
      <c r="BP83" s="421">
        <f t="shared" si="236"/>
        <v>1448189</v>
      </c>
      <c r="BQ83" s="421">
        <f t="shared" si="236"/>
        <v>0</v>
      </c>
      <c r="BR83" s="421">
        <f>M83+AQ83</f>
        <v>0</v>
      </c>
      <c r="BS83" s="421">
        <f t="shared" si="237"/>
        <v>0</v>
      </c>
      <c r="BT83" s="421">
        <f t="shared" si="237"/>
        <v>0</v>
      </c>
      <c r="BU83" s="421">
        <f t="shared" si="238"/>
        <v>489488</v>
      </c>
      <c r="BV83" s="421">
        <f t="shared" si="238"/>
        <v>14482</v>
      </c>
      <c r="BW83" s="421">
        <f>R83+AY83</f>
        <v>0</v>
      </c>
      <c r="BX83" s="422">
        <f>S83+BM83</f>
        <v>4.3</v>
      </c>
      <c r="BY83" s="422">
        <f t="shared" si="239"/>
        <v>4.3</v>
      </c>
      <c r="BZ83" s="611">
        <f t="shared" si="239"/>
        <v>0</v>
      </c>
      <c r="CA83" s="423"/>
      <c r="CB83" s="418"/>
      <c r="CC83" s="418"/>
      <c r="CD83" s="418"/>
      <c r="CE83" s="418"/>
      <c r="CF83" s="527"/>
    </row>
    <row r="84" spans="1:84" s="3" customFormat="1" x14ac:dyDescent="0.2">
      <c r="A84" s="206">
        <v>15</v>
      </c>
      <c r="B84" s="207">
        <v>3442</v>
      </c>
      <c r="C84" s="207">
        <v>600078205</v>
      </c>
      <c r="D84" s="207">
        <v>72743638</v>
      </c>
      <c r="E84" s="205" t="s">
        <v>842</v>
      </c>
      <c r="F84" s="207">
        <v>3141</v>
      </c>
      <c r="G84" s="208" t="s">
        <v>295</v>
      </c>
      <c r="H84" s="684" t="s">
        <v>272</v>
      </c>
      <c r="I84" s="423">
        <f t="shared" si="229"/>
        <v>686403</v>
      </c>
      <c r="J84" s="418">
        <f>K84+L84</f>
        <v>506890</v>
      </c>
      <c r="K84" s="418">
        <v>0</v>
      </c>
      <c r="L84" s="418">
        <v>506890</v>
      </c>
      <c r="M84" s="418">
        <f>N84+O84</f>
        <v>0</v>
      </c>
      <c r="N84" s="418"/>
      <c r="O84" s="418"/>
      <c r="P84" s="68">
        <f t="shared" si="230"/>
        <v>171329</v>
      </c>
      <c r="Q84" s="68">
        <f t="shared" si="231"/>
        <v>5069</v>
      </c>
      <c r="R84" s="418">
        <v>3115</v>
      </c>
      <c r="S84" s="419">
        <f>T84+U84</f>
        <v>1.52</v>
      </c>
      <c r="T84" s="420">
        <v>0</v>
      </c>
      <c r="U84" s="527">
        <v>1.52</v>
      </c>
      <c r="V84" s="427">
        <f t="shared" si="232"/>
        <v>0</v>
      </c>
      <c r="W84" s="421">
        <f t="shared" si="232"/>
        <v>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>V84+X84+Y84+AA84+AB84+AD84</f>
        <v>0</v>
      </c>
      <c r="AG84" s="421">
        <f>W84+Z84+AC84+AE84</f>
        <v>0</v>
      </c>
      <c r="AH84" s="421">
        <f>SUM(AF84:AG84)</f>
        <v>0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si="233"/>
        <v>0</v>
      </c>
      <c r="AP84" s="421">
        <f>AJ84+AN84</f>
        <v>0</v>
      </c>
      <c r="AQ84" s="421">
        <f>SUM(AO84:AP84)</f>
        <v>0</v>
      </c>
      <c r="AR84" s="421">
        <f t="shared" si="234"/>
        <v>0</v>
      </c>
      <c r="AS84" s="421">
        <f t="shared" si="234"/>
        <v>0</v>
      </c>
      <c r="AT84" s="421">
        <f>SUM(AR84:AS84)</f>
        <v>0</v>
      </c>
      <c r="AU84" s="68">
        <f t="shared" si="235"/>
        <v>0</v>
      </c>
      <c r="AV84" s="68">
        <f>ROUND(AH84*1%,0)</f>
        <v>0</v>
      </c>
      <c r="AW84" s="421">
        <v>0</v>
      </c>
      <c r="AX84" s="421">
        <v>0</v>
      </c>
      <c r="AY84" s="421">
        <f>AW84+AX84</f>
        <v>0</v>
      </c>
      <c r="AZ84" s="421">
        <f>AT84+AU84+AV84+AY84</f>
        <v>0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>BA84+BC84+BD84+BF84+BH84+BI84</f>
        <v>0</v>
      </c>
      <c r="BL84" s="422">
        <f>BB84+BE84+BG84+BJ84</f>
        <v>0</v>
      </c>
      <c r="BM84" s="611">
        <f>SUM(BK84:BL84)</f>
        <v>0</v>
      </c>
      <c r="BN84" s="428">
        <f>I84+AZ84</f>
        <v>686403</v>
      </c>
      <c r="BO84" s="421">
        <f>J84+AH84</f>
        <v>506890</v>
      </c>
      <c r="BP84" s="421">
        <f t="shared" si="236"/>
        <v>0</v>
      </c>
      <c r="BQ84" s="421">
        <f t="shared" si="236"/>
        <v>506890</v>
      </c>
      <c r="BR84" s="421">
        <f>M84+AQ84</f>
        <v>0</v>
      </c>
      <c r="BS84" s="421">
        <f t="shared" si="237"/>
        <v>0</v>
      </c>
      <c r="BT84" s="421">
        <f t="shared" si="237"/>
        <v>0</v>
      </c>
      <c r="BU84" s="421">
        <f t="shared" si="238"/>
        <v>171329</v>
      </c>
      <c r="BV84" s="421">
        <f t="shared" si="238"/>
        <v>5069</v>
      </c>
      <c r="BW84" s="421">
        <f>R84+AY84</f>
        <v>3115</v>
      </c>
      <c r="BX84" s="422">
        <f>S84+BM84</f>
        <v>1.52</v>
      </c>
      <c r="BY84" s="422">
        <f t="shared" si="239"/>
        <v>0</v>
      </c>
      <c r="BZ84" s="611">
        <f t="shared" si="239"/>
        <v>1.52</v>
      </c>
      <c r="CA84" s="423"/>
      <c r="CB84" s="418"/>
      <c r="CC84" s="418"/>
      <c r="CD84" s="418"/>
      <c r="CE84" s="418"/>
      <c r="CF84" s="527"/>
    </row>
    <row r="85" spans="1:84" x14ac:dyDescent="0.2">
      <c r="A85" s="155">
        <v>15</v>
      </c>
      <c r="B85" s="18">
        <v>3442</v>
      </c>
      <c r="C85" s="18">
        <v>600078205</v>
      </c>
      <c r="D85" s="18">
        <v>72743638</v>
      </c>
      <c r="E85" s="164" t="s">
        <v>113</v>
      </c>
      <c r="F85" s="18"/>
      <c r="G85" s="154"/>
      <c r="H85" s="685"/>
      <c r="I85" s="454">
        <f t="shared" ref="I85:BU85" si="240">SUM(I82:I84)</f>
        <v>7952959</v>
      </c>
      <c r="J85" s="451">
        <f t="shared" si="240"/>
        <v>5879882</v>
      </c>
      <c r="K85" s="451">
        <f t="shared" si="240"/>
        <v>4902790</v>
      </c>
      <c r="L85" s="451">
        <f t="shared" si="240"/>
        <v>977092</v>
      </c>
      <c r="M85" s="451">
        <f t="shared" si="240"/>
        <v>0</v>
      </c>
      <c r="N85" s="451">
        <f t="shared" si="240"/>
        <v>0</v>
      </c>
      <c r="O85" s="451">
        <f t="shared" si="240"/>
        <v>0</v>
      </c>
      <c r="P85" s="451">
        <f t="shared" si="240"/>
        <v>1987400</v>
      </c>
      <c r="Q85" s="451">
        <f t="shared" si="240"/>
        <v>58799</v>
      </c>
      <c r="R85" s="451">
        <f t="shared" si="240"/>
        <v>26878</v>
      </c>
      <c r="S85" s="452">
        <f t="shared" si="240"/>
        <v>11.442699999999999</v>
      </c>
      <c r="T85" s="452">
        <f t="shared" si="240"/>
        <v>8.3225999999999996</v>
      </c>
      <c r="U85" s="39">
        <f t="shared" si="240"/>
        <v>3.1200999999999999</v>
      </c>
      <c r="V85" s="458">
        <f t="shared" si="240"/>
        <v>0</v>
      </c>
      <c r="W85" s="451">
        <f t="shared" si="240"/>
        <v>-37930</v>
      </c>
      <c r="X85" s="451">
        <f t="shared" si="240"/>
        <v>1448189</v>
      </c>
      <c r="Y85" s="451">
        <f t="shared" si="240"/>
        <v>0</v>
      </c>
      <c r="Z85" s="451">
        <f t="shared" si="240"/>
        <v>0</v>
      </c>
      <c r="AA85" s="451">
        <f t="shared" si="240"/>
        <v>0</v>
      </c>
      <c r="AB85" s="451">
        <f t="shared" si="240"/>
        <v>0</v>
      </c>
      <c r="AC85" s="451">
        <f t="shared" si="240"/>
        <v>0</v>
      </c>
      <c r="AD85" s="451">
        <f t="shared" si="240"/>
        <v>1033624</v>
      </c>
      <c r="AE85" s="451">
        <f t="shared" si="240"/>
        <v>59904</v>
      </c>
      <c r="AF85" s="451">
        <f t="shared" si="240"/>
        <v>2481813</v>
      </c>
      <c r="AG85" s="451">
        <f t="shared" si="240"/>
        <v>21974</v>
      </c>
      <c r="AH85" s="451">
        <f t="shared" si="240"/>
        <v>2503787</v>
      </c>
      <c r="AI85" s="451">
        <f t="shared" si="240"/>
        <v>0</v>
      </c>
      <c r="AJ85" s="451">
        <f t="shared" si="240"/>
        <v>37930</v>
      </c>
      <c r="AK85" s="451">
        <f t="shared" ref="AK85" si="241">SUM(AK82:AK84)</f>
        <v>0</v>
      </c>
      <c r="AL85" s="451">
        <f t="shared" si="240"/>
        <v>0</v>
      </c>
      <c r="AM85" s="451">
        <f t="shared" si="240"/>
        <v>0</v>
      </c>
      <c r="AN85" s="451">
        <f t="shared" si="240"/>
        <v>0</v>
      </c>
      <c r="AO85" s="451">
        <f t="shared" si="240"/>
        <v>0</v>
      </c>
      <c r="AP85" s="451">
        <f t="shared" si="240"/>
        <v>37930</v>
      </c>
      <c r="AQ85" s="451">
        <f t="shared" si="240"/>
        <v>37930</v>
      </c>
      <c r="AR85" s="451">
        <f t="shared" si="240"/>
        <v>2481813</v>
      </c>
      <c r="AS85" s="451">
        <f t="shared" si="240"/>
        <v>59904</v>
      </c>
      <c r="AT85" s="451">
        <f t="shared" si="240"/>
        <v>2541717</v>
      </c>
      <c r="AU85" s="451">
        <f t="shared" si="240"/>
        <v>859100</v>
      </c>
      <c r="AV85" s="451">
        <f t="shared" si="240"/>
        <v>25038</v>
      </c>
      <c r="AW85" s="451">
        <f t="shared" si="240"/>
        <v>0</v>
      </c>
      <c r="AX85" s="451">
        <f t="shared" si="240"/>
        <v>5340</v>
      </c>
      <c r="AY85" s="451">
        <f t="shared" si="240"/>
        <v>5340</v>
      </c>
      <c r="AZ85" s="451">
        <f t="shared" si="240"/>
        <v>3431195</v>
      </c>
      <c r="BA85" s="452">
        <f t="shared" si="240"/>
        <v>0</v>
      </c>
      <c r="BB85" s="452">
        <f t="shared" si="240"/>
        <v>-0.16</v>
      </c>
      <c r="BC85" s="452">
        <f t="shared" si="240"/>
        <v>4.3</v>
      </c>
      <c r="BD85" s="452">
        <f t="shared" si="240"/>
        <v>0</v>
      </c>
      <c r="BE85" s="452">
        <f t="shared" si="240"/>
        <v>0</v>
      </c>
      <c r="BF85" s="452">
        <f t="shared" si="240"/>
        <v>0</v>
      </c>
      <c r="BG85" s="452">
        <f t="shared" si="240"/>
        <v>0</v>
      </c>
      <c r="BH85" s="452">
        <f t="shared" si="240"/>
        <v>0</v>
      </c>
      <c r="BI85" s="452">
        <f t="shared" si="240"/>
        <v>1.85</v>
      </c>
      <c r="BJ85" s="452">
        <f t="shared" si="240"/>
        <v>0.24</v>
      </c>
      <c r="BK85" s="452">
        <f t="shared" si="240"/>
        <v>6.15</v>
      </c>
      <c r="BL85" s="452">
        <f t="shared" si="240"/>
        <v>7.9999999999999988E-2</v>
      </c>
      <c r="BM85" s="456">
        <f t="shared" si="240"/>
        <v>6.23</v>
      </c>
      <c r="BN85" s="454">
        <f t="shared" si="240"/>
        <v>11384154</v>
      </c>
      <c r="BO85" s="451">
        <f t="shared" si="240"/>
        <v>8383669</v>
      </c>
      <c r="BP85" s="451">
        <f t="shared" si="240"/>
        <v>7384603</v>
      </c>
      <c r="BQ85" s="451">
        <f t="shared" si="240"/>
        <v>999066</v>
      </c>
      <c r="BR85" s="451">
        <f t="shared" si="240"/>
        <v>37930</v>
      </c>
      <c r="BS85" s="451">
        <f t="shared" si="240"/>
        <v>0</v>
      </c>
      <c r="BT85" s="451">
        <f t="shared" si="240"/>
        <v>37930</v>
      </c>
      <c r="BU85" s="451">
        <f t="shared" si="240"/>
        <v>2846500</v>
      </c>
      <c r="BV85" s="451">
        <f t="shared" ref="BV85:CF85" si="242">SUM(BV82:BV84)</f>
        <v>83837</v>
      </c>
      <c r="BW85" s="451">
        <f t="shared" si="242"/>
        <v>32218</v>
      </c>
      <c r="BX85" s="452">
        <f t="shared" si="242"/>
        <v>17.672699999999999</v>
      </c>
      <c r="BY85" s="452">
        <f t="shared" si="242"/>
        <v>14.4726</v>
      </c>
      <c r="BZ85" s="456">
        <f t="shared" si="242"/>
        <v>3.2000999999999999</v>
      </c>
      <c r="CA85" s="854">
        <f t="shared" si="242"/>
        <v>0</v>
      </c>
      <c r="CB85" s="852">
        <f t="shared" si="242"/>
        <v>0</v>
      </c>
      <c r="CC85" s="852">
        <f t="shared" si="242"/>
        <v>0</v>
      </c>
      <c r="CD85" s="852">
        <f t="shared" si="242"/>
        <v>0</v>
      </c>
      <c r="CE85" s="852">
        <f t="shared" si="242"/>
        <v>0</v>
      </c>
      <c r="CF85" s="848">
        <f t="shared" si="242"/>
        <v>0</v>
      </c>
    </row>
    <row r="86" spans="1:84" s="3" customFormat="1" x14ac:dyDescent="0.2">
      <c r="A86" s="206">
        <v>16</v>
      </c>
      <c r="B86" s="207">
        <v>3452</v>
      </c>
      <c r="C86" s="207">
        <v>600078264</v>
      </c>
      <c r="D86" s="207">
        <v>72743557</v>
      </c>
      <c r="E86" s="205" t="s">
        <v>843</v>
      </c>
      <c r="F86" s="207">
        <v>3111</v>
      </c>
      <c r="G86" s="208" t="s">
        <v>291</v>
      </c>
      <c r="H86" s="684" t="s">
        <v>271</v>
      </c>
      <c r="I86" s="423">
        <f t="shared" ref="I86:I91" si="243">J86+P86+Q86+R86</f>
        <v>1479415</v>
      </c>
      <c r="J86" s="418">
        <f>K86+L86</f>
        <v>1093528</v>
      </c>
      <c r="K86" s="418">
        <v>1033624</v>
      </c>
      <c r="L86" s="418">
        <v>59904</v>
      </c>
      <c r="M86" s="418">
        <f t="shared" ref="M86:M91" si="244">N86+O86</f>
        <v>0</v>
      </c>
      <c r="N86" s="418"/>
      <c r="O86" s="418"/>
      <c r="P86" s="68">
        <f t="shared" ref="P86:P91" si="245">ROUND(J86*33.8%,0)</f>
        <v>369612</v>
      </c>
      <c r="Q86" s="68">
        <f t="shared" ref="Q86:Q91" si="246">ROUND(J86*1%,0)</f>
        <v>10935</v>
      </c>
      <c r="R86" s="418">
        <v>5340</v>
      </c>
      <c r="S86" s="419">
        <f t="shared" ref="S86:S91" si="247">T86+U86</f>
        <v>2.0948000000000002</v>
      </c>
      <c r="T86" s="420">
        <v>1.8548</v>
      </c>
      <c r="U86" s="527">
        <v>0.24</v>
      </c>
      <c r="V86" s="427">
        <f t="shared" ref="V86:W91" si="248">AI86*-1</f>
        <v>0</v>
      </c>
      <c r="W86" s="421">
        <f t="shared" si="248"/>
        <v>0</v>
      </c>
      <c r="X86" s="421">
        <v>0</v>
      </c>
      <c r="Y86" s="421"/>
      <c r="Z86" s="421"/>
      <c r="AA86" s="421">
        <v>0</v>
      </c>
      <c r="AB86" s="421">
        <v>0</v>
      </c>
      <c r="AC86" s="421">
        <v>0</v>
      </c>
      <c r="AD86" s="421">
        <v>-1033624</v>
      </c>
      <c r="AE86" s="421">
        <v>-59904</v>
      </c>
      <c r="AF86" s="421">
        <f t="shared" ref="AF86:AF91" si="249">V86+X86+Y86+AA86+AB86+AD86</f>
        <v>-1033624</v>
      </c>
      <c r="AG86" s="421">
        <f t="shared" ref="AG86:AG91" si="250">W86+Z86+AC86+AE86</f>
        <v>-59904</v>
      </c>
      <c r="AH86" s="421">
        <f t="shared" ref="AH86:AH91" si="251">SUM(AF86:AG86)</f>
        <v>-1093528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ref="AO86:AO91" si="252">AI86+AK86+AL86+AM86</f>
        <v>0</v>
      </c>
      <c r="AP86" s="421">
        <f t="shared" ref="AP86:AP91" si="253">AJ86+AN86</f>
        <v>0</v>
      </c>
      <c r="AQ86" s="421">
        <f t="shared" ref="AQ86:AQ91" si="254">SUM(AO86:AP86)</f>
        <v>0</v>
      </c>
      <c r="AR86" s="421">
        <f t="shared" ref="AR86:AS91" si="255">AF86+AO86</f>
        <v>-1033624</v>
      </c>
      <c r="AS86" s="421">
        <f t="shared" si="255"/>
        <v>-59904</v>
      </c>
      <c r="AT86" s="421">
        <f t="shared" ref="AT86:AT91" si="256">SUM(AR86:AS86)</f>
        <v>-1093528</v>
      </c>
      <c r="AU86" s="68">
        <f t="shared" ref="AU86:AU91" si="257">ROUND((AH86+AI86+AJ86+AK86+AL86)*33.8%,0)</f>
        <v>-369612</v>
      </c>
      <c r="AV86" s="68">
        <f t="shared" ref="AV86:AV91" si="258">ROUND(AH86*1%,0)</f>
        <v>-10935</v>
      </c>
      <c r="AW86" s="421">
        <v>0</v>
      </c>
      <c r="AX86" s="421">
        <v>-5340</v>
      </c>
      <c r="AY86" s="421">
        <f t="shared" ref="AY86:AY91" si="259">AW86+AX86</f>
        <v>-5340</v>
      </c>
      <c r="AZ86" s="421">
        <f t="shared" ref="AZ86:AZ91" si="260">AT86+AU86+AV86+AY86</f>
        <v>-1479415</v>
      </c>
      <c r="BA86" s="422">
        <v>0</v>
      </c>
      <c r="BB86" s="422">
        <v>0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-1.85</v>
      </c>
      <c r="BJ86" s="422">
        <v>-0.24</v>
      </c>
      <c r="BK86" s="422">
        <f t="shared" ref="BK86:BK91" si="261">BA86+BC86+BD86+BF86+BH86+BI86</f>
        <v>-1.85</v>
      </c>
      <c r="BL86" s="422">
        <f t="shared" ref="BL86:BL91" si="262">BB86+BE86+BG86+BJ86</f>
        <v>-0.24</v>
      </c>
      <c r="BM86" s="611">
        <f t="shared" ref="BM86:BM91" si="263">SUM(BK86:BL86)</f>
        <v>-2.09</v>
      </c>
      <c r="BN86" s="428">
        <f t="shared" ref="BN86:BN91" si="264">I86+AZ86</f>
        <v>0</v>
      </c>
      <c r="BO86" s="421">
        <f t="shared" ref="BO86:BO91" si="265">J86+AH86</f>
        <v>0</v>
      </c>
      <c r="BP86" s="421">
        <f t="shared" ref="BP86:BQ91" si="266">K86+AF86</f>
        <v>0</v>
      </c>
      <c r="BQ86" s="421">
        <f t="shared" si="266"/>
        <v>0</v>
      </c>
      <c r="BR86" s="421">
        <f t="shared" ref="BR86:BR91" si="267">M86+AQ86</f>
        <v>0</v>
      </c>
      <c r="BS86" s="421">
        <f t="shared" ref="BS86:BT91" si="268">N86+AO86</f>
        <v>0</v>
      </c>
      <c r="BT86" s="421">
        <f t="shared" si="268"/>
        <v>0</v>
      </c>
      <c r="BU86" s="421">
        <f t="shared" ref="BU86:BV91" si="269">P86+AU86</f>
        <v>0</v>
      </c>
      <c r="BV86" s="421">
        <f t="shared" si="269"/>
        <v>0</v>
      </c>
      <c r="BW86" s="421">
        <f t="shared" ref="BW86:BW91" si="270">R86+AY86</f>
        <v>0</v>
      </c>
      <c r="BX86" s="422">
        <f t="shared" ref="BX86:BX91" si="271">S86+BM86</f>
        <v>4.8000000000003595E-3</v>
      </c>
      <c r="BY86" s="422">
        <f t="shared" ref="BY86:BZ91" si="272">T86+BK86</f>
        <v>4.7999999999999154E-3</v>
      </c>
      <c r="BZ86" s="611">
        <f t="shared" si="272"/>
        <v>0</v>
      </c>
      <c r="CA86" s="423"/>
      <c r="CB86" s="418"/>
      <c r="CC86" s="418"/>
      <c r="CD86" s="418"/>
      <c r="CE86" s="418"/>
      <c r="CF86" s="527"/>
    </row>
    <row r="87" spans="1:84" x14ac:dyDescent="0.2">
      <c r="A87" s="206">
        <v>16</v>
      </c>
      <c r="B87" s="207">
        <v>3452</v>
      </c>
      <c r="C87" s="207">
        <v>600078264</v>
      </c>
      <c r="D87" s="207">
        <v>72743557</v>
      </c>
      <c r="E87" s="205" t="s">
        <v>844</v>
      </c>
      <c r="F87" s="207">
        <v>3113</v>
      </c>
      <c r="G87" s="208" t="s">
        <v>294</v>
      </c>
      <c r="H87" s="684" t="s">
        <v>271</v>
      </c>
      <c r="I87" s="423">
        <f t="shared" si="243"/>
        <v>20651722</v>
      </c>
      <c r="J87" s="418">
        <f t="shared" ref="J87:J91" si="273">K87+L87</f>
        <v>15139581</v>
      </c>
      <c r="K87" s="418">
        <v>13852101</v>
      </c>
      <c r="L87" s="418">
        <v>1287480</v>
      </c>
      <c r="M87" s="418">
        <f t="shared" si="244"/>
        <v>0</v>
      </c>
      <c r="N87" s="418"/>
      <c r="O87" s="418"/>
      <c r="P87" s="68">
        <f>ROUND(J87*33.8%,0)+1</f>
        <v>5117179</v>
      </c>
      <c r="Q87" s="68">
        <f t="shared" si="246"/>
        <v>151396</v>
      </c>
      <c r="R87" s="418">
        <v>243566</v>
      </c>
      <c r="S87" s="419">
        <f t="shared" si="247"/>
        <v>25.156600000000001</v>
      </c>
      <c r="T87" s="420">
        <v>21.363600000000002</v>
      </c>
      <c r="U87" s="527">
        <v>3.7930000000000001</v>
      </c>
      <c r="V87" s="427">
        <f t="shared" si="248"/>
        <v>-41600</v>
      </c>
      <c r="W87" s="421">
        <f t="shared" si="248"/>
        <v>-28800</v>
      </c>
      <c r="X87" s="421">
        <v>0</v>
      </c>
      <c r="Y87" s="421">
        <v>0</v>
      </c>
      <c r="Z87" s="421">
        <v>0</v>
      </c>
      <c r="AA87" s="421">
        <v>0</v>
      </c>
      <c r="AB87" s="421">
        <v>282000</v>
      </c>
      <c r="AC87" s="421">
        <v>0</v>
      </c>
      <c r="AD87" s="421">
        <v>0</v>
      </c>
      <c r="AE87" s="421">
        <v>0</v>
      </c>
      <c r="AF87" s="421">
        <f t="shared" si="249"/>
        <v>240400</v>
      </c>
      <c r="AG87" s="421">
        <f t="shared" si="250"/>
        <v>-28800</v>
      </c>
      <c r="AH87" s="421">
        <f t="shared" si="251"/>
        <v>211600</v>
      </c>
      <c r="AI87" s="421">
        <v>41600</v>
      </c>
      <c r="AJ87" s="421">
        <v>28800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52"/>
        <v>41600</v>
      </c>
      <c r="AP87" s="421">
        <f t="shared" si="253"/>
        <v>28800</v>
      </c>
      <c r="AQ87" s="421">
        <f t="shared" si="254"/>
        <v>70400</v>
      </c>
      <c r="AR87" s="421">
        <f t="shared" si="255"/>
        <v>282000</v>
      </c>
      <c r="AS87" s="421">
        <f t="shared" si="255"/>
        <v>0</v>
      </c>
      <c r="AT87" s="421">
        <f t="shared" si="256"/>
        <v>282000</v>
      </c>
      <c r="AU87" s="68">
        <f t="shared" si="257"/>
        <v>95316</v>
      </c>
      <c r="AV87" s="68">
        <f t="shared" si="258"/>
        <v>2116</v>
      </c>
      <c r="AW87" s="421">
        <v>0</v>
      </c>
      <c r="AX87" s="421">
        <v>0</v>
      </c>
      <c r="AY87" s="421">
        <f t="shared" si="259"/>
        <v>0</v>
      </c>
      <c r="AZ87" s="421">
        <f t="shared" si="260"/>
        <v>379432</v>
      </c>
      <c r="BA87" s="422">
        <v>-0.02</v>
      </c>
      <c r="BB87" s="422">
        <v>-0.03</v>
      </c>
      <c r="BC87" s="422">
        <v>0</v>
      </c>
      <c r="BD87" s="422">
        <v>0.5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 t="shared" si="261"/>
        <v>0.48</v>
      </c>
      <c r="BL87" s="422">
        <f t="shared" si="262"/>
        <v>-0.03</v>
      </c>
      <c r="BM87" s="611">
        <f t="shared" si="263"/>
        <v>0.44999999999999996</v>
      </c>
      <c r="BN87" s="428">
        <f t="shared" si="264"/>
        <v>21031154</v>
      </c>
      <c r="BO87" s="421">
        <f t="shared" si="265"/>
        <v>15351181</v>
      </c>
      <c r="BP87" s="421">
        <f t="shared" si="266"/>
        <v>14092501</v>
      </c>
      <c r="BQ87" s="421">
        <f t="shared" si="266"/>
        <v>1258680</v>
      </c>
      <c r="BR87" s="421">
        <f t="shared" si="267"/>
        <v>70400</v>
      </c>
      <c r="BS87" s="421">
        <f t="shared" si="268"/>
        <v>41600</v>
      </c>
      <c r="BT87" s="421">
        <f t="shared" si="268"/>
        <v>28800</v>
      </c>
      <c r="BU87" s="421">
        <f t="shared" si="269"/>
        <v>5212495</v>
      </c>
      <c r="BV87" s="421">
        <f t="shared" si="269"/>
        <v>153512</v>
      </c>
      <c r="BW87" s="421">
        <f t="shared" si="270"/>
        <v>243566</v>
      </c>
      <c r="BX87" s="422">
        <f t="shared" si="271"/>
        <v>25.6066</v>
      </c>
      <c r="BY87" s="422">
        <f t="shared" si="272"/>
        <v>21.843600000000002</v>
      </c>
      <c r="BZ87" s="611">
        <f t="shared" si="272"/>
        <v>3.7630000000000003</v>
      </c>
      <c r="CA87" s="423">
        <v>380136</v>
      </c>
      <c r="CB87" s="418">
        <v>282000</v>
      </c>
      <c r="CC87" s="418">
        <v>0</v>
      </c>
      <c r="CD87" s="418">
        <v>95316</v>
      </c>
      <c r="CE87" s="418">
        <v>2820</v>
      </c>
      <c r="CF87" s="527">
        <v>0.5</v>
      </c>
    </row>
    <row r="88" spans="1:84" x14ac:dyDescent="0.2">
      <c r="A88" s="206">
        <v>16</v>
      </c>
      <c r="B88" s="207">
        <v>3452</v>
      </c>
      <c r="C88" s="207">
        <v>600078264</v>
      </c>
      <c r="D88" s="207">
        <v>72743557</v>
      </c>
      <c r="E88" s="205" t="s">
        <v>844</v>
      </c>
      <c r="F88" s="207">
        <v>3113</v>
      </c>
      <c r="G88" s="208" t="s">
        <v>292</v>
      </c>
      <c r="H88" s="684" t="s">
        <v>272</v>
      </c>
      <c r="I88" s="423">
        <f t="shared" si="243"/>
        <v>0</v>
      </c>
      <c r="J88" s="418">
        <f t="shared" si="273"/>
        <v>0</v>
      </c>
      <c r="K88" s="418">
        <v>0</v>
      </c>
      <c r="L88" s="418">
        <v>0</v>
      </c>
      <c r="M88" s="418">
        <f t="shared" si="244"/>
        <v>0</v>
      </c>
      <c r="N88" s="418"/>
      <c r="O88" s="418"/>
      <c r="P88" s="68">
        <f t="shared" si="245"/>
        <v>0</v>
      </c>
      <c r="Q88" s="68">
        <f t="shared" si="246"/>
        <v>0</v>
      </c>
      <c r="R88" s="418">
        <v>0</v>
      </c>
      <c r="S88" s="419">
        <f t="shared" si="247"/>
        <v>0</v>
      </c>
      <c r="T88" s="420">
        <v>0</v>
      </c>
      <c r="U88" s="527">
        <v>0</v>
      </c>
      <c r="V88" s="427">
        <f t="shared" si="248"/>
        <v>0</v>
      </c>
      <c r="W88" s="421">
        <f t="shared" si="248"/>
        <v>0</v>
      </c>
      <c r="X88" s="421">
        <v>3288811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 t="shared" si="249"/>
        <v>3288811</v>
      </c>
      <c r="AG88" s="421">
        <f t="shared" si="250"/>
        <v>0</v>
      </c>
      <c r="AH88" s="421">
        <f t="shared" si="251"/>
        <v>3288811</v>
      </c>
      <c r="AI88" s="421">
        <v>0</v>
      </c>
      <c r="AJ88" s="421">
        <v>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252"/>
        <v>0</v>
      </c>
      <c r="AP88" s="421">
        <f t="shared" si="253"/>
        <v>0</v>
      </c>
      <c r="AQ88" s="421">
        <f t="shared" si="254"/>
        <v>0</v>
      </c>
      <c r="AR88" s="421">
        <f t="shared" si="255"/>
        <v>3288811</v>
      </c>
      <c r="AS88" s="421">
        <f t="shared" si="255"/>
        <v>0</v>
      </c>
      <c r="AT88" s="421">
        <f t="shared" si="256"/>
        <v>3288811</v>
      </c>
      <c r="AU88" s="68">
        <f t="shared" si="257"/>
        <v>1111618</v>
      </c>
      <c r="AV88" s="68">
        <f t="shared" si="258"/>
        <v>32888</v>
      </c>
      <c r="AW88" s="421">
        <v>0</v>
      </c>
      <c r="AX88" s="421">
        <v>0</v>
      </c>
      <c r="AY88" s="421">
        <f t="shared" si="259"/>
        <v>0</v>
      </c>
      <c r="AZ88" s="421">
        <f t="shared" si="260"/>
        <v>4433317</v>
      </c>
      <c r="BA88" s="422">
        <v>0</v>
      </c>
      <c r="BB88" s="422">
        <v>0</v>
      </c>
      <c r="BC88" s="422">
        <v>8.64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 t="shared" si="261"/>
        <v>8.64</v>
      </c>
      <c r="BL88" s="422">
        <f t="shared" si="262"/>
        <v>0</v>
      </c>
      <c r="BM88" s="611">
        <f t="shared" si="263"/>
        <v>8.64</v>
      </c>
      <c r="BN88" s="428">
        <f t="shared" si="264"/>
        <v>4433317</v>
      </c>
      <c r="BO88" s="421">
        <f t="shared" si="265"/>
        <v>3288811</v>
      </c>
      <c r="BP88" s="421">
        <f t="shared" si="266"/>
        <v>3288811</v>
      </c>
      <c r="BQ88" s="421">
        <f t="shared" si="266"/>
        <v>0</v>
      </c>
      <c r="BR88" s="421">
        <f t="shared" si="267"/>
        <v>0</v>
      </c>
      <c r="BS88" s="421">
        <f t="shared" si="268"/>
        <v>0</v>
      </c>
      <c r="BT88" s="421">
        <f t="shared" si="268"/>
        <v>0</v>
      </c>
      <c r="BU88" s="421">
        <f t="shared" si="269"/>
        <v>1111618</v>
      </c>
      <c r="BV88" s="421">
        <f t="shared" si="269"/>
        <v>32888</v>
      </c>
      <c r="BW88" s="421">
        <f t="shared" si="270"/>
        <v>0</v>
      </c>
      <c r="BX88" s="422">
        <f t="shared" si="271"/>
        <v>8.64</v>
      </c>
      <c r="BY88" s="422">
        <f t="shared" si="272"/>
        <v>8.64</v>
      </c>
      <c r="BZ88" s="611">
        <f t="shared" si="272"/>
        <v>0</v>
      </c>
      <c r="CA88" s="423"/>
      <c r="CB88" s="418"/>
      <c r="CC88" s="418"/>
      <c r="CD88" s="418"/>
      <c r="CE88" s="418"/>
      <c r="CF88" s="527"/>
    </row>
    <row r="89" spans="1:84" x14ac:dyDescent="0.2">
      <c r="A89" s="206">
        <v>16</v>
      </c>
      <c r="B89" s="207">
        <v>3452</v>
      </c>
      <c r="C89" s="207">
        <v>600078264</v>
      </c>
      <c r="D89" s="207">
        <v>72743557</v>
      </c>
      <c r="E89" s="205" t="s">
        <v>844</v>
      </c>
      <c r="F89" s="207">
        <v>3141</v>
      </c>
      <c r="G89" s="208" t="s">
        <v>295</v>
      </c>
      <c r="H89" s="684" t="s">
        <v>272</v>
      </c>
      <c r="I89" s="423">
        <f t="shared" si="243"/>
        <v>1380812</v>
      </c>
      <c r="J89" s="418">
        <f t="shared" si="273"/>
        <v>1018214</v>
      </c>
      <c r="K89" s="418">
        <v>0</v>
      </c>
      <c r="L89" s="418">
        <v>1018214</v>
      </c>
      <c r="M89" s="418">
        <f t="shared" si="244"/>
        <v>0</v>
      </c>
      <c r="N89" s="418"/>
      <c r="O89" s="418"/>
      <c r="P89" s="68">
        <f t="shared" si="245"/>
        <v>344156</v>
      </c>
      <c r="Q89" s="68">
        <f t="shared" si="246"/>
        <v>10182</v>
      </c>
      <c r="R89" s="418">
        <v>8260</v>
      </c>
      <c r="S89" s="419">
        <f t="shared" si="247"/>
        <v>3.05</v>
      </c>
      <c r="T89" s="420">
        <v>0</v>
      </c>
      <c r="U89" s="527">
        <v>3.05</v>
      </c>
      <c r="V89" s="427">
        <f t="shared" si="248"/>
        <v>0</v>
      </c>
      <c r="W89" s="421">
        <f t="shared" si="248"/>
        <v>-12800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 t="shared" si="249"/>
        <v>0</v>
      </c>
      <c r="AG89" s="421">
        <f t="shared" si="250"/>
        <v>-12800</v>
      </c>
      <c r="AH89" s="421">
        <f t="shared" si="251"/>
        <v>-12800</v>
      </c>
      <c r="AI89" s="421">
        <v>0</v>
      </c>
      <c r="AJ89" s="421">
        <v>12800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si="252"/>
        <v>0</v>
      </c>
      <c r="AP89" s="421">
        <f t="shared" si="253"/>
        <v>12800</v>
      </c>
      <c r="AQ89" s="421">
        <f t="shared" si="254"/>
        <v>12800</v>
      </c>
      <c r="AR89" s="421">
        <f t="shared" si="255"/>
        <v>0</v>
      </c>
      <c r="AS89" s="421">
        <f t="shared" si="255"/>
        <v>0</v>
      </c>
      <c r="AT89" s="421">
        <f t="shared" si="256"/>
        <v>0</v>
      </c>
      <c r="AU89" s="68">
        <f t="shared" si="257"/>
        <v>0</v>
      </c>
      <c r="AV89" s="68">
        <f t="shared" si="258"/>
        <v>-128</v>
      </c>
      <c r="AW89" s="421">
        <v>0</v>
      </c>
      <c r="AX89" s="421">
        <v>0</v>
      </c>
      <c r="AY89" s="421">
        <f t="shared" si="259"/>
        <v>0</v>
      </c>
      <c r="AZ89" s="421">
        <f t="shared" si="260"/>
        <v>-128</v>
      </c>
      <c r="BA89" s="422">
        <v>0</v>
      </c>
      <c r="BB89" s="422">
        <v>-0.01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 t="shared" si="261"/>
        <v>0</v>
      </c>
      <c r="BL89" s="422">
        <f t="shared" si="262"/>
        <v>-0.01</v>
      </c>
      <c r="BM89" s="611">
        <f t="shared" si="263"/>
        <v>-0.01</v>
      </c>
      <c r="BN89" s="428">
        <f t="shared" si="264"/>
        <v>1380684</v>
      </c>
      <c r="BO89" s="421">
        <f t="shared" si="265"/>
        <v>1005414</v>
      </c>
      <c r="BP89" s="421">
        <f t="shared" si="266"/>
        <v>0</v>
      </c>
      <c r="BQ89" s="421">
        <f t="shared" si="266"/>
        <v>1005414</v>
      </c>
      <c r="BR89" s="421">
        <f t="shared" si="267"/>
        <v>12800</v>
      </c>
      <c r="BS89" s="421">
        <f t="shared" si="268"/>
        <v>0</v>
      </c>
      <c r="BT89" s="421">
        <f t="shared" si="268"/>
        <v>12800</v>
      </c>
      <c r="BU89" s="421">
        <f t="shared" si="269"/>
        <v>344156</v>
      </c>
      <c r="BV89" s="421">
        <f t="shared" si="269"/>
        <v>10054</v>
      </c>
      <c r="BW89" s="421">
        <f t="shared" si="270"/>
        <v>8260</v>
      </c>
      <c r="BX89" s="422">
        <f t="shared" si="271"/>
        <v>3.04</v>
      </c>
      <c r="BY89" s="422">
        <f t="shared" si="272"/>
        <v>0</v>
      </c>
      <c r="BZ89" s="611">
        <f t="shared" si="272"/>
        <v>3.04</v>
      </c>
      <c r="CA89" s="423"/>
      <c r="CB89" s="418"/>
      <c r="CC89" s="418"/>
      <c r="CD89" s="418"/>
      <c r="CE89" s="418"/>
      <c r="CF89" s="527"/>
    </row>
    <row r="90" spans="1:84" x14ac:dyDescent="0.2">
      <c r="A90" s="206">
        <v>16</v>
      </c>
      <c r="B90" s="207">
        <v>3452</v>
      </c>
      <c r="C90" s="207">
        <v>600078264</v>
      </c>
      <c r="D90" s="207">
        <v>72743557</v>
      </c>
      <c r="E90" s="205" t="s">
        <v>844</v>
      </c>
      <c r="F90" s="207">
        <v>3143</v>
      </c>
      <c r="G90" s="208" t="s">
        <v>596</v>
      </c>
      <c r="H90" s="686" t="s">
        <v>271</v>
      </c>
      <c r="I90" s="423">
        <f t="shared" si="243"/>
        <v>1931332</v>
      </c>
      <c r="J90" s="418">
        <f t="shared" si="273"/>
        <v>1432739</v>
      </c>
      <c r="K90" s="418">
        <v>1432739</v>
      </c>
      <c r="L90" s="418">
        <v>0</v>
      </c>
      <c r="M90" s="418">
        <f t="shared" si="244"/>
        <v>0</v>
      </c>
      <c r="N90" s="418"/>
      <c r="O90" s="418"/>
      <c r="P90" s="68">
        <f t="shared" si="245"/>
        <v>484266</v>
      </c>
      <c r="Q90" s="68">
        <f t="shared" si="246"/>
        <v>14327</v>
      </c>
      <c r="R90" s="418">
        <v>0</v>
      </c>
      <c r="S90" s="419">
        <f t="shared" si="247"/>
        <v>2.7856999999999998</v>
      </c>
      <c r="T90" s="420">
        <v>2.7856999999999998</v>
      </c>
      <c r="U90" s="527">
        <v>0</v>
      </c>
      <c r="V90" s="427">
        <f t="shared" si="248"/>
        <v>-3200</v>
      </c>
      <c r="W90" s="421">
        <f t="shared" si="248"/>
        <v>0</v>
      </c>
      <c r="X90" s="421">
        <v>0</v>
      </c>
      <c r="Y90" s="421">
        <v>0</v>
      </c>
      <c r="Z90" s="421">
        <v>0</v>
      </c>
      <c r="AA90" s="421">
        <v>0</v>
      </c>
      <c r="AB90" s="421">
        <v>0</v>
      </c>
      <c r="AC90" s="421">
        <v>0</v>
      </c>
      <c r="AD90" s="421">
        <v>0</v>
      </c>
      <c r="AE90" s="421">
        <v>0</v>
      </c>
      <c r="AF90" s="421">
        <f t="shared" si="249"/>
        <v>-3200</v>
      </c>
      <c r="AG90" s="421">
        <f t="shared" si="250"/>
        <v>0</v>
      </c>
      <c r="AH90" s="421">
        <f t="shared" si="251"/>
        <v>-3200</v>
      </c>
      <c r="AI90" s="421">
        <v>3200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si="252"/>
        <v>3200</v>
      </c>
      <c r="AP90" s="421">
        <f t="shared" si="253"/>
        <v>0</v>
      </c>
      <c r="AQ90" s="421">
        <f t="shared" si="254"/>
        <v>3200</v>
      </c>
      <c r="AR90" s="421">
        <f t="shared" si="255"/>
        <v>0</v>
      </c>
      <c r="AS90" s="421">
        <f t="shared" si="255"/>
        <v>0</v>
      </c>
      <c r="AT90" s="421">
        <f t="shared" si="256"/>
        <v>0</v>
      </c>
      <c r="AU90" s="68">
        <f t="shared" si="257"/>
        <v>0</v>
      </c>
      <c r="AV90" s="68">
        <f t="shared" si="258"/>
        <v>-32</v>
      </c>
      <c r="AW90" s="421">
        <v>0</v>
      </c>
      <c r="AX90" s="421">
        <v>0</v>
      </c>
      <c r="AY90" s="421">
        <f t="shared" si="259"/>
        <v>0</v>
      </c>
      <c r="AZ90" s="421">
        <f t="shared" si="260"/>
        <v>-32</v>
      </c>
      <c r="BA90" s="422">
        <v>-0.01</v>
      </c>
      <c r="BB90" s="422">
        <v>0</v>
      </c>
      <c r="BC90" s="422">
        <v>0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 t="shared" si="261"/>
        <v>-0.01</v>
      </c>
      <c r="BL90" s="422">
        <f t="shared" si="262"/>
        <v>0</v>
      </c>
      <c r="BM90" s="611">
        <f t="shared" si="263"/>
        <v>-0.01</v>
      </c>
      <c r="BN90" s="428">
        <f t="shared" si="264"/>
        <v>1931300</v>
      </c>
      <c r="BO90" s="421">
        <f t="shared" si="265"/>
        <v>1429539</v>
      </c>
      <c r="BP90" s="421">
        <f t="shared" si="266"/>
        <v>1429539</v>
      </c>
      <c r="BQ90" s="421">
        <f t="shared" si="266"/>
        <v>0</v>
      </c>
      <c r="BR90" s="421">
        <f t="shared" si="267"/>
        <v>3200</v>
      </c>
      <c r="BS90" s="421">
        <f t="shared" si="268"/>
        <v>3200</v>
      </c>
      <c r="BT90" s="421">
        <f t="shared" si="268"/>
        <v>0</v>
      </c>
      <c r="BU90" s="421">
        <f t="shared" si="269"/>
        <v>484266</v>
      </c>
      <c r="BV90" s="421">
        <f t="shared" si="269"/>
        <v>14295</v>
      </c>
      <c r="BW90" s="421">
        <f t="shared" si="270"/>
        <v>0</v>
      </c>
      <c r="BX90" s="422">
        <f t="shared" si="271"/>
        <v>2.7757000000000001</v>
      </c>
      <c r="BY90" s="422">
        <f t="shared" si="272"/>
        <v>2.7757000000000001</v>
      </c>
      <c r="BZ90" s="611">
        <f t="shared" si="272"/>
        <v>0</v>
      </c>
      <c r="CA90" s="423"/>
      <c r="CB90" s="418"/>
      <c r="CC90" s="418"/>
      <c r="CD90" s="418"/>
      <c r="CE90" s="418"/>
      <c r="CF90" s="527"/>
    </row>
    <row r="91" spans="1:84" x14ac:dyDescent="0.2">
      <c r="A91" s="206">
        <v>16</v>
      </c>
      <c r="B91" s="207">
        <v>3452</v>
      </c>
      <c r="C91" s="207">
        <v>600078264</v>
      </c>
      <c r="D91" s="207">
        <v>72743557</v>
      </c>
      <c r="E91" s="205" t="s">
        <v>844</v>
      </c>
      <c r="F91" s="207">
        <v>3143</v>
      </c>
      <c r="G91" s="208" t="s">
        <v>597</v>
      </c>
      <c r="H91" s="686" t="s">
        <v>272</v>
      </c>
      <c r="I91" s="423">
        <f t="shared" si="243"/>
        <v>35370</v>
      </c>
      <c r="J91" s="418">
        <f t="shared" si="273"/>
        <v>25318</v>
      </c>
      <c r="K91" s="418">
        <v>0</v>
      </c>
      <c r="L91" s="418">
        <v>25318</v>
      </c>
      <c r="M91" s="418">
        <f t="shared" si="244"/>
        <v>0</v>
      </c>
      <c r="N91" s="418"/>
      <c r="O91" s="418"/>
      <c r="P91" s="68">
        <f t="shared" si="245"/>
        <v>8557</v>
      </c>
      <c r="Q91" s="68">
        <f t="shared" si="246"/>
        <v>253</v>
      </c>
      <c r="R91" s="418">
        <v>1242</v>
      </c>
      <c r="S91" s="419">
        <f t="shared" si="247"/>
        <v>0.1</v>
      </c>
      <c r="T91" s="420">
        <v>0</v>
      </c>
      <c r="U91" s="527">
        <v>0.1</v>
      </c>
      <c r="V91" s="427">
        <f t="shared" si="248"/>
        <v>0</v>
      </c>
      <c r="W91" s="421">
        <f t="shared" si="248"/>
        <v>-3200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 t="shared" si="249"/>
        <v>0</v>
      </c>
      <c r="AG91" s="421">
        <f t="shared" si="250"/>
        <v>-3200</v>
      </c>
      <c r="AH91" s="421">
        <f t="shared" si="251"/>
        <v>-3200</v>
      </c>
      <c r="AI91" s="421">
        <v>0</v>
      </c>
      <c r="AJ91" s="421">
        <v>3200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252"/>
        <v>0</v>
      </c>
      <c r="AP91" s="421">
        <f t="shared" si="253"/>
        <v>3200</v>
      </c>
      <c r="AQ91" s="421">
        <f t="shared" si="254"/>
        <v>3200</v>
      </c>
      <c r="AR91" s="421">
        <f t="shared" si="255"/>
        <v>0</v>
      </c>
      <c r="AS91" s="421">
        <f t="shared" si="255"/>
        <v>0</v>
      </c>
      <c r="AT91" s="421">
        <f t="shared" si="256"/>
        <v>0</v>
      </c>
      <c r="AU91" s="68">
        <f t="shared" si="257"/>
        <v>0</v>
      </c>
      <c r="AV91" s="68">
        <f t="shared" si="258"/>
        <v>-32</v>
      </c>
      <c r="AW91" s="421">
        <v>0</v>
      </c>
      <c r="AX91" s="421">
        <v>0</v>
      </c>
      <c r="AY91" s="421">
        <f t="shared" si="259"/>
        <v>0</v>
      </c>
      <c r="AZ91" s="421">
        <f t="shared" si="260"/>
        <v>-32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 t="shared" si="261"/>
        <v>0</v>
      </c>
      <c r="BL91" s="422">
        <f t="shared" si="262"/>
        <v>0</v>
      </c>
      <c r="BM91" s="611">
        <f t="shared" si="263"/>
        <v>0</v>
      </c>
      <c r="BN91" s="428">
        <f t="shared" si="264"/>
        <v>35338</v>
      </c>
      <c r="BO91" s="421">
        <f t="shared" si="265"/>
        <v>22118</v>
      </c>
      <c r="BP91" s="421">
        <f t="shared" si="266"/>
        <v>0</v>
      </c>
      <c r="BQ91" s="421">
        <f t="shared" si="266"/>
        <v>22118</v>
      </c>
      <c r="BR91" s="421">
        <f t="shared" si="267"/>
        <v>3200</v>
      </c>
      <c r="BS91" s="421">
        <f t="shared" si="268"/>
        <v>0</v>
      </c>
      <c r="BT91" s="421">
        <f t="shared" si="268"/>
        <v>3200</v>
      </c>
      <c r="BU91" s="421">
        <f t="shared" si="269"/>
        <v>8557</v>
      </c>
      <c r="BV91" s="421">
        <f t="shared" si="269"/>
        <v>221</v>
      </c>
      <c r="BW91" s="421">
        <f t="shared" si="270"/>
        <v>1242</v>
      </c>
      <c r="BX91" s="422">
        <f t="shared" si="271"/>
        <v>0.1</v>
      </c>
      <c r="BY91" s="422">
        <f t="shared" si="272"/>
        <v>0</v>
      </c>
      <c r="BZ91" s="611">
        <f t="shared" si="272"/>
        <v>0.1</v>
      </c>
      <c r="CA91" s="423"/>
      <c r="CB91" s="418"/>
      <c r="CC91" s="418"/>
      <c r="CD91" s="418"/>
      <c r="CE91" s="418"/>
      <c r="CF91" s="527"/>
    </row>
    <row r="92" spans="1:84" x14ac:dyDescent="0.2">
      <c r="A92" s="155">
        <v>16</v>
      </c>
      <c r="B92" s="18">
        <v>3452</v>
      </c>
      <c r="C92" s="18">
        <v>600078264</v>
      </c>
      <c r="D92" s="18">
        <v>72743557</v>
      </c>
      <c r="E92" s="164" t="s">
        <v>114</v>
      </c>
      <c r="F92" s="18"/>
      <c r="G92" s="154"/>
      <c r="H92" s="685"/>
      <c r="I92" s="454">
        <f t="shared" ref="I92:BT92" si="274">SUM(I86:I91)</f>
        <v>25478651</v>
      </c>
      <c r="J92" s="451">
        <f t="shared" si="274"/>
        <v>18709380</v>
      </c>
      <c r="K92" s="451">
        <f t="shared" si="274"/>
        <v>16318464</v>
      </c>
      <c r="L92" s="451">
        <f t="shared" si="274"/>
        <v>2390916</v>
      </c>
      <c r="M92" s="451">
        <f t="shared" si="274"/>
        <v>0</v>
      </c>
      <c r="N92" s="451">
        <f t="shared" si="274"/>
        <v>0</v>
      </c>
      <c r="O92" s="451">
        <f t="shared" si="274"/>
        <v>0</v>
      </c>
      <c r="P92" s="451">
        <f t="shared" si="274"/>
        <v>6323770</v>
      </c>
      <c r="Q92" s="451">
        <f t="shared" si="274"/>
        <v>187093</v>
      </c>
      <c r="R92" s="451">
        <f t="shared" si="274"/>
        <v>258408</v>
      </c>
      <c r="S92" s="452">
        <f t="shared" si="274"/>
        <v>33.187100000000001</v>
      </c>
      <c r="T92" s="452">
        <f t="shared" si="274"/>
        <v>26.004100000000001</v>
      </c>
      <c r="U92" s="39">
        <f t="shared" si="274"/>
        <v>7.1829999999999998</v>
      </c>
      <c r="V92" s="458">
        <f t="shared" si="274"/>
        <v>-44800</v>
      </c>
      <c r="W92" s="451">
        <f t="shared" si="274"/>
        <v>-44800</v>
      </c>
      <c r="X92" s="451">
        <f t="shared" si="274"/>
        <v>3288811</v>
      </c>
      <c r="Y92" s="451">
        <f t="shared" si="274"/>
        <v>0</v>
      </c>
      <c r="Z92" s="451">
        <f t="shared" si="274"/>
        <v>0</v>
      </c>
      <c r="AA92" s="451">
        <f t="shared" si="274"/>
        <v>0</v>
      </c>
      <c r="AB92" s="451">
        <f t="shared" si="274"/>
        <v>282000</v>
      </c>
      <c r="AC92" s="451">
        <f t="shared" si="274"/>
        <v>0</v>
      </c>
      <c r="AD92" s="451">
        <f t="shared" si="274"/>
        <v>-1033624</v>
      </c>
      <c r="AE92" s="451">
        <f t="shared" si="274"/>
        <v>-59904</v>
      </c>
      <c r="AF92" s="451">
        <f t="shared" si="274"/>
        <v>2492387</v>
      </c>
      <c r="AG92" s="451">
        <f t="shared" si="274"/>
        <v>-104704</v>
      </c>
      <c r="AH92" s="451">
        <f t="shared" si="274"/>
        <v>2387683</v>
      </c>
      <c r="AI92" s="451">
        <f t="shared" si="274"/>
        <v>44800</v>
      </c>
      <c r="AJ92" s="451">
        <f t="shared" si="274"/>
        <v>44800</v>
      </c>
      <c r="AK92" s="451">
        <f t="shared" ref="AK92" si="275">SUM(AK86:AK91)</f>
        <v>0</v>
      </c>
      <c r="AL92" s="451">
        <f t="shared" si="274"/>
        <v>0</v>
      </c>
      <c r="AM92" s="451">
        <f t="shared" si="274"/>
        <v>0</v>
      </c>
      <c r="AN92" s="451">
        <f t="shared" si="274"/>
        <v>0</v>
      </c>
      <c r="AO92" s="451">
        <f t="shared" si="274"/>
        <v>44800</v>
      </c>
      <c r="AP92" s="451">
        <f t="shared" si="274"/>
        <v>44800</v>
      </c>
      <c r="AQ92" s="451">
        <f t="shared" si="274"/>
        <v>89600</v>
      </c>
      <c r="AR92" s="451">
        <f t="shared" si="274"/>
        <v>2537187</v>
      </c>
      <c r="AS92" s="451">
        <f t="shared" si="274"/>
        <v>-59904</v>
      </c>
      <c r="AT92" s="451">
        <f t="shared" si="274"/>
        <v>2477283</v>
      </c>
      <c r="AU92" s="451">
        <f t="shared" si="274"/>
        <v>837322</v>
      </c>
      <c r="AV92" s="451">
        <f t="shared" si="274"/>
        <v>23877</v>
      </c>
      <c r="AW92" s="451">
        <f t="shared" si="274"/>
        <v>0</v>
      </c>
      <c r="AX92" s="451">
        <f t="shared" si="274"/>
        <v>-5340</v>
      </c>
      <c r="AY92" s="451">
        <f t="shared" si="274"/>
        <v>-5340</v>
      </c>
      <c r="AZ92" s="451">
        <f t="shared" si="274"/>
        <v>3333142</v>
      </c>
      <c r="BA92" s="452">
        <f t="shared" si="274"/>
        <v>-0.03</v>
      </c>
      <c r="BB92" s="452">
        <f t="shared" si="274"/>
        <v>-0.04</v>
      </c>
      <c r="BC92" s="452">
        <f t="shared" si="274"/>
        <v>8.64</v>
      </c>
      <c r="BD92" s="452">
        <f t="shared" si="274"/>
        <v>0.5</v>
      </c>
      <c r="BE92" s="452">
        <f t="shared" si="274"/>
        <v>0</v>
      </c>
      <c r="BF92" s="452">
        <f t="shared" si="274"/>
        <v>0</v>
      </c>
      <c r="BG92" s="452">
        <f t="shared" si="274"/>
        <v>0</v>
      </c>
      <c r="BH92" s="452">
        <f t="shared" si="274"/>
        <v>0</v>
      </c>
      <c r="BI92" s="452">
        <f t="shared" si="274"/>
        <v>-1.85</v>
      </c>
      <c r="BJ92" s="452">
        <f t="shared" si="274"/>
        <v>-0.24</v>
      </c>
      <c r="BK92" s="452">
        <f t="shared" si="274"/>
        <v>7.2600000000000007</v>
      </c>
      <c r="BL92" s="452">
        <f t="shared" si="274"/>
        <v>-0.28000000000000003</v>
      </c>
      <c r="BM92" s="456">
        <f t="shared" si="274"/>
        <v>6.9800000000000013</v>
      </c>
      <c r="BN92" s="454">
        <f t="shared" si="274"/>
        <v>28811793</v>
      </c>
      <c r="BO92" s="451">
        <f t="shared" si="274"/>
        <v>21097063</v>
      </c>
      <c r="BP92" s="451">
        <f t="shared" si="274"/>
        <v>18810851</v>
      </c>
      <c r="BQ92" s="451">
        <f t="shared" si="274"/>
        <v>2286212</v>
      </c>
      <c r="BR92" s="451">
        <f t="shared" si="274"/>
        <v>89600</v>
      </c>
      <c r="BS92" s="451">
        <f t="shared" si="274"/>
        <v>44800</v>
      </c>
      <c r="BT92" s="451">
        <f t="shared" si="274"/>
        <v>44800</v>
      </c>
      <c r="BU92" s="451">
        <f t="shared" ref="BU92:CF92" si="276">SUM(BU86:BU91)</f>
        <v>7161092</v>
      </c>
      <c r="BV92" s="451">
        <f t="shared" si="276"/>
        <v>210970</v>
      </c>
      <c r="BW92" s="451">
        <f t="shared" si="276"/>
        <v>253068</v>
      </c>
      <c r="BX92" s="452">
        <f t="shared" si="276"/>
        <v>40.167100000000005</v>
      </c>
      <c r="BY92" s="452">
        <f t="shared" si="276"/>
        <v>33.264099999999999</v>
      </c>
      <c r="BZ92" s="456">
        <f t="shared" si="276"/>
        <v>6.9030000000000005</v>
      </c>
      <c r="CA92" s="854">
        <f t="shared" si="276"/>
        <v>380136</v>
      </c>
      <c r="CB92" s="852">
        <f t="shared" si="276"/>
        <v>282000</v>
      </c>
      <c r="CC92" s="852">
        <f t="shared" si="276"/>
        <v>0</v>
      </c>
      <c r="CD92" s="852">
        <f t="shared" si="276"/>
        <v>95316</v>
      </c>
      <c r="CE92" s="852">
        <f t="shared" si="276"/>
        <v>2820</v>
      </c>
      <c r="CF92" s="848">
        <f t="shared" si="276"/>
        <v>0.5</v>
      </c>
    </row>
    <row r="93" spans="1:84" x14ac:dyDescent="0.2">
      <c r="A93" s="206">
        <v>17</v>
      </c>
      <c r="B93" s="207">
        <v>3445</v>
      </c>
      <c r="C93" s="207">
        <v>600078604</v>
      </c>
      <c r="D93" s="207">
        <v>70695849</v>
      </c>
      <c r="E93" s="205" t="s">
        <v>115</v>
      </c>
      <c r="F93" s="207">
        <v>3111</v>
      </c>
      <c r="G93" s="208" t="s">
        <v>291</v>
      </c>
      <c r="H93" s="684" t="s">
        <v>271</v>
      </c>
      <c r="I93" s="423">
        <f t="shared" ref="I93:I98" si="277">J93+P93+Q93+R93</f>
        <v>1601268</v>
      </c>
      <c r="J93" s="418">
        <f>K93+L93</f>
        <v>1184121</v>
      </c>
      <c r="K93" s="418">
        <v>1124217</v>
      </c>
      <c r="L93" s="418">
        <v>59904</v>
      </c>
      <c r="M93" s="418">
        <f t="shared" ref="M93:M98" si="278">N93+O93</f>
        <v>0</v>
      </c>
      <c r="N93" s="418"/>
      <c r="O93" s="418"/>
      <c r="P93" s="68">
        <f t="shared" ref="P93:P98" si="279">ROUND(J93*33.8%,0)</f>
        <v>400233</v>
      </c>
      <c r="Q93" s="68">
        <f t="shared" ref="Q93:Q98" si="280">ROUND(J93*1%,0)</f>
        <v>11841</v>
      </c>
      <c r="R93" s="418">
        <v>5073</v>
      </c>
      <c r="S93" s="419">
        <f t="shared" ref="S93:S98" si="281">T93+U93</f>
        <v>2.2400000000000002</v>
      </c>
      <c r="T93" s="420">
        <v>2</v>
      </c>
      <c r="U93" s="527">
        <v>0.24</v>
      </c>
      <c r="V93" s="427">
        <f t="shared" ref="V93:W98" si="282">AI93*-1</f>
        <v>0</v>
      </c>
      <c r="W93" s="421">
        <f t="shared" si="282"/>
        <v>-25600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 t="shared" ref="AF93:AF98" si="283">V93+X93+Y93+AA93+AB93+AD93</f>
        <v>0</v>
      </c>
      <c r="AG93" s="421">
        <f t="shared" ref="AG93:AG98" si="284">W93+Z93+AC93+AE93</f>
        <v>-25600</v>
      </c>
      <c r="AH93" s="421">
        <f t="shared" ref="AH93:AH98" si="285">SUM(AF93:AG93)</f>
        <v>-25600</v>
      </c>
      <c r="AI93" s="421">
        <v>0</v>
      </c>
      <c r="AJ93" s="421">
        <v>25600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ref="AO93:AO98" si="286">AI93+AK93+AL93+AM93</f>
        <v>0</v>
      </c>
      <c r="AP93" s="421">
        <f t="shared" ref="AP93:AP98" si="287">AJ93+AN93</f>
        <v>25600</v>
      </c>
      <c r="AQ93" s="421">
        <f t="shared" ref="AQ93:AQ98" si="288">SUM(AO93:AP93)</f>
        <v>25600</v>
      </c>
      <c r="AR93" s="421">
        <f t="shared" ref="AR93:AS98" si="289">AF93+AO93</f>
        <v>0</v>
      </c>
      <c r="AS93" s="421">
        <f t="shared" si="289"/>
        <v>0</v>
      </c>
      <c r="AT93" s="421">
        <f t="shared" ref="AT93:AT98" si="290">SUM(AR93:AS93)</f>
        <v>0</v>
      </c>
      <c r="AU93" s="68">
        <f t="shared" ref="AU93:AU98" si="291">ROUND((AH93+AI93+AJ93+AK93+AL93)*33.8%,0)</f>
        <v>0</v>
      </c>
      <c r="AV93" s="68">
        <f t="shared" ref="AV93:AV98" si="292">ROUND(AH93*1%,0)</f>
        <v>-256</v>
      </c>
      <c r="AW93" s="421">
        <v>0</v>
      </c>
      <c r="AX93" s="421">
        <v>0</v>
      </c>
      <c r="AY93" s="421">
        <f t="shared" ref="AY93:AY98" si="293">AW93+AX93</f>
        <v>0</v>
      </c>
      <c r="AZ93" s="421">
        <f t="shared" ref="AZ93:AZ98" si="294">AT93+AU93+AV93+AY93</f>
        <v>-256</v>
      </c>
      <c r="BA93" s="422">
        <v>0</v>
      </c>
      <c r="BB93" s="422">
        <v>-0.1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 t="shared" ref="BK93:BK98" si="295">BA93+BC93+BD93+BF93+BH93+BI93</f>
        <v>0</v>
      </c>
      <c r="BL93" s="422">
        <f t="shared" ref="BL93:BL98" si="296">BB93+BE93+BG93+BJ93</f>
        <v>-0.1</v>
      </c>
      <c r="BM93" s="611">
        <f t="shared" ref="BM93:BM98" si="297">SUM(BK93:BL93)</f>
        <v>-0.1</v>
      </c>
      <c r="BN93" s="428">
        <f t="shared" ref="BN93:BN98" si="298">I93+AZ93</f>
        <v>1601012</v>
      </c>
      <c r="BO93" s="421">
        <f t="shared" ref="BO93:BO98" si="299">J93+AH93</f>
        <v>1158521</v>
      </c>
      <c r="BP93" s="421">
        <f t="shared" ref="BP93:BQ98" si="300">K93+AF93</f>
        <v>1124217</v>
      </c>
      <c r="BQ93" s="421">
        <f t="shared" si="300"/>
        <v>34304</v>
      </c>
      <c r="BR93" s="421">
        <f t="shared" ref="BR93:BR98" si="301">M93+AQ93</f>
        <v>25600</v>
      </c>
      <c r="BS93" s="421">
        <f t="shared" ref="BS93:BT98" si="302">N93+AO93</f>
        <v>0</v>
      </c>
      <c r="BT93" s="421">
        <f t="shared" si="302"/>
        <v>25600</v>
      </c>
      <c r="BU93" s="421">
        <f t="shared" ref="BU93:BV98" si="303">P93+AU93</f>
        <v>400233</v>
      </c>
      <c r="BV93" s="421">
        <f t="shared" si="303"/>
        <v>11585</v>
      </c>
      <c r="BW93" s="421">
        <f t="shared" ref="BW93:BW98" si="304">R93+AY93</f>
        <v>5073</v>
      </c>
      <c r="BX93" s="422">
        <f t="shared" ref="BX93:BX98" si="305">S93+BM93</f>
        <v>2.14</v>
      </c>
      <c r="BY93" s="422">
        <f t="shared" ref="BY93:BZ98" si="306">T93+BK93</f>
        <v>2</v>
      </c>
      <c r="BZ93" s="611">
        <f t="shared" si="306"/>
        <v>0.13999999999999999</v>
      </c>
      <c r="CA93" s="423"/>
      <c r="CB93" s="418"/>
      <c r="CC93" s="418"/>
      <c r="CD93" s="418"/>
      <c r="CE93" s="418"/>
      <c r="CF93" s="527"/>
    </row>
    <row r="94" spans="1:84" x14ac:dyDescent="0.2">
      <c r="A94" s="206">
        <v>17</v>
      </c>
      <c r="B94" s="207">
        <v>3445</v>
      </c>
      <c r="C94" s="207">
        <v>600078604</v>
      </c>
      <c r="D94" s="207">
        <v>70695849</v>
      </c>
      <c r="E94" s="205" t="s">
        <v>115</v>
      </c>
      <c r="F94" s="207">
        <v>3117</v>
      </c>
      <c r="G94" s="208" t="s">
        <v>294</v>
      </c>
      <c r="H94" s="684" t="s">
        <v>271</v>
      </c>
      <c r="I94" s="423">
        <f t="shared" si="277"/>
        <v>2474237</v>
      </c>
      <c r="J94" s="418">
        <f t="shared" ref="J94:J98" si="307">K94+L94</f>
        <v>1812014</v>
      </c>
      <c r="K94" s="418">
        <v>1606719</v>
      </c>
      <c r="L94" s="418">
        <v>205295</v>
      </c>
      <c r="M94" s="418">
        <f t="shared" si="278"/>
        <v>0</v>
      </c>
      <c r="N94" s="418"/>
      <c r="O94" s="418"/>
      <c r="P94" s="68">
        <f>ROUND(J94*33.8%,0)-1</f>
        <v>612460</v>
      </c>
      <c r="Q94" s="68">
        <f>ROUND(J94*1%,0)+1</f>
        <v>18121</v>
      </c>
      <c r="R94" s="418">
        <v>31642</v>
      </c>
      <c r="S94" s="419">
        <f t="shared" si="281"/>
        <v>2.9876999999999998</v>
      </c>
      <c r="T94" s="420">
        <v>2.4544999999999999</v>
      </c>
      <c r="U94" s="527">
        <v>0.53320000000000001</v>
      </c>
      <c r="V94" s="427">
        <f t="shared" si="282"/>
        <v>0</v>
      </c>
      <c r="W94" s="421">
        <f t="shared" si="282"/>
        <v>-14080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 t="shared" si="283"/>
        <v>0</v>
      </c>
      <c r="AG94" s="421">
        <f t="shared" si="284"/>
        <v>-14080</v>
      </c>
      <c r="AH94" s="421">
        <f t="shared" si="285"/>
        <v>-14080</v>
      </c>
      <c r="AI94" s="421">
        <v>0</v>
      </c>
      <c r="AJ94" s="421">
        <v>14080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286"/>
        <v>0</v>
      </c>
      <c r="AP94" s="421">
        <f t="shared" si="287"/>
        <v>14080</v>
      </c>
      <c r="AQ94" s="421">
        <f t="shared" si="288"/>
        <v>14080</v>
      </c>
      <c r="AR94" s="421">
        <f t="shared" si="289"/>
        <v>0</v>
      </c>
      <c r="AS94" s="421">
        <f t="shared" si="289"/>
        <v>0</v>
      </c>
      <c r="AT94" s="421">
        <f t="shared" si="290"/>
        <v>0</v>
      </c>
      <c r="AU94" s="68">
        <f t="shared" si="291"/>
        <v>0</v>
      </c>
      <c r="AV94" s="68">
        <f t="shared" si="292"/>
        <v>-141</v>
      </c>
      <c r="AW94" s="421">
        <v>0</v>
      </c>
      <c r="AX94" s="421">
        <v>0</v>
      </c>
      <c r="AY94" s="421">
        <f t="shared" si="293"/>
        <v>0</v>
      </c>
      <c r="AZ94" s="421">
        <f t="shared" si="294"/>
        <v>-141</v>
      </c>
      <c r="BA94" s="422">
        <v>0</v>
      </c>
      <c r="BB94" s="422">
        <v>-0.05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 t="shared" si="295"/>
        <v>0</v>
      </c>
      <c r="BL94" s="422">
        <f t="shared" si="296"/>
        <v>-0.05</v>
      </c>
      <c r="BM94" s="611">
        <f t="shared" si="297"/>
        <v>-0.05</v>
      </c>
      <c r="BN94" s="428">
        <f t="shared" si="298"/>
        <v>2474096</v>
      </c>
      <c r="BO94" s="421">
        <f t="shared" si="299"/>
        <v>1797934</v>
      </c>
      <c r="BP94" s="421">
        <f t="shared" si="300"/>
        <v>1606719</v>
      </c>
      <c r="BQ94" s="421">
        <f t="shared" si="300"/>
        <v>191215</v>
      </c>
      <c r="BR94" s="421">
        <f t="shared" si="301"/>
        <v>14080</v>
      </c>
      <c r="BS94" s="421">
        <f t="shared" si="302"/>
        <v>0</v>
      </c>
      <c r="BT94" s="421">
        <f t="shared" si="302"/>
        <v>14080</v>
      </c>
      <c r="BU94" s="421">
        <f t="shared" si="303"/>
        <v>612460</v>
      </c>
      <c r="BV94" s="421">
        <f t="shared" si="303"/>
        <v>17980</v>
      </c>
      <c r="BW94" s="421">
        <f t="shared" si="304"/>
        <v>31642</v>
      </c>
      <c r="BX94" s="422">
        <f t="shared" si="305"/>
        <v>2.9377</v>
      </c>
      <c r="BY94" s="422">
        <f t="shared" si="306"/>
        <v>2.4544999999999999</v>
      </c>
      <c r="BZ94" s="611">
        <f t="shared" si="306"/>
        <v>0.48320000000000002</v>
      </c>
      <c r="CA94" s="423"/>
      <c r="CB94" s="418"/>
      <c r="CC94" s="418"/>
      <c r="CD94" s="418"/>
      <c r="CE94" s="418"/>
      <c r="CF94" s="527"/>
    </row>
    <row r="95" spans="1:84" x14ac:dyDescent="0.2">
      <c r="A95" s="206">
        <v>17</v>
      </c>
      <c r="B95" s="207">
        <v>3445</v>
      </c>
      <c r="C95" s="207">
        <v>600078604</v>
      </c>
      <c r="D95" s="207">
        <v>70695849</v>
      </c>
      <c r="E95" s="205" t="s">
        <v>115</v>
      </c>
      <c r="F95" s="207">
        <v>3117</v>
      </c>
      <c r="G95" s="208" t="s">
        <v>292</v>
      </c>
      <c r="H95" s="684" t="s">
        <v>272</v>
      </c>
      <c r="I95" s="423">
        <f t="shared" si="277"/>
        <v>0</v>
      </c>
      <c r="J95" s="418">
        <f t="shared" si="307"/>
        <v>0</v>
      </c>
      <c r="K95" s="418">
        <v>0</v>
      </c>
      <c r="L95" s="418">
        <v>0</v>
      </c>
      <c r="M95" s="418">
        <f t="shared" si="278"/>
        <v>0</v>
      </c>
      <c r="N95" s="418"/>
      <c r="O95" s="418"/>
      <c r="P95" s="68">
        <f t="shared" si="279"/>
        <v>0</v>
      </c>
      <c r="Q95" s="68">
        <f t="shared" si="280"/>
        <v>0</v>
      </c>
      <c r="R95" s="418">
        <v>0</v>
      </c>
      <c r="S95" s="419">
        <f t="shared" si="281"/>
        <v>0</v>
      </c>
      <c r="T95" s="420">
        <v>0</v>
      </c>
      <c r="U95" s="527">
        <v>0</v>
      </c>
      <c r="V95" s="427">
        <f t="shared" si="282"/>
        <v>0</v>
      </c>
      <c r="W95" s="421">
        <f t="shared" si="282"/>
        <v>0</v>
      </c>
      <c r="X95" s="421">
        <v>74269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 t="shared" si="283"/>
        <v>74269</v>
      </c>
      <c r="AG95" s="421">
        <f t="shared" si="284"/>
        <v>0</v>
      </c>
      <c r="AH95" s="421">
        <f t="shared" si="285"/>
        <v>74269</v>
      </c>
      <c r="AI95" s="421">
        <v>0</v>
      </c>
      <c r="AJ95" s="421">
        <v>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286"/>
        <v>0</v>
      </c>
      <c r="AP95" s="421">
        <f t="shared" si="287"/>
        <v>0</v>
      </c>
      <c r="AQ95" s="421">
        <f t="shared" si="288"/>
        <v>0</v>
      </c>
      <c r="AR95" s="421">
        <f t="shared" si="289"/>
        <v>74269</v>
      </c>
      <c r="AS95" s="421">
        <f t="shared" si="289"/>
        <v>0</v>
      </c>
      <c r="AT95" s="421">
        <f t="shared" si="290"/>
        <v>74269</v>
      </c>
      <c r="AU95" s="68">
        <f t="shared" si="291"/>
        <v>25103</v>
      </c>
      <c r="AV95" s="68">
        <f t="shared" si="292"/>
        <v>743</v>
      </c>
      <c r="AW95" s="421">
        <v>0</v>
      </c>
      <c r="AX95" s="421">
        <v>0</v>
      </c>
      <c r="AY95" s="421">
        <f t="shared" si="293"/>
        <v>0</v>
      </c>
      <c r="AZ95" s="421">
        <f t="shared" si="294"/>
        <v>100115</v>
      </c>
      <c r="BA95" s="422">
        <v>0</v>
      </c>
      <c r="BB95" s="422">
        <v>0</v>
      </c>
      <c r="BC95" s="422">
        <v>0.15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 t="shared" si="295"/>
        <v>0.15</v>
      </c>
      <c r="BL95" s="422">
        <f t="shared" si="296"/>
        <v>0</v>
      </c>
      <c r="BM95" s="611">
        <f t="shared" si="297"/>
        <v>0.15</v>
      </c>
      <c r="BN95" s="428">
        <f t="shared" si="298"/>
        <v>100115</v>
      </c>
      <c r="BO95" s="421">
        <f t="shared" si="299"/>
        <v>74269</v>
      </c>
      <c r="BP95" s="421">
        <f t="shared" si="300"/>
        <v>74269</v>
      </c>
      <c r="BQ95" s="421">
        <f t="shared" si="300"/>
        <v>0</v>
      </c>
      <c r="BR95" s="421">
        <f t="shared" si="301"/>
        <v>0</v>
      </c>
      <c r="BS95" s="421">
        <f t="shared" si="302"/>
        <v>0</v>
      </c>
      <c r="BT95" s="421">
        <f t="shared" si="302"/>
        <v>0</v>
      </c>
      <c r="BU95" s="421">
        <f t="shared" si="303"/>
        <v>25103</v>
      </c>
      <c r="BV95" s="421">
        <f t="shared" si="303"/>
        <v>743</v>
      </c>
      <c r="BW95" s="421">
        <f t="shared" si="304"/>
        <v>0</v>
      </c>
      <c r="BX95" s="422">
        <f t="shared" si="305"/>
        <v>0.15</v>
      </c>
      <c r="BY95" s="422">
        <f t="shared" si="306"/>
        <v>0.15</v>
      </c>
      <c r="BZ95" s="611">
        <f t="shared" si="306"/>
        <v>0</v>
      </c>
      <c r="CA95" s="423"/>
      <c r="CB95" s="418"/>
      <c r="CC95" s="418"/>
      <c r="CD95" s="418"/>
      <c r="CE95" s="418"/>
      <c r="CF95" s="527"/>
    </row>
    <row r="96" spans="1:84" x14ac:dyDescent="0.2">
      <c r="A96" s="206">
        <v>17</v>
      </c>
      <c r="B96" s="207">
        <v>3445</v>
      </c>
      <c r="C96" s="207">
        <v>600078604</v>
      </c>
      <c r="D96" s="207">
        <v>70695849</v>
      </c>
      <c r="E96" s="205" t="s">
        <v>115</v>
      </c>
      <c r="F96" s="207">
        <v>3141</v>
      </c>
      <c r="G96" s="208" t="s">
        <v>295</v>
      </c>
      <c r="H96" s="684" t="s">
        <v>272</v>
      </c>
      <c r="I96" s="423">
        <f t="shared" si="277"/>
        <v>439104</v>
      </c>
      <c r="J96" s="418">
        <f t="shared" si="307"/>
        <v>324576</v>
      </c>
      <c r="K96" s="418">
        <v>0</v>
      </c>
      <c r="L96" s="418">
        <v>324576</v>
      </c>
      <c r="M96" s="418">
        <f t="shared" si="278"/>
        <v>0</v>
      </c>
      <c r="N96" s="418"/>
      <c r="O96" s="418"/>
      <c r="P96" s="68">
        <f t="shared" si="279"/>
        <v>109707</v>
      </c>
      <c r="Q96" s="68">
        <f t="shared" si="280"/>
        <v>3246</v>
      </c>
      <c r="R96" s="418">
        <v>1575</v>
      </c>
      <c r="S96" s="419">
        <f t="shared" si="281"/>
        <v>0.97</v>
      </c>
      <c r="T96" s="420">
        <v>0</v>
      </c>
      <c r="U96" s="527">
        <v>0.97</v>
      </c>
      <c r="V96" s="427">
        <f t="shared" si="282"/>
        <v>0</v>
      </c>
      <c r="W96" s="421">
        <f t="shared" si="282"/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 t="shared" si="283"/>
        <v>0</v>
      </c>
      <c r="AG96" s="421">
        <f t="shared" si="284"/>
        <v>0</v>
      </c>
      <c r="AH96" s="421">
        <f t="shared" si="285"/>
        <v>0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si="286"/>
        <v>0</v>
      </c>
      <c r="AP96" s="421">
        <f t="shared" si="287"/>
        <v>0</v>
      </c>
      <c r="AQ96" s="421">
        <f t="shared" si="288"/>
        <v>0</v>
      </c>
      <c r="AR96" s="421">
        <f t="shared" si="289"/>
        <v>0</v>
      </c>
      <c r="AS96" s="421">
        <f t="shared" si="289"/>
        <v>0</v>
      </c>
      <c r="AT96" s="421">
        <f t="shared" si="290"/>
        <v>0</v>
      </c>
      <c r="AU96" s="68">
        <f t="shared" si="291"/>
        <v>0</v>
      </c>
      <c r="AV96" s="68">
        <f t="shared" si="292"/>
        <v>0</v>
      </c>
      <c r="AW96" s="421">
        <v>0</v>
      </c>
      <c r="AX96" s="421">
        <v>0</v>
      </c>
      <c r="AY96" s="421">
        <f t="shared" si="293"/>
        <v>0</v>
      </c>
      <c r="AZ96" s="421">
        <f t="shared" si="294"/>
        <v>0</v>
      </c>
      <c r="BA96" s="422">
        <v>0</v>
      </c>
      <c r="BB96" s="422">
        <v>0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 t="shared" si="295"/>
        <v>0</v>
      </c>
      <c r="BL96" s="422">
        <f t="shared" si="296"/>
        <v>0</v>
      </c>
      <c r="BM96" s="611">
        <f t="shared" si="297"/>
        <v>0</v>
      </c>
      <c r="BN96" s="428">
        <f t="shared" si="298"/>
        <v>439104</v>
      </c>
      <c r="BO96" s="421">
        <f t="shared" si="299"/>
        <v>324576</v>
      </c>
      <c r="BP96" s="421">
        <f t="shared" si="300"/>
        <v>0</v>
      </c>
      <c r="BQ96" s="421">
        <f t="shared" si="300"/>
        <v>324576</v>
      </c>
      <c r="BR96" s="421">
        <f t="shared" si="301"/>
        <v>0</v>
      </c>
      <c r="BS96" s="421">
        <f t="shared" si="302"/>
        <v>0</v>
      </c>
      <c r="BT96" s="421">
        <f t="shared" si="302"/>
        <v>0</v>
      </c>
      <c r="BU96" s="421">
        <f t="shared" si="303"/>
        <v>109707</v>
      </c>
      <c r="BV96" s="421">
        <f t="shared" si="303"/>
        <v>3246</v>
      </c>
      <c r="BW96" s="421">
        <f t="shared" si="304"/>
        <v>1575</v>
      </c>
      <c r="BX96" s="422">
        <f t="shared" si="305"/>
        <v>0.97</v>
      </c>
      <c r="BY96" s="422">
        <f t="shared" si="306"/>
        <v>0</v>
      </c>
      <c r="BZ96" s="611">
        <f t="shared" si="306"/>
        <v>0.97</v>
      </c>
      <c r="CA96" s="423"/>
      <c r="CB96" s="418"/>
      <c r="CC96" s="418"/>
      <c r="CD96" s="418"/>
      <c r="CE96" s="418"/>
      <c r="CF96" s="527"/>
    </row>
    <row r="97" spans="1:84" s="3" customFormat="1" x14ac:dyDescent="0.2">
      <c r="A97" s="206">
        <v>17</v>
      </c>
      <c r="B97" s="207">
        <v>3445</v>
      </c>
      <c r="C97" s="207">
        <v>600078604</v>
      </c>
      <c r="D97" s="207">
        <v>70695849</v>
      </c>
      <c r="E97" s="205" t="s">
        <v>115</v>
      </c>
      <c r="F97" s="207">
        <v>3143</v>
      </c>
      <c r="G97" s="208" t="s">
        <v>596</v>
      </c>
      <c r="H97" s="686" t="s">
        <v>271</v>
      </c>
      <c r="I97" s="423">
        <f t="shared" si="277"/>
        <v>581589</v>
      </c>
      <c r="J97" s="418">
        <f t="shared" si="307"/>
        <v>431446</v>
      </c>
      <c r="K97" s="418">
        <v>431446</v>
      </c>
      <c r="L97" s="418">
        <v>0</v>
      </c>
      <c r="M97" s="418">
        <f t="shared" si="278"/>
        <v>0</v>
      </c>
      <c r="N97" s="418"/>
      <c r="O97" s="418"/>
      <c r="P97" s="68">
        <f t="shared" si="279"/>
        <v>145829</v>
      </c>
      <c r="Q97" s="68">
        <f t="shared" si="280"/>
        <v>4314</v>
      </c>
      <c r="R97" s="418">
        <v>0</v>
      </c>
      <c r="S97" s="419">
        <f t="shared" si="281"/>
        <v>0.88329999999999997</v>
      </c>
      <c r="T97" s="420">
        <v>0.88329999999999997</v>
      </c>
      <c r="U97" s="527">
        <v>0</v>
      </c>
      <c r="V97" s="427">
        <f t="shared" si="282"/>
        <v>0</v>
      </c>
      <c r="W97" s="421">
        <f t="shared" si="282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 t="shared" si="283"/>
        <v>0</v>
      </c>
      <c r="AG97" s="421">
        <f t="shared" si="284"/>
        <v>0</v>
      </c>
      <c r="AH97" s="421">
        <f t="shared" si="285"/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286"/>
        <v>0</v>
      </c>
      <c r="AP97" s="421">
        <f t="shared" si="287"/>
        <v>0</v>
      </c>
      <c r="AQ97" s="421">
        <f t="shared" si="288"/>
        <v>0</v>
      </c>
      <c r="AR97" s="421">
        <f t="shared" si="289"/>
        <v>0</v>
      </c>
      <c r="AS97" s="421">
        <f t="shared" si="289"/>
        <v>0</v>
      </c>
      <c r="AT97" s="421">
        <f t="shared" si="290"/>
        <v>0</v>
      </c>
      <c r="AU97" s="68">
        <f t="shared" si="291"/>
        <v>0</v>
      </c>
      <c r="AV97" s="68">
        <f t="shared" si="292"/>
        <v>0</v>
      </c>
      <c r="AW97" s="421">
        <v>0</v>
      </c>
      <c r="AX97" s="421">
        <v>0</v>
      </c>
      <c r="AY97" s="421">
        <f t="shared" si="293"/>
        <v>0</v>
      </c>
      <c r="AZ97" s="421">
        <f t="shared" si="294"/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 t="shared" si="295"/>
        <v>0</v>
      </c>
      <c r="BL97" s="422">
        <f t="shared" si="296"/>
        <v>0</v>
      </c>
      <c r="BM97" s="611">
        <f t="shared" si="297"/>
        <v>0</v>
      </c>
      <c r="BN97" s="428">
        <f t="shared" si="298"/>
        <v>581589</v>
      </c>
      <c r="BO97" s="421">
        <f t="shared" si="299"/>
        <v>431446</v>
      </c>
      <c r="BP97" s="421">
        <f t="shared" si="300"/>
        <v>431446</v>
      </c>
      <c r="BQ97" s="421">
        <f t="shared" si="300"/>
        <v>0</v>
      </c>
      <c r="BR97" s="421">
        <f t="shared" si="301"/>
        <v>0</v>
      </c>
      <c r="BS97" s="421">
        <f t="shared" si="302"/>
        <v>0</v>
      </c>
      <c r="BT97" s="421">
        <f t="shared" si="302"/>
        <v>0</v>
      </c>
      <c r="BU97" s="421">
        <f t="shared" si="303"/>
        <v>145829</v>
      </c>
      <c r="BV97" s="421">
        <f t="shared" si="303"/>
        <v>4314</v>
      </c>
      <c r="BW97" s="421">
        <f t="shared" si="304"/>
        <v>0</v>
      </c>
      <c r="BX97" s="422">
        <f t="shared" si="305"/>
        <v>0.88329999999999997</v>
      </c>
      <c r="BY97" s="422">
        <f t="shared" si="306"/>
        <v>0.88329999999999997</v>
      </c>
      <c r="BZ97" s="611">
        <f t="shared" si="306"/>
        <v>0</v>
      </c>
      <c r="CA97" s="423"/>
      <c r="CB97" s="418"/>
      <c r="CC97" s="418"/>
      <c r="CD97" s="418"/>
      <c r="CE97" s="418"/>
      <c r="CF97" s="527"/>
    </row>
    <row r="98" spans="1:84" s="3" customFormat="1" x14ac:dyDescent="0.2">
      <c r="A98" s="206">
        <v>17</v>
      </c>
      <c r="B98" s="207">
        <v>3445</v>
      </c>
      <c r="C98" s="207">
        <v>600078604</v>
      </c>
      <c r="D98" s="207">
        <v>70695849</v>
      </c>
      <c r="E98" s="205" t="s">
        <v>115</v>
      </c>
      <c r="F98" s="207">
        <v>3143</v>
      </c>
      <c r="G98" s="208" t="s">
        <v>597</v>
      </c>
      <c r="H98" s="686" t="s">
        <v>272</v>
      </c>
      <c r="I98" s="423">
        <f t="shared" si="277"/>
        <v>13314</v>
      </c>
      <c r="J98" s="418">
        <f t="shared" si="307"/>
        <v>9530</v>
      </c>
      <c r="K98" s="418">
        <v>0</v>
      </c>
      <c r="L98" s="418">
        <v>9530</v>
      </c>
      <c r="M98" s="418">
        <f t="shared" si="278"/>
        <v>0</v>
      </c>
      <c r="N98" s="418"/>
      <c r="O98" s="418"/>
      <c r="P98" s="68">
        <f t="shared" si="279"/>
        <v>3221</v>
      </c>
      <c r="Q98" s="68">
        <f t="shared" si="280"/>
        <v>95</v>
      </c>
      <c r="R98" s="418">
        <v>468</v>
      </c>
      <c r="S98" s="419">
        <f t="shared" si="281"/>
        <v>0.04</v>
      </c>
      <c r="T98" s="420">
        <v>0</v>
      </c>
      <c r="U98" s="527">
        <v>0.04</v>
      </c>
      <c r="V98" s="427">
        <f t="shared" si="282"/>
        <v>0</v>
      </c>
      <c r="W98" s="421">
        <f t="shared" si="282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 t="shared" si="283"/>
        <v>0</v>
      </c>
      <c r="AG98" s="421">
        <f t="shared" si="284"/>
        <v>0</v>
      </c>
      <c r="AH98" s="421">
        <f t="shared" si="285"/>
        <v>0</v>
      </c>
      <c r="AI98" s="421">
        <v>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si="286"/>
        <v>0</v>
      </c>
      <c r="AP98" s="421">
        <f t="shared" si="287"/>
        <v>0</v>
      </c>
      <c r="AQ98" s="421">
        <f t="shared" si="288"/>
        <v>0</v>
      </c>
      <c r="AR98" s="421">
        <f t="shared" si="289"/>
        <v>0</v>
      </c>
      <c r="AS98" s="421">
        <f t="shared" si="289"/>
        <v>0</v>
      </c>
      <c r="AT98" s="421">
        <f t="shared" si="290"/>
        <v>0</v>
      </c>
      <c r="AU98" s="68">
        <f t="shared" si="291"/>
        <v>0</v>
      </c>
      <c r="AV98" s="68">
        <f t="shared" si="292"/>
        <v>0</v>
      </c>
      <c r="AW98" s="421">
        <v>0</v>
      </c>
      <c r="AX98" s="421">
        <v>0</v>
      </c>
      <c r="AY98" s="421">
        <f t="shared" si="293"/>
        <v>0</v>
      </c>
      <c r="AZ98" s="421">
        <f t="shared" si="294"/>
        <v>0</v>
      </c>
      <c r="BA98" s="422">
        <v>0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 t="shared" si="295"/>
        <v>0</v>
      </c>
      <c r="BL98" s="422">
        <f t="shared" si="296"/>
        <v>0</v>
      </c>
      <c r="BM98" s="611">
        <f t="shared" si="297"/>
        <v>0</v>
      </c>
      <c r="BN98" s="428">
        <f t="shared" si="298"/>
        <v>13314</v>
      </c>
      <c r="BO98" s="421">
        <f t="shared" si="299"/>
        <v>9530</v>
      </c>
      <c r="BP98" s="421">
        <f t="shared" si="300"/>
        <v>0</v>
      </c>
      <c r="BQ98" s="421">
        <f t="shared" si="300"/>
        <v>9530</v>
      </c>
      <c r="BR98" s="421">
        <f t="shared" si="301"/>
        <v>0</v>
      </c>
      <c r="BS98" s="421">
        <f t="shared" si="302"/>
        <v>0</v>
      </c>
      <c r="BT98" s="421">
        <f t="shared" si="302"/>
        <v>0</v>
      </c>
      <c r="BU98" s="421">
        <f t="shared" si="303"/>
        <v>3221</v>
      </c>
      <c r="BV98" s="421">
        <f t="shared" si="303"/>
        <v>95</v>
      </c>
      <c r="BW98" s="421">
        <f t="shared" si="304"/>
        <v>468</v>
      </c>
      <c r="BX98" s="422">
        <f t="shared" si="305"/>
        <v>0.04</v>
      </c>
      <c r="BY98" s="422">
        <f t="shared" si="306"/>
        <v>0</v>
      </c>
      <c r="BZ98" s="611">
        <f t="shared" si="306"/>
        <v>0.04</v>
      </c>
      <c r="CA98" s="423"/>
      <c r="CB98" s="418"/>
      <c r="CC98" s="418"/>
      <c r="CD98" s="418"/>
      <c r="CE98" s="418"/>
      <c r="CF98" s="527"/>
    </row>
    <row r="99" spans="1:84" ht="13.5" thickBot="1" x14ac:dyDescent="0.25">
      <c r="A99" s="159">
        <v>17</v>
      </c>
      <c r="B99" s="33">
        <v>3445</v>
      </c>
      <c r="C99" s="33">
        <v>600078604</v>
      </c>
      <c r="D99" s="33">
        <v>70695849</v>
      </c>
      <c r="E99" s="235" t="s">
        <v>116</v>
      </c>
      <c r="F99" s="33"/>
      <c r="G99" s="160"/>
      <c r="H99" s="687"/>
      <c r="I99" s="459">
        <f t="shared" ref="I99:BT99" si="308">SUM(I93:I98)</f>
        <v>5109512</v>
      </c>
      <c r="J99" s="460">
        <f t="shared" si="308"/>
        <v>3761687</v>
      </c>
      <c r="K99" s="460">
        <f t="shared" si="308"/>
        <v>3162382</v>
      </c>
      <c r="L99" s="460">
        <f t="shared" si="308"/>
        <v>599305</v>
      </c>
      <c r="M99" s="460">
        <f t="shared" si="308"/>
        <v>0</v>
      </c>
      <c r="N99" s="460">
        <f t="shared" si="308"/>
        <v>0</v>
      </c>
      <c r="O99" s="460">
        <f t="shared" si="308"/>
        <v>0</v>
      </c>
      <c r="P99" s="460">
        <f t="shared" si="308"/>
        <v>1271450</v>
      </c>
      <c r="Q99" s="460">
        <f t="shared" si="308"/>
        <v>37617</v>
      </c>
      <c r="R99" s="460">
        <f t="shared" si="308"/>
        <v>38758</v>
      </c>
      <c r="S99" s="461">
        <f t="shared" si="308"/>
        <v>7.1210000000000004</v>
      </c>
      <c r="T99" s="461">
        <f t="shared" si="308"/>
        <v>5.3377999999999997</v>
      </c>
      <c r="U99" s="462">
        <f t="shared" si="308"/>
        <v>1.7831999999999999</v>
      </c>
      <c r="V99" s="620">
        <f t="shared" si="308"/>
        <v>0</v>
      </c>
      <c r="W99" s="580">
        <f t="shared" si="308"/>
        <v>-39680</v>
      </c>
      <c r="X99" s="580">
        <f t="shared" si="308"/>
        <v>74269</v>
      </c>
      <c r="Y99" s="580">
        <f t="shared" si="308"/>
        <v>0</v>
      </c>
      <c r="Z99" s="580">
        <f t="shared" si="308"/>
        <v>0</v>
      </c>
      <c r="AA99" s="580">
        <f t="shared" si="308"/>
        <v>0</v>
      </c>
      <c r="AB99" s="580">
        <f t="shared" si="308"/>
        <v>0</v>
      </c>
      <c r="AC99" s="580">
        <f t="shared" si="308"/>
        <v>0</v>
      </c>
      <c r="AD99" s="580">
        <f t="shared" si="308"/>
        <v>0</v>
      </c>
      <c r="AE99" s="580">
        <f t="shared" si="308"/>
        <v>0</v>
      </c>
      <c r="AF99" s="580">
        <f t="shared" si="308"/>
        <v>74269</v>
      </c>
      <c r="AG99" s="580">
        <f t="shared" si="308"/>
        <v>-39680</v>
      </c>
      <c r="AH99" s="580">
        <f t="shared" si="308"/>
        <v>34589</v>
      </c>
      <c r="AI99" s="580">
        <f t="shared" si="308"/>
        <v>0</v>
      </c>
      <c r="AJ99" s="580">
        <f t="shared" si="308"/>
        <v>39680</v>
      </c>
      <c r="AK99" s="580">
        <f t="shared" ref="AK99" si="309">SUM(AK93:AK98)</f>
        <v>0</v>
      </c>
      <c r="AL99" s="580">
        <f t="shared" si="308"/>
        <v>0</v>
      </c>
      <c r="AM99" s="580">
        <f t="shared" si="308"/>
        <v>0</v>
      </c>
      <c r="AN99" s="580">
        <f t="shared" si="308"/>
        <v>0</v>
      </c>
      <c r="AO99" s="580">
        <f t="shared" si="308"/>
        <v>0</v>
      </c>
      <c r="AP99" s="580">
        <f t="shared" si="308"/>
        <v>39680</v>
      </c>
      <c r="AQ99" s="580">
        <f t="shared" si="308"/>
        <v>39680</v>
      </c>
      <c r="AR99" s="580">
        <f t="shared" si="308"/>
        <v>74269</v>
      </c>
      <c r="AS99" s="580">
        <f t="shared" si="308"/>
        <v>0</v>
      </c>
      <c r="AT99" s="580">
        <f t="shared" si="308"/>
        <v>74269</v>
      </c>
      <c r="AU99" s="580">
        <f t="shared" si="308"/>
        <v>25103</v>
      </c>
      <c r="AV99" s="580">
        <f t="shared" si="308"/>
        <v>346</v>
      </c>
      <c r="AW99" s="580">
        <f t="shared" si="308"/>
        <v>0</v>
      </c>
      <c r="AX99" s="580">
        <f t="shared" si="308"/>
        <v>0</v>
      </c>
      <c r="AY99" s="580">
        <f t="shared" si="308"/>
        <v>0</v>
      </c>
      <c r="AZ99" s="580">
        <f t="shared" si="308"/>
        <v>99718</v>
      </c>
      <c r="BA99" s="581">
        <f t="shared" si="308"/>
        <v>0</v>
      </c>
      <c r="BB99" s="581">
        <f t="shared" si="308"/>
        <v>-0.15000000000000002</v>
      </c>
      <c r="BC99" s="581">
        <f t="shared" si="308"/>
        <v>0.15</v>
      </c>
      <c r="BD99" s="581">
        <f t="shared" si="308"/>
        <v>0</v>
      </c>
      <c r="BE99" s="581">
        <f t="shared" si="308"/>
        <v>0</v>
      </c>
      <c r="BF99" s="581">
        <f t="shared" si="308"/>
        <v>0</v>
      </c>
      <c r="BG99" s="581">
        <f t="shared" si="308"/>
        <v>0</v>
      </c>
      <c r="BH99" s="581">
        <f t="shared" si="308"/>
        <v>0</v>
      </c>
      <c r="BI99" s="581">
        <f t="shared" si="308"/>
        <v>0</v>
      </c>
      <c r="BJ99" s="581">
        <f t="shared" si="308"/>
        <v>0</v>
      </c>
      <c r="BK99" s="581">
        <f t="shared" si="308"/>
        <v>0.15</v>
      </c>
      <c r="BL99" s="581">
        <f t="shared" si="308"/>
        <v>-0.15000000000000002</v>
      </c>
      <c r="BM99" s="621">
        <f t="shared" si="308"/>
        <v>-2.7755575615628914E-17</v>
      </c>
      <c r="BN99" s="579">
        <f t="shared" si="308"/>
        <v>5209230</v>
      </c>
      <c r="BO99" s="580">
        <f t="shared" si="308"/>
        <v>3796276</v>
      </c>
      <c r="BP99" s="580">
        <f t="shared" si="308"/>
        <v>3236651</v>
      </c>
      <c r="BQ99" s="580">
        <f t="shared" si="308"/>
        <v>559625</v>
      </c>
      <c r="BR99" s="580">
        <f t="shared" si="308"/>
        <v>39680</v>
      </c>
      <c r="BS99" s="580">
        <f t="shared" si="308"/>
        <v>0</v>
      </c>
      <c r="BT99" s="580">
        <f t="shared" si="308"/>
        <v>39680</v>
      </c>
      <c r="BU99" s="580">
        <f t="shared" ref="BU99:CF99" si="310">SUM(BU93:BU98)</f>
        <v>1296553</v>
      </c>
      <c r="BV99" s="580">
        <f t="shared" si="310"/>
        <v>37963</v>
      </c>
      <c r="BW99" s="580">
        <f t="shared" si="310"/>
        <v>38758</v>
      </c>
      <c r="BX99" s="581">
        <f t="shared" si="310"/>
        <v>7.1210000000000004</v>
      </c>
      <c r="BY99" s="581">
        <f t="shared" si="310"/>
        <v>5.4878</v>
      </c>
      <c r="BZ99" s="621">
        <f t="shared" si="310"/>
        <v>1.6332</v>
      </c>
      <c r="CA99" s="855">
        <f t="shared" si="310"/>
        <v>0</v>
      </c>
      <c r="CB99" s="856">
        <f t="shared" si="310"/>
        <v>0</v>
      </c>
      <c r="CC99" s="856">
        <f t="shared" si="310"/>
        <v>0</v>
      </c>
      <c r="CD99" s="856">
        <f t="shared" si="310"/>
        <v>0</v>
      </c>
      <c r="CE99" s="856">
        <f t="shared" si="310"/>
        <v>0</v>
      </c>
      <c r="CF99" s="857">
        <f t="shared" si="310"/>
        <v>0</v>
      </c>
    </row>
    <row r="100" spans="1:84" ht="13.5" thickBot="1" x14ac:dyDescent="0.25">
      <c r="A100" s="161"/>
      <c r="B100" s="30"/>
      <c r="C100" s="30"/>
      <c r="D100" s="30"/>
      <c r="E100" s="85" t="s">
        <v>754</v>
      </c>
      <c r="F100" s="30"/>
      <c r="G100" s="162"/>
      <c r="H100" s="688"/>
      <c r="I100" s="463">
        <f t="shared" ref="I100:BU100" si="311">I15+I17+I23+I28+I30+I37+I44+I48+I54+I61+I65+I71+I75+I81+I85+I92+I99</f>
        <v>237985983</v>
      </c>
      <c r="J100" s="464">
        <f t="shared" si="311"/>
        <v>174846836</v>
      </c>
      <c r="K100" s="464">
        <f t="shared" si="311"/>
        <v>154095845</v>
      </c>
      <c r="L100" s="464">
        <f t="shared" si="311"/>
        <v>20750991</v>
      </c>
      <c r="M100" s="464">
        <f t="shared" si="311"/>
        <v>0</v>
      </c>
      <c r="N100" s="464">
        <f t="shared" si="311"/>
        <v>0</v>
      </c>
      <c r="O100" s="464">
        <f t="shared" si="311"/>
        <v>0</v>
      </c>
      <c r="P100" s="464">
        <f t="shared" si="311"/>
        <v>59098229</v>
      </c>
      <c r="Q100" s="464">
        <f t="shared" si="311"/>
        <v>1748467</v>
      </c>
      <c r="R100" s="464">
        <f t="shared" si="311"/>
        <v>2292451</v>
      </c>
      <c r="S100" s="465">
        <f t="shared" si="311"/>
        <v>310.30059999999997</v>
      </c>
      <c r="T100" s="465">
        <f t="shared" si="311"/>
        <v>247.3844</v>
      </c>
      <c r="U100" s="466">
        <f t="shared" si="311"/>
        <v>62.916200000000003</v>
      </c>
      <c r="V100" s="467">
        <f t="shared" si="311"/>
        <v>-396800</v>
      </c>
      <c r="W100" s="467">
        <f t="shared" si="311"/>
        <v>-359210</v>
      </c>
      <c r="X100" s="467">
        <f t="shared" si="311"/>
        <v>23833458</v>
      </c>
      <c r="Y100" s="467">
        <f t="shared" si="311"/>
        <v>0</v>
      </c>
      <c r="Z100" s="467">
        <f t="shared" si="311"/>
        <v>0</v>
      </c>
      <c r="AA100" s="467">
        <f t="shared" si="311"/>
        <v>39720</v>
      </c>
      <c r="AB100" s="770">
        <f t="shared" si="311"/>
        <v>1297200</v>
      </c>
      <c r="AC100" s="467">
        <f t="shared" si="311"/>
        <v>0</v>
      </c>
      <c r="AD100" s="467">
        <f t="shared" si="311"/>
        <v>0</v>
      </c>
      <c r="AE100" s="467">
        <f t="shared" si="311"/>
        <v>0</v>
      </c>
      <c r="AF100" s="467">
        <f t="shared" si="311"/>
        <v>24773578</v>
      </c>
      <c r="AG100" s="467">
        <f t="shared" si="311"/>
        <v>-359210</v>
      </c>
      <c r="AH100" s="467">
        <f t="shared" si="311"/>
        <v>24414368</v>
      </c>
      <c r="AI100" s="467">
        <f t="shared" si="311"/>
        <v>396800</v>
      </c>
      <c r="AJ100" s="467">
        <f t="shared" si="311"/>
        <v>359210</v>
      </c>
      <c r="AK100" s="770">
        <f t="shared" ref="AK100" si="312">AK15+AK17+AK23+AK28+AK30+AK37+AK44+AK48+AK54+AK61+AK65+AK71+AK75+AK81+AK85+AK92+AK99</f>
        <v>112800</v>
      </c>
      <c r="AL100" s="467">
        <f t="shared" si="311"/>
        <v>27840</v>
      </c>
      <c r="AM100" s="467">
        <f t="shared" si="311"/>
        <v>0</v>
      </c>
      <c r="AN100" s="467">
        <f t="shared" si="311"/>
        <v>0</v>
      </c>
      <c r="AO100" s="467">
        <f t="shared" si="311"/>
        <v>537440</v>
      </c>
      <c r="AP100" s="467">
        <f t="shared" si="311"/>
        <v>359210</v>
      </c>
      <c r="AQ100" s="467">
        <f t="shared" si="311"/>
        <v>896650</v>
      </c>
      <c r="AR100" s="467">
        <f t="shared" si="311"/>
        <v>25311018</v>
      </c>
      <c r="AS100" s="467">
        <f t="shared" si="311"/>
        <v>0</v>
      </c>
      <c r="AT100" s="467">
        <f t="shared" si="311"/>
        <v>25311018</v>
      </c>
      <c r="AU100" s="467">
        <f t="shared" si="311"/>
        <v>8555126</v>
      </c>
      <c r="AV100" s="467">
        <f t="shared" si="311"/>
        <v>244144</v>
      </c>
      <c r="AW100" s="467">
        <f t="shared" si="311"/>
        <v>5000</v>
      </c>
      <c r="AX100" s="467">
        <f t="shared" si="311"/>
        <v>0</v>
      </c>
      <c r="AY100" s="467">
        <f t="shared" si="311"/>
        <v>5000</v>
      </c>
      <c r="AZ100" s="467">
        <f t="shared" si="311"/>
        <v>34115288</v>
      </c>
      <c r="BA100" s="636">
        <f t="shared" si="311"/>
        <v>-0.23</v>
      </c>
      <c r="BB100" s="636">
        <f t="shared" si="311"/>
        <v>-0.9900000000000001</v>
      </c>
      <c r="BC100" s="636">
        <f t="shared" si="311"/>
        <v>63.67</v>
      </c>
      <c r="BD100" s="636">
        <f t="shared" si="311"/>
        <v>2.2999999999999998</v>
      </c>
      <c r="BE100" s="636">
        <f t="shared" si="311"/>
        <v>0</v>
      </c>
      <c r="BF100" s="636">
        <f t="shared" si="311"/>
        <v>0</v>
      </c>
      <c r="BG100" s="636">
        <f t="shared" si="311"/>
        <v>0</v>
      </c>
      <c r="BH100" s="636">
        <f t="shared" si="311"/>
        <v>0.05</v>
      </c>
      <c r="BI100" s="636">
        <f t="shared" si="311"/>
        <v>0</v>
      </c>
      <c r="BJ100" s="636">
        <f t="shared" si="311"/>
        <v>0</v>
      </c>
      <c r="BK100" s="636">
        <f t="shared" si="311"/>
        <v>65.790000000000006</v>
      </c>
      <c r="BL100" s="636">
        <f t="shared" si="311"/>
        <v>-0.9900000000000001</v>
      </c>
      <c r="BM100" s="637">
        <f t="shared" si="311"/>
        <v>64.800000000000011</v>
      </c>
      <c r="BN100" s="463">
        <f t="shared" si="311"/>
        <v>272101271</v>
      </c>
      <c r="BO100" s="467">
        <f t="shared" si="311"/>
        <v>199261204</v>
      </c>
      <c r="BP100" s="467">
        <f t="shared" si="311"/>
        <v>178869423</v>
      </c>
      <c r="BQ100" s="467">
        <f t="shared" si="311"/>
        <v>20391781</v>
      </c>
      <c r="BR100" s="467">
        <f t="shared" si="311"/>
        <v>896650</v>
      </c>
      <c r="BS100" s="467">
        <f t="shared" si="311"/>
        <v>537440</v>
      </c>
      <c r="BT100" s="467">
        <f t="shared" si="311"/>
        <v>359210</v>
      </c>
      <c r="BU100" s="467">
        <f t="shared" si="311"/>
        <v>67653355</v>
      </c>
      <c r="BV100" s="467">
        <f t="shared" ref="BV100:CF100" si="313">BV15+BV17+BV23+BV28+BV30+BV37+BV44+BV48+BV54+BV61+BV65+BV71+BV75+BV81+BV85+BV92+BV99</f>
        <v>1992611</v>
      </c>
      <c r="BW100" s="467">
        <f t="shared" si="313"/>
        <v>2297451</v>
      </c>
      <c r="BX100" s="636">
        <f t="shared" si="313"/>
        <v>375.10060000000004</v>
      </c>
      <c r="BY100" s="636">
        <f t="shared" si="313"/>
        <v>313.17439999999999</v>
      </c>
      <c r="BZ100" s="637">
        <f t="shared" si="313"/>
        <v>61.926200000000009</v>
      </c>
      <c r="CA100" s="858">
        <f t="shared" si="313"/>
        <v>1899552</v>
      </c>
      <c r="CB100" s="859">
        <f t="shared" si="313"/>
        <v>1297200</v>
      </c>
      <c r="CC100" s="859">
        <f t="shared" si="313"/>
        <v>112800</v>
      </c>
      <c r="CD100" s="859">
        <f t="shared" si="313"/>
        <v>476580</v>
      </c>
      <c r="CE100" s="859">
        <f t="shared" si="313"/>
        <v>12972</v>
      </c>
      <c r="CF100" s="860">
        <f t="shared" si="313"/>
        <v>2.2999999999999998</v>
      </c>
    </row>
    <row r="101" spans="1:84" x14ac:dyDescent="0.2">
      <c r="D101" s="9"/>
      <c r="E101" s="5"/>
      <c r="F101" s="9"/>
      <c r="G101" s="20"/>
      <c r="H101" s="5"/>
      <c r="I101" s="432">
        <f>J100+M100+P100+Q100+R100</f>
        <v>237985983</v>
      </c>
      <c r="J101" s="432">
        <f>SUM(K100:L100)</f>
        <v>174846836</v>
      </c>
      <c r="K101" s="432"/>
      <c r="L101" s="432"/>
      <c r="M101" s="432">
        <f>SUM(N100:O100)</f>
        <v>0</v>
      </c>
      <c r="N101" s="432"/>
      <c r="O101" s="432"/>
      <c r="P101" s="432"/>
      <c r="Q101" s="432"/>
      <c r="R101" s="432"/>
      <c r="S101" s="433">
        <f>SUM(T100:U100)</f>
        <v>310.30060000000003</v>
      </c>
      <c r="T101" s="433"/>
      <c r="U101" s="433"/>
      <c r="V101" s="432">
        <f>AI100</f>
        <v>396800</v>
      </c>
      <c r="W101" s="432">
        <f>AJ100</f>
        <v>359210</v>
      </c>
      <c r="X101" s="433"/>
      <c r="Y101" s="432"/>
      <c r="Z101" s="432"/>
      <c r="AA101" s="433"/>
      <c r="AB101" s="433"/>
      <c r="AC101" s="433"/>
      <c r="AD101" s="433"/>
      <c r="AE101" s="433"/>
      <c r="AF101" s="434"/>
      <c r="AG101" s="434"/>
      <c r="AH101" s="434">
        <f>SUM(AF100:AG100)</f>
        <v>24414368</v>
      </c>
      <c r="AI101" s="434">
        <f>V100</f>
        <v>-396800</v>
      </c>
      <c r="AJ101" s="434">
        <f>W100</f>
        <v>-359210</v>
      </c>
      <c r="AK101" s="434"/>
      <c r="AL101" s="435"/>
      <c r="AM101" s="435"/>
      <c r="AN101" s="435"/>
      <c r="AO101" s="434"/>
      <c r="AP101" s="434"/>
      <c r="AQ101" s="434">
        <f>SUM(AO100:AP100)</f>
        <v>896650</v>
      </c>
      <c r="AR101" s="434"/>
      <c r="AS101" s="434"/>
      <c r="AT101" s="434">
        <f>SUM(AR100:AS100)</f>
        <v>25311018</v>
      </c>
      <c r="AU101" s="436"/>
      <c r="AV101" s="436"/>
      <c r="AW101" s="435"/>
      <c r="AX101" s="435"/>
      <c r="AY101" s="434">
        <f>SUM(AW100:AX100)</f>
        <v>5000</v>
      </c>
      <c r="AZ101" s="434">
        <f>AH100+AQ100+AU100+AV100+AY100</f>
        <v>34115288</v>
      </c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525">
        <f>BA100+BC100+BD100+BF100+BH100+BI100</f>
        <v>65.790000000000006</v>
      </c>
      <c r="BL101" s="525">
        <f>BB100+BE100+BG100+BJ100</f>
        <v>-0.9900000000000001</v>
      </c>
      <c r="BM101" s="525">
        <f>SUM(BK100:BL100)</f>
        <v>64.800000000000011</v>
      </c>
      <c r="BN101" s="432">
        <f>BO100+BR100+BU100+BV100+BW100</f>
        <v>272101271</v>
      </c>
      <c r="BO101" s="432">
        <f>SUM(BP100:BQ100)</f>
        <v>199261204</v>
      </c>
      <c r="BP101" s="435">
        <f>K100+AF100</f>
        <v>178869423</v>
      </c>
      <c r="BQ101" s="435">
        <f>L100+AG100</f>
        <v>20391781</v>
      </c>
      <c r="BR101" s="86">
        <f>SUM(BS100:BT100)</f>
        <v>896650</v>
      </c>
      <c r="BS101" s="435">
        <f>N100+AO100</f>
        <v>537440</v>
      </c>
      <c r="BT101" s="435">
        <f>O100+AP100</f>
        <v>359210</v>
      </c>
      <c r="BU101" s="435">
        <f>P100+AU100</f>
        <v>67653355</v>
      </c>
      <c r="BV101" s="435">
        <f>Q100+AV100</f>
        <v>1992611</v>
      </c>
      <c r="BW101" s="435">
        <f>R100+AY100</f>
        <v>2297451</v>
      </c>
      <c r="BX101" s="433">
        <f>SUM(BY100:BZ100)</f>
        <v>375.10059999999999</v>
      </c>
      <c r="BY101" s="437">
        <f>T100+BK100</f>
        <v>313.17439999999999</v>
      </c>
      <c r="BZ101" s="437">
        <f>U100+BL100</f>
        <v>61.926200000000001</v>
      </c>
      <c r="CA101" s="236">
        <f>SUM(CB100:CE100)</f>
        <v>1899552</v>
      </c>
    </row>
    <row r="102" spans="1:84" ht="13.5" thickBot="1" x14ac:dyDescent="0.25">
      <c r="D102" s="9"/>
      <c r="E102" s="5"/>
      <c r="F102" s="9"/>
      <c r="G102" s="20"/>
      <c r="H102" s="5"/>
      <c r="I102" s="432">
        <f>J103+M103+P103+Q103+R103</f>
        <v>237985983</v>
      </c>
      <c r="J102" s="432">
        <f>SUM(K103:L103)</f>
        <v>174846836</v>
      </c>
      <c r="K102" s="432"/>
      <c r="L102" s="432"/>
      <c r="M102" s="432">
        <f>SUM(N103:O103)</f>
        <v>0</v>
      </c>
      <c r="N102" s="432"/>
      <c r="O102" s="432"/>
      <c r="P102" s="432"/>
      <c r="Q102" s="432"/>
      <c r="R102" s="432"/>
      <c r="S102" s="433">
        <f>SUM(T103:U103)</f>
        <v>310.30059999999997</v>
      </c>
      <c r="T102" s="433"/>
      <c r="U102" s="433"/>
      <c r="V102" s="432">
        <f>AI103</f>
        <v>396800</v>
      </c>
      <c r="W102" s="432">
        <f>AJ103</f>
        <v>359210</v>
      </c>
      <c r="X102" s="433"/>
      <c r="Y102" s="432"/>
      <c r="Z102" s="432"/>
      <c r="AA102" s="433"/>
      <c r="AB102" s="433"/>
      <c r="AC102" s="433"/>
      <c r="AD102" s="433"/>
      <c r="AE102" s="433"/>
      <c r="AF102" s="434"/>
      <c r="AG102" s="434"/>
      <c r="AH102" s="434">
        <f>SUM(AF103:AG103)</f>
        <v>24414368</v>
      </c>
      <c r="AI102" s="434"/>
      <c r="AJ102" s="434"/>
      <c r="AK102" s="434"/>
      <c r="AL102" s="435"/>
      <c r="AM102" s="435"/>
      <c r="AN102" s="435"/>
      <c r="AO102" s="434"/>
      <c r="AP102" s="434"/>
      <c r="AQ102" s="434">
        <f>SUM(AO103:AP103)</f>
        <v>896650</v>
      </c>
      <c r="AR102" s="434"/>
      <c r="AS102" s="434"/>
      <c r="AT102" s="434">
        <f>SUM(AR103:AS103)</f>
        <v>25311018</v>
      </c>
      <c r="AU102" s="436"/>
      <c r="AV102" s="436"/>
      <c r="AW102" s="435"/>
      <c r="AX102" s="435"/>
      <c r="AY102" s="434">
        <f>SUM(AW103:AX103)</f>
        <v>5000</v>
      </c>
      <c r="AZ102" s="434">
        <f>AH103+AQ103+AU103+AV103+AY103</f>
        <v>34115288</v>
      </c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525">
        <f>BA103+BC103+BD103+BF103+BH103+BI103</f>
        <v>65.790000000000006</v>
      </c>
      <c r="BL102" s="525">
        <f>BB103+BE103+BG103+BJ103</f>
        <v>-0.99</v>
      </c>
      <c r="BM102" s="525">
        <f>SUM(BK103:BL103)</f>
        <v>64.8</v>
      </c>
      <c r="BN102" s="432">
        <f>BO103+BR103+BU103+BV103+BW103</f>
        <v>272101271</v>
      </c>
      <c r="BO102" s="432">
        <f>SUM(BP103:BQ103)</f>
        <v>199261204</v>
      </c>
      <c r="BP102" s="53"/>
      <c r="BQ102" s="53"/>
      <c r="BR102" s="86">
        <f>SUM(BS103:BT103)</f>
        <v>896650</v>
      </c>
      <c r="BS102" s="53"/>
      <c r="BT102" s="53"/>
      <c r="BU102" s="53"/>
      <c r="BV102" s="53"/>
      <c r="BW102" s="53"/>
      <c r="BX102" s="433">
        <f>SUM(BY103:BZ103)</f>
        <v>375.10060000000004</v>
      </c>
      <c r="BY102" s="87"/>
      <c r="BZ102" s="87"/>
      <c r="CA102" s="236">
        <f>SUM(CB103:CE103)</f>
        <v>1899552</v>
      </c>
    </row>
    <row r="103" spans="1:84" ht="13.5" thickBot="1" x14ac:dyDescent="0.25">
      <c r="D103" s="9"/>
      <c r="E103" s="5"/>
      <c r="F103" s="9"/>
      <c r="G103" s="20"/>
      <c r="H103" s="486" t="s">
        <v>0</v>
      </c>
      <c r="I103" s="139">
        <f t="shared" ref="I103:BU103" si="314">SUM(I104:I113)</f>
        <v>237985983</v>
      </c>
      <c r="J103" s="34">
        <f t="shared" si="314"/>
        <v>174846836</v>
      </c>
      <c r="K103" s="34">
        <f t="shared" si="314"/>
        <v>154095845</v>
      </c>
      <c r="L103" s="34">
        <f t="shared" si="314"/>
        <v>20750991</v>
      </c>
      <c r="M103" s="34">
        <f t="shared" si="314"/>
        <v>0</v>
      </c>
      <c r="N103" s="34">
        <f t="shared" si="314"/>
        <v>0</v>
      </c>
      <c r="O103" s="34">
        <f t="shared" si="314"/>
        <v>0</v>
      </c>
      <c r="P103" s="34">
        <f t="shared" si="314"/>
        <v>59098229</v>
      </c>
      <c r="Q103" s="34">
        <f t="shared" si="314"/>
        <v>1748467</v>
      </c>
      <c r="R103" s="34">
        <f t="shared" si="314"/>
        <v>2292451</v>
      </c>
      <c r="S103" s="35">
        <f t="shared" si="314"/>
        <v>310.30059999999997</v>
      </c>
      <c r="T103" s="35">
        <f t="shared" si="314"/>
        <v>247.38439999999997</v>
      </c>
      <c r="U103" s="36">
        <f t="shared" si="314"/>
        <v>62.916199999999996</v>
      </c>
      <c r="V103" s="149">
        <f t="shared" si="314"/>
        <v>-396800</v>
      </c>
      <c r="W103" s="34">
        <f t="shared" si="314"/>
        <v>-359210</v>
      </c>
      <c r="X103" s="34">
        <f t="shared" si="314"/>
        <v>23833458</v>
      </c>
      <c r="Y103" s="34">
        <f t="shared" si="314"/>
        <v>0</v>
      </c>
      <c r="Z103" s="34">
        <f t="shared" si="314"/>
        <v>0</v>
      </c>
      <c r="AA103" s="34">
        <f t="shared" si="314"/>
        <v>39720</v>
      </c>
      <c r="AB103" s="768">
        <f t="shared" si="314"/>
        <v>1297200</v>
      </c>
      <c r="AC103" s="34">
        <f t="shared" si="314"/>
        <v>0</v>
      </c>
      <c r="AD103" s="34">
        <f t="shared" si="314"/>
        <v>0</v>
      </c>
      <c r="AE103" s="34">
        <f t="shared" si="314"/>
        <v>0</v>
      </c>
      <c r="AF103" s="34">
        <f t="shared" si="314"/>
        <v>24773578</v>
      </c>
      <c r="AG103" s="34">
        <f t="shared" si="314"/>
        <v>-359210</v>
      </c>
      <c r="AH103" s="34">
        <f t="shared" si="314"/>
        <v>24414368</v>
      </c>
      <c r="AI103" s="34">
        <f t="shared" si="314"/>
        <v>396800</v>
      </c>
      <c r="AJ103" s="34">
        <f t="shared" si="314"/>
        <v>359210</v>
      </c>
      <c r="AK103" s="768">
        <f t="shared" ref="AK103" si="315">SUM(AK104:AK113)</f>
        <v>112800</v>
      </c>
      <c r="AL103" s="34">
        <f t="shared" si="314"/>
        <v>27840</v>
      </c>
      <c r="AM103" s="34">
        <f t="shared" si="314"/>
        <v>0</v>
      </c>
      <c r="AN103" s="34">
        <f t="shared" si="314"/>
        <v>0</v>
      </c>
      <c r="AO103" s="34">
        <f t="shared" si="314"/>
        <v>537440</v>
      </c>
      <c r="AP103" s="34">
        <f t="shared" si="314"/>
        <v>359210</v>
      </c>
      <c r="AQ103" s="34">
        <f t="shared" si="314"/>
        <v>896650</v>
      </c>
      <c r="AR103" s="34">
        <f t="shared" si="314"/>
        <v>25311018</v>
      </c>
      <c r="AS103" s="34">
        <f t="shared" si="314"/>
        <v>0</v>
      </c>
      <c r="AT103" s="34">
        <f t="shared" si="314"/>
        <v>25311018</v>
      </c>
      <c r="AU103" s="34">
        <f t="shared" si="314"/>
        <v>8555126</v>
      </c>
      <c r="AV103" s="34">
        <f t="shared" si="314"/>
        <v>244144</v>
      </c>
      <c r="AW103" s="34">
        <f t="shared" si="314"/>
        <v>5000</v>
      </c>
      <c r="AX103" s="34">
        <f t="shared" si="314"/>
        <v>0</v>
      </c>
      <c r="AY103" s="34">
        <f t="shared" si="314"/>
        <v>5000</v>
      </c>
      <c r="AZ103" s="34">
        <f t="shared" si="314"/>
        <v>34115288</v>
      </c>
      <c r="BA103" s="35">
        <f t="shared" si="314"/>
        <v>-0.23</v>
      </c>
      <c r="BB103" s="35">
        <f t="shared" si="314"/>
        <v>-0.99</v>
      </c>
      <c r="BC103" s="35">
        <f t="shared" si="314"/>
        <v>63.67</v>
      </c>
      <c r="BD103" s="35">
        <f t="shared" si="314"/>
        <v>2.2999999999999998</v>
      </c>
      <c r="BE103" s="35">
        <f t="shared" si="314"/>
        <v>0</v>
      </c>
      <c r="BF103" s="35">
        <f t="shared" si="314"/>
        <v>0</v>
      </c>
      <c r="BG103" s="35">
        <f t="shared" si="314"/>
        <v>0</v>
      </c>
      <c r="BH103" s="35">
        <f t="shared" si="314"/>
        <v>0.05</v>
      </c>
      <c r="BI103" s="35">
        <f t="shared" si="314"/>
        <v>0</v>
      </c>
      <c r="BJ103" s="35">
        <f t="shared" si="314"/>
        <v>0</v>
      </c>
      <c r="BK103" s="35">
        <f t="shared" si="314"/>
        <v>65.789999999999992</v>
      </c>
      <c r="BL103" s="35">
        <f t="shared" si="314"/>
        <v>-0.99</v>
      </c>
      <c r="BM103" s="148">
        <f t="shared" si="314"/>
        <v>64.8</v>
      </c>
      <c r="BN103" s="139">
        <f t="shared" si="314"/>
        <v>272101271</v>
      </c>
      <c r="BO103" s="34">
        <f t="shared" si="314"/>
        <v>199261204</v>
      </c>
      <c r="BP103" s="34">
        <f t="shared" si="314"/>
        <v>178869423</v>
      </c>
      <c r="BQ103" s="34">
        <f t="shared" si="314"/>
        <v>20391781</v>
      </c>
      <c r="BR103" s="34">
        <f t="shared" si="314"/>
        <v>896650</v>
      </c>
      <c r="BS103" s="34">
        <f t="shared" si="314"/>
        <v>537440</v>
      </c>
      <c r="BT103" s="34">
        <f t="shared" si="314"/>
        <v>359210</v>
      </c>
      <c r="BU103" s="34">
        <f t="shared" si="314"/>
        <v>67653355</v>
      </c>
      <c r="BV103" s="34">
        <f t="shared" ref="BV103:BZ103" si="316">SUM(BV104:BV113)</f>
        <v>1992611</v>
      </c>
      <c r="BW103" s="34">
        <f t="shared" si="316"/>
        <v>2297451</v>
      </c>
      <c r="BX103" s="35">
        <f t="shared" si="316"/>
        <v>375.10059999999993</v>
      </c>
      <c r="BY103" s="35">
        <f t="shared" si="316"/>
        <v>313.17440000000005</v>
      </c>
      <c r="BZ103" s="148">
        <f t="shared" si="316"/>
        <v>61.926200000000009</v>
      </c>
      <c r="CA103" s="779">
        <f t="shared" ref="CA103:CF103" si="317">SUM(CA104:CA113)</f>
        <v>1899552</v>
      </c>
      <c r="CB103" s="768">
        <f t="shared" si="317"/>
        <v>1297200</v>
      </c>
      <c r="CC103" s="768">
        <f t="shared" si="317"/>
        <v>112800</v>
      </c>
      <c r="CD103" s="768">
        <f t="shared" si="317"/>
        <v>476580</v>
      </c>
      <c r="CE103" s="768">
        <f t="shared" si="317"/>
        <v>12972</v>
      </c>
      <c r="CF103" s="781">
        <f t="shared" si="317"/>
        <v>2.2999999999999998</v>
      </c>
    </row>
    <row r="104" spans="1:84" x14ac:dyDescent="0.2">
      <c r="D104" s="9"/>
      <c r="E104" s="5"/>
      <c r="F104" s="9"/>
      <c r="G104" s="20"/>
      <c r="H104" s="485">
        <v>3111</v>
      </c>
      <c r="I104" s="503">
        <f t="shared" ref="I104:CA104" si="318">SUMIF($F$12:$F$463,"=3111",I$12:I$463)</f>
        <v>49108099</v>
      </c>
      <c r="J104" s="504">
        <f t="shared" si="318"/>
        <v>36311207</v>
      </c>
      <c r="K104" s="504">
        <f t="shared" si="318"/>
        <v>33241224</v>
      </c>
      <c r="L104" s="504">
        <f t="shared" si="318"/>
        <v>3069983</v>
      </c>
      <c r="M104" s="504">
        <f t="shared" si="318"/>
        <v>0</v>
      </c>
      <c r="N104" s="504">
        <f t="shared" si="318"/>
        <v>0</v>
      </c>
      <c r="O104" s="504">
        <f t="shared" si="318"/>
        <v>0</v>
      </c>
      <c r="P104" s="504">
        <f t="shared" si="318"/>
        <v>12273188</v>
      </c>
      <c r="Q104" s="504">
        <f t="shared" si="318"/>
        <v>363111</v>
      </c>
      <c r="R104" s="504">
        <f t="shared" si="318"/>
        <v>160593</v>
      </c>
      <c r="S104" s="507">
        <f t="shared" si="318"/>
        <v>67.9268</v>
      </c>
      <c r="T104" s="507">
        <f t="shared" si="318"/>
        <v>57.157999999999994</v>
      </c>
      <c r="U104" s="510">
        <f t="shared" si="318"/>
        <v>10.768800000000001</v>
      </c>
      <c r="V104" s="505">
        <f t="shared" si="318"/>
        <v>-128000</v>
      </c>
      <c r="W104" s="504">
        <f t="shared" si="318"/>
        <v>-95530</v>
      </c>
      <c r="X104" s="504">
        <f t="shared" si="318"/>
        <v>3998310</v>
      </c>
      <c r="Y104" s="504">
        <f t="shared" si="318"/>
        <v>0</v>
      </c>
      <c r="Z104" s="504">
        <f t="shared" si="318"/>
        <v>0</v>
      </c>
      <c r="AA104" s="504">
        <f t="shared" si="318"/>
        <v>0</v>
      </c>
      <c r="AB104" s="504">
        <f t="shared" si="318"/>
        <v>0</v>
      </c>
      <c r="AC104" s="504">
        <f t="shared" si="318"/>
        <v>0</v>
      </c>
      <c r="AD104" s="504">
        <f t="shared" si="318"/>
        <v>0</v>
      </c>
      <c r="AE104" s="504">
        <f t="shared" si="318"/>
        <v>0</v>
      </c>
      <c r="AF104" s="504">
        <f t="shared" si="318"/>
        <v>3870310</v>
      </c>
      <c r="AG104" s="504">
        <f t="shared" si="318"/>
        <v>-95530</v>
      </c>
      <c r="AH104" s="504">
        <f t="shared" si="318"/>
        <v>3774780</v>
      </c>
      <c r="AI104" s="504">
        <f t="shared" si="318"/>
        <v>128000</v>
      </c>
      <c r="AJ104" s="504">
        <f t="shared" si="318"/>
        <v>95530</v>
      </c>
      <c r="AK104" s="504">
        <f t="shared" si="318"/>
        <v>0</v>
      </c>
      <c r="AL104" s="504">
        <f t="shared" si="318"/>
        <v>0</v>
      </c>
      <c r="AM104" s="504">
        <f t="shared" si="318"/>
        <v>0</v>
      </c>
      <c r="AN104" s="504">
        <f t="shared" si="318"/>
        <v>0</v>
      </c>
      <c r="AO104" s="504">
        <f t="shared" si="318"/>
        <v>128000</v>
      </c>
      <c r="AP104" s="504">
        <f t="shared" si="318"/>
        <v>95530</v>
      </c>
      <c r="AQ104" s="504">
        <f t="shared" si="318"/>
        <v>223530</v>
      </c>
      <c r="AR104" s="504">
        <f t="shared" si="318"/>
        <v>3998310</v>
      </c>
      <c r="AS104" s="504">
        <f t="shared" si="318"/>
        <v>0</v>
      </c>
      <c r="AT104" s="504">
        <f t="shared" si="318"/>
        <v>3998310</v>
      </c>
      <c r="AU104" s="504">
        <f t="shared" si="318"/>
        <v>1351429</v>
      </c>
      <c r="AV104" s="504">
        <f t="shared" si="318"/>
        <v>37748</v>
      </c>
      <c r="AW104" s="504">
        <f t="shared" si="318"/>
        <v>0</v>
      </c>
      <c r="AX104" s="504">
        <f t="shared" si="318"/>
        <v>0</v>
      </c>
      <c r="AY104" s="504">
        <f t="shared" si="318"/>
        <v>0</v>
      </c>
      <c r="AZ104" s="504">
        <f t="shared" si="318"/>
        <v>5387487</v>
      </c>
      <c r="BA104" s="507">
        <f t="shared" si="318"/>
        <v>0</v>
      </c>
      <c r="BB104" s="507">
        <f t="shared" si="318"/>
        <v>-0.33</v>
      </c>
      <c r="BC104" s="507">
        <f t="shared" si="318"/>
        <v>11.18</v>
      </c>
      <c r="BD104" s="507">
        <f t="shared" si="318"/>
        <v>0</v>
      </c>
      <c r="BE104" s="507">
        <f t="shared" si="318"/>
        <v>0</v>
      </c>
      <c r="BF104" s="507">
        <f t="shared" si="318"/>
        <v>0</v>
      </c>
      <c r="BG104" s="507">
        <f t="shared" si="318"/>
        <v>0</v>
      </c>
      <c r="BH104" s="507">
        <f t="shared" si="318"/>
        <v>0</v>
      </c>
      <c r="BI104" s="507">
        <f t="shared" si="318"/>
        <v>0</v>
      </c>
      <c r="BJ104" s="507">
        <f t="shared" si="318"/>
        <v>0</v>
      </c>
      <c r="BK104" s="507">
        <f t="shared" si="318"/>
        <v>11.180000000000001</v>
      </c>
      <c r="BL104" s="507">
        <f t="shared" si="318"/>
        <v>-0.33</v>
      </c>
      <c r="BM104" s="508">
        <f t="shared" si="318"/>
        <v>10.85</v>
      </c>
      <c r="BN104" s="503">
        <f t="shared" si="318"/>
        <v>54495586</v>
      </c>
      <c r="BO104" s="504">
        <f t="shared" si="318"/>
        <v>40085987</v>
      </c>
      <c r="BP104" s="504">
        <f t="shared" si="318"/>
        <v>37111534</v>
      </c>
      <c r="BQ104" s="504">
        <f t="shared" si="318"/>
        <v>2974453</v>
      </c>
      <c r="BR104" s="504">
        <f t="shared" si="318"/>
        <v>223530</v>
      </c>
      <c r="BS104" s="504">
        <f t="shared" si="318"/>
        <v>128000</v>
      </c>
      <c r="BT104" s="504">
        <f t="shared" si="318"/>
        <v>95530</v>
      </c>
      <c r="BU104" s="504">
        <f t="shared" si="318"/>
        <v>13624617</v>
      </c>
      <c r="BV104" s="504">
        <f t="shared" si="318"/>
        <v>400859</v>
      </c>
      <c r="BW104" s="504">
        <f t="shared" si="318"/>
        <v>160593</v>
      </c>
      <c r="BX104" s="507">
        <f t="shared" si="318"/>
        <v>78.776799999999994</v>
      </c>
      <c r="BY104" s="507">
        <f t="shared" si="318"/>
        <v>68.338000000000008</v>
      </c>
      <c r="BZ104" s="508">
        <f t="shared" si="318"/>
        <v>10.438800000000001</v>
      </c>
      <c r="CA104" s="503">
        <f t="shared" si="318"/>
        <v>0</v>
      </c>
      <c r="CB104" s="504">
        <f t="shared" ref="CB104:CF104" si="319">SUMIF($F$12:$F$463,"=3111",CB$12:CB$463)</f>
        <v>0</v>
      </c>
      <c r="CC104" s="504">
        <f t="shared" si="319"/>
        <v>0</v>
      </c>
      <c r="CD104" s="504">
        <f t="shared" si="319"/>
        <v>0</v>
      </c>
      <c r="CE104" s="504">
        <f t="shared" si="319"/>
        <v>0</v>
      </c>
      <c r="CF104" s="510">
        <f t="shared" si="319"/>
        <v>0</v>
      </c>
    </row>
    <row r="105" spans="1:84" x14ac:dyDescent="0.2">
      <c r="D105" s="9"/>
      <c r="E105" s="5"/>
      <c r="F105" s="9"/>
      <c r="G105" s="20"/>
      <c r="H105" s="19">
        <v>3113</v>
      </c>
      <c r="I105" s="167">
        <f t="shared" ref="I105:CA105" si="320">SUMIF($F$12:$F$463,"=3113",I$12:I$463)</f>
        <v>131195212</v>
      </c>
      <c r="J105" s="16">
        <f t="shared" si="320"/>
        <v>95959243</v>
      </c>
      <c r="K105" s="16">
        <f t="shared" si="320"/>
        <v>88317802</v>
      </c>
      <c r="L105" s="16">
        <f t="shared" si="320"/>
        <v>7641441</v>
      </c>
      <c r="M105" s="16">
        <f t="shared" si="320"/>
        <v>0</v>
      </c>
      <c r="N105" s="16">
        <f t="shared" si="320"/>
        <v>0</v>
      </c>
      <c r="O105" s="16">
        <f t="shared" si="320"/>
        <v>0</v>
      </c>
      <c r="P105" s="16">
        <f t="shared" si="320"/>
        <v>32434226</v>
      </c>
      <c r="Q105" s="16">
        <f t="shared" si="320"/>
        <v>959595</v>
      </c>
      <c r="R105" s="16">
        <f t="shared" si="320"/>
        <v>1842148</v>
      </c>
      <c r="S105" s="13">
        <f t="shared" si="320"/>
        <v>156.9956</v>
      </c>
      <c r="T105" s="13">
        <f t="shared" si="320"/>
        <v>134.8707</v>
      </c>
      <c r="U105" s="17">
        <f t="shared" si="320"/>
        <v>22.124899999999997</v>
      </c>
      <c r="V105" s="168">
        <f t="shared" si="320"/>
        <v>-227200</v>
      </c>
      <c r="W105" s="16">
        <f t="shared" si="320"/>
        <v>-105600</v>
      </c>
      <c r="X105" s="16">
        <f t="shared" si="320"/>
        <v>18176656</v>
      </c>
      <c r="Y105" s="16">
        <f t="shared" si="320"/>
        <v>0</v>
      </c>
      <c r="Z105" s="16">
        <f t="shared" si="320"/>
        <v>0</v>
      </c>
      <c r="AA105" s="16">
        <f t="shared" si="320"/>
        <v>39720</v>
      </c>
      <c r="AB105" s="16">
        <f t="shared" si="320"/>
        <v>1297200</v>
      </c>
      <c r="AC105" s="16">
        <f t="shared" si="320"/>
        <v>0</v>
      </c>
      <c r="AD105" s="16">
        <f t="shared" si="320"/>
        <v>0</v>
      </c>
      <c r="AE105" s="16">
        <f t="shared" si="320"/>
        <v>0</v>
      </c>
      <c r="AF105" s="16">
        <f t="shared" si="320"/>
        <v>19286376</v>
      </c>
      <c r="AG105" s="16">
        <f t="shared" si="320"/>
        <v>-105600</v>
      </c>
      <c r="AH105" s="16">
        <f t="shared" si="320"/>
        <v>19180776</v>
      </c>
      <c r="AI105" s="16">
        <f t="shared" si="320"/>
        <v>227200</v>
      </c>
      <c r="AJ105" s="16">
        <f t="shared" si="320"/>
        <v>105600</v>
      </c>
      <c r="AK105" s="16">
        <f t="shared" si="320"/>
        <v>0</v>
      </c>
      <c r="AL105" s="16">
        <f t="shared" si="320"/>
        <v>0</v>
      </c>
      <c r="AM105" s="16">
        <f t="shared" si="320"/>
        <v>0</v>
      </c>
      <c r="AN105" s="16">
        <f t="shared" si="320"/>
        <v>0</v>
      </c>
      <c r="AO105" s="16">
        <f t="shared" si="320"/>
        <v>227200</v>
      </c>
      <c r="AP105" s="16">
        <f t="shared" si="320"/>
        <v>105600</v>
      </c>
      <c r="AQ105" s="16">
        <f t="shared" si="320"/>
        <v>332800</v>
      </c>
      <c r="AR105" s="16">
        <f t="shared" si="320"/>
        <v>19513576</v>
      </c>
      <c r="AS105" s="16">
        <f t="shared" si="320"/>
        <v>0</v>
      </c>
      <c r="AT105" s="16">
        <f t="shared" si="320"/>
        <v>19513576</v>
      </c>
      <c r="AU105" s="16">
        <f t="shared" si="320"/>
        <v>6595590</v>
      </c>
      <c r="AV105" s="16">
        <f t="shared" si="320"/>
        <v>191808</v>
      </c>
      <c r="AW105" s="16">
        <f t="shared" si="320"/>
        <v>5000</v>
      </c>
      <c r="AX105" s="16">
        <f t="shared" si="320"/>
        <v>0</v>
      </c>
      <c r="AY105" s="16">
        <f t="shared" si="320"/>
        <v>5000</v>
      </c>
      <c r="AZ105" s="16">
        <f t="shared" si="320"/>
        <v>26305974</v>
      </c>
      <c r="BA105" s="13">
        <f t="shared" si="320"/>
        <v>-0.18</v>
      </c>
      <c r="BB105" s="13">
        <f t="shared" si="320"/>
        <v>-0.21</v>
      </c>
      <c r="BC105" s="13">
        <f t="shared" si="320"/>
        <v>48.1</v>
      </c>
      <c r="BD105" s="13">
        <f t="shared" si="320"/>
        <v>2.2999999999999998</v>
      </c>
      <c r="BE105" s="13">
        <f t="shared" si="320"/>
        <v>0</v>
      </c>
      <c r="BF105" s="13">
        <f t="shared" si="320"/>
        <v>0</v>
      </c>
      <c r="BG105" s="13">
        <f t="shared" si="320"/>
        <v>0</v>
      </c>
      <c r="BH105" s="13">
        <f t="shared" si="320"/>
        <v>0.05</v>
      </c>
      <c r="BI105" s="13">
        <f t="shared" si="320"/>
        <v>0</v>
      </c>
      <c r="BJ105" s="13">
        <f t="shared" si="320"/>
        <v>0</v>
      </c>
      <c r="BK105" s="13">
        <f t="shared" si="320"/>
        <v>50.269999999999996</v>
      </c>
      <c r="BL105" s="13">
        <f t="shared" si="320"/>
        <v>-0.21</v>
      </c>
      <c r="BM105" s="169">
        <f t="shared" si="320"/>
        <v>50.060000000000009</v>
      </c>
      <c r="BN105" s="167">
        <f t="shared" si="320"/>
        <v>157501186</v>
      </c>
      <c r="BO105" s="16">
        <f t="shared" si="320"/>
        <v>115140019</v>
      </c>
      <c r="BP105" s="16">
        <f t="shared" si="320"/>
        <v>107604178</v>
      </c>
      <c r="BQ105" s="16">
        <f t="shared" si="320"/>
        <v>7535841</v>
      </c>
      <c r="BR105" s="16">
        <f t="shared" si="320"/>
        <v>332800</v>
      </c>
      <c r="BS105" s="16">
        <f t="shared" si="320"/>
        <v>227200</v>
      </c>
      <c r="BT105" s="16">
        <f t="shared" si="320"/>
        <v>105600</v>
      </c>
      <c r="BU105" s="16">
        <f t="shared" si="320"/>
        <v>39029816</v>
      </c>
      <c r="BV105" s="16">
        <f t="shared" si="320"/>
        <v>1151403</v>
      </c>
      <c r="BW105" s="16">
        <f t="shared" si="320"/>
        <v>1847148</v>
      </c>
      <c r="BX105" s="13">
        <f t="shared" si="320"/>
        <v>207.05559999999997</v>
      </c>
      <c r="BY105" s="13">
        <f t="shared" si="320"/>
        <v>185.14069999999998</v>
      </c>
      <c r="BZ105" s="169">
        <f t="shared" si="320"/>
        <v>21.914899999999999</v>
      </c>
      <c r="CA105" s="167">
        <f t="shared" si="320"/>
        <v>1748626</v>
      </c>
      <c r="CB105" s="16">
        <f t="shared" ref="CB105:CF105" si="321">SUMIF($F$12:$F$463,"=3113",CB$12:CB$463)</f>
        <v>1297200</v>
      </c>
      <c r="CC105" s="16">
        <f t="shared" si="321"/>
        <v>0</v>
      </c>
      <c r="CD105" s="16">
        <f t="shared" si="321"/>
        <v>438454</v>
      </c>
      <c r="CE105" s="16">
        <f t="shared" si="321"/>
        <v>12972</v>
      </c>
      <c r="CF105" s="17">
        <f t="shared" si="321"/>
        <v>2.2999999999999998</v>
      </c>
    </row>
    <row r="106" spans="1:84" x14ac:dyDescent="0.2">
      <c r="D106" s="9"/>
      <c r="E106" s="5"/>
      <c r="F106" s="9"/>
      <c r="G106" s="20"/>
      <c r="H106" s="19">
        <v>3114</v>
      </c>
      <c r="I106" s="167">
        <f t="shared" ref="I106:CA106" si="322">SUMIF($F$12:$F$463,"=3114",I$12:I$463)</f>
        <v>0</v>
      </c>
      <c r="J106" s="16">
        <f t="shared" si="322"/>
        <v>0</v>
      </c>
      <c r="K106" s="16">
        <f t="shared" si="322"/>
        <v>0</v>
      </c>
      <c r="L106" s="16">
        <f t="shared" si="322"/>
        <v>0</v>
      </c>
      <c r="M106" s="16">
        <f t="shared" si="322"/>
        <v>0</v>
      </c>
      <c r="N106" s="16">
        <f t="shared" si="322"/>
        <v>0</v>
      </c>
      <c r="O106" s="16">
        <f t="shared" si="322"/>
        <v>0</v>
      </c>
      <c r="P106" s="16">
        <f t="shared" si="322"/>
        <v>0</v>
      </c>
      <c r="Q106" s="16">
        <f t="shared" si="322"/>
        <v>0</v>
      </c>
      <c r="R106" s="16">
        <f t="shared" si="322"/>
        <v>0</v>
      </c>
      <c r="S106" s="13">
        <f t="shared" si="322"/>
        <v>0</v>
      </c>
      <c r="T106" s="13">
        <f t="shared" si="322"/>
        <v>0</v>
      </c>
      <c r="U106" s="17">
        <f t="shared" si="322"/>
        <v>0</v>
      </c>
      <c r="V106" s="168">
        <f t="shared" si="322"/>
        <v>0</v>
      </c>
      <c r="W106" s="16">
        <f t="shared" si="322"/>
        <v>0</v>
      </c>
      <c r="X106" s="16">
        <f t="shared" si="322"/>
        <v>0</v>
      </c>
      <c r="Y106" s="16">
        <f t="shared" si="322"/>
        <v>0</v>
      </c>
      <c r="Z106" s="16">
        <f t="shared" si="322"/>
        <v>0</v>
      </c>
      <c r="AA106" s="16">
        <f t="shared" si="322"/>
        <v>0</v>
      </c>
      <c r="AB106" s="16">
        <f t="shared" si="322"/>
        <v>0</v>
      </c>
      <c r="AC106" s="16">
        <f t="shared" si="322"/>
        <v>0</v>
      </c>
      <c r="AD106" s="16">
        <f t="shared" si="322"/>
        <v>0</v>
      </c>
      <c r="AE106" s="16">
        <f t="shared" si="322"/>
        <v>0</v>
      </c>
      <c r="AF106" s="16">
        <f t="shared" si="322"/>
        <v>0</v>
      </c>
      <c r="AG106" s="16">
        <f t="shared" si="322"/>
        <v>0</v>
      </c>
      <c r="AH106" s="16">
        <f t="shared" si="322"/>
        <v>0</v>
      </c>
      <c r="AI106" s="16">
        <f t="shared" si="322"/>
        <v>0</v>
      </c>
      <c r="AJ106" s="16">
        <f t="shared" si="322"/>
        <v>0</v>
      </c>
      <c r="AK106" s="16">
        <f t="shared" si="322"/>
        <v>0</v>
      </c>
      <c r="AL106" s="16">
        <f t="shared" si="322"/>
        <v>0</v>
      </c>
      <c r="AM106" s="16">
        <f t="shared" si="322"/>
        <v>0</v>
      </c>
      <c r="AN106" s="16">
        <f t="shared" si="322"/>
        <v>0</v>
      </c>
      <c r="AO106" s="16">
        <f t="shared" si="322"/>
        <v>0</v>
      </c>
      <c r="AP106" s="16">
        <f t="shared" si="322"/>
        <v>0</v>
      </c>
      <c r="AQ106" s="16">
        <f t="shared" si="322"/>
        <v>0</v>
      </c>
      <c r="AR106" s="16">
        <f t="shared" si="322"/>
        <v>0</v>
      </c>
      <c r="AS106" s="16">
        <f t="shared" si="322"/>
        <v>0</v>
      </c>
      <c r="AT106" s="16">
        <f t="shared" si="322"/>
        <v>0</v>
      </c>
      <c r="AU106" s="16">
        <f t="shared" si="322"/>
        <v>0</v>
      </c>
      <c r="AV106" s="16">
        <f t="shared" si="322"/>
        <v>0</v>
      </c>
      <c r="AW106" s="16">
        <f t="shared" si="322"/>
        <v>0</v>
      </c>
      <c r="AX106" s="16">
        <f t="shared" si="322"/>
        <v>0</v>
      </c>
      <c r="AY106" s="16">
        <f t="shared" si="322"/>
        <v>0</v>
      </c>
      <c r="AZ106" s="16">
        <f t="shared" si="322"/>
        <v>0</v>
      </c>
      <c r="BA106" s="13">
        <f t="shared" si="322"/>
        <v>0</v>
      </c>
      <c r="BB106" s="13">
        <f t="shared" si="322"/>
        <v>0</v>
      </c>
      <c r="BC106" s="13">
        <f t="shared" si="322"/>
        <v>0</v>
      </c>
      <c r="BD106" s="13">
        <f t="shared" si="322"/>
        <v>0</v>
      </c>
      <c r="BE106" s="13">
        <f t="shared" si="322"/>
        <v>0</v>
      </c>
      <c r="BF106" s="13">
        <f t="shared" si="322"/>
        <v>0</v>
      </c>
      <c r="BG106" s="13">
        <f t="shared" si="322"/>
        <v>0</v>
      </c>
      <c r="BH106" s="13">
        <f t="shared" si="322"/>
        <v>0</v>
      </c>
      <c r="BI106" s="13">
        <f t="shared" si="322"/>
        <v>0</v>
      </c>
      <c r="BJ106" s="13">
        <f t="shared" si="322"/>
        <v>0</v>
      </c>
      <c r="BK106" s="13">
        <f t="shared" si="322"/>
        <v>0</v>
      </c>
      <c r="BL106" s="13">
        <f t="shared" si="322"/>
        <v>0</v>
      </c>
      <c r="BM106" s="169">
        <f t="shared" si="322"/>
        <v>0</v>
      </c>
      <c r="BN106" s="167">
        <f t="shared" si="322"/>
        <v>0</v>
      </c>
      <c r="BO106" s="16">
        <f t="shared" si="322"/>
        <v>0</v>
      </c>
      <c r="BP106" s="16">
        <f t="shared" si="322"/>
        <v>0</v>
      </c>
      <c r="BQ106" s="16">
        <f t="shared" si="322"/>
        <v>0</v>
      </c>
      <c r="BR106" s="16">
        <f t="shared" si="322"/>
        <v>0</v>
      </c>
      <c r="BS106" s="16">
        <f t="shared" si="322"/>
        <v>0</v>
      </c>
      <c r="BT106" s="16">
        <f t="shared" si="322"/>
        <v>0</v>
      </c>
      <c r="BU106" s="16">
        <f t="shared" si="322"/>
        <v>0</v>
      </c>
      <c r="BV106" s="16">
        <f t="shared" si="322"/>
        <v>0</v>
      </c>
      <c r="BW106" s="16">
        <f t="shared" si="322"/>
        <v>0</v>
      </c>
      <c r="BX106" s="13">
        <f t="shared" si="322"/>
        <v>0</v>
      </c>
      <c r="BY106" s="13">
        <f t="shared" si="322"/>
        <v>0</v>
      </c>
      <c r="BZ106" s="169">
        <f t="shared" si="322"/>
        <v>0</v>
      </c>
      <c r="CA106" s="167">
        <f t="shared" si="322"/>
        <v>0</v>
      </c>
      <c r="CB106" s="16">
        <f t="shared" ref="CB106:CF106" si="323">SUMIF($F$12:$F$463,"=3114",CB$12:CB$463)</f>
        <v>0</v>
      </c>
      <c r="CC106" s="16">
        <f t="shared" si="323"/>
        <v>0</v>
      </c>
      <c r="CD106" s="16">
        <f t="shared" si="323"/>
        <v>0</v>
      </c>
      <c r="CE106" s="16">
        <f t="shared" si="323"/>
        <v>0</v>
      </c>
      <c r="CF106" s="17">
        <f t="shared" si="323"/>
        <v>0</v>
      </c>
    </row>
    <row r="107" spans="1:84" x14ac:dyDescent="0.2">
      <c r="D107" s="9"/>
      <c r="E107" s="5"/>
      <c r="F107" s="9"/>
      <c r="G107" s="20"/>
      <c r="H107" s="19">
        <v>3117</v>
      </c>
      <c r="I107" s="167">
        <f t="shared" ref="I107:CA107" si="324">SUMIF($F$12:$F$463,"=3117",I$12:I$463)</f>
        <v>13036024</v>
      </c>
      <c r="J107" s="16">
        <f t="shared" si="324"/>
        <v>9523482</v>
      </c>
      <c r="K107" s="16">
        <f t="shared" si="324"/>
        <v>8385816</v>
      </c>
      <c r="L107" s="16">
        <f t="shared" si="324"/>
        <v>1137666</v>
      </c>
      <c r="M107" s="16">
        <f t="shared" si="324"/>
        <v>0</v>
      </c>
      <c r="N107" s="16">
        <f t="shared" si="324"/>
        <v>0</v>
      </c>
      <c r="O107" s="16">
        <f t="shared" si="324"/>
        <v>0</v>
      </c>
      <c r="P107" s="16">
        <f t="shared" si="324"/>
        <v>3218936</v>
      </c>
      <c r="Q107" s="16">
        <f t="shared" si="324"/>
        <v>95235</v>
      </c>
      <c r="R107" s="16">
        <f t="shared" si="324"/>
        <v>198371</v>
      </c>
      <c r="S107" s="13">
        <f t="shared" si="324"/>
        <v>16.135899999999999</v>
      </c>
      <c r="T107" s="13">
        <f t="shared" si="324"/>
        <v>12.957099999999999</v>
      </c>
      <c r="U107" s="17">
        <f t="shared" si="324"/>
        <v>3.1787999999999998</v>
      </c>
      <c r="V107" s="168">
        <f t="shared" si="324"/>
        <v>-6400</v>
      </c>
      <c r="W107" s="16">
        <f t="shared" si="324"/>
        <v>-71680</v>
      </c>
      <c r="X107" s="16">
        <f t="shared" si="324"/>
        <v>1658492</v>
      </c>
      <c r="Y107" s="16">
        <f t="shared" si="324"/>
        <v>0</v>
      </c>
      <c r="Z107" s="16">
        <f t="shared" si="324"/>
        <v>0</v>
      </c>
      <c r="AA107" s="16">
        <f t="shared" si="324"/>
        <v>0</v>
      </c>
      <c r="AB107" s="16">
        <f t="shared" si="324"/>
        <v>0</v>
      </c>
      <c r="AC107" s="16">
        <f t="shared" si="324"/>
        <v>0</v>
      </c>
      <c r="AD107" s="16">
        <f t="shared" si="324"/>
        <v>0</v>
      </c>
      <c r="AE107" s="16">
        <f t="shared" si="324"/>
        <v>0</v>
      </c>
      <c r="AF107" s="16">
        <f t="shared" si="324"/>
        <v>1652092</v>
      </c>
      <c r="AG107" s="16">
        <f t="shared" si="324"/>
        <v>-71680</v>
      </c>
      <c r="AH107" s="16">
        <f t="shared" si="324"/>
        <v>1580412</v>
      </c>
      <c r="AI107" s="16">
        <f t="shared" si="324"/>
        <v>6400</v>
      </c>
      <c r="AJ107" s="16">
        <f t="shared" si="324"/>
        <v>71680</v>
      </c>
      <c r="AK107" s="16">
        <f t="shared" si="324"/>
        <v>112800</v>
      </c>
      <c r="AL107" s="16">
        <f t="shared" si="324"/>
        <v>0</v>
      </c>
      <c r="AM107" s="16">
        <f t="shared" si="324"/>
        <v>0</v>
      </c>
      <c r="AN107" s="16">
        <f t="shared" si="324"/>
        <v>0</v>
      </c>
      <c r="AO107" s="16">
        <f t="shared" si="324"/>
        <v>119200</v>
      </c>
      <c r="AP107" s="16">
        <f t="shared" si="324"/>
        <v>71680</v>
      </c>
      <c r="AQ107" s="16">
        <f t="shared" si="324"/>
        <v>190880</v>
      </c>
      <c r="AR107" s="16">
        <f t="shared" si="324"/>
        <v>1771292</v>
      </c>
      <c r="AS107" s="16">
        <f t="shared" si="324"/>
        <v>0</v>
      </c>
      <c r="AT107" s="16">
        <f t="shared" si="324"/>
        <v>1771292</v>
      </c>
      <c r="AU107" s="16">
        <f t="shared" si="324"/>
        <v>598697</v>
      </c>
      <c r="AV107" s="16">
        <f t="shared" si="324"/>
        <v>15804</v>
      </c>
      <c r="AW107" s="16">
        <f t="shared" si="324"/>
        <v>0</v>
      </c>
      <c r="AX107" s="16">
        <f t="shared" si="324"/>
        <v>0</v>
      </c>
      <c r="AY107" s="16">
        <f t="shared" si="324"/>
        <v>0</v>
      </c>
      <c r="AZ107" s="16">
        <f t="shared" si="324"/>
        <v>2385793</v>
      </c>
      <c r="BA107" s="13">
        <f t="shared" si="324"/>
        <v>-0.01</v>
      </c>
      <c r="BB107" s="13">
        <f t="shared" si="324"/>
        <v>-0.25</v>
      </c>
      <c r="BC107" s="13">
        <f t="shared" si="324"/>
        <v>4.3900000000000006</v>
      </c>
      <c r="BD107" s="13">
        <f t="shared" si="324"/>
        <v>0</v>
      </c>
      <c r="BE107" s="13">
        <f t="shared" si="324"/>
        <v>0</v>
      </c>
      <c r="BF107" s="13">
        <f t="shared" si="324"/>
        <v>0</v>
      </c>
      <c r="BG107" s="13">
        <f t="shared" si="324"/>
        <v>0</v>
      </c>
      <c r="BH107" s="13">
        <f t="shared" si="324"/>
        <v>0</v>
      </c>
      <c r="BI107" s="13">
        <f t="shared" si="324"/>
        <v>0</v>
      </c>
      <c r="BJ107" s="13">
        <f t="shared" si="324"/>
        <v>0</v>
      </c>
      <c r="BK107" s="13">
        <f t="shared" si="324"/>
        <v>4.3800000000000008</v>
      </c>
      <c r="BL107" s="13">
        <f t="shared" si="324"/>
        <v>-0.25</v>
      </c>
      <c r="BM107" s="169">
        <f t="shared" si="324"/>
        <v>4.13</v>
      </c>
      <c r="BN107" s="167">
        <f t="shared" si="324"/>
        <v>15421817</v>
      </c>
      <c r="BO107" s="16">
        <f t="shared" si="324"/>
        <v>11103894</v>
      </c>
      <c r="BP107" s="16">
        <f t="shared" si="324"/>
        <v>10037908</v>
      </c>
      <c r="BQ107" s="16">
        <f t="shared" si="324"/>
        <v>1065986</v>
      </c>
      <c r="BR107" s="16">
        <f t="shared" si="324"/>
        <v>190880</v>
      </c>
      <c r="BS107" s="16">
        <f t="shared" si="324"/>
        <v>119200</v>
      </c>
      <c r="BT107" s="16">
        <f t="shared" si="324"/>
        <v>71680</v>
      </c>
      <c r="BU107" s="16">
        <f t="shared" si="324"/>
        <v>3817633</v>
      </c>
      <c r="BV107" s="16">
        <f t="shared" si="324"/>
        <v>111039</v>
      </c>
      <c r="BW107" s="16">
        <f t="shared" si="324"/>
        <v>198371</v>
      </c>
      <c r="BX107" s="13">
        <f t="shared" si="324"/>
        <v>20.265899999999998</v>
      </c>
      <c r="BY107" s="13">
        <f t="shared" si="324"/>
        <v>17.3371</v>
      </c>
      <c r="BZ107" s="169">
        <f t="shared" si="324"/>
        <v>2.9287999999999998</v>
      </c>
      <c r="CA107" s="167">
        <f t="shared" si="324"/>
        <v>150926</v>
      </c>
      <c r="CB107" s="16">
        <f t="shared" ref="CB107:CF107" si="325">SUMIF($F$12:$F$463,"=3117",CB$12:CB$463)</f>
        <v>0</v>
      </c>
      <c r="CC107" s="16">
        <f t="shared" si="325"/>
        <v>112800</v>
      </c>
      <c r="CD107" s="16">
        <f t="shared" si="325"/>
        <v>38126</v>
      </c>
      <c r="CE107" s="16">
        <f t="shared" si="325"/>
        <v>0</v>
      </c>
      <c r="CF107" s="17">
        <f t="shared" si="325"/>
        <v>0</v>
      </c>
    </row>
    <row r="108" spans="1:84" x14ac:dyDescent="0.2">
      <c r="D108" s="9"/>
      <c r="E108" s="5"/>
      <c r="F108" s="9"/>
      <c r="G108" s="20"/>
      <c r="H108" s="19">
        <v>3122</v>
      </c>
      <c r="I108" s="167">
        <f t="shared" ref="I108:CA108" si="326">SUMIF($F$12:$F$463,"=3122",I$12:I$463)</f>
        <v>0</v>
      </c>
      <c r="J108" s="16">
        <f t="shared" si="326"/>
        <v>0</v>
      </c>
      <c r="K108" s="16">
        <f t="shared" si="326"/>
        <v>0</v>
      </c>
      <c r="L108" s="16">
        <f t="shared" si="326"/>
        <v>0</v>
      </c>
      <c r="M108" s="16">
        <f t="shared" si="326"/>
        <v>0</v>
      </c>
      <c r="N108" s="16">
        <f t="shared" si="326"/>
        <v>0</v>
      </c>
      <c r="O108" s="16">
        <f t="shared" si="326"/>
        <v>0</v>
      </c>
      <c r="P108" s="16">
        <f t="shared" si="326"/>
        <v>0</v>
      </c>
      <c r="Q108" s="16">
        <f t="shared" si="326"/>
        <v>0</v>
      </c>
      <c r="R108" s="16">
        <f t="shared" si="326"/>
        <v>0</v>
      </c>
      <c r="S108" s="13">
        <f t="shared" si="326"/>
        <v>0</v>
      </c>
      <c r="T108" s="13">
        <f t="shared" si="326"/>
        <v>0</v>
      </c>
      <c r="U108" s="17">
        <f t="shared" si="326"/>
        <v>0</v>
      </c>
      <c r="V108" s="168">
        <f t="shared" si="326"/>
        <v>0</v>
      </c>
      <c r="W108" s="16">
        <f t="shared" si="326"/>
        <v>0</v>
      </c>
      <c r="X108" s="16">
        <f t="shared" si="326"/>
        <v>0</v>
      </c>
      <c r="Y108" s="16">
        <f t="shared" si="326"/>
        <v>0</v>
      </c>
      <c r="Z108" s="16">
        <f t="shared" si="326"/>
        <v>0</v>
      </c>
      <c r="AA108" s="16">
        <f t="shared" si="326"/>
        <v>0</v>
      </c>
      <c r="AB108" s="16">
        <f t="shared" si="326"/>
        <v>0</v>
      </c>
      <c r="AC108" s="16">
        <f t="shared" si="326"/>
        <v>0</v>
      </c>
      <c r="AD108" s="16">
        <f t="shared" si="326"/>
        <v>0</v>
      </c>
      <c r="AE108" s="16">
        <f t="shared" si="326"/>
        <v>0</v>
      </c>
      <c r="AF108" s="16">
        <f t="shared" si="326"/>
        <v>0</v>
      </c>
      <c r="AG108" s="16">
        <f t="shared" si="326"/>
        <v>0</v>
      </c>
      <c r="AH108" s="16">
        <f t="shared" si="326"/>
        <v>0</v>
      </c>
      <c r="AI108" s="16">
        <f t="shared" si="326"/>
        <v>0</v>
      </c>
      <c r="AJ108" s="16">
        <f t="shared" si="326"/>
        <v>0</v>
      </c>
      <c r="AK108" s="16">
        <f t="shared" si="326"/>
        <v>0</v>
      </c>
      <c r="AL108" s="16">
        <f t="shared" si="326"/>
        <v>0</v>
      </c>
      <c r="AM108" s="16">
        <f t="shared" si="326"/>
        <v>0</v>
      </c>
      <c r="AN108" s="16">
        <f t="shared" si="326"/>
        <v>0</v>
      </c>
      <c r="AO108" s="16">
        <f t="shared" si="326"/>
        <v>0</v>
      </c>
      <c r="AP108" s="16">
        <f t="shared" si="326"/>
        <v>0</v>
      </c>
      <c r="AQ108" s="16">
        <f t="shared" si="326"/>
        <v>0</v>
      </c>
      <c r="AR108" s="16">
        <f t="shared" si="326"/>
        <v>0</v>
      </c>
      <c r="AS108" s="16">
        <f t="shared" si="326"/>
        <v>0</v>
      </c>
      <c r="AT108" s="16">
        <f t="shared" si="326"/>
        <v>0</v>
      </c>
      <c r="AU108" s="16">
        <f t="shared" si="326"/>
        <v>0</v>
      </c>
      <c r="AV108" s="16">
        <f t="shared" si="326"/>
        <v>0</v>
      </c>
      <c r="AW108" s="16">
        <f t="shared" si="326"/>
        <v>0</v>
      </c>
      <c r="AX108" s="16">
        <f t="shared" si="326"/>
        <v>0</v>
      </c>
      <c r="AY108" s="16">
        <f t="shared" si="326"/>
        <v>0</v>
      </c>
      <c r="AZ108" s="16">
        <f t="shared" si="326"/>
        <v>0</v>
      </c>
      <c r="BA108" s="13">
        <f t="shared" si="326"/>
        <v>0</v>
      </c>
      <c r="BB108" s="13">
        <f t="shared" si="326"/>
        <v>0</v>
      </c>
      <c r="BC108" s="13">
        <f t="shared" si="326"/>
        <v>0</v>
      </c>
      <c r="BD108" s="13">
        <f t="shared" si="326"/>
        <v>0</v>
      </c>
      <c r="BE108" s="13">
        <f t="shared" si="326"/>
        <v>0</v>
      </c>
      <c r="BF108" s="13">
        <f t="shared" si="326"/>
        <v>0</v>
      </c>
      <c r="BG108" s="13">
        <f t="shared" si="326"/>
        <v>0</v>
      </c>
      <c r="BH108" s="13">
        <f t="shared" si="326"/>
        <v>0</v>
      </c>
      <c r="BI108" s="13">
        <f t="shared" si="326"/>
        <v>0</v>
      </c>
      <c r="BJ108" s="13">
        <f t="shared" si="326"/>
        <v>0</v>
      </c>
      <c r="BK108" s="13">
        <f t="shared" si="326"/>
        <v>0</v>
      </c>
      <c r="BL108" s="13">
        <f t="shared" si="326"/>
        <v>0</v>
      </c>
      <c r="BM108" s="169">
        <f t="shared" si="326"/>
        <v>0</v>
      </c>
      <c r="BN108" s="167">
        <f t="shared" si="326"/>
        <v>0</v>
      </c>
      <c r="BO108" s="16">
        <f t="shared" si="326"/>
        <v>0</v>
      </c>
      <c r="BP108" s="16">
        <f t="shared" si="326"/>
        <v>0</v>
      </c>
      <c r="BQ108" s="16">
        <f t="shared" si="326"/>
        <v>0</v>
      </c>
      <c r="BR108" s="16">
        <f t="shared" si="326"/>
        <v>0</v>
      </c>
      <c r="BS108" s="16">
        <f t="shared" si="326"/>
        <v>0</v>
      </c>
      <c r="BT108" s="16">
        <f t="shared" si="326"/>
        <v>0</v>
      </c>
      <c r="BU108" s="16">
        <f t="shared" si="326"/>
        <v>0</v>
      </c>
      <c r="BV108" s="16">
        <f t="shared" si="326"/>
        <v>0</v>
      </c>
      <c r="BW108" s="16">
        <f t="shared" si="326"/>
        <v>0</v>
      </c>
      <c r="BX108" s="13">
        <f t="shared" si="326"/>
        <v>0</v>
      </c>
      <c r="BY108" s="13">
        <f t="shared" si="326"/>
        <v>0</v>
      </c>
      <c r="BZ108" s="169">
        <f t="shared" si="326"/>
        <v>0</v>
      </c>
      <c r="CA108" s="167">
        <f t="shared" si="326"/>
        <v>0</v>
      </c>
      <c r="CB108" s="16">
        <f t="shared" ref="CB108:CF108" si="327">SUMIF($F$12:$F$463,"=3122",CB$12:CB$463)</f>
        <v>0</v>
      </c>
      <c r="CC108" s="16">
        <f t="shared" si="327"/>
        <v>0</v>
      </c>
      <c r="CD108" s="16">
        <f t="shared" si="327"/>
        <v>0</v>
      </c>
      <c r="CE108" s="16">
        <f t="shared" si="327"/>
        <v>0</v>
      </c>
      <c r="CF108" s="17">
        <f t="shared" si="327"/>
        <v>0</v>
      </c>
    </row>
    <row r="109" spans="1:84" x14ac:dyDescent="0.2">
      <c r="D109" s="9"/>
      <c r="E109" s="5"/>
      <c r="F109" s="9"/>
      <c r="G109" s="20"/>
      <c r="H109" s="19">
        <v>3124</v>
      </c>
      <c r="I109" s="167">
        <f t="shared" ref="I109:CA109" si="328">SUMIF($F$12:$F$463,"=3124",I$12:I$463)</f>
        <v>0</v>
      </c>
      <c r="J109" s="16">
        <f t="shared" si="328"/>
        <v>0</v>
      </c>
      <c r="K109" s="16">
        <f t="shared" si="328"/>
        <v>0</v>
      </c>
      <c r="L109" s="16">
        <f t="shared" si="328"/>
        <v>0</v>
      </c>
      <c r="M109" s="16">
        <f t="shared" si="328"/>
        <v>0</v>
      </c>
      <c r="N109" s="16">
        <f t="shared" si="328"/>
        <v>0</v>
      </c>
      <c r="O109" s="16">
        <f t="shared" si="328"/>
        <v>0</v>
      </c>
      <c r="P109" s="16">
        <f t="shared" si="328"/>
        <v>0</v>
      </c>
      <c r="Q109" s="16">
        <f t="shared" si="328"/>
        <v>0</v>
      </c>
      <c r="R109" s="16">
        <f t="shared" si="328"/>
        <v>0</v>
      </c>
      <c r="S109" s="13">
        <f t="shared" si="328"/>
        <v>0</v>
      </c>
      <c r="T109" s="13">
        <f t="shared" si="328"/>
        <v>0</v>
      </c>
      <c r="U109" s="17">
        <f t="shared" si="328"/>
        <v>0</v>
      </c>
      <c r="V109" s="168">
        <f t="shared" si="328"/>
        <v>0</v>
      </c>
      <c r="W109" s="16">
        <f t="shared" si="328"/>
        <v>0</v>
      </c>
      <c r="X109" s="16">
        <f t="shared" si="328"/>
        <v>0</v>
      </c>
      <c r="Y109" s="16">
        <f t="shared" si="328"/>
        <v>0</v>
      </c>
      <c r="Z109" s="16">
        <f t="shared" si="328"/>
        <v>0</v>
      </c>
      <c r="AA109" s="16">
        <f t="shared" si="328"/>
        <v>0</v>
      </c>
      <c r="AB109" s="16">
        <f t="shared" si="328"/>
        <v>0</v>
      </c>
      <c r="AC109" s="16">
        <f t="shared" si="328"/>
        <v>0</v>
      </c>
      <c r="AD109" s="16">
        <f t="shared" si="328"/>
        <v>0</v>
      </c>
      <c r="AE109" s="16">
        <f t="shared" si="328"/>
        <v>0</v>
      </c>
      <c r="AF109" s="16">
        <f t="shared" si="328"/>
        <v>0</v>
      </c>
      <c r="AG109" s="16">
        <f t="shared" si="328"/>
        <v>0</v>
      </c>
      <c r="AH109" s="16">
        <f t="shared" si="328"/>
        <v>0</v>
      </c>
      <c r="AI109" s="16">
        <f t="shared" si="328"/>
        <v>0</v>
      </c>
      <c r="AJ109" s="16">
        <f t="shared" si="328"/>
        <v>0</v>
      </c>
      <c r="AK109" s="16">
        <f t="shared" si="328"/>
        <v>0</v>
      </c>
      <c r="AL109" s="16">
        <f t="shared" si="328"/>
        <v>0</v>
      </c>
      <c r="AM109" s="16">
        <f t="shared" si="328"/>
        <v>0</v>
      </c>
      <c r="AN109" s="16">
        <f t="shared" si="328"/>
        <v>0</v>
      </c>
      <c r="AO109" s="16">
        <f t="shared" si="328"/>
        <v>0</v>
      </c>
      <c r="AP109" s="16">
        <f t="shared" si="328"/>
        <v>0</v>
      </c>
      <c r="AQ109" s="16">
        <f t="shared" si="328"/>
        <v>0</v>
      </c>
      <c r="AR109" s="16">
        <f t="shared" si="328"/>
        <v>0</v>
      </c>
      <c r="AS109" s="16">
        <f t="shared" si="328"/>
        <v>0</v>
      </c>
      <c r="AT109" s="16">
        <f t="shared" si="328"/>
        <v>0</v>
      </c>
      <c r="AU109" s="16">
        <f t="shared" si="328"/>
        <v>0</v>
      </c>
      <c r="AV109" s="16">
        <f t="shared" si="328"/>
        <v>0</v>
      </c>
      <c r="AW109" s="16">
        <f t="shared" si="328"/>
        <v>0</v>
      </c>
      <c r="AX109" s="16">
        <f t="shared" si="328"/>
        <v>0</v>
      </c>
      <c r="AY109" s="16">
        <f t="shared" si="328"/>
        <v>0</v>
      </c>
      <c r="AZ109" s="16">
        <f t="shared" si="328"/>
        <v>0</v>
      </c>
      <c r="BA109" s="13">
        <f t="shared" si="328"/>
        <v>0</v>
      </c>
      <c r="BB109" s="13">
        <f t="shared" si="328"/>
        <v>0</v>
      </c>
      <c r="BC109" s="13">
        <f t="shared" si="328"/>
        <v>0</v>
      </c>
      <c r="BD109" s="13">
        <f t="shared" si="328"/>
        <v>0</v>
      </c>
      <c r="BE109" s="13">
        <f t="shared" si="328"/>
        <v>0</v>
      </c>
      <c r="BF109" s="13">
        <f t="shared" si="328"/>
        <v>0</v>
      </c>
      <c r="BG109" s="13">
        <f t="shared" si="328"/>
        <v>0</v>
      </c>
      <c r="BH109" s="13">
        <f t="shared" si="328"/>
        <v>0</v>
      </c>
      <c r="BI109" s="13">
        <f t="shared" si="328"/>
        <v>0</v>
      </c>
      <c r="BJ109" s="13">
        <f t="shared" si="328"/>
        <v>0</v>
      </c>
      <c r="BK109" s="13">
        <f t="shared" si="328"/>
        <v>0</v>
      </c>
      <c r="BL109" s="13">
        <f t="shared" si="328"/>
        <v>0</v>
      </c>
      <c r="BM109" s="169">
        <f t="shared" si="328"/>
        <v>0</v>
      </c>
      <c r="BN109" s="167">
        <f t="shared" si="328"/>
        <v>0</v>
      </c>
      <c r="BO109" s="16">
        <f t="shared" si="328"/>
        <v>0</v>
      </c>
      <c r="BP109" s="16">
        <f t="shared" si="328"/>
        <v>0</v>
      </c>
      <c r="BQ109" s="16">
        <f t="shared" si="328"/>
        <v>0</v>
      </c>
      <c r="BR109" s="16">
        <f t="shared" si="328"/>
        <v>0</v>
      </c>
      <c r="BS109" s="16">
        <f t="shared" si="328"/>
        <v>0</v>
      </c>
      <c r="BT109" s="16">
        <f t="shared" si="328"/>
        <v>0</v>
      </c>
      <c r="BU109" s="16">
        <f t="shared" si="328"/>
        <v>0</v>
      </c>
      <c r="BV109" s="16">
        <f t="shared" si="328"/>
        <v>0</v>
      </c>
      <c r="BW109" s="16">
        <f t="shared" si="328"/>
        <v>0</v>
      </c>
      <c r="BX109" s="13">
        <f t="shared" si="328"/>
        <v>0</v>
      </c>
      <c r="BY109" s="13">
        <f t="shared" si="328"/>
        <v>0</v>
      </c>
      <c r="BZ109" s="169">
        <f t="shared" si="328"/>
        <v>0</v>
      </c>
      <c r="CA109" s="167">
        <f t="shared" si="328"/>
        <v>0</v>
      </c>
      <c r="CB109" s="16">
        <f t="shared" ref="CB109:CF109" si="329">SUMIF($F$12:$F$463,"=3124",CB$12:CB$463)</f>
        <v>0</v>
      </c>
      <c r="CC109" s="16">
        <f t="shared" si="329"/>
        <v>0</v>
      </c>
      <c r="CD109" s="16">
        <f t="shared" si="329"/>
        <v>0</v>
      </c>
      <c r="CE109" s="16">
        <f t="shared" si="329"/>
        <v>0</v>
      </c>
      <c r="CF109" s="17">
        <f t="shared" si="329"/>
        <v>0</v>
      </c>
    </row>
    <row r="110" spans="1:84" x14ac:dyDescent="0.2">
      <c r="D110" s="9"/>
      <c r="E110" s="5"/>
      <c r="F110" s="9"/>
      <c r="G110" s="20"/>
      <c r="H110" s="19">
        <v>3141</v>
      </c>
      <c r="I110" s="167">
        <f t="shared" ref="I110:CA110" si="330">SUMIF($F$12:$F$463,"=3141",I$12:I$463)</f>
        <v>10704308</v>
      </c>
      <c r="J110" s="16">
        <f t="shared" si="330"/>
        <v>7899074</v>
      </c>
      <c r="K110" s="16">
        <f t="shared" si="330"/>
        <v>0</v>
      </c>
      <c r="L110" s="16">
        <f t="shared" si="330"/>
        <v>7899074</v>
      </c>
      <c r="M110" s="16">
        <f t="shared" si="330"/>
        <v>0</v>
      </c>
      <c r="N110" s="16">
        <f t="shared" si="330"/>
        <v>0</v>
      </c>
      <c r="O110" s="16">
        <f t="shared" si="330"/>
        <v>0</v>
      </c>
      <c r="P110" s="16">
        <f t="shared" si="330"/>
        <v>2669886</v>
      </c>
      <c r="Q110" s="16">
        <f t="shared" si="330"/>
        <v>78990</v>
      </c>
      <c r="R110" s="16">
        <f t="shared" si="330"/>
        <v>56358</v>
      </c>
      <c r="S110" s="13">
        <f t="shared" si="330"/>
        <v>23.689999999999998</v>
      </c>
      <c r="T110" s="13">
        <f t="shared" si="330"/>
        <v>0</v>
      </c>
      <c r="U110" s="17">
        <f t="shared" si="330"/>
        <v>23.689999999999998</v>
      </c>
      <c r="V110" s="168">
        <f t="shared" si="330"/>
        <v>0</v>
      </c>
      <c r="W110" s="16">
        <f t="shared" si="330"/>
        <v>-51200</v>
      </c>
      <c r="X110" s="16">
        <f t="shared" si="330"/>
        <v>0</v>
      </c>
      <c r="Y110" s="16">
        <f t="shared" si="330"/>
        <v>0</v>
      </c>
      <c r="Z110" s="16">
        <f t="shared" si="330"/>
        <v>0</v>
      </c>
      <c r="AA110" s="16">
        <f t="shared" si="330"/>
        <v>0</v>
      </c>
      <c r="AB110" s="16">
        <f t="shared" si="330"/>
        <v>0</v>
      </c>
      <c r="AC110" s="16">
        <f t="shared" si="330"/>
        <v>0</v>
      </c>
      <c r="AD110" s="16">
        <f t="shared" si="330"/>
        <v>0</v>
      </c>
      <c r="AE110" s="16">
        <f t="shared" si="330"/>
        <v>0</v>
      </c>
      <c r="AF110" s="16">
        <f t="shared" si="330"/>
        <v>0</v>
      </c>
      <c r="AG110" s="16">
        <f t="shared" si="330"/>
        <v>-51200</v>
      </c>
      <c r="AH110" s="16">
        <f t="shared" si="330"/>
        <v>-51200</v>
      </c>
      <c r="AI110" s="16">
        <f t="shared" si="330"/>
        <v>0</v>
      </c>
      <c r="AJ110" s="16">
        <f t="shared" si="330"/>
        <v>51200</v>
      </c>
      <c r="AK110" s="16">
        <f t="shared" si="330"/>
        <v>0</v>
      </c>
      <c r="AL110" s="16">
        <f t="shared" si="330"/>
        <v>0</v>
      </c>
      <c r="AM110" s="16">
        <f t="shared" si="330"/>
        <v>0</v>
      </c>
      <c r="AN110" s="16">
        <f t="shared" si="330"/>
        <v>0</v>
      </c>
      <c r="AO110" s="16">
        <f t="shared" si="330"/>
        <v>0</v>
      </c>
      <c r="AP110" s="16">
        <f t="shared" si="330"/>
        <v>51200</v>
      </c>
      <c r="AQ110" s="16">
        <f t="shared" si="330"/>
        <v>51200</v>
      </c>
      <c r="AR110" s="16">
        <f t="shared" si="330"/>
        <v>0</v>
      </c>
      <c r="AS110" s="16">
        <f t="shared" si="330"/>
        <v>0</v>
      </c>
      <c r="AT110" s="16">
        <f t="shared" si="330"/>
        <v>0</v>
      </c>
      <c r="AU110" s="16">
        <f t="shared" si="330"/>
        <v>0</v>
      </c>
      <c r="AV110" s="16">
        <f t="shared" si="330"/>
        <v>-512</v>
      </c>
      <c r="AW110" s="16">
        <f t="shared" si="330"/>
        <v>0</v>
      </c>
      <c r="AX110" s="16">
        <f t="shared" si="330"/>
        <v>0</v>
      </c>
      <c r="AY110" s="16">
        <f t="shared" si="330"/>
        <v>0</v>
      </c>
      <c r="AZ110" s="16">
        <f t="shared" si="330"/>
        <v>-512</v>
      </c>
      <c r="BA110" s="13">
        <f t="shared" si="330"/>
        <v>0</v>
      </c>
      <c r="BB110" s="13">
        <f t="shared" si="330"/>
        <v>-0.09</v>
      </c>
      <c r="BC110" s="13">
        <f t="shared" si="330"/>
        <v>0</v>
      </c>
      <c r="BD110" s="13">
        <f t="shared" si="330"/>
        <v>0</v>
      </c>
      <c r="BE110" s="13">
        <f t="shared" si="330"/>
        <v>0</v>
      </c>
      <c r="BF110" s="13">
        <f t="shared" si="330"/>
        <v>0</v>
      </c>
      <c r="BG110" s="13">
        <f t="shared" si="330"/>
        <v>0</v>
      </c>
      <c r="BH110" s="13">
        <f t="shared" si="330"/>
        <v>0</v>
      </c>
      <c r="BI110" s="13">
        <f t="shared" si="330"/>
        <v>0</v>
      </c>
      <c r="BJ110" s="13">
        <f t="shared" si="330"/>
        <v>0</v>
      </c>
      <c r="BK110" s="13">
        <f t="shared" si="330"/>
        <v>0</v>
      </c>
      <c r="BL110" s="13">
        <f t="shared" si="330"/>
        <v>-0.09</v>
      </c>
      <c r="BM110" s="169">
        <f t="shared" si="330"/>
        <v>-0.09</v>
      </c>
      <c r="BN110" s="167">
        <f t="shared" si="330"/>
        <v>10703796</v>
      </c>
      <c r="BO110" s="16">
        <f t="shared" si="330"/>
        <v>7847874</v>
      </c>
      <c r="BP110" s="16">
        <f t="shared" si="330"/>
        <v>0</v>
      </c>
      <c r="BQ110" s="16">
        <f t="shared" si="330"/>
        <v>7847874</v>
      </c>
      <c r="BR110" s="16">
        <f t="shared" si="330"/>
        <v>51200</v>
      </c>
      <c r="BS110" s="16">
        <f t="shared" si="330"/>
        <v>0</v>
      </c>
      <c r="BT110" s="16">
        <f t="shared" si="330"/>
        <v>51200</v>
      </c>
      <c r="BU110" s="16">
        <f t="shared" si="330"/>
        <v>2669886</v>
      </c>
      <c r="BV110" s="16">
        <f t="shared" si="330"/>
        <v>78478</v>
      </c>
      <c r="BW110" s="16">
        <f t="shared" si="330"/>
        <v>56358</v>
      </c>
      <c r="BX110" s="13">
        <f t="shared" si="330"/>
        <v>23.599999999999998</v>
      </c>
      <c r="BY110" s="13">
        <f t="shared" si="330"/>
        <v>0</v>
      </c>
      <c r="BZ110" s="169">
        <f t="shared" si="330"/>
        <v>23.599999999999998</v>
      </c>
      <c r="CA110" s="167">
        <f t="shared" si="330"/>
        <v>0</v>
      </c>
      <c r="CB110" s="16">
        <f t="shared" ref="CB110:CF110" si="331">SUMIF($F$12:$F$463,"=3141",CB$12:CB$463)</f>
        <v>0</v>
      </c>
      <c r="CC110" s="16">
        <f t="shared" si="331"/>
        <v>0</v>
      </c>
      <c r="CD110" s="16">
        <f t="shared" si="331"/>
        <v>0</v>
      </c>
      <c r="CE110" s="16">
        <f t="shared" si="331"/>
        <v>0</v>
      </c>
      <c r="CF110" s="17">
        <f t="shared" si="331"/>
        <v>0</v>
      </c>
    </row>
    <row r="111" spans="1:84" x14ac:dyDescent="0.2">
      <c r="D111" s="9"/>
      <c r="E111" s="5"/>
      <c r="F111" s="9"/>
      <c r="G111" s="20"/>
      <c r="H111" s="19">
        <v>3143</v>
      </c>
      <c r="I111" s="167">
        <f t="shared" ref="I111:CA111" si="332">SUMIF($F$12:$F$463,"=3143",I$12:I$463)</f>
        <v>13853521</v>
      </c>
      <c r="J111" s="16">
        <f t="shared" si="332"/>
        <v>10269440</v>
      </c>
      <c r="K111" s="16">
        <f t="shared" si="332"/>
        <v>10054940</v>
      </c>
      <c r="L111" s="16">
        <f t="shared" si="332"/>
        <v>214500</v>
      </c>
      <c r="M111" s="16">
        <f t="shared" si="332"/>
        <v>0</v>
      </c>
      <c r="N111" s="16">
        <f t="shared" si="332"/>
        <v>0</v>
      </c>
      <c r="O111" s="16">
        <f t="shared" si="332"/>
        <v>0</v>
      </c>
      <c r="P111" s="16">
        <f t="shared" si="332"/>
        <v>3471069</v>
      </c>
      <c r="Q111" s="16">
        <f t="shared" si="332"/>
        <v>102692</v>
      </c>
      <c r="R111" s="16">
        <f t="shared" si="332"/>
        <v>10320</v>
      </c>
      <c r="S111" s="13">
        <f t="shared" si="332"/>
        <v>20.539899999999992</v>
      </c>
      <c r="T111" s="13">
        <f t="shared" si="332"/>
        <v>19.729899999999997</v>
      </c>
      <c r="U111" s="17">
        <f t="shared" si="332"/>
        <v>0.81</v>
      </c>
      <c r="V111" s="168">
        <f t="shared" si="332"/>
        <v>-22400</v>
      </c>
      <c r="W111" s="16">
        <f t="shared" si="332"/>
        <v>-3200</v>
      </c>
      <c r="X111" s="16">
        <f t="shared" si="332"/>
        <v>0</v>
      </c>
      <c r="Y111" s="16">
        <f t="shared" si="332"/>
        <v>0</v>
      </c>
      <c r="Z111" s="16">
        <f t="shared" si="332"/>
        <v>0</v>
      </c>
      <c r="AA111" s="16">
        <f t="shared" si="332"/>
        <v>0</v>
      </c>
      <c r="AB111" s="16">
        <f t="shared" si="332"/>
        <v>0</v>
      </c>
      <c r="AC111" s="16">
        <f t="shared" si="332"/>
        <v>0</v>
      </c>
      <c r="AD111" s="16">
        <f t="shared" si="332"/>
        <v>0</v>
      </c>
      <c r="AE111" s="16">
        <f t="shared" si="332"/>
        <v>0</v>
      </c>
      <c r="AF111" s="16">
        <f t="shared" si="332"/>
        <v>-22400</v>
      </c>
      <c r="AG111" s="16">
        <f t="shared" si="332"/>
        <v>-3200</v>
      </c>
      <c r="AH111" s="16">
        <f t="shared" si="332"/>
        <v>-25600</v>
      </c>
      <c r="AI111" s="16">
        <f t="shared" si="332"/>
        <v>22400</v>
      </c>
      <c r="AJ111" s="16">
        <f t="shared" si="332"/>
        <v>3200</v>
      </c>
      <c r="AK111" s="16">
        <f t="shared" si="332"/>
        <v>0</v>
      </c>
      <c r="AL111" s="16">
        <f t="shared" si="332"/>
        <v>27840</v>
      </c>
      <c r="AM111" s="16">
        <f t="shared" si="332"/>
        <v>0</v>
      </c>
      <c r="AN111" s="16">
        <f t="shared" si="332"/>
        <v>0</v>
      </c>
      <c r="AO111" s="16">
        <f t="shared" si="332"/>
        <v>50240</v>
      </c>
      <c r="AP111" s="16">
        <f t="shared" si="332"/>
        <v>3200</v>
      </c>
      <c r="AQ111" s="16">
        <f t="shared" si="332"/>
        <v>53440</v>
      </c>
      <c r="AR111" s="16">
        <f t="shared" si="332"/>
        <v>27840</v>
      </c>
      <c r="AS111" s="16">
        <f t="shared" si="332"/>
        <v>0</v>
      </c>
      <c r="AT111" s="16">
        <f t="shared" si="332"/>
        <v>27840</v>
      </c>
      <c r="AU111" s="16">
        <f t="shared" si="332"/>
        <v>9410</v>
      </c>
      <c r="AV111" s="16">
        <f t="shared" si="332"/>
        <v>-256</v>
      </c>
      <c r="AW111" s="16">
        <f t="shared" si="332"/>
        <v>0</v>
      </c>
      <c r="AX111" s="16">
        <f t="shared" si="332"/>
        <v>0</v>
      </c>
      <c r="AY111" s="16">
        <f t="shared" si="332"/>
        <v>0</v>
      </c>
      <c r="AZ111" s="16">
        <f t="shared" si="332"/>
        <v>36994</v>
      </c>
      <c r="BA111" s="13">
        <f t="shared" si="332"/>
        <v>-0.04</v>
      </c>
      <c r="BB111" s="13">
        <f t="shared" si="332"/>
        <v>0</v>
      </c>
      <c r="BC111" s="13">
        <f t="shared" si="332"/>
        <v>0</v>
      </c>
      <c r="BD111" s="13">
        <f t="shared" si="332"/>
        <v>0</v>
      </c>
      <c r="BE111" s="13">
        <f t="shared" si="332"/>
        <v>0</v>
      </c>
      <c r="BF111" s="13">
        <f t="shared" si="332"/>
        <v>0</v>
      </c>
      <c r="BG111" s="13">
        <f t="shared" si="332"/>
        <v>0</v>
      </c>
      <c r="BH111" s="13">
        <f t="shared" si="332"/>
        <v>0</v>
      </c>
      <c r="BI111" s="13">
        <f t="shared" si="332"/>
        <v>0</v>
      </c>
      <c r="BJ111" s="13">
        <f t="shared" si="332"/>
        <v>0</v>
      </c>
      <c r="BK111" s="13">
        <f t="shared" si="332"/>
        <v>-0.04</v>
      </c>
      <c r="BL111" s="13">
        <f t="shared" si="332"/>
        <v>0</v>
      </c>
      <c r="BM111" s="169">
        <f t="shared" si="332"/>
        <v>-0.04</v>
      </c>
      <c r="BN111" s="167">
        <f t="shared" si="332"/>
        <v>13890515</v>
      </c>
      <c r="BO111" s="16">
        <f t="shared" si="332"/>
        <v>10243840</v>
      </c>
      <c r="BP111" s="16">
        <f t="shared" si="332"/>
        <v>10032540</v>
      </c>
      <c r="BQ111" s="16">
        <f t="shared" si="332"/>
        <v>211300</v>
      </c>
      <c r="BR111" s="16">
        <f t="shared" si="332"/>
        <v>53440</v>
      </c>
      <c r="BS111" s="16">
        <f t="shared" si="332"/>
        <v>50240</v>
      </c>
      <c r="BT111" s="16">
        <f t="shared" si="332"/>
        <v>3200</v>
      </c>
      <c r="BU111" s="16">
        <f t="shared" si="332"/>
        <v>3480479</v>
      </c>
      <c r="BV111" s="16">
        <f t="shared" si="332"/>
        <v>102436</v>
      </c>
      <c r="BW111" s="16">
        <f t="shared" si="332"/>
        <v>10320</v>
      </c>
      <c r="BX111" s="13">
        <f t="shared" si="332"/>
        <v>20.499899999999997</v>
      </c>
      <c r="BY111" s="13">
        <f t="shared" si="332"/>
        <v>19.689899999999998</v>
      </c>
      <c r="BZ111" s="169">
        <f t="shared" si="332"/>
        <v>0.81</v>
      </c>
      <c r="CA111" s="167">
        <f t="shared" si="332"/>
        <v>0</v>
      </c>
      <c r="CB111" s="16">
        <f t="shared" ref="CB111:CF111" si="333">SUMIF($F$12:$F$463,"=3143",CB$12:CB$463)</f>
        <v>0</v>
      </c>
      <c r="CC111" s="16">
        <f t="shared" si="333"/>
        <v>0</v>
      </c>
      <c r="CD111" s="16">
        <f t="shared" si="333"/>
        <v>0</v>
      </c>
      <c r="CE111" s="16">
        <f t="shared" si="333"/>
        <v>0</v>
      </c>
      <c r="CF111" s="17">
        <f t="shared" si="333"/>
        <v>0</v>
      </c>
    </row>
    <row r="112" spans="1:84" x14ac:dyDescent="0.2">
      <c r="D112" s="9"/>
      <c r="E112" s="5"/>
      <c r="F112" s="9"/>
      <c r="G112" s="20"/>
      <c r="H112" s="19">
        <v>3231</v>
      </c>
      <c r="I112" s="167">
        <f t="shared" ref="I112:CA112" si="334">SUMIF($F$12:$F$463,"=3231",I$12:I$463)</f>
        <v>17362186</v>
      </c>
      <c r="J112" s="16">
        <f t="shared" si="334"/>
        <v>12863190</v>
      </c>
      <c r="K112" s="16">
        <f t="shared" si="334"/>
        <v>12395019</v>
      </c>
      <c r="L112" s="16">
        <f t="shared" si="334"/>
        <v>468171</v>
      </c>
      <c r="M112" s="16">
        <f t="shared" si="334"/>
        <v>0</v>
      </c>
      <c r="N112" s="16">
        <f t="shared" si="334"/>
        <v>0</v>
      </c>
      <c r="O112" s="16">
        <f t="shared" si="334"/>
        <v>0</v>
      </c>
      <c r="P112" s="16">
        <f t="shared" si="334"/>
        <v>4347758</v>
      </c>
      <c r="Q112" s="16">
        <f t="shared" si="334"/>
        <v>128632</v>
      </c>
      <c r="R112" s="16">
        <f t="shared" si="334"/>
        <v>22606</v>
      </c>
      <c r="S112" s="13">
        <f t="shared" si="334"/>
        <v>20.9024</v>
      </c>
      <c r="T112" s="13">
        <f t="shared" si="334"/>
        <v>19.588699999999999</v>
      </c>
      <c r="U112" s="17">
        <f t="shared" si="334"/>
        <v>1.3137000000000001</v>
      </c>
      <c r="V112" s="168">
        <f t="shared" si="334"/>
        <v>-12800</v>
      </c>
      <c r="W112" s="16">
        <f t="shared" si="334"/>
        <v>-32000</v>
      </c>
      <c r="X112" s="16">
        <f t="shared" si="334"/>
        <v>0</v>
      </c>
      <c r="Y112" s="16">
        <f t="shared" si="334"/>
        <v>0</v>
      </c>
      <c r="Z112" s="16">
        <f t="shared" si="334"/>
        <v>0</v>
      </c>
      <c r="AA112" s="16">
        <f t="shared" si="334"/>
        <v>0</v>
      </c>
      <c r="AB112" s="16">
        <f t="shared" si="334"/>
        <v>0</v>
      </c>
      <c r="AC112" s="16">
        <f t="shared" si="334"/>
        <v>0</v>
      </c>
      <c r="AD112" s="16">
        <f t="shared" si="334"/>
        <v>0</v>
      </c>
      <c r="AE112" s="16">
        <f t="shared" si="334"/>
        <v>0</v>
      </c>
      <c r="AF112" s="16">
        <f t="shared" si="334"/>
        <v>-12800</v>
      </c>
      <c r="AG112" s="16">
        <f t="shared" si="334"/>
        <v>-32000</v>
      </c>
      <c r="AH112" s="16">
        <f t="shared" si="334"/>
        <v>-44800</v>
      </c>
      <c r="AI112" s="16">
        <f t="shared" si="334"/>
        <v>12800</v>
      </c>
      <c r="AJ112" s="16">
        <f t="shared" si="334"/>
        <v>32000</v>
      </c>
      <c r="AK112" s="16">
        <f t="shared" si="334"/>
        <v>0</v>
      </c>
      <c r="AL112" s="16">
        <f t="shared" si="334"/>
        <v>0</v>
      </c>
      <c r="AM112" s="16">
        <f t="shared" si="334"/>
        <v>0</v>
      </c>
      <c r="AN112" s="16">
        <f t="shared" si="334"/>
        <v>0</v>
      </c>
      <c r="AO112" s="16">
        <f t="shared" si="334"/>
        <v>12800</v>
      </c>
      <c r="AP112" s="16">
        <f t="shared" si="334"/>
        <v>32000</v>
      </c>
      <c r="AQ112" s="16">
        <f t="shared" si="334"/>
        <v>44800</v>
      </c>
      <c r="AR112" s="16">
        <f t="shared" si="334"/>
        <v>0</v>
      </c>
      <c r="AS112" s="16">
        <f t="shared" si="334"/>
        <v>0</v>
      </c>
      <c r="AT112" s="16">
        <f t="shared" si="334"/>
        <v>0</v>
      </c>
      <c r="AU112" s="16">
        <f t="shared" si="334"/>
        <v>0</v>
      </c>
      <c r="AV112" s="16">
        <f t="shared" si="334"/>
        <v>-448</v>
      </c>
      <c r="AW112" s="16">
        <f t="shared" si="334"/>
        <v>0</v>
      </c>
      <c r="AX112" s="16">
        <f t="shared" si="334"/>
        <v>0</v>
      </c>
      <c r="AY112" s="16">
        <f t="shared" si="334"/>
        <v>0</v>
      </c>
      <c r="AZ112" s="16">
        <f t="shared" si="334"/>
        <v>-448</v>
      </c>
      <c r="BA112" s="13">
        <f t="shared" si="334"/>
        <v>0</v>
      </c>
      <c r="BB112" s="13">
        <f t="shared" si="334"/>
        <v>-0.11</v>
      </c>
      <c r="BC112" s="13">
        <f t="shared" si="334"/>
        <v>0</v>
      </c>
      <c r="BD112" s="13">
        <f t="shared" si="334"/>
        <v>0</v>
      </c>
      <c r="BE112" s="13">
        <f t="shared" si="334"/>
        <v>0</v>
      </c>
      <c r="BF112" s="13">
        <f t="shared" si="334"/>
        <v>0</v>
      </c>
      <c r="BG112" s="13">
        <f t="shared" si="334"/>
        <v>0</v>
      </c>
      <c r="BH112" s="13">
        <f t="shared" si="334"/>
        <v>0</v>
      </c>
      <c r="BI112" s="13">
        <f t="shared" si="334"/>
        <v>0</v>
      </c>
      <c r="BJ112" s="13">
        <f t="shared" si="334"/>
        <v>0</v>
      </c>
      <c r="BK112" s="13">
        <f t="shared" si="334"/>
        <v>0</v>
      </c>
      <c r="BL112" s="13">
        <f t="shared" si="334"/>
        <v>-0.11</v>
      </c>
      <c r="BM112" s="169">
        <f t="shared" si="334"/>
        <v>-0.11</v>
      </c>
      <c r="BN112" s="167">
        <f t="shared" si="334"/>
        <v>17361738</v>
      </c>
      <c r="BO112" s="16">
        <f t="shared" si="334"/>
        <v>12818390</v>
      </c>
      <c r="BP112" s="16">
        <f t="shared" si="334"/>
        <v>12382219</v>
      </c>
      <c r="BQ112" s="16">
        <f t="shared" si="334"/>
        <v>436171</v>
      </c>
      <c r="BR112" s="16">
        <f t="shared" si="334"/>
        <v>44800</v>
      </c>
      <c r="BS112" s="16">
        <f t="shared" si="334"/>
        <v>12800</v>
      </c>
      <c r="BT112" s="16">
        <f t="shared" si="334"/>
        <v>32000</v>
      </c>
      <c r="BU112" s="16">
        <f t="shared" si="334"/>
        <v>4347758</v>
      </c>
      <c r="BV112" s="16">
        <f t="shared" si="334"/>
        <v>128184</v>
      </c>
      <c r="BW112" s="16">
        <f t="shared" si="334"/>
        <v>22606</v>
      </c>
      <c r="BX112" s="13">
        <f t="shared" si="334"/>
        <v>20.792400000000001</v>
      </c>
      <c r="BY112" s="13">
        <f t="shared" si="334"/>
        <v>19.588699999999999</v>
      </c>
      <c r="BZ112" s="169">
        <f t="shared" si="334"/>
        <v>1.2037</v>
      </c>
      <c r="CA112" s="167">
        <f t="shared" si="334"/>
        <v>0</v>
      </c>
      <c r="CB112" s="16">
        <f t="shared" ref="CB112:CF112" si="335">SUMIF($F$12:$F$463,"=3231",CB$12:CB$463)</f>
        <v>0</v>
      </c>
      <c r="CC112" s="16">
        <f t="shared" si="335"/>
        <v>0</v>
      </c>
      <c r="CD112" s="16">
        <f t="shared" si="335"/>
        <v>0</v>
      </c>
      <c r="CE112" s="16">
        <f t="shared" si="335"/>
        <v>0</v>
      </c>
      <c r="CF112" s="17">
        <f t="shared" si="335"/>
        <v>0</v>
      </c>
    </row>
    <row r="113" spans="4:84" ht="13.5" thickBot="1" x14ac:dyDescent="0.25">
      <c r="D113" s="9"/>
      <c r="E113" s="5"/>
      <c r="F113" s="9"/>
      <c r="G113" s="20"/>
      <c r="H113" s="138">
        <v>3233</v>
      </c>
      <c r="I113" s="170">
        <f t="shared" ref="I113:CA113" si="336">SUMIF($F$12:$F$463,"=3233",I$12:I$463)</f>
        <v>2726633</v>
      </c>
      <c r="J113" s="171">
        <f t="shared" si="336"/>
        <v>2021200</v>
      </c>
      <c r="K113" s="171">
        <f t="shared" si="336"/>
        <v>1701044</v>
      </c>
      <c r="L113" s="171">
        <f t="shared" si="336"/>
        <v>320156</v>
      </c>
      <c r="M113" s="171">
        <f t="shared" si="336"/>
        <v>0</v>
      </c>
      <c r="N113" s="171">
        <f t="shared" si="336"/>
        <v>0</v>
      </c>
      <c r="O113" s="171">
        <f t="shared" si="336"/>
        <v>0</v>
      </c>
      <c r="P113" s="171">
        <f t="shared" si="336"/>
        <v>683166</v>
      </c>
      <c r="Q113" s="171">
        <f t="shared" si="336"/>
        <v>20212</v>
      </c>
      <c r="R113" s="171">
        <f t="shared" si="336"/>
        <v>2055</v>
      </c>
      <c r="S113" s="172">
        <f t="shared" si="336"/>
        <v>4.1100000000000003</v>
      </c>
      <c r="T113" s="172">
        <f t="shared" si="336"/>
        <v>3.08</v>
      </c>
      <c r="U113" s="173">
        <f t="shared" si="336"/>
        <v>1.03</v>
      </c>
      <c r="V113" s="174">
        <f t="shared" si="336"/>
        <v>0</v>
      </c>
      <c r="W113" s="171">
        <f t="shared" si="336"/>
        <v>0</v>
      </c>
      <c r="X113" s="171">
        <f t="shared" si="336"/>
        <v>0</v>
      </c>
      <c r="Y113" s="171">
        <f t="shared" si="336"/>
        <v>0</v>
      </c>
      <c r="Z113" s="171">
        <f t="shared" si="336"/>
        <v>0</v>
      </c>
      <c r="AA113" s="171">
        <f t="shared" si="336"/>
        <v>0</v>
      </c>
      <c r="AB113" s="171">
        <f t="shared" si="336"/>
        <v>0</v>
      </c>
      <c r="AC113" s="171">
        <f t="shared" si="336"/>
        <v>0</v>
      </c>
      <c r="AD113" s="171">
        <f t="shared" si="336"/>
        <v>0</v>
      </c>
      <c r="AE113" s="171">
        <f t="shared" si="336"/>
        <v>0</v>
      </c>
      <c r="AF113" s="171">
        <f t="shared" si="336"/>
        <v>0</v>
      </c>
      <c r="AG113" s="171">
        <f t="shared" si="336"/>
        <v>0</v>
      </c>
      <c r="AH113" s="171">
        <f t="shared" si="336"/>
        <v>0</v>
      </c>
      <c r="AI113" s="171">
        <f t="shared" si="336"/>
        <v>0</v>
      </c>
      <c r="AJ113" s="171">
        <f t="shared" si="336"/>
        <v>0</v>
      </c>
      <c r="AK113" s="171">
        <f t="shared" si="336"/>
        <v>0</v>
      </c>
      <c r="AL113" s="171">
        <f t="shared" si="336"/>
        <v>0</v>
      </c>
      <c r="AM113" s="171">
        <f t="shared" si="336"/>
        <v>0</v>
      </c>
      <c r="AN113" s="171">
        <f t="shared" si="336"/>
        <v>0</v>
      </c>
      <c r="AO113" s="171">
        <f t="shared" si="336"/>
        <v>0</v>
      </c>
      <c r="AP113" s="171">
        <f t="shared" si="336"/>
        <v>0</v>
      </c>
      <c r="AQ113" s="171">
        <f t="shared" si="336"/>
        <v>0</v>
      </c>
      <c r="AR113" s="171">
        <f t="shared" si="336"/>
        <v>0</v>
      </c>
      <c r="AS113" s="171">
        <f t="shared" si="336"/>
        <v>0</v>
      </c>
      <c r="AT113" s="171">
        <f t="shared" si="336"/>
        <v>0</v>
      </c>
      <c r="AU113" s="171">
        <f t="shared" si="336"/>
        <v>0</v>
      </c>
      <c r="AV113" s="171">
        <f t="shared" si="336"/>
        <v>0</v>
      </c>
      <c r="AW113" s="171">
        <f t="shared" si="336"/>
        <v>0</v>
      </c>
      <c r="AX113" s="171">
        <f t="shared" si="336"/>
        <v>0</v>
      </c>
      <c r="AY113" s="171">
        <f t="shared" si="336"/>
        <v>0</v>
      </c>
      <c r="AZ113" s="171">
        <f t="shared" si="336"/>
        <v>0</v>
      </c>
      <c r="BA113" s="172">
        <f t="shared" si="336"/>
        <v>0</v>
      </c>
      <c r="BB113" s="172">
        <f t="shared" si="336"/>
        <v>0</v>
      </c>
      <c r="BC113" s="172">
        <f t="shared" si="336"/>
        <v>0</v>
      </c>
      <c r="BD113" s="172">
        <f t="shared" si="336"/>
        <v>0</v>
      </c>
      <c r="BE113" s="172">
        <f t="shared" si="336"/>
        <v>0</v>
      </c>
      <c r="BF113" s="172">
        <f t="shared" si="336"/>
        <v>0</v>
      </c>
      <c r="BG113" s="172">
        <f t="shared" si="336"/>
        <v>0</v>
      </c>
      <c r="BH113" s="172">
        <f t="shared" si="336"/>
        <v>0</v>
      </c>
      <c r="BI113" s="172">
        <f t="shared" si="336"/>
        <v>0</v>
      </c>
      <c r="BJ113" s="172">
        <f t="shared" si="336"/>
        <v>0</v>
      </c>
      <c r="BK113" s="172">
        <f t="shared" si="336"/>
        <v>0</v>
      </c>
      <c r="BL113" s="172">
        <f t="shared" si="336"/>
        <v>0</v>
      </c>
      <c r="BM113" s="175">
        <f t="shared" si="336"/>
        <v>0</v>
      </c>
      <c r="BN113" s="170">
        <f t="shared" si="336"/>
        <v>2726633</v>
      </c>
      <c r="BO113" s="171">
        <f t="shared" si="336"/>
        <v>2021200</v>
      </c>
      <c r="BP113" s="171">
        <f t="shared" si="336"/>
        <v>1701044</v>
      </c>
      <c r="BQ113" s="171">
        <f t="shared" si="336"/>
        <v>320156</v>
      </c>
      <c r="BR113" s="171">
        <f t="shared" si="336"/>
        <v>0</v>
      </c>
      <c r="BS113" s="171">
        <f t="shared" si="336"/>
        <v>0</v>
      </c>
      <c r="BT113" s="171">
        <f t="shared" si="336"/>
        <v>0</v>
      </c>
      <c r="BU113" s="171">
        <f t="shared" si="336"/>
        <v>683166</v>
      </c>
      <c r="BV113" s="171">
        <f t="shared" si="336"/>
        <v>20212</v>
      </c>
      <c r="BW113" s="171">
        <f t="shared" si="336"/>
        <v>2055</v>
      </c>
      <c r="BX113" s="172">
        <f t="shared" si="336"/>
        <v>4.1100000000000003</v>
      </c>
      <c r="BY113" s="172">
        <f t="shared" si="336"/>
        <v>3.08</v>
      </c>
      <c r="BZ113" s="175">
        <f t="shared" si="336"/>
        <v>1.03</v>
      </c>
      <c r="CA113" s="170">
        <f t="shared" si="336"/>
        <v>0</v>
      </c>
      <c r="CB113" s="171">
        <f t="shared" ref="CB113:CF113" si="337">SUMIF($F$12:$F$463,"=3233",CB$12:CB$463)</f>
        <v>0</v>
      </c>
      <c r="CC113" s="171">
        <f t="shared" si="337"/>
        <v>0</v>
      </c>
      <c r="CD113" s="171">
        <f t="shared" si="337"/>
        <v>0</v>
      </c>
      <c r="CE113" s="171">
        <f t="shared" si="337"/>
        <v>0</v>
      </c>
      <c r="CF113" s="173">
        <f t="shared" si="337"/>
        <v>0</v>
      </c>
    </row>
    <row r="114" spans="4:84" x14ac:dyDescent="0.2">
      <c r="D114" s="5"/>
      <c r="E114" s="5"/>
      <c r="F114" s="5"/>
      <c r="G114" s="20"/>
      <c r="H114" s="5"/>
    </row>
    <row r="130" spans="79:79" x14ac:dyDescent="0.2">
      <c r="CA130" s="236">
        <f>SUM(CB129:CE129)</f>
        <v>0</v>
      </c>
    </row>
    <row r="131" spans="79:79" x14ac:dyDescent="0.2">
      <c r="CA131" s="236">
        <f>SUM(CB132:CE132)</f>
        <v>0</v>
      </c>
    </row>
  </sheetData>
  <mergeCells count="59">
    <mergeCell ref="AB11:AC11"/>
    <mergeCell ref="BD8:BE10"/>
    <mergeCell ref="BD11:BE11"/>
    <mergeCell ref="CA6:CF7"/>
    <mergeCell ref="CA8:CF9"/>
    <mergeCell ref="BS9:BT9"/>
    <mergeCell ref="BU9:BU10"/>
    <mergeCell ref="BA7:BM7"/>
    <mergeCell ref="BC8:BC9"/>
    <mergeCell ref="BF8:BG8"/>
    <mergeCell ref="BH8:BH9"/>
    <mergeCell ref="BI8:BJ9"/>
    <mergeCell ref="BK8:BM9"/>
    <mergeCell ref="AZ7:AZ10"/>
    <mergeCell ref="AM9:AN9"/>
    <mergeCell ref="AI7:AQ8"/>
    <mergeCell ref="V9:W9"/>
    <mergeCell ref="X9:X10"/>
    <mergeCell ref="Y9:Z9"/>
    <mergeCell ref="AA9:AA10"/>
    <mergeCell ref="AD9:AE9"/>
    <mergeCell ref="AR7:AT9"/>
    <mergeCell ref="AU7:AU10"/>
    <mergeCell ref="AV7:AV10"/>
    <mergeCell ref="AW7:AY9"/>
    <mergeCell ref="AB9:AC10"/>
    <mergeCell ref="AK9:AK10"/>
    <mergeCell ref="BY8:BZ9"/>
    <mergeCell ref="BV9:BV10"/>
    <mergeCell ref="BN8:BN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F9:AG9"/>
    <mergeCell ref="BO9:BO10"/>
    <mergeCell ref="BP9:BQ9"/>
    <mergeCell ref="A3:E3"/>
    <mergeCell ref="I8:I10"/>
    <mergeCell ref="I6:U7"/>
    <mergeCell ref="BX8:BX10"/>
    <mergeCell ref="AQ9:AQ10"/>
    <mergeCell ref="AO9:AP9"/>
    <mergeCell ref="AH9:AH10"/>
    <mergeCell ref="AI9:AJ9"/>
    <mergeCell ref="AL9:AL10"/>
    <mergeCell ref="BR9:BR10"/>
    <mergeCell ref="BA8:BB9"/>
    <mergeCell ref="BO8:BW8"/>
    <mergeCell ref="BW9:BW10"/>
    <mergeCell ref="V6:BM6"/>
    <mergeCell ref="BN6:BZ7"/>
    <mergeCell ref="V7:AH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CF131"/>
  <sheetViews>
    <sheetView zoomScaleNormal="100" workbookViewId="0">
      <pane xSplit="8" ySplit="11" topLeftCell="BO56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42578125" style="42" customWidth="1"/>
    <col min="8" max="8" width="8" customWidth="1"/>
    <col min="9" max="12" width="10.85546875" style="8" customWidth="1"/>
    <col min="13" max="15" width="10.85546875" style="8" hidden="1" customWidth="1"/>
    <col min="16" max="18" width="10.85546875" style="8" customWidth="1"/>
    <col min="19" max="21" width="9.28515625" style="7" customWidth="1"/>
    <col min="22" max="27" width="10.28515625" style="8" customWidth="1"/>
    <col min="28" max="28" width="10.5703125" style="8" customWidth="1"/>
    <col min="29" max="29" width="10.28515625" style="8" hidden="1" customWidth="1"/>
    <col min="30" max="47" width="10.28515625" style="8" customWidth="1"/>
    <col min="48" max="48" width="10.28515625" style="7" customWidth="1"/>
    <col min="49" max="50" width="9.28515625" style="7" customWidth="1"/>
    <col min="51" max="51" width="9.140625" style="8" customWidth="1"/>
    <col min="52" max="52" width="9.7109375" style="8" customWidth="1"/>
    <col min="53" max="53" width="10.140625" style="7" customWidth="1"/>
    <col min="54" max="54" width="9.140625" style="7" customWidth="1"/>
    <col min="55" max="55" width="9.7109375" style="7" customWidth="1"/>
    <col min="56" max="56" width="9.28515625" style="7" customWidth="1"/>
    <col min="57" max="57" width="9.140625" style="7" hidden="1" customWidth="1"/>
    <col min="58" max="60" width="9.140625" style="7" customWidth="1"/>
    <col min="61" max="61" width="10.140625" style="7" customWidth="1"/>
    <col min="62" max="65" width="9.28515625" style="7" customWidth="1"/>
    <col min="66" max="75" width="10.85546875" style="8" customWidth="1"/>
    <col min="76" max="78" width="9.28515625" style="7" customWidth="1"/>
    <col min="79" max="83" width="9.7109375" style="8" customWidth="1"/>
    <col min="84" max="84" width="9.7109375" style="7" customWidth="1"/>
    <col min="206" max="206" width="7" customWidth="1"/>
    <col min="207" max="207" width="33.140625" customWidth="1"/>
    <col min="208" max="208" width="6.42578125" customWidth="1"/>
    <col min="209" max="209" width="29" customWidth="1"/>
    <col min="210" max="210" width="11.42578125" customWidth="1"/>
    <col min="211" max="211" width="10.7109375" customWidth="1"/>
    <col min="212" max="212" width="10.85546875" customWidth="1"/>
    <col min="213" max="213" width="11.28515625" customWidth="1"/>
    <col min="215" max="215" width="9.7109375" customWidth="1"/>
    <col min="218" max="218" width="10.42578125" customWidth="1"/>
    <col min="462" max="462" width="7" customWidth="1"/>
    <col min="463" max="463" width="33.140625" customWidth="1"/>
    <col min="464" max="464" width="6.42578125" customWidth="1"/>
    <col min="465" max="465" width="29" customWidth="1"/>
    <col min="466" max="466" width="11.42578125" customWidth="1"/>
    <col min="467" max="467" width="10.7109375" customWidth="1"/>
    <col min="468" max="468" width="10.85546875" customWidth="1"/>
    <col min="469" max="469" width="11.28515625" customWidth="1"/>
    <col min="471" max="471" width="9.7109375" customWidth="1"/>
    <col min="474" max="474" width="10.42578125" customWidth="1"/>
    <col min="718" max="718" width="7" customWidth="1"/>
    <col min="719" max="719" width="33.140625" customWidth="1"/>
    <col min="720" max="720" width="6.42578125" customWidth="1"/>
    <col min="721" max="721" width="29" customWidth="1"/>
    <col min="722" max="722" width="11.42578125" customWidth="1"/>
    <col min="723" max="723" width="10.7109375" customWidth="1"/>
    <col min="724" max="724" width="10.85546875" customWidth="1"/>
    <col min="725" max="725" width="11.28515625" customWidth="1"/>
    <col min="727" max="727" width="9.7109375" customWidth="1"/>
    <col min="730" max="730" width="10.42578125" customWidth="1"/>
    <col min="974" max="974" width="7" customWidth="1"/>
    <col min="975" max="975" width="33.140625" customWidth="1"/>
    <col min="976" max="976" width="6.42578125" customWidth="1"/>
    <col min="977" max="977" width="29" customWidth="1"/>
    <col min="978" max="978" width="11.42578125" customWidth="1"/>
    <col min="979" max="979" width="10.7109375" customWidth="1"/>
    <col min="980" max="980" width="10.85546875" customWidth="1"/>
    <col min="981" max="981" width="11.28515625" customWidth="1"/>
    <col min="983" max="983" width="9.7109375" customWidth="1"/>
    <col min="986" max="986" width="10.42578125" customWidth="1"/>
    <col min="1230" max="1230" width="7" customWidth="1"/>
    <col min="1231" max="1231" width="33.140625" customWidth="1"/>
    <col min="1232" max="1232" width="6.42578125" customWidth="1"/>
    <col min="1233" max="1233" width="29" customWidth="1"/>
    <col min="1234" max="1234" width="11.42578125" customWidth="1"/>
    <col min="1235" max="1235" width="10.7109375" customWidth="1"/>
    <col min="1236" max="1236" width="10.85546875" customWidth="1"/>
    <col min="1237" max="1237" width="11.28515625" customWidth="1"/>
    <col min="1239" max="1239" width="9.7109375" customWidth="1"/>
    <col min="1242" max="1242" width="10.42578125" customWidth="1"/>
    <col min="1486" max="1486" width="7" customWidth="1"/>
    <col min="1487" max="1487" width="33.140625" customWidth="1"/>
    <col min="1488" max="1488" width="6.42578125" customWidth="1"/>
    <col min="1489" max="1489" width="29" customWidth="1"/>
    <col min="1490" max="1490" width="11.42578125" customWidth="1"/>
    <col min="1491" max="1491" width="10.7109375" customWidth="1"/>
    <col min="1492" max="1492" width="10.85546875" customWidth="1"/>
    <col min="1493" max="1493" width="11.28515625" customWidth="1"/>
    <col min="1495" max="1495" width="9.7109375" customWidth="1"/>
    <col min="1498" max="1498" width="10.42578125" customWidth="1"/>
    <col min="1742" max="1742" width="7" customWidth="1"/>
    <col min="1743" max="1743" width="33.140625" customWidth="1"/>
    <col min="1744" max="1744" width="6.42578125" customWidth="1"/>
    <col min="1745" max="1745" width="29" customWidth="1"/>
    <col min="1746" max="1746" width="11.42578125" customWidth="1"/>
    <col min="1747" max="1747" width="10.7109375" customWidth="1"/>
    <col min="1748" max="1748" width="10.85546875" customWidth="1"/>
    <col min="1749" max="1749" width="11.28515625" customWidth="1"/>
    <col min="1751" max="1751" width="9.7109375" customWidth="1"/>
    <col min="1754" max="1754" width="10.42578125" customWidth="1"/>
    <col min="1998" max="1998" width="7" customWidth="1"/>
    <col min="1999" max="1999" width="33.140625" customWidth="1"/>
    <col min="2000" max="2000" width="6.42578125" customWidth="1"/>
    <col min="2001" max="2001" width="29" customWidth="1"/>
    <col min="2002" max="2002" width="11.42578125" customWidth="1"/>
    <col min="2003" max="2003" width="10.7109375" customWidth="1"/>
    <col min="2004" max="2004" width="10.85546875" customWidth="1"/>
    <col min="2005" max="2005" width="11.28515625" customWidth="1"/>
    <col min="2007" max="2007" width="9.7109375" customWidth="1"/>
    <col min="2010" max="2010" width="10.42578125" customWidth="1"/>
    <col min="2254" max="2254" width="7" customWidth="1"/>
    <col min="2255" max="2255" width="33.140625" customWidth="1"/>
    <col min="2256" max="2256" width="6.42578125" customWidth="1"/>
    <col min="2257" max="2257" width="29" customWidth="1"/>
    <col min="2258" max="2258" width="11.42578125" customWidth="1"/>
    <col min="2259" max="2259" width="10.7109375" customWidth="1"/>
    <col min="2260" max="2260" width="10.85546875" customWidth="1"/>
    <col min="2261" max="2261" width="11.28515625" customWidth="1"/>
    <col min="2263" max="2263" width="9.7109375" customWidth="1"/>
    <col min="2266" max="2266" width="10.42578125" customWidth="1"/>
    <col min="2510" max="2510" width="7" customWidth="1"/>
    <col min="2511" max="2511" width="33.140625" customWidth="1"/>
    <col min="2512" max="2512" width="6.42578125" customWidth="1"/>
    <col min="2513" max="2513" width="29" customWidth="1"/>
    <col min="2514" max="2514" width="11.42578125" customWidth="1"/>
    <col min="2515" max="2515" width="10.7109375" customWidth="1"/>
    <col min="2516" max="2516" width="10.85546875" customWidth="1"/>
    <col min="2517" max="2517" width="11.28515625" customWidth="1"/>
    <col min="2519" max="2519" width="9.7109375" customWidth="1"/>
    <col min="2522" max="2522" width="10.42578125" customWidth="1"/>
    <col min="2766" max="2766" width="7" customWidth="1"/>
    <col min="2767" max="2767" width="33.140625" customWidth="1"/>
    <col min="2768" max="2768" width="6.42578125" customWidth="1"/>
    <col min="2769" max="2769" width="29" customWidth="1"/>
    <col min="2770" max="2770" width="11.42578125" customWidth="1"/>
    <col min="2771" max="2771" width="10.7109375" customWidth="1"/>
    <col min="2772" max="2772" width="10.85546875" customWidth="1"/>
    <col min="2773" max="2773" width="11.28515625" customWidth="1"/>
    <col min="2775" max="2775" width="9.7109375" customWidth="1"/>
    <col min="2778" max="2778" width="10.42578125" customWidth="1"/>
    <col min="3022" max="3022" width="7" customWidth="1"/>
    <col min="3023" max="3023" width="33.140625" customWidth="1"/>
    <col min="3024" max="3024" width="6.42578125" customWidth="1"/>
    <col min="3025" max="3025" width="29" customWidth="1"/>
    <col min="3026" max="3026" width="11.42578125" customWidth="1"/>
    <col min="3027" max="3027" width="10.7109375" customWidth="1"/>
    <col min="3028" max="3028" width="10.85546875" customWidth="1"/>
    <col min="3029" max="3029" width="11.28515625" customWidth="1"/>
    <col min="3031" max="3031" width="9.7109375" customWidth="1"/>
    <col min="3034" max="3034" width="10.42578125" customWidth="1"/>
    <col min="3278" max="3278" width="7" customWidth="1"/>
    <col min="3279" max="3279" width="33.140625" customWidth="1"/>
    <col min="3280" max="3280" width="6.42578125" customWidth="1"/>
    <col min="3281" max="3281" width="29" customWidth="1"/>
    <col min="3282" max="3282" width="11.42578125" customWidth="1"/>
    <col min="3283" max="3283" width="10.7109375" customWidth="1"/>
    <col min="3284" max="3284" width="10.85546875" customWidth="1"/>
    <col min="3285" max="3285" width="11.28515625" customWidth="1"/>
    <col min="3287" max="3287" width="9.7109375" customWidth="1"/>
    <col min="3290" max="3290" width="10.42578125" customWidth="1"/>
    <col min="3534" max="3534" width="7" customWidth="1"/>
    <col min="3535" max="3535" width="33.140625" customWidth="1"/>
    <col min="3536" max="3536" width="6.42578125" customWidth="1"/>
    <col min="3537" max="3537" width="29" customWidth="1"/>
    <col min="3538" max="3538" width="11.42578125" customWidth="1"/>
    <col min="3539" max="3539" width="10.7109375" customWidth="1"/>
    <col min="3540" max="3540" width="10.85546875" customWidth="1"/>
    <col min="3541" max="3541" width="11.28515625" customWidth="1"/>
    <col min="3543" max="3543" width="9.7109375" customWidth="1"/>
    <col min="3546" max="3546" width="10.42578125" customWidth="1"/>
    <col min="3790" max="3790" width="7" customWidth="1"/>
    <col min="3791" max="3791" width="33.140625" customWidth="1"/>
    <col min="3792" max="3792" width="6.42578125" customWidth="1"/>
    <col min="3793" max="3793" width="29" customWidth="1"/>
    <col min="3794" max="3794" width="11.42578125" customWidth="1"/>
    <col min="3795" max="3795" width="10.7109375" customWidth="1"/>
    <col min="3796" max="3796" width="10.85546875" customWidth="1"/>
    <col min="3797" max="3797" width="11.28515625" customWidth="1"/>
    <col min="3799" max="3799" width="9.7109375" customWidth="1"/>
    <col min="3802" max="3802" width="10.42578125" customWidth="1"/>
    <col min="4046" max="4046" width="7" customWidth="1"/>
    <col min="4047" max="4047" width="33.140625" customWidth="1"/>
    <col min="4048" max="4048" width="6.42578125" customWidth="1"/>
    <col min="4049" max="4049" width="29" customWidth="1"/>
    <col min="4050" max="4050" width="11.42578125" customWidth="1"/>
    <col min="4051" max="4051" width="10.7109375" customWidth="1"/>
    <col min="4052" max="4052" width="10.85546875" customWidth="1"/>
    <col min="4053" max="4053" width="11.28515625" customWidth="1"/>
    <col min="4055" max="4055" width="9.7109375" customWidth="1"/>
    <col min="4058" max="4058" width="10.42578125" customWidth="1"/>
    <col min="4302" max="4302" width="7" customWidth="1"/>
    <col min="4303" max="4303" width="33.140625" customWidth="1"/>
    <col min="4304" max="4304" width="6.42578125" customWidth="1"/>
    <col min="4305" max="4305" width="29" customWidth="1"/>
    <col min="4306" max="4306" width="11.42578125" customWidth="1"/>
    <col min="4307" max="4307" width="10.7109375" customWidth="1"/>
    <col min="4308" max="4308" width="10.85546875" customWidth="1"/>
    <col min="4309" max="4309" width="11.28515625" customWidth="1"/>
    <col min="4311" max="4311" width="9.7109375" customWidth="1"/>
    <col min="4314" max="4314" width="10.42578125" customWidth="1"/>
    <col min="4558" max="4558" width="7" customWidth="1"/>
    <col min="4559" max="4559" width="33.140625" customWidth="1"/>
    <col min="4560" max="4560" width="6.42578125" customWidth="1"/>
    <col min="4561" max="4561" width="29" customWidth="1"/>
    <col min="4562" max="4562" width="11.42578125" customWidth="1"/>
    <col min="4563" max="4563" width="10.7109375" customWidth="1"/>
    <col min="4564" max="4564" width="10.85546875" customWidth="1"/>
    <col min="4565" max="4565" width="11.28515625" customWidth="1"/>
    <col min="4567" max="4567" width="9.7109375" customWidth="1"/>
    <col min="4570" max="4570" width="10.42578125" customWidth="1"/>
    <col min="4814" max="4814" width="7" customWidth="1"/>
    <col min="4815" max="4815" width="33.140625" customWidth="1"/>
    <col min="4816" max="4816" width="6.42578125" customWidth="1"/>
    <col min="4817" max="4817" width="29" customWidth="1"/>
    <col min="4818" max="4818" width="11.42578125" customWidth="1"/>
    <col min="4819" max="4819" width="10.7109375" customWidth="1"/>
    <col min="4820" max="4820" width="10.85546875" customWidth="1"/>
    <col min="4821" max="4821" width="11.28515625" customWidth="1"/>
    <col min="4823" max="4823" width="9.7109375" customWidth="1"/>
    <col min="4826" max="4826" width="10.42578125" customWidth="1"/>
    <col min="5070" max="5070" width="7" customWidth="1"/>
    <col min="5071" max="5071" width="33.140625" customWidth="1"/>
    <col min="5072" max="5072" width="6.42578125" customWidth="1"/>
    <col min="5073" max="5073" width="29" customWidth="1"/>
    <col min="5074" max="5074" width="11.42578125" customWidth="1"/>
    <col min="5075" max="5075" width="10.7109375" customWidth="1"/>
    <col min="5076" max="5076" width="10.85546875" customWidth="1"/>
    <col min="5077" max="5077" width="11.28515625" customWidth="1"/>
    <col min="5079" max="5079" width="9.7109375" customWidth="1"/>
    <col min="5082" max="5082" width="10.42578125" customWidth="1"/>
    <col min="5326" max="5326" width="7" customWidth="1"/>
    <col min="5327" max="5327" width="33.140625" customWidth="1"/>
    <col min="5328" max="5328" width="6.42578125" customWidth="1"/>
    <col min="5329" max="5329" width="29" customWidth="1"/>
    <col min="5330" max="5330" width="11.42578125" customWidth="1"/>
    <col min="5331" max="5331" width="10.7109375" customWidth="1"/>
    <col min="5332" max="5332" width="10.85546875" customWidth="1"/>
    <col min="5333" max="5333" width="11.28515625" customWidth="1"/>
    <col min="5335" max="5335" width="9.7109375" customWidth="1"/>
    <col min="5338" max="5338" width="10.42578125" customWidth="1"/>
    <col min="5582" max="5582" width="7" customWidth="1"/>
    <col min="5583" max="5583" width="33.140625" customWidth="1"/>
    <col min="5584" max="5584" width="6.42578125" customWidth="1"/>
    <col min="5585" max="5585" width="29" customWidth="1"/>
    <col min="5586" max="5586" width="11.42578125" customWidth="1"/>
    <col min="5587" max="5587" width="10.7109375" customWidth="1"/>
    <col min="5588" max="5588" width="10.85546875" customWidth="1"/>
    <col min="5589" max="5589" width="11.28515625" customWidth="1"/>
    <col min="5591" max="5591" width="9.7109375" customWidth="1"/>
    <col min="5594" max="5594" width="10.42578125" customWidth="1"/>
    <col min="5838" max="5838" width="7" customWidth="1"/>
    <col min="5839" max="5839" width="33.140625" customWidth="1"/>
    <col min="5840" max="5840" width="6.42578125" customWidth="1"/>
    <col min="5841" max="5841" width="29" customWidth="1"/>
    <col min="5842" max="5842" width="11.42578125" customWidth="1"/>
    <col min="5843" max="5843" width="10.7109375" customWidth="1"/>
    <col min="5844" max="5844" width="10.85546875" customWidth="1"/>
    <col min="5845" max="5845" width="11.28515625" customWidth="1"/>
    <col min="5847" max="5847" width="9.7109375" customWidth="1"/>
    <col min="5850" max="5850" width="10.42578125" customWidth="1"/>
    <col min="6094" max="6094" width="7" customWidth="1"/>
    <col min="6095" max="6095" width="33.140625" customWidth="1"/>
    <col min="6096" max="6096" width="6.42578125" customWidth="1"/>
    <col min="6097" max="6097" width="29" customWidth="1"/>
    <col min="6098" max="6098" width="11.42578125" customWidth="1"/>
    <col min="6099" max="6099" width="10.7109375" customWidth="1"/>
    <col min="6100" max="6100" width="10.85546875" customWidth="1"/>
    <col min="6101" max="6101" width="11.28515625" customWidth="1"/>
    <col min="6103" max="6103" width="9.7109375" customWidth="1"/>
    <col min="6106" max="6106" width="10.42578125" customWidth="1"/>
    <col min="6350" max="6350" width="7" customWidth="1"/>
    <col min="6351" max="6351" width="33.140625" customWidth="1"/>
    <col min="6352" max="6352" width="6.42578125" customWidth="1"/>
    <col min="6353" max="6353" width="29" customWidth="1"/>
    <col min="6354" max="6354" width="11.42578125" customWidth="1"/>
    <col min="6355" max="6355" width="10.7109375" customWidth="1"/>
    <col min="6356" max="6356" width="10.85546875" customWidth="1"/>
    <col min="6357" max="6357" width="11.28515625" customWidth="1"/>
    <col min="6359" max="6359" width="9.7109375" customWidth="1"/>
    <col min="6362" max="6362" width="10.42578125" customWidth="1"/>
    <col min="6606" max="6606" width="7" customWidth="1"/>
    <col min="6607" max="6607" width="33.140625" customWidth="1"/>
    <col min="6608" max="6608" width="6.42578125" customWidth="1"/>
    <col min="6609" max="6609" width="29" customWidth="1"/>
    <col min="6610" max="6610" width="11.42578125" customWidth="1"/>
    <col min="6611" max="6611" width="10.7109375" customWidth="1"/>
    <col min="6612" max="6612" width="10.85546875" customWidth="1"/>
    <col min="6613" max="6613" width="11.28515625" customWidth="1"/>
    <col min="6615" max="6615" width="9.7109375" customWidth="1"/>
    <col min="6618" max="6618" width="10.42578125" customWidth="1"/>
    <col min="6862" max="6862" width="7" customWidth="1"/>
    <col min="6863" max="6863" width="33.140625" customWidth="1"/>
    <col min="6864" max="6864" width="6.42578125" customWidth="1"/>
    <col min="6865" max="6865" width="29" customWidth="1"/>
    <col min="6866" max="6866" width="11.42578125" customWidth="1"/>
    <col min="6867" max="6867" width="10.7109375" customWidth="1"/>
    <col min="6868" max="6868" width="10.85546875" customWidth="1"/>
    <col min="6869" max="6869" width="11.28515625" customWidth="1"/>
    <col min="6871" max="6871" width="9.7109375" customWidth="1"/>
    <col min="6874" max="6874" width="10.42578125" customWidth="1"/>
    <col min="7118" max="7118" width="7" customWidth="1"/>
    <col min="7119" max="7119" width="33.140625" customWidth="1"/>
    <col min="7120" max="7120" width="6.42578125" customWidth="1"/>
    <col min="7121" max="7121" width="29" customWidth="1"/>
    <col min="7122" max="7122" width="11.42578125" customWidth="1"/>
    <col min="7123" max="7123" width="10.7109375" customWidth="1"/>
    <col min="7124" max="7124" width="10.85546875" customWidth="1"/>
    <col min="7125" max="7125" width="11.28515625" customWidth="1"/>
    <col min="7127" max="7127" width="9.7109375" customWidth="1"/>
    <col min="7130" max="7130" width="10.42578125" customWidth="1"/>
    <col min="7374" max="7374" width="7" customWidth="1"/>
    <col min="7375" max="7375" width="33.140625" customWidth="1"/>
    <col min="7376" max="7376" width="6.42578125" customWidth="1"/>
    <col min="7377" max="7377" width="29" customWidth="1"/>
    <col min="7378" max="7378" width="11.42578125" customWidth="1"/>
    <col min="7379" max="7379" width="10.7109375" customWidth="1"/>
    <col min="7380" max="7380" width="10.85546875" customWidth="1"/>
    <col min="7381" max="7381" width="11.28515625" customWidth="1"/>
    <col min="7383" max="7383" width="9.7109375" customWidth="1"/>
    <col min="7386" max="7386" width="10.42578125" customWidth="1"/>
    <col min="7630" max="7630" width="7" customWidth="1"/>
    <col min="7631" max="7631" width="33.140625" customWidth="1"/>
    <col min="7632" max="7632" width="6.42578125" customWidth="1"/>
    <col min="7633" max="7633" width="29" customWidth="1"/>
    <col min="7634" max="7634" width="11.42578125" customWidth="1"/>
    <col min="7635" max="7635" width="10.7109375" customWidth="1"/>
    <col min="7636" max="7636" width="10.85546875" customWidth="1"/>
    <col min="7637" max="7637" width="11.28515625" customWidth="1"/>
    <col min="7639" max="7639" width="9.7109375" customWidth="1"/>
    <col min="7642" max="7642" width="10.42578125" customWidth="1"/>
    <col min="7886" max="7886" width="7" customWidth="1"/>
    <col min="7887" max="7887" width="33.140625" customWidth="1"/>
    <col min="7888" max="7888" width="6.42578125" customWidth="1"/>
    <col min="7889" max="7889" width="29" customWidth="1"/>
    <col min="7890" max="7890" width="11.42578125" customWidth="1"/>
    <col min="7891" max="7891" width="10.7109375" customWidth="1"/>
    <col min="7892" max="7892" width="10.85546875" customWidth="1"/>
    <col min="7893" max="7893" width="11.28515625" customWidth="1"/>
    <col min="7895" max="7895" width="9.7109375" customWidth="1"/>
    <col min="7898" max="7898" width="10.42578125" customWidth="1"/>
    <col min="8142" max="8142" width="7" customWidth="1"/>
    <col min="8143" max="8143" width="33.140625" customWidth="1"/>
    <col min="8144" max="8144" width="6.42578125" customWidth="1"/>
    <col min="8145" max="8145" width="29" customWidth="1"/>
    <col min="8146" max="8146" width="11.42578125" customWidth="1"/>
    <col min="8147" max="8147" width="10.7109375" customWidth="1"/>
    <col min="8148" max="8148" width="10.85546875" customWidth="1"/>
    <col min="8149" max="8149" width="11.28515625" customWidth="1"/>
    <col min="8151" max="8151" width="9.7109375" customWidth="1"/>
    <col min="8154" max="8154" width="10.42578125" customWidth="1"/>
    <col min="8398" max="8398" width="7" customWidth="1"/>
    <col min="8399" max="8399" width="33.140625" customWidth="1"/>
    <col min="8400" max="8400" width="6.42578125" customWidth="1"/>
    <col min="8401" max="8401" width="29" customWidth="1"/>
    <col min="8402" max="8402" width="11.42578125" customWidth="1"/>
    <col min="8403" max="8403" width="10.7109375" customWidth="1"/>
    <col min="8404" max="8404" width="10.85546875" customWidth="1"/>
    <col min="8405" max="8405" width="11.28515625" customWidth="1"/>
    <col min="8407" max="8407" width="9.7109375" customWidth="1"/>
    <col min="8410" max="8410" width="10.42578125" customWidth="1"/>
    <col min="8654" max="8654" width="7" customWidth="1"/>
    <col min="8655" max="8655" width="33.140625" customWidth="1"/>
    <col min="8656" max="8656" width="6.42578125" customWidth="1"/>
    <col min="8657" max="8657" width="29" customWidth="1"/>
    <col min="8658" max="8658" width="11.42578125" customWidth="1"/>
    <col min="8659" max="8659" width="10.7109375" customWidth="1"/>
    <col min="8660" max="8660" width="10.85546875" customWidth="1"/>
    <col min="8661" max="8661" width="11.28515625" customWidth="1"/>
    <col min="8663" max="8663" width="9.7109375" customWidth="1"/>
    <col min="8666" max="8666" width="10.42578125" customWidth="1"/>
    <col min="8910" max="8910" width="7" customWidth="1"/>
    <col min="8911" max="8911" width="33.140625" customWidth="1"/>
    <col min="8912" max="8912" width="6.42578125" customWidth="1"/>
    <col min="8913" max="8913" width="29" customWidth="1"/>
    <col min="8914" max="8914" width="11.42578125" customWidth="1"/>
    <col min="8915" max="8915" width="10.7109375" customWidth="1"/>
    <col min="8916" max="8916" width="10.85546875" customWidth="1"/>
    <col min="8917" max="8917" width="11.28515625" customWidth="1"/>
    <col min="8919" max="8919" width="9.7109375" customWidth="1"/>
    <col min="8922" max="8922" width="10.42578125" customWidth="1"/>
    <col min="9166" max="9166" width="7" customWidth="1"/>
    <col min="9167" max="9167" width="33.140625" customWidth="1"/>
    <col min="9168" max="9168" width="6.42578125" customWidth="1"/>
    <col min="9169" max="9169" width="29" customWidth="1"/>
    <col min="9170" max="9170" width="11.42578125" customWidth="1"/>
    <col min="9171" max="9171" width="10.7109375" customWidth="1"/>
    <col min="9172" max="9172" width="10.85546875" customWidth="1"/>
    <col min="9173" max="9173" width="11.28515625" customWidth="1"/>
    <col min="9175" max="9175" width="9.7109375" customWidth="1"/>
    <col min="9178" max="9178" width="10.42578125" customWidth="1"/>
    <col min="9422" max="9422" width="7" customWidth="1"/>
    <col min="9423" max="9423" width="33.140625" customWidth="1"/>
    <col min="9424" max="9424" width="6.42578125" customWidth="1"/>
    <col min="9425" max="9425" width="29" customWidth="1"/>
    <col min="9426" max="9426" width="11.42578125" customWidth="1"/>
    <col min="9427" max="9427" width="10.7109375" customWidth="1"/>
    <col min="9428" max="9428" width="10.85546875" customWidth="1"/>
    <col min="9429" max="9429" width="11.28515625" customWidth="1"/>
    <col min="9431" max="9431" width="9.7109375" customWidth="1"/>
    <col min="9434" max="9434" width="10.42578125" customWidth="1"/>
    <col min="9678" max="9678" width="7" customWidth="1"/>
    <col min="9679" max="9679" width="33.140625" customWidth="1"/>
    <col min="9680" max="9680" width="6.42578125" customWidth="1"/>
    <col min="9681" max="9681" width="29" customWidth="1"/>
    <col min="9682" max="9682" width="11.42578125" customWidth="1"/>
    <col min="9683" max="9683" width="10.7109375" customWidth="1"/>
    <col min="9684" max="9684" width="10.85546875" customWidth="1"/>
    <col min="9685" max="9685" width="11.28515625" customWidth="1"/>
    <col min="9687" max="9687" width="9.7109375" customWidth="1"/>
    <col min="9690" max="9690" width="10.42578125" customWidth="1"/>
    <col min="9934" max="9934" width="7" customWidth="1"/>
    <col min="9935" max="9935" width="33.140625" customWidth="1"/>
    <col min="9936" max="9936" width="6.42578125" customWidth="1"/>
    <col min="9937" max="9937" width="29" customWidth="1"/>
    <col min="9938" max="9938" width="11.42578125" customWidth="1"/>
    <col min="9939" max="9939" width="10.7109375" customWidth="1"/>
    <col min="9940" max="9940" width="10.85546875" customWidth="1"/>
    <col min="9941" max="9941" width="11.28515625" customWidth="1"/>
    <col min="9943" max="9943" width="9.7109375" customWidth="1"/>
    <col min="9946" max="9946" width="10.42578125" customWidth="1"/>
    <col min="10190" max="10190" width="7" customWidth="1"/>
    <col min="10191" max="10191" width="33.140625" customWidth="1"/>
    <col min="10192" max="10192" width="6.42578125" customWidth="1"/>
    <col min="10193" max="10193" width="29" customWidth="1"/>
    <col min="10194" max="10194" width="11.42578125" customWidth="1"/>
    <col min="10195" max="10195" width="10.7109375" customWidth="1"/>
    <col min="10196" max="10196" width="10.85546875" customWidth="1"/>
    <col min="10197" max="10197" width="11.28515625" customWidth="1"/>
    <col min="10199" max="10199" width="9.7109375" customWidth="1"/>
    <col min="10202" max="10202" width="10.42578125" customWidth="1"/>
    <col min="10446" max="10446" width="7" customWidth="1"/>
    <col min="10447" max="10447" width="33.140625" customWidth="1"/>
    <col min="10448" max="10448" width="6.42578125" customWidth="1"/>
    <col min="10449" max="10449" width="29" customWidth="1"/>
    <col min="10450" max="10450" width="11.42578125" customWidth="1"/>
    <col min="10451" max="10451" width="10.7109375" customWidth="1"/>
    <col min="10452" max="10452" width="10.85546875" customWidth="1"/>
    <col min="10453" max="10453" width="11.28515625" customWidth="1"/>
    <col min="10455" max="10455" width="9.7109375" customWidth="1"/>
    <col min="10458" max="10458" width="10.42578125" customWidth="1"/>
    <col min="10702" max="10702" width="7" customWidth="1"/>
    <col min="10703" max="10703" width="33.140625" customWidth="1"/>
    <col min="10704" max="10704" width="6.42578125" customWidth="1"/>
    <col min="10705" max="10705" width="29" customWidth="1"/>
    <col min="10706" max="10706" width="11.42578125" customWidth="1"/>
    <col min="10707" max="10707" width="10.7109375" customWidth="1"/>
    <col min="10708" max="10708" width="10.85546875" customWidth="1"/>
    <col min="10709" max="10709" width="11.28515625" customWidth="1"/>
    <col min="10711" max="10711" width="9.7109375" customWidth="1"/>
    <col min="10714" max="10714" width="10.42578125" customWidth="1"/>
    <col min="10958" max="10958" width="7" customWidth="1"/>
    <col min="10959" max="10959" width="33.140625" customWidth="1"/>
    <col min="10960" max="10960" width="6.42578125" customWidth="1"/>
    <col min="10961" max="10961" width="29" customWidth="1"/>
    <col min="10962" max="10962" width="11.42578125" customWidth="1"/>
    <col min="10963" max="10963" width="10.7109375" customWidth="1"/>
    <col min="10964" max="10964" width="10.85546875" customWidth="1"/>
    <col min="10965" max="10965" width="11.28515625" customWidth="1"/>
    <col min="10967" max="10967" width="9.7109375" customWidth="1"/>
    <col min="10970" max="10970" width="10.42578125" customWidth="1"/>
    <col min="11214" max="11214" width="7" customWidth="1"/>
    <col min="11215" max="11215" width="33.140625" customWidth="1"/>
    <col min="11216" max="11216" width="6.42578125" customWidth="1"/>
    <col min="11217" max="11217" width="29" customWidth="1"/>
    <col min="11218" max="11218" width="11.42578125" customWidth="1"/>
    <col min="11219" max="11219" width="10.7109375" customWidth="1"/>
    <col min="11220" max="11220" width="10.85546875" customWidth="1"/>
    <col min="11221" max="11221" width="11.28515625" customWidth="1"/>
    <col min="11223" max="11223" width="9.7109375" customWidth="1"/>
    <col min="11226" max="11226" width="10.42578125" customWidth="1"/>
    <col min="11470" max="11470" width="7" customWidth="1"/>
    <col min="11471" max="11471" width="33.140625" customWidth="1"/>
    <col min="11472" max="11472" width="6.42578125" customWidth="1"/>
    <col min="11473" max="11473" width="29" customWidth="1"/>
    <col min="11474" max="11474" width="11.42578125" customWidth="1"/>
    <col min="11475" max="11475" width="10.7109375" customWidth="1"/>
    <col min="11476" max="11476" width="10.85546875" customWidth="1"/>
    <col min="11477" max="11477" width="11.28515625" customWidth="1"/>
    <col min="11479" max="11479" width="9.7109375" customWidth="1"/>
    <col min="11482" max="11482" width="10.42578125" customWidth="1"/>
    <col min="11726" max="11726" width="7" customWidth="1"/>
    <col min="11727" max="11727" width="33.140625" customWidth="1"/>
    <col min="11728" max="11728" width="6.42578125" customWidth="1"/>
    <col min="11729" max="11729" width="29" customWidth="1"/>
    <col min="11730" max="11730" width="11.42578125" customWidth="1"/>
    <col min="11731" max="11731" width="10.7109375" customWidth="1"/>
    <col min="11732" max="11732" width="10.85546875" customWidth="1"/>
    <col min="11733" max="11733" width="11.28515625" customWidth="1"/>
    <col min="11735" max="11735" width="9.7109375" customWidth="1"/>
    <col min="11738" max="11738" width="10.42578125" customWidth="1"/>
    <col min="11982" max="11982" width="7" customWidth="1"/>
    <col min="11983" max="11983" width="33.140625" customWidth="1"/>
    <col min="11984" max="11984" width="6.42578125" customWidth="1"/>
    <col min="11985" max="11985" width="29" customWidth="1"/>
    <col min="11986" max="11986" width="11.42578125" customWidth="1"/>
    <col min="11987" max="11987" width="10.7109375" customWidth="1"/>
    <col min="11988" max="11988" width="10.85546875" customWidth="1"/>
    <col min="11989" max="11989" width="11.28515625" customWidth="1"/>
    <col min="11991" max="11991" width="9.7109375" customWidth="1"/>
    <col min="11994" max="11994" width="10.42578125" customWidth="1"/>
    <col min="12238" max="12238" width="7" customWidth="1"/>
    <col min="12239" max="12239" width="33.140625" customWidth="1"/>
    <col min="12240" max="12240" width="6.42578125" customWidth="1"/>
    <col min="12241" max="12241" width="29" customWidth="1"/>
    <col min="12242" max="12242" width="11.42578125" customWidth="1"/>
    <col min="12243" max="12243" width="10.7109375" customWidth="1"/>
    <col min="12244" max="12244" width="10.85546875" customWidth="1"/>
    <col min="12245" max="12245" width="11.28515625" customWidth="1"/>
    <col min="12247" max="12247" width="9.7109375" customWidth="1"/>
    <col min="12250" max="12250" width="10.42578125" customWidth="1"/>
    <col min="12494" max="12494" width="7" customWidth="1"/>
    <col min="12495" max="12495" width="33.140625" customWidth="1"/>
    <col min="12496" max="12496" width="6.42578125" customWidth="1"/>
    <col min="12497" max="12497" width="29" customWidth="1"/>
    <col min="12498" max="12498" width="11.42578125" customWidth="1"/>
    <col min="12499" max="12499" width="10.7109375" customWidth="1"/>
    <col min="12500" max="12500" width="10.85546875" customWidth="1"/>
    <col min="12501" max="12501" width="11.28515625" customWidth="1"/>
    <col min="12503" max="12503" width="9.7109375" customWidth="1"/>
    <col min="12506" max="12506" width="10.42578125" customWidth="1"/>
    <col min="12750" max="12750" width="7" customWidth="1"/>
    <col min="12751" max="12751" width="33.140625" customWidth="1"/>
    <col min="12752" max="12752" width="6.42578125" customWidth="1"/>
    <col min="12753" max="12753" width="29" customWidth="1"/>
    <col min="12754" max="12754" width="11.42578125" customWidth="1"/>
    <col min="12755" max="12755" width="10.7109375" customWidth="1"/>
    <col min="12756" max="12756" width="10.85546875" customWidth="1"/>
    <col min="12757" max="12757" width="11.28515625" customWidth="1"/>
    <col min="12759" max="12759" width="9.7109375" customWidth="1"/>
    <col min="12762" max="12762" width="10.42578125" customWidth="1"/>
    <col min="13006" max="13006" width="7" customWidth="1"/>
    <col min="13007" max="13007" width="33.140625" customWidth="1"/>
    <col min="13008" max="13008" width="6.42578125" customWidth="1"/>
    <col min="13009" max="13009" width="29" customWidth="1"/>
    <col min="13010" max="13010" width="11.42578125" customWidth="1"/>
    <col min="13011" max="13011" width="10.7109375" customWidth="1"/>
    <col min="13012" max="13012" width="10.85546875" customWidth="1"/>
    <col min="13013" max="13013" width="11.28515625" customWidth="1"/>
    <col min="13015" max="13015" width="9.7109375" customWidth="1"/>
    <col min="13018" max="13018" width="10.42578125" customWidth="1"/>
    <col min="13262" max="13262" width="7" customWidth="1"/>
    <col min="13263" max="13263" width="33.140625" customWidth="1"/>
    <col min="13264" max="13264" width="6.42578125" customWidth="1"/>
    <col min="13265" max="13265" width="29" customWidth="1"/>
    <col min="13266" max="13266" width="11.42578125" customWidth="1"/>
    <col min="13267" max="13267" width="10.7109375" customWidth="1"/>
    <col min="13268" max="13268" width="10.85546875" customWidth="1"/>
    <col min="13269" max="13269" width="11.28515625" customWidth="1"/>
    <col min="13271" max="13271" width="9.7109375" customWidth="1"/>
    <col min="13274" max="13274" width="10.42578125" customWidth="1"/>
    <col min="13518" max="13518" width="7" customWidth="1"/>
    <col min="13519" max="13519" width="33.140625" customWidth="1"/>
    <col min="13520" max="13520" width="6.42578125" customWidth="1"/>
    <col min="13521" max="13521" width="29" customWidth="1"/>
    <col min="13522" max="13522" width="11.42578125" customWidth="1"/>
    <col min="13523" max="13523" width="10.7109375" customWidth="1"/>
    <col min="13524" max="13524" width="10.85546875" customWidth="1"/>
    <col min="13525" max="13525" width="11.28515625" customWidth="1"/>
    <col min="13527" max="13527" width="9.7109375" customWidth="1"/>
    <col min="13530" max="13530" width="10.42578125" customWidth="1"/>
    <col min="13774" max="13774" width="7" customWidth="1"/>
    <col min="13775" max="13775" width="33.140625" customWidth="1"/>
    <col min="13776" max="13776" width="6.42578125" customWidth="1"/>
    <col min="13777" max="13777" width="29" customWidth="1"/>
    <col min="13778" max="13778" width="11.42578125" customWidth="1"/>
    <col min="13779" max="13779" width="10.7109375" customWidth="1"/>
    <col min="13780" max="13780" width="10.85546875" customWidth="1"/>
    <col min="13781" max="13781" width="11.28515625" customWidth="1"/>
    <col min="13783" max="13783" width="9.7109375" customWidth="1"/>
    <col min="13786" max="13786" width="10.42578125" customWidth="1"/>
    <col min="14030" max="14030" width="7" customWidth="1"/>
    <col min="14031" max="14031" width="33.140625" customWidth="1"/>
    <col min="14032" max="14032" width="6.42578125" customWidth="1"/>
    <col min="14033" max="14033" width="29" customWidth="1"/>
    <col min="14034" max="14034" width="11.42578125" customWidth="1"/>
    <col min="14035" max="14035" width="10.7109375" customWidth="1"/>
    <col min="14036" max="14036" width="10.85546875" customWidth="1"/>
    <col min="14037" max="14037" width="11.28515625" customWidth="1"/>
    <col min="14039" max="14039" width="9.7109375" customWidth="1"/>
    <col min="14042" max="14042" width="10.42578125" customWidth="1"/>
    <col min="14286" max="14286" width="7" customWidth="1"/>
    <col min="14287" max="14287" width="33.140625" customWidth="1"/>
    <col min="14288" max="14288" width="6.42578125" customWidth="1"/>
    <col min="14289" max="14289" width="29" customWidth="1"/>
    <col min="14290" max="14290" width="11.42578125" customWidth="1"/>
    <col min="14291" max="14291" width="10.7109375" customWidth="1"/>
    <col min="14292" max="14292" width="10.85546875" customWidth="1"/>
    <col min="14293" max="14293" width="11.28515625" customWidth="1"/>
    <col min="14295" max="14295" width="9.7109375" customWidth="1"/>
    <col min="14298" max="14298" width="10.42578125" customWidth="1"/>
    <col min="14542" max="14542" width="7" customWidth="1"/>
    <col min="14543" max="14543" width="33.140625" customWidth="1"/>
    <col min="14544" max="14544" width="6.42578125" customWidth="1"/>
    <col min="14545" max="14545" width="29" customWidth="1"/>
    <col min="14546" max="14546" width="11.42578125" customWidth="1"/>
    <col min="14547" max="14547" width="10.7109375" customWidth="1"/>
    <col min="14548" max="14548" width="10.85546875" customWidth="1"/>
    <col min="14549" max="14549" width="11.28515625" customWidth="1"/>
    <col min="14551" max="14551" width="9.7109375" customWidth="1"/>
    <col min="14554" max="14554" width="10.42578125" customWidth="1"/>
    <col min="14798" max="14798" width="7" customWidth="1"/>
    <col min="14799" max="14799" width="33.140625" customWidth="1"/>
    <col min="14800" max="14800" width="6.42578125" customWidth="1"/>
    <col min="14801" max="14801" width="29" customWidth="1"/>
    <col min="14802" max="14802" width="11.42578125" customWidth="1"/>
    <col min="14803" max="14803" width="10.7109375" customWidth="1"/>
    <col min="14804" max="14804" width="10.85546875" customWidth="1"/>
    <col min="14805" max="14805" width="11.28515625" customWidth="1"/>
    <col min="14807" max="14807" width="9.7109375" customWidth="1"/>
    <col min="14810" max="14810" width="10.42578125" customWidth="1"/>
    <col min="15054" max="15054" width="7" customWidth="1"/>
    <col min="15055" max="15055" width="33.140625" customWidth="1"/>
    <col min="15056" max="15056" width="6.42578125" customWidth="1"/>
    <col min="15057" max="15057" width="29" customWidth="1"/>
    <col min="15058" max="15058" width="11.42578125" customWidth="1"/>
    <col min="15059" max="15059" width="10.7109375" customWidth="1"/>
    <col min="15060" max="15060" width="10.85546875" customWidth="1"/>
    <col min="15061" max="15061" width="11.28515625" customWidth="1"/>
    <col min="15063" max="15063" width="9.7109375" customWidth="1"/>
    <col min="15066" max="15066" width="10.42578125" customWidth="1"/>
    <col min="15310" max="15310" width="7" customWidth="1"/>
    <col min="15311" max="15311" width="33.140625" customWidth="1"/>
    <col min="15312" max="15312" width="6.42578125" customWidth="1"/>
    <col min="15313" max="15313" width="29" customWidth="1"/>
    <col min="15314" max="15314" width="11.42578125" customWidth="1"/>
    <col min="15315" max="15315" width="10.7109375" customWidth="1"/>
    <col min="15316" max="15316" width="10.85546875" customWidth="1"/>
    <col min="15317" max="15317" width="11.28515625" customWidth="1"/>
    <col min="15319" max="15319" width="9.7109375" customWidth="1"/>
    <col min="15322" max="15322" width="10.42578125" customWidth="1"/>
    <col min="15566" max="15566" width="7" customWidth="1"/>
    <col min="15567" max="15567" width="33.140625" customWidth="1"/>
    <col min="15568" max="15568" width="6.42578125" customWidth="1"/>
    <col min="15569" max="15569" width="29" customWidth="1"/>
    <col min="15570" max="15570" width="11.42578125" customWidth="1"/>
    <col min="15571" max="15571" width="10.7109375" customWidth="1"/>
    <col min="15572" max="15572" width="10.85546875" customWidth="1"/>
    <col min="15573" max="15573" width="11.28515625" customWidth="1"/>
    <col min="15575" max="15575" width="9.7109375" customWidth="1"/>
    <col min="15578" max="15578" width="10.42578125" customWidth="1"/>
    <col min="15822" max="15822" width="7" customWidth="1"/>
    <col min="15823" max="15823" width="33.140625" customWidth="1"/>
    <col min="15824" max="15824" width="6.42578125" customWidth="1"/>
    <col min="15825" max="15825" width="29" customWidth="1"/>
    <col min="15826" max="15826" width="11.42578125" customWidth="1"/>
    <col min="15827" max="15827" width="10.7109375" customWidth="1"/>
    <col min="15828" max="15828" width="10.85546875" customWidth="1"/>
    <col min="15829" max="15829" width="11.28515625" customWidth="1"/>
    <col min="15831" max="15831" width="9.7109375" customWidth="1"/>
    <col min="15834" max="15834" width="10.42578125" customWidth="1"/>
    <col min="16078" max="16078" width="7" customWidth="1"/>
    <col min="16079" max="16079" width="33.140625" customWidth="1"/>
    <col min="16080" max="16080" width="6.42578125" customWidth="1"/>
    <col min="16081" max="16081" width="29" customWidth="1"/>
    <col min="16082" max="16082" width="11.42578125" customWidth="1"/>
    <col min="16083" max="16083" width="10.7109375" customWidth="1"/>
    <col min="16084" max="16084" width="10.85546875" customWidth="1"/>
    <col min="16085" max="16085" width="11.28515625" customWidth="1"/>
    <col min="16087" max="16087" width="9.7109375" customWidth="1"/>
    <col min="16090" max="16090" width="10.42578125" customWidth="1"/>
  </cols>
  <sheetData>
    <row r="1" spans="1:84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87"/>
      <c r="BY1" s="87"/>
      <c r="BZ1" s="87"/>
    </row>
    <row r="2" spans="1:84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84" ht="12.75" customHeight="1" x14ac:dyDescent="0.25">
      <c r="A3" s="965" t="s">
        <v>4</v>
      </c>
      <c r="B3" s="965"/>
      <c r="C3" s="965"/>
      <c r="D3" s="965"/>
      <c r="E3" s="965"/>
      <c r="F3" s="90"/>
      <c r="G3" s="90"/>
      <c r="H3" s="90"/>
      <c r="BA3" s="606"/>
      <c r="BB3" s="606"/>
    </row>
    <row r="4" spans="1:84" ht="15" x14ac:dyDescent="0.25">
      <c r="A4" s="89"/>
      <c r="B4" s="50"/>
      <c r="C4" s="50"/>
      <c r="D4" s="50"/>
      <c r="E4" s="50"/>
      <c r="F4" s="90"/>
      <c r="G4" s="90"/>
      <c r="H4" s="90"/>
      <c r="BA4" s="607"/>
      <c r="BB4" s="607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52"/>
      <c r="BA5" s="607"/>
      <c r="BB5" s="607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90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89"/>
      <c r="B7" s="6"/>
      <c r="D7" s="10"/>
      <c r="E7" s="6"/>
      <c r="F7" s="90"/>
      <c r="G7" s="90"/>
      <c r="H7" s="90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117"/>
      <c r="B8" s="91"/>
      <c r="C8" s="91"/>
      <c r="D8" s="91"/>
      <c r="E8" s="91"/>
      <c r="F8" s="91"/>
      <c r="G8" s="91"/>
      <c r="H8" s="91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840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25">
      <c r="A9" s="12" t="s">
        <v>774</v>
      </c>
      <c r="D9" s="12"/>
      <c r="F9" s="59"/>
      <c r="G9" s="60"/>
      <c r="H9" s="60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122" customFormat="1" ht="12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821" t="s">
        <v>889</v>
      </c>
      <c r="CB11" s="758" t="s">
        <v>882</v>
      </c>
      <c r="CC11" s="758" t="s">
        <v>883</v>
      </c>
      <c r="CD11" s="758" t="s">
        <v>890</v>
      </c>
      <c r="CE11" s="758" t="s">
        <v>891</v>
      </c>
      <c r="CF11" s="828" t="s">
        <v>884</v>
      </c>
    </row>
    <row r="12" spans="1:84" ht="14.1" customHeight="1" x14ac:dyDescent="0.2">
      <c r="A12" s="690">
        <v>1</v>
      </c>
      <c r="B12" s="691">
        <v>3475</v>
      </c>
      <c r="C12" s="691">
        <v>691008604</v>
      </c>
      <c r="D12" s="691">
        <v>4624548</v>
      </c>
      <c r="E12" s="692" t="s">
        <v>117</v>
      </c>
      <c r="F12" s="691">
        <v>3111</v>
      </c>
      <c r="G12" s="693" t="s">
        <v>291</v>
      </c>
      <c r="H12" s="694" t="s">
        <v>271</v>
      </c>
      <c r="I12" s="689">
        <f>J12+P12+Q12+R12</f>
        <v>3560303</v>
      </c>
      <c r="J12" s="409">
        <f>K12+L12</f>
        <v>2630630</v>
      </c>
      <c r="K12" s="409">
        <v>2395510</v>
      </c>
      <c r="L12" s="409">
        <v>235120</v>
      </c>
      <c r="M12" s="409">
        <f>N12+O12</f>
        <v>0</v>
      </c>
      <c r="N12" s="409"/>
      <c r="O12" s="409"/>
      <c r="P12" s="68">
        <f>ROUND(J12*33.8%,0)</f>
        <v>889153</v>
      </c>
      <c r="Q12" s="68">
        <f>ROUND(J12*1%,0)</f>
        <v>26306</v>
      </c>
      <c r="R12" s="409">
        <v>14214</v>
      </c>
      <c r="S12" s="410">
        <f>T12+U12</f>
        <v>4.8645999999999994</v>
      </c>
      <c r="T12" s="411">
        <v>4.0644999999999998</v>
      </c>
      <c r="U12" s="509">
        <v>0.80010000000000003</v>
      </c>
      <c r="V12" s="412">
        <f t="shared" ref="V12:W14" si="0">AI12*-1</f>
        <v>0</v>
      </c>
      <c r="W12" s="413">
        <f t="shared" si="0"/>
        <v>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0</v>
      </c>
      <c r="AG12" s="413">
        <f>W12+Z12+AC12+AE12</f>
        <v>0</v>
      </c>
      <c r="AH12" s="413">
        <f>SUM(AF12:AG12)</f>
        <v>0</v>
      </c>
      <c r="AI12" s="413">
        <v>0</v>
      </c>
      <c r="AJ12" s="413">
        <v>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0</v>
      </c>
      <c r="AP12" s="413">
        <f>AJ12+AN12</f>
        <v>0</v>
      </c>
      <c r="AQ12" s="413">
        <f>SUM(AO12:AP12)</f>
        <v>0</v>
      </c>
      <c r="AR12" s="413">
        <f t="shared" ref="AR12:AS14" si="1">AF12+AO12</f>
        <v>0</v>
      </c>
      <c r="AS12" s="413">
        <f t="shared" si="1"/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0</v>
      </c>
      <c r="AW12" s="413">
        <v>0</v>
      </c>
      <c r="AX12" s="413">
        <v>0</v>
      </c>
      <c r="AY12" s="413">
        <f>AW12+AX12</f>
        <v>0</v>
      </c>
      <c r="AZ12" s="413">
        <f>AT12+AU12+AV12+AY12</f>
        <v>0</v>
      </c>
      <c r="BA12" s="414">
        <v>0</v>
      </c>
      <c r="BB12" s="414">
        <v>0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0</v>
      </c>
      <c r="BL12" s="414">
        <f>BB12+BE12+BG12+BJ12</f>
        <v>0</v>
      </c>
      <c r="BM12" s="610">
        <f>SUM(BK12:BL12)</f>
        <v>0</v>
      </c>
      <c r="BN12" s="415">
        <f>I12+AZ12</f>
        <v>3560303</v>
      </c>
      <c r="BO12" s="413">
        <f>J12+AH12</f>
        <v>2630630</v>
      </c>
      <c r="BP12" s="413">
        <f t="shared" ref="BP12:BQ14" si="2">K12+AF12</f>
        <v>2395510</v>
      </c>
      <c r="BQ12" s="413">
        <f t="shared" si="2"/>
        <v>235120</v>
      </c>
      <c r="BR12" s="413">
        <f>M12+AQ12</f>
        <v>0</v>
      </c>
      <c r="BS12" s="413">
        <f t="shared" ref="BS12:BT14" si="3">N12+AO12</f>
        <v>0</v>
      </c>
      <c r="BT12" s="413">
        <f t="shared" si="3"/>
        <v>0</v>
      </c>
      <c r="BU12" s="413">
        <f t="shared" ref="BU12:BV14" si="4">P12+AU12</f>
        <v>889153</v>
      </c>
      <c r="BV12" s="413">
        <f t="shared" si="4"/>
        <v>26306</v>
      </c>
      <c r="BW12" s="413">
        <f>R12+AY12</f>
        <v>14214</v>
      </c>
      <c r="BX12" s="414">
        <f>S12+BM12</f>
        <v>4.8645999999999994</v>
      </c>
      <c r="BY12" s="414">
        <f t="shared" ref="BY12:BZ14" si="5">T12+BK12</f>
        <v>4.0644999999999998</v>
      </c>
      <c r="BZ12" s="610">
        <f t="shared" si="5"/>
        <v>0.80010000000000003</v>
      </c>
      <c r="CA12" s="408"/>
      <c r="CB12" s="409"/>
      <c r="CC12" s="409"/>
      <c r="CD12" s="409"/>
      <c r="CE12" s="409"/>
      <c r="CF12" s="509"/>
    </row>
    <row r="13" spans="1:84" ht="13.5" customHeight="1" x14ac:dyDescent="0.2">
      <c r="A13" s="206">
        <v>1</v>
      </c>
      <c r="B13" s="207">
        <v>3475</v>
      </c>
      <c r="C13" s="207">
        <v>691008604</v>
      </c>
      <c r="D13" s="207">
        <v>4624548</v>
      </c>
      <c r="E13" s="205" t="s">
        <v>118</v>
      </c>
      <c r="F13" s="207">
        <v>3111</v>
      </c>
      <c r="G13" s="208" t="s">
        <v>292</v>
      </c>
      <c r="H13" s="684" t="s">
        <v>272</v>
      </c>
      <c r="I13" s="528">
        <f>J13+P13+Q13+R13</f>
        <v>0</v>
      </c>
      <c r="J13" s="599">
        <f>K13+L13</f>
        <v>0</v>
      </c>
      <c r="K13" s="599">
        <v>0</v>
      </c>
      <c r="L13" s="599"/>
      <c r="M13" s="599">
        <f>N13+O13</f>
        <v>0</v>
      </c>
      <c r="N13" s="599"/>
      <c r="O13" s="599"/>
      <c r="P13" s="68">
        <f>ROUND(J13*33.8%,0)</f>
        <v>0</v>
      </c>
      <c r="Q13" s="68">
        <f>ROUND(J13*1%,0)</f>
        <v>0</v>
      </c>
      <c r="R13" s="599">
        <v>0</v>
      </c>
      <c r="S13" s="569">
        <f>T13+U13</f>
        <v>0</v>
      </c>
      <c r="T13" s="573">
        <v>0</v>
      </c>
      <c r="U13" s="600">
        <v>0</v>
      </c>
      <c r="V13" s="427">
        <f t="shared" si="0"/>
        <v>0</v>
      </c>
      <c r="W13" s="421">
        <f t="shared" si="0"/>
        <v>0</v>
      </c>
      <c r="X13" s="421">
        <v>556202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f>V13+X13+Y13+AA13+AB13+AD13</f>
        <v>556202</v>
      </c>
      <c r="AG13" s="421">
        <f>W13+Z13+AC13+AE13</f>
        <v>0</v>
      </c>
      <c r="AH13" s="421">
        <f>SUM(AF13:AG13)</f>
        <v>556202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f>AI13+AK13+AL13+AM13</f>
        <v>0</v>
      </c>
      <c r="AP13" s="421">
        <f>AJ13+AN13</f>
        <v>0</v>
      </c>
      <c r="AQ13" s="421">
        <f>SUM(AO13:AP13)</f>
        <v>0</v>
      </c>
      <c r="AR13" s="421">
        <f t="shared" si="1"/>
        <v>556202</v>
      </c>
      <c r="AS13" s="421">
        <f t="shared" si="1"/>
        <v>0</v>
      </c>
      <c r="AT13" s="421">
        <f>SUM(AR13:AS13)</f>
        <v>556202</v>
      </c>
      <c r="AU13" s="68">
        <f>ROUND((AH13+AI13+AJ13+AK13+AL13)*33.8%,0)</f>
        <v>187996</v>
      </c>
      <c r="AV13" s="68">
        <f>ROUND(AH13*1%,0)</f>
        <v>5562</v>
      </c>
      <c r="AW13" s="421">
        <v>0</v>
      </c>
      <c r="AX13" s="421">
        <v>0</v>
      </c>
      <c r="AY13" s="421">
        <f>AW13+AX13</f>
        <v>0</v>
      </c>
      <c r="AZ13" s="421">
        <f>AT13+AU13+AV13+AY13</f>
        <v>749760</v>
      </c>
      <c r="BA13" s="422">
        <v>0</v>
      </c>
      <c r="BB13" s="422">
        <v>0</v>
      </c>
      <c r="BC13" s="422">
        <v>1.5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f>BA13+BC13+BD13+BF13+BH13+BI13</f>
        <v>1.5</v>
      </c>
      <c r="BL13" s="422">
        <f>BB13+BE13+BG13+BJ13</f>
        <v>0</v>
      </c>
      <c r="BM13" s="611">
        <f>SUM(BK13:BL13)</f>
        <v>1.5</v>
      </c>
      <c r="BN13" s="428">
        <f>I13+AZ13</f>
        <v>749760</v>
      </c>
      <c r="BO13" s="421">
        <f>J13+AH13</f>
        <v>556202</v>
      </c>
      <c r="BP13" s="421">
        <f t="shared" si="2"/>
        <v>556202</v>
      </c>
      <c r="BQ13" s="421">
        <f t="shared" si="2"/>
        <v>0</v>
      </c>
      <c r="BR13" s="421">
        <f>M13+AQ13</f>
        <v>0</v>
      </c>
      <c r="BS13" s="421">
        <f t="shared" si="3"/>
        <v>0</v>
      </c>
      <c r="BT13" s="421">
        <f t="shared" si="3"/>
        <v>0</v>
      </c>
      <c r="BU13" s="421">
        <f t="shared" si="4"/>
        <v>187996</v>
      </c>
      <c r="BV13" s="421">
        <f t="shared" si="4"/>
        <v>5562</v>
      </c>
      <c r="BW13" s="421">
        <f>R13+AY13</f>
        <v>0</v>
      </c>
      <c r="BX13" s="422">
        <f>S13+BM13</f>
        <v>1.5</v>
      </c>
      <c r="BY13" s="422">
        <f t="shared" si="5"/>
        <v>1.5</v>
      </c>
      <c r="BZ13" s="611">
        <f t="shared" si="5"/>
        <v>0</v>
      </c>
      <c r="CA13" s="423"/>
      <c r="CB13" s="418"/>
      <c r="CC13" s="418"/>
      <c r="CD13" s="418"/>
      <c r="CE13" s="418"/>
      <c r="CF13" s="527"/>
    </row>
    <row r="14" spans="1:84" ht="13.5" customHeight="1" x14ac:dyDescent="0.2">
      <c r="A14" s="206">
        <v>1</v>
      </c>
      <c r="B14" s="207">
        <v>3475</v>
      </c>
      <c r="C14" s="207">
        <v>691008604</v>
      </c>
      <c r="D14" s="207">
        <v>4624548</v>
      </c>
      <c r="E14" s="205" t="s">
        <v>118</v>
      </c>
      <c r="F14" s="207">
        <v>3141</v>
      </c>
      <c r="G14" s="208" t="s">
        <v>295</v>
      </c>
      <c r="H14" s="684" t="s">
        <v>272</v>
      </c>
      <c r="I14" s="528">
        <f>J14+P14+Q14+R14</f>
        <v>403002</v>
      </c>
      <c r="J14" s="418">
        <f>K14+L14</f>
        <v>297898</v>
      </c>
      <c r="K14" s="418">
        <v>0</v>
      </c>
      <c r="L14" s="418">
        <v>297898</v>
      </c>
      <c r="M14" s="418">
        <f>N14+O14</f>
        <v>0</v>
      </c>
      <c r="N14" s="418"/>
      <c r="O14" s="418"/>
      <c r="P14" s="68">
        <f>ROUND(J14*33.8%,0)</f>
        <v>100690</v>
      </c>
      <c r="Q14" s="68">
        <f>ROUND(J14*1%,0)</f>
        <v>2979</v>
      </c>
      <c r="R14" s="418">
        <v>1435</v>
      </c>
      <c r="S14" s="419">
        <f>T14+U14</f>
        <v>0.89</v>
      </c>
      <c r="T14" s="420">
        <v>0</v>
      </c>
      <c r="U14" s="527">
        <v>0.89</v>
      </c>
      <c r="V14" s="427">
        <f t="shared" si="0"/>
        <v>0</v>
      </c>
      <c r="W14" s="421">
        <f t="shared" si="0"/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0</v>
      </c>
      <c r="AH14" s="421">
        <f>SUM(AF14:AG14)</f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0</v>
      </c>
      <c r="AQ14" s="421">
        <f>SUM(AO14:AP14)</f>
        <v>0</v>
      </c>
      <c r="AR14" s="421">
        <f t="shared" si="1"/>
        <v>0</v>
      </c>
      <c r="AS14" s="421">
        <f t="shared" si="1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0</v>
      </c>
      <c r="AW14" s="421">
        <v>0</v>
      </c>
      <c r="AX14" s="421">
        <v>0</v>
      </c>
      <c r="AY14" s="421">
        <f>AW14+AX14</f>
        <v>0</v>
      </c>
      <c r="AZ14" s="421">
        <f>AT14+AU14+AV14+AY14</f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0</v>
      </c>
      <c r="BM14" s="611">
        <f>SUM(BK14:BL14)</f>
        <v>0</v>
      </c>
      <c r="BN14" s="428">
        <f>I14+AZ14</f>
        <v>403002</v>
      </c>
      <c r="BO14" s="421">
        <f>J14+AH14</f>
        <v>297898</v>
      </c>
      <c r="BP14" s="421">
        <f t="shared" si="2"/>
        <v>0</v>
      </c>
      <c r="BQ14" s="421">
        <f t="shared" si="2"/>
        <v>297898</v>
      </c>
      <c r="BR14" s="421">
        <f>M14+AQ14</f>
        <v>0</v>
      </c>
      <c r="BS14" s="421">
        <f t="shared" si="3"/>
        <v>0</v>
      </c>
      <c r="BT14" s="421">
        <f t="shared" si="3"/>
        <v>0</v>
      </c>
      <c r="BU14" s="421">
        <f t="shared" si="4"/>
        <v>100690</v>
      </c>
      <c r="BV14" s="421">
        <f t="shared" si="4"/>
        <v>2979</v>
      </c>
      <c r="BW14" s="421">
        <f>R14+AY14</f>
        <v>1435</v>
      </c>
      <c r="BX14" s="422">
        <f>S14+BM14</f>
        <v>0.89</v>
      </c>
      <c r="BY14" s="422">
        <f t="shared" si="5"/>
        <v>0</v>
      </c>
      <c r="BZ14" s="611">
        <f t="shared" si="5"/>
        <v>0.89</v>
      </c>
      <c r="CA14" s="423"/>
      <c r="CB14" s="418"/>
      <c r="CC14" s="418"/>
      <c r="CD14" s="418"/>
      <c r="CE14" s="418"/>
      <c r="CF14" s="527"/>
    </row>
    <row r="15" spans="1:84" ht="13.5" customHeight="1" x14ac:dyDescent="0.2">
      <c r="A15" s="155">
        <v>1</v>
      </c>
      <c r="B15" s="18">
        <v>3475</v>
      </c>
      <c r="C15" s="18">
        <v>691008604</v>
      </c>
      <c r="D15" s="18">
        <v>4624548</v>
      </c>
      <c r="E15" s="164" t="s">
        <v>119</v>
      </c>
      <c r="F15" s="18"/>
      <c r="G15" s="154"/>
      <c r="H15" s="685"/>
      <c r="I15" s="458">
        <f t="shared" ref="I15:BU15" si="6">SUM(I12:I14)</f>
        <v>3963305</v>
      </c>
      <c r="J15" s="451">
        <f t="shared" si="6"/>
        <v>2928528</v>
      </c>
      <c r="K15" s="451">
        <f t="shared" si="6"/>
        <v>2395510</v>
      </c>
      <c r="L15" s="451">
        <f t="shared" si="6"/>
        <v>533018</v>
      </c>
      <c r="M15" s="451">
        <f t="shared" si="6"/>
        <v>0</v>
      </c>
      <c r="N15" s="451">
        <f t="shared" si="6"/>
        <v>0</v>
      </c>
      <c r="O15" s="451">
        <f t="shared" si="6"/>
        <v>0</v>
      </c>
      <c r="P15" s="451">
        <f t="shared" si="6"/>
        <v>989843</v>
      </c>
      <c r="Q15" s="451">
        <f t="shared" si="6"/>
        <v>29285</v>
      </c>
      <c r="R15" s="451">
        <f t="shared" si="6"/>
        <v>15649</v>
      </c>
      <c r="S15" s="452">
        <f t="shared" si="6"/>
        <v>5.754599999999999</v>
      </c>
      <c r="T15" s="452">
        <f t="shared" si="6"/>
        <v>4.0644999999999998</v>
      </c>
      <c r="U15" s="39">
        <f t="shared" si="6"/>
        <v>1.6901000000000002</v>
      </c>
      <c r="V15" s="458">
        <f t="shared" si="6"/>
        <v>0</v>
      </c>
      <c r="W15" s="451">
        <f t="shared" si="6"/>
        <v>0</v>
      </c>
      <c r="X15" s="451">
        <f t="shared" si="6"/>
        <v>556202</v>
      </c>
      <c r="Y15" s="451">
        <f t="shared" si="6"/>
        <v>0</v>
      </c>
      <c r="Z15" s="451">
        <f t="shared" si="6"/>
        <v>0</v>
      </c>
      <c r="AA15" s="451">
        <f t="shared" si="6"/>
        <v>0</v>
      </c>
      <c r="AB15" s="451">
        <f t="shared" si="6"/>
        <v>0</v>
      </c>
      <c r="AC15" s="451">
        <f t="shared" si="6"/>
        <v>0</v>
      </c>
      <c r="AD15" s="451">
        <f t="shared" si="6"/>
        <v>0</v>
      </c>
      <c r="AE15" s="451">
        <f t="shared" si="6"/>
        <v>0</v>
      </c>
      <c r="AF15" s="451">
        <f t="shared" si="6"/>
        <v>556202</v>
      </c>
      <c r="AG15" s="451">
        <f t="shared" si="6"/>
        <v>0</v>
      </c>
      <c r="AH15" s="451">
        <f t="shared" si="6"/>
        <v>556202</v>
      </c>
      <c r="AI15" s="451">
        <f t="shared" si="6"/>
        <v>0</v>
      </c>
      <c r="AJ15" s="451">
        <f t="shared" si="6"/>
        <v>0</v>
      </c>
      <c r="AK15" s="451">
        <f t="shared" ref="AK15" si="7">SUM(AK12:AK14)</f>
        <v>0</v>
      </c>
      <c r="AL15" s="451">
        <f t="shared" si="6"/>
        <v>0</v>
      </c>
      <c r="AM15" s="451">
        <f t="shared" si="6"/>
        <v>0</v>
      </c>
      <c r="AN15" s="451">
        <f t="shared" si="6"/>
        <v>0</v>
      </c>
      <c r="AO15" s="451">
        <f t="shared" si="6"/>
        <v>0</v>
      </c>
      <c r="AP15" s="451">
        <f t="shared" si="6"/>
        <v>0</v>
      </c>
      <c r="AQ15" s="451">
        <f t="shared" si="6"/>
        <v>0</v>
      </c>
      <c r="AR15" s="451">
        <f t="shared" si="6"/>
        <v>556202</v>
      </c>
      <c r="AS15" s="451">
        <f t="shared" si="6"/>
        <v>0</v>
      </c>
      <c r="AT15" s="451">
        <f t="shared" si="6"/>
        <v>556202</v>
      </c>
      <c r="AU15" s="451">
        <f t="shared" si="6"/>
        <v>187996</v>
      </c>
      <c r="AV15" s="451">
        <f t="shared" si="6"/>
        <v>5562</v>
      </c>
      <c r="AW15" s="451">
        <f t="shared" si="6"/>
        <v>0</v>
      </c>
      <c r="AX15" s="451">
        <f t="shared" si="6"/>
        <v>0</v>
      </c>
      <c r="AY15" s="451">
        <f t="shared" si="6"/>
        <v>0</v>
      </c>
      <c r="AZ15" s="451">
        <f t="shared" si="6"/>
        <v>749760</v>
      </c>
      <c r="BA15" s="452">
        <f t="shared" si="6"/>
        <v>0</v>
      </c>
      <c r="BB15" s="452">
        <f t="shared" si="6"/>
        <v>0</v>
      </c>
      <c r="BC15" s="452">
        <f t="shared" si="6"/>
        <v>1.5</v>
      </c>
      <c r="BD15" s="452">
        <f t="shared" si="6"/>
        <v>0</v>
      </c>
      <c r="BE15" s="452">
        <f t="shared" si="6"/>
        <v>0</v>
      </c>
      <c r="BF15" s="452">
        <f t="shared" si="6"/>
        <v>0</v>
      </c>
      <c r="BG15" s="452">
        <f t="shared" si="6"/>
        <v>0</v>
      </c>
      <c r="BH15" s="452">
        <f t="shared" si="6"/>
        <v>0</v>
      </c>
      <c r="BI15" s="452">
        <f t="shared" si="6"/>
        <v>0</v>
      </c>
      <c r="BJ15" s="452">
        <f t="shared" si="6"/>
        <v>0</v>
      </c>
      <c r="BK15" s="452">
        <f t="shared" si="6"/>
        <v>1.5</v>
      </c>
      <c r="BL15" s="452">
        <f t="shared" si="6"/>
        <v>0</v>
      </c>
      <c r="BM15" s="456">
        <f t="shared" si="6"/>
        <v>1.5</v>
      </c>
      <c r="BN15" s="454">
        <f t="shared" si="6"/>
        <v>4713065</v>
      </c>
      <c r="BO15" s="451">
        <f t="shared" si="6"/>
        <v>3484730</v>
      </c>
      <c r="BP15" s="451">
        <f t="shared" si="6"/>
        <v>2951712</v>
      </c>
      <c r="BQ15" s="451">
        <f t="shared" si="6"/>
        <v>533018</v>
      </c>
      <c r="BR15" s="451">
        <f t="shared" si="6"/>
        <v>0</v>
      </c>
      <c r="BS15" s="451">
        <f t="shared" si="6"/>
        <v>0</v>
      </c>
      <c r="BT15" s="451">
        <f t="shared" si="6"/>
        <v>0</v>
      </c>
      <c r="BU15" s="451">
        <f t="shared" si="6"/>
        <v>1177839</v>
      </c>
      <c r="BV15" s="451">
        <f t="shared" ref="BV15:CF15" si="8">SUM(BV12:BV14)</f>
        <v>34847</v>
      </c>
      <c r="BW15" s="451">
        <f t="shared" si="8"/>
        <v>15649</v>
      </c>
      <c r="BX15" s="452">
        <f t="shared" si="8"/>
        <v>7.254599999999999</v>
      </c>
      <c r="BY15" s="452">
        <f t="shared" si="8"/>
        <v>5.5644999999999998</v>
      </c>
      <c r="BZ15" s="456">
        <f t="shared" si="8"/>
        <v>1.6901000000000002</v>
      </c>
      <c r="CA15" s="854">
        <f t="shared" si="8"/>
        <v>0</v>
      </c>
      <c r="CB15" s="852">
        <f t="shared" si="8"/>
        <v>0</v>
      </c>
      <c r="CC15" s="852">
        <f t="shared" si="8"/>
        <v>0</v>
      </c>
      <c r="CD15" s="852">
        <f t="shared" si="8"/>
        <v>0</v>
      </c>
      <c r="CE15" s="852">
        <f t="shared" si="8"/>
        <v>0</v>
      </c>
      <c r="CF15" s="848">
        <f t="shared" si="8"/>
        <v>0</v>
      </c>
    </row>
    <row r="16" spans="1:84" ht="13.5" customHeight="1" x14ac:dyDescent="0.2">
      <c r="A16" s="206">
        <v>2</v>
      </c>
      <c r="B16" s="207">
        <v>3449</v>
      </c>
      <c r="C16" s="207">
        <v>600078116</v>
      </c>
      <c r="D16" s="207">
        <v>70695016</v>
      </c>
      <c r="E16" s="205" t="s">
        <v>120</v>
      </c>
      <c r="F16" s="207">
        <v>3111</v>
      </c>
      <c r="G16" s="208" t="s">
        <v>291</v>
      </c>
      <c r="H16" s="684" t="s">
        <v>271</v>
      </c>
      <c r="I16" s="528">
        <f t="shared" ref="I16:I18" si="9">J16+P16+Q16+R16</f>
        <v>4974748</v>
      </c>
      <c r="J16" s="418">
        <f>K16+L16</f>
        <v>3676752</v>
      </c>
      <c r="K16" s="418">
        <v>3344083</v>
      </c>
      <c r="L16" s="418">
        <v>332669</v>
      </c>
      <c r="M16" s="418">
        <f>N16+O16</f>
        <v>0</v>
      </c>
      <c r="N16" s="418"/>
      <c r="O16" s="418"/>
      <c r="P16" s="68">
        <f t="shared" ref="P16:P18" si="10">ROUND(J16*33.8%,0)</f>
        <v>1242742</v>
      </c>
      <c r="Q16" s="68">
        <f t="shared" ref="Q16:Q18" si="11">ROUND(J16*1%,0)</f>
        <v>36768</v>
      </c>
      <c r="R16" s="418">
        <v>18486</v>
      </c>
      <c r="S16" s="419">
        <f>T16+U16</f>
        <v>7.12</v>
      </c>
      <c r="T16" s="420">
        <v>6</v>
      </c>
      <c r="U16" s="527">
        <v>1.1200000000000001</v>
      </c>
      <c r="V16" s="427">
        <f t="shared" ref="V16:W18" si="12">AI16*-1</f>
        <v>-38400</v>
      </c>
      <c r="W16" s="421">
        <f t="shared" si="12"/>
        <v>-6400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-38400</v>
      </c>
      <c r="AG16" s="421">
        <f>W16+Z16+AC16+AE16</f>
        <v>-6400</v>
      </c>
      <c r="AH16" s="421">
        <f>SUM(AF16:AG16)</f>
        <v>-44800</v>
      </c>
      <c r="AI16" s="421">
        <v>38400</v>
      </c>
      <c r="AJ16" s="421">
        <v>6400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ref="AO16:AO18" si="13">AI16+AK16+AL16+AM16</f>
        <v>38400</v>
      </c>
      <c r="AP16" s="421">
        <f>AJ16+AN16</f>
        <v>6400</v>
      </c>
      <c r="AQ16" s="421">
        <f>SUM(AO16:AP16)</f>
        <v>44800</v>
      </c>
      <c r="AR16" s="421">
        <f t="shared" ref="AR16:AS18" si="14">AF16+AO16</f>
        <v>0</v>
      </c>
      <c r="AS16" s="421">
        <f t="shared" si="14"/>
        <v>0</v>
      </c>
      <c r="AT16" s="421">
        <f>SUM(AR16:AS16)</f>
        <v>0</v>
      </c>
      <c r="AU16" s="68">
        <f t="shared" ref="AU16:AU18" si="15">ROUND((AH16+AI16+AJ16+AK16+AL16)*33.8%,0)</f>
        <v>0</v>
      </c>
      <c r="AV16" s="68">
        <f>ROUND(AH16*1%,0)</f>
        <v>-448</v>
      </c>
      <c r="AW16" s="421">
        <v>0</v>
      </c>
      <c r="AX16" s="421">
        <v>0</v>
      </c>
      <c r="AY16" s="421">
        <f>AW16+AX16</f>
        <v>0</v>
      </c>
      <c r="AZ16" s="421">
        <f>AT16+AU16+AV16+AY16</f>
        <v>-448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611">
        <f>SUM(BK16:BL16)</f>
        <v>0</v>
      </c>
      <c r="BN16" s="428">
        <f>I16+AZ16</f>
        <v>4974300</v>
      </c>
      <c r="BO16" s="421">
        <f>J16+AH16</f>
        <v>3631952</v>
      </c>
      <c r="BP16" s="421">
        <f t="shared" ref="BP16:BQ18" si="16">K16+AF16</f>
        <v>3305683</v>
      </c>
      <c r="BQ16" s="421">
        <f t="shared" si="16"/>
        <v>326269</v>
      </c>
      <c r="BR16" s="421">
        <f>M16+AQ16</f>
        <v>44800</v>
      </c>
      <c r="BS16" s="421">
        <f t="shared" ref="BS16:BT18" si="17">N16+AO16</f>
        <v>38400</v>
      </c>
      <c r="BT16" s="421">
        <f t="shared" si="17"/>
        <v>6400</v>
      </c>
      <c r="BU16" s="421">
        <f t="shared" ref="BU16:BV18" si="18">P16+AU16</f>
        <v>1242742</v>
      </c>
      <c r="BV16" s="421">
        <f t="shared" si="18"/>
        <v>36320</v>
      </c>
      <c r="BW16" s="421">
        <f>R16+AY16</f>
        <v>18486</v>
      </c>
      <c r="BX16" s="422">
        <f>S16+BM16</f>
        <v>7.12</v>
      </c>
      <c r="BY16" s="422">
        <f t="shared" ref="BY16:BZ18" si="19">T16+BK16</f>
        <v>6</v>
      </c>
      <c r="BZ16" s="611">
        <f t="shared" si="19"/>
        <v>1.1200000000000001</v>
      </c>
      <c r="CA16" s="423"/>
      <c r="CB16" s="418"/>
      <c r="CC16" s="418"/>
      <c r="CD16" s="418"/>
      <c r="CE16" s="418"/>
      <c r="CF16" s="527"/>
    </row>
    <row r="17" spans="1:84" ht="13.5" customHeight="1" x14ac:dyDescent="0.2">
      <c r="A17" s="206">
        <v>2</v>
      </c>
      <c r="B17" s="207">
        <v>3449</v>
      </c>
      <c r="C17" s="207">
        <v>600078116</v>
      </c>
      <c r="D17" s="207">
        <v>70695016</v>
      </c>
      <c r="E17" s="205" t="s">
        <v>120</v>
      </c>
      <c r="F17" s="207">
        <v>3111</v>
      </c>
      <c r="G17" s="208" t="s">
        <v>292</v>
      </c>
      <c r="H17" s="684" t="s">
        <v>272</v>
      </c>
      <c r="I17" s="528">
        <f t="shared" si="9"/>
        <v>0</v>
      </c>
      <c r="J17" s="418">
        <f>K17+L17</f>
        <v>0</v>
      </c>
      <c r="K17" s="418">
        <v>0</v>
      </c>
      <c r="L17" s="418">
        <v>0</v>
      </c>
      <c r="M17" s="418">
        <f>N17+O17</f>
        <v>0</v>
      </c>
      <c r="N17" s="418"/>
      <c r="O17" s="418"/>
      <c r="P17" s="68">
        <f t="shared" si="10"/>
        <v>0</v>
      </c>
      <c r="Q17" s="68">
        <f t="shared" si="11"/>
        <v>0</v>
      </c>
      <c r="R17" s="418">
        <v>0</v>
      </c>
      <c r="S17" s="419">
        <f>T17+U17</f>
        <v>0</v>
      </c>
      <c r="T17" s="420">
        <v>0</v>
      </c>
      <c r="U17" s="527">
        <v>0</v>
      </c>
      <c r="V17" s="427">
        <f t="shared" si="12"/>
        <v>0</v>
      </c>
      <c r="W17" s="421">
        <f t="shared" si="12"/>
        <v>0</v>
      </c>
      <c r="X17" s="421">
        <v>927003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>V17+X17+Y17+AA17+AB17+AD17</f>
        <v>927003</v>
      </c>
      <c r="AG17" s="421">
        <f>W17+Z17+AC17+AE17</f>
        <v>0</v>
      </c>
      <c r="AH17" s="421">
        <f>SUM(AF17:AG17)</f>
        <v>927003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13"/>
        <v>0</v>
      </c>
      <c r="AP17" s="421">
        <f>AJ17+AN17</f>
        <v>0</v>
      </c>
      <c r="AQ17" s="421">
        <f>SUM(AO17:AP17)</f>
        <v>0</v>
      </c>
      <c r="AR17" s="421">
        <f t="shared" si="14"/>
        <v>927003</v>
      </c>
      <c r="AS17" s="421">
        <f t="shared" si="14"/>
        <v>0</v>
      </c>
      <c r="AT17" s="421">
        <f>SUM(AR17:AS17)</f>
        <v>927003</v>
      </c>
      <c r="AU17" s="68">
        <f t="shared" si="15"/>
        <v>313327</v>
      </c>
      <c r="AV17" s="68">
        <f>ROUND(AH17*1%,0)</f>
        <v>9270</v>
      </c>
      <c r="AW17" s="421">
        <v>0</v>
      </c>
      <c r="AX17" s="421">
        <v>0</v>
      </c>
      <c r="AY17" s="421">
        <f>AW17+AX17</f>
        <v>0</v>
      </c>
      <c r="AZ17" s="421">
        <f>AT17+AU17+AV17+AY17</f>
        <v>1249600</v>
      </c>
      <c r="BA17" s="422">
        <v>0</v>
      </c>
      <c r="BB17" s="422">
        <v>0</v>
      </c>
      <c r="BC17" s="422">
        <v>2.5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>BA17+BC17+BD17+BF17+BH17+BI17</f>
        <v>2.5</v>
      </c>
      <c r="BL17" s="422">
        <f>BB17+BE17+BG17+BJ17</f>
        <v>0</v>
      </c>
      <c r="BM17" s="611">
        <f>SUM(BK17:BL17)</f>
        <v>2.5</v>
      </c>
      <c r="BN17" s="428">
        <f>I17+AZ17</f>
        <v>1249600</v>
      </c>
      <c r="BO17" s="421">
        <f>J17+AH17</f>
        <v>927003</v>
      </c>
      <c r="BP17" s="421">
        <f t="shared" si="16"/>
        <v>927003</v>
      </c>
      <c r="BQ17" s="421">
        <f t="shared" si="16"/>
        <v>0</v>
      </c>
      <c r="BR17" s="421">
        <f>M17+AQ17</f>
        <v>0</v>
      </c>
      <c r="BS17" s="421">
        <f t="shared" si="17"/>
        <v>0</v>
      </c>
      <c r="BT17" s="421">
        <f t="shared" si="17"/>
        <v>0</v>
      </c>
      <c r="BU17" s="421">
        <f t="shared" si="18"/>
        <v>313327</v>
      </c>
      <c r="BV17" s="421">
        <f t="shared" si="18"/>
        <v>9270</v>
      </c>
      <c r="BW17" s="421">
        <f>R17+AY17</f>
        <v>0</v>
      </c>
      <c r="BX17" s="422">
        <f>S17+BM17</f>
        <v>2.5</v>
      </c>
      <c r="BY17" s="422">
        <f t="shared" si="19"/>
        <v>2.5</v>
      </c>
      <c r="BZ17" s="611">
        <f t="shared" si="19"/>
        <v>0</v>
      </c>
      <c r="CA17" s="423"/>
      <c r="CB17" s="418"/>
      <c r="CC17" s="418"/>
      <c r="CD17" s="418"/>
      <c r="CE17" s="418"/>
      <c r="CF17" s="527"/>
    </row>
    <row r="18" spans="1:84" ht="13.5" customHeight="1" x14ac:dyDescent="0.2">
      <c r="A18" s="206">
        <v>2</v>
      </c>
      <c r="B18" s="207">
        <v>3449</v>
      </c>
      <c r="C18" s="207">
        <v>600078116</v>
      </c>
      <c r="D18" s="207">
        <v>70695016</v>
      </c>
      <c r="E18" s="205" t="s">
        <v>120</v>
      </c>
      <c r="F18" s="207">
        <v>3141</v>
      </c>
      <c r="G18" s="208" t="s">
        <v>295</v>
      </c>
      <c r="H18" s="684" t="s">
        <v>272</v>
      </c>
      <c r="I18" s="528">
        <f t="shared" si="9"/>
        <v>508481</v>
      </c>
      <c r="J18" s="418">
        <f>K18+L18</f>
        <v>375732</v>
      </c>
      <c r="K18" s="418">
        <v>0</v>
      </c>
      <c r="L18" s="418">
        <v>375732</v>
      </c>
      <c r="M18" s="418">
        <f>N18+O18</f>
        <v>0</v>
      </c>
      <c r="N18" s="418"/>
      <c r="O18" s="418"/>
      <c r="P18" s="68">
        <f t="shared" si="10"/>
        <v>126997</v>
      </c>
      <c r="Q18" s="68">
        <f t="shared" si="11"/>
        <v>3757</v>
      </c>
      <c r="R18" s="418">
        <v>1995</v>
      </c>
      <c r="S18" s="419">
        <f>T18+U18</f>
        <v>1.1299999999999999</v>
      </c>
      <c r="T18" s="420">
        <v>0</v>
      </c>
      <c r="U18" s="527">
        <v>1.1299999999999999</v>
      </c>
      <c r="V18" s="427">
        <f t="shared" si="12"/>
        <v>0</v>
      </c>
      <c r="W18" s="421">
        <f t="shared" si="12"/>
        <v>-6400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>V18+X18+Y18+AA18+AB18+AD18</f>
        <v>0</v>
      </c>
      <c r="AG18" s="421">
        <f>W18+Z18+AC18+AE18</f>
        <v>-6400</v>
      </c>
      <c r="AH18" s="421">
        <f>SUM(AF18:AG18)</f>
        <v>-6400</v>
      </c>
      <c r="AI18" s="421">
        <v>0</v>
      </c>
      <c r="AJ18" s="421">
        <v>6400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si="13"/>
        <v>0</v>
      </c>
      <c r="AP18" s="421">
        <f>AJ18+AN18</f>
        <v>6400</v>
      </c>
      <c r="AQ18" s="421">
        <f>SUM(AO18:AP18)</f>
        <v>6400</v>
      </c>
      <c r="AR18" s="421">
        <f t="shared" si="14"/>
        <v>0</v>
      </c>
      <c r="AS18" s="421">
        <f t="shared" si="14"/>
        <v>0</v>
      </c>
      <c r="AT18" s="421">
        <f>SUM(AR18:AS18)</f>
        <v>0</v>
      </c>
      <c r="AU18" s="68">
        <f t="shared" si="15"/>
        <v>0</v>
      </c>
      <c r="AV18" s="68">
        <f>ROUND(AH18*1%,0)</f>
        <v>-64</v>
      </c>
      <c r="AW18" s="421">
        <v>0</v>
      </c>
      <c r="AX18" s="421">
        <v>0</v>
      </c>
      <c r="AY18" s="421">
        <f>AW18+AX18</f>
        <v>0</v>
      </c>
      <c r="AZ18" s="421">
        <f>AT18+AU18+AV18+AY18</f>
        <v>-64</v>
      </c>
      <c r="BA18" s="422">
        <v>0</v>
      </c>
      <c r="BB18" s="422">
        <v>-0.02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0</v>
      </c>
      <c r="BL18" s="422">
        <f>BB18+BE18+BG18+BJ18</f>
        <v>-0.02</v>
      </c>
      <c r="BM18" s="611">
        <f>SUM(BK18:BL18)</f>
        <v>-0.02</v>
      </c>
      <c r="BN18" s="428">
        <f>I18+AZ18</f>
        <v>508417</v>
      </c>
      <c r="BO18" s="421">
        <f>J18+AH18</f>
        <v>369332</v>
      </c>
      <c r="BP18" s="421">
        <f t="shared" si="16"/>
        <v>0</v>
      </c>
      <c r="BQ18" s="421">
        <f t="shared" si="16"/>
        <v>369332</v>
      </c>
      <c r="BR18" s="421">
        <f>M18+AQ18</f>
        <v>6400</v>
      </c>
      <c r="BS18" s="421">
        <f t="shared" si="17"/>
        <v>0</v>
      </c>
      <c r="BT18" s="421">
        <f t="shared" si="17"/>
        <v>6400</v>
      </c>
      <c r="BU18" s="421">
        <f t="shared" si="18"/>
        <v>126997</v>
      </c>
      <c r="BV18" s="421">
        <f t="shared" si="18"/>
        <v>3693</v>
      </c>
      <c r="BW18" s="421">
        <f>R18+AY18</f>
        <v>1995</v>
      </c>
      <c r="BX18" s="422">
        <f>S18+BM18</f>
        <v>1.1099999999999999</v>
      </c>
      <c r="BY18" s="422">
        <f t="shared" si="19"/>
        <v>0</v>
      </c>
      <c r="BZ18" s="611">
        <f t="shared" si="19"/>
        <v>1.1099999999999999</v>
      </c>
      <c r="CA18" s="423"/>
      <c r="CB18" s="418"/>
      <c r="CC18" s="418"/>
      <c r="CD18" s="418"/>
      <c r="CE18" s="418"/>
      <c r="CF18" s="527"/>
    </row>
    <row r="19" spans="1:84" ht="13.5" customHeight="1" x14ac:dyDescent="0.2">
      <c r="A19" s="155">
        <v>2</v>
      </c>
      <c r="B19" s="18">
        <v>3449</v>
      </c>
      <c r="C19" s="18">
        <v>600078116</v>
      </c>
      <c r="D19" s="18">
        <v>70695016</v>
      </c>
      <c r="E19" s="164" t="s">
        <v>121</v>
      </c>
      <c r="F19" s="18"/>
      <c r="G19" s="154"/>
      <c r="H19" s="685"/>
      <c r="I19" s="458">
        <f t="shared" ref="I19:BU19" si="20">SUM(I16:I18)</f>
        <v>5483229</v>
      </c>
      <c r="J19" s="451">
        <f t="shared" si="20"/>
        <v>4052484</v>
      </c>
      <c r="K19" s="451">
        <f t="shared" si="20"/>
        <v>3344083</v>
      </c>
      <c r="L19" s="451">
        <f t="shared" si="20"/>
        <v>708401</v>
      </c>
      <c r="M19" s="451">
        <f t="shared" si="20"/>
        <v>0</v>
      </c>
      <c r="N19" s="451">
        <f t="shared" si="20"/>
        <v>0</v>
      </c>
      <c r="O19" s="451">
        <f t="shared" si="20"/>
        <v>0</v>
      </c>
      <c r="P19" s="451">
        <f t="shared" si="20"/>
        <v>1369739</v>
      </c>
      <c r="Q19" s="451">
        <f t="shared" si="20"/>
        <v>40525</v>
      </c>
      <c r="R19" s="451">
        <f t="shared" si="20"/>
        <v>20481</v>
      </c>
      <c r="S19" s="452">
        <f t="shared" si="20"/>
        <v>8.25</v>
      </c>
      <c r="T19" s="452">
        <f t="shared" si="20"/>
        <v>6</v>
      </c>
      <c r="U19" s="39">
        <f t="shared" si="20"/>
        <v>2.25</v>
      </c>
      <c r="V19" s="458">
        <f t="shared" si="20"/>
        <v>-38400</v>
      </c>
      <c r="W19" s="451">
        <f t="shared" si="20"/>
        <v>-12800</v>
      </c>
      <c r="X19" s="451">
        <f t="shared" si="20"/>
        <v>927003</v>
      </c>
      <c r="Y19" s="451">
        <f t="shared" si="20"/>
        <v>0</v>
      </c>
      <c r="Z19" s="451">
        <f t="shared" si="20"/>
        <v>0</v>
      </c>
      <c r="AA19" s="451">
        <f t="shared" si="20"/>
        <v>0</v>
      </c>
      <c r="AB19" s="451">
        <f t="shared" si="20"/>
        <v>0</v>
      </c>
      <c r="AC19" s="451">
        <f t="shared" si="20"/>
        <v>0</v>
      </c>
      <c r="AD19" s="451">
        <f t="shared" si="20"/>
        <v>0</v>
      </c>
      <c r="AE19" s="451">
        <f t="shared" si="20"/>
        <v>0</v>
      </c>
      <c r="AF19" s="451">
        <f t="shared" si="20"/>
        <v>888603</v>
      </c>
      <c r="AG19" s="451">
        <f t="shared" si="20"/>
        <v>-12800</v>
      </c>
      <c r="AH19" s="451">
        <f t="shared" si="20"/>
        <v>875803</v>
      </c>
      <c r="AI19" s="451">
        <f t="shared" si="20"/>
        <v>38400</v>
      </c>
      <c r="AJ19" s="451">
        <f t="shared" si="20"/>
        <v>12800</v>
      </c>
      <c r="AK19" s="451">
        <f t="shared" ref="AK19" si="21">SUM(AK16:AK18)</f>
        <v>0</v>
      </c>
      <c r="AL19" s="451">
        <f t="shared" si="20"/>
        <v>0</v>
      </c>
      <c r="AM19" s="451">
        <f t="shared" si="20"/>
        <v>0</v>
      </c>
      <c r="AN19" s="451">
        <f t="shared" si="20"/>
        <v>0</v>
      </c>
      <c r="AO19" s="451">
        <f t="shared" si="20"/>
        <v>38400</v>
      </c>
      <c r="AP19" s="451">
        <f t="shared" si="20"/>
        <v>12800</v>
      </c>
      <c r="AQ19" s="451">
        <f t="shared" si="20"/>
        <v>51200</v>
      </c>
      <c r="AR19" s="451">
        <f t="shared" si="20"/>
        <v>927003</v>
      </c>
      <c r="AS19" s="451">
        <f t="shared" si="20"/>
        <v>0</v>
      </c>
      <c r="AT19" s="451">
        <f t="shared" si="20"/>
        <v>927003</v>
      </c>
      <c r="AU19" s="451">
        <f t="shared" si="20"/>
        <v>313327</v>
      </c>
      <c r="AV19" s="451">
        <f t="shared" si="20"/>
        <v>8758</v>
      </c>
      <c r="AW19" s="451">
        <f t="shared" si="20"/>
        <v>0</v>
      </c>
      <c r="AX19" s="451">
        <f t="shared" si="20"/>
        <v>0</v>
      </c>
      <c r="AY19" s="451">
        <f t="shared" si="20"/>
        <v>0</v>
      </c>
      <c r="AZ19" s="451">
        <f t="shared" si="20"/>
        <v>1249088</v>
      </c>
      <c r="BA19" s="452">
        <f t="shared" si="20"/>
        <v>0</v>
      </c>
      <c r="BB19" s="452">
        <f t="shared" si="20"/>
        <v>-0.02</v>
      </c>
      <c r="BC19" s="452">
        <f t="shared" si="20"/>
        <v>2.5</v>
      </c>
      <c r="BD19" s="452">
        <f t="shared" si="20"/>
        <v>0</v>
      </c>
      <c r="BE19" s="452">
        <f t="shared" si="20"/>
        <v>0</v>
      </c>
      <c r="BF19" s="452">
        <f t="shared" si="20"/>
        <v>0</v>
      </c>
      <c r="BG19" s="452">
        <f t="shared" si="20"/>
        <v>0</v>
      </c>
      <c r="BH19" s="452">
        <f t="shared" si="20"/>
        <v>0</v>
      </c>
      <c r="BI19" s="452">
        <f t="shared" si="20"/>
        <v>0</v>
      </c>
      <c r="BJ19" s="452">
        <f t="shared" si="20"/>
        <v>0</v>
      </c>
      <c r="BK19" s="452">
        <f t="shared" si="20"/>
        <v>2.5</v>
      </c>
      <c r="BL19" s="452">
        <f t="shared" si="20"/>
        <v>-0.02</v>
      </c>
      <c r="BM19" s="456">
        <f t="shared" si="20"/>
        <v>2.48</v>
      </c>
      <c r="BN19" s="454">
        <f t="shared" si="20"/>
        <v>6732317</v>
      </c>
      <c r="BO19" s="451">
        <f t="shared" si="20"/>
        <v>4928287</v>
      </c>
      <c r="BP19" s="451">
        <f t="shared" si="20"/>
        <v>4232686</v>
      </c>
      <c r="BQ19" s="451">
        <f t="shared" si="20"/>
        <v>695601</v>
      </c>
      <c r="BR19" s="451">
        <f t="shared" si="20"/>
        <v>51200</v>
      </c>
      <c r="BS19" s="451">
        <f t="shared" si="20"/>
        <v>38400</v>
      </c>
      <c r="BT19" s="451">
        <f t="shared" si="20"/>
        <v>12800</v>
      </c>
      <c r="BU19" s="451">
        <f t="shared" si="20"/>
        <v>1683066</v>
      </c>
      <c r="BV19" s="451">
        <f t="shared" ref="BV19:CF19" si="22">SUM(BV16:BV18)</f>
        <v>49283</v>
      </c>
      <c r="BW19" s="451">
        <f t="shared" si="22"/>
        <v>20481</v>
      </c>
      <c r="BX19" s="452">
        <f t="shared" si="22"/>
        <v>10.73</v>
      </c>
      <c r="BY19" s="452">
        <f t="shared" si="22"/>
        <v>8.5</v>
      </c>
      <c r="BZ19" s="456">
        <f t="shared" si="22"/>
        <v>2.23</v>
      </c>
      <c r="CA19" s="854">
        <f t="shared" si="22"/>
        <v>0</v>
      </c>
      <c r="CB19" s="852">
        <f t="shared" si="22"/>
        <v>0</v>
      </c>
      <c r="CC19" s="852">
        <f t="shared" si="22"/>
        <v>0</v>
      </c>
      <c r="CD19" s="852">
        <f t="shared" si="22"/>
        <v>0</v>
      </c>
      <c r="CE19" s="852">
        <f t="shared" si="22"/>
        <v>0</v>
      </c>
      <c r="CF19" s="848">
        <f t="shared" si="22"/>
        <v>0</v>
      </c>
    </row>
    <row r="20" spans="1:84" ht="13.5" customHeight="1" x14ac:dyDescent="0.2">
      <c r="A20" s="206">
        <v>3</v>
      </c>
      <c r="B20" s="207">
        <v>3451</v>
      </c>
      <c r="C20" s="207">
        <v>600078621</v>
      </c>
      <c r="D20" s="207">
        <v>70694991</v>
      </c>
      <c r="E20" s="205" t="s">
        <v>122</v>
      </c>
      <c r="F20" s="207">
        <v>3111</v>
      </c>
      <c r="G20" s="208" t="s">
        <v>291</v>
      </c>
      <c r="H20" s="684" t="s">
        <v>271</v>
      </c>
      <c r="I20" s="528">
        <f t="shared" ref="I20:I22" si="23">J20+P20+Q20+R20</f>
        <v>5264955</v>
      </c>
      <c r="J20" s="418">
        <f>K20+L20</f>
        <v>3887561</v>
      </c>
      <c r="K20" s="418">
        <v>3521596</v>
      </c>
      <c r="L20" s="418">
        <v>365965</v>
      </c>
      <c r="M20" s="418">
        <f>N20+O20</f>
        <v>0</v>
      </c>
      <c r="N20" s="418"/>
      <c r="O20" s="418"/>
      <c r="P20" s="68">
        <f t="shared" ref="P20:P22" si="24">ROUND(J20*33.8%,0)</f>
        <v>1313996</v>
      </c>
      <c r="Q20" s="68">
        <f t="shared" ref="Q20:Q22" si="25">ROUND(J20*1%,0)</f>
        <v>38876</v>
      </c>
      <c r="R20" s="418">
        <v>24522</v>
      </c>
      <c r="S20" s="419">
        <f>T20+U20</f>
        <v>7.2534000000000001</v>
      </c>
      <c r="T20" s="420">
        <v>6</v>
      </c>
      <c r="U20" s="527">
        <v>1.2534000000000001</v>
      </c>
      <c r="V20" s="427">
        <f t="shared" ref="V20:W22" si="26">AI20*-1</f>
        <v>0</v>
      </c>
      <c r="W20" s="421">
        <f t="shared" si="26"/>
        <v>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0</v>
      </c>
      <c r="AG20" s="421">
        <f>W20+Z20+AC20+AE20</f>
        <v>0</v>
      </c>
      <c r="AH20" s="421">
        <f>SUM(AF20:AG20)</f>
        <v>0</v>
      </c>
      <c r="AI20" s="421">
        <v>0</v>
      </c>
      <c r="AJ20" s="421">
        <v>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ref="AO20:AO22" si="27">AI20+AK20+AL20+AM20</f>
        <v>0</v>
      </c>
      <c r="AP20" s="421">
        <f>AJ20+AN20</f>
        <v>0</v>
      </c>
      <c r="AQ20" s="421">
        <f>SUM(AO20:AP20)</f>
        <v>0</v>
      </c>
      <c r="AR20" s="421">
        <f t="shared" ref="AR20:AS22" si="28">AF20+AO20</f>
        <v>0</v>
      </c>
      <c r="AS20" s="421">
        <f t="shared" si="28"/>
        <v>0</v>
      </c>
      <c r="AT20" s="421">
        <f>SUM(AR20:AS20)</f>
        <v>0</v>
      </c>
      <c r="AU20" s="68">
        <f t="shared" ref="AU20:AU22" si="29">ROUND((AH20+AI20+AJ20+AK20+AL20)*33.8%,0)</f>
        <v>0</v>
      </c>
      <c r="AV20" s="68">
        <f>ROUND(AH20*1%,0)</f>
        <v>0</v>
      </c>
      <c r="AW20" s="421">
        <v>0</v>
      </c>
      <c r="AX20" s="421">
        <v>0</v>
      </c>
      <c r="AY20" s="421">
        <f>AW20+AX20</f>
        <v>0</v>
      </c>
      <c r="AZ20" s="421">
        <f>AT20+AU20+AV20+AY20</f>
        <v>0</v>
      </c>
      <c r="BA20" s="422">
        <v>0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0</v>
      </c>
      <c r="BL20" s="422">
        <f>BB20+BE20+BG20+BJ20</f>
        <v>0</v>
      </c>
      <c r="BM20" s="611">
        <f>SUM(BK20:BL20)</f>
        <v>0</v>
      </c>
      <c r="BN20" s="428">
        <f>I20+AZ20</f>
        <v>5264955</v>
      </c>
      <c r="BO20" s="421">
        <f>J20+AH20</f>
        <v>3887561</v>
      </c>
      <c r="BP20" s="421">
        <f t="shared" ref="BP20:BQ22" si="30">K20+AF20</f>
        <v>3521596</v>
      </c>
      <c r="BQ20" s="421">
        <f t="shared" si="30"/>
        <v>365965</v>
      </c>
      <c r="BR20" s="421">
        <f>M20+AQ20</f>
        <v>0</v>
      </c>
      <c r="BS20" s="421">
        <f t="shared" ref="BS20:BT22" si="31">N20+AO20</f>
        <v>0</v>
      </c>
      <c r="BT20" s="421">
        <f t="shared" si="31"/>
        <v>0</v>
      </c>
      <c r="BU20" s="421">
        <f t="shared" ref="BU20:BV22" si="32">P20+AU20</f>
        <v>1313996</v>
      </c>
      <c r="BV20" s="421">
        <f t="shared" si="32"/>
        <v>38876</v>
      </c>
      <c r="BW20" s="421">
        <f>R20+AY20</f>
        <v>24522</v>
      </c>
      <c r="BX20" s="422">
        <f>S20+BM20</f>
        <v>7.2534000000000001</v>
      </c>
      <c r="BY20" s="422">
        <f t="shared" ref="BY20:BZ22" si="33">T20+BK20</f>
        <v>6</v>
      </c>
      <c r="BZ20" s="611">
        <f t="shared" si="33"/>
        <v>1.2534000000000001</v>
      </c>
      <c r="CA20" s="423"/>
      <c r="CB20" s="418"/>
      <c r="CC20" s="418"/>
      <c r="CD20" s="418"/>
      <c r="CE20" s="418"/>
      <c r="CF20" s="527"/>
    </row>
    <row r="21" spans="1:84" ht="13.5" customHeight="1" x14ac:dyDescent="0.2">
      <c r="A21" s="206">
        <v>3</v>
      </c>
      <c r="B21" s="207">
        <v>3451</v>
      </c>
      <c r="C21" s="207">
        <v>600078621</v>
      </c>
      <c r="D21" s="207">
        <v>70694991</v>
      </c>
      <c r="E21" s="205" t="s">
        <v>122</v>
      </c>
      <c r="F21" s="207">
        <v>3111</v>
      </c>
      <c r="G21" s="208" t="s">
        <v>292</v>
      </c>
      <c r="H21" s="684" t="s">
        <v>272</v>
      </c>
      <c r="I21" s="528">
        <f t="shared" si="23"/>
        <v>0</v>
      </c>
      <c r="J21" s="418">
        <f>K21+L21</f>
        <v>0</v>
      </c>
      <c r="K21" s="418">
        <v>0</v>
      </c>
      <c r="L21" s="418">
        <v>0</v>
      </c>
      <c r="M21" s="418">
        <f>N21+O21</f>
        <v>0</v>
      </c>
      <c r="N21" s="418"/>
      <c r="O21" s="418"/>
      <c r="P21" s="68">
        <f t="shared" si="24"/>
        <v>0</v>
      </c>
      <c r="Q21" s="68">
        <f t="shared" si="25"/>
        <v>0</v>
      </c>
      <c r="R21" s="418">
        <v>0</v>
      </c>
      <c r="S21" s="419">
        <f>T21+U21</f>
        <v>0</v>
      </c>
      <c r="T21" s="420">
        <v>0</v>
      </c>
      <c r="U21" s="527">
        <v>0</v>
      </c>
      <c r="V21" s="427">
        <f t="shared" si="26"/>
        <v>0</v>
      </c>
      <c r="W21" s="421">
        <f t="shared" si="26"/>
        <v>0</v>
      </c>
      <c r="X21" s="421">
        <v>648902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648902</v>
      </c>
      <c r="AG21" s="421">
        <f>W21+Z21+AC21+AE21</f>
        <v>0</v>
      </c>
      <c r="AH21" s="421">
        <f>SUM(AF21:AG21)</f>
        <v>648902</v>
      </c>
      <c r="AI21" s="421">
        <v>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27"/>
        <v>0</v>
      </c>
      <c r="AP21" s="421">
        <f>AJ21+AN21</f>
        <v>0</v>
      </c>
      <c r="AQ21" s="421">
        <f>SUM(AO21:AP21)</f>
        <v>0</v>
      </c>
      <c r="AR21" s="421">
        <f t="shared" si="28"/>
        <v>648902</v>
      </c>
      <c r="AS21" s="421">
        <f t="shared" si="28"/>
        <v>0</v>
      </c>
      <c r="AT21" s="421">
        <f>SUM(AR21:AS21)</f>
        <v>648902</v>
      </c>
      <c r="AU21" s="68">
        <f t="shared" si="29"/>
        <v>219329</v>
      </c>
      <c r="AV21" s="68">
        <f>ROUND(AH21*1%,0)</f>
        <v>6489</v>
      </c>
      <c r="AW21" s="421">
        <v>0</v>
      </c>
      <c r="AX21" s="421">
        <v>0</v>
      </c>
      <c r="AY21" s="421">
        <f>AW21+AX21</f>
        <v>0</v>
      </c>
      <c r="AZ21" s="421">
        <f>AT21+AU21+AV21+AY21</f>
        <v>874720</v>
      </c>
      <c r="BA21" s="422">
        <v>0</v>
      </c>
      <c r="BB21" s="422">
        <v>0</v>
      </c>
      <c r="BC21" s="422">
        <v>1.75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1.75</v>
      </c>
      <c r="BL21" s="422">
        <f>BB21+BE21+BG21+BJ21</f>
        <v>0</v>
      </c>
      <c r="BM21" s="611">
        <f>SUM(BK21:BL21)</f>
        <v>1.75</v>
      </c>
      <c r="BN21" s="428">
        <f>I21+AZ21</f>
        <v>874720</v>
      </c>
      <c r="BO21" s="421">
        <f>J21+AH21</f>
        <v>648902</v>
      </c>
      <c r="BP21" s="421">
        <f t="shared" si="30"/>
        <v>648902</v>
      </c>
      <c r="BQ21" s="421">
        <f t="shared" si="30"/>
        <v>0</v>
      </c>
      <c r="BR21" s="421">
        <f>M21+AQ21</f>
        <v>0</v>
      </c>
      <c r="BS21" s="421">
        <f t="shared" si="31"/>
        <v>0</v>
      </c>
      <c r="BT21" s="421">
        <f t="shared" si="31"/>
        <v>0</v>
      </c>
      <c r="BU21" s="421">
        <f t="shared" si="32"/>
        <v>219329</v>
      </c>
      <c r="BV21" s="421">
        <f t="shared" si="32"/>
        <v>6489</v>
      </c>
      <c r="BW21" s="421">
        <f>R21+AY21</f>
        <v>0</v>
      </c>
      <c r="BX21" s="422">
        <f>S21+BM21</f>
        <v>1.75</v>
      </c>
      <c r="BY21" s="422">
        <f t="shared" si="33"/>
        <v>1.75</v>
      </c>
      <c r="BZ21" s="611">
        <f t="shared" si="33"/>
        <v>0</v>
      </c>
      <c r="CA21" s="423"/>
      <c r="CB21" s="418"/>
      <c r="CC21" s="418"/>
      <c r="CD21" s="418"/>
      <c r="CE21" s="418"/>
      <c r="CF21" s="527"/>
    </row>
    <row r="22" spans="1:84" ht="13.5" customHeight="1" x14ac:dyDescent="0.2">
      <c r="A22" s="206">
        <v>3</v>
      </c>
      <c r="B22" s="207">
        <v>3451</v>
      </c>
      <c r="C22" s="207">
        <v>600078621</v>
      </c>
      <c r="D22" s="207">
        <v>70694991</v>
      </c>
      <c r="E22" s="205" t="s">
        <v>122</v>
      </c>
      <c r="F22" s="207">
        <v>3141</v>
      </c>
      <c r="G22" s="208" t="s">
        <v>295</v>
      </c>
      <c r="H22" s="684" t="s">
        <v>272</v>
      </c>
      <c r="I22" s="528">
        <f t="shared" si="23"/>
        <v>523556</v>
      </c>
      <c r="J22" s="418">
        <f>K22+L22</f>
        <v>386837</v>
      </c>
      <c r="K22" s="418">
        <v>0</v>
      </c>
      <c r="L22" s="418">
        <v>386837</v>
      </c>
      <c r="M22" s="418">
        <f>N22+O22</f>
        <v>0</v>
      </c>
      <c r="N22" s="418"/>
      <c r="O22" s="418"/>
      <c r="P22" s="68">
        <f t="shared" si="24"/>
        <v>130751</v>
      </c>
      <c r="Q22" s="68">
        <f t="shared" si="25"/>
        <v>3868</v>
      </c>
      <c r="R22" s="418">
        <v>2100</v>
      </c>
      <c r="S22" s="419">
        <f>T22+U22</f>
        <v>1.1599999999999999</v>
      </c>
      <c r="T22" s="420">
        <v>0</v>
      </c>
      <c r="U22" s="527">
        <v>1.1599999999999999</v>
      </c>
      <c r="V22" s="427">
        <f t="shared" si="26"/>
        <v>0</v>
      </c>
      <c r="W22" s="421">
        <f t="shared" si="26"/>
        <v>-32000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0</v>
      </c>
      <c r="AG22" s="421">
        <f>W22+Z22+AC22+AE22</f>
        <v>-32000</v>
      </c>
      <c r="AH22" s="421">
        <f>SUM(AF22:AG22)</f>
        <v>-32000</v>
      </c>
      <c r="AI22" s="421">
        <v>0</v>
      </c>
      <c r="AJ22" s="421">
        <v>32000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si="27"/>
        <v>0</v>
      </c>
      <c r="AP22" s="421">
        <f>AJ22+AN22</f>
        <v>32000</v>
      </c>
      <c r="AQ22" s="421">
        <f>SUM(AO22:AP22)</f>
        <v>32000</v>
      </c>
      <c r="AR22" s="421">
        <f t="shared" si="28"/>
        <v>0</v>
      </c>
      <c r="AS22" s="421">
        <f t="shared" si="28"/>
        <v>0</v>
      </c>
      <c r="AT22" s="421">
        <f>SUM(AR22:AS22)</f>
        <v>0</v>
      </c>
      <c r="AU22" s="68">
        <f t="shared" si="29"/>
        <v>0</v>
      </c>
      <c r="AV22" s="68">
        <f>ROUND(AH22*1%,0)</f>
        <v>-320</v>
      </c>
      <c r="AW22" s="421">
        <v>0</v>
      </c>
      <c r="AX22" s="421">
        <v>0</v>
      </c>
      <c r="AY22" s="421">
        <f>AW22+AX22</f>
        <v>0</v>
      </c>
      <c r="AZ22" s="421">
        <f>AT22+AU22+AV22+AY22</f>
        <v>-320</v>
      </c>
      <c r="BA22" s="422">
        <v>0</v>
      </c>
      <c r="BB22" s="422">
        <v>-0.12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</v>
      </c>
      <c r="BL22" s="422">
        <f>BB22+BE22+BG22+BJ22</f>
        <v>-0.12</v>
      </c>
      <c r="BM22" s="611">
        <f>SUM(BK22:BL22)</f>
        <v>-0.12</v>
      </c>
      <c r="BN22" s="428">
        <f>I22+AZ22</f>
        <v>523236</v>
      </c>
      <c r="BO22" s="421">
        <f>J22+AH22</f>
        <v>354837</v>
      </c>
      <c r="BP22" s="421">
        <f t="shared" si="30"/>
        <v>0</v>
      </c>
      <c r="BQ22" s="421">
        <f t="shared" si="30"/>
        <v>354837</v>
      </c>
      <c r="BR22" s="421">
        <f>M22+AQ22</f>
        <v>32000</v>
      </c>
      <c r="BS22" s="421">
        <f t="shared" si="31"/>
        <v>0</v>
      </c>
      <c r="BT22" s="421">
        <f t="shared" si="31"/>
        <v>32000</v>
      </c>
      <c r="BU22" s="421">
        <f t="shared" si="32"/>
        <v>130751</v>
      </c>
      <c r="BV22" s="421">
        <f t="shared" si="32"/>
        <v>3548</v>
      </c>
      <c r="BW22" s="421">
        <f>R22+AY22</f>
        <v>2100</v>
      </c>
      <c r="BX22" s="422">
        <f>S22+BM22</f>
        <v>1.04</v>
      </c>
      <c r="BY22" s="422">
        <f t="shared" si="33"/>
        <v>0</v>
      </c>
      <c r="BZ22" s="611">
        <f t="shared" si="33"/>
        <v>1.04</v>
      </c>
      <c r="CA22" s="423"/>
      <c r="CB22" s="418"/>
      <c r="CC22" s="418"/>
      <c r="CD22" s="418"/>
      <c r="CE22" s="418"/>
      <c r="CF22" s="527"/>
    </row>
    <row r="23" spans="1:84" ht="13.5" customHeight="1" x14ac:dyDescent="0.2">
      <c r="A23" s="155">
        <v>3</v>
      </c>
      <c r="B23" s="18">
        <v>3451</v>
      </c>
      <c r="C23" s="18">
        <v>600078621</v>
      </c>
      <c r="D23" s="18">
        <v>70694991</v>
      </c>
      <c r="E23" s="164" t="s">
        <v>123</v>
      </c>
      <c r="F23" s="18"/>
      <c r="G23" s="154"/>
      <c r="H23" s="685"/>
      <c r="I23" s="458">
        <f t="shared" ref="I23:BU23" si="34">SUM(I20:I22)</f>
        <v>5788511</v>
      </c>
      <c r="J23" s="451">
        <f t="shared" si="34"/>
        <v>4274398</v>
      </c>
      <c r="K23" s="451">
        <f t="shared" si="34"/>
        <v>3521596</v>
      </c>
      <c r="L23" s="451">
        <f t="shared" si="34"/>
        <v>752802</v>
      </c>
      <c r="M23" s="451">
        <f t="shared" si="34"/>
        <v>0</v>
      </c>
      <c r="N23" s="451">
        <f t="shared" si="34"/>
        <v>0</v>
      </c>
      <c r="O23" s="451">
        <f t="shared" si="34"/>
        <v>0</v>
      </c>
      <c r="P23" s="451">
        <f t="shared" si="34"/>
        <v>1444747</v>
      </c>
      <c r="Q23" s="451">
        <f t="shared" si="34"/>
        <v>42744</v>
      </c>
      <c r="R23" s="451">
        <f t="shared" si="34"/>
        <v>26622</v>
      </c>
      <c r="S23" s="452">
        <f t="shared" si="34"/>
        <v>8.4133999999999993</v>
      </c>
      <c r="T23" s="452">
        <f t="shared" si="34"/>
        <v>6</v>
      </c>
      <c r="U23" s="39">
        <f t="shared" si="34"/>
        <v>2.4134000000000002</v>
      </c>
      <c r="V23" s="458">
        <f t="shared" si="34"/>
        <v>0</v>
      </c>
      <c r="W23" s="451">
        <f t="shared" si="34"/>
        <v>-32000</v>
      </c>
      <c r="X23" s="451">
        <f t="shared" si="34"/>
        <v>648902</v>
      </c>
      <c r="Y23" s="451">
        <f t="shared" si="34"/>
        <v>0</v>
      </c>
      <c r="Z23" s="451">
        <f t="shared" si="34"/>
        <v>0</v>
      </c>
      <c r="AA23" s="451">
        <f t="shared" si="34"/>
        <v>0</v>
      </c>
      <c r="AB23" s="451">
        <f t="shared" si="34"/>
        <v>0</v>
      </c>
      <c r="AC23" s="451">
        <f t="shared" si="34"/>
        <v>0</v>
      </c>
      <c r="AD23" s="451">
        <f t="shared" si="34"/>
        <v>0</v>
      </c>
      <c r="AE23" s="451">
        <f t="shared" si="34"/>
        <v>0</v>
      </c>
      <c r="AF23" s="451">
        <f t="shared" si="34"/>
        <v>648902</v>
      </c>
      <c r="AG23" s="451">
        <f t="shared" si="34"/>
        <v>-32000</v>
      </c>
      <c r="AH23" s="451">
        <f t="shared" si="34"/>
        <v>616902</v>
      </c>
      <c r="AI23" s="451">
        <f t="shared" si="34"/>
        <v>0</v>
      </c>
      <c r="AJ23" s="451">
        <f t="shared" si="34"/>
        <v>32000</v>
      </c>
      <c r="AK23" s="451">
        <f t="shared" ref="AK23" si="35">SUM(AK20:AK22)</f>
        <v>0</v>
      </c>
      <c r="AL23" s="451">
        <f t="shared" si="34"/>
        <v>0</v>
      </c>
      <c r="AM23" s="451">
        <f t="shared" si="34"/>
        <v>0</v>
      </c>
      <c r="AN23" s="451">
        <f t="shared" si="34"/>
        <v>0</v>
      </c>
      <c r="AO23" s="451">
        <f t="shared" si="34"/>
        <v>0</v>
      </c>
      <c r="AP23" s="451">
        <f t="shared" si="34"/>
        <v>32000</v>
      </c>
      <c r="AQ23" s="451">
        <f t="shared" si="34"/>
        <v>32000</v>
      </c>
      <c r="AR23" s="451">
        <f t="shared" si="34"/>
        <v>648902</v>
      </c>
      <c r="AS23" s="451">
        <f t="shared" si="34"/>
        <v>0</v>
      </c>
      <c r="AT23" s="451">
        <f t="shared" si="34"/>
        <v>648902</v>
      </c>
      <c r="AU23" s="451">
        <f t="shared" si="34"/>
        <v>219329</v>
      </c>
      <c r="AV23" s="451">
        <f t="shared" si="34"/>
        <v>6169</v>
      </c>
      <c r="AW23" s="451">
        <f t="shared" si="34"/>
        <v>0</v>
      </c>
      <c r="AX23" s="451">
        <f t="shared" si="34"/>
        <v>0</v>
      </c>
      <c r="AY23" s="451">
        <f t="shared" si="34"/>
        <v>0</v>
      </c>
      <c r="AZ23" s="451">
        <f t="shared" si="34"/>
        <v>874400</v>
      </c>
      <c r="BA23" s="452">
        <f t="shared" si="34"/>
        <v>0</v>
      </c>
      <c r="BB23" s="452">
        <f t="shared" si="34"/>
        <v>-0.12</v>
      </c>
      <c r="BC23" s="452">
        <f t="shared" si="34"/>
        <v>1.75</v>
      </c>
      <c r="BD23" s="452">
        <f t="shared" si="34"/>
        <v>0</v>
      </c>
      <c r="BE23" s="452">
        <f t="shared" si="34"/>
        <v>0</v>
      </c>
      <c r="BF23" s="452">
        <f t="shared" si="34"/>
        <v>0</v>
      </c>
      <c r="BG23" s="452">
        <f t="shared" si="34"/>
        <v>0</v>
      </c>
      <c r="BH23" s="452">
        <f t="shared" si="34"/>
        <v>0</v>
      </c>
      <c r="BI23" s="452">
        <f t="shared" si="34"/>
        <v>0</v>
      </c>
      <c r="BJ23" s="452">
        <f t="shared" si="34"/>
        <v>0</v>
      </c>
      <c r="BK23" s="452">
        <f t="shared" si="34"/>
        <v>1.75</v>
      </c>
      <c r="BL23" s="452">
        <f t="shared" si="34"/>
        <v>-0.12</v>
      </c>
      <c r="BM23" s="456">
        <f t="shared" si="34"/>
        <v>1.63</v>
      </c>
      <c r="BN23" s="454">
        <f t="shared" si="34"/>
        <v>6662911</v>
      </c>
      <c r="BO23" s="451">
        <f t="shared" si="34"/>
        <v>4891300</v>
      </c>
      <c r="BP23" s="451">
        <f t="shared" si="34"/>
        <v>4170498</v>
      </c>
      <c r="BQ23" s="451">
        <f t="shared" si="34"/>
        <v>720802</v>
      </c>
      <c r="BR23" s="451">
        <f t="shared" si="34"/>
        <v>32000</v>
      </c>
      <c r="BS23" s="451">
        <f t="shared" si="34"/>
        <v>0</v>
      </c>
      <c r="BT23" s="451">
        <f t="shared" si="34"/>
        <v>32000</v>
      </c>
      <c r="BU23" s="451">
        <f t="shared" si="34"/>
        <v>1664076</v>
      </c>
      <c r="BV23" s="451">
        <f t="shared" ref="BV23:CF23" si="36">SUM(BV20:BV22)</f>
        <v>48913</v>
      </c>
      <c r="BW23" s="451">
        <f t="shared" si="36"/>
        <v>26622</v>
      </c>
      <c r="BX23" s="452">
        <f t="shared" si="36"/>
        <v>10.043399999999998</v>
      </c>
      <c r="BY23" s="452">
        <f t="shared" si="36"/>
        <v>7.75</v>
      </c>
      <c r="BZ23" s="456">
        <f t="shared" si="36"/>
        <v>2.2934000000000001</v>
      </c>
      <c r="CA23" s="854">
        <f t="shared" si="36"/>
        <v>0</v>
      </c>
      <c r="CB23" s="852">
        <f t="shared" si="36"/>
        <v>0</v>
      </c>
      <c r="CC23" s="852">
        <f t="shared" si="36"/>
        <v>0</v>
      </c>
      <c r="CD23" s="852">
        <f t="shared" si="36"/>
        <v>0</v>
      </c>
      <c r="CE23" s="852">
        <f t="shared" si="36"/>
        <v>0</v>
      </c>
      <c r="CF23" s="848">
        <f t="shared" si="36"/>
        <v>0</v>
      </c>
    </row>
    <row r="24" spans="1:84" ht="13.5" customHeight="1" x14ac:dyDescent="0.2">
      <c r="A24" s="206">
        <v>4</v>
      </c>
      <c r="B24" s="207">
        <v>3456</v>
      </c>
      <c r="C24" s="207">
        <v>600029051</v>
      </c>
      <c r="D24" s="207">
        <v>75125439</v>
      </c>
      <c r="E24" s="205" t="s">
        <v>124</v>
      </c>
      <c r="F24" s="207">
        <v>3233</v>
      </c>
      <c r="G24" s="208" t="s">
        <v>298</v>
      </c>
      <c r="H24" s="684" t="s">
        <v>272</v>
      </c>
      <c r="I24" s="528">
        <f>J24+P24+Q24+R24</f>
        <v>2590000</v>
      </c>
      <c r="J24" s="418">
        <f>K24+L24</f>
        <v>1919440</v>
      </c>
      <c r="K24" s="418">
        <v>1608822</v>
      </c>
      <c r="L24" s="418">
        <v>310618</v>
      </c>
      <c r="M24" s="418">
        <f>N24+O24</f>
        <v>0</v>
      </c>
      <c r="N24" s="418"/>
      <c r="O24" s="418"/>
      <c r="P24" s="68">
        <f>ROUND(J24*33.8%,0)</f>
        <v>648771</v>
      </c>
      <c r="Q24" s="68">
        <f>ROUND(J24*1%,0)</f>
        <v>19194</v>
      </c>
      <c r="R24" s="418">
        <v>2595</v>
      </c>
      <c r="S24" s="419">
        <f>T24+U24</f>
        <v>3.91</v>
      </c>
      <c r="T24" s="420">
        <v>2.91</v>
      </c>
      <c r="U24" s="527">
        <v>1</v>
      </c>
      <c r="V24" s="427">
        <f>AI24*-1</f>
        <v>-102400</v>
      </c>
      <c r="W24" s="421">
        <f>AJ24*-1</f>
        <v>-12800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>V24+X24+Y24+AA24+AB24+AD24</f>
        <v>-102400</v>
      </c>
      <c r="AG24" s="421">
        <f>W24+Z24+AC24+AE24</f>
        <v>-12800</v>
      </c>
      <c r="AH24" s="421">
        <f>SUM(AF24:AG24)</f>
        <v>-115200</v>
      </c>
      <c r="AI24" s="421">
        <v>102400</v>
      </c>
      <c r="AJ24" s="421">
        <v>12800</v>
      </c>
      <c r="AK24" s="421">
        <v>0</v>
      </c>
      <c r="AL24" s="421">
        <v>0</v>
      </c>
      <c r="AM24" s="421">
        <v>0</v>
      </c>
      <c r="AN24" s="421">
        <v>0</v>
      </c>
      <c r="AO24" s="421">
        <f>AI24+AK24+AL24+AM24</f>
        <v>102400</v>
      </c>
      <c r="AP24" s="421">
        <f>AJ24+AN24</f>
        <v>12800</v>
      </c>
      <c r="AQ24" s="421">
        <f>SUM(AO24:AP24)</f>
        <v>115200</v>
      </c>
      <c r="AR24" s="421">
        <f>AF24+AO24</f>
        <v>0</v>
      </c>
      <c r="AS24" s="421">
        <f>AG24+AP24</f>
        <v>0</v>
      </c>
      <c r="AT24" s="421">
        <f>SUM(AR24:AS24)</f>
        <v>0</v>
      </c>
      <c r="AU24" s="68">
        <f>ROUND((AH24+AI24+AJ24+AK24+AL24)*33.8%,0)</f>
        <v>0</v>
      </c>
      <c r="AV24" s="68">
        <f>ROUND(AH24*1%,0)</f>
        <v>-1152</v>
      </c>
      <c r="AW24" s="421">
        <v>0</v>
      </c>
      <c r="AX24" s="421">
        <v>0</v>
      </c>
      <c r="AY24" s="421">
        <f>AW24+AX24</f>
        <v>0</v>
      </c>
      <c r="AZ24" s="421">
        <f>AT24+AU24+AV24+AY24</f>
        <v>-1152</v>
      </c>
      <c r="BA24" s="422">
        <v>-0.19</v>
      </c>
      <c r="BB24" s="422">
        <v>-0.04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-0.19</v>
      </c>
      <c r="BL24" s="422">
        <f>BB24+BE24+BG24+BJ24</f>
        <v>-0.04</v>
      </c>
      <c r="BM24" s="611">
        <f>SUM(BK24:BL24)</f>
        <v>-0.23</v>
      </c>
      <c r="BN24" s="428">
        <f>I24+AZ24</f>
        <v>2588848</v>
      </c>
      <c r="BO24" s="421">
        <f>J24+AH24</f>
        <v>1804240</v>
      </c>
      <c r="BP24" s="421">
        <f>K24+AF24</f>
        <v>1506422</v>
      </c>
      <c r="BQ24" s="421">
        <f>L24+AG24</f>
        <v>297818</v>
      </c>
      <c r="BR24" s="421">
        <f>M24+AQ24</f>
        <v>115200</v>
      </c>
      <c r="BS24" s="421">
        <f>N24+AO24</f>
        <v>102400</v>
      </c>
      <c r="BT24" s="421">
        <f>O24+AP24</f>
        <v>12800</v>
      </c>
      <c r="BU24" s="421">
        <f>P24+AU24</f>
        <v>648771</v>
      </c>
      <c r="BV24" s="421">
        <f>Q24+AV24</f>
        <v>18042</v>
      </c>
      <c r="BW24" s="421">
        <f>R24+AY24</f>
        <v>2595</v>
      </c>
      <c r="BX24" s="422">
        <f>S24+BM24</f>
        <v>3.68</v>
      </c>
      <c r="BY24" s="422">
        <f>T24+BK24</f>
        <v>2.72</v>
      </c>
      <c r="BZ24" s="611">
        <f>U24+BL24</f>
        <v>0.96</v>
      </c>
      <c r="CA24" s="423"/>
      <c r="CB24" s="418"/>
      <c r="CC24" s="418"/>
      <c r="CD24" s="418"/>
      <c r="CE24" s="418"/>
      <c r="CF24" s="527"/>
    </row>
    <row r="25" spans="1:84" ht="13.5" customHeight="1" x14ac:dyDescent="0.2">
      <c r="A25" s="155">
        <v>4</v>
      </c>
      <c r="B25" s="18">
        <v>3456</v>
      </c>
      <c r="C25" s="18">
        <v>600029051</v>
      </c>
      <c r="D25" s="18">
        <v>75125439</v>
      </c>
      <c r="E25" s="164" t="s">
        <v>125</v>
      </c>
      <c r="F25" s="18"/>
      <c r="G25" s="154"/>
      <c r="H25" s="685"/>
      <c r="I25" s="458">
        <f t="shared" ref="I25:BU25" si="37">SUM(I24)</f>
        <v>2590000</v>
      </c>
      <c r="J25" s="451">
        <f t="shared" si="37"/>
        <v>1919440</v>
      </c>
      <c r="K25" s="451">
        <f t="shared" si="37"/>
        <v>1608822</v>
      </c>
      <c r="L25" s="451">
        <f t="shared" si="37"/>
        <v>310618</v>
      </c>
      <c r="M25" s="451">
        <f t="shared" si="37"/>
        <v>0</v>
      </c>
      <c r="N25" s="451">
        <f t="shared" si="37"/>
        <v>0</v>
      </c>
      <c r="O25" s="451">
        <f t="shared" si="37"/>
        <v>0</v>
      </c>
      <c r="P25" s="451">
        <f t="shared" si="37"/>
        <v>648771</v>
      </c>
      <c r="Q25" s="451">
        <f t="shared" si="37"/>
        <v>19194</v>
      </c>
      <c r="R25" s="451">
        <f t="shared" si="37"/>
        <v>2595</v>
      </c>
      <c r="S25" s="452">
        <f t="shared" si="37"/>
        <v>3.91</v>
      </c>
      <c r="T25" s="452">
        <f t="shared" si="37"/>
        <v>2.91</v>
      </c>
      <c r="U25" s="39">
        <f t="shared" si="37"/>
        <v>1</v>
      </c>
      <c r="V25" s="458">
        <f t="shared" si="37"/>
        <v>-102400</v>
      </c>
      <c r="W25" s="451">
        <f t="shared" si="37"/>
        <v>-12800</v>
      </c>
      <c r="X25" s="451">
        <f t="shared" si="37"/>
        <v>0</v>
      </c>
      <c r="Y25" s="451">
        <f t="shared" si="37"/>
        <v>0</v>
      </c>
      <c r="Z25" s="451">
        <f t="shared" si="37"/>
        <v>0</v>
      </c>
      <c r="AA25" s="451">
        <f t="shared" si="37"/>
        <v>0</v>
      </c>
      <c r="AB25" s="451">
        <f t="shared" si="37"/>
        <v>0</v>
      </c>
      <c r="AC25" s="451">
        <f t="shared" si="37"/>
        <v>0</v>
      </c>
      <c r="AD25" s="451">
        <f t="shared" si="37"/>
        <v>0</v>
      </c>
      <c r="AE25" s="451">
        <f t="shared" si="37"/>
        <v>0</v>
      </c>
      <c r="AF25" s="451">
        <f t="shared" si="37"/>
        <v>-102400</v>
      </c>
      <c r="AG25" s="451">
        <f t="shared" si="37"/>
        <v>-12800</v>
      </c>
      <c r="AH25" s="451">
        <f t="shared" si="37"/>
        <v>-115200</v>
      </c>
      <c r="AI25" s="451">
        <f t="shared" si="37"/>
        <v>102400</v>
      </c>
      <c r="AJ25" s="451">
        <f t="shared" si="37"/>
        <v>12800</v>
      </c>
      <c r="AK25" s="451">
        <f t="shared" ref="AK25" si="38">SUM(AK24)</f>
        <v>0</v>
      </c>
      <c r="AL25" s="451">
        <f t="shared" si="37"/>
        <v>0</v>
      </c>
      <c r="AM25" s="451">
        <f t="shared" si="37"/>
        <v>0</v>
      </c>
      <c r="AN25" s="451">
        <f t="shared" si="37"/>
        <v>0</v>
      </c>
      <c r="AO25" s="451">
        <f t="shared" si="37"/>
        <v>102400</v>
      </c>
      <c r="AP25" s="451">
        <f t="shared" si="37"/>
        <v>12800</v>
      </c>
      <c r="AQ25" s="451">
        <f t="shared" si="37"/>
        <v>115200</v>
      </c>
      <c r="AR25" s="451">
        <f t="shared" si="37"/>
        <v>0</v>
      </c>
      <c r="AS25" s="451">
        <f t="shared" si="37"/>
        <v>0</v>
      </c>
      <c r="AT25" s="451">
        <f t="shared" si="37"/>
        <v>0</v>
      </c>
      <c r="AU25" s="451">
        <f t="shared" si="37"/>
        <v>0</v>
      </c>
      <c r="AV25" s="451">
        <f t="shared" si="37"/>
        <v>-1152</v>
      </c>
      <c r="AW25" s="451">
        <f t="shared" si="37"/>
        <v>0</v>
      </c>
      <c r="AX25" s="451">
        <f t="shared" si="37"/>
        <v>0</v>
      </c>
      <c r="AY25" s="451">
        <f t="shared" si="37"/>
        <v>0</v>
      </c>
      <c r="AZ25" s="451">
        <f t="shared" si="37"/>
        <v>-1152</v>
      </c>
      <c r="BA25" s="452">
        <f t="shared" si="37"/>
        <v>-0.19</v>
      </c>
      <c r="BB25" s="452">
        <f t="shared" si="37"/>
        <v>-0.04</v>
      </c>
      <c r="BC25" s="452">
        <f t="shared" si="37"/>
        <v>0</v>
      </c>
      <c r="BD25" s="452">
        <f t="shared" si="37"/>
        <v>0</v>
      </c>
      <c r="BE25" s="452">
        <f t="shared" si="37"/>
        <v>0</v>
      </c>
      <c r="BF25" s="452">
        <f t="shared" si="37"/>
        <v>0</v>
      </c>
      <c r="BG25" s="452">
        <f t="shared" si="37"/>
        <v>0</v>
      </c>
      <c r="BH25" s="452">
        <f t="shared" si="37"/>
        <v>0</v>
      </c>
      <c r="BI25" s="452">
        <f t="shared" si="37"/>
        <v>0</v>
      </c>
      <c r="BJ25" s="452">
        <f t="shared" si="37"/>
        <v>0</v>
      </c>
      <c r="BK25" s="452">
        <f t="shared" si="37"/>
        <v>-0.19</v>
      </c>
      <c r="BL25" s="452">
        <f t="shared" si="37"/>
        <v>-0.04</v>
      </c>
      <c r="BM25" s="456">
        <f t="shared" si="37"/>
        <v>-0.23</v>
      </c>
      <c r="BN25" s="454">
        <f t="shared" si="37"/>
        <v>2588848</v>
      </c>
      <c r="BO25" s="451">
        <f t="shared" si="37"/>
        <v>1804240</v>
      </c>
      <c r="BP25" s="451">
        <f t="shared" si="37"/>
        <v>1506422</v>
      </c>
      <c r="BQ25" s="451">
        <f t="shared" si="37"/>
        <v>297818</v>
      </c>
      <c r="BR25" s="451">
        <f t="shared" si="37"/>
        <v>115200</v>
      </c>
      <c r="BS25" s="451">
        <f t="shared" si="37"/>
        <v>102400</v>
      </c>
      <c r="BT25" s="451">
        <f t="shared" si="37"/>
        <v>12800</v>
      </c>
      <c r="BU25" s="451">
        <f t="shared" si="37"/>
        <v>648771</v>
      </c>
      <c r="BV25" s="451">
        <f t="shared" ref="BV25:CF25" si="39">SUM(BV24)</f>
        <v>18042</v>
      </c>
      <c r="BW25" s="451">
        <f t="shared" si="39"/>
        <v>2595</v>
      </c>
      <c r="BX25" s="452">
        <f t="shared" si="39"/>
        <v>3.68</v>
      </c>
      <c r="BY25" s="452">
        <f t="shared" si="39"/>
        <v>2.72</v>
      </c>
      <c r="BZ25" s="456">
        <f t="shared" si="39"/>
        <v>0.96</v>
      </c>
      <c r="CA25" s="854">
        <f t="shared" si="39"/>
        <v>0</v>
      </c>
      <c r="CB25" s="852">
        <f t="shared" si="39"/>
        <v>0</v>
      </c>
      <c r="CC25" s="852">
        <f t="shared" si="39"/>
        <v>0</v>
      </c>
      <c r="CD25" s="852">
        <f t="shared" si="39"/>
        <v>0</v>
      </c>
      <c r="CE25" s="852">
        <f t="shared" si="39"/>
        <v>0</v>
      </c>
      <c r="CF25" s="848">
        <f t="shared" si="39"/>
        <v>0</v>
      </c>
    </row>
    <row r="26" spans="1:84" ht="13.5" customHeight="1" x14ac:dyDescent="0.2">
      <c r="A26" s="206">
        <v>5</v>
      </c>
      <c r="B26" s="207">
        <v>3447</v>
      </c>
      <c r="C26" s="207">
        <v>600078531</v>
      </c>
      <c r="D26" s="207">
        <v>70694982</v>
      </c>
      <c r="E26" s="205" t="s">
        <v>126</v>
      </c>
      <c r="F26" s="207">
        <v>3113</v>
      </c>
      <c r="G26" s="208" t="s">
        <v>294</v>
      </c>
      <c r="H26" s="684" t="s">
        <v>271</v>
      </c>
      <c r="I26" s="528">
        <f t="shared" ref="I26:I31" si="40">J26+P26+Q26+R26</f>
        <v>20423712</v>
      </c>
      <c r="J26" s="418">
        <f t="shared" ref="J26:J31" si="41">K26+L26</f>
        <v>14964761</v>
      </c>
      <c r="K26" s="418">
        <v>13823347</v>
      </c>
      <c r="L26" s="418">
        <v>1141414</v>
      </c>
      <c r="M26" s="418">
        <f t="shared" ref="M26:M31" si="42">N26+O26</f>
        <v>0</v>
      </c>
      <c r="N26" s="418"/>
      <c r="O26" s="418"/>
      <c r="P26" s="68">
        <f>ROUND(J26*33.8%,0)+1</f>
        <v>5058090</v>
      </c>
      <c r="Q26" s="68">
        <f t="shared" ref="Q26:Q31" si="43">ROUND(J26*1%,0)</f>
        <v>149648</v>
      </c>
      <c r="R26" s="418">
        <v>251213</v>
      </c>
      <c r="S26" s="419">
        <f t="shared" ref="S26:S31" si="44">T26+U26</f>
        <v>22.9041</v>
      </c>
      <c r="T26" s="420">
        <v>19.591100000000001</v>
      </c>
      <c r="U26" s="527">
        <v>3.3129999999999997</v>
      </c>
      <c r="V26" s="427">
        <f t="shared" ref="V26:W31" si="45">AI26*-1</f>
        <v>0</v>
      </c>
      <c r="W26" s="421">
        <f t="shared" si="45"/>
        <v>0</v>
      </c>
      <c r="X26" s="421">
        <v>0</v>
      </c>
      <c r="Y26" s="421">
        <v>0</v>
      </c>
      <c r="Z26" s="421">
        <v>0</v>
      </c>
      <c r="AA26" s="421">
        <v>0</v>
      </c>
      <c r="AB26" s="421">
        <v>282000</v>
      </c>
      <c r="AC26" s="421">
        <v>0</v>
      </c>
      <c r="AD26" s="421">
        <v>0</v>
      </c>
      <c r="AE26" s="421">
        <v>0</v>
      </c>
      <c r="AF26" s="421">
        <f t="shared" ref="AF26:AF31" si="46">V26+X26+Y26+AA26+AB26+AD26</f>
        <v>282000</v>
      </c>
      <c r="AG26" s="421">
        <f t="shared" ref="AG26:AG31" si="47">W26+Z26+AC26+AE26</f>
        <v>0</v>
      </c>
      <c r="AH26" s="421">
        <f t="shared" ref="AH26:AH31" si="48">SUM(AF26:AG26)</f>
        <v>282000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ref="AO26:AO31" si="49">AI26+AK26+AL26+AM26</f>
        <v>0</v>
      </c>
      <c r="AP26" s="421">
        <f t="shared" ref="AP26:AP31" si="50">AJ26+AN26</f>
        <v>0</v>
      </c>
      <c r="AQ26" s="421">
        <f t="shared" ref="AQ26:AQ31" si="51">SUM(AO26:AP26)</f>
        <v>0</v>
      </c>
      <c r="AR26" s="421">
        <f t="shared" ref="AR26:AS31" si="52">AF26+AO26</f>
        <v>282000</v>
      </c>
      <c r="AS26" s="421">
        <f t="shared" si="52"/>
        <v>0</v>
      </c>
      <c r="AT26" s="421">
        <f t="shared" ref="AT26:AT31" si="53">SUM(AR26:AS26)</f>
        <v>282000</v>
      </c>
      <c r="AU26" s="68">
        <f t="shared" ref="AU26:AU31" si="54">ROUND((AH26+AI26+AJ26+AK26+AL26)*33.8%,0)</f>
        <v>95316</v>
      </c>
      <c r="AV26" s="68">
        <f t="shared" ref="AV26:AV31" si="55">ROUND(AH26*1%,0)</f>
        <v>2820</v>
      </c>
      <c r="AW26" s="421">
        <v>0</v>
      </c>
      <c r="AX26" s="421">
        <v>0</v>
      </c>
      <c r="AY26" s="421">
        <f t="shared" ref="AY26:AY31" si="56">AW26+AX26</f>
        <v>0</v>
      </c>
      <c r="AZ26" s="421">
        <f t="shared" ref="AZ26:AZ31" si="57">AT26+AU26+AV26+AY26</f>
        <v>380136</v>
      </c>
      <c r="BA26" s="422">
        <v>0</v>
      </c>
      <c r="BB26" s="422">
        <v>0</v>
      </c>
      <c r="BC26" s="422">
        <v>0</v>
      </c>
      <c r="BD26" s="422">
        <v>0.5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 t="shared" ref="BK26:BK31" si="58">BA26+BC26+BD26+BF26+BH26+BI26</f>
        <v>0.5</v>
      </c>
      <c r="BL26" s="422">
        <f t="shared" ref="BL26:BL31" si="59">BB26+BE26+BG26+BJ26</f>
        <v>0</v>
      </c>
      <c r="BM26" s="611">
        <f t="shared" ref="BM26:BM31" si="60">SUM(BK26:BL26)</f>
        <v>0.5</v>
      </c>
      <c r="BN26" s="428">
        <f t="shared" ref="BN26:BN31" si="61">I26+AZ26</f>
        <v>20803848</v>
      </c>
      <c r="BO26" s="421">
        <f t="shared" ref="BO26:BO31" si="62">J26+AH26</f>
        <v>15246761</v>
      </c>
      <c r="BP26" s="421">
        <f t="shared" ref="BP26:BQ31" si="63">K26+AF26</f>
        <v>14105347</v>
      </c>
      <c r="BQ26" s="421">
        <f t="shared" si="63"/>
        <v>1141414</v>
      </c>
      <c r="BR26" s="421">
        <f t="shared" ref="BR26:BR31" si="64">M26+AQ26</f>
        <v>0</v>
      </c>
      <c r="BS26" s="421">
        <f t="shared" ref="BS26:BT31" si="65">N26+AO26</f>
        <v>0</v>
      </c>
      <c r="BT26" s="421">
        <f t="shared" si="65"/>
        <v>0</v>
      </c>
      <c r="BU26" s="421">
        <f t="shared" ref="BU26:BV31" si="66">P26+AU26</f>
        <v>5153406</v>
      </c>
      <c r="BV26" s="421">
        <f t="shared" si="66"/>
        <v>152468</v>
      </c>
      <c r="BW26" s="421">
        <f t="shared" ref="BW26:BW31" si="67">R26+AY26</f>
        <v>251213</v>
      </c>
      <c r="BX26" s="422">
        <f t="shared" ref="BX26:BX31" si="68">S26+BM26</f>
        <v>23.4041</v>
      </c>
      <c r="BY26" s="422">
        <f t="shared" ref="BY26:BZ31" si="69">T26+BK26</f>
        <v>20.091100000000001</v>
      </c>
      <c r="BZ26" s="611">
        <f t="shared" si="69"/>
        <v>3.3129999999999997</v>
      </c>
      <c r="CA26" s="423">
        <v>380136</v>
      </c>
      <c r="CB26" s="418">
        <v>282000</v>
      </c>
      <c r="CC26" s="418">
        <v>0</v>
      </c>
      <c r="CD26" s="418">
        <v>95316</v>
      </c>
      <c r="CE26" s="418">
        <v>2820</v>
      </c>
      <c r="CF26" s="527">
        <v>0.5</v>
      </c>
    </row>
    <row r="27" spans="1:84" ht="13.5" customHeight="1" x14ac:dyDescent="0.2">
      <c r="A27" s="206">
        <v>5</v>
      </c>
      <c r="B27" s="207">
        <v>3447</v>
      </c>
      <c r="C27" s="207">
        <v>600078531</v>
      </c>
      <c r="D27" s="207">
        <v>70694982</v>
      </c>
      <c r="E27" s="205" t="s">
        <v>126</v>
      </c>
      <c r="F27" s="207">
        <v>3113</v>
      </c>
      <c r="G27" s="208" t="s">
        <v>293</v>
      </c>
      <c r="H27" s="684" t="s">
        <v>271</v>
      </c>
      <c r="I27" s="528">
        <f t="shared" si="40"/>
        <v>463685</v>
      </c>
      <c r="J27" s="418">
        <f t="shared" si="41"/>
        <v>343980</v>
      </c>
      <c r="K27" s="418">
        <v>343980</v>
      </c>
      <c r="L27" s="418">
        <v>0</v>
      </c>
      <c r="M27" s="418">
        <f t="shared" si="42"/>
        <v>0</v>
      </c>
      <c r="N27" s="418"/>
      <c r="O27" s="418"/>
      <c r="P27" s="68">
        <f t="shared" ref="P27:P31" si="70">ROUND(J27*33.8%,0)</f>
        <v>116265</v>
      </c>
      <c r="Q27" s="68">
        <f t="shared" si="43"/>
        <v>3440</v>
      </c>
      <c r="R27" s="418">
        <v>0</v>
      </c>
      <c r="S27" s="419">
        <f t="shared" si="44"/>
        <v>0.75</v>
      </c>
      <c r="T27" s="420">
        <v>0.75</v>
      </c>
      <c r="U27" s="527">
        <v>0</v>
      </c>
      <c r="V27" s="427">
        <f t="shared" si="45"/>
        <v>0</v>
      </c>
      <c r="W27" s="421">
        <f t="shared" si="45"/>
        <v>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 t="shared" si="46"/>
        <v>0</v>
      </c>
      <c r="AG27" s="421">
        <f t="shared" si="47"/>
        <v>0</v>
      </c>
      <c r="AH27" s="421">
        <f t="shared" si="48"/>
        <v>0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49"/>
        <v>0</v>
      </c>
      <c r="AP27" s="421">
        <f t="shared" si="50"/>
        <v>0</v>
      </c>
      <c r="AQ27" s="421">
        <f t="shared" si="51"/>
        <v>0</v>
      </c>
      <c r="AR27" s="421">
        <f t="shared" si="52"/>
        <v>0</v>
      </c>
      <c r="AS27" s="421">
        <f t="shared" si="52"/>
        <v>0</v>
      </c>
      <c r="AT27" s="421">
        <f t="shared" si="53"/>
        <v>0</v>
      </c>
      <c r="AU27" s="68">
        <f t="shared" si="54"/>
        <v>0</v>
      </c>
      <c r="AV27" s="68">
        <f t="shared" si="55"/>
        <v>0</v>
      </c>
      <c r="AW27" s="421">
        <v>0</v>
      </c>
      <c r="AX27" s="421">
        <v>0</v>
      </c>
      <c r="AY27" s="421">
        <f t="shared" si="56"/>
        <v>0</v>
      </c>
      <c r="AZ27" s="421">
        <f t="shared" si="57"/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 t="shared" si="58"/>
        <v>0</v>
      </c>
      <c r="BL27" s="422">
        <f t="shared" si="59"/>
        <v>0</v>
      </c>
      <c r="BM27" s="611">
        <f t="shared" si="60"/>
        <v>0</v>
      </c>
      <c r="BN27" s="428">
        <f t="shared" si="61"/>
        <v>463685</v>
      </c>
      <c r="BO27" s="421">
        <f t="shared" si="62"/>
        <v>343980</v>
      </c>
      <c r="BP27" s="421">
        <f t="shared" si="63"/>
        <v>343980</v>
      </c>
      <c r="BQ27" s="421">
        <f t="shared" si="63"/>
        <v>0</v>
      </c>
      <c r="BR27" s="421">
        <f t="shared" si="64"/>
        <v>0</v>
      </c>
      <c r="BS27" s="421">
        <f t="shared" si="65"/>
        <v>0</v>
      </c>
      <c r="BT27" s="421">
        <f t="shared" si="65"/>
        <v>0</v>
      </c>
      <c r="BU27" s="421">
        <f t="shared" si="66"/>
        <v>116265</v>
      </c>
      <c r="BV27" s="421">
        <f t="shared" si="66"/>
        <v>3440</v>
      </c>
      <c r="BW27" s="421">
        <f t="shared" si="67"/>
        <v>0</v>
      </c>
      <c r="BX27" s="422">
        <f t="shared" si="68"/>
        <v>0.75</v>
      </c>
      <c r="BY27" s="422">
        <f t="shared" si="69"/>
        <v>0.75</v>
      </c>
      <c r="BZ27" s="611">
        <f t="shared" si="69"/>
        <v>0</v>
      </c>
      <c r="CA27" s="423"/>
      <c r="CB27" s="418"/>
      <c r="CC27" s="418"/>
      <c r="CD27" s="418"/>
      <c r="CE27" s="418"/>
      <c r="CF27" s="527"/>
    </row>
    <row r="28" spans="1:84" ht="13.5" customHeight="1" x14ac:dyDescent="0.2">
      <c r="A28" s="206">
        <v>5</v>
      </c>
      <c r="B28" s="207">
        <v>3447</v>
      </c>
      <c r="C28" s="207">
        <v>600078531</v>
      </c>
      <c r="D28" s="207">
        <v>70694982</v>
      </c>
      <c r="E28" s="205" t="s">
        <v>126</v>
      </c>
      <c r="F28" s="207">
        <v>3113</v>
      </c>
      <c r="G28" s="208" t="s">
        <v>299</v>
      </c>
      <c r="H28" s="684" t="s">
        <v>272</v>
      </c>
      <c r="I28" s="528">
        <f t="shared" si="40"/>
        <v>0</v>
      </c>
      <c r="J28" s="418">
        <f t="shared" si="41"/>
        <v>0</v>
      </c>
      <c r="K28" s="418">
        <v>0</v>
      </c>
      <c r="L28" s="418">
        <v>0</v>
      </c>
      <c r="M28" s="418">
        <f t="shared" si="42"/>
        <v>0</v>
      </c>
      <c r="N28" s="418"/>
      <c r="O28" s="418"/>
      <c r="P28" s="68">
        <f t="shared" si="70"/>
        <v>0</v>
      </c>
      <c r="Q28" s="68">
        <f t="shared" si="43"/>
        <v>0</v>
      </c>
      <c r="R28" s="418">
        <v>0</v>
      </c>
      <c r="S28" s="419">
        <f t="shared" si="44"/>
        <v>0</v>
      </c>
      <c r="T28" s="420">
        <v>0</v>
      </c>
      <c r="U28" s="527">
        <v>0</v>
      </c>
      <c r="V28" s="427">
        <f t="shared" si="45"/>
        <v>0</v>
      </c>
      <c r="W28" s="421">
        <f t="shared" si="45"/>
        <v>0</v>
      </c>
      <c r="X28" s="421">
        <f>1631944+20631</f>
        <v>1652575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 t="shared" si="46"/>
        <v>1652575</v>
      </c>
      <c r="AG28" s="421">
        <f t="shared" si="47"/>
        <v>0</v>
      </c>
      <c r="AH28" s="421">
        <f t="shared" si="48"/>
        <v>1652575</v>
      </c>
      <c r="AI28" s="421">
        <v>0</v>
      </c>
      <c r="AJ28" s="421">
        <v>0</v>
      </c>
      <c r="AK28" s="421">
        <v>0</v>
      </c>
      <c r="AL28" s="421">
        <v>0</v>
      </c>
      <c r="AM28" s="421">
        <v>0</v>
      </c>
      <c r="AN28" s="421">
        <v>0</v>
      </c>
      <c r="AO28" s="421">
        <f t="shared" si="49"/>
        <v>0</v>
      </c>
      <c r="AP28" s="421">
        <f t="shared" si="50"/>
        <v>0</v>
      </c>
      <c r="AQ28" s="421">
        <f t="shared" si="51"/>
        <v>0</v>
      </c>
      <c r="AR28" s="421">
        <f t="shared" si="52"/>
        <v>1652575</v>
      </c>
      <c r="AS28" s="421">
        <f t="shared" si="52"/>
        <v>0</v>
      </c>
      <c r="AT28" s="421">
        <f t="shared" si="53"/>
        <v>1652575</v>
      </c>
      <c r="AU28" s="68">
        <f t="shared" si="54"/>
        <v>558570</v>
      </c>
      <c r="AV28" s="68">
        <f t="shared" si="55"/>
        <v>16526</v>
      </c>
      <c r="AW28" s="421">
        <v>5250</v>
      </c>
      <c r="AX28" s="421">
        <v>0</v>
      </c>
      <c r="AY28" s="421">
        <f t="shared" si="56"/>
        <v>5250</v>
      </c>
      <c r="AZ28" s="421">
        <f t="shared" si="57"/>
        <v>2232921</v>
      </c>
      <c r="BA28" s="422">
        <v>0</v>
      </c>
      <c r="BB28" s="422">
        <v>0</v>
      </c>
      <c r="BC28" s="422">
        <f>4.22+0.04</f>
        <v>4.26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 t="shared" si="58"/>
        <v>4.26</v>
      </c>
      <c r="BL28" s="422">
        <f t="shared" si="59"/>
        <v>0</v>
      </c>
      <c r="BM28" s="611">
        <f t="shared" si="60"/>
        <v>4.26</v>
      </c>
      <c r="BN28" s="428">
        <f t="shared" si="61"/>
        <v>2232921</v>
      </c>
      <c r="BO28" s="421">
        <f t="shared" si="62"/>
        <v>1652575</v>
      </c>
      <c r="BP28" s="421">
        <f t="shared" si="63"/>
        <v>1652575</v>
      </c>
      <c r="BQ28" s="421">
        <f t="shared" si="63"/>
        <v>0</v>
      </c>
      <c r="BR28" s="421">
        <f t="shared" si="64"/>
        <v>0</v>
      </c>
      <c r="BS28" s="421">
        <f t="shared" si="65"/>
        <v>0</v>
      </c>
      <c r="BT28" s="421">
        <f t="shared" si="65"/>
        <v>0</v>
      </c>
      <c r="BU28" s="421">
        <f t="shared" si="66"/>
        <v>558570</v>
      </c>
      <c r="BV28" s="421">
        <f t="shared" si="66"/>
        <v>16526</v>
      </c>
      <c r="BW28" s="421">
        <f t="shared" si="67"/>
        <v>5250</v>
      </c>
      <c r="BX28" s="422">
        <f t="shared" si="68"/>
        <v>4.26</v>
      </c>
      <c r="BY28" s="422">
        <f t="shared" si="69"/>
        <v>4.26</v>
      </c>
      <c r="BZ28" s="611">
        <f t="shared" si="69"/>
        <v>0</v>
      </c>
      <c r="CA28" s="423"/>
      <c r="CB28" s="418"/>
      <c r="CC28" s="418"/>
      <c r="CD28" s="418"/>
      <c r="CE28" s="418"/>
      <c r="CF28" s="527"/>
    </row>
    <row r="29" spans="1:84" ht="13.5" customHeight="1" x14ac:dyDescent="0.2">
      <c r="A29" s="206">
        <v>5</v>
      </c>
      <c r="B29" s="207">
        <v>3447</v>
      </c>
      <c r="C29" s="207">
        <v>600078531</v>
      </c>
      <c r="D29" s="207">
        <v>70694982</v>
      </c>
      <c r="E29" s="205" t="s">
        <v>126</v>
      </c>
      <c r="F29" s="207">
        <v>3141</v>
      </c>
      <c r="G29" s="208" t="s">
        <v>295</v>
      </c>
      <c r="H29" s="684" t="s">
        <v>272</v>
      </c>
      <c r="I29" s="528">
        <f t="shared" si="40"/>
        <v>1168085</v>
      </c>
      <c r="J29" s="418">
        <f t="shared" si="41"/>
        <v>860378</v>
      </c>
      <c r="K29" s="418">
        <v>0</v>
      </c>
      <c r="L29" s="418">
        <v>860378</v>
      </c>
      <c r="M29" s="418">
        <f t="shared" si="42"/>
        <v>0</v>
      </c>
      <c r="N29" s="418"/>
      <c r="O29" s="418"/>
      <c r="P29" s="68">
        <f t="shared" si="70"/>
        <v>290808</v>
      </c>
      <c r="Q29" s="68">
        <f t="shared" si="43"/>
        <v>8604</v>
      </c>
      <c r="R29" s="418">
        <v>8295</v>
      </c>
      <c r="S29" s="419">
        <f t="shared" si="44"/>
        <v>2.58</v>
      </c>
      <c r="T29" s="420">
        <v>0</v>
      </c>
      <c r="U29" s="527">
        <v>2.58</v>
      </c>
      <c r="V29" s="427">
        <f t="shared" si="45"/>
        <v>0</v>
      </c>
      <c r="W29" s="421">
        <f t="shared" si="45"/>
        <v>-1920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 t="shared" si="46"/>
        <v>0</v>
      </c>
      <c r="AG29" s="421">
        <f t="shared" si="47"/>
        <v>-1920</v>
      </c>
      <c r="AH29" s="421">
        <f t="shared" si="48"/>
        <v>-1920</v>
      </c>
      <c r="AI29" s="421">
        <v>0</v>
      </c>
      <c r="AJ29" s="421">
        <v>1920</v>
      </c>
      <c r="AK29" s="421">
        <v>0</v>
      </c>
      <c r="AL29" s="421">
        <v>0</v>
      </c>
      <c r="AM29" s="421">
        <v>0</v>
      </c>
      <c r="AN29" s="421">
        <v>0</v>
      </c>
      <c r="AO29" s="421">
        <f t="shared" si="49"/>
        <v>0</v>
      </c>
      <c r="AP29" s="421">
        <f t="shared" si="50"/>
        <v>1920</v>
      </c>
      <c r="AQ29" s="421">
        <f t="shared" si="51"/>
        <v>1920</v>
      </c>
      <c r="AR29" s="421">
        <f t="shared" si="52"/>
        <v>0</v>
      </c>
      <c r="AS29" s="421">
        <f t="shared" si="52"/>
        <v>0</v>
      </c>
      <c r="AT29" s="421">
        <f t="shared" si="53"/>
        <v>0</v>
      </c>
      <c r="AU29" s="68">
        <f t="shared" si="54"/>
        <v>0</v>
      </c>
      <c r="AV29" s="68">
        <f t="shared" si="55"/>
        <v>-19</v>
      </c>
      <c r="AW29" s="421">
        <v>0</v>
      </c>
      <c r="AX29" s="421">
        <v>0</v>
      </c>
      <c r="AY29" s="421">
        <f t="shared" si="56"/>
        <v>0</v>
      </c>
      <c r="AZ29" s="421">
        <f t="shared" si="57"/>
        <v>-19</v>
      </c>
      <c r="BA29" s="422">
        <v>0</v>
      </c>
      <c r="BB29" s="422">
        <v>0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 t="shared" si="58"/>
        <v>0</v>
      </c>
      <c r="BL29" s="422">
        <f t="shared" si="59"/>
        <v>0</v>
      </c>
      <c r="BM29" s="611">
        <f t="shared" si="60"/>
        <v>0</v>
      </c>
      <c r="BN29" s="428">
        <f t="shared" si="61"/>
        <v>1168066</v>
      </c>
      <c r="BO29" s="421">
        <f t="shared" si="62"/>
        <v>858458</v>
      </c>
      <c r="BP29" s="421">
        <f t="shared" si="63"/>
        <v>0</v>
      </c>
      <c r="BQ29" s="421">
        <f t="shared" si="63"/>
        <v>858458</v>
      </c>
      <c r="BR29" s="421">
        <f t="shared" si="64"/>
        <v>1920</v>
      </c>
      <c r="BS29" s="421">
        <f t="shared" si="65"/>
        <v>0</v>
      </c>
      <c r="BT29" s="421">
        <f t="shared" si="65"/>
        <v>1920</v>
      </c>
      <c r="BU29" s="421">
        <f t="shared" si="66"/>
        <v>290808</v>
      </c>
      <c r="BV29" s="421">
        <f t="shared" si="66"/>
        <v>8585</v>
      </c>
      <c r="BW29" s="421">
        <f t="shared" si="67"/>
        <v>8295</v>
      </c>
      <c r="BX29" s="422">
        <f t="shared" si="68"/>
        <v>2.58</v>
      </c>
      <c r="BY29" s="422">
        <f t="shared" si="69"/>
        <v>0</v>
      </c>
      <c r="BZ29" s="611">
        <f t="shared" si="69"/>
        <v>2.58</v>
      </c>
      <c r="CA29" s="423"/>
      <c r="CB29" s="418"/>
      <c r="CC29" s="418"/>
      <c r="CD29" s="418"/>
      <c r="CE29" s="418"/>
      <c r="CF29" s="527"/>
    </row>
    <row r="30" spans="1:84" ht="13.5" customHeight="1" x14ac:dyDescent="0.2">
      <c r="A30" s="206">
        <v>5</v>
      </c>
      <c r="B30" s="207">
        <v>3447</v>
      </c>
      <c r="C30" s="207">
        <v>600078531</v>
      </c>
      <c r="D30" s="207">
        <v>70694982</v>
      </c>
      <c r="E30" s="205" t="s">
        <v>126</v>
      </c>
      <c r="F30" s="207">
        <v>3143</v>
      </c>
      <c r="G30" s="208" t="s">
        <v>596</v>
      </c>
      <c r="H30" s="686" t="s">
        <v>271</v>
      </c>
      <c r="I30" s="528">
        <f t="shared" si="40"/>
        <v>1794759</v>
      </c>
      <c r="J30" s="418">
        <f t="shared" si="41"/>
        <v>1331424</v>
      </c>
      <c r="K30" s="418">
        <v>1331424</v>
      </c>
      <c r="L30" s="418">
        <v>0</v>
      </c>
      <c r="M30" s="418">
        <f t="shared" si="42"/>
        <v>0</v>
      </c>
      <c r="N30" s="418"/>
      <c r="O30" s="418"/>
      <c r="P30" s="68">
        <f t="shared" si="70"/>
        <v>450021</v>
      </c>
      <c r="Q30" s="68">
        <f t="shared" si="43"/>
        <v>13314</v>
      </c>
      <c r="R30" s="418">
        <v>0</v>
      </c>
      <c r="S30" s="419">
        <f t="shared" si="44"/>
        <v>2.75</v>
      </c>
      <c r="T30" s="420">
        <v>2.75</v>
      </c>
      <c r="U30" s="527">
        <v>0</v>
      </c>
      <c r="V30" s="427">
        <f t="shared" si="45"/>
        <v>-6720</v>
      </c>
      <c r="W30" s="421">
        <f t="shared" si="45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 t="shared" si="46"/>
        <v>-6720</v>
      </c>
      <c r="AG30" s="421">
        <f t="shared" si="47"/>
        <v>0</v>
      </c>
      <c r="AH30" s="421">
        <f t="shared" si="48"/>
        <v>-6720</v>
      </c>
      <c r="AI30" s="421">
        <v>6720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49"/>
        <v>6720</v>
      </c>
      <c r="AP30" s="421">
        <f t="shared" si="50"/>
        <v>0</v>
      </c>
      <c r="AQ30" s="421">
        <f t="shared" si="51"/>
        <v>6720</v>
      </c>
      <c r="AR30" s="421">
        <f t="shared" si="52"/>
        <v>0</v>
      </c>
      <c r="AS30" s="421">
        <f t="shared" si="52"/>
        <v>0</v>
      </c>
      <c r="AT30" s="421">
        <f t="shared" si="53"/>
        <v>0</v>
      </c>
      <c r="AU30" s="68">
        <f t="shared" si="54"/>
        <v>0</v>
      </c>
      <c r="AV30" s="68">
        <f t="shared" si="55"/>
        <v>-67</v>
      </c>
      <c r="AW30" s="421">
        <v>0</v>
      </c>
      <c r="AX30" s="421">
        <v>0</v>
      </c>
      <c r="AY30" s="421">
        <f t="shared" si="56"/>
        <v>0</v>
      </c>
      <c r="AZ30" s="421">
        <f t="shared" si="57"/>
        <v>-67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 t="shared" si="58"/>
        <v>0</v>
      </c>
      <c r="BL30" s="422">
        <f t="shared" si="59"/>
        <v>0</v>
      </c>
      <c r="BM30" s="611">
        <f t="shared" si="60"/>
        <v>0</v>
      </c>
      <c r="BN30" s="428">
        <f t="shared" si="61"/>
        <v>1794692</v>
      </c>
      <c r="BO30" s="421">
        <f t="shared" si="62"/>
        <v>1324704</v>
      </c>
      <c r="BP30" s="421">
        <f t="shared" si="63"/>
        <v>1324704</v>
      </c>
      <c r="BQ30" s="421">
        <f t="shared" si="63"/>
        <v>0</v>
      </c>
      <c r="BR30" s="421">
        <f t="shared" si="64"/>
        <v>6720</v>
      </c>
      <c r="BS30" s="421">
        <f t="shared" si="65"/>
        <v>6720</v>
      </c>
      <c r="BT30" s="421">
        <f t="shared" si="65"/>
        <v>0</v>
      </c>
      <c r="BU30" s="421">
        <f t="shared" si="66"/>
        <v>450021</v>
      </c>
      <c r="BV30" s="421">
        <f t="shared" si="66"/>
        <v>13247</v>
      </c>
      <c r="BW30" s="421">
        <f t="shared" si="67"/>
        <v>0</v>
      </c>
      <c r="BX30" s="422">
        <f t="shared" si="68"/>
        <v>2.75</v>
      </c>
      <c r="BY30" s="422">
        <f t="shared" si="69"/>
        <v>2.75</v>
      </c>
      <c r="BZ30" s="611">
        <f t="shared" si="69"/>
        <v>0</v>
      </c>
      <c r="CA30" s="423"/>
      <c r="CB30" s="418"/>
      <c r="CC30" s="418"/>
      <c r="CD30" s="418"/>
      <c r="CE30" s="418"/>
      <c r="CF30" s="527"/>
    </row>
    <row r="31" spans="1:84" ht="13.5" customHeight="1" x14ac:dyDescent="0.2">
      <c r="A31" s="206">
        <v>5</v>
      </c>
      <c r="B31" s="207">
        <v>3447</v>
      </c>
      <c r="C31" s="207">
        <v>600078531</v>
      </c>
      <c r="D31" s="207">
        <v>70694982</v>
      </c>
      <c r="E31" s="205" t="s">
        <v>126</v>
      </c>
      <c r="F31" s="207">
        <v>3143</v>
      </c>
      <c r="G31" s="208" t="s">
        <v>597</v>
      </c>
      <c r="H31" s="686" t="s">
        <v>272</v>
      </c>
      <c r="I31" s="528">
        <f t="shared" si="40"/>
        <v>30724</v>
      </c>
      <c r="J31" s="418">
        <f t="shared" si="41"/>
        <v>21991</v>
      </c>
      <c r="K31" s="418">
        <v>0</v>
      </c>
      <c r="L31" s="418">
        <v>21991</v>
      </c>
      <c r="M31" s="418">
        <f t="shared" si="42"/>
        <v>0</v>
      </c>
      <c r="N31" s="418"/>
      <c r="O31" s="418"/>
      <c r="P31" s="68">
        <f t="shared" si="70"/>
        <v>7433</v>
      </c>
      <c r="Q31" s="68">
        <f t="shared" si="43"/>
        <v>220</v>
      </c>
      <c r="R31" s="418">
        <v>1080</v>
      </c>
      <c r="S31" s="419">
        <f t="shared" si="44"/>
        <v>0.08</v>
      </c>
      <c r="T31" s="420">
        <v>0</v>
      </c>
      <c r="U31" s="527">
        <v>0.08</v>
      </c>
      <c r="V31" s="427">
        <f t="shared" si="45"/>
        <v>0</v>
      </c>
      <c r="W31" s="421">
        <f t="shared" si="45"/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f t="shared" si="46"/>
        <v>0</v>
      </c>
      <c r="AG31" s="421">
        <f t="shared" si="47"/>
        <v>0</v>
      </c>
      <c r="AH31" s="421">
        <f t="shared" si="48"/>
        <v>0</v>
      </c>
      <c r="AI31" s="421">
        <v>0</v>
      </c>
      <c r="AJ31" s="421">
        <v>0</v>
      </c>
      <c r="AK31" s="421">
        <v>0</v>
      </c>
      <c r="AL31" s="421">
        <v>0</v>
      </c>
      <c r="AM31" s="421">
        <v>0</v>
      </c>
      <c r="AN31" s="421">
        <v>0</v>
      </c>
      <c r="AO31" s="421">
        <f t="shared" si="49"/>
        <v>0</v>
      </c>
      <c r="AP31" s="421">
        <f t="shared" si="50"/>
        <v>0</v>
      </c>
      <c r="AQ31" s="421">
        <f t="shared" si="51"/>
        <v>0</v>
      </c>
      <c r="AR31" s="421">
        <f t="shared" si="52"/>
        <v>0</v>
      </c>
      <c r="AS31" s="421">
        <f t="shared" si="52"/>
        <v>0</v>
      </c>
      <c r="AT31" s="421">
        <f t="shared" si="53"/>
        <v>0</v>
      </c>
      <c r="AU31" s="68">
        <f t="shared" si="54"/>
        <v>0</v>
      </c>
      <c r="AV31" s="68">
        <f t="shared" si="55"/>
        <v>0</v>
      </c>
      <c r="AW31" s="421">
        <v>0</v>
      </c>
      <c r="AX31" s="421">
        <v>0</v>
      </c>
      <c r="AY31" s="421">
        <f t="shared" si="56"/>
        <v>0</v>
      </c>
      <c r="AZ31" s="421">
        <f t="shared" si="57"/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 t="shared" si="58"/>
        <v>0</v>
      </c>
      <c r="BL31" s="422">
        <f t="shared" si="59"/>
        <v>0</v>
      </c>
      <c r="BM31" s="611">
        <f t="shared" si="60"/>
        <v>0</v>
      </c>
      <c r="BN31" s="428">
        <f t="shared" si="61"/>
        <v>30724</v>
      </c>
      <c r="BO31" s="421">
        <f t="shared" si="62"/>
        <v>21991</v>
      </c>
      <c r="BP31" s="421">
        <f t="shared" si="63"/>
        <v>0</v>
      </c>
      <c r="BQ31" s="421">
        <f t="shared" si="63"/>
        <v>21991</v>
      </c>
      <c r="BR31" s="421">
        <f t="shared" si="64"/>
        <v>0</v>
      </c>
      <c r="BS31" s="421">
        <f t="shared" si="65"/>
        <v>0</v>
      </c>
      <c r="BT31" s="421">
        <f t="shared" si="65"/>
        <v>0</v>
      </c>
      <c r="BU31" s="421">
        <f t="shared" si="66"/>
        <v>7433</v>
      </c>
      <c r="BV31" s="421">
        <f t="shared" si="66"/>
        <v>220</v>
      </c>
      <c r="BW31" s="421">
        <f t="shared" si="67"/>
        <v>1080</v>
      </c>
      <c r="BX31" s="422">
        <f t="shared" si="68"/>
        <v>0.08</v>
      </c>
      <c r="BY31" s="422">
        <f t="shared" si="69"/>
        <v>0</v>
      </c>
      <c r="BZ31" s="611">
        <f t="shared" si="69"/>
        <v>0.08</v>
      </c>
      <c r="CA31" s="423"/>
      <c r="CB31" s="418"/>
      <c r="CC31" s="418"/>
      <c r="CD31" s="418"/>
      <c r="CE31" s="418"/>
      <c r="CF31" s="527"/>
    </row>
    <row r="32" spans="1:84" ht="13.5" customHeight="1" x14ac:dyDescent="0.2">
      <c r="A32" s="155">
        <v>5</v>
      </c>
      <c r="B32" s="18">
        <v>3447</v>
      </c>
      <c r="C32" s="18">
        <v>600078531</v>
      </c>
      <c r="D32" s="18">
        <v>70694982</v>
      </c>
      <c r="E32" s="164" t="s">
        <v>127</v>
      </c>
      <c r="F32" s="18"/>
      <c r="G32" s="154"/>
      <c r="H32" s="685"/>
      <c r="I32" s="458">
        <f t="shared" ref="I32:BT32" si="71">SUM(I26:I31)</f>
        <v>23880965</v>
      </c>
      <c r="J32" s="451">
        <f t="shared" si="71"/>
        <v>17522534</v>
      </c>
      <c r="K32" s="451">
        <f t="shared" si="71"/>
        <v>15498751</v>
      </c>
      <c r="L32" s="451">
        <f t="shared" si="71"/>
        <v>2023783</v>
      </c>
      <c r="M32" s="451">
        <f t="shared" si="71"/>
        <v>0</v>
      </c>
      <c r="N32" s="451">
        <f t="shared" si="71"/>
        <v>0</v>
      </c>
      <c r="O32" s="451">
        <f t="shared" si="71"/>
        <v>0</v>
      </c>
      <c r="P32" s="451">
        <f t="shared" si="71"/>
        <v>5922617</v>
      </c>
      <c r="Q32" s="451">
        <f t="shared" si="71"/>
        <v>175226</v>
      </c>
      <c r="R32" s="451">
        <f t="shared" si="71"/>
        <v>260588</v>
      </c>
      <c r="S32" s="452">
        <f t="shared" si="71"/>
        <v>29.064099999999996</v>
      </c>
      <c r="T32" s="452">
        <f t="shared" si="71"/>
        <v>23.091100000000001</v>
      </c>
      <c r="U32" s="39">
        <f t="shared" si="71"/>
        <v>5.9729999999999999</v>
      </c>
      <c r="V32" s="458">
        <f t="shared" si="71"/>
        <v>-6720</v>
      </c>
      <c r="W32" s="451">
        <f t="shared" si="71"/>
        <v>-1920</v>
      </c>
      <c r="X32" s="451">
        <f t="shared" si="71"/>
        <v>1652575</v>
      </c>
      <c r="Y32" s="451">
        <f t="shared" si="71"/>
        <v>0</v>
      </c>
      <c r="Z32" s="451">
        <f t="shared" si="71"/>
        <v>0</v>
      </c>
      <c r="AA32" s="451">
        <f t="shared" si="71"/>
        <v>0</v>
      </c>
      <c r="AB32" s="451">
        <f t="shared" si="71"/>
        <v>282000</v>
      </c>
      <c r="AC32" s="451">
        <f t="shared" si="71"/>
        <v>0</v>
      </c>
      <c r="AD32" s="451">
        <f t="shared" si="71"/>
        <v>0</v>
      </c>
      <c r="AE32" s="451">
        <f t="shared" si="71"/>
        <v>0</v>
      </c>
      <c r="AF32" s="451">
        <f t="shared" si="71"/>
        <v>1927855</v>
      </c>
      <c r="AG32" s="451">
        <f t="shared" si="71"/>
        <v>-1920</v>
      </c>
      <c r="AH32" s="451">
        <f t="shared" si="71"/>
        <v>1925935</v>
      </c>
      <c r="AI32" s="451">
        <f t="shared" si="71"/>
        <v>6720</v>
      </c>
      <c r="AJ32" s="451">
        <f t="shared" si="71"/>
        <v>1920</v>
      </c>
      <c r="AK32" s="451">
        <f t="shared" ref="AK32" si="72">SUM(AK26:AK31)</f>
        <v>0</v>
      </c>
      <c r="AL32" s="451">
        <f t="shared" si="71"/>
        <v>0</v>
      </c>
      <c r="AM32" s="451">
        <f t="shared" si="71"/>
        <v>0</v>
      </c>
      <c r="AN32" s="451">
        <f t="shared" si="71"/>
        <v>0</v>
      </c>
      <c r="AO32" s="451">
        <f t="shared" si="71"/>
        <v>6720</v>
      </c>
      <c r="AP32" s="451">
        <f t="shared" si="71"/>
        <v>1920</v>
      </c>
      <c r="AQ32" s="451">
        <f t="shared" si="71"/>
        <v>8640</v>
      </c>
      <c r="AR32" s="451">
        <f t="shared" si="71"/>
        <v>1934575</v>
      </c>
      <c r="AS32" s="451">
        <f t="shared" si="71"/>
        <v>0</v>
      </c>
      <c r="AT32" s="451">
        <f t="shared" si="71"/>
        <v>1934575</v>
      </c>
      <c r="AU32" s="451">
        <f t="shared" si="71"/>
        <v>653886</v>
      </c>
      <c r="AV32" s="451">
        <f t="shared" si="71"/>
        <v>19260</v>
      </c>
      <c r="AW32" s="451">
        <f t="shared" si="71"/>
        <v>5250</v>
      </c>
      <c r="AX32" s="451">
        <f t="shared" si="71"/>
        <v>0</v>
      </c>
      <c r="AY32" s="451">
        <f t="shared" si="71"/>
        <v>5250</v>
      </c>
      <c r="AZ32" s="451">
        <f t="shared" si="71"/>
        <v>2612971</v>
      </c>
      <c r="BA32" s="452">
        <f t="shared" si="71"/>
        <v>0</v>
      </c>
      <c r="BB32" s="452">
        <f t="shared" si="71"/>
        <v>0</v>
      </c>
      <c r="BC32" s="452">
        <f t="shared" si="71"/>
        <v>4.26</v>
      </c>
      <c r="BD32" s="452">
        <f t="shared" si="71"/>
        <v>0.5</v>
      </c>
      <c r="BE32" s="452">
        <f t="shared" si="71"/>
        <v>0</v>
      </c>
      <c r="BF32" s="452">
        <f t="shared" si="71"/>
        <v>0</v>
      </c>
      <c r="BG32" s="452">
        <f t="shared" si="71"/>
        <v>0</v>
      </c>
      <c r="BH32" s="452">
        <f t="shared" si="71"/>
        <v>0</v>
      </c>
      <c r="BI32" s="452">
        <f t="shared" si="71"/>
        <v>0</v>
      </c>
      <c r="BJ32" s="452">
        <f t="shared" si="71"/>
        <v>0</v>
      </c>
      <c r="BK32" s="452">
        <f t="shared" si="71"/>
        <v>4.76</v>
      </c>
      <c r="BL32" s="452">
        <f t="shared" si="71"/>
        <v>0</v>
      </c>
      <c r="BM32" s="456">
        <f t="shared" si="71"/>
        <v>4.76</v>
      </c>
      <c r="BN32" s="454">
        <f t="shared" si="71"/>
        <v>26493936</v>
      </c>
      <c r="BO32" s="451">
        <f t="shared" si="71"/>
        <v>19448469</v>
      </c>
      <c r="BP32" s="451">
        <f t="shared" si="71"/>
        <v>17426606</v>
      </c>
      <c r="BQ32" s="451">
        <f t="shared" si="71"/>
        <v>2021863</v>
      </c>
      <c r="BR32" s="451">
        <f t="shared" si="71"/>
        <v>8640</v>
      </c>
      <c r="BS32" s="451">
        <f t="shared" si="71"/>
        <v>6720</v>
      </c>
      <c r="BT32" s="451">
        <f t="shared" si="71"/>
        <v>1920</v>
      </c>
      <c r="BU32" s="451">
        <f t="shared" ref="BU32:CF32" si="73">SUM(BU26:BU31)</f>
        <v>6576503</v>
      </c>
      <c r="BV32" s="451">
        <f t="shared" si="73"/>
        <v>194486</v>
      </c>
      <c r="BW32" s="451">
        <f t="shared" si="73"/>
        <v>265838</v>
      </c>
      <c r="BX32" s="452">
        <f t="shared" si="73"/>
        <v>33.824099999999994</v>
      </c>
      <c r="BY32" s="452">
        <f t="shared" si="73"/>
        <v>27.851100000000002</v>
      </c>
      <c r="BZ32" s="456">
        <f t="shared" si="73"/>
        <v>5.9729999999999999</v>
      </c>
      <c r="CA32" s="854">
        <f t="shared" si="73"/>
        <v>380136</v>
      </c>
      <c r="CB32" s="852">
        <f t="shared" si="73"/>
        <v>282000</v>
      </c>
      <c r="CC32" s="852">
        <f t="shared" si="73"/>
        <v>0</v>
      </c>
      <c r="CD32" s="852">
        <f t="shared" si="73"/>
        <v>95316</v>
      </c>
      <c r="CE32" s="852">
        <f t="shared" si="73"/>
        <v>2820</v>
      </c>
      <c r="CF32" s="848">
        <f t="shared" si="73"/>
        <v>0.5</v>
      </c>
    </row>
    <row r="33" spans="1:84" ht="13.5" customHeight="1" x14ac:dyDescent="0.2">
      <c r="A33" s="206">
        <v>6</v>
      </c>
      <c r="B33" s="207">
        <v>3446</v>
      </c>
      <c r="C33" s="207">
        <v>600078515</v>
      </c>
      <c r="D33" s="207">
        <v>70694974</v>
      </c>
      <c r="E33" s="205" t="s">
        <v>128</v>
      </c>
      <c r="F33" s="207">
        <v>3113</v>
      </c>
      <c r="G33" s="208" t="s">
        <v>294</v>
      </c>
      <c r="H33" s="684" t="s">
        <v>271</v>
      </c>
      <c r="I33" s="528">
        <f t="shared" ref="I33:I37" si="74">J33+P33+Q33+R33</f>
        <v>25272021</v>
      </c>
      <c r="J33" s="418">
        <f>K33+L33</f>
        <v>18483824</v>
      </c>
      <c r="K33" s="418">
        <v>17106105</v>
      </c>
      <c r="L33" s="418">
        <v>1377719</v>
      </c>
      <c r="M33" s="418">
        <f>N33+O33</f>
        <v>0</v>
      </c>
      <c r="N33" s="418"/>
      <c r="O33" s="418"/>
      <c r="P33" s="68">
        <f>ROUND(J33*33.8%,0)-1</f>
        <v>6247532</v>
      </c>
      <c r="Q33" s="68">
        <f>ROUND(J33*1%,0)+1</f>
        <v>184839</v>
      </c>
      <c r="R33" s="418">
        <v>355826</v>
      </c>
      <c r="S33" s="419">
        <f>T33+U33</f>
        <v>29.364599999999999</v>
      </c>
      <c r="T33" s="420">
        <v>25.3185</v>
      </c>
      <c r="U33" s="527">
        <v>4.0461</v>
      </c>
      <c r="V33" s="427">
        <f t="shared" ref="V33:W37" si="75">AI33*-1</f>
        <v>-3200</v>
      </c>
      <c r="W33" s="421">
        <f t="shared" si="75"/>
        <v>0</v>
      </c>
      <c r="X33" s="421">
        <v>0</v>
      </c>
      <c r="Y33" s="421">
        <v>0</v>
      </c>
      <c r="Z33" s="421">
        <v>0</v>
      </c>
      <c r="AA33" s="421">
        <v>121808</v>
      </c>
      <c r="AB33" s="421">
        <v>0</v>
      </c>
      <c r="AC33" s="421">
        <v>0</v>
      </c>
      <c r="AD33" s="421">
        <v>0</v>
      </c>
      <c r="AE33" s="421">
        <v>0</v>
      </c>
      <c r="AF33" s="421">
        <f>V33+X33+Y33+AA33+AB33+AD33</f>
        <v>118608</v>
      </c>
      <c r="AG33" s="421">
        <f>W33+Z33+AC33+AE33</f>
        <v>0</v>
      </c>
      <c r="AH33" s="421">
        <f>SUM(AF33:AG33)</f>
        <v>118608</v>
      </c>
      <c r="AI33" s="421">
        <v>3200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ref="AO33:AO37" si="76">AI33+AK33+AL33+AM33</f>
        <v>3200</v>
      </c>
      <c r="AP33" s="421">
        <f>AJ33+AN33</f>
        <v>0</v>
      </c>
      <c r="AQ33" s="421">
        <f>SUM(AO33:AP33)</f>
        <v>3200</v>
      </c>
      <c r="AR33" s="421">
        <f t="shared" ref="AR33:AS37" si="77">AF33+AO33</f>
        <v>121808</v>
      </c>
      <c r="AS33" s="421">
        <f t="shared" si="77"/>
        <v>0</v>
      </c>
      <c r="AT33" s="421">
        <f>SUM(AR33:AS33)</f>
        <v>121808</v>
      </c>
      <c r="AU33" s="68">
        <f t="shared" ref="AU33:AU37" si="78">ROUND((AH33+AI33+AJ33+AK33+AL33)*33.8%,0)</f>
        <v>41171</v>
      </c>
      <c r="AV33" s="68">
        <f>ROUND(AH33*1%,0)</f>
        <v>1186</v>
      </c>
      <c r="AW33" s="421">
        <v>0</v>
      </c>
      <c r="AX33" s="421">
        <v>0</v>
      </c>
      <c r="AY33" s="421">
        <f>AW33+AX33</f>
        <v>0</v>
      </c>
      <c r="AZ33" s="421">
        <f>AT33+AU33+AV33+AY33</f>
        <v>164165</v>
      </c>
      <c r="BA33" s="422">
        <v>-0.01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0.17</v>
      </c>
      <c r="BI33" s="422">
        <v>0</v>
      </c>
      <c r="BJ33" s="422">
        <v>0</v>
      </c>
      <c r="BK33" s="422">
        <f>BA33+BC33+BD33+BF33+BH33+BI33</f>
        <v>0.16</v>
      </c>
      <c r="BL33" s="422">
        <f>BB33+BE33+BG33+BJ33</f>
        <v>0</v>
      </c>
      <c r="BM33" s="611">
        <f>SUM(BK33:BL33)</f>
        <v>0.16</v>
      </c>
      <c r="BN33" s="428">
        <f>I33+AZ33</f>
        <v>25436186</v>
      </c>
      <c r="BO33" s="421">
        <f>J33+AH33</f>
        <v>18602432</v>
      </c>
      <c r="BP33" s="421">
        <f t="shared" ref="BP33:BQ37" si="79">K33+AF33</f>
        <v>17224713</v>
      </c>
      <c r="BQ33" s="421">
        <f t="shared" si="79"/>
        <v>1377719</v>
      </c>
      <c r="BR33" s="421">
        <f>M33+AQ33</f>
        <v>3200</v>
      </c>
      <c r="BS33" s="421">
        <f t="shared" ref="BS33:BT37" si="80">N33+AO33</f>
        <v>3200</v>
      </c>
      <c r="BT33" s="421">
        <f t="shared" si="80"/>
        <v>0</v>
      </c>
      <c r="BU33" s="421">
        <f t="shared" ref="BU33:BV37" si="81">P33+AU33</f>
        <v>6288703</v>
      </c>
      <c r="BV33" s="421">
        <f t="shared" si="81"/>
        <v>186025</v>
      </c>
      <c r="BW33" s="421">
        <f>R33+AY33</f>
        <v>355826</v>
      </c>
      <c r="BX33" s="422">
        <f>S33+BM33</f>
        <v>29.5246</v>
      </c>
      <c r="BY33" s="422">
        <f t="shared" ref="BY33:BZ37" si="82">T33+BK33</f>
        <v>25.4785</v>
      </c>
      <c r="BZ33" s="611">
        <f t="shared" si="82"/>
        <v>4.0461</v>
      </c>
      <c r="CA33" s="423"/>
      <c r="CB33" s="418"/>
      <c r="CC33" s="418"/>
      <c r="CD33" s="418"/>
      <c r="CE33" s="418"/>
      <c r="CF33" s="527"/>
    </row>
    <row r="34" spans="1:84" ht="13.5" customHeight="1" x14ac:dyDescent="0.2">
      <c r="A34" s="206">
        <v>6</v>
      </c>
      <c r="B34" s="207">
        <v>3446</v>
      </c>
      <c r="C34" s="207">
        <v>600078515</v>
      </c>
      <c r="D34" s="207">
        <v>70694974</v>
      </c>
      <c r="E34" s="205" t="s">
        <v>128</v>
      </c>
      <c r="F34" s="207">
        <v>3113</v>
      </c>
      <c r="G34" s="208" t="s">
        <v>292</v>
      </c>
      <c r="H34" s="684" t="s">
        <v>272</v>
      </c>
      <c r="I34" s="528">
        <f t="shared" si="74"/>
        <v>0</v>
      </c>
      <c r="J34" s="418">
        <f>K34+L34</f>
        <v>0</v>
      </c>
      <c r="K34" s="418">
        <v>0</v>
      </c>
      <c r="L34" s="418">
        <v>0</v>
      </c>
      <c r="M34" s="418">
        <f>N34+O34</f>
        <v>0</v>
      </c>
      <c r="N34" s="418"/>
      <c r="O34" s="418"/>
      <c r="P34" s="68">
        <f t="shared" ref="P34:P37" si="83">ROUND(J34*33.8%,0)</f>
        <v>0</v>
      </c>
      <c r="Q34" s="68">
        <f t="shared" ref="Q34:Q37" si="84">ROUND(J34*1%,0)</f>
        <v>0</v>
      </c>
      <c r="R34" s="418">
        <v>0</v>
      </c>
      <c r="S34" s="419">
        <f>T34+U34</f>
        <v>0</v>
      </c>
      <c r="T34" s="420">
        <v>0</v>
      </c>
      <c r="U34" s="527">
        <v>0</v>
      </c>
      <c r="V34" s="427">
        <f t="shared" si="75"/>
        <v>0</v>
      </c>
      <c r="W34" s="421">
        <f t="shared" si="75"/>
        <v>0</v>
      </c>
      <c r="X34" s="421">
        <v>978508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978508</v>
      </c>
      <c r="AG34" s="421">
        <f>W34+Z34+AC34+AE34</f>
        <v>0</v>
      </c>
      <c r="AH34" s="421">
        <f>SUM(AF34:AG34)</f>
        <v>978508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76"/>
        <v>0</v>
      </c>
      <c r="AP34" s="421">
        <f>AJ34+AN34</f>
        <v>0</v>
      </c>
      <c r="AQ34" s="421">
        <f>SUM(AO34:AP34)</f>
        <v>0</v>
      </c>
      <c r="AR34" s="421">
        <f t="shared" si="77"/>
        <v>978508</v>
      </c>
      <c r="AS34" s="421">
        <f t="shared" si="77"/>
        <v>0</v>
      </c>
      <c r="AT34" s="421">
        <f>SUM(AR34:AS34)</f>
        <v>978508</v>
      </c>
      <c r="AU34" s="68">
        <f t="shared" si="78"/>
        <v>330736</v>
      </c>
      <c r="AV34" s="68">
        <f>ROUND(AH34*1%,0)</f>
        <v>9785</v>
      </c>
      <c r="AW34" s="421">
        <v>0</v>
      </c>
      <c r="AX34" s="421">
        <v>0</v>
      </c>
      <c r="AY34" s="421">
        <f>AW34+AX34</f>
        <v>0</v>
      </c>
      <c r="AZ34" s="421">
        <f>AT34+AU34+AV34+AY34</f>
        <v>1319029</v>
      </c>
      <c r="BA34" s="422">
        <v>0</v>
      </c>
      <c r="BB34" s="422">
        <v>0</v>
      </c>
      <c r="BC34" s="422">
        <v>2.64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2.64</v>
      </c>
      <c r="BL34" s="422">
        <f>BB34+BE34+BG34+BJ34</f>
        <v>0</v>
      </c>
      <c r="BM34" s="611">
        <f>SUM(BK34:BL34)</f>
        <v>2.64</v>
      </c>
      <c r="BN34" s="428">
        <f>I34+AZ34</f>
        <v>1319029</v>
      </c>
      <c r="BO34" s="421">
        <f>J34+AH34</f>
        <v>978508</v>
      </c>
      <c r="BP34" s="421">
        <f t="shared" si="79"/>
        <v>978508</v>
      </c>
      <c r="BQ34" s="421">
        <f t="shared" si="79"/>
        <v>0</v>
      </c>
      <c r="BR34" s="421">
        <f>M34+AQ34</f>
        <v>0</v>
      </c>
      <c r="BS34" s="421">
        <f t="shared" si="80"/>
        <v>0</v>
      </c>
      <c r="BT34" s="421">
        <f t="shared" si="80"/>
        <v>0</v>
      </c>
      <c r="BU34" s="421">
        <f t="shared" si="81"/>
        <v>330736</v>
      </c>
      <c r="BV34" s="421">
        <f t="shared" si="81"/>
        <v>9785</v>
      </c>
      <c r="BW34" s="421">
        <f>R34+AY34</f>
        <v>0</v>
      </c>
      <c r="BX34" s="422">
        <f>S34+BM34</f>
        <v>2.64</v>
      </c>
      <c r="BY34" s="422">
        <f t="shared" si="82"/>
        <v>2.64</v>
      </c>
      <c r="BZ34" s="611">
        <f t="shared" si="82"/>
        <v>0</v>
      </c>
      <c r="CA34" s="423"/>
      <c r="CB34" s="418"/>
      <c r="CC34" s="418"/>
      <c r="CD34" s="418"/>
      <c r="CE34" s="418"/>
      <c r="CF34" s="527"/>
    </row>
    <row r="35" spans="1:84" ht="13.5" customHeight="1" x14ac:dyDescent="0.2">
      <c r="A35" s="206">
        <v>6</v>
      </c>
      <c r="B35" s="207">
        <v>3446</v>
      </c>
      <c r="C35" s="207">
        <v>600078515</v>
      </c>
      <c r="D35" s="207">
        <v>70694974</v>
      </c>
      <c r="E35" s="205" t="s">
        <v>128</v>
      </c>
      <c r="F35" s="207">
        <v>3141</v>
      </c>
      <c r="G35" s="208" t="s">
        <v>295</v>
      </c>
      <c r="H35" s="684" t="s">
        <v>272</v>
      </c>
      <c r="I35" s="528">
        <f t="shared" si="74"/>
        <v>1531070</v>
      </c>
      <c r="J35" s="418">
        <f>K35+L35</f>
        <v>1127162</v>
      </c>
      <c r="K35" s="418">
        <v>0</v>
      </c>
      <c r="L35" s="418">
        <v>1127162</v>
      </c>
      <c r="M35" s="418">
        <f>N35+O35</f>
        <v>0</v>
      </c>
      <c r="N35" s="418"/>
      <c r="O35" s="418"/>
      <c r="P35" s="68">
        <f t="shared" si="83"/>
        <v>380981</v>
      </c>
      <c r="Q35" s="68">
        <f t="shared" si="84"/>
        <v>11272</v>
      </c>
      <c r="R35" s="418">
        <v>11655</v>
      </c>
      <c r="S35" s="419">
        <f>T35+U35</f>
        <v>3.38</v>
      </c>
      <c r="T35" s="420">
        <v>0</v>
      </c>
      <c r="U35" s="527">
        <v>3.38</v>
      </c>
      <c r="V35" s="427">
        <f t="shared" si="75"/>
        <v>0</v>
      </c>
      <c r="W35" s="421">
        <f t="shared" si="75"/>
        <v>-6400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>V35+X35+Y35+AA35+AB35+AD35</f>
        <v>0</v>
      </c>
      <c r="AG35" s="421">
        <f>W35+Z35+AC35+AE35</f>
        <v>-6400</v>
      </c>
      <c r="AH35" s="421">
        <f>SUM(AF35:AG35)</f>
        <v>-6400</v>
      </c>
      <c r="AI35" s="421">
        <v>0</v>
      </c>
      <c r="AJ35" s="421">
        <v>6400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76"/>
        <v>0</v>
      </c>
      <c r="AP35" s="421">
        <f>AJ35+AN35</f>
        <v>6400</v>
      </c>
      <c r="AQ35" s="421">
        <f>SUM(AO35:AP35)</f>
        <v>6400</v>
      </c>
      <c r="AR35" s="421">
        <f t="shared" si="77"/>
        <v>0</v>
      </c>
      <c r="AS35" s="421">
        <f t="shared" si="77"/>
        <v>0</v>
      </c>
      <c r="AT35" s="421">
        <f>SUM(AR35:AS35)</f>
        <v>0</v>
      </c>
      <c r="AU35" s="68">
        <f t="shared" si="78"/>
        <v>0</v>
      </c>
      <c r="AV35" s="68">
        <f>ROUND(AH35*1%,0)</f>
        <v>-64</v>
      </c>
      <c r="AW35" s="421">
        <v>0</v>
      </c>
      <c r="AX35" s="421">
        <v>0</v>
      </c>
      <c r="AY35" s="421">
        <f>AW35+AX35</f>
        <v>0</v>
      </c>
      <c r="AZ35" s="421">
        <f>AT35+AU35+AV35+AY35</f>
        <v>-64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>BA35+BC35+BD35+BF35+BH35+BI35</f>
        <v>0</v>
      </c>
      <c r="BL35" s="422">
        <f>BB35+BE35+BG35+BJ35</f>
        <v>0</v>
      </c>
      <c r="BM35" s="611">
        <f>SUM(BK35:BL35)</f>
        <v>0</v>
      </c>
      <c r="BN35" s="428">
        <f>I35+AZ35</f>
        <v>1531006</v>
      </c>
      <c r="BO35" s="421">
        <f>J35+AH35</f>
        <v>1120762</v>
      </c>
      <c r="BP35" s="421">
        <f t="shared" si="79"/>
        <v>0</v>
      </c>
      <c r="BQ35" s="421">
        <f t="shared" si="79"/>
        <v>1120762</v>
      </c>
      <c r="BR35" s="421">
        <f>M35+AQ35</f>
        <v>6400</v>
      </c>
      <c r="BS35" s="421">
        <f t="shared" si="80"/>
        <v>0</v>
      </c>
      <c r="BT35" s="421">
        <f t="shared" si="80"/>
        <v>6400</v>
      </c>
      <c r="BU35" s="421">
        <f t="shared" si="81"/>
        <v>380981</v>
      </c>
      <c r="BV35" s="421">
        <f t="shared" si="81"/>
        <v>11208</v>
      </c>
      <c r="BW35" s="421">
        <f>R35+AY35</f>
        <v>11655</v>
      </c>
      <c r="BX35" s="422">
        <f>S35+BM35</f>
        <v>3.38</v>
      </c>
      <c r="BY35" s="422">
        <f t="shared" si="82"/>
        <v>0</v>
      </c>
      <c r="BZ35" s="611">
        <f t="shared" si="82"/>
        <v>3.38</v>
      </c>
      <c r="CA35" s="423"/>
      <c r="CB35" s="418"/>
      <c r="CC35" s="418"/>
      <c r="CD35" s="418"/>
      <c r="CE35" s="418"/>
      <c r="CF35" s="527"/>
    </row>
    <row r="36" spans="1:84" ht="13.5" customHeight="1" x14ac:dyDescent="0.2">
      <c r="A36" s="206">
        <v>6</v>
      </c>
      <c r="B36" s="207">
        <v>3446</v>
      </c>
      <c r="C36" s="207">
        <v>600078515</v>
      </c>
      <c r="D36" s="207">
        <v>70694974</v>
      </c>
      <c r="E36" s="205" t="s">
        <v>128</v>
      </c>
      <c r="F36" s="207">
        <v>3143</v>
      </c>
      <c r="G36" s="208" t="s">
        <v>596</v>
      </c>
      <c r="H36" s="686" t="s">
        <v>271</v>
      </c>
      <c r="I36" s="528">
        <f t="shared" si="74"/>
        <v>1747589</v>
      </c>
      <c r="J36" s="418">
        <f>K36+L36</f>
        <v>1296431</v>
      </c>
      <c r="K36" s="418">
        <v>1296431</v>
      </c>
      <c r="L36" s="418">
        <v>0</v>
      </c>
      <c r="M36" s="418">
        <f>N36+O36</f>
        <v>0</v>
      </c>
      <c r="N36" s="418"/>
      <c r="O36" s="418"/>
      <c r="P36" s="68">
        <f t="shared" si="83"/>
        <v>438194</v>
      </c>
      <c r="Q36" s="68">
        <f t="shared" si="84"/>
        <v>12964</v>
      </c>
      <c r="R36" s="418">
        <v>0</v>
      </c>
      <c r="S36" s="419">
        <f>T36+U36</f>
        <v>2.75</v>
      </c>
      <c r="T36" s="420">
        <v>2.75</v>
      </c>
      <c r="U36" s="527">
        <v>0</v>
      </c>
      <c r="V36" s="427">
        <f t="shared" si="75"/>
        <v>0</v>
      </c>
      <c r="W36" s="421">
        <f t="shared" si="75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>V36+X36+Y36+AA36+AB36+AD36</f>
        <v>0</v>
      </c>
      <c r="AG36" s="421">
        <f>W36+Z36+AC36+AE36</f>
        <v>0</v>
      </c>
      <c r="AH36" s="421">
        <f>SUM(AF36:AG36)</f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si="76"/>
        <v>0</v>
      </c>
      <c r="AP36" s="421">
        <f>AJ36+AN36</f>
        <v>0</v>
      </c>
      <c r="AQ36" s="421">
        <f>SUM(AO36:AP36)</f>
        <v>0</v>
      </c>
      <c r="AR36" s="421">
        <f t="shared" si="77"/>
        <v>0</v>
      </c>
      <c r="AS36" s="421">
        <f t="shared" si="77"/>
        <v>0</v>
      </c>
      <c r="AT36" s="421">
        <f>SUM(AR36:AS36)</f>
        <v>0</v>
      </c>
      <c r="AU36" s="68">
        <f t="shared" si="78"/>
        <v>0</v>
      </c>
      <c r="AV36" s="68">
        <f>ROUND(AH36*1%,0)</f>
        <v>0</v>
      </c>
      <c r="AW36" s="421">
        <v>0</v>
      </c>
      <c r="AX36" s="421">
        <v>0</v>
      </c>
      <c r="AY36" s="421">
        <f>AW36+AX36</f>
        <v>0</v>
      </c>
      <c r="AZ36" s="421">
        <f>AT36+AU36+AV36+AY36</f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0</v>
      </c>
      <c r="BM36" s="611">
        <f>SUM(BK36:BL36)</f>
        <v>0</v>
      </c>
      <c r="BN36" s="428">
        <f>I36+AZ36</f>
        <v>1747589</v>
      </c>
      <c r="BO36" s="421">
        <f>J36+AH36</f>
        <v>1296431</v>
      </c>
      <c r="BP36" s="421">
        <f t="shared" si="79"/>
        <v>1296431</v>
      </c>
      <c r="BQ36" s="421">
        <f t="shared" si="79"/>
        <v>0</v>
      </c>
      <c r="BR36" s="421">
        <f>M36+AQ36</f>
        <v>0</v>
      </c>
      <c r="BS36" s="421">
        <f t="shared" si="80"/>
        <v>0</v>
      </c>
      <c r="BT36" s="421">
        <f t="shared" si="80"/>
        <v>0</v>
      </c>
      <c r="BU36" s="421">
        <f t="shared" si="81"/>
        <v>438194</v>
      </c>
      <c r="BV36" s="421">
        <f t="shared" si="81"/>
        <v>12964</v>
      </c>
      <c r="BW36" s="421">
        <f>R36+AY36</f>
        <v>0</v>
      </c>
      <c r="BX36" s="422">
        <f>S36+BM36</f>
        <v>2.75</v>
      </c>
      <c r="BY36" s="422">
        <f t="shared" si="82"/>
        <v>2.75</v>
      </c>
      <c r="BZ36" s="611">
        <f t="shared" si="82"/>
        <v>0</v>
      </c>
      <c r="CA36" s="423"/>
      <c r="CB36" s="418"/>
      <c r="CC36" s="418"/>
      <c r="CD36" s="418"/>
      <c r="CE36" s="418"/>
      <c r="CF36" s="527"/>
    </row>
    <row r="37" spans="1:84" ht="13.5" customHeight="1" x14ac:dyDescent="0.2">
      <c r="A37" s="206">
        <v>6</v>
      </c>
      <c r="B37" s="207">
        <v>3446</v>
      </c>
      <c r="C37" s="207">
        <v>600078515</v>
      </c>
      <c r="D37" s="207">
        <v>70694974</v>
      </c>
      <c r="E37" s="205" t="s">
        <v>128</v>
      </c>
      <c r="F37" s="207">
        <v>3143</v>
      </c>
      <c r="G37" s="208" t="s">
        <v>597</v>
      </c>
      <c r="H37" s="686" t="s">
        <v>272</v>
      </c>
      <c r="I37" s="528">
        <f t="shared" si="74"/>
        <v>45072</v>
      </c>
      <c r="J37" s="418">
        <f>K37+L37</f>
        <v>32261</v>
      </c>
      <c r="K37" s="418">
        <v>0</v>
      </c>
      <c r="L37" s="418">
        <v>32261</v>
      </c>
      <c r="M37" s="418">
        <f>N37+O37</f>
        <v>0</v>
      </c>
      <c r="N37" s="418"/>
      <c r="O37" s="418"/>
      <c r="P37" s="68">
        <f t="shared" si="83"/>
        <v>10904</v>
      </c>
      <c r="Q37" s="68">
        <f t="shared" si="84"/>
        <v>323</v>
      </c>
      <c r="R37" s="418">
        <v>1584</v>
      </c>
      <c r="S37" s="419">
        <f>T37+U37</f>
        <v>0.12</v>
      </c>
      <c r="T37" s="420">
        <v>0</v>
      </c>
      <c r="U37" s="527">
        <v>0.12</v>
      </c>
      <c r="V37" s="427">
        <f t="shared" si="75"/>
        <v>0</v>
      </c>
      <c r="W37" s="421">
        <f t="shared" si="75"/>
        <v>0</v>
      </c>
      <c r="X37" s="421">
        <v>0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>V37+X37+Y37+AA37+AB37+AD37</f>
        <v>0</v>
      </c>
      <c r="AG37" s="421">
        <f>W37+Z37+AC37+AE37</f>
        <v>0</v>
      </c>
      <c r="AH37" s="421">
        <f>SUM(AF37:AG37)</f>
        <v>0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si="76"/>
        <v>0</v>
      </c>
      <c r="AP37" s="421">
        <f>AJ37+AN37</f>
        <v>0</v>
      </c>
      <c r="AQ37" s="421">
        <f>SUM(AO37:AP37)</f>
        <v>0</v>
      </c>
      <c r="AR37" s="421">
        <f t="shared" si="77"/>
        <v>0</v>
      </c>
      <c r="AS37" s="421">
        <f t="shared" si="77"/>
        <v>0</v>
      </c>
      <c r="AT37" s="421">
        <f>SUM(AR37:AS37)</f>
        <v>0</v>
      </c>
      <c r="AU37" s="68">
        <f t="shared" si="78"/>
        <v>0</v>
      </c>
      <c r="AV37" s="68">
        <f>ROUND(AH37*1%,0)</f>
        <v>0</v>
      </c>
      <c r="AW37" s="421">
        <v>0</v>
      </c>
      <c r="AX37" s="421">
        <v>0</v>
      </c>
      <c r="AY37" s="421">
        <f>AW37+AX37</f>
        <v>0</v>
      </c>
      <c r="AZ37" s="421">
        <f>AT37+AU37+AV37+AY37</f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0</v>
      </c>
      <c r="BL37" s="422">
        <f>BB37+BE37+BG37+BJ37</f>
        <v>0</v>
      </c>
      <c r="BM37" s="611">
        <f>SUM(BK37:BL37)</f>
        <v>0</v>
      </c>
      <c r="BN37" s="428">
        <f>I37+AZ37</f>
        <v>45072</v>
      </c>
      <c r="BO37" s="421">
        <f>J37+AH37</f>
        <v>32261</v>
      </c>
      <c r="BP37" s="421">
        <f t="shared" si="79"/>
        <v>0</v>
      </c>
      <c r="BQ37" s="421">
        <f t="shared" si="79"/>
        <v>32261</v>
      </c>
      <c r="BR37" s="421">
        <f>M37+AQ37</f>
        <v>0</v>
      </c>
      <c r="BS37" s="421">
        <f t="shared" si="80"/>
        <v>0</v>
      </c>
      <c r="BT37" s="421">
        <f t="shared" si="80"/>
        <v>0</v>
      </c>
      <c r="BU37" s="421">
        <f t="shared" si="81"/>
        <v>10904</v>
      </c>
      <c r="BV37" s="421">
        <f t="shared" si="81"/>
        <v>323</v>
      </c>
      <c r="BW37" s="421">
        <f>R37+AY37</f>
        <v>1584</v>
      </c>
      <c r="BX37" s="422">
        <f>S37+BM37</f>
        <v>0.12</v>
      </c>
      <c r="BY37" s="422">
        <f t="shared" si="82"/>
        <v>0</v>
      </c>
      <c r="BZ37" s="611">
        <f t="shared" si="82"/>
        <v>0.12</v>
      </c>
      <c r="CA37" s="423"/>
      <c r="CB37" s="418"/>
      <c r="CC37" s="418"/>
      <c r="CD37" s="418"/>
      <c r="CE37" s="418"/>
      <c r="CF37" s="527"/>
    </row>
    <row r="38" spans="1:84" ht="13.5" customHeight="1" x14ac:dyDescent="0.2">
      <c r="A38" s="155">
        <v>6</v>
      </c>
      <c r="B38" s="18">
        <v>3446</v>
      </c>
      <c r="C38" s="18">
        <v>600078515</v>
      </c>
      <c r="D38" s="18">
        <v>70694974</v>
      </c>
      <c r="E38" s="164" t="s">
        <v>129</v>
      </c>
      <c r="F38" s="18"/>
      <c r="G38" s="154"/>
      <c r="H38" s="685"/>
      <c r="I38" s="458">
        <f t="shared" ref="I38:BU38" si="85">SUM(I33:I37)</f>
        <v>28595752</v>
      </c>
      <c r="J38" s="451">
        <f t="shared" si="85"/>
        <v>20939678</v>
      </c>
      <c r="K38" s="451">
        <f t="shared" si="85"/>
        <v>18402536</v>
      </c>
      <c r="L38" s="451">
        <f t="shared" si="85"/>
        <v>2537142</v>
      </c>
      <c r="M38" s="451">
        <f t="shared" si="85"/>
        <v>0</v>
      </c>
      <c r="N38" s="451">
        <f t="shared" si="85"/>
        <v>0</v>
      </c>
      <c r="O38" s="451">
        <f t="shared" si="85"/>
        <v>0</v>
      </c>
      <c r="P38" s="451">
        <f t="shared" si="85"/>
        <v>7077611</v>
      </c>
      <c r="Q38" s="451">
        <f t="shared" si="85"/>
        <v>209398</v>
      </c>
      <c r="R38" s="451">
        <f t="shared" si="85"/>
        <v>369065</v>
      </c>
      <c r="S38" s="452">
        <f t="shared" si="85"/>
        <v>35.614599999999996</v>
      </c>
      <c r="T38" s="452">
        <f t="shared" si="85"/>
        <v>28.0685</v>
      </c>
      <c r="U38" s="39">
        <f t="shared" si="85"/>
        <v>7.5461</v>
      </c>
      <c r="V38" s="458">
        <f t="shared" si="85"/>
        <v>-3200</v>
      </c>
      <c r="W38" s="451">
        <f t="shared" si="85"/>
        <v>-6400</v>
      </c>
      <c r="X38" s="451">
        <f t="shared" si="85"/>
        <v>978508</v>
      </c>
      <c r="Y38" s="451">
        <f t="shared" si="85"/>
        <v>0</v>
      </c>
      <c r="Z38" s="451">
        <f t="shared" si="85"/>
        <v>0</v>
      </c>
      <c r="AA38" s="451">
        <f t="shared" si="85"/>
        <v>121808</v>
      </c>
      <c r="AB38" s="451">
        <f t="shared" si="85"/>
        <v>0</v>
      </c>
      <c r="AC38" s="451">
        <f t="shared" si="85"/>
        <v>0</v>
      </c>
      <c r="AD38" s="451">
        <f t="shared" si="85"/>
        <v>0</v>
      </c>
      <c r="AE38" s="451">
        <f t="shared" si="85"/>
        <v>0</v>
      </c>
      <c r="AF38" s="451">
        <f t="shared" si="85"/>
        <v>1097116</v>
      </c>
      <c r="AG38" s="451">
        <f t="shared" si="85"/>
        <v>-6400</v>
      </c>
      <c r="AH38" s="451">
        <f t="shared" si="85"/>
        <v>1090716</v>
      </c>
      <c r="AI38" s="451">
        <f t="shared" si="85"/>
        <v>3200</v>
      </c>
      <c r="AJ38" s="451">
        <f t="shared" si="85"/>
        <v>6400</v>
      </c>
      <c r="AK38" s="451">
        <f t="shared" ref="AK38" si="86">SUM(AK33:AK37)</f>
        <v>0</v>
      </c>
      <c r="AL38" s="451">
        <f t="shared" si="85"/>
        <v>0</v>
      </c>
      <c r="AM38" s="451">
        <f t="shared" si="85"/>
        <v>0</v>
      </c>
      <c r="AN38" s="451">
        <f t="shared" si="85"/>
        <v>0</v>
      </c>
      <c r="AO38" s="451">
        <f t="shared" si="85"/>
        <v>3200</v>
      </c>
      <c r="AP38" s="451">
        <f t="shared" si="85"/>
        <v>6400</v>
      </c>
      <c r="AQ38" s="451">
        <f t="shared" si="85"/>
        <v>9600</v>
      </c>
      <c r="AR38" s="451">
        <f t="shared" si="85"/>
        <v>1100316</v>
      </c>
      <c r="AS38" s="451">
        <f t="shared" si="85"/>
        <v>0</v>
      </c>
      <c r="AT38" s="451">
        <f t="shared" si="85"/>
        <v>1100316</v>
      </c>
      <c r="AU38" s="451">
        <f t="shared" si="85"/>
        <v>371907</v>
      </c>
      <c r="AV38" s="451">
        <f t="shared" si="85"/>
        <v>10907</v>
      </c>
      <c r="AW38" s="451">
        <f t="shared" si="85"/>
        <v>0</v>
      </c>
      <c r="AX38" s="451">
        <f t="shared" si="85"/>
        <v>0</v>
      </c>
      <c r="AY38" s="451">
        <f t="shared" si="85"/>
        <v>0</v>
      </c>
      <c r="AZ38" s="451">
        <f t="shared" si="85"/>
        <v>1483130</v>
      </c>
      <c r="BA38" s="452">
        <f t="shared" si="85"/>
        <v>-0.01</v>
      </c>
      <c r="BB38" s="452">
        <f t="shared" si="85"/>
        <v>0</v>
      </c>
      <c r="BC38" s="452">
        <f t="shared" si="85"/>
        <v>2.64</v>
      </c>
      <c r="BD38" s="452">
        <f t="shared" si="85"/>
        <v>0</v>
      </c>
      <c r="BE38" s="452">
        <f t="shared" si="85"/>
        <v>0</v>
      </c>
      <c r="BF38" s="452">
        <f t="shared" si="85"/>
        <v>0</v>
      </c>
      <c r="BG38" s="452">
        <f t="shared" si="85"/>
        <v>0</v>
      </c>
      <c r="BH38" s="452">
        <f t="shared" si="85"/>
        <v>0.17</v>
      </c>
      <c r="BI38" s="452">
        <f t="shared" si="85"/>
        <v>0</v>
      </c>
      <c r="BJ38" s="452">
        <f t="shared" si="85"/>
        <v>0</v>
      </c>
      <c r="BK38" s="452">
        <f t="shared" si="85"/>
        <v>2.8000000000000003</v>
      </c>
      <c r="BL38" s="452">
        <f t="shared" si="85"/>
        <v>0</v>
      </c>
      <c r="BM38" s="456">
        <f t="shared" si="85"/>
        <v>2.8000000000000003</v>
      </c>
      <c r="BN38" s="454">
        <f t="shared" si="85"/>
        <v>30078882</v>
      </c>
      <c r="BO38" s="451">
        <f t="shared" si="85"/>
        <v>22030394</v>
      </c>
      <c r="BP38" s="451">
        <f t="shared" si="85"/>
        <v>19499652</v>
      </c>
      <c r="BQ38" s="451">
        <f t="shared" si="85"/>
        <v>2530742</v>
      </c>
      <c r="BR38" s="451">
        <f t="shared" si="85"/>
        <v>9600</v>
      </c>
      <c r="BS38" s="451">
        <f t="shared" si="85"/>
        <v>3200</v>
      </c>
      <c r="BT38" s="451">
        <f t="shared" si="85"/>
        <v>6400</v>
      </c>
      <c r="BU38" s="451">
        <f t="shared" si="85"/>
        <v>7449518</v>
      </c>
      <c r="BV38" s="451">
        <f t="shared" ref="BV38:CF38" si="87">SUM(BV33:BV37)</f>
        <v>220305</v>
      </c>
      <c r="BW38" s="451">
        <f t="shared" si="87"/>
        <v>369065</v>
      </c>
      <c r="BX38" s="452">
        <f t="shared" si="87"/>
        <v>38.4146</v>
      </c>
      <c r="BY38" s="452">
        <f t="shared" si="87"/>
        <v>30.868500000000001</v>
      </c>
      <c r="BZ38" s="456">
        <f t="shared" si="87"/>
        <v>7.5461</v>
      </c>
      <c r="CA38" s="854">
        <f t="shared" si="87"/>
        <v>0</v>
      </c>
      <c r="CB38" s="852">
        <f t="shared" si="87"/>
        <v>0</v>
      </c>
      <c r="CC38" s="852">
        <f t="shared" si="87"/>
        <v>0</v>
      </c>
      <c r="CD38" s="852">
        <f t="shared" si="87"/>
        <v>0</v>
      </c>
      <c r="CE38" s="852">
        <f t="shared" si="87"/>
        <v>0</v>
      </c>
      <c r="CF38" s="848">
        <f t="shared" si="87"/>
        <v>0</v>
      </c>
    </row>
    <row r="39" spans="1:84" ht="13.5" customHeight="1" x14ac:dyDescent="0.2">
      <c r="A39" s="206">
        <v>7</v>
      </c>
      <c r="B39" s="207">
        <v>3457</v>
      </c>
      <c r="C39" s="207">
        <v>651040230</v>
      </c>
      <c r="D39" s="207">
        <v>75125412</v>
      </c>
      <c r="E39" s="205" t="s">
        <v>130</v>
      </c>
      <c r="F39" s="207">
        <v>3231</v>
      </c>
      <c r="G39" s="208" t="s">
        <v>296</v>
      </c>
      <c r="H39" s="684" t="s">
        <v>271</v>
      </c>
      <c r="I39" s="528">
        <f>J39+P39+Q39+R39</f>
        <v>12101407</v>
      </c>
      <c r="J39" s="418">
        <f>K39+L39</f>
        <v>8966557</v>
      </c>
      <c r="K39" s="418">
        <v>8628849</v>
      </c>
      <c r="L39" s="418">
        <v>337708</v>
      </c>
      <c r="M39" s="418">
        <f>N39+O39</f>
        <v>0</v>
      </c>
      <c r="N39" s="418"/>
      <c r="O39" s="418"/>
      <c r="P39" s="68">
        <f>ROUND(J39*33.8%,0)</f>
        <v>3030696</v>
      </c>
      <c r="Q39" s="68">
        <f>ROUND(J39*1%,0)</f>
        <v>89666</v>
      </c>
      <c r="R39" s="418">
        <v>14488</v>
      </c>
      <c r="S39" s="419">
        <f>T39+U39</f>
        <v>14.6241</v>
      </c>
      <c r="T39" s="420">
        <v>13.676500000000001</v>
      </c>
      <c r="U39" s="527">
        <v>0.9476</v>
      </c>
      <c r="V39" s="427">
        <f>AI39*-1</f>
        <v>-25920</v>
      </c>
      <c r="W39" s="421">
        <f>AJ39*-1</f>
        <v>0</v>
      </c>
      <c r="X39" s="421">
        <v>0</v>
      </c>
      <c r="Y39" s="421">
        <v>0</v>
      </c>
      <c r="Z39" s="421">
        <v>0</v>
      </c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f>V39+X39+Y39+AA39+AB39+AD39</f>
        <v>-25920</v>
      </c>
      <c r="AG39" s="421">
        <f>W39+Z39+AC39+AE39</f>
        <v>0</v>
      </c>
      <c r="AH39" s="421">
        <f>SUM(AF39:AG39)</f>
        <v>-25920</v>
      </c>
      <c r="AI39" s="421">
        <v>25920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>AI39+AK39+AL39+AM39</f>
        <v>25920</v>
      </c>
      <c r="AP39" s="421">
        <f>AJ39+AN39</f>
        <v>0</v>
      </c>
      <c r="AQ39" s="421">
        <f>SUM(AO39:AP39)</f>
        <v>25920</v>
      </c>
      <c r="AR39" s="421">
        <f>AF39+AO39</f>
        <v>0</v>
      </c>
      <c r="AS39" s="421">
        <f>AG39+AP39</f>
        <v>0</v>
      </c>
      <c r="AT39" s="421">
        <f>SUM(AR39:AS39)</f>
        <v>0</v>
      </c>
      <c r="AU39" s="68">
        <f>ROUND((AH39+AI39+AJ39+AK39+AL39)*33.8%,0)</f>
        <v>0</v>
      </c>
      <c r="AV39" s="68">
        <f>ROUND(AH39*1%,0)</f>
        <v>-259</v>
      </c>
      <c r="AW39" s="421">
        <v>0</v>
      </c>
      <c r="AX39" s="421">
        <v>0</v>
      </c>
      <c r="AY39" s="421">
        <f>AW39+AX39</f>
        <v>0</v>
      </c>
      <c r="AZ39" s="421">
        <f>AT39+AU39+AV39+AY39</f>
        <v>-259</v>
      </c>
      <c r="BA39" s="422">
        <v>0</v>
      </c>
      <c r="BB39" s="422">
        <v>0</v>
      </c>
      <c r="BC39" s="422">
        <v>0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>BA39+BC39+BD39+BF39+BH39+BI39</f>
        <v>0</v>
      </c>
      <c r="BL39" s="422">
        <f>BB39+BE39+BG39+BJ39</f>
        <v>0</v>
      </c>
      <c r="BM39" s="611">
        <f>SUM(BK39:BL39)</f>
        <v>0</v>
      </c>
      <c r="BN39" s="428">
        <f>I39+AZ39</f>
        <v>12101148</v>
      </c>
      <c r="BO39" s="421">
        <f>J39+AH39</f>
        <v>8940637</v>
      </c>
      <c r="BP39" s="421">
        <f>K39+AF39</f>
        <v>8602929</v>
      </c>
      <c r="BQ39" s="421">
        <f>L39+AG39</f>
        <v>337708</v>
      </c>
      <c r="BR39" s="421">
        <f>M39+AQ39</f>
        <v>25920</v>
      </c>
      <c r="BS39" s="421">
        <f>N39+AO39</f>
        <v>25920</v>
      </c>
      <c r="BT39" s="421">
        <f>O39+AP39</f>
        <v>0</v>
      </c>
      <c r="BU39" s="421">
        <f>P39+AU39</f>
        <v>3030696</v>
      </c>
      <c r="BV39" s="421">
        <f>Q39+AV39</f>
        <v>89407</v>
      </c>
      <c r="BW39" s="421">
        <f>R39+AY39</f>
        <v>14488</v>
      </c>
      <c r="BX39" s="422">
        <f>S39+BM39</f>
        <v>14.6241</v>
      </c>
      <c r="BY39" s="422">
        <f>T39+BK39</f>
        <v>13.676500000000001</v>
      </c>
      <c r="BZ39" s="611">
        <f>U39+BL39</f>
        <v>0.9476</v>
      </c>
      <c r="CA39" s="423"/>
      <c r="CB39" s="418"/>
      <c r="CC39" s="418"/>
      <c r="CD39" s="418"/>
      <c r="CE39" s="418"/>
      <c r="CF39" s="527"/>
    </row>
    <row r="40" spans="1:84" ht="13.5" customHeight="1" x14ac:dyDescent="0.2">
      <c r="A40" s="155">
        <v>7</v>
      </c>
      <c r="B40" s="18">
        <v>3457</v>
      </c>
      <c r="C40" s="18">
        <v>651040230</v>
      </c>
      <c r="D40" s="18">
        <v>75125412</v>
      </c>
      <c r="E40" s="164" t="s">
        <v>131</v>
      </c>
      <c r="F40" s="18"/>
      <c r="G40" s="154"/>
      <c r="H40" s="685"/>
      <c r="I40" s="457">
        <f t="shared" ref="I40:BU40" si="88">SUM(I39)</f>
        <v>12101407</v>
      </c>
      <c r="J40" s="449">
        <f t="shared" si="88"/>
        <v>8966557</v>
      </c>
      <c r="K40" s="449">
        <f t="shared" si="88"/>
        <v>8628849</v>
      </c>
      <c r="L40" s="449">
        <f t="shared" si="88"/>
        <v>337708</v>
      </c>
      <c r="M40" s="449">
        <f t="shared" si="88"/>
        <v>0</v>
      </c>
      <c r="N40" s="449">
        <f t="shared" si="88"/>
        <v>0</v>
      </c>
      <c r="O40" s="449">
        <f t="shared" si="88"/>
        <v>0</v>
      </c>
      <c r="P40" s="449">
        <f t="shared" si="88"/>
        <v>3030696</v>
      </c>
      <c r="Q40" s="449">
        <f t="shared" si="88"/>
        <v>89666</v>
      </c>
      <c r="R40" s="449">
        <f t="shared" si="88"/>
        <v>14488</v>
      </c>
      <c r="S40" s="450">
        <f t="shared" si="88"/>
        <v>14.6241</v>
      </c>
      <c r="T40" s="450">
        <f t="shared" si="88"/>
        <v>13.676500000000001</v>
      </c>
      <c r="U40" s="40">
        <f t="shared" si="88"/>
        <v>0.9476</v>
      </c>
      <c r="V40" s="457">
        <f t="shared" si="88"/>
        <v>-25920</v>
      </c>
      <c r="W40" s="449">
        <f t="shared" si="88"/>
        <v>0</v>
      </c>
      <c r="X40" s="449">
        <f t="shared" si="88"/>
        <v>0</v>
      </c>
      <c r="Y40" s="449">
        <f t="shared" si="88"/>
        <v>0</v>
      </c>
      <c r="Z40" s="449">
        <f t="shared" si="88"/>
        <v>0</v>
      </c>
      <c r="AA40" s="449">
        <f t="shared" si="88"/>
        <v>0</v>
      </c>
      <c r="AB40" s="449">
        <f t="shared" si="88"/>
        <v>0</v>
      </c>
      <c r="AC40" s="449">
        <f t="shared" si="88"/>
        <v>0</v>
      </c>
      <c r="AD40" s="449">
        <f t="shared" si="88"/>
        <v>0</v>
      </c>
      <c r="AE40" s="449">
        <f t="shared" si="88"/>
        <v>0</v>
      </c>
      <c r="AF40" s="449">
        <f t="shared" si="88"/>
        <v>-25920</v>
      </c>
      <c r="AG40" s="449">
        <f t="shared" si="88"/>
        <v>0</v>
      </c>
      <c r="AH40" s="449">
        <f t="shared" si="88"/>
        <v>-25920</v>
      </c>
      <c r="AI40" s="449">
        <f t="shared" si="88"/>
        <v>25920</v>
      </c>
      <c r="AJ40" s="449">
        <f t="shared" si="88"/>
        <v>0</v>
      </c>
      <c r="AK40" s="449">
        <f t="shared" ref="AK40" si="89">SUM(AK39)</f>
        <v>0</v>
      </c>
      <c r="AL40" s="449">
        <f t="shared" si="88"/>
        <v>0</v>
      </c>
      <c r="AM40" s="449">
        <f t="shared" si="88"/>
        <v>0</v>
      </c>
      <c r="AN40" s="449">
        <f t="shared" si="88"/>
        <v>0</v>
      </c>
      <c r="AO40" s="449">
        <f t="shared" si="88"/>
        <v>25920</v>
      </c>
      <c r="AP40" s="449">
        <f t="shared" si="88"/>
        <v>0</v>
      </c>
      <c r="AQ40" s="449">
        <f t="shared" si="88"/>
        <v>25920</v>
      </c>
      <c r="AR40" s="449">
        <f t="shared" si="88"/>
        <v>0</v>
      </c>
      <c r="AS40" s="449">
        <f t="shared" si="88"/>
        <v>0</v>
      </c>
      <c r="AT40" s="449">
        <f t="shared" si="88"/>
        <v>0</v>
      </c>
      <c r="AU40" s="449">
        <f t="shared" si="88"/>
        <v>0</v>
      </c>
      <c r="AV40" s="449">
        <f t="shared" si="88"/>
        <v>-259</v>
      </c>
      <c r="AW40" s="449">
        <f t="shared" si="88"/>
        <v>0</v>
      </c>
      <c r="AX40" s="449">
        <f t="shared" si="88"/>
        <v>0</v>
      </c>
      <c r="AY40" s="449">
        <f t="shared" si="88"/>
        <v>0</v>
      </c>
      <c r="AZ40" s="449">
        <f t="shared" si="88"/>
        <v>-259</v>
      </c>
      <c r="BA40" s="450">
        <f t="shared" si="88"/>
        <v>0</v>
      </c>
      <c r="BB40" s="450">
        <f t="shared" si="88"/>
        <v>0</v>
      </c>
      <c r="BC40" s="450">
        <f t="shared" si="88"/>
        <v>0</v>
      </c>
      <c r="BD40" s="450">
        <f t="shared" si="88"/>
        <v>0</v>
      </c>
      <c r="BE40" s="450">
        <f t="shared" si="88"/>
        <v>0</v>
      </c>
      <c r="BF40" s="450">
        <f t="shared" si="88"/>
        <v>0</v>
      </c>
      <c r="BG40" s="450">
        <f t="shared" si="88"/>
        <v>0</v>
      </c>
      <c r="BH40" s="450">
        <f t="shared" si="88"/>
        <v>0</v>
      </c>
      <c r="BI40" s="450">
        <f t="shared" si="88"/>
        <v>0</v>
      </c>
      <c r="BJ40" s="450">
        <f t="shared" si="88"/>
        <v>0</v>
      </c>
      <c r="BK40" s="450">
        <f t="shared" si="88"/>
        <v>0</v>
      </c>
      <c r="BL40" s="450">
        <f t="shared" si="88"/>
        <v>0</v>
      </c>
      <c r="BM40" s="455">
        <f t="shared" si="88"/>
        <v>0</v>
      </c>
      <c r="BN40" s="453">
        <f t="shared" si="88"/>
        <v>12101148</v>
      </c>
      <c r="BO40" s="449">
        <f t="shared" si="88"/>
        <v>8940637</v>
      </c>
      <c r="BP40" s="449">
        <f t="shared" si="88"/>
        <v>8602929</v>
      </c>
      <c r="BQ40" s="449">
        <f t="shared" si="88"/>
        <v>337708</v>
      </c>
      <c r="BR40" s="449">
        <f t="shared" si="88"/>
        <v>25920</v>
      </c>
      <c r="BS40" s="449">
        <f t="shared" si="88"/>
        <v>25920</v>
      </c>
      <c r="BT40" s="449">
        <f t="shared" si="88"/>
        <v>0</v>
      </c>
      <c r="BU40" s="449">
        <f t="shared" si="88"/>
        <v>3030696</v>
      </c>
      <c r="BV40" s="449">
        <f t="shared" ref="BV40:CF40" si="90">SUM(BV39)</f>
        <v>89407</v>
      </c>
      <c r="BW40" s="449">
        <f t="shared" si="90"/>
        <v>14488</v>
      </c>
      <c r="BX40" s="450">
        <f t="shared" si="90"/>
        <v>14.6241</v>
      </c>
      <c r="BY40" s="450">
        <f t="shared" si="90"/>
        <v>13.676500000000001</v>
      </c>
      <c r="BZ40" s="455">
        <f t="shared" si="90"/>
        <v>0.9476</v>
      </c>
      <c r="CA40" s="853">
        <f t="shared" si="90"/>
        <v>0</v>
      </c>
      <c r="CB40" s="851">
        <f t="shared" si="90"/>
        <v>0</v>
      </c>
      <c r="CC40" s="851">
        <f t="shared" si="90"/>
        <v>0</v>
      </c>
      <c r="CD40" s="851">
        <f t="shared" si="90"/>
        <v>0</v>
      </c>
      <c r="CE40" s="851">
        <f t="shared" si="90"/>
        <v>0</v>
      </c>
      <c r="CF40" s="849">
        <f t="shared" si="90"/>
        <v>0</v>
      </c>
    </row>
    <row r="41" spans="1:84" ht="13.5" customHeight="1" x14ac:dyDescent="0.2">
      <c r="A41" s="206">
        <v>8</v>
      </c>
      <c r="B41" s="207">
        <v>3423</v>
      </c>
      <c r="C41" s="207">
        <v>600078108</v>
      </c>
      <c r="D41" s="207">
        <v>70695059</v>
      </c>
      <c r="E41" s="205" t="s">
        <v>132</v>
      </c>
      <c r="F41" s="207">
        <v>3111</v>
      </c>
      <c r="G41" s="208" t="s">
        <v>291</v>
      </c>
      <c r="H41" s="684" t="s">
        <v>271</v>
      </c>
      <c r="I41" s="528">
        <f>J41+P41+Q41+R41</f>
        <v>3560286</v>
      </c>
      <c r="J41" s="418">
        <f>K41+L41</f>
        <v>2631852</v>
      </c>
      <c r="K41" s="418">
        <v>2396732</v>
      </c>
      <c r="L41" s="418">
        <v>235120</v>
      </c>
      <c r="M41" s="418">
        <f>N41+O41</f>
        <v>0</v>
      </c>
      <c r="N41" s="418"/>
      <c r="O41" s="418"/>
      <c r="P41" s="68">
        <f t="shared" ref="P41:P42" si="91">ROUND(J41*33.8%,0)</f>
        <v>889566</v>
      </c>
      <c r="Q41" s="68">
        <f t="shared" ref="Q41:Q42" si="92">ROUND(J41*1%,0)</f>
        <v>26319</v>
      </c>
      <c r="R41" s="418">
        <v>12549</v>
      </c>
      <c r="S41" s="419">
        <f>T41+U41</f>
        <v>4.8001000000000005</v>
      </c>
      <c r="T41" s="420">
        <v>4</v>
      </c>
      <c r="U41" s="527">
        <v>0.80010000000000003</v>
      </c>
      <c r="V41" s="427">
        <f>AI41*-1</f>
        <v>-12800</v>
      </c>
      <c r="W41" s="421">
        <f>AJ41*-1</f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-12800</v>
      </c>
      <c r="AG41" s="421">
        <f>W41+Z41+AC41+AE41</f>
        <v>0</v>
      </c>
      <c r="AH41" s="421">
        <f>SUM(AF41:AG41)</f>
        <v>-12800</v>
      </c>
      <c r="AI41" s="421">
        <v>12800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ref="AO41:AO42" si="93">AI41+AK41+AL41+AM41</f>
        <v>12800</v>
      </c>
      <c r="AP41" s="421">
        <f>AJ41+AN41</f>
        <v>0</v>
      </c>
      <c r="AQ41" s="421">
        <f>SUM(AO41:AP41)</f>
        <v>12800</v>
      </c>
      <c r="AR41" s="421">
        <f>AF41+AO41</f>
        <v>0</v>
      </c>
      <c r="AS41" s="421">
        <f>AG41+AP41</f>
        <v>0</v>
      </c>
      <c r="AT41" s="421">
        <f>SUM(AR41:AS41)</f>
        <v>0</v>
      </c>
      <c r="AU41" s="68">
        <f t="shared" ref="AU41:AU42" si="94">ROUND((AH41+AI41+AJ41+AK41+AL41)*33.8%,0)</f>
        <v>0</v>
      </c>
      <c r="AV41" s="68">
        <f>ROUND(AH41*1%,0)</f>
        <v>-128</v>
      </c>
      <c r="AW41" s="421">
        <v>0</v>
      </c>
      <c r="AX41" s="421">
        <v>0</v>
      </c>
      <c r="AY41" s="421">
        <f>AW41+AX41</f>
        <v>0</v>
      </c>
      <c r="AZ41" s="421">
        <f>AT41+AU41+AV41+AY41</f>
        <v>-128</v>
      </c>
      <c r="BA41" s="422">
        <v>-0.01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-0.01</v>
      </c>
      <c r="BL41" s="422">
        <f>BB41+BE41+BG41+BJ41</f>
        <v>0</v>
      </c>
      <c r="BM41" s="611">
        <f>SUM(BK41:BL41)</f>
        <v>-0.01</v>
      </c>
      <c r="BN41" s="428">
        <f>I41+AZ41</f>
        <v>3560158</v>
      </c>
      <c r="BO41" s="421">
        <f>J41+AH41</f>
        <v>2619052</v>
      </c>
      <c r="BP41" s="421">
        <f>K41+AF41</f>
        <v>2383932</v>
      </c>
      <c r="BQ41" s="421">
        <f>L41+AG41</f>
        <v>235120</v>
      </c>
      <c r="BR41" s="421">
        <f>M41+AQ41</f>
        <v>12800</v>
      </c>
      <c r="BS41" s="421">
        <f>N41+AO41</f>
        <v>12800</v>
      </c>
      <c r="BT41" s="421">
        <f>O41+AP41</f>
        <v>0</v>
      </c>
      <c r="BU41" s="421">
        <f>P41+AU41</f>
        <v>889566</v>
      </c>
      <c r="BV41" s="421">
        <f>Q41+AV41</f>
        <v>26191</v>
      </c>
      <c r="BW41" s="421">
        <f>R41+AY41</f>
        <v>12549</v>
      </c>
      <c r="BX41" s="422">
        <f>S41+BM41</f>
        <v>4.7901000000000007</v>
      </c>
      <c r="BY41" s="422">
        <f>T41+BK41</f>
        <v>3.99</v>
      </c>
      <c r="BZ41" s="611">
        <f>U41+BL41</f>
        <v>0.80010000000000003</v>
      </c>
      <c r="CA41" s="423"/>
      <c r="CB41" s="418"/>
      <c r="CC41" s="418"/>
      <c r="CD41" s="418"/>
      <c r="CE41" s="418"/>
      <c r="CF41" s="527"/>
    </row>
    <row r="42" spans="1:84" ht="13.5" customHeight="1" x14ac:dyDescent="0.2">
      <c r="A42" s="206">
        <v>8</v>
      </c>
      <c r="B42" s="207">
        <v>3423</v>
      </c>
      <c r="C42" s="207">
        <v>600078108</v>
      </c>
      <c r="D42" s="207">
        <v>70695059</v>
      </c>
      <c r="E42" s="205" t="s">
        <v>132</v>
      </c>
      <c r="F42" s="207">
        <v>3141</v>
      </c>
      <c r="G42" s="208" t="s">
        <v>295</v>
      </c>
      <c r="H42" s="684" t="s">
        <v>272</v>
      </c>
      <c r="I42" s="528">
        <f t="shared" ref="I42:I47" si="95">J42+P42+Q42+R42</f>
        <v>866985</v>
      </c>
      <c r="J42" s="418">
        <f>K42+L42</f>
        <v>640282</v>
      </c>
      <c r="K42" s="418">
        <v>0</v>
      </c>
      <c r="L42" s="418">
        <v>640282</v>
      </c>
      <c r="M42" s="418">
        <f>N42+O42</f>
        <v>0</v>
      </c>
      <c r="N42" s="418"/>
      <c r="O42" s="418"/>
      <c r="P42" s="68">
        <f t="shared" si="91"/>
        <v>216415</v>
      </c>
      <c r="Q42" s="68">
        <f t="shared" si="92"/>
        <v>6403</v>
      </c>
      <c r="R42" s="15">
        <v>3885</v>
      </c>
      <c r="S42" s="419">
        <f>T42+U42</f>
        <v>1.92</v>
      </c>
      <c r="T42" s="420">
        <v>0</v>
      </c>
      <c r="U42" s="527">
        <v>1.92</v>
      </c>
      <c r="V42" s="427">
        <f>AI42*-1</f>
        <v>0</v>
      </c>
      <c r="W42" s="421">
        <f>AJ42*-1</f>
        <v>-4224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>V42+X42+Y42+AA42+AB42+AD42</f>
        <v>0</v>
      </c>
      <c r="AG42" s="421">
        <f>W42+Z42+AC42+AE42</f>
        <v>-4224</v>
      </c>
      <c r="AH42" s="421">
        <f>SUM(AF42:AG42)</f>
        <v>-4224</v>
      </c>
      <c r="AI42" s="421">
        <v>0</v>
      </c>
      <c r="AJ42" s="421">
        <v>4224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93"/>
        <v>0</v>
      </c>
      <c r="AP42" s="421">
        <f>AJ42+AN42</f>
        <v>4224</v>
      </c>
      <c r="AQ42" s="421">
        <f>SUM(AO42:AP42)</f>
        <v>4224</v>
      </c>
      <c r="AR42" s="421">
        <f>AF42+AO42</f>
        <v>0</v>
      </c>
      <c r="AS42" s="421">
        <f>AG42+AP42</f>
        <v>0</v>
      </c>
      <c r="AT42" s="421">
        <f>SUM(AR42:AS42)</f>
        <v>0</v>
      </c>
      <c r="AU42" s="68">
        <f t="shared" si="94"/>
        <v>0</v>
      </c>
      <c r="AV42" s="68">
        <f>ROUND(AH42*1%,0)</f>
        <v>-42</v>
      </c>
      <c r="AW42" s="421">
        <v>0</v>
      </c>
      <c r="AX42" s="421">
        <v>0</v>
      </c>
      <c r="AY42" s="421">
        <f>AW42+AX42</f>
        <v>0</v>
      </c>
      <c r="AZ42" s="421">
        <f>AT42+AU42+AV42+AY42</f>
        <v>-42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>BA42+BC42+BD42+BF42+BH42+BI42</f>
        <v>0</v>
      </c>
      <c r="BL42" s="422">
        <f>BB42+BE42+BG42+BJ42</f>
        <v>0</v>
      </c>
      <c r="BM42" s="611">
        <f>SUM(BK42:BL42)</f>
        <v>0</v>
      </c>
      <c r="BN42" s="428">
        <f>I42+AZ42</f>
        <v>866943</v>
      </c>
      <c r="BO42" s="421">
        <f>J42+AH42</f>
        <v>636058</v>
      </c>
      <c r="BP42" s="421">
        <f>K42+AF42</f>
        <v>0</v>
      </c>
      <c r="BQ42" s="421">
        <f>L42+AG42</f>
        <v>636058</v>
      </c>
      <c r="BR42" s="421">
        <f>M42+AQ42</f>
        <v>4224</v>
      </c>
      <c r="BS42" s="421">
        <f>N42+AO42</f>
        <v>0</v>
      </c>
      <c r="BT42" s="421">
        <f>O42+AP42</f>
        <v>4224</v>
      </c>
      <c r="BU42" s="421">
        <f>P42+AU42</f>
        <v>216415</v>
      </c>
      <c r="BV42" s="421">
        <f>Q42+AV42</f>
        <v>6361</v>
      </c>
      <c r="BW42" s="421">
        <f>R42+AY42</f>
        <v>3885</v>
      </c>
      <c r="BX42" s="422">
        <f>S42+BM42</f>
        <v>1.92</v>
      </c>
      <c r="BY42" s="422">
        <f>T42+BK42</f>
        <v>0</v>
      </c>
      <c r="BZ42" s="611">
        <f>U42+BL42</f>
        <v>1.92</v>
      </c>
      <c r="CA42" s="423"/>
      <c r="CB42" s="418"/>
      <c r="CC42" s="418"/>
      <c r="CD42" s="418"/>
      <c r="CE42" s="418"/>
      <c r="CF42" s="527"/>
    </row>
    <row r="43" spans="1:84" ht="13.5" customHeight="1" x14ac:dyDescent="0.2">
      <c r="A43" s="155">
        <v>8</v>
      </c>
      <c r="B43" s="18">
        <v>3423</v>
      </c>
      <c r="C43" s="18">
        <v>600078108</v>
      </c>
      <c r="D43" s="18">
        <v>70695059</v>
      </c>
      <c r="E43" s="164" t="s">
        <v>133</v>
      </c>
      <c r="F43" s="18"/>
      <c r="G43" s="154"/>
      <c r="H43" s="685"/>
      <c r="I43" s="458">
        <f t="shared" ref="I43:BU43" si="96">SUM(I41:I42)</f>
        <v>4427271</v>
      </c>
      <c r="J43" s="451">
        <f t="shared" si="96"/>
        <v>3272134</v>
      </c>
      <c r="K43" s="451">
        <f t="shared" si="96"/>
        <v>2396732</v>
      </c>
      <c r="L43" s="451">
        <f t="shared" si="96"/>
        <v>875402</v>
      </c>
      <c r="M43" s="451">
        <f t="shared" si="96"/>
        <v>0</v>
      </c>
      <c r="N43" s="451">
        <f t="shared" si="96"/>
        <v>0</v>
      </c>
      <c r="O43" s="451">
        <f t="shared" si="96"/>
        <v>0</v>
      </c>
      <c r="P43" s="451">
        <f t="shared" si="96"/>
        <v>1105981</v>
      </c>
      <c r="Q43" s="451">
        <f t="shared" si="96"/>
        <v>32722</v>
      </c>
      <c r="R43" s="451">
        <f>SUM(R41:R42)</f>
        <v>16434</v>
      </c>
      <c r="S43" s="452">
        <f t="shared" si="96"/>
        <v>6.7201000000000004</v>
      </c>
      <c r="T43" s="452">
        <f t="shared" si="96"/>
        <v>4</v>
      </c>
      <c r="U43" s="39">
        <f t="shared" si="96"/>
        <v>2.7201</v>
      </c>
      <c r="V43" s="458">
        <f t="shared" si="96"/>
        <v>-12800</v>
      </c>
      <c r="W43" s="451">
        <f t="shared" si="96"/>
        <v>-4224</v>
      </c>
      <c r="X43" s="451">
        <f t="shared" si="96"/>
        <v>0</v>
      </c>
      <c r="Y43" s="451">
        <f t="shared" si="96"/>
        <v>0</v>
      </c>
      <c r="Z43" s="451">
        <f t="shared" si="96"/>
        <v>0</v>
      </c>
      <c r="AA43" s="451">
        <f t="shared" si="96"/>
        <v>0</v>
      </c>
      <c r="AB43" s="451">
        <f t="shared" si="96"/>
        <v>0</v>
      </c>
      <c r="AC43" s="451">
        <f t="shared" si="96"/>
        <v>0</v>
      </c>
      <c r="AD43" s="451">
        <f t="shared" si="96"/>
        <v>0</v>
      </c>
      <c r="AE43" s="451">
        <f t="shared" si="96"/>
        <v>0</v>
      </c>
      <c r="AF43" s="451">
        <f t="shared" si="96"/>
        <v>-12800</v>
      </c>
      <c r="AG43" s="451">
        <f t="shared" si="96"/>
        <v>-4224</v>
      </c>
      <c r="AH43" s="451">
        <f t="shared" si="96"/>
        <v>-17024</v>
      </c>
      <c r="AI43" s="451">
        <f t="shared" si="96"/>
        <v>12800</v>
      </c>
      <c r="AJ43" s="451">
        <f t="shared" si="96"/>
        <v>4224</v>
      </c>
      <c r="AK43" s="451">
        <f t="shared" ref="AK43" si="97">SUM(AK41:AK42)</f>
        <v>0</v>
      </c>
      <c r="AL43" s="451">
        <f t="shared" si="96"/>
        <v>0</v>
      </c>
      <c r="AM43" s="451">
        <f t="shared" si="96"/>
        <v>0</v>
      </c>
      <c r="AN43" s="451">
        <f t="shared" si="96"/>
        <v>0</v>
      </c>
      <c r="AO43" s="451">
        <f t="shared" si="96"/>
        <v>12800</v>
      </c>
      <c r="AP43" s="451">
        <f t="shared" si="96"/>
        <v>4224</v>
      </c>
      <c r="AQ43" s="451">
        <f t="shared" si="96"/>
        <v>17024</v>
      </c>
      <c r="AR43" s="451">
        <f t="shared" si="96"/>
        <v>0</v>
      </c>
      <c r="AS43" s="451">
        <f t="shared" si="96"/>
        <v>0</v>
      </c>
      <c r="AT43" s="451">
        <f t="shared" si="96"/>
        <v>0</v>
      </c>
      <c r="AU43" s="451">
        <f t="shared" si="96"/>
        <v>0</v>
      </c>
      <c r="AV43" s="451">
        <f t="shared" si="96"/>
        <v>-170</v>
      </c>
      <c r="AW43" s="451">
        <f t="shared" si="96"/>
        <v>0</v>
      </c>
      <c r="AX43" s="451">
        <f t="shared" si="96"/>
        <v>0</v>
      </c>
      <c r="AY43" s="451">
        <f t="shared" si="96"/>
        <v>0</v>
      </c>
      <c r="AZ43" s="451">
        <f t="shared" si="96"/>
        <v>-170</v>
      </c>
      <c r="BA43" s="452">
        <f t="shared" si="96"/>
        <v>-0.01</v>
      </c>
      <c r="BB43" s="452">
        <f t="shared" si="96"/>
        <v>0</v>
      </c>
      <c r="BC43" s="452">
        <f t="shared" si="96"/>
        <v>0</v>
      </c>
      <c r="BD43" s="452">
        <f t="shared" si="96"/>
        <v>0</v>
      </c>
      <c r="BE43" s="452">
        <f t="shared" si="96"/>
        <v>0</v>
      </c>
      <c r="BF43" s="452">
        <f t="shared" si="96"/>
        <v>0</v>
      </c>
      <c r="BG43" s="452">
        <f t="shared" si="96"/>
        <v>0</v>
      </c>
      <c r="BH43" s="452">
        <f t="shared" si="96"/>
        <v>0</v>
      </c>
      <c r="BI43" s="452">
        <f t="shared" si="96"/>
        <v>0</v>
      </c>
      <c r="BJ43" s="452">
        <f t="shared" si="96"/>
        <v>0</v>
      </c>
      <c r="BK43" s="452">
        <f t="shared" si="96"/>
        <v>-0.01</v>
      </c>
      <c r="BL43" s="452">
        <f t="shared" si="96"/>
        <v>0</v>
      </c>
      <c r="BM43" s="456">
        <f t="shared" si="96"/>
        <v>-0.01</v>
      </c>
      <c r="BN43" s="454">
        <f t="shared" si="96"/>
        <v>4427101</v>
      </c>
      <c r="BO43" s="451">
        <f t="shared" si="96"/>
        <v>3255110</v>
      </c>
      <c r="BP43" s="451">
        <f t="shared" si="96"/>
        <v>2383932</v>
      </c>
      <c r="BQ43" s="451">
        <f t="shared" si="96"/>
        <v>871178</v>
      </c>
      <c r="BR43" s="451">
        <f t="shared" si="96"/>
        <v>17024</v>
      </c>
      <c r="BS43" s="451">
        <f t="shared" si="96"/>
        <v>12800</v>
      </c>
      <c r="BT43" s="451">
        <f t="shared" si="96"/>
        <v>4224</v>
      </c>
      <c r="BU43" s="451">
        <f t="shared" si="96"/>
        <v>1105981</v>
      </c>
      <c r="BV43" s="451">
        <f t="shared" ref="BV43:CF43" si="98">SUM(BV41:BV42)</f>
        <v>32552</v>
      </c>
      <c r="BW43" s="451">
        <f t="shared" si="98"/>
        <v>16434</v>
      </c>
      <c r="BX43" s="452">
        <f t="shared" si="98"/>
        <v>6.7101000000000006</v>
      </c>
      <c r="BY43" s="452">
        <f t="shared" si="98"/>
        <v>3.99</v>
      </c>
      <c r="BZ43" s="456">
        <f t="shared" si="98"/>
        <v>2.7201</v>
      </c>
      <c r="CA43" s="854">
        <f t="shared" si="98"/>
        <v>0</v>
      </c>
      <c r="CB43" s="852">
        <f t="shared" si="98"/>
        <v>0</v>
      </c>
      <c r="CC43" s="852">
        <f t="shared" si="98"/>
        <v>0</v>
      </c>
      <c r="CD43" s="852">
        <f t="shared" si="98"/>
        <v>0</v>
      </c>
      <c r="CE43" s="852">
        <f t="shared" si="98"/>
        <v>0</v>
      </c>
      <c r="CF43" s="848">
        <f t="shared" si="98"/>
        <v>0</v>
      </c>
    </row>
    <row r="44" spans="1:84" ht="13.5" customHeight="1" x14ac:dyDescent="0.2">
      <c r="A44" s="206">
        <v>9</v>
      </c>
      <c r="B44" s="207">
        <v>3448</v>
      </c>
      <c r="C44" s="207">
        <v>600078299</v>
      </c>
      <c r="D44" s="207">
        <v>70695041</v>
      </c>
      <c r="E44" s="205" t="s">
        <v>134</v>
      </c>
      <c r="F44" s="207">
        <v>3117</v>
      </c>
      <c r="G44" s="208" t="s">
        <v>294</v>
      </c>
      <c r="H44" s="684" t="s">
        <v>271</v>
      </c>
      <c r="I44" s="528">
        <f t="shared" si="95"/>
        <v>5101831</v>
      </c>
      <c r="J44" s="418">
        <f>K44+L44</f>
        <v>3724253</v>
      </c>
      <c r="K44" s="418">
        <v>3331199</v>
      </c>
      <c r="L44" s="418">
        <v>393054</v>
      </c>
      <c r="M44" s="418">
        <f>N44+O44</f>
        <v>0</v>
      </c>
      <c r="N44" s="418"/>
      <c r="O44" s="418"/>
      <c r="P44" s="68">
        <f>ROUND(J44*33.8%,0)-1</f>
        <v>1258797</v>
      </c>
      <c r="Q44" s="68">
        <f>ROUND(J44*1%,0)-1</f>
        <v>37242</v>
      </c>
      <c r="R44" s="418">
        <v>81539</v>
      </c>
      <c r="S44" s="419">
        <f>T44+U44</f>
        <v>6.2416999999999998</v>
      </c>
      <c r="T44" s="420">
        <v>5.1218000000000004</v>
      </c>
      <c r="U44" s="527">
        <v>1.1198999999999999</v>
      </c>
      <c r="V44" s="427">
        <f t="shared" ref="V44:W47" si="99">AI44*-1</f>
        <v>-6093</v>
      </c>
      <c r="W44" s="421">
        <f t="shared" si="99"/>
        <v>-9600</v>
      </c>
      <c r="X44" s="421">
        <v>0</v>
      </c>
      <c r="Y44" s="421">
        <v>0</v>
      </c>
      <c r="Z44" s="421">
        <v>0</v>
      </c>
      <c r="AA44" s="421">
        <v>0</v>
      </c>
      <c r="AB44" s="421">
        <v>0</v>
      </c>
      <c r="AC44" s="421">
        <v>0</v>
      </c>
      <c r="AD44" s="421">
        <v>0</v>
      </c>
      <c r="AE44" s="421">
        <v>0</v>
      </c>
      <c r="AF44" s="421">
        <f>V44+X44+Y44+AA44+AB44+AD44</f>
        <v>-6093</v>
      </c>
      <c r="AG44" s="421">
        <f>W44+Z44+AC44+AE44</f>
        <v>-9600</v>
      </c>
      <c r="AH44" s="421">
        <f>SUM(AF44:AG44)</f>
        <v>-15693</v>
      </c>
      <c r="AI44" s="421">
        <v>6093</v>
      </c>
      <c r="AJ44" s="421">
        <v>9600</v>
      </c>
      <c r="AK44" s="421">
        <v>0</v>
      </c>
      <c r="AL44" s="421">
        <v>0</v>
      </c>
      <c r="AM44" s="421">
        <v>0</v>
      </c>
      <c r="AN44" s="421">
        <v>0</v>
      </c>
      <c r="AO44" s="421">
        <f t="shared" ref="AO44:AO47" si="100">AI44+AK44+AL44+AM44</f>
        <v>6093</v>
      </c>
      <c r="AP44" s="421">
        <f>AJ44+AN44</f>
        <v>9600</v>
      </c>
      <c r="AQ44" s="421">
        <f>SUM(AO44:AP44)</f>
        <v>15693</v>
      </c>
      <c r="AR44" s="421">
        <f t="shared" ref="AR44:AS47" si="101">AF44+AO44</f>
        <v>0</v>
      </c>
      <c r="AS44" s="421">
        <f t="shared" si="101"/>
        <v>0</v>
      </c>
      <c r="AT44" s="421">
        <f>SUM(AR44:AS44)</f>
        <v>0</v>
      </c>
      <c r="AU44" s="68">
        <f t="shared" ref="AU44:AU47" si="102">ROUND((AH44+AI44+AJ44+AK44+AL44)*33.8%,0)</f>
        <v>0</v>
      </c>
      <c r="AV44" s="68">
        <f>ROUND(AH44*1%,0)</f>
        <v>-157</v>
      </c>
      <c r="AW44" s="421">
        <v>0</v>
      </c>
      <c r="AX44" s="421">
        <v>0</v>
      </c>
      <c r="AY44" s="421">
        <f>AW44+AX44</f>
        <v>0</v>
      </c>
      <c r="AZ44" s="421">
        <f>AT44+AU44+AV44+AY44</f>
        <v>-157</v>
      </c>
      <c r="BA44" s="422">
        <v>-0.01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</v>
      </c>
      <c r="BK44" s="422">
        <f>BA44+BC44+BD44+BF44+BH44+BI44</f>
        <v>-0.01</v>
      </c>
      <c r="BL44" s="422">
        <f>BB44+BE44+BG44+BJ44</f>
        <v>0</v>
      </c>
      <c r="BM44" s="611">
        <f>SUM(BK44:BL44)</f>
        <v>-0.01</v>
      </c>
      <c r="BN44" s="428">
        <f>I44+AZ44</f>
        <v>5101674</v>
      </c>
      <c r="BO44" s="421">
        <f>J44+AH44</f>
        <v>3708560</v>
      </c>
      <c r="BP44" s="421">
        <f t="shared" ref="BP44:BQ47" si="103">K44+AF44</f>
        <v>3325106</v>
      </c>
      <c r="BQ44" s="421">
        <f t="shared" si="103"/>
        <v>383454</v>
      </c>
      <c r="BR44" s="421">
        <f>M44+AQ44</f>
        <v>15693</v>
      </c>
      <c r="BS44" s="421">
        <f t="shared" ref="BS44:BT47" si="104">N44+AO44</f>
        <v>6093</v>
      </c>
      <c r="BT44" s="421">
        <f t="shared" si="104"/>
        <v>9600</v>
      </c>
      <c r="BU44" s="421">
        <f t="shared" ref="BU44:BV47" si="105">P44+AU44</f>
        <v>1258797</v>
      </c>
      <c r="BV44" s="421">
        <f t="shared" si="105"/>
        <v>37085</v>
      </c>
      <c r="BW44" s="421">
        <f>R44+AY44</f>
        <v>81539</v>
      </c>
      <c r="BX44" s="422">
        <f>S44+BM44</f>
        <v>6.2317</v>
      </c>
      <c r="BY44" s="422">
        <f t="shared" ref="BY44:BZ47" si="106">T44+BK44</f>
        <v>5.1118000000000006</v>
      </c>
      <c r="BZ44" s="611">
        <f t="shared" si="106"/>
        <v>1.1198999999999999</v>
      </c>
      <c r="CA44" s="423"/>
      <c r="CB44" s="418"/>
      <c r="CC44" s="418"/>
      <c r="CD44" s="418"/>
      <c r="CE44" s="418"/>
      <c r="CF44" s="527"/>
    </row>
    <row r="45" spans="1:84" ht="13.5" customHeight="1" x14ac:dyDescent="0.2">
      <c r="A45" s="206">
        <v>9</v>
      </c>
      <c r="B45" s="207">
        <v>3448</v>
      </c>
      <c r="C45" s="207">
        <v>600078299</v>
      </c>
      <c r="D45" s="207">
        <v>70695041</v>
      </c>
      <c r="E45" s="205" t="s">
        <v>134</v>
      </c>
      <c r="F45" s="207">
        <v>3117</v>
      </c>
      <c r="G45" s="208" t="s">
        <v>292</v>
      </c>
      <c r="H45" s="684" t="s">
        <v>272</v>
      </c>
      <c r="I45" s="528">
        <f t="shared" si="95"/>
        <v>0</v>
      </c>
      <c r="J45" s="418">
        <f>K45+L45</f>
        <v>0</v>
      </c>
      <c r="K45" s="418">
        <v>0</v>
      </c>
      <c r="L45" s="418">
        <v>0</v>
      </c>
      <c r="M45" s="418">
        <f>N45+O45</f>
        <v>0</v>
      </c>
      <c r="N45" s="418"/>
      <c r="O45" s="418"/>
      <c r="P45" s="68">
        <f t="shared" ref="P45:P47" si="107">ROUND(J45*33.8%,0)</f>
        <v>0</v>
      </c>
      <c r="Q45" s="68">
        <f t="shared" ref="Q45:Q47" si="108">ROUND(J45*1%,0)</f>
        <v>0</v>
      </c>
      <c r="R45" s="418">
        <v>0</v>
      </c>
      <c r="S45" s="419">
        <f>T45+U45</f>
        <v>0</v>
      </c>
      <c r="T45" s="420">
        <v>0</v>
      </c>
      <c r="U45" s="527">
        <v>0</v>
      </c>
      <c r="V45" s="427">
        <f t="shared" si="99"/>
        <v>0</v>
      </c>
      <c r="W45" s="421">
        <f t="shared" si="99"/>
        <v>0</v>
      </c>
      <c r="X45" s="421">
        <v>370802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>V45+X45+Y45+AA45+AB45+AD45</f>
        <v>370802</v>
      </c>
      <c r="AG45" s="421">
        <f>W45+Z45+AC45+AE45</f>
        <v>0</v>
      </c>
      <c r="AH45" s="421">
        <f>SUM(AF45:AG45)</f>
        <v>370802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si="100"/>
        <v>0</v>
      </c>
      <c r="AP45" s="421">
        <f>AJ45+AN45</f>
        <v>0</v>
      </c>
      <c r="AQ45" s="421">
        <f>SUM(AO45:AP45)</f>
        <v>0</v>
      </c>
      <c r="AR45" s="421">
        <f t="shared" si="101"/>
        <v>370802</v>
      </c>
      <c r="AS45" s="421">
        <f t="shared" si="101"/>
        <v>0</v>
      </c>
      <c r="AT45" s="421">
        <f>SUM(AR45:AS45)</f>
        <v>370802</v>
      </c>
      <c r="AU45" s="68">
        <f t="shared" si="102"/>
        <v>125331</v>
      </c>
      <c r="AV45" s="68">
        <f>ROUND(AH45*1%,0)</f>
        <v>3708</v>
      </c>
      <c r="AW45" s="421">
        <v>0</v>
      </c>
      <c r="AX45" s="421">
        <v>0</v>
      </c>
      <c r="AY45" s="421">
        <f>AW45+AX45</f>
        <v>0</v>
      </c>
      <c r="AZ45" s="421">
        <f>AT45+AU45+AV45+AY45</f>
        <v>499841</v>
      </c>
      <c r="BA45" s="422">
        <v>0</v>
      </c>
      <c r="BB45" s="422">
        <v>0</v>
      </c>
      <c r="BC45" s="422">
        <v>1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1</v>
      </c>
      <c r="BL45" s="422">
        <f>BB45+BE45+BG45+BJ45</f>
        <v>0</v>
      </c>
      <c r="BM45" s="611">
        <f>SUM(BK45:BL45)</f>
        <v>1</v>
      </c>
      <c r="BN45" s="428">
        <f>I45+AZ45</f>
        <v>499841</v>
      </c>
      <c r="BO45" s="421">
        <f>J45+AH45</f>
        <v>370802</v>
      </c>
      <c r="BP45" s="421">
        <f t="shared" si="103"/>
        <v>370802</v>
      </c>
      <c r="BQ45" s="421">
        <f t="shared" si="103"/>
        <v>0</v>
      </c>
      <c r="BR45" s="421">
        <f>M45+AQ45</f>
        <v>0</v>
      </c>
      <c r="BS45" s="421">
        <f t="shared" si="104"/>
        <v>0</v>
      </c>
      <c r="BT45" s="421">
        <f t="shared" si="104"/>
        <v>0</v>
      </c>
      <c r="BU45" s="421">
        <f t="shared" si="105"/>
        <v>125331</v>
      </c>
      <c r="BV45" s="421">
        <f t="shared" si="105"/>
        <v>3708</v>
      </c>
      <c r="BW45" s="421">
        <f>R45+AY45</f>
        <v>0</v>
      </c>
      <c r="BX45" s="422">
        <f>S45+BM45</f>
        <v>1</v>
      </c>
      <c r="BY45" s="422">
        <f t="shared" si="106"/>
        <v>1</v>
      </c>
      <c r="BZ45" s="611">
        <f t="shared" si="106"/>
        <v>0</v>
      </c>
      <c r="CA45" s="423"/>
      <c r="CB45" s="418"/>
      <c r="CC45" s="418"/>
      <c r="CD45" s="418"/>
      <c r="CE45" s="418"/>
      <c r="CF45" s="527"/>
    </row>
    <row r="46" spans="1:84" ht="13.5" customHeight="1" x14ac:dyDescent="0.2">
      <c r="A46" s="206">
        <v>9</v>
      </c>
      <c r="B46" s="207">
        <v>3448</v>
      </c>
      <c r="C46" s="207">
        <v>600078299</v>
      </c>
      <c r="D46" s="207">
        <v>70695041</v>
      </c>
      <c r="E46" s="205" t="s">
        <v>134</v>
      </c>
      <c r="F46" s="207">
        <v>3143</v>
      </c>
      <c r="G46" s="208" t="s">
        <v>596</v>
      </c>
      <c r="H46" s="686" t="s">
        <v>271</v>
      </c>
      <c r="I46" s="528">
        <f t="shared" si="95"/>
        <v>1010801</v>
      </c>
      <c r="J46" s="418">
        <f>K46+L46</f>
        <v>749852</v>
      </c>
      <c r="K46" s="418">
        <v>749852</v>
      </c>
      <c r="L46" s="418">
        <v>0</v>
      </c>
      <c r="M46" s="418">
        <f>N46+O46</f>
        <v>0</v>
      </c>
      <c r="N46" s="418"/>
      <c r="O46" s="418"/>
      <c r="P46" s="68">
        <f t="shared" si="107"/>
        <v>253450</v>
      </c>
      <c r="Q46" s="68">
        <f t="shared" si="108"/>
        <v>7499</v>
      </c>
      <c r="R46" s="418">
        <v>0</v>
      </c>
      <c r="S46" s="419">
        <f>T46+U46</f>
        <v>1.5</v>
      </c>
      <c r="T46" s="420">
        <v>1.5</v>
      </c>
      <c r="U46" s="527">
        <v>0</v>
      </c>
      <c r="V46" s="427">
        <f t="shared" si="99"/>
        <v>0</v>
      </c>
      <c r="W46" s="421">
        <f t="shared" si="99"/>
        <v>0</v>
      </c>
      <c r="X46" s="421">
        <v>0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>V46+X46+Y46+AA46+AB46+AD46</f>
        <v>0</v>
      </c>
      <c r="AG46" s="421">
        <f>W46+Z46+AC46+AE46</f>
        <v>0</v>
      </c>
      <c r="AH46" s="421">
        <f>SUM(AF46:AG46)</f>
        <v>0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100"/>
        <v>0</v>
      </c>
      <c r="AP46" s="421">
        <f>AJ46+AN46</f>
        <v>0</v>
      </c>
      <c r="AQ46" s="421">
        <f>SUM(AO46:AP46)</f>
        <v>0</v>
      </c>
      <c r="AR46" s="421">
        <f t="shared" si="101"/>
        <v>0</v>
      </c>
      <c r="AS46" s="421">
        <f t="shared" si="101"/>
        <v>0</v>
      </c>
      <c r="AT46" s="421">
        <f>SUM(AR46:AS46)</f>
        <v>0</v>
      </c>
      <c r="AU46" s="68">
        <f t="shared" si="102"/>
        <v>0</v>
      </c>
      <c r="AV46" s="68">
        <f>ROUND(AH46*1%,0)</f>
        <v>0</v>
      </c>
      <c r="AW46" s="421">
        <v>0</v>
      </c>
      <c r="AX46" s="421">
        <v>0</v>
      </c>
      <c r="AY46" s="421">
        <f>AW46+AX46</f>
        <v>0</v>
      </c>
      <c r="AZ46" s="421">
        <f>AT46+AU46+AV46+AY46</f>
        <v>0</v>
      </c>
      <c r="BA46" s="422">
        <v>0</v>
      </c>
      <c r="BB46" s="422">
        <v>0</v>
      </c>
      <c r="BC46" s="422">
        <v>0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>BA46+BC46+BD46+BF46+BH46+BI46</f>
        <v>0</v>
      </c>
      <c r="BL46" s="422">
        <f>BB46+BE46+BG46+BJ46</f>
        <v>0</v>
      </c>
      <c r="BM46" s="611">
        <f>SUM(BK46:BL46)</f>
        <v>0</v>
      </c>
      <c r="BN46" s="428">
        <f>I46+AZ46</f>
        <v>1010801</v>
      </c>
      <c r="BO46" s="421">
        <f>J46+AH46</f>
        <v>749852</v>
      </c>
      <c r="BP46" s="421">
        <f t="shared" si="103"/>
        <v>749852</v>
      </c>
      <c r="BQ46" s="421">
        <f t="shared" si="103"/>
        <v>0</v>
      </c>
      <c r="BR46" s="421">
        <f>M46+AQ46</f>
        <v>0</v>
      </c>
      <c r="BS46" s="421">
        <f t="shared" si="104"/>
        <v>0</v>
      </c>
      <c r="BT46" s="421">
        <f t="shared" si="104"/>
        <v>0</v>
      </c>
      <c r="BU46" s="421">
        <f t="shared" si="105"/>
        <v>253450</v>
      </c>
      <c r="BV46" s="421">
        <f t="shared" si="105"/>
        <v>7499</v>
      </c>
      <c r="BW46" s="421">
        <f>R46+AY46</f>
        <v>0</v>
      </c>
      <c r="BX46" s="422">
        <f>S46+BM46</f>
        <v>1.5</v>
      </c>
      <c r="BY46" s="422">
        <f t="shared" si="106"/>
        <v>1.5</v>
      </c>
      <c r="BZ46" s="611">
        <f t="shared" si="106"/>
        <v>0</v>
      </c>
      <c r="CA46" s="423"/>
      <c r="CB46" s="418"/>
      <c r="CC46" s="418"/>
      <c r="CD46" s="418"/>
      <c r="CE46" s="418"/>
      <c r="CF46" s="527"/>
    </row>
    <row r="47" spans="1:84" ht="13.5" customHeight="1" x14ac:dyDescent="0.2">
      <c r="A47" s="206">
        <v>9</v>
      </c>
      <c r="B47" s="207">
        <v>3448</v>
      </c>
      <c r="C47" s="207">
        <v>600078299</v>
      </c>
      <c r="D47" s="207">
        <v>70695041</v>
      </c>
      <c r="E47" s="205" t="s">
        <v>134</v>
      </c>
      <c r="F47" s="207">
        <v>3143</v>
      </c>
      <c r="G47" s="208" t="s">
        <v>597</v>
      </c>
      <c r="H47" s="686" t="s">
        <v>272</v>
      </c>
      <c r="I47" s="528">
        <f t="shared" si="95"/>
        <v>30760</v>
      </c>
      <c r="J47" s="418">
        <f>K47+L47</f>
        <v>22018</v>
      </c>
      <c r="K47" s="418">
        <v>0</v>
      </c>
      <c r="L47" s="418">
        <v>22018</v>
      </c>
      <c r="M47" s="418">
        <f>N47+O47</f>
        <v>0</v>
      </c>
      <c r="N47" s="418"/>
      <c r="O47" s="418"/>
      <c r="P47" s="68">
        <f t="shared" si="107"/>
        <v>7442</v>
      </c>
      <c r="Q47" s="68">
        <f t="shared" si="108"/>
        <v>220</v>
      </c>
      <c r="R47" s="418">
        <v>1080</v>
      </c>
      <c r="S47" s="419">
        <f>T47+U47</f>
        <v>0.08</v>
      </c>
      <c r="T47" s="420">
        <v>0</v>
      </c>
      <c r="U47" s="527">
        <v>0.08</v>
      </c>
      <c r="V47" s="427">
        <f t="shared" si="99"/>
        <v>0</v>
      </c>
      <c r="W47" s="421">
        <f t="shared" si="99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>V47+X47+Y47+AA47+AB47+AD47</f>
        <v>0</v>
      </c>
      <c r="AG47" s="421">
        <f>W47+Z47+AC47+AE47</f>
        <v>0</v>
      </c>
      <c r="AH47" s="421">
        <f>SUM(AF47:AG47)</f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00"/>
        <v>0</v>
      </c>
      <c r="AP47" s="421">
        <f>AJ47+AN47</f>
        <v>0</v>
      </c>
      <c r="AQ47" s="421">
        <f>SUM(AO47:AP47)</f>
        <v>0</v>
      </c>
      <c r="AR47" s="421">
        <f t="shared" si="101"/>
        <v>0</v>
      </c>
      <c r="AS47" s="421">
        <f t="shared" si="101"/>
        <v>0</v>
      </c>
      <c r="AT47" s="421">
        <f>SUM(AR47:AS47)</f>
        <v>0</v>
      </c>
      <c r="AU47" s="68">
        <f t="shared" si="102"/>
        <v>0</v>
      </c>
      <c r="AV47" s="68">
        <f>ROUND(AH47*1%,0)</f>
        <v>0</v>
      </c>
      <c r="AW47" s="421">
        <v>0</v>
      </c>
      <c r="AX47" s="421">
        <v>0</v>
      </c>
      <c r="AY47" s="421">
        <f>AW47+AX47</f>
        <v>0</v>
      </c>
      <c r="AZ47" s="421">
        <f>AT47+AU47+AV47+AY47</f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>BA47+BC47+BD47+BF47+BH47+BI47</f>
        <v>0</v>
      </c>
      <c r="BL47" s="422">
        <f>BB47+BE47+BG47+BJ47</f>
        <v>0</v>
      </c>
      <c r="BM47" s="611">
        <f>SUM(BK47:BL47)</f>
        <v>0</v>
      </c>
      <c r="BN47" s="428">
        <f>I47+AZ47</f>
        <v>30760</v>
      </c>
      <c r="BO47" s="421">
        <f>J47+AH47</f>
        <v>22018</v>
      </c>
      <c r="BP47" s="421">
        <f t="shared" si="103"/>
        <v>0</v>
      </c>
      <c r="BQ47" s="421">
        <f t="shared" si="103"/>
        <v>22018</v>
      </c>
      <c r="BR47" s="421">
        <f>M47+AQ47</f>
        <v>0</v>
      </c>
      <c r="BS47" s="421">
        <f t="shared" si="104"/>
        <v>0</v>
      </c>
      <c r="BT47" s="421">
        <f t="shared" si="104"/>
        <v>0</v>
      </c>
      <c r="BU47" s="421">
        <f t="shared" si="105"/>
        <v>7442</v>
      </c>
      <c r="BV47" s="421">
        <f t="shared" si="105"/>
        <v>220</v>
      </c>
      <c r="BW47" s="421">
        <f>R47+AY47</f>
        <v>1080</v>
      </c>
      <c r="BX47" s="422">
        <f>S47+BM47</f>
        <v>0.08</v>
      </c>
      <c r="BY47" s="422">
        <f t="shared" si="106"/>
        <v>0</v>
      </c>
      <c r="BZ47" s="611">
        <f t="shared" si="106"/>
        <v>0.08</v>
      </c>
      <c r="CA47" s="423"/>
      <c r="CB47" s="418"/>
      <c r="CC47" s="418"/>
      <c r="CD47" s="418"/>
      <c r="CE47" s="418"/>
      <c r="CF47" s="527"/>
    </row>
    <row r="48" spans="1:84" ht="13.5" customHeight="1" x14ac:dyDescent="0.2">
      <c r="A48" s="155">
        <v>9</v>
      </c>
      <c r="B48" s="18">
        <v>3448</v>
      </c>
      <c r="C48" s="18">
        <v>600078299</v>
      </c>
      <c r="D48" s="18">
        <v>70695041</v>
      </c>
      <c r="E48" s="164" t="s">
        <v>135</v>
      </c>
      <c r="F48" s="18"/>
      <c r="G48" s="154"/>
      <c r="H48" s="685"/>
      <c r="I48" s="458">
        <f t="shared" ref="I48:BU48" si="109">SUM(I44:I47)</f>
        <v>6143392</v>
      </c>
      <c r="J48" s="451">
        <f t="shared" si="109"/>
        <v>4496123</v>
      </c>
      <c r="K48" s="451">
        <f t="shared" si="109"/>
        <v>4081051</v>
      </c>
      <c r="L48" s="451">
        <f t="shared" si="109"/>
        <v>415072</v>
      </c>
      <c r="M48" s="451">
        <f t="shared" si="109"/>
        <v>0</v>
      </c>
      <c r="N48" s="451">
        <f t="shared" si="109"/>
        <v>0</v>
      </c>
      <c r="O48" s="451">
        <f t="shared" si="109"/>
        <v>0</v>
      </c>
      <c r="P48" s="451">
        <f t="shared" si="109"/>
        <v>1519689</v>
      </c>
      <c r="Q48" s="451">
        <f t="shared" si="109"/>
        <v>44961</v>
      </c>
      <c r="R48" s="451">
        <f t="shared" si="109"/>
        <v>82619</v>
      </c>
      <c r="S48" s="452">
        <f t="shared" si="109"/>
        <v>7.8216999999999999</v>
      </c>
      <c r="T48" s="452">
        <f t="shared" si="109"/>
        <v>6.6218000000000004</v>
      </c>
      <c r="U48" s="39">
        <f t="shared" si="109"/>
        <v>1.1999</v>
      </c>
      <c r="V48" s="458">
        <f t="shared" si="109"/>
        <v>-6093</v>
      </c>
      <c r="W48" s="451">
        <f t="shared" si="109"/>
        <v>-9600</v>
      </c>
      <c r="X48" s="451">
        <f t="shared" si="109"/>
        <v>370802</v>
      </c>
      <c r="Y48" s="451">
        <f t="shared" si="109"/>
        <v>0</v>
      </c>
      <c r="Z48" s="451">
        <f t="shared" si="109"/>
        <v>0</v>
      </c>
      <c r="AA48" s="451">
        <f t="shared" si="109"/>
        <v>0</v>
      </c>
      <c r="AB48" s="451">
        <f t="shared" si="109"/>
        <v>0</v>
      </c>
      <c r="AC48" s="451">
        <f t="shared" si="109"/>
        <v>0</v>
      </c>
      <c r="AD48" s="451">
        <f t="shared" si="109"/>
        <v>0</v>
      </c>
      <c r="AE48" s="451">
        <f t="shared" si="109"/>
        <v>0</v>
      </c>
      <c r="AF48" s="451">
        <f t="shared" si="109"/>
        <v>364709</v>
      </c>
      <c r="AG48" s="451">
        <f t="shared" si="109"/>
        <v>-9600</v>
      </c>
      <c r="AH48" s="451">
        <f t="shared" si="109"/>
        <v>355109</v>
      </c>
      <c r="AI48" s="451">
        <f t="shared" si="109"/>
        <v>6093</v>
      </c>
      <c r="AJ48" s="451">
        <f t="shared" si="109"/>
        <v>9600</v>
      </c>
      <c r="AK48" s="451">
        <f t="shared" ref="AK48" si="110">SUM(AK44:AK47)</f>
        <v>0</v>
      </c>
      <c r="AL48" s="451">
        <f t="shared" si="109"/>
        <v>0</v>
      </c>
      <c r="AM48" s="451">
        <f t="shared" si="109"/>
        <v>0</v>
      </c>
      <c r="AN48" s="451">
        <f t="shared" si="109"/>
        <v>0</v>
      </c>
      <c r="AO48" s="451">
        <f t="shared" si="109"/>
        <v>6093</v>
      </c>
      <c r="AP48" s="451">
        <f t="shared" si="109"/>
        <v>9600</v>
      </c>
      <c r="AQ48" s="451">
        <f t="shared" si="109"/>
        <v>15693</v>
      </c>
      <c r="AR48" s="451">
        <f t="shared" si="109"/>
        <v>370802</v>
      </c>
      <c r="AS48" s="451">
        <f t="shared" si="109"/>
        <v>0</v>
      </c>
      <c r="AT48" s="451">
        <f t="shared" si="109"/>
        <v>370802</v>
      </c>
      <c r="AU48" s="451">
        <f t="shared" si="109"/>
        <v>125331</v>
      </c>
      <c r="AV48" s="451">
        <f t="shared" si="109"/>
        <v>3551</v>
      </c>
      <c r="AW48" s="451">
        <f t="shared" si="109"/>
        <v>0</v>
      </c>
      <c r="AX48" s="451">
        <f t="shared" si="109"/>
        <v>0</v>
      </c>
      <c r="AY48" s="451">
        <f t="shared" si="109"/>
        <v>0</v>
      </c>
      <c r="AZ48" s="451">
        <f t="shared" si="109"/>
        <v>499684</v>
      </c>
      <c r="BA48" s="452">
        <f t="shared" si="109"/>
        <v>-0.01</v>
      </c>
      <c r="BB48" s="452">
        <f t="shared" si="109"/>
        <v>0</v>
      </c>
      <c r="BC48" s="452">
        <f t="shared" si="109"/>
        <v>1</v>
      </c>
      <c r="BD48" s="452">
        <f t="shared" si="109"/>
        <v>0</v>
      </c>
      <c r="BE48" s="452">
        <f t="shared" si="109"/>
        <v>0</v>
      </c>
      <c r="BF48" s="452">
        <f t="shared" si="109"/>
        <v>0</v>
      </c>
      <c r="BG48" s="452">
        <f t="shared" si="109"/>
        <v>0</v>
      </c>
      <c r="BH48" s="452">
        <f t="shared" si="109"/>
        <v>0</v>
      </c>
      <c r="BI48" s="452">
        <f t="shared" si="109"/>
        <v>0</v>
      </c>
      <c r="BJ48" s="452">
        <f t="shared" si="109"/>
        <v>0</v>
      </c>
      <c r="BK48" s="452">
        <f t="shared" si="109"/>
        <v>0.99</v>
      </c>
      <c r="BL48" s="452">
        <f t="shared" si="109"/>
        <v>0</v>
      </c>
      <c r="BM48" s="456">
        <f t="shared" si="109"/>
        <v>0.99</v>
      </c>
      <c r="BN48" s="454">
        <f t="shared" si="109"/>
        <v>6643076</v>
      </c>
      <c r="BO48" s="451">
        <f t="shared" si="109"/>
        <v>4851232</v>
      </c>
      <c r="BP48" s="451">
        <f t="shared" si="109"/>
        <v>4445760</v>
      </c>
      <c r="BQ48" s="451">
        <f t="shared" si="109"/>
        <v>405472</v>
      </c>
      <c r="BR48" s="451">
        <f t="shared" si="109"/>
        <v>15693</v>
      </c>
      <c r="BS48" s="451">
        <f t="shared" si="109"/>
        <v>6093</v>
      </c>
      <c r="BT48" s="451">
        <f t="shared" si="109"/>
        <v>9600</v>
      </c>
      <c r="BU48" s="451">
        <f t="shared" si="109"/>
        <v>1645020</v>
      </c>
      <c r="BV48" s="451">
        <f t="shared" ref="BV48:CF48" si="111">SUM(BV44:BV47)</f>
        <v>48512</v>
      </c>
      <c r="BW48" s="451">
        <f t="shared" si="111"/>
        <v>82619</v>
      </c>
      <c r="BX48" s="452">
        <f t="shared" si="111"/>
        <v>8.8117000000000001</v>
      </c>
      <c r="BY48" s="452">
        <f t="shared" si="111"/>
        <v>7.6118000000000006</v>
      </c>
      <c r="BZ48" s="456">
        <f t="shared" si="111"/>
        <v>1.1999</v>
      </c>
      <c r="CA48" s="854">
        <f t="shared" si="111"/>
        <v>0</v>
      </c>
      <c r="CB48" s="852">
        <f t="shared" si="111"/>
        <v>0</v>
      </c>
      <c r="CC48" s="852">
        <f t="shared" si="111"/>
        <v>0</v>
      </c>
      <c r="CD48" s="852">
        <f t="shared" si="111"/>
        <v>0</v>
      </c>
      <c r="CE48" s="852">
        <f t="shared" si="111"/>
        <v>0</v>
      </c>
      <c r="CF48" s="848">
        <f t="shared" si="111"/>
        <v>0</v>
      </c>
    </row>
    <row r="49" spans="1:84" ht="13.5" customHeight="1" x14ac:dyDescent="0.2">
      <c r="A49" s="206">
        <v>10</v>
      </c>
      <c r="B49" s="207">
        <v>3402</v>
      </c>
      <c r="C49" s="207">
        <v>600078124</v>
      </c>
      <c r="D49" s="207">
        <v>70982643</v>
      </c>
      <c r="E49" s="205" t="s">
        <v>136</v>
      </c>
      <c r="F49" s="207">
        <v>3111</v>
      </c>
      <c r="G49" s="208" t="s">
        <v>291</v>
      </c>
      <c r="H49" s="684" t="s">
        <v>271</v>
      </c>
      <c r="I49" s="528">
        <f t="shared" ref="I49:I51" si="112">J49+P49+Q49+R49</f>
        <v>5233453</v>
      </c>
      <c r="J49" s="418">
        <f>K49+L49</f>
        <v>3869509</v>
      </c>
      <c r="K49" s="418">
        <v>3516848</v>
      </c>
      <c r="L49" s="418">
        <v>352661</v>
      </c>
      <c r="M49" s="418">
        <f>N49+O49</f>
        <v>0</v>
      </c>
      <c r="N49" s="418"/>
      <c r="O49" s="418"/>
      <c r="P49" s="68">
        <f t="shared" ref="P49:P51" si="113">ROUND(J49*33.8%,0)</f>
        <v>1307894</v>
      </c>
      <c r="Q49" s="68">
        <f t="shared" ref="Q49:Q51" si="114">ROUND(J49*1%,0)</f>
        <v>38695</v>
      </c>
      <c r="R49" s="418">
        <v>17355</v>
      </c>
      <c r="S49" s="419">
        <f>T49+U49</f>
        <v>7.3000999999999996</v>
      </c>
      <c r="T49" s="420">
        <v>6.1</v>
      </c>
      <c r="U49" s="527">
        <v>1.2000999999999999</v>
      </c>
      <c r="V49" s="427">
        <f t="shared" ref="V49:W51" si="115">AI49*-1</f>
        <v>0</v>
      </c>
      <c r="W49" s="421">
        <f t="shared" si="115"/>
        <v>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>V49+X49+Y49+AA49+AB49+AD49</f>
        <v>0</v>
      </c>
      <c r="AG49" s="421">
        <f>W49+Z49+AC49+AE49</f>
        <v>0</v>
      </c>
      <c r="AH49" s="421">
        <f>SUM(AF49:AG49)</f>
        <v>0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ref="AO49:AO51" si="116">AI49+AK49+AL49+AM49</f>
        <v>0</v>
      </c>
      <c r="AP49" s="421">
        <f>AJ49+AN49</f>
        <v>0</v>
      </c>
      <c r="AQ49" s="421">
        <f>SUM(AO49:AP49)</f>
        <v>0</v>
      </c>
      <c r="AR49" s="421">
        <f t="shared" ref="AR49:AS51" si="117">AF49+AO49</f>
        <v>0</v>
      </c>
      <c r="AS49" s="421">
        <f t="shared" si="117"/>
        <v>0</v>
      </c>
      <c r="AT49" s="421">
        <f>SUM(AR49:AS49)</f>
        <v>0</v>
      </c>
      <c r="AU49" s="68">
        <f t="shared" ref="AU49:AU51" si="118">ROUND((AH49+AI49+AJ49+AK49+AL49)*33.8%,0)</f>
        <v>0</v>
      </c>
      <c r="AV49" s="68">
        <f>ROUND(AH49*1%,0)</f>
        <v>0</v>
      </c>
      <c r="AW49" s="421">
        <v>0</v>
      </c>
      <c r="AX49" s="421">
        <v>0</v>
      </c>
      <c r="AY49" s="421">
        <f>AW49+AX49</f>
        <v>0</v>
      </c>
      <c r="AZ49" s="421">
        <f>AT49+AU49+AV49+AY49</f>
        <v>0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>BA49+BC49+BD49+BF49+BH49+BI49</f>
        <v>0</v>
      </c>
      <c r="BL49" s="422">
        <f>BB49+BE49+BG49+BJ49</f>
        <v>0</v>
      </c>
      <c r="BM49" s="611">
        <f>SUM(BK49:BL49)</f>
        <v>0</v>
      </c>
      <c r="BN49" s="428">
        <f>I49+AZ49</f>
        <v>5233453</v>
      </c>
      <c r="BO49" s="421">
        <f>J49+AH49</f>
        <v>3869509</v>
      </c>
      <c r="BP49" s="421">
        <f t="shared" ref="BP49:BQ51" si="119">K49+AF49</f>
        <v>3516848</v>
      </c>
      <c r="BQ49" s="421">
        <f t="shared" si="119"/>
        <v>352661</v>
      </c>
      <c r="BR49" s="421">
        <f>M49+AQ49</f>
        <v>0</v>
      </c>
      <c r="BS49" s="421">
        <f t="shared" ref="BS49:BT51" si="120">N49+AO49</f>
        <v>0</v>
      </c>
      <c r="BT49" s="421">
        <f t="shared" si="120"/>
        <v>0</v>
      </c>
      <c r="BU49" s="421">
        <f t="shared" ref="BU49:BV51" si="121">P49+AU49</f>
        <v>1307894</v>
      </c>
      <c r="BV49" s="421">
        <f t="shared" si="121"/>
        <v>38695</v>
      </c>
      <c r="BW49" s="421">
        <f>R49+AY49</f>
        <v>17355</v>
      </c>
      <c r="BX49" s="422">
        <f>S49+BM49</f>
        <v>7.3000999999999996</v>
      </c>
      <c r="BY49" s="422">
        <f t="shared" ref="BY49:BZ51" si="122">T49+BK49</f>
        <v>6.1</v>
      </c>
      <c r="BZ49" s="611">
        <f t="shared" si="122"/>
        <v>1.2000999999999999</v>
      </c>
      <c r="CA49" s="423"/>
      <c r="CB49" s="418"/>
      <c r="CC49" s="418"/>
      <c r="CD49" s="418"/>
      <c r="CE49" s="418"/>
      <c r="CF49" s="527"/>
    </row>
    <row r="50" spans="1:84" ht="13.5" customHeight="1" x14ac:dyDescent="0.2">
      <c r="A50" s="206">
        <v>10</v>
      </c>
      <c r="B50" s="207">
        <v>3402</v>
      </c>
      <c r="C50" s="207">
        <v>600078124</v>
      </c>
      <c r="D50" s="207">
        <v>70982643</v>
      </c>
      <c r="E50" s="205" t="s">
        <v>136</v>
      </c>
      <c r="F50" s="207">
        <v>3111</v>
      </c>
      <c r="G50" s="208" t="s">
        <v>292</v>
      </c>
      <c r="H50" s="684" t="s">
        <v>272</v>
      </c>
      <c r="I50" s="528">
        <f t="shared" si="112"/>
        <v>0</v>
      </c>
      <c r="J50" s="418">
        <f>K50+L50</f>
        <v>0</v>
      </c>
      <c r="K50" s="418">
        <v>0</v>
      </c>
      <c r="L50" s="418">
        <v>0</v>
      </c>
      <c r="M50" s="418">
        <f>N50+O50</f>
        <v>0</v>
      </c>
      <c r="N50" s="418"/>
      <c r="O50" s="418"/>
      <c r="P50" s="68">
        <f t="shared" si="113"/>
        <v>0</v>
      </c>
      <c r="Q50" s="68">
        <f t="shared" si="114"/>
        <v>0</v>
      </c>
      <c r="R50" s="418">
        <v>0</v>
      </c>
      <c r="S50" s="419">
        <f>T50+U50</f>
        <v>0</v>
      </c>
      <c r="T50" s="420">
        <v>0</v>
      </c>
      <c r="U50" s="527">
        <v>0</v>
      </c>
      <c r="V50" s="427">
        <f t="shared" si="115"/>
        <v>0</v>
      </c>
      <c r="W50" s="421">
        <f t="shared" si="115"/>
        <v>0</v>
      </c>
      <c r="X50" s="421">
        <v>556202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>V50+X50+Y50+AA50+AB50+AD50</f>
        <v>556202</v>
      </c>
      <c r="AG50" s="421">
        <f>W50+Z50+AC50+AE50</f>
        <v>0</v>
      </c>
      <c r="AH50" s="421">
        <f>SUM(AF50:AG50)</f>
        <v>556202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16"/>
        <v>0</v>
      </c>
      <c r="AP50" s="421">
        <f>AJ50+AN50</f>
        <v>0</v>
      </c>
      <c r="AQ50" s="421">
        <f>SUM(AO50:AP50)</f>
        <v>0</v>
      </c>
      <c r="AR50" s="421">
        <f t="shared" si="117"/>
        <v>556202</v>
      </c>
      <c r="AS50" s="421">
        <f t="shared" si="117"/>
        <v>0</v>
      </c>
      <c r="AT50" s="421">
        <f>SUM(AR50:AS50)</f>
        <v>556202</v>
      </c>
      <c r="AU50" s="68">
        <f t="shared" si="118"/>
        <v>187996</v>
      </c>
      <c r="AV50" s="68">
        <f>ROUND(AH50*1%,0)</f>
        <v>5562</v>
      </c>
      <c r="AW50" s="421">
        <v>0</v>
      </c>
      <c r="AX50" s="421">
        <v>0</v>
      </c>
      <c r="AY50" s="421">
        <f>AW50+AX50</f>
        <v>0</v>
      </c>
      <c r="AZ50" s="421">
        <f>AT50+AU50+AV50+AY50</f>
        <v>749760</v>
      </c>
      <c r="BA50" s="422">
        <v>0</v>
      </c>
      <c r="BB50" s="422">
        <v>0</v>
      </c>
      <c r="BC50" s="422">
        <v>1.5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>BA50+BC50+BD50+BF50+BH50+BI50</f>
        <v>1.5</v>
      </c>
      <c r="BL50" s="422">
        <f>BB50+BE50+BG50+BJ50</f>
        <v>0</v>
      </c>
      <c r="BM50" s="611">
        <f>SUM(BK50:BL50)</f>
        <v>1.5</v>
      </c>
      <c r="BN50" s="428">
        <f>I50+AZ50</f>
        <v>749760</v>
      </c>
      <c r="BO50" s="421">
        <f>J50+AH50</f>
        <v>556202</v>
      </c>
      <c r="BP50" s="421">
        <f t="shared" si="119"/>
        <v>556202</v>
      </c>
      <c r="BQ50" s="421">
        <f t="shared" si="119"/>
        <v>0</v>
      </c>
      <c r="BR50" s="421">
        <f>M50+AQ50</f>
        <v>0</v>
      </c>
      <c r="BS50" s="421">
        <f t="shared" si="120"/>
        <v>0</v>
      </c>
      <c r="BT50" s="421">
        <f t="shared" si="120"/>
        <v>0</v>
      </c>
      <c r="BU50" s="421">
        <f t="shared" si="121"/>
        <v>187996</v>
      </c>
      <c r="BV50" s="421">
        <f t="shared" si="121"/>
        <v>5562</v>
      </c>
      <c r="BW50" s="421">
        <f>R50+AY50</f>
        <v>0</v>
      </c>
      <c r="BX50" s="422">
        <f>S50+BM50</f>
        <v>1.5</v>
      </c>
      <c r="BY50" s="422">
        <f t="shared" si="122"/>
        <v>1.5</v>
      </c>
      <c r="BZ50" s="611">
        <f t="shared" si="122"/>
        <v>0</v>
      </c>
      <c r="CA50" s="423"/>
      <c r="CB50" s="418"/>
      <c r="CC50" s="418"/>
      <c r="CD50" s="418"/>
      <c r="CE50" s="418"/>
      <c r="CF50" s="527"/>
    </row>
    <row r="51" spans="1:84" x14ac:dyDescent="0.2">
      <c r="A51" s="206">
        <v>10</v>
      </c>
      <c r="B51" s="207">
        <v>3402</v>
      </c>
      <c r="C51" s="207">
        <v>600078124</v>
      </c>
      <c r="D51" s="207">
        <v>70982643</v>
      </c>
      <c r="E51" s="205" t="s">
        <v>136</v>
      </c>
      <c r="F51" s="207">
        <v>3141</v>
      </c>
      <c r="G51" s="208" t="s">
        <v>295</v>
      </c>
      <c r="H51" s="684" t="s">
        <v>272</v>
      </c>
      <c r="I51" s="528">
        <f t="shared" si="112"/>
        <v>1655259</v>
      </c>
      <c r="J51" s="418">
        <f>K51+L51</f>
        <v>1220537</v>
      </c>
      <c r="K51" s="418">
        <v>0</v>
      </c>
      <c r="L51" s="418">
        <v>1220537</v>
      </c>
      <c r="M51" s="418">
        <f>N51+O51</f>
        <v>0</v>
      </c>
      <c r="N51" s="418"/>
      <c r="O51" s="418"/>
      <c r="P51" s="68">
        <f t="shared" si="113"/>
        <v>412542</v>
      </c>
      <c r="Q51" s="68">
        <f t="shared" si="114"/>
        <v>12205</v>
      </c>
      <c r="R51" s="418">
        <v>9975</v>
      </c>
      <c r="S51" s="419">
        <f>T51+U51</f>
        <v>3.66</v>
      </c>
      <c r="T51" s="420">
        <v>0</v>
      </c>
      <c r="U51" s="527">
        <v>3.66</v>
      </c>
      <c r="V51" s="427">
        <f t="shared" si="115"/>
        <v>0</v>
      </c>
      <c r="W51" s="421">
        <f t="shared" si="115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>V51+X51+Y51+AA51+AB51+AD51</f>
        <v>0</v>
      </c>
      <c r="AG51" s="421">
        <f>W51+Z51+AC51+AE51</f>
        <v>0</v>
      </c>
      <c r="AH51" s="421">
        <f>SUM(AF51:AG51)</f>
        <v>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16"/>
        <v>0</v>
      </c>
      <c r="AP51" s="421">
        <f>AJ51+AN51</f>
        <v>0</v>
      </c>
      <c r="AQ51" s="421">
        <f>SUM(AO51:AP51)</f>
        <v>0</v>
      </c>
      <c r="AR51" s="421">
        <f t="shared" si="117"/>
        <v>0</v>
      </c>
      <c r="AS51" s="421">
        <f t="shared" si="117"/>
        <v>0</v>
      </c>
      <c r="AT51" s="421">
        <f>SUM(AR51:AS51)</f>
        <v>0</v>
      </c>
      <c r="AU51" s="68">
        <f t="shared" si="118"/>
        <v>0</v>
      </c>
      <c r="AV51" s="68">
        <f>ROUND(AH51*1%,0)</f>
        <v>0</v>
      </c>
      <c r="AW51" s="421">
        <v>0</v>
      </c>
      <c r="AX51" s="421">
        <v>0</v>
      </c>
      <c r="AY51" s="421">
        <f>AW51+AX51</f>
        <v>0</v>
      </c>
      <c r="AZ51" s="421">
        <f>AT51+AU51+AV51+AY51</f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>BA51+BC51+BD51+BF51+BH51+BI51</f>
        <v>0</v>
      </c>
      <c r="BL51" s="422">
        <f>BB51+BE51+BG51+BJ51</f>
        <v>0</v>
      </c>
      <c r="BM51" s="611">
        <f>SUM(BK51:BL51)</f>
        <v>0</v>
      </c>
      <c r="BN51" s="428">
        <f>I51+AZ51</f>
        <v>1655259</v>
      </c>
      <c r="BO51" s="421">
        <f>J51+AH51</f>
        <v>1220537</v>
      </c>
      <c r="BP51" s="421">
        <f t="shared" si="119"/>
        <v>0</v>
      </c>
      <c r="BQ51" s="421">
        <f t="shared" si="119"/>
        <v>1220537</v>
      </c>
      <c r="BR51" s="421">
        <f>M51+AQ51</f>
        <v>0</v>
      </c>
      <c r="BS51" s="421">
        <f t="shared" si="120"/>
        <v>0</v>
      </c>
      <c r="BT51" s="421">
        <f t="shared" si="120"/>
        <v>0</v>
      </c>
      <c r="BU51" s="421">
        <f t="shared" si="121"/>
        <v>412542</v>
      </c>
      <c r="BV51" s="421">
        <f t="shared" si="121"/>
        <v>12205</v>
      </c>
      <c r="BW51" s="421">
        <f>R51+AY51</f>
        <v>9975</v>
      </c>
      <c r="BX51" s="422">
        <f>S51+BM51</f>
        <v>3.66</v>
      </c>
      <c r="BY51" s="422">
        <f t="shared" si="122"/>
        <v>0</v>
      </c>
      <c r="BZ51" s="611">
        <f t="shared" si="122"/>
        <v>3.66</v>
      </c>
      <c r="CA51" s="423"/>
      <c r="CB51" s="418"/>
      <c r="CC51" s="418"/>
      <c r="CD51" s="418"/>
      <c r="CE51" s="418"/>
      <c r="CF51" s="527"/>
    </row>
    <row r="52" spans="1:84" x14ac:dyDescent="0.2">
      <c r="A52" s="155">
        <v>10</v>
      </c>
      <c r="B52" s="18">
        <v>3402</v>
      </c>
      <c r="C52" s="18">
        <v>600078124</v>
      </c>
      <c r="D52" s="18">
        <v>70982643</v>
      </c>
      <c r="E52" s="164" t="s">
        <v>137</v>
      </c>
      <c r="F52" s="18"/>
      <c r="G52" s="154"/>
      <c r="H52" s="685"/>
      <c r="I52" s="458">
        <f t="shared" ref="I52:BU52" si="123">SUM(I49:I51)</f>
        <v>6888712</v>
      </c>
      <c r="J52" s="451">
        <f t="shared" si="123"/>
        <v>5090046</v>
      </c>
      <c r="K52" s="451">
        <f t="shared" si="123"/>
        <v>3516848</v>
      </c>
      <c r="L52" s="451">
        <f t="shared" si="123"/>
        <v>1573198</v>
      </c>
      <c r="M52" s="451">
        <f t="shared" si="123"/>
        <v>0</v>
      </c>
      <c r="N52" s="451">
        <f t="shared" si="123"/>
        <v>0</v>
      </c>
      <c r="O52" s="451">
        <f t="shared" si="123"/>
        <v>0</v>
      </c>
      <c r="P52" s="451">
        <f t="shared" si="123"/>
        <v>1720436</v>
      </c>
      <c r="Q52" s="451">
        <f t="shared" si="123"/>
        <v>50900</v>
      </c>
      <c r="R52" s="451">
        <f t="shared" si="123"/>
        <v>27330</v>
      </c>
      <c r="S52" s="452">
        <f t="shared" si="123"/>
        <v>10.960100000000001</v>
      </c>
      <c r="T52" s="452">
        <f t="shared" si="123"/>
        <v>6.1</v>
      </c>
      <c r="U52" s="39">
        <f t="shared" si="123"/>
        <v>4.8601000000000001</v>
      </c>
      <c r="V52" s="458">
        <f t="shared" si="123"/>
        <v>0</v>
      </c>
      <c r="W52" s="451">
        <f t="shared" si="123"/>
        <v>0</v>
      </c>
      <c r="X52" s="451">
        <f t="shared" si="123"/>
        <v>556202</v>
      </c>
      <c r="Y52" s="451">
        <f t="shared" si="123"/>
        <v>0</v>
      </c>
      <c r="Z52" s="451">
        <f t="shared" si="123"/>
        <v>0</v>
      </c>
      <c r="AA52" s="451">
        <f t="shared" si="123"/>
        <v>0</v>
      </c>
      <c r="AB52" s="451">
        <f t="shared" si="123"/>
        <v>0</v>
      </c>
      <c r="AC52" s="451">
        <f t="shared" si="123"/>
        <v>0</v>
      </c>
      <c r="AD52" s="451">
        <f t="shared" si="123"/>
        <v>0</v>
      </c>
      <c r="AE52" s="451">
        <f t="shared" si="123"/>
        <v>0</v>
      </c>
      <c r="AF52" s="451">
        <f t="shared" si="123"/>
        <v>556202</v>
      </c>
      <c r="AG52" s="451">
        <f t="shared" si="123"/>
        <v>0</v>
      </c>
      <c r="AH52" s="451">
        <f t="shared" si="123"/>
        <v>556202</v>
      </c>
      <c r="AI52" s="451">
        <f t="shared" si="123"/>
        <v>0</v>
      </c>
      <c r="AJ52" s="451">
        <f t="shared" si="123"/>
        <v>0</v>
      </c>
      <c r="AK52" s="451">
        <f t="shared" ref="AK52" si="124">SUM(AK49:AK51)</f>
        <v>0</v>
      </c>
      <c r="AL52" s="451">
        <f t="shared" si="123"/>
        <v>0</v>
      </c>
      <c r="AM52" s="451">
        <f t="shared" si="123"/>
        <v>0</v>
      </c>
      <c r="AN52" s="451">
        <f t="shared" si="123"/>
        <v>0</v>
      </c>
      <c r="AO52" s="451">
        <f t="shared" si="123"/>
        <v>0</v>
      </c>
      <c r="AP52" s="451">
        <f t="shared" si="123"/>
        <v>0</v>
      </c>
      <c r="AQ52" s="451">
        <f t="shared" si="123"/>
        <v>0</v>
      </c>
      <c r="AR52" s="451">
        <f t="shared" si="123"/>
        <v>556202</v>
      </c>
      <c r="AS52" s="451">
        <f t="shared" si="123"/>
        <v>0</v>
      </c>
      <c r="AT52" s="451">
        <f t="shared" si="123"/>
        <v>556202</v>
      </c>
      <c r="AU52" s="451">
        <f t="shared" si="123"/>
        <v>187996</v>
      </c>
      <c r="AV52" s="451">
        <f t="shared" si="123"/>
        <v>5562</v>
      </c>
      <c r="AW52" s="451">
        <f t="shared" si="123"/>
        <v>0</v>
      </c>
      <c r="AX52" s="451">
        <f t="shared" si="123"/>
        <v>0</v>
      </c>
      <c r="AY52" s="451">
        <f t="shared" si="123"/>
        <v>0</v>
      </c>
      <c r="AZ52" s="451">
        <f t="shared" si="123"/>
        <v>749760</v>
      </c>
      <c r="BA52" s="452">
        <f t="shared" si="123"/>
        <v>0</v>
      </c>
      <c r="BB52" s="452">
        <f t="shared" si="123"/>
        <v>0</v>
      </c>
      <c r="BC52" s="452">
        <f t="shared" si="123"/>
        <v>1.5</v>
      </c>
      <c r="BD52" s="452">
        <f t="shared" si="123"/>
        <v>0</v>
      </c>
      <c r="BE52" s="452">
        <f t="shared" si="123"/>
        <v>0</v>
      </c>
      <c r="BF52" s="452">
        <f t="shared" si="123"/>
        <v>0</v>
      </c>
      <c r="BG52" s="452">
        <f t="shared" si="123"/>
        <v>0</v>
      </c>
      <c r="BH52" s="452">
        <f t="shared" si="123"/>
        <v>0</v>
      </c>
      <c r="BI52" s="452">
        <f t="shared" si="123"/>
        <v>0</v>
      </c>
      <c r="BJ52" s="452">
        <f t="shared" si="123"/>
        <v>0</v>
      </c>
      <c r="BK52" s="452">
        <f t="shared" si="123"/>
        <v>1.5</v>
      </c>
      <c r="BL52" s="452">
        <f t="shared" si="123"/>
        <v>0</v>
      </c>
      <c r="BM52" s="456">
        <f t="shared" si="123"/>
        <v>1.5</v>
      </c>
      <c r="BN52" s="454">
        <f t="shared" si="123"/>
        <v>7638472</v>
      </c>
      <c r="BO52" s="451">
        <f t="shared" si="123"/>
        <v>5646248</v>
      </c>
      <c r="BP52" s="451">
        <f t="shared" si="123"/>
        <v>4073050</v>
      </c>
      <c r="BQ52" s="451">
        <f t="shared" si="123"/>
        <v>1573198</v>
      </c>
      <c r="BR52" s="451">
        <f t="shared" si="123"/>
        <v>0</v>
      </c>
      <c r="BS52" s="451">
        <f t="shared" si="123"/>
        <v>0</v>
      </c>
      <c r="BT52" s="451">
        <f t="shared" si="123"/>
        <v>0</v>
      </c>
      <c r="BU52" s="451">
        <f t="shared" si="123"/>
        <v>1908432</v>
      </c>
      <c r="BV52" s="451">
        <f t="shared" ref="BV52:CF52" si="125">SUM(BV49:BV51)</f>
        <v>56462</v>
      </c>
      <c r="BW52" s="451">
        <f t="shared" si="125"/>
        <v>27330</v>
      </c>
      <c r="BX52" s="452">
        <f t="shared" si="125"/>
        <v>12.460100000000001</v>
      </c>
      <c r="BY52" s="452">
        <f t="shared" si="125"/>
        <v>7.6</v>
      </c>
      <c r="BZ52" s="456">
        <f t="shared" si="125"/>
        <v>4.8601000000000001</v>
      </c>
      <c r="CA52" s="854">
        <f t="shared" si="125"/>
        <v>0</v>
      </c>
      <c r="CB52" s="852">
        <f t="shared" si="125"/>
        <v>0</v>
      </c>
      <c r="CC52" s="852">
        <f t="shared" si="125"/>
        <v>0</v>
      </c>
      <c r="CD52" s="852">
        <f t="shared" si="125"/>
        <v>0</v>
      </c>
      <c r="CE52" s="852">
        <f t="shared" si="125"/>
        <v>0</v>
      </c>
      <c r="CF52" s="848">
        <f t="shared" si="125"/>
        <v>0</v>
      </c>
    </row>
    <row r="53" spans="1:84" x14ac:dyDescent="0.2">
      <c r="A53" s="206">
        <v>11</v>
      </c>
      <c r="B53" s="207">
        <v>3429</v>
      </c>
      <c r="C53" s="207">
        <v>600078256</v>
      </c>
      <c r="D53" s="207">
        <v>43257151</v>
      </c>
      <c r="E53" s="205" t="s">
        <v>138</v>
      </c>
      <c r="F53" s="207">
        <v>3113</v>
      </c>
      <c r="G53" s="208" t="s">
        <v>294</v>
      </c>
      <c r="H53" s="684" t="s">
        <v>271</v>
      </c>
      <c r="I53" s="528">
        <f t="shared" ref="I53:I56" si="126">J53+P53+Q53+R53</f>
        <v>17261477</v>
      </c>
      <c r="J53" s="418">
        <f>K53+L53</f>
        <v>12638923</v>
      </c>
      <c r="K53" s="418">
        <v>11710394</v>
      </c>
      <c r="L53" s="418">
        <v>928529</v>
      </c>
      <c r="M53" s="418">
        <f>N53+O53</f>
        <v>0</v>
      </c>
      <c r="N53" s="418"/>
      <c r="O53" s="418"/>
      <c r="P53" s="68">
        <f t="shared" ref="P53:P56" si="127">ROUND(J53*33.8%,0)</f>
        <v>4271956</v>
      </c>
      <c r="Q53" s="68">
        <f t="shared" ref="Q53:Q56" si="128">ROUND(J53*1%,0)</f>
        <v>126389</v>
      </c>
      <c r="R53" s="418">
        <v>224209</v>
      </c>
      <c r="S53" s="419">
        <f>T53+U53</f>
        <v>18.1676</v>
      </c>
      <c r="T53" s="420">
        <v>15.4543</v>
      </c>
      <c r="U53" s="527">
        <v>2.7133000000000003</v>
      </c>
      <c r="V53" s="427">
        <f t="shared" ref="V53:W56" si="129">AI53*-1</f>
        <v>-19200</v>
      </c>
      <c r="W53" s="421">
        <f t="shared" si="129"/>
        <v>-89600</v>
      </c>
      <c r="X53" s="421">
        <v>0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>V53+X53+Y53+AA53+AB53+AD53</f>
        <v>-19200</v>
      </c>
      <c r="AG53" s="421">
        <f>W53+Z53+AC53+AE53</f>
        <v>-89600</v>
      </c>
      <c r="AH53" s="421">
        <f>SUM(AF53:AG53)</f>
        <v>-108800</v>
      </c>
      <c r="AI53" s="421">
        <v>19200</v>
      </c>
      <c r="AJ53" s="421">
        <v>89600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ref="AO53:AO56" si="130">AI53+AK53+AL53+AM53</f>
        <v>19200</v>
      </c>
      <c r="AP53" s="421">
        <f>AJ53+AN53</f>
        <v>89600</v>
      </c>
      <c r="AQ53" s="421">
        <f>SUM(AO53:AP53)</f>
        <v>108800</v>
      </c>
      <c r="AR53" s="421">
        <f t="shared" ref="AR53:AS56" si="131">AF53+AO53</f>
        <v>0</v>
      </c>
      <c r="AS53" s="421">
        <f t="shared" si="131"/>
        <v>0</v>
      </c>
      <c r="AT53" s="421">
        <f>SUM(AR53:AS53)</f>
        <v>0</v>
      </c>
      <c r="AU53" s="68">
        <f t="shared" ref="AU53:AU56" si="132">ROUND((AH53+AI53+AJ53+AK53+AL53)*33.8%,0)</f>
        <v>0</v>
      </c>
      <c r="AV53" s="68">
        <f>ROUND(AH53*1%,0)</f>
        <v>-1088</v>
      </c>
      <c r="AW53" s="421">
        <v>0</v>
      </c>
      <c r="AX53" s="421">
        <v>0</v>
      </c>
      <c r="AY53" s="421">
        <f>AW53+AX53</f>
        <v>0</v>
      </c>
      <c r="AZ53" s="421">
        <f>AT53+AU53+AV53+AY53</f>
        <v>-1088</v>
      </c>
      <c r="BA53" s="422">
        <v>-0.03</v>
      </c>
      <c r="BB53" s="422">
        <v>-0.32</v>
      </c>
      <c r="BC53" s="422">
        <v>0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>BA53+BC53+BD53+BF53+BH53+BI53</f>
        <v>-0.03</v>
      </c>
      <c r="BL53" s="422">
        <f>BB53+BE53+BG53+BJ53</f>
        <v>-0.32</v>
      </c>
      <c r="BM53" s="611">
        <f>SUM(BK53:BL53)</f>
        <v>-0.35</v>
      </c>
      <c r="BN53" s="428">
        <f>I53+AZ53</f>
        <v>17260389</v>
      </c>
      <c r="BO53" s="421">
        <f>J53+AH53</f>
        <v>12530123</v>
      </c>
      <c r="BP53" s="421">
        <f t="shared" ref="BP53:BQ56" si="133">K53+AF53</f>
        <v>11691194</v>
      </c>
      <c r="BQ53" s="421">
        <f t="shared" si="133"/>
        <v>838929</v>
      </c>
      <c r="BR53" s="421">
        <f>M53+AQ53</f>
        <v>108800</v>
      </c>
      <c r="BS53" s="421">
        <f t="shared" ref="BS53:BT56" si="134">N53+AO53</f>
        <v>19200</v>
      </c>
      <c r="BT53" s="421">
        <f t="shared" si="134"/>
        <v>89600</v>
      </c>
      <c r="BU53" s="421">
        <f t="shared" ref="BU53:BV56" si="135">P53+AU53</f>
        <v>4271956</v>
      </c>
      <c r="BV53" s="421">
        <f t="shared" si="135"/>
        <v>125301</v>
      </c>
      <c r="BW53" s="421">
        <f>R53+AY53</f>
        <v>224209</v>
      </c>
      <c r="BX53" s="422">
        <f>S53+BM53</f>
        <v>17.817599999999999</v>
      </c>
      <c r="BY53" s="422">
        <f t="shared" ref="BY53:BZ56" si="136">T53+BK53</f>
        <v>15.424300000000001</v>
      </c>
      <c r="BZ53" s="611">
        <f t="shared" si="136"/>
        <v>2.3933000000000004</v>
      </c>
      <c r="CA53" s="423"/>
      <c r="CB53" s="418"/>
      <c r="CC53" s="418"/>
      <c r="CD53" s="418"/>
      <c r="CE53" s="418"/>
      <c r="CF53" s="527"/>
    </row>
    <row r="54" spans="1:84" x14ac:dyDescent="0.2">
      <c r="A54" s="206">
        <v>11</v>
      </c>
      <c r="B54" s="207">
        <v>3429</v>
      </c>
      <c r="C54" s="207">
        <v>600078256</v>
      </c>
      <c r="D54" s="207">
        <v>43257151</v>
      </c>
      <c r="E54" s="205" t="s">
        <v>138</v>
      </c>
      <c r="F54" s="207">
        <v>3113</v>
      </c>
      <c r="G54" s="208" t="s">
        <v>292</v>
      </c>
      <c r="H54" s="684" t="s">
        <v>272</v>
      </c>
      <c r="I54" s="528">
        <f t="shared" si="126"/>
        <v>0</v>
      </c>
      <c r="J54" s="418">
        <f>K54+L54</f>
        <v>0</v>
      </c>
      <c r="K54" s="418">
        <v>0</v>
      </c>
      <c r="L54" s="418">
        <v>0</v>
      </c>
      <c r="M54" s="418">
        <f>N54+O54</f>
        <v>0</v>
      </c>
      <c r="N54" s="418"/>
      <c r="O54" s="418"/>
      <c r="P54" s="68">
        <f t="shared" si="127"/>
        <v>0</v>
      </c>
      <c r="Q54" s="68">
        <f t="shared" si="128"/>
        <v>0</v>
      </c>
      <c r="R54" s="418">
        <v>0</v>
      </c>
      <c r="S54" s="419">
        <f>T54+U54</f>
        <v>0</v>
      </c>
      <c r="T54" s="420">
        <v>0</v>
      </c>
      <c r="U54" s="527">
        <v>0</v>
      </c>
      <c r="V54" s="427">
        <f t="shared" si="129"/>
        <v>0</v>
      </c>
      <c r="W54" s="421">
        <f t="shared" si="129"/>
        <v>0</v>
      </c>
      <c r="X54" s="421">
        <v>1477074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>V54+X54+Y54+AA54+AB54+AD54</f>
        <v>1477074</v>
      </c>
      <c r="AG54" s="421">
        <f>W54+Z54+AC54+AE54</f>
        <v>0</v>
      </c>
      <c r="AH54" s="421">
        <f>SUM(AF54:AG54)</f>
        <v>1477074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30"/>
        <v>0</v>
      </c>
      <c r="AP54" s="421">
        <f>AJ54+AN54</f>
        <v>0</v>
      </c>
      <c r="AQ54" s="421">
        <f>SUM(AO54:AP54)</f>
        <v>0</v>
      </c>
      <c r="AR54" s="421">
        <f t="shared" si="131"/>
        <v>1477074</v>
      </c>
      <c r="AS54" s="421">
        <f t="shared" si="131"/>
        <v>0</v>
      </c>
      <c r="AT54" s="421">
        <f>SUM(AR54:AS54)</f>
        <v>1477074</v>
      </c>
      <c r="AU54" s="68">
        <f t="shared" si="132"/>
        <v>499251</v>
      </c>
      <c r="AV54" s="68">
        <f>ROUND(AH54*1%,0)</f>
        <v>14771</v>
      </c>
      <c r="AW54" s="421">
        <v>0</v>
      </c>
      <c r="AX54" s="421">
        <v>0</v>
      </c>
      <c r="AY54" s="421">
        <f>AW54+AX54</f>
        <v>0</v>
      </c>
      <c r="AZ54" s="421">
        <f>AT54+AU54+AV54+AY54</f>
        <v>1991096</v>
      </c>
      <c r="BA54" s="422">
        <v>0</v>
      </c>
      <c r="BB54" s="422">
        <v>0</v>
      </c>
      <c r="BC54" s="422">
        <v>3.97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3.97</v>
      </c>
      <c r="BL54" s="422">
        <f>BB54+BE54+BG54+BJ54</f>
        <v>0</v>
      </c>
      <c r="BM54" s="611">
        <f>SUM(BK54:BL54)</f>
        <v>3.97</v>
      </c>
      <c r="BN54" s="428">
        <f>I54+AZ54</f>
        <v>1991096</v>
      </c>
      <c r="BO54" s="421">
        <f>J54+AH54</f>
        <v>1477074</v>
      </c>
      <c r="BP54" s="421">
        <f t="shared" si="133"/>
        <v>1477074</v>
      </c>
      <c r="BQ54" s="421">
        <f t="shared" si="133"/>
        <v>0</v>
      </c>
      <c r="BR54" s="421">
        <f>M54+AQ54</f>
        <v>0</v>
      </c>
      <c r="BS54" s="421">
        <f t="shared" si="134"/>
        <v>0</v>
      </c>
      <c r="BT54" s="421">
        <f t="shared" si="134"/>
        <v>0</v>
      </c>
      <c r="BU54" s="421">
        <f t="shared" si="135"/>
        <v>499251</v>
      </c>
      <c r="BV54" s="421">
        <f t="shared" si="135"/>
        <v>14771</v>
      </c>
      <c r="BW54" s="421">
        <f>R54+AY54</f>
        <v>0</v>
      </c>
      <c r="BX54" s="422">
        <f>S54+BM54</f>
        <v>3.97</v>
      </c>
      <c r="BY54" s="422">
        <f t="shared" si="136"/>
        <v>3.97</v>
      </c>
      <c r="BZ54" s="611">
        <f t="shared" si="136"/>
        <v>0</v>
      </c>
      <c r="CA54" s="423"/>
      <c r="CB54" s="418"/>
      <c r="CC54" s="418"/>
      <c r="CD54" s="418"/>
      <c r="CE54" s="418"/>
      <c r="CF54" s="527"/>
    </row>
    <row r="55" spans="1:84" s="3" customFormat="1" x14ac:dyDescent="0.2">
      <c r="A55" s="206">
        <v>11</v>
      </c>
      <c r="B55" s="207">
        <v>3429</v>
      </c>
      <c r="C55" s="207">
        <v>600078256</v>
      </c>
      <c r="D55" s="207">
        <v>43257151</v>
      </c>
      <c r="E55" s="205" t="s">
        <v>138</v>
      </c>
      <c r="F55" s="207">
        <v>3143</v>
      </c>
      <c r="G55" s="208" t="s">
        <v>596</v>
      </c>
      <c r="H55" s="686" t="s">
        <v>271</v>
      </c>
      <c r="I55" s="528">
        <f t="shared" si="126"/>
        <v>1633741</v>
      </c>
      <c r="J55" s="418">
        <f>K55+L55</f>
        <v>1211974</v>
      </c>
      <c r="K55" s="418">
        <v>1211974</v>
      </c>
      <c r="L55" s="418">
        <v>0</v>
      </c>
      <c r="M55" s="418">
        <f>N55+O55</f>
        <v>0</v>
      </c>
      <c r="N55" s="418"/>
      <c r="O55" s="418"/>
      <c r="P55" s="68">
        <f t="shared" si="127"/>
        <v>409647</v>
      </c>
      <c r="Q55" s="68">
        <f t="shared" si="128"/>
        <v>12120</v>
      </c>
      <c r="R55" s="418">
        <v>0</v>
      </c>
      <c r="S55" s="419">
        <f>T55+U55</f>
        <v>2.4293</v>
      </c>
      <c r="T55" s="420">
        <v>2.4293</v>
      </c>
      <c r="U55" s="527">
        <v>0</v>
      </c>
      <c r="V55" s="427">
        <f t="shared" si="129"/>
        <v>0</v>
      </c>
      <c r="W55" s="421">
        <f t="shared" si="129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>V55+X55+Y55+AA55+AB55+AD55</f>
        <v>0</v>
      </c>
      <c r="AG55" s="421">
        <f>W55+Z55+AC55+AE55</f>
        <v>0</v>
      </c>
      <c r="AH55" s="421">
        <f>SUM(AF55:AG55)</f>
        <v>0</v>
      </c>
      <c r="AI55" s="421">
        <v>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30"/>
        <v>0</v>
      </c>
      <c r="AP55" s="421">
        <f>AJ55+AN55</f>
        <v>0</v>
      </c>
      <c r="AQ55" s="421">
        <f>SUM(AO55:AP55)</f>
        <v>0</v>
      </c>
      <c r="AR55" s="421">
        <f t="shared" si="131"/>
        <v>0</v>
      </c>
      <c r="AS55" s="421">
        <f t="shared" si="131"/>
        <v>0</v>
      </c>
      <c r="AT55" s="421">
        <f>SUM(AR55:AS55)</f>
        <v>0</v>
      </c>
      <c r="AU55" s="68">
        <f t="shared" si="132"/>
        <v>0</v>
      </c>
      <c r="AV55" s="68">
        <f>ROUND(AH55*1%,0)</f>
        <v>0</v>
      </c>
      <c r="AW55" s="421">
        <v>0</v>
      </c>
      <c r="AX55" s="421">
        <v>0</v>
      </c>
      <c r="AY55" s="421">
        <f>AW55+AX55</f>
        <v>0</v>
      </c>
      <c r="AZ55" s="421">
        <f>AT55+AU55+AV55+AY55</f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>BA55+BC55+BD55+BF55+BH55+BI55</f>
        <v>0</v>
      </c>
      <c r="BL55" s="422">
        <f>BB55+BE55+BG55+BJ55</f>
        <v>0</v>
      </c>
      <c r="BM55" s="611">
        <f>SUM(BK55:BL55)</f>
        <v>0</v>
      </c>
      <c r="BN55" s="428">
        <f>I55+AZ55</f>
        <v>1633741</v>
      </c>
      <c r="BO55" s="421">
        <f>J55+AH55</f>
        <v>1211974</v>
      </c>
      <c r="BP55" s="421">
        <f t="shared" si="133"/>
        <v>1211974</v>
      </c>
      <c r="BQ55" s="421">
        <f t="shared" si="133"/>
        <v>0</v>
      </c>
      <c r="BR55" s="421">
        <f>M55+AQ55</f>
        <v>0</v>
      </c>
      <c r="BS55" s="421">
        <f t="shared" si="134"/>
        <v>0</v>
      </c>
      <c r="BT55" s="421">
        <f t="shared" si="134"/>
        <v>0</v>
      </c>
      <c r="BU55" s="421">
        <f t="shared" si="135"/>
        <v>409647</v>
      </c>
      <c r="BV55" s="421">
        <f t="shared" si="135"/>
        <v>12120</v>
      </c>
      <c r="BW55" s="421">
        <f>R55+AY55</f>
        <v>0</v>
      </c>
      <c r="BX55" s="422">
        <f>S55+BM55</f>
        <v>2.4293</v>
      </c>
      <c r="BY55" s="422">
        <f t="shared" si="136"/>
        <v>2.4293</v>
      </c>
      <c r="BZ55" s="611">
        <f t="shared" si="136"/>
        <v>0</v>
      </c>
      <c r="CA55" s="423"/>
      <c r="CB55" s="418"/>
      <c r="CC55" s="418"/>
      <c r="CD55" s="418"/>
      <c r="CE55" s="418"/>
      <c r="CF55" s="527"/>
    </row>
    <row r="56" spans="1:84" s="3" customFormat="1" x14ac:dyDescent="0.2">
      <c r="A56" s="206">
        <v>11</v>
      </c>
      <c r="B56" s="207">
        <v>3429</v>
      </c>
      <c r="C56" s="207">
        <v>600078256</v>
      </c>
      <c r="D56" s="207">
        <v>43257151</v>
      </c>
      <c r="E56" s="205" t="s">
        <v>138</v>
      </c>
      <c r="F56" s="207">
        <v>3143</v>
      </c>
      <c r="G56" s="208" t="s">
        <v>597</v>
      </c>
      <c r="H56" s="686" t="s">
        <v>272</v>
      </c>
      <c r="I56" s="528">
        <f t="shared" si="126"/>
        <v>36366</v>
      </c>
      <c r="J56" s="418">
        <f>K56+L56</f>
        <v>26030</v>
      </c>
      <c r="K56" s="418">
        <v>0</v>
      </c>
      <c r="L56" s="418">
        <v>26030</v>
      </c>
      <c r="M56" s="418">
        <f>N56+O56</f>
        <v>0</v>
      </c>
      <c r="N56" s="418"/>
      <c r="O56" s="418"/>
      <c r="P56" s="68">
        <f t="shared" si="127"/>
        <v>8798</v>
      </c>
      <c r="Q56" s="68">
        <f t="shared" si="128"/>
        <v>260</v>
      </c>
      <c r="R56" s="418">
        <v>1278</v>
      </c>
      <c r="S56" s="419">
        <f>T56+U56</f>
        <v>0.1</v>
      </c>
      <c r="T56" s="420">
        <v>0</v>
      </c>
      <c r="U56" s="527">
        <v>0.1</v>
      </c>
      <c r="V56" s="427">
        <f t="shared" si="129"/>
        <v>0</v>
      </c>
      <c r="W56" s="421">
        <f t="shared" si="129"/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>V56+X56+Y56+AA56+AB56+AD56</f>
        <v>0</v>
      </c>
      <c r="AG56" s="421">
        <f>W56+Z56+AC56+AE56</f>
        <v>0</v>
      </c>
      <c r="AH56" s="421">
        <f>SUM(AF56:AG56)</f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30"/>
        <v>0</v>
      </c>
      <c r="AP56" s="421">
        <f>AJ56+AN56</f>
        <v>0</v>
      </c>
      <c r="AQ56" s="421">
        <f>SUM(AO56:AP56)</f>
        <v>0</v>
      </c>
      <c r="AR56" s="421">
        <f t="shared" si="131"/>
        <v>0</v>
      </c>
      <c r="AS56" s="421">
        <f t="shared" si="131"/>
        <v>0</v>
      </c>
      <c r="AT56" s="421">
        <f>SUM(AR56:AS56)</f>
        <v>0</v>
      </c>
      <c r="AU56" s="68">
        <f t="shared" si="132"/>
        <v>0</v>
      </c>
      <c r="AV56" s="68">
        <f>ROUND(AH56*1%,0)</f>
        <v>0</v>
      </c>
      <c r="AW56" s="421">
        <v>0</v>
      </c>
      <c r="AX56" s="421">
        <v>0</v>
      </c>
      <c r="AY56" s="421">
        <f>AW56+AX56</f>
        <v>0</v>
      </c>
      <c r="AZ56" s="421">
        <f>AT56+AU56+AV56+AY56</f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>BA56+BC56+BD56+BF56+BH56+BI56</f>
        <v>0</v>
      </c>
      <c r="BL56" s="422">
        <f>BB56+BE56+BG56+BJ56</f>
        <v>0</v>
      </c>
      <c r="BM56" s="611">
        <f>SUM(BK56:BL56)</f>
        <v>0</v>
      </c>
      <c r="BN56" s="428">
        <f>I56+AZ56</f>
        <v>36366</v>
      </c>
      <c r="BO56" s="421">
        <f>J56+AH56</f>
        <v>26030</v>
      </c>
      <c r="BP56" s="421">
        <f t="shared" si="133"/>
        <v>0</v>
      </c>
      <c r="BQ56" s="421">
        <f t="shared" si="133"/>
        <v>26030</v>
      </c>
      <c r="BR56" s="421">
        <f>M56+AQ56</f>
        <v>0</v>
      </c>
      <c r="BS56" s="421">
        <f t="shared" si="134"/>
        <v>0</v>
      </c>
      <c r="BT56" s="421">
        <f t="shared" si="134"/>
        <v>0</v>
      </c>
      <c r="BU56" s="421">
        <f t="shared" si="135"/>
        <v>8798</v>
      </c>
      <c r="BV56" s="421">
        <f t="shared" si="135"/>
        <v>260</v>
      </c>
      <c r="BW56" s="421">
        <f>R56+AY56</f>
        <v>1278</v>
      </c>
      <c r="BX56" s="422">
        <f>S56+BM56</f>
        <v>0.1</v>
      </c>
      <c r="BY56" s="422">
        <f t="shared" si="136"/>
        <v>0</v>
      </c>
      <c r="BZ56" s="611">
        <f t="shared" si="136"/>
        <v>0.1</v>
      </c>
      <c r="CA56" s="423"/>
      <c r="CB56" s="418"/>
      <c r="CC56" s="418"/>
      <c r="CD56" s="418"/>
      <c r="CE56" s="418"/>
      <c r="CF56" s="527"/>
    </row>
    <row r="57" spans="1:84" x14ac:dyDescent="0.2">
      <c r="A57" s="155">
        <v>11</v>
      </c>
      <c r="B57" s="18">
        <v>3429</v>
      </c>
      <c r="C57" s="18">
        <v>600078256</v>
      </c>
      <c r="D57" s="18">
        <v>43257151</v>
      </c>
      <c r="E57" s="164" t="s">
        <v>139</v>
      </c>
      <c r="F57" s="18"/>
      <c r="G57" s="154"/>
      <c r="H57" s="685"/>
      <c r="I57" s="458">
        <f t="shared" ref="I57:BU57" si="137">SUM(I53:I56)</f>
        <v>18931584</v>
      </c>
      <c r="J57" s="451">
        <f t="shared" si="137"/>
        <v>13876927</v>
      </c>
      <c r="K57" s="451">
        <f t="shared" si="137"/>
        <v>12922368</v>
      </c>
      <c r="L57" s="451">
        <f t="shared" si="137"/>
        <v>954559</v>
      </c>
      <c r="M57" s="451">
        <f t="shared" si="137"/>
        <v>0</v>
      </c>
      <c r="N57" s="451">
        <f t="shared" si="137"/>
        <v>0</v>
      </c>
      <c r="O57" s="451">
        <f t="shared" si="137"/>
        <v>0</v>
      </c>
      <c r="P57" s="451">
        <f t="shared" si="137"/>
        <v>4690401</v>
      </c>
      <c r="Q57" s="451">
        <f t="shared" si="137"/>
        <v>138769</v>
      </c>
      <c r="R57" s="451">
        <f t="shared" si="137"/>
        <v>225487</v>
      </c>
      <c r="S57" s="452">
        <f t="shared" si="137"/>
        <v>20.696900000000003</v>
      </c>
      <c r="T57" s="452">
        <f t="shared" si="137"/>
        <v>17.883600000000001</v>
      </c>
      <c r="U57" s="39">
        <f t="shared" si="137"/>
        <v>2.8133000000000004</v>
      </c>
      <c r="V57" s="458">
        <f t="shared" si="137"/>
        <v>-19200</v>
      </c>
      <c r="W57" s="451">
        <f t="shared" si="137"/>
        <v>-89600</v>
      </c>
      <c r="X57" s="451">
        <f t="shared" si="137"/>
        <v>1477074</v>
      </c>
      <c r="Y57" s="451">
        <f t="shared" si="137"/>
        <v>0</v>
      </c>
      <c r="Z57" s="451">
        <f t="shared" si="137"/>
        <v>0</v>
      </c>
      <c r="AA57" s="451">
        <f t="shared" si="137"/>
        <v>0</v>
      </c>
      <c r="AB57" s="451">
        <f t="shared" si="137"/>
        <v>0</v>
      </c>
      <c r="AC57" s="451">
        <f t="shared" si="137"/>
        <v>0</v>
      </c>
      <c r="AD57" s="451">
        <f t="shared" si="137"/>
        <v>0</v>
      </c>
      <c r="AE57" s="451">
        <f t="shared" si="137"/>
        <v>0</v>
      </c>
      <c r="AF57" s="451">
        <f t="shared" si="137"/>
        <v>1457874</v>
      </c>
      <c r="AG57" s="451">
        <f t="shared" si="137"/>
        <v>-89600</v>
      </c>
      <c r="AH57" s="451">
        <f t="shared" si="137"/>
        <v>1368274</v>
      </c>
      <c r="AI57" s="451">
        <f t="shared" si="137"/>
        <v>19200</v>
      </c>
      <c r="AJ57" s="451">
        <f t="shared" si="137"/>
        <v>89600</v>
      </c>
      <c r="AK57" s="451">
        <f t="shared" ref="AK57" si="138">SUM(AK53:AK56)</f>
        <v>0</v>
      </c>
      <c r="AL57" s="451">
        <f t="shared" si="137"/>
        <v>0</v>
      </c>
      <c r="AM57" s="451">
        <f t="shared" si="137"/>
        <v>0</v>
      </c>
      <c r="AN57" s="451">
        <f t="shared" si="137"/>
        <v>0</v>
      </c>
      <c r="AO57" s="451">
        <f t="shared" si="137"/>
        <v>19200</v>
      </c>
      <c r="AP57" s="451">
        <f t="shared" si="137"/>
        <v>89600</v>
      </c>
      <c r="AQ57" s="451">
        <f t="shared" si="137"/>
        <v>108800</v>
      </c>
      <c r="AR57" s="451">
        <f t="shared" si="137"/>
        <v>1477074</v>
      </c>
      <c r="AS57" s="451">
        <f t="shared" si="137"/>
        <v>0</v>
      </c>
      <c r="AT57" s="451">
        <f t="shared" si="137"/>
        <v>1477074</v>
      </c>
      <c r="AU57" s="451">
        <f t="shared" si="137"/>
        <v>499251</v>
      </c>
      <c r="AV57" s="451">
        <f t="shared" si="137"/>
        <v>13683</v>
      </c>
      <c r="AW57" s="451">
        <f t="shared" si="137"/>
        <v>0</v>
      </c>
      <c r="AX57" s="451">
        <f t="shared" si="137"/>
        <v>0</v>
      </c>
      <c r="AY57" s="451">
        <f t="shared" si="137"/>
        <v>0</v>
      </c>
      <c r="AZ57" s="451">
        <f t="shared" si="137"/>
        <v>1990008</v>
      </c>
      <c r="BA57" s="452">
        <f t="shared" si="137"/>
        <v>-0.03</v>
      </c>
      <c r="BB57" s="452">
        <f t="shared" si="137"/>
        <v>-0.32</v>
      </c>
      <c r="BC57" s="452">
        <f t="shared" si="137"/>
        <v>3.97</v>
      </c>
      <c r="BD57" s="452">
        <f t="shared" si="137"/>
        <v>0</v>
      </c>
      <c r="BE57" s="452">
        <f t="shared" si="137"/>
        <v>0</v>
      </c>
      <c r="BF57" s="452">
        <f t="shared" si="137"/>
        <v>0</v>
      </c>
      <c r="BG57" s="452">
        <f t="shared" si="137"/>
        <v>0</v>
      </c>
      <c r="BH57" s="452">
        <f t="shared" si="137"/>
        <v>0</v>
      </c>
      <c r="BI57" s="452">
        <f t="shared" si="137"/>
        <v>0</v>
      </c>
      <c r="BJ57" s="452">
        <f t="shared" si="137"/>
        <v>0</v>
      </c>
      <c r="BK57" s="452">
        <f t="shared" si="137"/>
        <v>3.9400000000000004</v>
      </c>
      <c r="BL57" s="452">
        <f t="shared" si="137"/>
        <v>-0.32</v>
      </c>
      <c r="BM57" s="456">
        <f t="shared" si="137"/>
        <v>3.62</v>
      </c>
      <c r="BN57" s="454">
        <f t="shared" si="137"/>
        <v>20921592</v>
      </c>
      <c r="BO57" s="451">
        <f t="shared" si="137"/>
        <v>15245201</v>
      </c>
      <c r="BP57" s="451">
        <f t="shared" si="137"/>
        <v>14380242</v>
      </c>
      <c r="BQ57" s="451">
        <f t="shared" si="137"/>
        <v>864959</v>
      </c>
      <c r="BR57" s="451">
        <f t="shared" si="137"/>
        <v>108800</v>
      </c>
      <c r="BS57" s="451">
        <f t="shared" si="137"/>
        <v>19200</v>
      </c>
      <c r="BT57" s="451">
        <f t="shared" si="137"/>
        <v>89600</v>
      </c>
      <c r="BU57" s="451">
        <f t="shared" si="137"/>
        <v>5189652</v>
      </c>
      <c r="BV57" s="451">
        <f t="shared" ref="BV57:CF57" si="139">SUM(BV53:BV56)</f>
        <v>152452</v>
      </c>
      <c r="BW57" s="451">
        <f t="shared" si="139"/>
        <v>225487</v>
      </c>
      <c r="BX57" s="452">
        <f t="shared" si="139"/>
        <v>24.3169</v>
      </c>
      <c r="BY57" s="452">
        <f t="shared" si="139"/>
        <v>21.823600000000003</v>
      </c>
      <c r="BZ57" s="456">
        <f t="shared" si="139"/>
        <v>2.4933000000000005</v>
      </c>
      <c r="CA57" s="854">
        <f t="shared" si="139"/>
        <v>0</v>
      </c>
      <c r="CB57" s="852">
        <f t="shared" si="139"/>
        <v>0</v>
      </c>
      <c r="CC57" s="852">
        <f t="shared" si="139"/>
        <v>0</v>
      </c>
      <c r="CD57" s="852">
        <f t="shared" si="139"/>
        <v>0</v>
      </c>
      <c r="CE57" s="852">
        <f t="shared" si="139"/>
        <v>0</v>
      </c>
      <c r="CF57" s="848">
        <f t="shared" si="139"/>
        <v>0</v>
      </c>
    </row>
    <row r="58" spans="1:84" x14ac:dyDescent="0.2">
      <c r="A58" s="206">
        <v>12</v>
      </c>
      <c r="B58" s="207">
        <v>3405</v>
      </c>
      <c r="C58" s="207">
        <v>600078337</v>
      </c>
      <c r="D58" s="207">
        <v>70698325</v>
      </c>
      <c r="E58" s="205" t="s">
        <v>140</v>
      </c>
      <c r="F58" s="207">
        <v>3111</v>
      </c>
      <c r="G58" s="208" t="s">
        <v>291</v>
      </c>
      <c r="H58" s="684" t="s">
        <v>271</v>
      </c>
      <c r="I58" s="528">
        <f t="shared" ref="I58:I63" si="140">J58+P58+Q58+R58</f>
        <v>1585610</v>
      </c>
      <c r="J58" s="418">
        <f t="shared" ref="J58:J63" si="141">K58+L58</f>
        <v>1172307</v>
      </c>
      <c r="K58" s="418">
        <v>1112403</v>
      </c>
      <c r="L58" s="418">
        <v>59904</v>
      </c>
      <c r="M58" s="418">
        <f t="shared" ref="M58:M63" si="142">N58+O58</f>
        <v>0</v>
      </c>
      <c r="N58" s="418"/>
      <c r="O58" s="418"/>
      <c r="P58" s="68">
        <f t="shared" ref="P58:P63" si="143">ROUND(J58*33.8%,0)</f>
        <v>396240</v>
      </c>
      <c r="Q58" s="68">
        <f t="shared" ref="Q58:Q63" si="144">ROUND(J58*1%,0)</f>
        <v>11723</v>
      </c>
      <c r="R58" s="418">
        <v>5340</v>
      </c>
      <c r="S58" s="419">
        <f t="shared" ref="S58:S63" si="145">T58+U58</f>
        <v>2.1673999999999998</v>
      </c>
      <c r="T58" s="420">
        <v>1.9274</v>
      </c>
      <c r="U58" s="527">
        <v>0.24</v>
      </c>
      <c r="V58" s="427">
        <f t="shared" ref="V58:W63" si="146">AI58*-1</f>
        <v>0</v>
      </c>
      <c r="W58" s="421">
        <f t="shared" si="146"/>
        <v>0</v>
      </c>
      <c r="X58" s="421">
        <v>0</v>
      </c>
      <c r="Y58" s="421">
        <v>0</v>
      </c>
      <c r="Z58" s="421">
        <v>0</v>
      </c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f t="shared" ref="AF58:AF63" si="147">V58+X58+Y58+AA58+AB58+AD58</f>
        <v>0</v>
      </c>
      <c r="AG58" s="421">
        <f t="shared" ref="AG58:AG63" si="148">W58+Z58+AC58+AE58</f>
        <v>0</v>
      </c>
      <c r="AH58" s="421">
        <f t="shared" ref="AH58:AH63" si="149">SUM(AF58:AG58)</f>
        <v>0</v>
      </c>
      <c r="AI58" s="421">
        <v>0</v>
      </c>
      <c r="AJ58" s="421">
        <v>0</v>
      </c>
      <c r="AK58" s="421">
        <v>0</v>
      </c>
      <c r="AL58" s="421">
        <v>0</v>
      </c>
      <c r="AM58" s="421">
        <v>0</v>
      </c>
      <c r="AN58" s="421">
        <v>0</v>
      </c>
      <c r="AO58" s="421">
        <f t="shared" ref="AO58:AO63" si="150">AI58+AK58+AL58+AM58</f>
        <v>0</v>
      </c>
      <c r="AP58" s="421">
        <f t="shared" ref="AP58:AP63" si="151">AJ58+AN58</f>
        <v>0</v>
      </c>
      <c r="AQ58" s="421">
        <f t="shared" ref="AQ58:AQ63" si="152">SUM(AO58:AP58)</f>
        <v>0</v>
      </c>
      <c r="AR58" s="421">
        <f t="shared" ref="AR58:AS63" si="153">AF58+AO58</f>
        <v>0</v>
      </c>
      <c r="AS58" s="421">
        <f t="shared" si="153"/>
        <v>0</v>
      </c>
      <c r="AT58" s="421">
        <f t="shared" ref="AT58:AT63" si="154">SUM(AR58:AS58)</f>
        <v>0</v>
      </c>
      <c r="AU58" s="68">
        <f t="shared" ref="AU58:AU63" si="155">ROUND((AH58+AI58+AJ58+AK58+AL58)*33.8%,0)</f>
        <v>0</v>
      </c>
      <c r="AV58" s="68">
        <f t="shared" ref="AV58:AV63" si="156">ROUND(AH58*1%,0)</f>
        <v>0</v>
      </c>
      <c r="AW58" s="421">
        <v>0</v>
      </c>
      <c r="AX58" s="421">
        <v>0</v>
      </c>
      <c r="AY58" s="421">
        <f t="shared" ref="AY58:AY63" si="157">AW58+AX58</f>
        <v>0</v>
      </c>
      <c r="AZ58" s="421">
        <f t="shared" ref="AZ58:AZ63" si="158">AT58+AU58+AV58+AY58</f>
        <v>0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0</v>
      </c>
      <c r="BK58" s="422">
        <f t="shared" ref="BK58:BK63" si="159">BA58+BC58+BD58+BF58+BH58+BI58</f>
        <v>0</v>
      </c>
      <c r="BL58" s="422">
        <f t="shared" ref="BL58:BL63" si="160">BB58+BE58+BG58+BJ58</f>
        <v>0</v>
      </c>
      <c r="BM58" s="611">
        <f t="shared" ref="BM58:BM63" si="161">SUM(BK58:BL58)</f>
        <v>0</v>
      </c>
      <c r="BN58" s="428">
        <f t="shared" ref="BN58:BN63" si="162">I58+AZ58</f>
        <v>1585610</v>
      </c>
      <c r="BO58" s="421">
        <f t="shared" ref="BO58:BO63" si="163">J58+AH58</f>
        <v>1172307</v>
      </c>
      <c r="BP58" s="421">
        <f t="shared" ref="BP58:BQ63" si="164">K58+AF58</f>
        <v>1112403</v>
      </c>
      <c r="BQ58" s="421">
        <f t="shared" si="164"/>
        <v>59904</v>
      </c>
      <c r="BR58" s="421">
        <f t="shared" ref="BR58:BR63" si="165">M58+AQ58</f>
        <v>0</v>
      </c>
      <c r="BS58" s="421">
        <f t="shared" ref="BS58:BT63" si="166">N58+AO58</f>
        <v>0</v>
      </c>
      <c r="BT58" s="421">
        <f t="shared" si="166"/>
        <v>0</v>
      </c>
      <c r="BU58" s="421">
        <f t="shared" ref="BU58:BV63" si="167">P58+AU58</f>
        <v>396240</v>
      </c>
      <c r="BV58" s="421">
        <f t="shared" si="167"/>
        <v>11723</v>
      </c>
      <c r="BW58" s="421">
        <f t="shared" ref="BW58:BW63" si="168">R58+AY58</f>
        <v>5340</v>
      </c>
      <c r="BX58" s="422">
        <f t="shared" ref="BX58:BX63" si="169">S58+BM58</f>
        <v>2.1673999999999998</v>
      </c>
      <c r="BY58" s="422">
        <f t="shared" ref="BY58:BZ63" si="170">T58+BK58</f>
        <v>1.9274</v>
      </c>
      <c r="BZ58" s="611">
        <f t="shared" si="170"/>
        <v>0.24</v>
      </c>
      <c r="CA58" s="423"/>
      <c r="CB58" s="418"/>
      <c r="CC58" s="418"/>
      <c r="CD58" s="418"/>
      <c r="CE58" s="418"/>
      <c r="CF58" s="527"/>
    </row>
    <row r="59" spans="1:84" x14ac:dyDescent="0.2">
      <c r="A59" s="206">
        <v>12</v>
      </c>
      <c r="B59" s="207">
        <v>3405</v>
      </c>
      <c r="C59" s="207">
        <v>600078337</v>
      </c>
      <c r="D59" s="207">
        <v>70698325</v>
      </c>
      <c r="E59" s="205" t="s">
        <v>140</v>
      </c>
      <c r="F59" s="207">
        <v>3117</v>
      </c>
      <c r="G59" s="208" t="s">
        <v>294</v>
      </c>
      <c r="H59" s="684" t="s">
        <v>271</v>
      </c>
      <c r="I59" s="528">
        <f t="shared" si="140"/>
        <v>1879080</v>
      </c>
      <c r="J59" s="418">
        <f t="shared" si="141"/>
        <v>1375919</v>
      </c>
      <c r="K59" s="418">
        <v>1226634</v>
      </c>
      <c r="L59" s="418">
        <v>149285</v>
      </c>
      <c r="M59" s="418">
        <f t="shared" si="142"/>
        <v>0</v>
      </c>
      <c r="N59" s="418"/>
      <c r="O59" s="418"/>
      <c r="P59" s="68">
        <f t="shared" si="143"/>
        <v>465061</v>
      </c>
      <c r="Q59" s="68">
        <f>ROUND(J59*1%,0)+1</f>
        <v>13760</v>
      </c>
      <c r="R59" s="418">
        <v>24340</v>
      </c>
      <c r="S59" s="419">
        <f t="shared" si="145"/>
        <v>2.2316000000000003</v>
      </c>
      <c r="T59" s="420">
        <v>1.8182</v>
      </c>
      <c r="U59" s="527">
        <v>0.41339999999999999</v>
      </c>
      <c r="V59" s="427">
        <f t="shared" si="146"/>
        <v>0</v>
      </c>
      <c r="W59" s="421">
        <f t="shared" si="146"/>
        <v>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 t="shared" si="147"/>
        <v>0</v>
      </c>
      <c r="AG59" s="421">
        <f t="shared" si="148"/>
        <v>0</v>
      </c>
      <c r="AH59" s="421">
        <f t="shared" si="149"/>
        <v>0</v>
      </c>
      <c r="AI59" s="421">
        <v>0</v>
      </c>
      <c r="AJ59" s="421">
        <v>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si="150"/>
        <v>0</v>
      </c>
      <c r="AP59" s="421">
        <f t="shared" si="151"/>
        <v>0</v>
      </c>
      <c r="AQ59" s="421">
        <f t="shared" si="152"/>
        <v>0</v>
      </c>
      <c r="AR59" s="421">
        <f t="shared" si="153"/>
        <v>0</v>
      </c>
      <c r="AS59" s="421">
        <f t="shared" si="153"/>
        <v>0</v>
      </c>
      <c r="AT59" s="421">
        <f t="shared" si="154"/>
        <v>0</v>
      </c>
      <c r="AU59" s="68">
        <f t="shared" si="155"/>
        <v>0</v>
      </c>
      <c r="AV59" s="68">
        <f t="shared" si="156"/>
        <v>0</v>
      </c>
      <c r="AW59" s="421">
        <v>0</v>
      </c>
      <c r="AX59" s="421">
        <v>0</v>
      </c>
      <c r="AY59" s="421">
        <f t="shared" si="157"/>
        <v>0</v>
      </c>
      <c r="AZ59" s="421">
        <f t="shared" si="158"/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 t="shared" si="159"/>
        <v>0</v>
      </c>
      <c r="BL59" s="422">
        <f t="shared" si="160"/>
        <v>0</v>
      </c>
      <c r="BM59" s="611">
        <f t="shared" si="161"/>
        <v>0</v>
      </c>
      <c r="BN59" s="428">
        <f t="shared" si="162"/>
        <v>1879080</v>
      </c>
      <c r="BO59" s="421">
        <f t="shared" si="163"/>
        <v>1375919</v>
      </c>
      <c r="BP59" s="421">
        <f t="shared" si="164"/>
        <v>1226634</v>
      </c>
      <c r="BQ59" s="421">
        <f t="shared" si="164"/>
        <v>149285</v>
      </c>
      <c r="BR59" s="421">
        <f t="shared" si="165"/>
        <v>0</v>
      </c>
      <c r="BS59" s="421">
        <f t="shared" si="166"/>
        <v>0</v>
      </c>
      <c r="BT59" s="421">
        <f t="shared" si="166"/>
        <v>0</v>
      </c>
      <c r="BU59" s="421">
        <f t="shared" si="167"/>
        <v>465061</v>
      </c>
      <c r="BV59" s="421">
        <f t="shared" si="167"/>
        <v>13760</v>
      </c>
      <c r="BW59" s="421">
        <f t="shared" si="168"/>
        <v>24340</v>
      </c>
      <c r="BX59" s="422">
        <f t="shared" si="169"/>
        <v>2.2316000000000003</v>
      </c>
      <c r="BY59" s="422">
        <f t="shared" si="170"/>
        <v>1.8182</v>
      </c>
      <c r="BZ59" s="611">
        <f t="shared" si="170"/>
        <v>0.41339999999999999</v>
      </c>
      <c r="CA59" s="423"/>
      <c r="CB59" s="418"/>
      <c r="CC59" s="418"/>
      <c r="CD59" s="418"/>
      <c r="CE59" s="418"/>
      <c r="CF59" s="527"/>
    </row>
    <row r="60" spans="1:84" x14ac:dyDescent="0.2">
      <c r="A60" s="206">
        <v>12</v>
      </c>
      <c r="B60" s="207">
        <v>3405</v>
      </c>
      <c r="C60" s="207">
        <v>600078337</v>
      </c>
      <c r="D60" s="207">
        <v>70698325</v>
      </c>
      <c r="E60" s="205" t="s">
        <v>140</v>
      </c>
      <c r="F60" s="207">
        <v>3117</v>
      </c>
      <c r="G60" s="208" t="s">
        <v>292</v>
      </c>
      <c r="H60" s="684" t="s">
        <v>272</v>
      </c>
      <c r="I60" s="528">
        <f t="shared" si="140"/>
        <v>0</v>
      </c>
      <c r="J60" s="418">
        <f t="shared" si="141"/>
        <v>0</v>
      </c>
      <c r="K60" s="418">
        <v>0</v>
      </c>
      <c r="L60" s="418">
        <v>0</v>
      </c>
      <c r="M60" s="418">
        <f t="shared" si="142"/>
        <v>0</v>
      </c>
      <c r="N60" s="418"/>
      <c r="O60" s="418"/>
      <c r="P60" s="68">
        <f t="shared" si="143"/>
        <v>0</v>
      </c>
      <c r="Q60" s="68">
        <f t="shared" si="144"/>
        <v>0</v>
      </c>
      <c r="R60" s="418">
        <v>0</v>
      </c>
      <c r="S60" s="419">
        <f t="shared" si="145"/>
        <v>0</v>
      </c>
      <c r="T60" s="420">
        <v>0</v>
      </c>
      <c r="U60" s="527">
        <v>0</v>
      </c>
      <c r="V60" s="427">
        <f t="shared" si="146"/>
        <v>0</v>
      </c>
      <c r="W60" s="421">
        <f t="shared" si="146"/>
        <v>0</v>
      </c>
      <c r="X60" s="421">
        <v>236905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147"/>
        <v>236905</v>
      </c>
      <c r="AG60" s="421">
        <f t="shared" si="148"/>
        <v>0</v>
      </c>
      <c r="AH60" s="421">
        <f t="shared" si="149"/>
        <v>236905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50"/>
        <v>0</v>
      </c>
      <c r="AP60" s="421">
        <f t="shared" si="151"/>
        <v>0</v>
      </c>
      <c r="AQ60" s="421">
        <f t="shared" si="152"/>
        <v>0</v>
      </c>
      <c r="AR60" s="421">
        <f t="shared" si="153"/>
        <v>236905</v>
      </c>
      <c r="AS60" s="421">
        <f t="shared" si="153"/>
        <v>0</v>
      </c>
      <c r="AT60" s="421">
        <f t="shared" si="154"/>
        <v>236905</v>
      </c>
      <c r="AU60" s="68">
        <f t="shared" si="155"/>
        <v>80074</v>
      </c>
      <c r="AV60" s="68">
        <f t="shared" si="156"/>
        <v>2369</v>
      </c>
      <c r="AW60" s="421">
        <v>2500</v>
      </c>
      <c r="AX60" s="421">
        <v>0</v>
      </c>
      <c r="AY60" s="421">
        <f t="shared" si="157"/>
        <v>2500</v>
      </c>
      <c r="AZ60" s="421">
        <f t="shared" si="158"/>
        <v>321848</v>
      </c>
      <c r="BA60" s="422">
        <v>0</v>
      </c>
      <c r="BB60" s="422">
        <v>0</v>
      </c>
      <c r="BC60" s="422">
        <v>0.64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 t="shared" si="159"/>
        <v>0.64</v>
      </c>
      <c r="BL60" s="422">
        <f t="shared" si="160"/>
        <v>0</v>
      </c>
      <c r="BM60" s="611">
        <f t="shared" si="161"/>
        <v>0.64</v>
      </c>
      <c r="BN60" s="428">
        <f t="shared" si="162"/>
        <v>321848</v>
      </c>
      <c r="BO60" s="421">
        <f t="shared" si="163"/>
        <v>236905</v>
      </c>
      <c r="BP60" s="421">
        <f t="shared" si="164"/>
        <v>236905</v>
      </c>
      <c r="BQ60" s="421">
        <f t="shared" si="164"/>
        <v>0</v>
      </c>
      <c r="BR60" s="421">
        <f t="shared" si="165"/>
        <v>0</v>
      </c>
      <c r="BS60" s="421">
        <f t="shared" si="166"/>
        <v>0</v>
      </c>
      <c r="BT60" s="421">
        <f t="shared" si="166"/>
        <v>0</v>
      </c>
      <c r="BU60" s="421">
        <f t="shared" si="167"/>
        <v>80074</v>
      </c>
      <c r="BV60" s="421">
        <f t="shared" si="167"/>
        <v>2369</v>
      </c>
      <c r="BW60" s="421">
        <f t="shared" si="168"/>
        <v>2500</v>
      </c>
      <c r="BX60" s="422">
        <f t="shared" si="169"/>
        <v>0.64</v>
      </c>
      <c r="BY60" s="422">
        <f t="shared" si="170"/>
        <v>0.64</v>
      </c>
      <c r="BZ60" s="611">
        <f t="shared" si="170"/>
        <v>0</v>
      </c>
      <c r="CA60" s="423"/>
      <c r="CB60" s="418"/>
      <c r="CC60" s="418"/>
      <c r="CD60" s="418"/>
      <c r="CE60" s="418"/>
      <c r="CF60" s="527"/>
    </row>
    <row r="61" spans="1:84" x14ac:dyDescent="0.2">
      <c r="A61" s="206">
        <v>12</v>
      </c>
      <c r="B61" s="207">
        <v>3405</v>
      </c>
      <c r="C61" s="207">
        <v>600078337</v>
      </c>
      <c r="D61" s="207">
        <v>70698325</v>
      </c>
      <c r="E61" s="205" t="s">
        <v>140</v>
      </c>
      <c r="F61" s="207">
        <v>3141</v>
      </c>
      <c r="G61" s="208" t="s">
        <v>295</v>
      </c>
      <c r="H61" s="684" t="s">
        <v>272</v>
      </c>
      <c r="I61" s="528">
        <f t="shared" si="140"/>
        <v>390973</v>
      </c>
      <c r="J61" s="418">
        <f t="shared" si="141"/>
        <v>289027</v>
      </c>
      <c r="K61" s="418">
        <v>0</v>
      </c>
      <c r="L61" s="418">
        <v>289027</v>
      </c>
      <c r="M61" s="418">
        <f t="shared" si="142"/>
        <v>0</v>
      </c>
      <c r="N61" s="418"/>
      <c r="O61" s="418"/>
      <c r="P61" s="68">
        <f t="shared" si="143"/>
        <v>97691</v>
      </c>
      <c r="Q61" s="68">
        <f t="shared" si="144"/>
        <v>2890</v>
      </c>
      <c r="R61" s="418">
        <v>1365</v>
      </c>
      <c r="S61" s="419">
        <f t="shared" si="145"/>
        <v>0.87</v>
      </c>
      <c r="T61" s="420">
        <v>0</v>
      </c>
      <c r="U61" s="527">
        <v>0.87</v>
      </c>
      <c r="V61" s="427">
        <f t="shared" si="146"/>
        <v>0</v>
      </c>
      <c r="W61" s="421">
        <f t="shared" si="146"/>
        <v>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si="147"/>
        <v>0</v>
      </c>
      <c r="AG61" s="421">
        <f t="shared" si="148"/>
        <v>0</v>
      </c>
      <c r="AH61" s="421">
        <f t="shared" si="149"/>
        <v>0</v>
      </c>
      <c r="AI61" s="421">
        <v>0</v>
      </c>
      <c r="AJ61" s="421">
        <v>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50"/>
        <v>0</v>
      </c>
      <c r="AP61" s="421">
        <f t="shared" si="151"/>
        <v>0</v>
      </c>
      <c r="AQ61" s="421">
        <f t="shared" si="152"/>
        <v>0</v>
      </c>
      <c r="AR61" s="421">
        <f t="shared" si="153"/>
        <v>0</v>
      </c>
      <c r="AS61" s="421">
        <f t="shared" si="153"/>
        <v>0</v>
      </c>
      <c r="AT61" s="421">
        <f t="shared" si="154"/>
        <v>0</v>
      </c>
      <c r="AU61" s="68">
        <f t="shared" si="155"/>
        <v>0</v>
      </c>
      <c r="AV61" s="68">
        <f t="shared" si="156"/>
        <v>0</v>
      </c>
      <c r="AW61" s="421">
        <v>0</v>
      </c>
      <c r="AX61" s="421">
        <v>0</v>
      </c>
      <c r="AY61" s="421">
        <f t="shared" si="157"/>
        <v>0</v>
      </c>
      <c r="AZ61" s="421">
        <f t="shared" si="158"/>
        <v>0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 t="shared" si="159"/>
        <v>0</v>
      </c>
      <c r="BL61" s="422">
        <f t="shared" si="160"/>
        <v>0</v>
      </c>
      <c r="BM61" s="611">
        <f t="shared" si="161"/>
        <v>0</v>
      </c>
      <c r="BN61" s="428">
        <f t="shared" si="162"/>
        <v>390973</v>
      </c>
      <c r="BO61" s="421">
        <f t="shared" si="163"/>
        <v>289027</v>
      </c>
      <c r="BP61" s="421">
        <f t="shared" si="164"/>
        <v>0</v>
      </c>
      <c r="BQ61" s="421">
        <f t="shared" si="164"/>
        <v>289027</v>
      </c>
      <c r="BR61" s="421">
        <f t="shared" si="165"/>
        <v>0</v>
      </c>
      <c r="BS61" s="421">
        <f t="shared" si="166"/>
        <v>0</v>
      </c>
      <c r="BT61" s="421">
        <f t="shared" si="166"/>
        <v>0</v>
      </c>
      <c r="BU61" s="421">
        <f t="shared" si="167"/>
        <v>97691</v>
      </c>
      <c r="BV61" s="421">
        <f t="shared" si="167"/>
        <v>2890</v>
      </c>
      <c r="BW61" s="421">
        <f t="shared" si="168"/>
        <v>1365</v>
      </c>
      <c r="BX61" s="422">
        <f t="shared" si="169"/>
        <v>0.87</v>
      </c>
      <c r="BY61" s="422">
        <f t="shared" si="170"/>
        <v>0</v>
      </c>
      <c r="BZ61" s="611">
        <f t="shared" si="170"/>
        <v>0.87</v>
      </c>
      <c r="CA61" s="423"/>
      <c r="CB61" s="418"/>
      <c r="CC61" s="418"/>
      <c r="CD61" s="418"/>
      <c r="CE61" s="418"/>
      <c r="CF61" s="527"/>
    </row>
    <row r="62" spans="1:84" x14ac:dyDescent="0.2">
      <c r="A62" s="206">
        <v>12</v>
      </c>
      <c r="B62" s="207">
        <v>3405</v>
      </c>
      <c r="C62" s="207">
        <v>600078337</v>
      </c>
      <c r="D62" s="207">
        <v>70698325</v>
      </c>
      <c r="E62" s="205" t="s">
        <v>140</v>
      </c>
      <c r="F62" s="207">
        <v>3143</v>
      </c>
      <c r="G62" s="208" t="s">
        <v>596</v>
      </c>
      <c r="H62" s="686" t="s">
        <v>271</v>
      </c>
      <c r="I62" s="528">
        <f t="shared" si="140"/>
        <v>379630</v>
      </c>
      <c r="J62" s="418">
        <f t="shared" si="141"/>
        <v>281625</v>
      </c>
      <c r="K62" s="418">
        <v>281625</v>
      </c>
      <c r="L62" s="418">
        <v>0</v>
      </c>
      <c r="M62" s="418">
        <f t="shared" si="142"/>
        <v>0</v>
      </c>
      <c r="N62" s="418"/>
      <c r="O62" s="418"/>
      <c r="P62" s="68">
        <f t="shared" si="143"/>
        <v>95189</v>
      </c>
      <c r="Q62" s="68">
        <f t="shared" si="144"/>
        <v>2816</v>
      </c>
      <c r="R62" s="418">
        <v>0</v>
      </c>
      <c r="S62" s="419">
        <f t="shared" si="145"/>
        <v>0.55820000000000003</v>
      </c>
      <c r="T62" s="420">
        <v>0.55820000000000003</v>
      </c>
      <c r="U62" s="527">
        <v>0</v>
      </c>
      <c r="V62" s="427">
        <f t="shared" si="146"/>
        <v>0</v>
      </c>
      <c r="W62" s="421">
        <f t="shared" si="146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147"/>
        <v>0</v>
      </c>
      <c r="AG62" s="421">
        <f t="shared" si="148"/>
        <v>0</v>
      </c>
      <c r="AH62" s="421">
        <f t="shared" si="149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50"/>
        <v>0</v>
      </c>
      <c r="AP62" s="421">
        <f t="shared" si="151"/>
        <v>0</v>
      </c>
      <c r="AQ62" s="421">
        <f t="shared" si="152"/>
        <v>0</v>
      </c>
      <c r="AR62" s="421">
        <f t="shared" si="153"/>
        <v>0</v>
      </c>
      <c r="AS62" s="421">
        <f t="shared" si="153"/>
        <v>0</v>
      </c>
      <c r="AT62" s="421">
        <f t="shared" si="154"/>
        <v>0</v>
      </c>
      <c r="AU62" s="68">
        <f t="shared" si="155"/>
        <v>0</v>
      </c>
      <c r="AV62" s="68">
        <f t="shared" si="156"/>
        <v>0</v>
      </c>
      <c r="AW62" s="421">
        <v>0</v>
      </c>
      <c r="AX62" s="421">
        <v>0</v>
      </c>
      <c r="AY62" s="421">
        <f t="shared" si="157"/>
        <v>0</v>
      </c>
      <c r="AZ62" s="421">
        <f t="shared" si="158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 t="shared" si="159"/>
        <v>0</v>
      </c>
      <c r="BL62" s="422">
        <f t="shared" si="160"/>
        <v>0</v>
      </c>
      <c r="BM62" s="611">
        <f t="shared" si="161"/>
        <v>0</v>
      </c>
      <c r="BN62" s="428">
        <f t="shared" si="162"/>
        <v>379630</v>
      </c>
      <c r="BO62" s="421">
        <f t="shared" si="163"/>
        <v>281625</v>
      </c>
      <c r="BP62" s="421">
        <f t="shared" si="164"/>
        <v>281625</v>
      </c>
      <c r="BQ62" s="421">
        <f t="shared" si="164"/>
        <v>0</v>
      </c>
      <c r="BR62" s="421">
        <f t="shared" si="165"/>
        <v>0</v>
      </c>
      <c r="BS62" s="421">
        <f t="shared" si="166"/>
        <v>0</v>
      </c>
      <c r="BT62" s="421">
        <f t="shared" si="166"/>
        <v>0</v>
      </c>
      <c r="BU62" s="421">
        <f t="shared" si="167"/>
        <v>95189</v>
      </c>
      <c r="BV62" s="421">
        <f t="shared" si="167"/>
        <v>2816</v>
      </c>
      <c r="BW62" s="421">
        <f t="shared" si="168"/>
        <v>0</v>
      </c>
      <c r="BX62" s="422">
        <f t="shared" si="169"/>
        <v>0.55820000000000003</v>
      </c>
      <c r="BY62" s="422">
        <f t="shared" si="170"/>
        <v>0.55820000000000003</v>
      </c>
      <c r="BZ62" s="611">
        <f t="shared" si="170"/>
        <v>0</v>
      </c>
      <c r="CA62" s="423"/>
      <c r="CB62" s="418"/>
      <c r="CC62" s="418"/>
      <c r="CD62" s="418"/>
      <c r="CE62" s="418"/>
      <c r="CF62" s="527"/>
    </row>
    <row r="63" spans="1:84" x14ac:dyDescent="0.2">
      <c r="A63" s="206">
        <v>12</v>
      </c>
      <c r="B63" s="207">
        <v>3405</v>
      </c>
      <c r="C63" s="207">
        <v>600078337</v>
      </c>
      <c r="D63" s="207">
        <v>70698325</v>
      </c>
      <c r="E63" s="205" t="s">
        <v>140</v>
      </c>
      <c r="F63" s="207">
        <v>3143</v>
      </c>
      <c r="G63" s="208" t="s">
        <v>597</v>
      </c>
      <c r="H63" s="686" t="s">
        <v>272</v>
      </c>
      <c r="I63" s="528">
        <f t="shared" si="140"/>
        <v>10253</v>
      </c>
      <c r="J63" s="418">
        <f t="shared" si="141"/>
        <v>7339</v>
      </c>
      <c r="K63" s="418">
        <v>0</v>
      </c>
      <c r="L63" s="418">
        <v>7339</v>
      </c>
      <c r="M63" s="418">
        <f t="shared" si="142"/>
        <v>0</v>
      </c>
      <c r="N63" s="418"/>
      <c r="O63" s="418"/>
      <c r="P63" s="68">
        <f t="shared" si="143"/>
        <v>2481</v>
      </c>
      <c r="Q63" s="68">
        <f t="shared" si="144"/>
        <v>73</v>
      </c>
      <c r="R63" s="418">
        <v>360</v>
      </c>
      <c r="S63" s="419">
        <f t="shared" si="145"/>
        <v>0.03</v>
      </c>
      <c r="T63" s="420">
        <v>0</v>
      </c>
      <c r="U63" s="527">
        <v>0.03</v>
      </c>
      <c r="V63" s="427">
        <f t="shared" si="146"/>
        <v>0</v>
      </c>
      <c r="W63" s="421">
        <f t="shared" si="146"/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 t="shared" si="147"/>
        <v>0</v>
      </c>
      <c r="AG63" s="421">
        <f t="shared" si="148"/>
        <v>0</v>
      </c>
      <c r="AH63" s="421">
        <f t="shared" si="149"/>
        <v>0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50"/>
        <v>0</v>
      </c>
      <c r="AP63" s="421">
        <f t="shared" si="151"/>
        <v>0</v>
      </c>
      <c r="AQ63" s="421">
        <f t="shared" si="152"/>
        <v>0</v>
      </c>
      <c r="AR63" s="421">
        <f t="shared" si="153"/>
        <v>0</v>
      </c>
      <c r="AS63" s="421">
        <f t="shared" si="153"/>
        <v>0</v>
      </c>
      <c r="AT63" s="421">
        <f t="shared" si="154"/>
        <v>0</v>
      </c>
      <c r="AU63" s="68">
        <f t="shared" si="155"/>
        <v>0</v>
      </c>
      <c r="AV63" s="68">
        <f t="shared" si="156"/>
        <v>0</v>
      </c>
      <c r="AW63" s="421">
        <v>0</v>
      </c>
      <c r="AX63" s="421">
        <v>0</v>
      </c>
      <c r="AY63" s="421">
        <f t="shared" si="157"/>
        <v>0</v>
      </c>
      <c r="AZ63" s="421">
        <f t="shared" si="158"/>
        <v>0</v>
      </c>
      <c r="BA63" s="422">
        <v>0</v>
      </c>
      <c r="BB63" s="422">
        <v>0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 t="shared" si="159"/>
        <v>0</v>
      </c>
      <c r="BL63" s="422">
        <f t="shared" si="160"/>
        <v>0</v>
      </c>
      <c r="BM63" s="611">
        <f t="shared" si="161"/>
        <v>0</v>
      </c>
      <c r="BN63" s="428">
        <f t="shared" si="162"/>
        <v>10253</v>
      </c>
      <c r="BO63" s="421">
        <f t="shared" si="163"/>
        <v>7339</v>
      </c>
      <c r="BP63" s="421">
        <f t="shared" si="164"/>
        <v>0</v>
      </c>
      <c r="BQ63" s="421">
        <f t="shared" si="164"/>
        <v>7339</v>
      </c>
      <c r="BR63" s="421">
        <f t="shared" si="165"/>
        <v>0</v>
      </c>
      <c r="BS63" s="421">
        <f t="shared" si="166"/>
        <v>0</v>
      </c>
      <c r="BT63" s="421">
        <f t="shared" si="166"/>
        <v>0</v>
      </c>
      <c r="BU63" s="421">
        <f t="shared" si="167"/>
        <v>2481</v>
      </c>
      <c r="BV63" s="421">
        <f t="shared" si="167"/>
        <v>73</v>
      </c>
      <c r="BW63" s="421">
        <f t="shared" si="168"/>
        <v>360</v>
      </c>
      <c r="BX63" s="422">
        <f t="shared" si="169"/>
        <v>0.03</v>
      </c>
      <c r="BY63" s="422">
        <f t="shared" si="170"/>
        <v>0</v>
      </c>
      <c r="BZ63" s="611">
        <f t="shared" si="170"/>
        <v>0.03</v>
      </c>
      <c r="CA63" s="423"/>
      <c r="CB63" s="418"/>
      <c r="CC63" s="418"/>
      <c r="CD63" s="418"/>
      <c r="CE63" s="418"/>
      <c r="CF63" s="527"/>
    </row>
    <row r="64" spans="1:84" x14ac:dyDescent="0.2">
      <c r="A64" s="155">
        <v>12</v>
      </c>
      <c r="B64" s="18">
        <v>3405</v>
      </c>
      <c r="C64" s="18">
        <v>600078337</v>
      </c>
      <c r="D64" s="18">
        <v>70698325</v>
      </c>
      <c r="E64" s="164" t="s">
        <v>141</v>
      </c>
      <c r="F64" s="18"/>
      <c r="G64" s="154"/>
      <c r="H64" s="685"/>
      <c r="I64" s="458">
        <f t="shared" ref="I64:BT64" si="171">SUM(I58:I63)</f>
        <v>4245546</v>
      </c>
      <c r="J64" s="451">
        <f t="shared" si="171"/>
        <v>3126217</v>
      </c>
      <c r="K64" s="451">
        <f t="shared" si="171"/>
        <v>2620662</v>
      </c>
      <c r="L64" s="451">
        <f t="shared" si="171"/>
        <v>505555</v>
      </c>
      <c r="M64" s="451">
        <f t="shared" si="171"/>
        <v>0</v>
      </c>
      <c r="N64" s="451">
        <f t="shared" si="171"/>
        <v>0</v>
      </c>
      <c r="O64" s="451">
        <f t="shared" si="171"/>
        <v>0</v>
      </c>
      <c r="P64" s="451">
        <f t="shared" si="171"/>
        <v>1056662</v>
      </c>
      <c r="Q64" s="451">
        <f t="shared" si="171"/>
        <v>31262</v>
      </c>
      <c r="R64" s="451">
        <f t="shared" si="171"/>
        <v>31405</v>
      </c>
      <c r="S64" s="452">
        <f t="shared" si="171"/>
        <v>5.8572000000000006</v>
      </c>
      <c r="T64" s="452">
        <f t="shared" si="171"/>
        <v>4.3037999999999998</v>
      </c>
      <c r="U64" s="39">
        <f t="shared" si="171"/>
        <v>1.5534000000000001</v>
      </c>
      <c r="V64" s="458">
        <f t="shared" si="171"/>
        <v>0</v>
      </c>
      <c r="W64" s="451">
        <f t="shared" si="171"/>
        <v>0</v>
      </c>
      <c r="X64" s="451">
        <f t="shared" si="171"/>
        <v>236905</v>
      </c>
      <c r="Y64" s="451">
        <f t="shared" si="171"/>
        <v>0</v>
      </c>
      <c r="Z64" s="451">
        <f t="shared" si="171"/>
        <v>0</v>
      </c>
      <c r="AA64" s="451">
        <f t="shared" si="171"/>
        <v>0</v>
      </c>
      <c r="AB64" s="451">
        <f t="shared" si="171"/>
        <v>0</v>
      </c>
      <c r="AC64" s="451">
        <f t="shared" si="171"/>
        <v>0</v>
      </c>
      <c r="AD64" s="451">
        <f t="shared" si="171"/>
        <v>0</v>
      </c>
      <c r="AE64" s="451">
        <f t="shared" si="171"/>
        <v>0</v>
      </c>
      <c r="AF64" s="451">
        <f t="shared" si="171"/>
        <v>236905</v>
      </c>
      <c r="AG64" s="451">
        <f t="shared" si="171"/>
        <v>0</v>
      </c>
      <c r="AH64" s="451">
        <f t="shared" si="171"/>
        <v>236905</v>
      </c>
      <c r="AI64" s="451">
        <f t="shared" si="171"/>
        <v>0</v>
      </c>
      <c r="AJ64" s="451">
        <f t="shared" si="171"/>
        <v>0</v>
      </c>
      <c r="AK64" s="451">
        <f t="shared" ref="AK64" si="172">SUM(AK58:AK63)</f>
        <v>0</v>
      </c>
      <c r="AL64" s="451">
        <f t="shared" si="171"/>
        <v>0</v>
      </c>
      <c r="AM64" s="451">
        <f t="shared" si="171"/>
        <v>0</v>
      </c>
      <c r="AN64" s="451">
        <f t="shared" si="171"/>
        <v>0</v>
      </c>
      <c r="AO64" s="451">
        <f t="shared" si="171"/>
        <v>0</v>
      </c>
      <c r="AP64" s="451">
        <f t="shared" si="171"/>
        <v>0</v>
      </c>
      <c r="AQ64" s="451">
        <f t="shared" si="171"/>
        <v>0</v>
      </c>
      <c r="AR64" s="451">
        <f t="shared" si="171"/>
        <v>236905</v>
      </c>
      <c r="AS64" s="451">
        <f t="shared" si="171"/>
        <v>0</v>
      </c>
      <c r="AT64" s="451">
        <f t="shared" si="171"/>
        <v>236905</v>
      </c>
      <c r="AU64" s="451">
        <f t="shared" si="171"/>
        <v>80074</v>
      </c>
      <c r="AV64" s="451">
        <f t="shared" si="171"/>
        <v>2369</v>
      </c>
      <c r="AW64" s="451">
        <f t="shared" si="171"/>
        <v>2500</v>
      </c>
      <c r="AX64" s="451">
        <f t="shared" si="171"/>
        <v>0</v>
      </c>
      <c r="AY64" s="451">
        <f t="shared" si="171"/>
        <v>2500</v>
      </c>
      <c r="AZ64" s="451">
        <f t="shared" si="171"/>
        <v>321848</v>
      </c>
      <c r="BA64" s="452">
        <f t="shared" si="171"/>
        <v>0</v>
      </c>
      <c r="BB64" s="452">
        <f t="shared" si="171"/>
        <v>0</v>
      </c>
      <c r="BC64" s="452">
        <f t="shared" si="171"/>
        <v>0.64</v>
      </c>
      <c r="BD64" s="452">
        <f t="shared" si="171"/>
        <v>0</v>
      </c>
      <c r="BE64" s="452">
        <f t="shared" si="171"/>
        <v>0</v>
      </c>
      <c r="BF64" s="452">
        <f t="shared" si="171"/>
        <v>0</v>
      </c>
      <c r="BG64" s="452">
        <f t="shared" si="171"/>
        <v>0</v>
      </c>
      <c r="BH64" s="452">
        <f t="shared" si="171"/>
        <v>0</v>
      </c>
      <c r="BI64" s="452">
        <f t="shared" si="171"/>
        <v>0</v>
      </c>
      <c r="BJ64" s="452">
        <f t="shared" si="171"/>
        <v>0</v>
      </c>
      <c r="BK64" s="452">
        <f t="shared" si="171"/>
        <v>0.64</v>
      </c>
      <c r="BL64" s="452">
        <f t="shared" si="171"/>
        <v>0</v>
      </c>
      <c r="BM64" s="456">
        <f t="shared" si="171"/>
        <v>0.64</v>
      </c>
      <c r="BN64" s="454">
        <f t="shared" si="171"/>
        <v>4567394</v>
      </c>
      <c r="BO64" s="451">
        <f t="shared" si="171"/>
        <v>3363122</v>
      </c>
      <c r="BP64" s="451">
        <f t="shared" si="171"/>
        <v>2857567</v>
      </c>
      <c r="BQ64" s="451">
        <f t="shared" si="171"/>
        <v>505555</v>
      </c>
      <c r="BR64" s="451">
        <f t="shared" si="171"/>
        <v>0</v>
      </c>
      <c r="BS64" s="451">
        <f t="shared" si="171"/>
        <v>0</v>
      </c>
      <c r="BT64" s="451">
        <f t="shared" si="171"/>
        <v>0</v>
      </c>
      <c r="BU64" s="451">
        <f t="shared" ref="BU64:CF64" si="173">SUM(BU58:BU63)</f>
        <v>1136736</v>
      </c>
      <c r="BV64" s="451">
        <f t="shared" si="173"/>
        <v>33631</v>
      </c>
      <c r="BW64" s="451">
        <f t="shared" si="173"/>
        <v>33905</v>
      </c>
      <c r="BX64" s="452">
        <f t="shared" si="173"/>
        <v>6.4972000000000003</v>
      </c>
      <c r="BY64" s="452">
        <f t="shared" si="173"/>
        <v>4.9438000000000004</v>
      </c>
      <c r="BZ64" s="456">
        <f t="shared" si="173"/>
        <v>1.5534000000000001</v>
      </c>
      <c r="CA64" s="854">
        <f t="shared" si="173"/>
        <v>0</v>
      </c>
      <c r="CB64" s="852">
        <f t="shared" si="173"/>
        <v>0</v>
      </c>
      <c r="CC64" s="852">
        <f t="shared" si="173"/>
        <v>0</v>
      </c>
      <c r="CD64" s="852">
        <f t="shared" si="173"/>
        <v>0</v>
      </c>
      <c r="CE64" s="852">
        <f t="shared" si="173"/>
        <v>0</v>
      </c>
      <c r="CF64" s="848">
        <f t="shared" si="173"/>
        <v>0</v>
      </c>
    </row>
    <row r="65" spans="1:84" x14ac:dyDescent="0.2">
      <c r="A65" s="206">
        <v>13</v>
      </c>
      <c r="B65" s="207">
        <v>3444</v>
      </c>
      <c r="C65" s="207">
        <v>600078086</v>
      </c>
      <c r="D65" s="207">
        <v>16389573</v>
      </c>
      <c r="E65" s="205" t="s">
        <v>142</v>
      </c>
      <c r="F65" s="207">
        <v>3111</v>
      </c>
      <c r="G65" s="208" t="s">
        <v>291</v>
      </c>
      <c r="H65" s="684" t="s">
        <v>271</v>
      </c>
      <c r="I65" s="528">
        <f t="shared" ref="I65:I66" si="174">J65+P65+Q65+R65</f>
        <v>3656827</v>
      </c>
      <c r="J65" s="418">
        <f>K65+L65</f>
        <v>2703272</v>
      </c>
      <c r="K65" s="418">
        <v>2468152</v>
      </c>
      <c r="L65" s="418">
        <v>235120</v>
      </c>
      <c r="M65" s="418">
        <f>N65+O65</f>
        <v>0</v>
      </c>
      <c r="N65" s="418"/>
      <c r="O65" s="418"/>
      <c r="P65" s="68">
        <f t="shared" ref="P65:P66" si="175">ROUND(J65*33.8%,0)</f>
        <v>913706</v>
      </c>
      <c r="Q65" s="68">
        <f t="shared" ref="Q65:Q66" si="176">ROUND(J65*1%,0)</f>
        <v>27033</v>
      </c>
      <c r="R65" s="418">
        <v>12816</v>
      </c>
      <c r="S65" s="419">
        <f>T65+U65</f>
        <v>4.8001000000000005</v>
      </c>
      <c r="T65" s="420">
        <v>4</v>
      </c>
      <c r="U65" s="527">
        <v>0.80010000000000003</v>
      </c>
      <c r="V65" s="427">
        <f>AI65*-1</f>
        <v>0</v>
      </c>
      <c r="W65" s="421">
        <f>AJ65*-1</f>
        <v>-7680</v>
      </c>
      <c r="X65" s="421">
        <v>0</v>
      </c>
      <c r="Y65" s="421">
        <v>0</v>
      </c>
      <c r="Z65" s="421">
        <v>0</v>
      </c>
      <c r="AA65" s="421">
        <v>0</v>
      </c>
      <c r="AB65" s="421">
        <v>0</v>
      </c>
      <c r="AC65" s="421">
        <v>0</v>
      </c>
      <c r="AD65" s="421">
        <v>0</v>
      </c>
      <c r="AE65" s="421">
        <v>0</v>
      </c>
      <c r="AF65" s="421">
        <f>V65+X65+Y65+AA65+AB65+AD65</f>
        <v>0</v>
      </c>
      <c r="AG65" s="421">
        <f>W65+Z65+AC65+AE65</f>
        <v>-7680</v>
      </c>
      <c r="AH65" s="421">
        <f>SUM(AF65:AG65)</f>
        <v>-7680</v>
      </c>
      <c r="AI65" s="421">
        <v>0</v>
      </c>
      <c r="AJ65" s="421">
        <v>7680</v>
      </c>
      <c r="AK65" s="421">
        <v>0</v>
      </c>
      <c r="AL65" s="421">
        <v>0</v>
      </c>
      <c r="AM65" s="421">
        <v>0</v>
      </c>
      <c r="AN65" s="421">
        <v>0</v>
      </c>
      <c r="AO65" s="421">
        <f t="shared" ref="AO65:AO66" si="177">AI65+AK65+AL65+AM65</f>
        <v>0</v>
      </c>
      <c r="AP65" s="421">
        <f>AJ65+AN65</f>
        <v>7680</v>
      </c>
      <c r="AQ65" s="421">
        <f>SUM(AO65:AP65)</f>
        <v>7680</v>
      </c>
      <c r="AR65" s="421">
        <f>AF65+AO65</f>
        <v>0</v>
      </c>
      <c r="AS65" s="421">
        <f>AG65+AP65</f>
        <v>0</v>
      </c>
      <c r="AT65" s="421">
        <f>SUM(AR65:AS65)</f>
        <v>0</v>
      </c>
      <c r="AU65" s="68">
        <f t="shared" ref="AU65:AU66" si="178">ROUND((AH65+AI65+AJ65+AK65+AL65)*33.8%,0)</f>
        <v>0</v>
      </c>
      <c r="AV65" s="68">
        <f>ROUND(AH65*1%,0)</f>
        <v>-77</v>
      </c>
      <c r="AW65" s="421">
        <v>0</v>
      </c>
      <c r="AX65" s="421">
        <v>0</v>
      </c>
      <c r="AY65" s="421">
        <f>AW65+AX65</f>
        <v>0</v>
      </c>
      <c r="AZ65" s="421">
        <f>AT65+AU65+AV65+AY65</f>
        <v>-77</v>
      </c>
      <c r="BA65" s="422">
        <v>0</v>
      </c>
      <c r="BB65" s="422">
        <v>-0.02</v>
      </c>
      <c r="BC65" s="422">
        <v>0</v>
      </c>
      <c r="BD65" s="422">
        <v>0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>BA65+BC65+BD65+BF65+BH65+BI65</f>
        <v>0</v>
      </c>
      <c r="BL65" s="422">
        <f>BB65+BE65+BG65+BJ65</f>
        <v>-0.02</v>
      </c>
      <c r="BM65" s="611">
        <f>SUM(BK65:BL65)</f>
        <v>-0.02</v>
      </c>
      <c r="BN65" s="428">
        <f>I65+AZ65</f>
        <v>3656750</v>
      </c>
      <c r="BO65" s="421">
        <f>J65+AH65</f>
        <v>2695592</v>
      </c>
      <c r="BP65" s="421">
        <f>K65+AF65</f>
        <v>2468152</v>
      </c>
      <c r="BQ65" s="421">
        <f>L65+AG65</f>
        <v>227440</v>
      </c>
      <c r="BR65" s="421">
        <f>M65+AQ65</f>
        <v>7680</v>
      </c>
      <c r="BS65" s="421">
        <f>N65+AO65</f>
        <v>0</v>
      </c>
      <c r="BT65" s="421">
        <f>O65+AP65</f>
        <v>7680</v>
      </c>
      <c r="BU65" s="421">
        <f>P65+AU65</f>
        <v>913706</v>
      </c>
      <c r="BV65" s="421">
        <f>Q65+AV65</f>
        <v>26956</v>
      </c>
      <c r="BW65" s="421">
        <f>R65+AY65</f>
        <v>12816</v>
      </c>
      <c r="BX65" s="422">
        <f>S65+BM65</f>
        <v>4.7801000000000009</v>
      </c>
      <c r="BY65" s="422">
        <f>T65+BK65</f>
        <v>4</v>
      </c>
      <c r="BZ65" s="611">
        <f>U65+BL65</f>
        <v>0.78010000000000002</v>
      </c>
      <c r="CA65" s="423"/>
      <c r="CB65" s="418"/>
      <c r="CC65" s="418"/>
      <c r="CD65" s="418"/>
      <c r="CE65" s="418"/>
      <c r="CF65" s="527"/>
    </row>
    <row r="66" spans="1:84" x14ac:dyDescent="0.2">
      <c r="A66" s="206">
        <v>13</v>
      </c>
      <c r="B66" s="207">
        <v>3444</v>
      </c>
      <c r="C66" s="207">
        <v>600078086</v>
      </c>
      <c r="D66" s="207">
        <v>16389573</v>
      </c>
      <c r="E66" s="205" t="s">
        <v>142</v>
      </c>
      <c r="F66" s="207">
        <v>3141</v>
      </c>
      <c r="G66" s="208" t="s">
        <v>295</v>
      </c>
      <c r="H66" s="684" t="s">
        <v>272</v>
      </c>
      <c r="I66" s="528">
        <f t="shared" si="174"/>
        <v>451211</v>
      </c>
      <c r="J66" s="418">
        <f>K66+L66</f>
        <v>333480</v>
      </c>
      <c r="K66" s="418">
        <v>0</v>
      </c>
      <c r="L66" s="418">
        <v>333480</v>
      </c>
      <c r="M66" s="418">
        <f>N66+O66</f>
        <v>0</v>
      </c>
      <c r="N66" s="418"/>
      <c r="O66" s="418"/>
      <c r="P66" s="68">
        <f t="shared" si="175"/>
        <v>112716</v>
      </c>
      <c r="Q66" s="68">
        <f t="shared" si="176"/>
        <v>3335</v>
      </c>
      <c r="R66" s="418">
        <v>1680</v>
      </c>
      <c r="S66" s="419">
        <f>T66+U66</f>
        <v>1</v>
      </c>
      <c r="T66" s="420">
        <v>0</v>
      </c>
      <c r="U66" s="527">
        <v>1</v>
      </c>
      <c r="V66" s="427">
        <f>AI66*-1</f>
        <v>0</v>
      </c>
      <c r="W66" s="421">
        <f>AJ66*-1</f>
        <v>-5120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>V66+X66+Y66+AA66+AB66+AD66</f>
        <v>0</v>
      </c>
      <c r="AG66" s="421">
        <f>W66+Z66+AC66+AE66</f>
        <v>-5120</v>
      </c>
      <c r="AH66" s="421">
        <f>SUM(AF66:AG66)</f>
        <v>-5120</v>
      </c>
      <c r="AI66" s="421">
        <v>0</v>
      </c>
      <c r="AJ66" s="421">
        <v>5120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si="177"/>
        <v>0</v>
      </c>
      <c r="AP66" s="421">
        <f>AJ66+AN66</f>
        <v>5120</v>
      </c>
      <c r="AQ66" s="421">
        <f>SUM(AO66:AP66)</f>
        <v>5120</v>
      </c>
      <c r="AR66" s="421">
        <f>AF66+AO66</f>
        <v>0</v>
      </c>
      <c r="AS66" s="421">
        <f>AG66+AP66</f>
        <v>0</v>
      </c>
      <c r="AT66" s="421">
        <f>SUM(AR66:AS66)</f>
        <v>0</v>
      </c>
      <c r="AU66" s="68">
        <f t="shared" si="178"/>
        <v>0</v>
      </c>
      <c r="AV66" s="68">
        <f>ROUND(AH66*1%,0)</f>
        <v>-51</v>
      </c>
      <c r="AW66" s="421">
        <v>0</v>
      </c>
      <c r="AX66" s="421">
        <v>0</v>
      </c>
      <c r="AY66" s="421">
        <f>AW66+AX66</f>
        <v>0</v>
      </c>
      <c r="AZ66" s="421">
        <f>AT66+AU66+AV66+AY66</f>
        <v>-51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>BA66+BC66+BD66+BF66+BH66+BI66</f>
        <v>0</v>
      </c>
      <c r="BL66" s="422">
        <f>BB66+BE66+BG66+BJ66</f>
        <v>0</v>
      </c>
      <c r="BM66" s="611">
        <f>SUM(BK66:BL66)</f>
        <v>0</v>
      </c>
      <c r="BN66" s="428">
        <f>I66+AZ66</f>
        <v>451160</v>
      </c>
      <c r="BO66" s="421">
        <f>J66+AH66</f>
        <v>328360</v>
      </c>
      <c r="BP66" s="421">
        <f>K66+AF66</f>
        <v>0</v>
      </c>
      <c r="BQ66" s="421">
        <f>L66+AG66</f>
        <v>328360</v>
      </c>
      <c r="BR66" s="421">
        <f>M66+AQ66</f>
        <v>5120</v>
      </c>
      <c r="BS66" s="421">
        <f>N66+AO66</f>
        <v>0</v>
      </c>
      <c r="BT66" s="421">
        <f>O66+AP66</f>
        <v>5120</v>
      </c>
      <c r="BU66" s="421">
        <f>P66+AU66</f>
        <v>112716</v>
      </c>
      <c r="BV66" s="421">
        <f>Q66+AV66</f>
        <v>3284</v>
      </c>
      <c r="BW66" s="421">
        <f>R66+AY66</f>
        <v>1680</v>
      </c>
      <c r="BX66" s="422">
        <f>S66+BM66</f>
        <v>1</v>
      </c>
      <c r="BY66" s="422">
        <f>T66+BK66</f>
        <v>0</v>
      </c>
      <c r="BZ66" s="611">
        <f>U66+BL66</f>
        <v>1</v>
      </c>
      <c r="CA66" s="423"/>
      <c r="CB66" s="418"/>
      <c r="CC66" s="418"/>
      <c r="CD66" s="418"/>
      <c r="CE66" s="418"/>
      <c r="CF66" s="527"/>
    </row>
    <row r="67" spans="1:84" x14ac:dyDescent="0.2">
      <c r="A67" s="155">
        <v>13</v>
      </c>
      <c r="B67" s="18">
        <v>3444</v>
      </c>
      <c r="C67" s="18">
        <v>600078086</v>
      </c>
      <c r="D67" s="18">
        <v>16389573</v>
      </c>
      <c r="E67" s="164" t="s">
        <v>143</v>
      </c>
      <c r="F67" s="18"/>
      <c r="G67" s="154"/>
      <c r="H67" s="685"/>
      <c r="I67" s="458">
        <f t="shared" ref="I67:BU67" si="179">SUM(I65:I66)</f>
        <v>4108038</v>
      </c>
      <c r="J67" s="451">
        <f t="shared" si="179"/>
        <v>3036752</v>
      </c>
      <c r="K67" s="451">
        <f t="shared" si="179"/>
        <v>2468152</v>
      </c>
      <c r="L67" s="451">
        <f t="shared" si="179"/>
        <v>568600</v>
      </c>
      <c r="M67" s="451">
        <f t="shared" si="179"/>
        <v>0</v>
      </c>
      <c r="N67" s="451">
        <f t="shared" si="179"/>
        <v>0</v>
      </c>
      <c r="O67" s="451">
        <f t="shared" si="179"/>
        <v>0</v>
      </c>
      <c r="P67" s="451">
        <f t="shared" si="179"/>
        <v>1026422</v>
      </c>
      <c r="Q67" s="451">
        <f t="shared" si="179"/>
        <v>30368</v>
      </c>
      <c r="R67" s="451">
        <f t="shared" si="179"/>
        <v>14496</v>
      </c>
      <c r="S67" s="452">
        <f t="shared" si="179"/>
        <v>5.8001000000000005</v>
      </c>
      <c r="T67" s="452">
        <f t="shared" si="179"/>
        <v>4</v>
      </c>
      <c r="U67" s="39">
        <f t="shared" si="179"/>
        <v>1.8001</v>
      </c>
      <c r="V67" s="458">
        <f t="shared" si="179"/>
        <v>0</v>
      </c>
      <c r="W67" s="451">
        <f t="shared" si="179"/>
        <v>-12800</v>
      </c>
      <c r="X67" s="451">
        <f t="shared" si="179"/>
        <v>0</v>
      </c>
      <c r="Y67" s="451">
        <f t="shared" si="179"/>
        <v>0</v>
      </c>
      <c r="Z67" s="451">
        <f t="shared" si="179"/>
        <v>0</v>
      </c>
      <c r="AA67" s="451">
        <f t="shared" si="179"/>
        <v>0</v>
      </c>
      <c r="AB67" s="451">
        <f t="shared" si="179"/>
        <v>0</v>
      </c>
      <c r="AC67" s="451">
        <f t="shared" si="179"/>
        <v>0</v>
      </c>
      <c r="AD67" s="451">
        <f t="shared" si="179"/>
        <v>0</v>
      </c>
      <c r="AE67" s="451">
        <f t="shared" si="179"/>
        <v>0</v>
      </c>
      <c r="AF67" s="451">
        <f t="shared" si="179"/>
        <v>0</v>
      </c>
      <c r="AG67" s="451">
        <f t="shared" si="179"/>
        <v>-12800</v>
      </c>
      <c r="AH67" s="451">
        <f t="shared" si="179"/>
        <v>-12800</v>
      </c>
      <c r="AI67" s="451">
        <f t="shared" si="179"/>
        <v>0</v>
      </c>
      <c r="AJ67" s="451">
        <f t="shared" si="179"/>
        <v>12800</v>
      </c>
      <c r="AK67" s="451">
        <f t="shared" ref="AK67" si="180">SUM(AK65:AK66)</f>
        <v>0</v>
      </c>
      <c r="AL67" s="451">
        <f t="shared" si="179"/>
        <v>0</v>
      </c>
      <c r="AM67" s="451">
        <f t="shared" si="179"/>
        <v>0</v>
      </c>
      <c r="AN67" s="451">
        <f t="shared" si="179"/>
        <v>0</v>
      </c>
      <c r="AO67" s="451">
        <f t="shared" si="179"/>
        <v>0</v>
      </c>
      <c r="AP67" s="451">
        <f t="shared" si="179"/>
        <v>12800</v>
      </c>
      <c r="AQ67" s="451">
        <f t="shared" si="179"/>
        <v>12800</v>
      </c>
      <c r="AR67" s="451">
        <f t="shared" si="179"/>
        <v>0</v>
      </c>
      <c r="AS67" s="451">
        <f t="shared" si="179"/>
        <v>0</v>
      </c>
      <c r="AT67" s="451">
        <f t="shared" si="179"/>
        <v>0</v>
      </c>
      <c r="AU67" s="451">
        <f t="shared" si="179"/>
        <v>0</v>
      </c>
      <c r="AV67" s="451">
        <f t="shared" si="179"/>
        <v>-128</v>
      </c>
      <c r="AW67" s="451">
        <f t="shared" si="179"/>
        <v>0</v>
      </c>
      <c r="AX67" s="451">
        <f t="shared" si="179"/>
        <v>0</v>
      </c>
      <c r="AY67" s="451">
        <f t="shared" si="179"/>
        <v>0</v>
      </c>
      <c r="AZ67" s="451">
        <f t="shared" si="179"/>
        <v>-128</v>
      </c>
      <c r="BA67" s="452">
        <f t="shared" si="179"/>
        <v>0</v>
      </c>
      <c r="BB67" s="452">
        <f t="shared" si="179"/>
        <v>-0.02</v>
      </c>
      <c r="BC67" s="452">
        <f t="shared" si="179"/>
        <v>0</v>
      </c>
      <c r="BD67" s="452">
        <f t="shared" si="179"/>
        <v>0</v>
      </c>
      <c r="BE67" s="452">
        <f t="shared" si="179"/>
        <v>0</v>
      </c>
      <c r="BF67" s="452">
        <f t="shared" si="179"/>
        <v>0</v>
      </c>
      <c r="BG67" s="452">
        <f t="shared" si="179"/>
        <v>0</v>
      </c>
      <c r="BH67" s="452">
        <f t="shared" si="179"/>
        <v>0</v>
      </c>
      <c r="BI67" s="452">
        <f t="shared" si="179"/>
        <v>0</v>
      </c>
      <c r="BJ67" s="452">
        <f t="shared" si="179"/>
        <v>0</v>
      </c>
      <c r="BK67" s="452">
        <f t="shared" si="179"/>
        <v>0</v>
      </c>
      <c r="BL67" s="452">
        <f t="shared" si="179"/>
        <v>-0.02</v>
      </c>
      <c r="BM67" s="456">
        <f t="shared" si="179"/>
        <v>-0.02</v>
      </c>
      <c r="BN67" s="454">
        <f t="shared" si="179"/>
        <v>4107910</v>
      </c>
      <c r="BO67" s="451">
        <f t="shared" si="179"/>
        <v>3023952</v>
      </c>
      <c r="BP67" s="451">
        <f t="shared" si="179"/>
        <v>2468152</v>
      </c>
      <c r="BQ67" s="451">
        <f t="shared" si="179"/>
        <v>555800</v>
      </c>
      <c r="BR67" s="451">
        <f t="shared" si="179"/>
        <v>12800</v>
      </c>
      <c r="BS67" s="451">
        <f t="shared" si="179"/>
        <v>0</v>
      </c>
      <c r="BT67" s="451">
        <f t="shared" si="179"/>
        <v>12800</v>
      </c>
      <c r="BU67" s="451">
        <f t="shared" si="179"/>
        <v>1026422</v>
      </c>
      <c r="BV67" s="451">
        <f t="shared" ref="BV67:CF67" si="181">SUM(BV65:BV66)</f>
        <v>30240</v>
      </c>
      <c r="BW67" s="451">
        <f t="shared" si="181"/>
        <v>14496</v>
      </c>
      <c r="BX67" s="452">
        <f t="shared" si="181"/>
        <v>5.7801000000000009</v>
      </c>
      <c r="BY67" s="452">
        <f t="shared" si="181"/>
        <v>4</v>
      </c>
      <c r="BZ67" s="456">
        <f t="shared" si="181"/>
        <v>1.7801</v>
      </c>
      <c r="CA67" s="854">
        <f t="shared" si="181"/>
        <v>0</v>
      </c>
      <c r="CB67" s="852">
        <f t="shared" si="181"/>
        <v>0</v>
      </c>
      <c r="CC67" s="852">
        <f t="shared" si="181"/>
        <v>0</v>
      </c>
      <c r="CD67" s="852">
        <f t="shared" si="181"/>
        <v>0</v>
      </c>
      <c r="CE67" s="852">
        <f t="shared" si="181"/>
        <v>0</v>
      </c>
      <c r="CF67" s="848">
        <f t="shared" si="181"/>
        <v>0</v>
      </c>
    </row>
    <row r="68" spans="1:84" x14ac:dyDescent="0.2">
      <c r="A68" s="206">
        <v>14</v>
      </c>
      <c r="B68" s="207">
        <v>3443</v>
      </c>
      <c r="C68" s="207">
        <v>600078582</v>
      </c>
      <c r="D68" s="207">
        <v>16389581</v>
      </c>
      <c r="E68" s="205" t="s">
        <v>144</v>
      </c>
      <c r="F68" s="207">
        <v>3113</v>
      </c>
      <c r="G68" s="208" t="s">
        <v>294</v>
      </c>
      <c r="H68" s="684" t="s">
        <v>271</v>
      </c>
      <c r="I68" s="528">
        <f t="shared" ref="I68:I72" si="182">J68+P68+Q68+R68</f>
        <v>13337077</v>
      </c>
      <c r="J68" s="418">
        <f>K68+L68</f>
        <v>9769232</v>
      </c>
      <c r="K68" s="418">
        <v>8904054</v>
      </c>
      <c r="L68" s="418">
        <v>865178</v>
      </c>
      <c r="M68" s="418">
        <f>N68+O68</f>
        <v>0</v>
      </c>
      <c r="N68" s="418"/>
      <c r="O68" s="418"/>
      <c r="P68" s="68">
        <f>ROUND(J68*33.8%,0)+1</f>
        <v>3302001</v>
      </c>
      <c r="Q68" s="68">
        <f>ROUND(J68*1%,0)+1</f>
        <v>97693</v>
      </c>
      <c r="R68" s="418">
        <v>168151</v>
      </c>
      <c r="S68" s="419">
        <f>T68+U68</f>
        <v>15.472999999999999</v>
      </c>
      <c r="T68" s="420">
        <v>13</v>
      </c>
      <c r="U68" s="527">
        <v>2.4729999999999999</v>
      </c>
      <c r="V68" s="427">
        <f t="shared" ref="V68:W72" si="183">AI68*-1</f>
        <v>-38400</v>
      </c>
      <c r="W68" s="421">
        <f t="shared" si="183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>V68+X68+Y68+AA68+AB68+AD68</f>
        <v>-38400</v>
      </c>
      <c r="AG68" s="421">
        <f>W68+Z68+AC68+AE68</f>
        <v>0</v>
      </c>
      <c r="AH68" s="421">
        <f>SUM(AF68:AG68)</f>
        <v>-38400</v>
      </c>
      <c r="AI68" s="421">
        <v>38400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ref="AO68:AO72" si="184">AI68+AK68+AL68+AM68</f>
        <v>38400</v>
      </c>
      <c r="AP68" s="421">
        <f>AJ68+AN68</f>
        <v>0</v>
      </c>
      <c r="AQ68" s="421">
        <f>SUM(AO68:AP68)</f>
        <v>38400</v>
      </c>
      <c r="AR68" s="421">
        <f t="shared" ref="AR68:AS72" si="185">AF68+AO68</f>
        <v>0</v>
      </c>
      <c r="AS68" s="421">
        <f t="shared" si="185"/>
        <v>0</v>
      </c>
      <c r="AT68" s="421">
        <f>SUM(AR68:AS68)</f>
        <v>0</v>
      </c>
      <c r="AU68" s="68">
        <f t="shared" ref="AU68:AU72" si="186">ROUND((AH68+AI68+AJ68+AK68+AL68)*33.8%,0)</f>
        <v>0</v>
      </c>
      <c r="AV68" s="68">
        <f>ROUND(AH68*1%,0)</f>
        <v>-384</v>
      </c>
      <c r="AW68" s="421">
        <v>0</v>
      </c>
      <c r="AX68" s="421">
        <v>0</v>
      </c>
      <c r="AY68" s="421">
        <f>AW68+AX68</f>
        <v>0</v>
      </c>
      <c r="AZ68" s="421">
        <f>AT68+AU68+AV68+AY68</f>
        <v>-384</v>
      </c>
      <c r="BA68" s="422">
        <v>-7.0000000000000007E-2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>BA68+BC68+BD68+BF68+BH68+BI68</f>
        <v>-7.0000000000000007E-2</v>
      </c>
      <c r="BL68" s="422">
        <f>BB68+BE68+BG68+BJ68</f>
        <v>0</v>
      </c>
      <c r="BM68" s="611">
        <f>SUM(BK68:BL68)</f>
        <v>-7.0000000000000007E-2</v>
      </c>
      <c r="BN68" s="428">
        <f>I68+AZ68</f>
        <v>13336693</v>
      </c>
      <c r="BO68" s="421">
        <f>J68+AH68</f>
        <v>9730832</v>
      </c>
      <c r="BP68" s="421">
        <f t="shared" ref="BP68:BQ72" si="187">K68+AF68</f>
        <v>8865654</v>
      </c>
      <c r="BQ68" s="421">
        <f t="shared" si="187"/>
        <v>865178</v>
      </c>
      <c r="BR68" s="421">
        <f>M68+AQ68</f>
        <v>38400</v>
      </c>
      <c r="BS68" s="421">
        <f t="shared" ref="BS68:BT72" si="188">N68+AO68</f>
        <v>38400</v>
      </c>
      <c r="BT68" s="421">
        <f t="shared" si="188"/>
        <v>0</v>
      </c>
      <c r="BU68" s="421">
        <f t="shared" ref="BU68:BV72" si="189">P68+AU68</f>
        <v>3302001</v>
      </c>
      <c r="BV68" s="421">
        <f t="shared" si="189"/>
        <v>97309</v>
      </c>
      <c r="BW68" s="421">
        <f>R68+AY68</f>
        <v>168151</v>
      </c>
      <c r="BX68" s="422">
        <f>S68+BM68</f>
        <v>15.402999999999999</v>
      </c>
      <c r="BY68" s="422">
        <f t="shared" ref="BY68:BZ72" si="190">T68+BK68</f>
        <v>12.93</v>
      </c>
      <c r="BZ68" s="611">
        <f t="shared" si="190"/>
        <v>2.4729999999999999</v>
      </c>
      <c r="CA68" s="423"/>
      <c r="CB68" s="418"/>
      <c r="CC68" s="418"/>
      <c r="CD68" s="418"/>
      <c r="CE68" s="418"/>
      <c r="CF68" s="527"/>
    </row>
    <row r="69" spans="1:84" x14ac:dyDescent="0.2">
      <c r="A69" s="206">
        <v>14</v>
      </c>
      <c r="B69" s="207">
        <v>3443</v>
      </c>
      <c r="C69" s="207">
        <v>600078582</v>
      </c>
      <c r="D69" s="207">
        <v>16389581</v>
      </c>
      <c r="E69" s="205" t="s">
        <v>144</v>
      </c>
      <c r="F69" s="207">
        <v>3113</v>
      </c>
      <c r="G69" s="208" t="s">
        <v>292</v>
      </c>
      <c r="H69" s="684" t="s">
        <v>272</v>
      </c>
      <c r="I69" s="528">
        <f t="shared" si="182"/>
        <v>0</v>
      </c>
      <c r="J69" s="418">
        <f>K69+L69</f>
        <v>0</v>
      </c>
      <c r="K69" s="418">
        <v>0</v>
      </c>
      <c r="L69" s="418">
        <v>0</v>
      </c>
      <c r="M69" s="418">
        <f>N69+O69</f>
        <v>0</v>
      </c>
      <c r="N69" s="418"/>
      <c r="O69" s="418"/>
      <c r="P69" s="68">
        <f t="shared" ref="P69:P72" si="191">ROUND(J69*33.8%,0)</f>
        <v>0</v>
      </c>
      <c r="Q69" s="68">
        <f t="shared" ref="Q69:Q72" si="192">ROUND(J69*1%,0)</f>
        <v>0</v>
      </c>
      <c r="R69" s="418">
        <v>0</v>
      </c>
      <c r="S69" s="419">
        <f>T69+U69</f>
        <v>0</v>
      </c>
      <c r="T69" s="420">
        <v>0</v>
      </c>
      <c r="U69" s="527">
        <v>0</v>
      </c>
      <c r="V69" s="427">
        <f t="shared" si="183"/>
        <v>0</v>
      </c>
      <c r="W69" s="421">
        <f t="shared" si="183"/>
        <v>0</v>
      </c>
      <c r="X69" s="421">
        <v>766361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>V69+X69+Y69+AA69+AB69+AD69</f>
        <v>766361</v>
      </c>
      <c r="AG69" s="421">
        <f>W69+Z69+AC69+AE69</f>
        <v>0</v>
      </c>
      <c r="AH69" s="421">
        <f>SUM(AF69:AG69)</f>
        <v>766361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84"/>
        <v>0</v>
      </c>
      <c r="AP69" s="421">
        <f>AJ69+AN69</f>
        <v>0</v>
      </c>
      <c r="AQ69" s="421">
        <f>SUM(AO69:AP69)</f>
        <v>0</v>
      </c>
      <c r="AR69" s="421">
        <f t="shared" si="185"/>
        <v>766361</v>
      </c>
      <c r="AS69" s="421">
        <f t="shared" si="185"/>
        <v>0</v>
      </c>
      <c r="AT69" s="421">
        <f>SUM(AR69:AS69)</f>
        <v>766361</v>
      </c>
      <c r="AU69" s="68">
        <f t="shared" si="186"/>
        <v>259030</v>
      </c>
      <c r="AV69" s="68">
        <f>ROUND(AH69*1%,0)</f>
        <v>7664</v>
      </c>
      <c r="AW69" s="421">
        <v>0</v>
      </c>
      <c r="AX69" s="421">
        <v>0</v>
      </c>
      <c r="AY69" s="421">
        <f>AW69+AX69</f>
        <v>0</v>
      </c>
      <c r="AZ69" s="421">
        <f>AT69+AU69+AV69+AY69</f>
        <v>1033055</v>
      </c>
      <c r="BA69" s="422">
        <v>0</v>
      </c>
      <c r="BB69" s="422">
        <v>0</v>
      </c>
      <c r="BC69" s="422">
        <v>2.0499999999999998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>BA69+BC69+BD69+BF69+BH69+BI69</f>
        <v>2.0499999999999998</v>
      </c>
      <c r="BL69" s="422">
        <f>BB69+BE69+BG69+BJ69</f>
        <v>0</v>
      </c>
      <c r="BM69" s="611">
        <f>SUM(BK69:BL69)</f>
        <v>2.0499999999999998</v>
      </c>
      <c r="BN69" s="428">
        <f>I69+AZ69</f>
        <v>1033055</v>
      </c>
      <c r="BO69" s="421">
        <f>J69+AH69</f>
        <v>766361</v>
      </c>
      <c r="BP69" s="421">
        <f t="shared" si="187"/>
        <v>766361</v>
      </c>
      <c r="BQ69" s="421">
        <f t="shared" si="187"/>
        <v>0</v>
      </c>
      <c r="BR69" s="421">
        <f>M69+AQ69</f>
        <v>0</v>
      </c>
      <c r="BS69" s="421">
        <f t="shared" si="188"/>
        <v>0</v>
      </c>
      <c r="BT69" s="421">
        <f t="shared" si="188"/>
        <v>0</v>
      </c>
      <c r="BU69" s="421">
        <f t="shared" si="189"/>
        <v>259030</v>
      </c>
      <c r="BV69" s="421">
        <f t="shared" si="189"/>
        <v>7664</v>
      </c>
      <c r="BW69" s="421">
        <f>R69+AY69</f>
        <v>0</v>
      </c>
      <c r="BX69" s="422">
        <f>S69+BM69</f>
        <v>2.0499999999999998</v>
      </c>
      <c r="BY69" s="422">
        <f t="shared" si="190"/>
        <v>2.0499999999999998</v>
      </c>
      <c r="BZ69" s="611">
        <f t="shared" si="190"/>
        <v>0</v>
      </c>
      <c r="CA69" s="423"/>
      <c r="CB69" s="418"/>
      <c r="CC69" s="418"/>
      <c r="CD69" s="418"/>
      <c r="CE69" s="418"/>
      <c r="CF69" s="527"/>
    </row>
    <row r="70" spans="1:84" x14ac:dyDescent="0.2">
      <c r="A70" s="206">
        <v>14</v>
      </c>
      <c r="B70" s="207">
        <v>3443</v>
      </c>
      <c r="C70" s="207">
        <v>600078582</v>
      </c>
      <c r="D70" s="207">
        <v>16389581</v>
      </c>
      <c r="E70" s="205" t="s">
        <v>144</v>
      </c>
      <c r="F70" s="207">
        <v>3141</v>
      </c>
      <c r="G70" s="208" t="s">
        <v>295</v>
      </c>
      <c r="H70" s="684" t="s">
        <v>272</v>
      </c>
      <c r="I70" s="528">
        <f t="shared" si="182"/>
        <v>814406</v>
      </c>
      <c r="J70" s="418">
        <f>K70+L70</f>
        <v>600264</v>
      </c>
      <c r="K70" s="418">
        <v>0</v>
      </c>
      <c r="L70" s="418">
        <v>600264</v>
      </c>
      <c r="M70" s="418">
        <f>N70+O70</f>
        <v>0</v>
      </c>
      <c r="N70" s="418"/>
      <c r="O70" s="418"/>
      <c r="P70" s="68">
        <f t="shared" si="191"/>
        <v>202889</v>
      </c>
      <c r="Q70" s="68">
        <f t="shared" si="192"/>
        <v>6003</v>
      </c>
      <c r="R70" s="418">
        <v>5250</v>
      </c>
      <c r="S70" s="419">
        <f>T70+U70</f>
        <v>1.8</v>
      </c>
      <c r="T70" s="420">
        <v>0</v>
      </c>
      <c r="U70" s="527">
        <v>1.8</v>
      </c>
      <c r="V70" s="427">
        <f t="shared" si="183"/>
        <v>0</v>
      </c>
      <c r="W70" s="421">
        <f t="shared" si="183"/>
        <v>-15360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>V70+X70+Y70+AA70+AB70+AD70</f>
        <v>0</v>
      </c>
      <c r="AG70" s="421">
        <f>W70+Z70+AC70+AE70</f>
        <v>-15360</v>
      </c>
      <c r="AH70" s="421">
        <f>SUM(AF70:AG70)</f>
        <v>-15360</v>
      </c>
      <c r="AI70" s="421">
        <v>0</v>
      </c>
      <c r="AJ70" s="421">
        <v>15360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184"/>
        <v>0</v>
      </c>
      <c r="AP70" s="421">
        <f>AJ70+AN70</f>
        <v>15360</v>
      </c>
      <c r="AQ70" s="421">
        <f>SUM(AO70:AP70)</f>
        <v>15360</v>
      </c>
      <c r="AR70" s="421">
        <f t="shared" si="185"/>
        <v>0</v>
      </c>
      <c r="AS70" s="421">
        <f t="shared" si="185"/>
        <v>0</v>
      </c>
      <c r="AT70" s="421">
        <f>SUM(AR70:AS70)</f>
        <v>0</v>
      </c>
      <c r="AU70" s="68">
        <f t="shared" si="186"/>
        <v>0</v>
      </c>
      <c r="AV70" s="68">
        <f>ROUND(AH70*1%,0)</f>
        <v>-154</v>
      </c>
      <c r="AW70" s="421">
        <v>0</v>
      </c>
      <c r="AX70" s="421">
        <v>0</v>
      </c>
      <c r="AY70" s="421">
        <f>AW70+AX70</f>
        <v>0</v>
      </c>
      <c r="AZ70" s="421">
        <f>AT70+AU70+AV70+AY70</f>
        <v>-154</v>
      </c>
      <c r="BA70" s="422">
        <v>0</v>
      </c>
      <c r="BB70" s="422">
        <v>0</v>
      </c>
      <c r="BC70" s="422">
        <v>0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>BA70+BC70+BD70+BF70+BH70+BI70</f>
        <v>0</v>
      </c>
      <c r="BL70" s="422">
        <f>BB70+BE70+BG70+BJ70</f>
        <v>0</v>
      </c>
      <c r="BM70" s="611">
        <f>SUM(BK70:BL70)</f>
        <v>0</v>
      </c>
      <c r="BN70" s="428">
        <f>I70+AZ70</f>
        <v>814252</v>
      </c>
      <c r="BO70" s="421">
        <f>J70+AH70</f>
        <v>584904</v>
      </c>
      <c r="BP70" s="421">
        <f t="shared" si="187"/>
        <v>0</v>
      </c>
      <c r="BQ70" s="421">
        <f t="shared" si="187"/>
        <v>584904</v>
      </c>
      <c r="BR70" s="421">
        <f>M70+AQ70</f>
        <v>15360</v>
      </c>
      <c r="BS70" s="421">
        <f t="shared" si="188"/>
        <v>0</v>
      </c>
      <c r="BT70" s="421">
        <f t="shared" si="188"/>
        <v>15360</v>
      </c>
      <c r="BU70" s="421">
        <f t="shared" si="189"/>
        <v>202889</v>
      </c>
      <c r="BV70" s="421">
        <f t="shared" si="189"/>
        <v>5849</v>
      </c>
      <c r="BW70" s="421">
        <f>R70+AY70</f>
        <v>5250</v>
      </c>
      <c r="BX70" s="422">
        <f>S70+BM70</f>
        <v>1.8</v>
      </c>
      <c r="BY70" s="422">
        <f t="shared" si="190"/>
        <v>0</v>
      </c>
      <c r="BZ70" s="611">
        <f t="shared" si="190"/>
        <v>1.8</v>
      </c>
      <c r="CA70" s="423"/>
      <c r="CB70" s="418"/>
      <c r="CC70" s="418"/>
      <c r="CD70" s="418"/>
      <c r="CE70" s="418"/>
      <c r="CF70" s="527"/>
    </row>
    <row r="71" spans="1:84" x14ac:dyDescent="0.2">
      <c r="A71" s="206">
        <v>14</v>
      </c>
      <c r="B71" s="207">
        <v>3443</v>
      </c>
      <c r="C71" s="207">
        <v>600078582</v>
      </c>
      <c r="D71" s="207">
        <v>16389581</v>
      </c>
      <c r="E71" s="205" t="s">
        <v>144</v>
      </c>
      <c r="F71" s="207">
        <v>3143</v>
      </c>
      <c r="G71" s="208" t="s">
        <v>596</v>
      </c>
      <c r="H71" s="686" t="s">
        <v>271</v>
      </c>
      <c r="I71" s="528">
        <f t="shared" si="182"/>
        <v>880811</v>
      </c>
      <c r="J71" s="418">
        <f>K71+L71</f>
        <v>653421</v>
      </c>
      <c r="K71" s="418">
        <v>653421</v>
      </c>
      <c r="L71" s="418">
        <v>0</v>
      </c>
      <c r="M71" s="418">
        <f>N71+O71</f>
        <v>0</v>
      </c>
      <c r="N71" s="418"/>
      <c r="O71" s="418"/>
      <c r="P71" s="68">
        <f t="shared" si="191"/>
        <v>220856</v>
      </c>
      <c r="Q71" s="68">
        <f t="shared" si="192"/>
        <v>6534</v>
      </c>
      <c r="R71" s="418">
        <v>0</v>
      </c>
      <c r="S71" s="419">
        <f>T71+U71</f>
        <v>1.5</v>
      </c>
      <c r="T71" s="420">
        <v>1.5</v>
      </c>
      <c r="U71" s="527">
        <v>0</v>
      </c>
      <c r="V71" s="427">
        <f t="shared" si="183"/>
        <v>-6400</v>
      </c>
      <c r="W71" s="421">
        <f t="shared" si="183"/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>V71+X71+Y71+AA71+AB71+AD71</f>
        <v>-6400</v>
      </c>
      <c r="AG71" s="421">
        <f>W71+Z71+AC71+AE71</f>
        <v>0</v>
      </c>
      <c r="AH71" s="421">
        <f>SUM(AF71:AG71)</f>
        <v>-6400</v>
      </c>
      <c r="AI71" s="421">
        <v>6400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184"/>
        <v>6400</v>
      </c>
      <c r="AP71" s="421">
        <f>AJ71+AN71</f>
        <v>0</v>
      </c>
      <c r="AQ71" s="421">
        <f>SUM(AO71:AP71)</f>
        <v>6400</v>
      </c>
      <c r="AR71" s="421">
        <f t="shared" si="185"/>
        <v>0</v>
      </c>
      <c r="AS71" s="421">
        <f t="shared" si="185"/>
        <v>0</v>
      </c>
      <c r="AT71" s="421">
        <f>SUM(AR71:AS71)</f>
        <v>0</v>
      </c>
      <c r="AU71" s="68">
        <f t="shared" si="186"/>
        <v>0</v>
      </c>
      <c r="AV71" s="68">
        <f>ROUND(AH71*1%,0)</f>
        <v>-64</v>
      </c>
      <c r="AW71" s="421">
        <v>0</v>
      </c>
      <c r="AX71" s="421">
        <v>0</v>
      </c>
      <c r="AY71" s="421">
        <f>AW71+AX71</f>
        <v>0</v>
      </c>
      <c r="AZ71" s="421">
        <f>AT71+AU71+AV71+AY71</f>
        <v>-64</v>
      </c>
      <c r="BA71" s="422">
        <v>0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>BA71+BC71+BD71+BF71+BH71+BI71</f>
        <v>0</v>
      </c>
      <c r="BL71" s="422">
        <f>BB71+BE71+BG71+BJ71</f>
        <v>0</v>
      </c>
      <c r="BM71" s="611">
        <f>SUM(BK71:BL71)</f>
        <v>0</v>
      </c>
      <c r="BN71" s="428">
        <f>I71+AZ71</f>
        <v>880747</v>
      </c>
      <c r="BO71" s="421">
        <f>J71+AH71</f>
        <v>647021</v>
      </c>
      <c r="BP71" s="421">
        <f t="shared" si="187"/>
        <v>647021</v>
      </c>
      <c r="BQ71" s="421">
        <f t="shared" si="187"/>
        <v>0</v>
      </c>
      <c r="BR71" s="421">
        <f>M71+AQ71</f>
        <v>6400</v>
      </c>
      <c r="BS71" s="421">
        <f t="shared" si="188"/>
        <v>6400</v>
      </c>
      <c r="BT71" s="421">
        <f t="shared" si="188"/>
        <v>0</v>
      </c>
      <c r="BU71" s="421">
        <f t="shared" si="189"/>
        <v>220856</v>
      </c>
      <c r="BV71" s="421">
        <f t="shared" si="189"/>
        <v>6470</v>
      </c>
      <c r="BW71" s="421">
        <f>R71+AY71</f>
        <v>0</v>
      </c>
      <c r="BX71" s="422">
        <f>S71+BM71</f>
        <v>1.5</v>
      </c>
      <c r="BY71" s="422">
        <f t="shared" si="190"/>
        <v>1.5</v>
      </c>
      <c r="BZ71" s="611">
        <f t="shared" si="190"/>
        <v>0</v>
      </c>
      <c r="CA71" s="423"/>
      <c r="CB71" s="418"/>
      <c r="CC71" s="418"/>
      <c r="CD71" s="418"/>
      <c r="CE71" s="418"/>
      <c r="CF71" s="527"/>
    </row>
    <row r="72" spans="1:84" x14ac:dyDescent="0.2">
      <c r="A72" s="206">
        <v>14</v>
      </c>
      <c r="B72" s="207">
        <v>3443</v>
      </c>
      <c r="C72" s="207">
        <v>600078582</v>
      </c>
      <c r="D72" s="207">
        <v>16389581</v>
      </c>
      <c r="E72" s="205" t="s">
        <v>144</v>
      </c>
      <c r="F72" s="207">
        <v>3143</v>
      </c>
      <c r="G72" s="208" t="s">
        <v>597</v>
      </c>
      <c r="H72" s="686" t="s">
        <v>272</v>
      </c>
      <c r="I72" s="528">
        <f t="shared" si="182"/>
        <v>24601</v>
      </c>
      <c r="J72" s="418">
        <f>K72+L72</f>
        <v>17609</v>
      </c>
      <c r="K72" s="418">
        <v>0</v>
      </c>
      <c r="L72" s="418">
        <v>17609</v>
      </c>
      <c r="M72" s="418">
        <f>N72+O72</f>
        <v>0</v>
      </c>
      <c r="N72" s="418"/>
      <c r="O72" s="418"/>
      <c r="P72" s="68">
        <f t="shared" si="191"/>
        <v>5952</v>
      </c>
      <c r="Q72" s="68">
        <f t="shared" si="192"/>
        <v>176</v>
      </c>
      <c r="R72" s="418">
        <v>864</v>
      </c>
      <c r="S72" s="419">
        <f>T72+U72</f>
        <v>7.0000000000000007E-2</v>
      </c>
      <c r="T72" s="420">
        <v>0</v>
      </c>
      <c r="U72" s="527">
        <v>7.0000000000000007E-2</v>
      </c>
      <c r="V72" s="427">
        <f t="shared" si="183"/>
        <v>0</v>
      </c>
      <c r="W72" s="421">
        <f t="shared" si="183"/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>V72+X72+Y72+AA72+AB72+AD72</f>
        <v>0</v>
      </c>
      <c r="AG72" s="421">
        <f>W72+Z72+AC72+AE72</f>
        <v>0</v>
      </c>
      <c r="AH72" s="421">
        <f>SUM(AF72:AG72)</f>
        <v>0</v>
      </c>
      <c r="AI72" s="421">
        <v>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184"/>
        <v>0</v>
      </c>
      <c r="AP72" s="421">
        <f>AJ72+AN72</f>
        <v>0</v>
      </c>
      <c r="AQ72" s="421">
        <f>SUM(AO72:AP72)</f>
        <v>0</v>
      </c>
      <c r="AR72" s="421">
        <f t="shared" si="185"/>
        <v>0</v>
      </c>
      <c r="AS72" s="421">
        <f t="shared" si="185"/>
        <v>0</v>
      </c>
      <c r="AT72" s="421">
        <f>SUM(AR72:AS72)</f>
        <v>0</v>
      </c>
      <c r="AU72" s="68">
        <f t="shared" si="186"/>
        <v>0</v>
      </c>
      <c r="AV72" s="68">
        <f>ROUND(AH72*1%,0)</f>
        <v>0</v>
      </c>
      <c r="AW72" s="421">
        <v>0</v>
      </c>
      <c r="AX72" s="421">
        <v>0</v>
      </c>
      <c r="AY72" s="421">
        <f>AW72+AX72</f>
        <v>0</v>
      </c>
      <c r="AZ72" s="421">
        <f>AT72+AU72+AV72+AY72</f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>BA72+BC72+BD72+BF72+BH72+BI72</f>
        <v>0</v>
      </c>
      <c r="BL72" s="422">
        <f>BB72+BE72+BG72+BJ72</f>
        <v>0</v>
      </c>
      <c r="BM72" s="611">
        <f>SUM(BK72:BL72)</f>
        <v>0</v>
      </c>
      <c r="BN72" s="428">
        <f>I72+AZ72</f>
        <v>24601</v>
      </c>
      <c r="BO72" s="421">
        <f>J72+AH72</f>
        <v>17609</v>
      </c>
      <c r="BP72" s="421">
        <f t="shared" si="187"/>
        <v>0</v>
      </c>
      <c r="BQ72" s="421">
        <f t="shared" si="187"/>
        <v>17609</v>
      </c>
      <c r="BR72" s="421">
        <f>M72+AQ72</f>
        <v>0</v>
      </c>
      <c r="BS72" s="421">
        <f t="shared" si="188"/>
        <v>0</v>
      </c>
      <c r="BT72" s="421">
        <f t="shared" si="188"/>
        <v>0</v>
      </c>
      <c r="BU72" s="421">
        <f t="shared" si="189"/>
        <v>5952</v>
      </c>
      <c r="BV72" s="421">
        <f t="shared" si="189"/>
        <v>176</v>
      </c>
      <c r="BW72" s="421">
        <f>R72+AY72</f>
        <v>864</v>
      </c>
      <c r="BX72" s="422">
        <f>S72+BM72</f>
        <v>7.0000000000000007E-2</v>
      </c>
      <c r="BY72" s="422">
        <f t="shared" si="190"/>
        <v>0</v>
      </c>
      <c r="BZ72" s="611">
        <f t="shared" si="190"/>
        <v>7.0000000000000007E-2</v>
      </c>
      <c r="CA72" s="423"/>
      <c r="CB72" s="418"/>
      <c r="CC72" s="418"/>
      <c r="CD72" s="418"/>
      <c r="CE72" s="418"/>
      <c r="CF72" s="527"/>
    </row>
    <row r="73" spans="1:84" ht="13.5" thickBot="1" x14ac:dyDescent="0.25">
      <c r="A73" s="159">
        <v>14</v>
      </c>
      <c r="B73" s="33">
        <v>3443</v>
      </c>
      <c r="C73" s="33">
        <v>600078582</v>
      </c>
      <c r="D73" s="33">
        <v>16389581</v>
      </c>
      <c r="E73" s="235" t="s">
        <v>145</v>
      </c>
      <c r="F73" s="33"/>
      <c r="G73" s="160"/>
      <c r="H73" s="687"/>
      <c r="I73" s="622">
        <f t="shared" ref="I73:BU73" si="193">SUM(I68:I72)</f>
        <v>15056895</v>
      </c>
      <c r="J73" s="530">
        <f t="shared" si="193"/>
        <v>11040526</v>
      </c>
      <c r="K73" s="530">
        <f t="shared" si="193"/>
        <v>9557475</v>
      </c>
      <c r="L73" s="530">
        <f t="shared" si="193"/>
        <v>1483051</v>
      </c>
      <c r="M73" s="530">
        <f t="shared" si="193"/>
        <v>0</v>
      </c>
      <c r="N73" s="530">
        <f t="shared" si="193"/>
        <v>0</v>
      </c>
      <c r="O73" s="530">
        <f t="shared" si="193"/>
        <v>0</v>
      </c>
      <c r="P73" s="530">
        <f t="shared" si="193"/>
        <v>3731698</v>
      </c>
      <c r="Q73" s="530">
        <f t="shared" si="193"/>
        <v>110406</v>
      </c>
      <c r="R73" s="530">
        <f t="shared" si="193"/>
        <v>174265</v>
      </c>
      <c r="S73" s="531">
        <f t="shared" si="193"/>
        <v>18.843</v>
      </c>
      <c r="T73" s="531">
        <f t="shared" si="193"/>
        <v>14.5</v>
      </c>
      <c r="U73" s="532">
        <f t="shared" si="193"/>
        <v>4.343</v>
      </c>
      <c r="V73" s="622">
        <f t="shared" si="193"/>
        <v>-44800</v>
      </c>
      <c r="W73" s="530">
        <f t="shared" si="193"/>
        <v>-15360</v>
      </c>
      <c r="X73" s="530">
        <f t="shared" si="193"/>
        <v>766361</v>
      </c>
      <c r="Y73" s="530">
        <f t="shared" si="193"/>
        <v>0</v>
      </c>
      <c r="Z73" s="530">
        <f t="shared" si="193"/>
        <v>0</v>
      </c>
      <c r="AA73" s="530">
        <f t="shared" si="193"/>
        <v>0</v>
      </c>
      <c r="AB73" s="530">
        <f t="shared" si="193"/>
        <v>0</v>
      </c>
      <c r="AC73" s="530">
        <f t="shared" si="193"/>
        <v>0</v>
      </c>
      <c r="AD73" s="530">
        <f t="shared" si="193"/>
        <v>0</v>
      </c>
      <c r="AE73" s="530">
        <f t="shared" si="193"/>
        <v>0</v>
      </c>
      <c r="AF73" s="530">
        <f t="shared" si="193"/>
        <v>721561</v>
      </c>
      <c r="AG73" s="530">
        <f t="shared" si="193"/>
        <v>-15360</v>
      </c>
      <c r="AH73" s="530">
        <f t="shared" si="193"/>
        <v>706201</v>
      </c>
      <c r="AI73" s="530">
        <f t="shared" si="193"/>
        <v>44800</v>
      </c>
      <c r="AJ73" s="530">
        <f t="shared" si="193"/>
        <v>15360</v>
      </c>
      <c r="AK73" s="530">
        <f t="shared" ref="AK73" si="194">SUM(AK68:AK72)</f>
        <v>0</v>
      </c>
      <c r="AL73" s="530">
        <f t="shared" si="193"/>
        <v>0</v>
      </c>
      <c r="AM73" s="530">
        <f t="shared" si="193"/>
        <v>0</v>
      </c>
      <c r="AN73" s="530">
        <f t="shared" si="193"/>
        <v>0</v>
      </c>
      <c r="AO73" s="530">
        <f t="shared" si="193"/>
        <v>44800</v>
      </c>
      <c r="AP73" s="530">
        <f t="shared" si="193"/>
        <v>15360</v>
      </c>
      <c r="AQ73" s="530">
        <f t="shared" si="193"/>
        <v>60160</v>
      </c>
      <c r="AR73" s="530">
        <f t="shared" si="193"/>
        <v>766361</v>
      </c>
      <c r="AS73" s="530">
        <f t="shared" si="193"/>
        <v>0</v>
      </c>
      <c r="AT73" s="530">
        <f t="shared" si="193"/>
        <v>766361</v>
      </c>
      <c r="AU73" s="530">
        <f t="shared" si="193"/>
        <v>259030</v>
      </c>
      <c r="AV73" s="530">
        <f t="shared" si="193"/>
        <v>7062</v>
      </c>
      <c r="AW73" s="530">
        <f t="shared" si="193"/>
        <v>0</v>
      </c>
      <c r="AX73" s="530">
        <f t="shared" si="193"/>
        <v>0</v>
      </c>
      <c r="AY73" s="530">
        <f t="shared" si="193"/>
        <v>0</v>
      </c>
      <c r="AZ73" s="530">
        <f t="shared" si="193"/>
        <v>1032453</v>
      </c>
      <c r="BA73" s="531">
        <f t="shared" si="193"/>
        <v>-7.0000000000000007E-2</v>
      </c>
      <c r="BB73" s="531">
        <f t="shared" si="193"/>
        <v>0</v>
      </c>
      <c r="BC73" s="531">
        <f t="shared" si="193"/>
        <v>2.0499999999999998</v>
      </c>
      <c r="BD73" s="531">
        <f t="shared" si="193"/>
        <v>0</v>
      </c>
      <c r="BE73" s="531">
        <f t="shared" si="193"/>
        <v>0</v>
      </c>
      <c r="BF73" s="531">
        <f t="shared" si="193"/>
        <v>0</v>
      </c>
      <c r="BG73" s="531">
        <f t="shared" si="193"/>
        <v>0</v>
      </c>
      <c r="BH73" s="531">
        <f t="shared" si="193"/>
        <v>0</v>
      </c>
      <c r="BI73" s="531">
        <f t="shared" si="193"/>
        <v>0</v>
      </c>
      <c r="BJ73" s="531">
        <f t="shared" si="193"/>
        <v>0</v>
      </c>
      <c r="BK73" s="531">
        <f t="shared" si="193"/>
        <v>1.9799999999999998</v>
      </c>
      <c r="BL73" s="531">
        <f t="shared" si="193"/>
        <v>0</v>
      </c>
      <c r="BM73" s="623">
        <f t="shared" si="193"/>
        <v>1.9799999999999998</v>
      </c>
      <c r="BN73" s="529">
        <f t="shared" si="193"/>
        <v>16089348</v>
      </c>
      <c r="BO73" s="530">
        <f t="shared" si="193"/>
        <v>11746727</v>
      </c>
      <c r="BP73" s="530">
        <f t="shared" si="193"/>
        <v>10279036</v>
      </c>
      <c r="BQ73" s="530">
        <f t="shared" si="193"/>
        <v>1467691</v>
      </c>
      <c r="BR73" s="530">
        <f t="shared" si="193"/>
        <v>60160</v>
      </c>
      <c r="BS73" s="530">
        <f t="shared" si="193"/>
        <v>44800</v>
      </c>
      <c r="BT73" s="530">
        <f t="shared" si="193"/>
        <v>15360</v>
      </c>
      <c r="BU73" s="530">
        <f t="shared" si="193"/>
        <v>3990728</v>
      </c>
      <c r="BV73" s="530">
        <f t="shared" ref="BV73:CF73" si="195">SUM(BV68:BV72)</f>
        <v>117468</v>
      </c>
      <c r="BW73" s="530">
        <f t="shared" si="195"/>
        <v>174265</v>
      </c>
      <c r="BX73" s="531">
        <f t="shared" si="195"/>
        <v>20.823</v>
      </c>
      <c r="BY73" s="531">
        <f t="shared" si="195"/>
        <v>16.48</v>
      </c>
      <c r="BZ73" s="623">
        <f t="shared" si="195"/>
        <v>4.343</v>
      </c>
      <c r="CA73" s="861">
        <f t="shared" si="195"/>
        <v>0</v>
      </c>
      <c r="CB73" s="862">
        <f t="shared" si="195"/>
        <v>0</v>
      </c>
      <c r="CC73" s="862">
        <f t="shared" si="195"/>
        <v>0</v>
      </c>
      <c r="CD73" s="862">
        <f t="shared" si="195"/>
        <v>0</v>
      </c>
      <c r="CE73" s="862">
        <f t="shared" si="195"/>
        <v>0</v>
      </c>
      <c r="CF73" s="863">
        <f t="shared" si="195"/>
        <v>0</v>
      </c>
    </row>
    <row r="74" spans="1:84" ht="13.5" thickBot="1" x14ac:dyDescent="0.25">
      <c r="A74" s="161"/>
      <c r="B74" s="30"/>
      <c r="C74" s="30"/>
      <c r="D74" s="30"/>
      <c r="E74" s="85" t="s">
        <v>755</v>
      </c>
      <c r="F74" s="30"/>
      <c r="G74" s="162"/>
      <c r="H74" s="688"/>
      <c r="I74" s="467">
        <f t="shared" ref="I74:BU74" si="196">I15+I19+I23+I25+I32+I38+I40+I43+I48+I52+I57+I64+I67+I73</f>
        <v>142204607</v>
      </c>
      <c r="J74" s="467">
        <f t="shared" si="196"/>
        <v>104542344</v>
      </c>
      <c r="K74" s="467">
        <f t="shared" si="196"/>
        <v>90963435</v>
      </c>
      <c r="L74" s="467">
        <f t="shared" si="196"/>
        <v>13578909</v>
      </c>
      <c r="M74" s="467">
        <f t="shared" si="196"/>
        <v>0</v>
      </c>
      <c r="N74" s="467">
        <f t="shared" si="196"/>
        <v>0</v>
      </c>
      <c r="O74" s="467">
        <f t="shared" si="196"/>
        <v>0</v>
      </c>
      <c r="P74" s="467">
        <f t="shared" si="196"/>
        <v>35335313</v>
      </c>
      <c r="Q74" s="467">
        <f t="shared" si="196"/>
        <v>1045426</v>
      </c>
      <c r="R74" s="467">
        <f t="shared" si="196"/>
        <v>1281524</v>
      </c>
      <c r="S74" s="636">
        <f t="shared" si="196"/>
        <v>182.32989999999998</v>
      </c>
      <c r="T74" s="636">
        <f t="shared" si="196"/>
        <v>141.21979999999999</v>
      </c>
      <c r="U74" s="638">
        <f t="shared" si="196"/>
        <v>41.110100000000003</v>
      </c>
      <c r="V74" s="467">
        <f t="shared" si="196"/>
        <v>-259533</v>
      </c>
      <c r="W74" s="467">
        <f t="shared" si="196"/>
        <v>-197504</v>
      </c>
      <c r="X74" s="467">
        <f t="shared" si="196"/>
        <v>8170534</v>
      </c>
      <c r="Y74" s="467">
        <f t="shared" si="196"/>
        <v>0</v>
      </c>
      <c r="Z74" s="467">
        <f t="shared" si="196"/>
        <v>0</v>
      </c>
      <c r="AA74" s="467">
        <f t="shared" si="196"/>
        <v>121808</v>
      </c>
      <c r="AB74" s="770">
        <f t="shared" si="196"/>
        <v>282000</v>
      </c>
      <c r="AC74" s="467">
        <f t="shared" si="196"/>
        <v>0</v>
      </c>
      <c r="AD74" s="467">
        <f t="shared" si="196"/>
        <v>0</v>
      </c>
      <c r="AE74" s="467">
        <f t="shared" si="196"/>
        <v>0</v>
      </c>
      <c r="AF74" s="467">
        <f t="shared" si="196"/>
        <v>8314809</v>
      </c>
      <c r="AG74" s="467">
        <f t="shared" si="196"/>
        <v>-197504</v>
      </c>
      <c r="AH74" s="467">
        <f t="shared" si="196"/>
        <v>8117305</v>
      </c>
      <c r="AI74" s="467">
        <f t="shared" si="196"/>
        <v>259533</v>
      </c>
      <c r="AJ74" s="467">
        <f t="shared" si="196"/>
        <v>197504</v>
      </c>
      <c r="AK74" s="770">
        <f t="shared" ref="AK74" si="197">AK15+AK19+AK23+AK25+AK32+AK38+AK40+AK43+AK48+AK52+AK57+AK64+AK67+AK73</f>
        <v>0</v>
      </c>
      <c r="AL74" s="467">
        <f t="shared" si="196"/>
        <v>0</v>
      </c>
      <c r="AM74" s="467">
        <f t="shared" si="196"/>
        <v>0</v>
      </c>
      <c r="AN74" s="467">
        <f t="shared" si="196"/>
        <v>0</v>
      </c>
      <c r="AO74" s="467">
        <f t="shared" si="196"/>
        <v>259533</v>
      </c>
      <c r="AP74" s="467">
        <f t="shared" si="196"/>
        <v>197504</v>
      </c>
      <c r="AQ74" s="467">
        <f t="shared" si="196"/>
        <v>457037</v>
      </c>
      <c r="AR74" s="467">
        <f t="shared" si="196"/>
        <v>8574342</v>
      </c>
      <c r="AS74" s="467">
        <f t="shared" si="196"/>
        <v>0</v>
      </c>
      <c r="AT74" s="467">
        <f t="shared" si="196"/>
        <v>8574342</v>
      </c>
      <c r="AU74" s="467">
        <f t="shared" si="196"/>
        <v>2898127</v>
      </c>
      <c r="AV74" s="467">
        <f t="shared" si="196"/>
        <v>81174</v>
      </c>
      <c r="AW74" s="467">
        <f t="shared" si="196"/>
        <v>7750</v>
      </c>
      <c r="AX74" s="467">
        <f t="shared" si="196"/>
        <v>0</v>
      </c>
      <c r="AY74" s="467">
        <f t="shared" si="196"/>
        <v>7750</v>
      </c>
      <c r="AZ74" s="467">
        <f t="shared" si="196"/>
        <v>11561393</v>
      </c>
      <c r="BA74" s="636">
        <f t="shared" si="196"/>
        <v>-0.32</v>
      </c>
      <c r="BB74" s="636">
        <f t="shared" si="196"/>
        <v>-0.52</v>
      </c>
      <c r="BC74" s="636">
        <f t="shared" si="196"/>
        <v>21.810000000000002</v>
      </c>
      <c r="BD74" s="636">
        <f t="shared" si="196"/>
        <v>0.5</v>
      </c>
      <c r="BE74" s="636">
        <f t="shared" si="196"/>
        <v>0</v>
      </c>
      <c r="BF74" s="636">
        <f t="shared" si="196"/>
        <v>0</v>
      </c>
      <c r="BG74" s="636">
        <f t="shared" si="196"/>
        <v>0</v>
      </c>
      <c r="BH74" s="636">
        <f t="shared" si="196"/>
        <v>0.17</v>
      </c>
      <c r="BI74" s="636">
        <f t="shared" si="196"/>
        <v>0</v>
      </c>
      <c r="BJ74" s="636">
        <f t="shared" si="196"/>
        <v>0</v>
      </c>
      <c r="BK74" s="636">
        <f t="shared" si="196"/>
        <v>22.160000000000004</v>
      </c>
      <c r="BL74" s="636">
        <f t="shared" si="196"/>
        <v>-0.52</v>
      </c>
      <c r="BM74" s="637">
        <f t="shared" si="196"/>
        <v>21.64</v>
      </c>
      <c r="BN74" s="463">
        <f t="shared" si="196"/>
        <v>153766000</v>
      </c>
      <c r="BO74" s="467">
        <f t="shared" si="196"/>
        <v>112659649</v>
      </c>
      <c r="BP74" s="467">
        <f t="shared" si="196"/>
        <v>99278244</v>
      </c>
      <c r="BQ74" s="467">
        <f t="shared" si="196"/>
        <v>13381405</v>
      </c>
      <c r="BR74" s="467">
        <f t="shared" si="196"/>
        <v>457037</v>
      </c>
      <c r="BS74" s="467">
        <f t="shared" si="196"/>
        <v>259533</v>
      </c>
      <c r="BT74" s="467">
        <f t="shared" si="196"/>
        <v>197504</v>
      </c>
      <c r="BU74" s="467">
        <f t="shared" si="196"/>
        <v>38233440</v>
      </c>
      <c r="BV74" s="467">
        <f t="shared" ref="BV74:CF74" si="198">BV15+BV19+BV23+BV25+BV32+BV38+BV40+BV43+BV48+BV52+BV57+BV64+BV67+BV73</f>
        <v>1126600</v>
      </c>
      <c r="BW74" s="467">
        <f t="shared" si="198"/>
        <v>1289274</v>
      </c>
      <c r="BX74" s="636">
        <f t="shared" si="198"/>
        <v>203.9699</v>
      </c>
      <c r="BY74" s="636">
        <f t="shared" si="198"/>
        <v>163.37979999999999</v>
      </c>
      <c r="BZ74" s="637">
        <f t="shared" si="198"/>
        <v>40.590099999999993</v>
      </c>
      <c r="CA74" s="858">
        <f t="shared" si="198"/>
        <v>380136</v>
      </c>
      <c r="CB74" s="859">
        <f t="shared" si="198"/>
        <v>282000</v>
      </c>
      <c r="CC74" s="859">
        <f t="shared" si="198"/>
        <v>0</v>
      </c>
      <c r="CD74" s="859">
        <f t="shared" si="198"/>
        <v>95316</v>
      </c>
      <c r="CE74" s="859">
        <f t="shared" si="198"/>
        <v>2820</v>
      </c>
      <c r="CF74" s="860">
        <f t="shared" si="198"/>
        <v>0.5</v>
      </c>
    </row>
    <row r="75" spans="1:84" x14ac:dyDescent="0.2">
      <c r="D75" s="9"/>
      <c r="E75" s="5"/>
      <c r="F75" s="9"/>
      <c r="G75" s="20"/>
      <c r="H75" s="5"/>
      <c r="I75" s="432">
        <f>J74+M74+P74+Q74+R74</f>
        <v>142204607</v>
      </c>
      <c r="J75" s="432">
        <f>SUM(K74:L74)</f>
        <v>104542344</v>
      </c>
      <c r="K75" s="432"/>
      <c r="L75" s="432"/>
      <c r="M75" s="432">
        <f>SUM(N74:O74)</f>
        <v>0</v>
      </c>
      <c r="N75" s="432"/>
      <c r="O75" s="432"/>
      <c r="P75" s="432"/>
      <c r="Q75" s="432"/>
      <c r="R75" s="432"/>
      <c r="S75" s="433">
        <f>SUM(T74:U74)</f>
        <v>182.32990000000001</v>
      </c>
      <c r="T75" s="433"/>
      <c r="U75" s="433"/>
      <c r="V75" s="432">
        <f>AI74</f>
        <v>259533</v>
      </c>
      <c r="W75" s="432">
        <f>AJ74</f>
        <v>197504</v>
      </c>
      <c r="X75" s="433"/>
      <c r="Y75" s="432"/>
      <c r="Z75" s="432"/>
      <c r="AA75" s="433"/>
      <c r="AB75" s="433"/>
      <c r="AC75" s="433"/>
      <c r="AD75" s="433"/>
      <c r="AE75" s="433"/>
      <c r="AF75" s="434"/>
      <c r="AG75" s="434"/>
      <c r="AH75" s="434">
        <f>SUM(AF74:AG74)</f>
        <v>8117305</v>
      </c>
      <c r="AI75" s="434">
        <f>V74</f>
        <v>-259533</v>
      </c>
      <c r="AJ75" s="434">
        <f>W74</f>
        <v>-197504</v>
      </c>
      <c r="AK75" s="434"/>
      <c r="AL75" s="435"/>
      <c r="AM75" s="435"/>
      <c r="AN75" s="435"/>
      <c r="AO75" s="434"/>
      <c r="AP75" s="434"/>
      <c r="AQ75" s="434">
        <f>SUM(AO74:AP74)</f>
        <v>457037</v>
      </c>
      <c r="AR75" s="434"/>
      <c r="AS75" s="434"/>
      <c r="AT75" s="434">
        <f>SUM(AR74:AS74)</f>
        <v>8574342</v>
      </c>
      <c r="AU75" s="436"/>
      <c r="AV75" s="436"/>
      <c r="AW75" s="435"/>
      <c r="AX75" s="435"/>
      <c r="AY75" s="434">
        <f>SUM(AW74:AX74)</f>
        <v>7750</v>
      </c>
      <c r="AZ75" s="434">
        <f>AH74+AQ74+AU74+AV74+AY74</f>
        <v>11561393</v>
      </c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525">
        <f>BA74+BC74+BD74+BF74+BH74+BI74</f>
        <v>22.160000000000004</v>
      </c>
      <c r="BL75" s="525">
        <f>BB74+BE74+BG74+BJ74</f>
        <v>-0.52</v>
      </c>
      <c r="BM75" s="525">
        <f>SUM(BK74:BL74)</f>
        <v>21.640000000000004</v>
      </c>
      <c r="BN75" s="432">
        <f>BO74+BR74+BU74+BV74+BW74</f>
        <v>153766000</v>
      </c>
      <c r="BO75" s="432">
        <f>SUM(BP74:BQ74)</f>
        <v>112659649</v>
      </c>
      <c r="BP75" s="435">
        <f>K74+AF74</f>
        <v>99278244</v>
      </c>
      <c r="BQ75" s="435">
        <f>L74+AG74</f>
        <v>13381405</v>
      </c>
      <c r="BR75" s="86">
        <f>SUM(BS74:BT74)</f>
        <v>457037</v>
      </c>
      <c r="BS75" s="435">
        <f>N74+AO74</f>
        <v>259533</v>
      </c>
      <c r="BT75" s="435">
        <f>O74+AP74</f>
        <v>197504</v>
      </c>
      <c r="BU75" s="435">
        <f>P74+AU74</f>
        <v>38233440</v>
      </c>
      <c r="BV75" s="435">
        <f>Q74+AV74</f>
        <v>1126600</v>
      </c>
      <c r="BW75" s="435">
        <f>R74+AY74</f>
        <v>1289274</v>
      </c>
      <c r="BX75" s="433">
        <f>SUM(BY74:BZ74)</f>
        <v>203.9699</v>
      </c>
      <c r="BY75" s="437">
        <f>T74+BK74</f>
        <v>163.37979999999999</v>
      </c>
      <c r="BZ75" s="437">
        <f>U74+BL74</f>
        <v>40.5901</v>
      </c>
      <c r="CA75" s="236">
        <f>SUM(CB74:CE74)</f>
        <v>380136</v>
      </c>
    </row>
    <row r="76" spans="1:84" ht="13.5" thickBot="1" x14ac:dyDescent="0.25">
      <c r="D76" s="9"/>
      <c r="E76" s="5"/>
      <c r="F76" s="9"/>
      <c r="G76" s="20"/>
      <c r="H76" s="5"/>
      <c r="I76" s="432">
        <f>J77+M77+P77+Q77+R77</f>
        <v>142204607</v>
      </c>
      <c r="J76" s="432">
        <f>SUM(K77:L77)</f>
        <v>104542344</v>
      </c>
      <c r="K76" s="432"/>
      <c r="L76" s="432"/>
      <c r="M76" s="432">
        <f>SUM(N77:O77)</f>
        <v>0</v>
      </c>
      <c r="N76" s="432"/>
      <c r="O76" s="432"/>
      <c r="P76" s="432"/>
      <c r="Q76" s="432"/>
      <c r="R76" s="432"/>
      <c r="S76" s="433">
        <f>SUM(T77:U77)</f>
        <v>182.32990000000001</v>
      </c>
      <c r="T76" s="433"/>
      <c r="U76" s="433"/>
      <c r="V76" s="432">
        <f>AI77</f>
        <v>259533</v>
      </c>
      <c r="W76" s="432">
        <f>AJ77</f>
        <v>197504</v>
      </c>
      <c r="X76" s="433"/>
      <c r="Y76" s="432"/>
      <c r="Z76" s="432"/>
      <c r="AA76" s="433"/>
      <c r="AB76" s="433"/>
      <c r="AC76" s="433"/>
      <c r="AD76" s="433"/>
      <c r="AE76" s="433"/>
      <c r="AF76" s="434"/>
      <c r="AG76" s="434"/>
      <c r="AH76" s="434">
        <f>SUM(AF77:AG77)</f>
        <v>8117305</v>
      </c>
      <c r="AI76" s="434"/>
      <c r="AJ76" s="434"/>
      <c r="AK76" s="434"/>
      <c r="AL76" s="435"/>
      <c r="AM76" s="435"/>
      <c r="AN76" s="435"/>
      <c r="AO76" s="434"/>
      <c r="AP76" s="434"/>
      <c r="AQ76" s="434">
        <f>SUM(AO77:AP77)</f>
        <v>457037</v>
      </c>
      <c r="AR76" s="434"/>
      <c r="AS76" s="434"/>
      <c r="AT76" s="434">
        <f>SUM(AR77:AS77)</f>
        <v>8574342</v>
      </c>
      <c r="AU76" s="436"/>
      <c r="AV76" s="436"/>
      <c r="AW76" s="435"/>
      <c r="AX76" s="435"/>
      <c r="AY76" s="434">
        <f>SUM(AW77:AX77)</f>
        <v>7750</v>
      </c>
      <c r="AZ76" s="434">
        <f>AH77+AQ77+AU77+AV77+AY77</f>
        <v>11561393</v>
      </c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525">
        <f>BA77+BC77+BD77+BF77+BH77+BI77</f>
        <v>22.160000000000004</v>
      </c>
      <c r="BL76" s="525">
        <f>BB77+BE77+BG77+BJ77</f>
        <v>-0.52</v>
      </c>
      <c r="BM76" s="525">
        <f>SUM(BK77:BL77)</f>
        <v>21.639999999999997</v>
      </c>
      <c r="BN76" s="432">
        <f>BO77+BR77+BU77+BV77+BW77</f>
        <v>153766000</v>
      </c>
      <c r="BO76" s="432">
        <f>SUM(BP77:BQ77)</f>
        <v>112659649</v>
      </c>
      <c r="BP76" s="53"/>
      <c r="BQ76" s="53"/>
      <c r="BR76" s="86">
        <f>SUM(BS77:BT77)</f>
        <v>457037</v>
      </c>
      <c r="BS76" s="53"/>
      <c r="BT76" s="53"/>
      <c r="BU76" s="53"/>
      <c r="BV76" s="53"/>
      <c r="BW76" s="53"/>
      <c r="BX76" s="433">
        <f>SUM(BY77:BZ77)</f>
        <v>203.96990000000002</v>
      </c>
      <c r="BY76" s="87"/>
      <c r="BZ76" s="87"/>
      <c r="CA76" s="236">
        <f>SUM(CB77:CE77)</f>
        <v>380136</v>
      </c>
    </row>
    <row r="77" spans="1:84" ht="13.5" thickBot="1" x14ac:dyDescent="0.25">
      <c r="D77" s="9"/>
      <c r="E77" s="5"/>
      <c r="F77" s="9"/>
      <c r="G77" s="20"/>
      <c r="H77" s="486" t="s">
        <v>0</v>
      </c>
      <c r="I77" s="139">
        <f t="shared" ref="I77:BU77" si="199">SUM(I78:I87)</f>
        <v>142204607</v>
      </c>
      <c r="J77" s="34">
        <f t="shared" si="199"/>
        <v>104542344</v>
      </c>
      <c r="K77" s="34">
        <f t="shared" si="199"/>
        <v>90963435</v>
      </c>
      <c r="L77" s="34">
        <f t="shared" si="199"/>
        <v>13578909</v>
      </c>
      <c r="M77" s="34">
        <f t="shared" si="199"/>
        <v>0</v>
      </c>
      <c r="N77" s="34">
        <f t="shared" si="199"/>
        <v>0</v>
      </c>
      <c r="O77" s="34">
        <f t="shared" si="199"/>
        <v>0</v>
      </c>
      <c r="P77" s="34">
        <f t="shared" si="199"/>
        <v>35335313</v>
      </c>
      <c r="Q77" s="34">
        <f t="shared" si="199"/>
        <v>1045426</v>
      </c>
      <c r="R77" s="34">
        <f t="shared" si="199"/>
        <v>1281524</v>
      </c>
      <c r="S77" s="35">
        <f t="shared" si="199"/>
        <v>182.32990000000001</v>
      </c>
      <c r="T77" s="35">
        <f t="shared" si="199"/>
        <v>141.21979999999999</v>
      </c>
      <c r="U77" s="36">
        <f t="shared" si="199"/>
        <v>41.110100000000003</v>
      </c>
      <c r="V77" s="149">
        <f t="shared" si="199"/>
        <v>-259533</v>
      </c>
      <c r="W77" s="34">
        <f t="shared" si="199"/>
        <v>-197504</v>
      </c>
      <c r="X77" s="34">
        <f t="shared" si="199"/>
        <v>8170534</v>
      </c>
      <c r="Y77" s="34">
        <f t="shared" si="199"/>
        <v>0</v>
      </c>
      <c r="Z77" s="34">
        <f t="shared" si="199"/>
        <v>0</v>
      </c>
      <c r="AA77" s="34">
        <f t="shared" si="199"/>
        <v>121808</v>
      </c>
      <c r="AB77" s="768">
        <f t="shared" si="199"/>
        <v>282000</v>
      </c>
      <c r="AC77" s="34">
        <f t="shared" si="199"/>
        <v>0</v>
      </c>
      <c r="AD77" s="34">
        <f t="shared" si="199"/>
        <v>0</v>
      </c>
      <c r="AE77" s="34">
        <f t="shared" si="199"/>
        <v>0</v>
      </c>
      <c r="AF77" s="34">
        <f t="shared" si="199"/>
        <v>8314809</v>
      </c>
      <c r="AG77" s="34">
        <f t="shared" si="199"/>
        <v>-197504</v>
      </c>
      <c r="AH77" s="34">
        <f t="shared" si="199"/>
        <v>8117305</v>
      </c>
      <c r="AI77" s="34">
        <f t="shared" si="199"/>
        <v>259533</v>
      </c>
      <c r="AJ77" s="34">
        <f t="shared" si="199"/>
        <v>197504</v>
      </c>
      <c r="AK77" s="768">
        <f t="shared" ref="AK77" si="200">SUM(AK78:AK87)</f>
        <v>0</v>
      </c>
      <c r="AL77" s="34">
        <f t="shared" si="199"/>
        <v>0</v>
      </c>
      <c r="AM77" s="34">
        <f t="shared" si="199"/>
        <v>0</v>
      </c>
      <c r="AN77" s="34">
        <f t="shared" si="199"/>
        <v>0</v>
      </c>
      <c r="AO77" s="34">
        <f t="shared" si="199"/>
        <v>259533</v>
      </c>
      <c r="AP77" s="34">
        <f t="shared" si="199"/>
        <v>197504</v>
      </c>
      <c r="AQ77" s="34">
        <f t="shared" si="199"/>
        <v>457037</v>
      </c>
      <c r="AR77" s="34">
        <f t="shared" si="199"/>
        <v>8574342</v>
      </c>
      <c r="AS77" s="34">
        <f t="shared" si="199"/>
        <v>0</v>
      </c>
      <c r="AT77" s="34">
        <f t="shared" si="199"/>
        <v>8574342</v>
      </c>
      <c r="AU77" s="34">
        <f t="shared" si="199"/>
        <v>2898127</v>
      </c>
      <c r="AV77" s="34">
        <f t="shared" si="199"/>
        <v>81174</v>
      </c>
      <c r="AW77" s="34">
        <f t="shared" si="199"/>
        <v>7750</v>
      </c>
      <c r="AX77" s="34">
        <f t="shared" si="199"/>
        <v>0</v>
      </c>
      <c r="AY77" s="34">
        <f t="shared" si="199"/>
        <v>7750</v>
      </c>
      <c r="AZ77" s="34">
        <f t="shared" si="199"/>
        <v>11561393</v>
      </c>
      <c r="BA77" s="35">
        <f t="shared" si="199"/>
        <v>-0.32</v>
      </c>
      <c r="BB77" s="35">
        <f t="shared" si="199"/>
        <v>-0.52</v>
      </c>
      <c r="BC77" s="35">
        <f t="shared" si="199"/>
        <v>21.810000000000002</v>
      </c>
      <c r="BD77" s="35">
        <f t="shared" si="199"/>
        <v>0.5</v>
      </c>
      <c r="BE77" s="35">
        <f t="shared" si="199"/>
        <v>0</v>
      </c>
      <c r="BF77" s="35">
        <f t="shared" si="199"/>
        <v>0</v>
      </c>
      <c r="BG77" s="35">
        <f t="shared" si="199"/>
        <v>0</v>
      </c>
      <c r="BH77" s="35">
        <f t="shared" si="199"/>
        <v>0.17</v>
      </c>
      <c r="BI77" s="35">
        <f t="shared" si="199"/>
        <v>0</v>
      </c>
      <c r="BJ77" s="35">
        <f t="shared" si="199"/>
        <v>0</v>
      </c>
      <c r="BK77" s="35">
        <f t="shared" si="199"/>
        <v>22.159999999999997</v>
      </c>
      <c r="BL77" s="35">
        <f t="shared" si="199"/>
        <v>-0.52</v>
      </c>
      <c r="BM77" s="148">
        <f t="shared" si="199"/>
        <v>21.64</v>
      </c>
      <c r="BN77" s="139">
        <f t="shared" si="199"/>
        <v>153766000</v>
      </c>
      <c r="BO77" s="34">
        <f t="shared" si="199"/>
        <v>112659649</v>
      </c>
      <c r="BP77" s="34">
        <f t="shared" si="199"/>
        <v>99278244</v>
      </c>
      <c r="BQ77" s="34">
        <f t="shared" si="199"/>
        <v>13381405</v>
      </c>
      <c r="BR77" s="34">
        <f t="shared" si="199"/>
        <v>457037</v>
      </c>
      <c r="BS77" s="34">
        <f t="shared" si="199"/>
        <v>259533</v>
      </c>
      <c r="BT77" s="34">
        <f t="shared" si="199"/>
        <v>197504</v>
      </c>
      <c r="BU77" s="34">
        <f t="shared" si="199"/>
        <v>38233440</v>
      </c>
      <c r="BV77" s="34">
        <f t="shared" ref="BV77:BZ77" si="201">SUM(BV78:BV87)</f>
        <v>1126600</v>
      </c>
      <c r="BW77" s="34">
        <f t="shared" si="201"/>
        <v>1289274</v>
      </c>
      <c r="BX77" s="35">
        <f t="shared" si="201"/>
        <v>203.96989999999997</v>
      </c>
      <c r="BY77" s="35">
        <f t="shared" si="201"/>
        <v>163.37980000000002</v>
      </c>
      <c r="BZ77" s="148">
        <f t="shared" si="201"/>
        <v>40.5901</v>
      </c>
      <c r="CA77" s="779">
        <f t="shared" ref="CA77:CF77" si="202">SUM(CA78:CA87)</f>
        <v>380136</v>
      </c>
      <c r="CB77" s="768">
        <f t="shared" si="202"/>
        <v>282000</v>
      </c>
      <c r="CC77" s="768">
        <f t="shared" si="202"/>
        <v>0</v>
      </c>
      <c r="CD77" s="768">
        <f t="shared" si="202"/>
        <v>95316</v>
      </c>
      <c r="CE77" s="768">
        <f t="shared" si="202"/>
        <v>2820</v>
      </c>
      <c r="CF77" s="781">
        <f t="shared" si="202"/>
        <v>0.5</v>
      </c>
    </row>
    <row r="78" spans="1:84" x14ac:dyDescent="0.2">
      <c r="D78" s="9"/>
      <c r="E78" s="5"/>
      <c r="F78" s="9"/>
      <c r="G78" s="20"/>
      <c r="H78" s="485">
        <v>3111</v>
      </c>
      <c r="I78" s="503">
        <f t="shared" ref="I78:CA78" si="203">SUMIF($F$12:$F$463,"=3111",I$12:I$463)</f>
        <v>27836182</v>
      </c>
      <c r="J78" s="504">
        <f t="shared" si="203"/>
        <v>20571883</v>
      </c>
      <c r="K78" s="504">
        <f t="shared" si="203"/>
        <v>18755324</v>
      </c>
      <c r="L78" s="504">
        <f t="shared" si="203"/>
        <v>1816559</v>
      </c>
      <c r="M78" s="504">
        <f t="shared" si="203"/>
        <v>0</v>
      </c>
      <c r="N78" s="504">
        <f t="shared" si="203"/>
        <v>0</v>
      </c>
      <c r="O78" s="504">
        <f t="shared" si="203"/>
        <v>0</v>
      </c>
      <c r="P78" s="504">
        <f t="shared" si="203"/>
        <v>6953297</v>
      </c>
      <c r="Q78" s="504">
        <f t="shared" si="203"/>
        <v>205720</v>
      </c>
      <c r="R78" s="504">
        <f t="shared" si="203"/>
        <v>105282</v>
      </c>
      <c r="S78" s="507">
        <f t="shared" si="203"/>
        <v>38.305700000000002</v>
      </c>
      <c r="T78" s="507">
        <f t="shared" si="203"/>
        <v>32.091899999999995</v>
      </c>
      <c r="U78" s="510">
        <f t="shared" si="203"/>
        <v>6.2138000000000009</v>
      </c>
      <c r="V78" s="505">
        <f t="shared" si="203"/>
        <v>-51200</v>
      </c>
      <c r="W78" s="504">
        <f t="shared" si="203"/>
        <v>-14080</v>
      </c>
      <c r="X78" s="504">
        <f t="shared" si="203"/>
        <v>2688309</v>
      </c>
      <c r="Y78" s="504">
        <f t="shared" si="203"/>
        <v>0</v>
      </c>
      <c r="Z78" s="504">
        <f t="shared" si="203"/>
        <v>0</v>
      </c>
      <c r="AA78" s="504">
        <f t="shared" si="203"/>
        <v>0</v>
      </c>
      <c r="AB78" s="504">
        <f t="shared" si="203"/>
        <v>0</v>
      </c>
      <c r="AC78" s="504">
        <f t="shared" si="203"/>
        <v>0</v>
      </c>
      <c r="AD78" s="504">
        <f t="shared" si="203"/>
        <v>0</v>
      </c>
      <c r="AE78" s="504">
        <f t="shared" si="203"/>
        <v>0</v>
      </c>
      <c r="AF78" s="504">
        <f t="shared" si="203"/>
        <v>2637109</v>
      </c>
      <c r="AG78" s="504">
        <f t="shared" si="203"/>
        <v>-14080</v>
      </c>
      <c r="AH78" s="504">
        <f t="shared" si="203"/>
        <v>2623029</v>
      </c>
      <c r="AI78" s="504">
        <f t="shared" si="203"/>
        <v>51200</v>
      </c>
      <c r="AJ78" s="504">
        <f t="shared" si="203"/>
        <v>14080</v>
      </c>
      <c r="AK78" s="504">
        <f t="shared" si="203"/>
        <v>0</v>
      </c>
      <c r="AL78" s="504">
        <f t="shared" si="203"/>
        <v>0</v>
      </c>
      <c r="AM78" s="504">
        <f t="shared" si="203"/>
        <v>0</v>
      </c>
      <c r="AN78" s="504">
        <f t="shared" si="203"/>
        <v>0</v>
      </c>
      <c r="AO78" s="504">
        <f t="shared" si="203"/>
        <v>51200</v>
      </c>
      <c r="AP78" s="504">
        <f t="shared" si="203"/>
        <v>14080</v>
      </c>
      <c r="AQ78" s="504">
        <f t="shared" si="203"/>
        <v>65280</v>
      </c>
      <c r="AR78" s="504">
        <f t="shared" si="203"/>
        <v>2688309</v>
      </c>
      <c r="AS78" s="504">
        <f t="shared" si="203"/>
        <v>0</v>
      </c>
      <c r="AT78" s="504">
        <f t="shared" si="203"/>
        <v>2688309</v>
      </c>
      <c r="AU78" s="504">
        <f t="shared" si="203"/>
        <v>908648</v>
      </c>
      <c r="AV78" s="504">
        <f t="shared" si="203"/>
        <v>26230</v>
      </c>
      <c r="AW78" s="504">
        <f t="shared" si="203"/>
        <v>0</v>
      </c>
      <c r="AX78" s="504">
        <f t="shared" si="203"/>
        <v>0</v>
      </c>
      <c r="AY78" s="504">
        <f t="shared" si="203"/>
        <v>0</v>
      </c>
      <c r="AZ78" s="504">
        <f t="shared" si="203"/>
        <v>3623187</v>
      </c>
      <c r="BA78" s="507">
        <f t="shared" si="203"/>
        <v>-0.01</v>
      </c>
      <c r="BB78" s="507">
        <f t="shared" si="203"/>
        <v>-0.02</v>
      </c>
      <c r="BC78" s="507">
        <f t="shared" si="203"/>
        <v>7.25</v>
      </c>
      <c r="BD78" s="507">
        <f t="shared" si="203"/>
        <v>0</v>
      </c>
      <c r="BE78" s="507">
        <f t="shared" si="203"/>
        <v>0</v>
      </c>
      <c r="BF78" s="507">
        <f t="shared" si="203"/>
        <v>0</v>
      </c>
      <c r="BG78" s="507">
        <f t="shared" si="203"/>
        <v>0</v>
      </c>
      <c r="BH78" s="507">
        <f t="shared" si="203"/>
        <v>0</v>
      </c>
      <c r="BI78" s="507">
        <f t="shared" si="203"/>
        <v>0</v>
      </c>
      <c r="BJ78" s="507">
        <f t="shared" si="203"/>
        <v>0</v>
      </c>
      <c r="BK78" s="507">
        <f t="shared" si="203"/>
        <v>7.24</v>
      </c>
      <c r="BL78" s="507">
        <f t="shared" si="203"/>
        <v>-0.02</v>
      </c>
      <c r="BM78" s="508">
        <f t="shared" si="203"/>
        <v>7.2200000000000006</v>
      </c>
      <c r="BN78" s="503">
        <f t="shared" si="203"/>
        <v>31459369</v>
      </c>
      <c r="BO78" s="504">
        <f t="shared" si="203"/>
        <v>23194912</v>
      </c>
      <c r="BP78" s="504">
        <f t="shared" si="203"/>
        <v>21392433</v>
      </c>
      <c r="BQ78" s="504">
        <f t="shared" si="203"/>
        <v>1802479</v>
      </c>
      <c r="BR78" s="504">
        <f t="shared" si="203"/>
        <v>65280</v>
      </c>
      <c r="BS78" s="504">
        <f t="shared" si="203"/>
        <v>51200</v>
      </c>
      <c r="BT78" s="504">
        <f t="shared" si="203"/>
        <v>14080</v>
      </c>
      <c r="BU78" s="504">
        <f t="shared" si="203"/>
        <v>7861945</v>
      </c>
      <c r="BV78" s="504">
        <f t="shared" si="203"/>
        <v>231950</v>
      </c>
      <c r="BW78" s="504">
        <f t="shared" si="203"/>
        <v>105282</v>
      </c>
      <c r="BX78" s="507">
        <f t="shared" si="203"/>
        <v>45.525700000000001</v>
      </c>
      <c r="BY78" s="507">
        <f t="shared" si="203"/>
        <v>39.331899999999997</v>
      </c>
      <c r="BZ78" s="508">
        <f t="shared" si="203"/>
        <v>6.1938000000000004</v>
      </c>
      <c r="CA78" s="503">
        <f t="shared" si="203"/>
        <v>0</v>
      </c>
      <c r="CB78" s="504">
        <f t="shared" ref="CB78:CF78" si="204">SUMIF($F$12:$F$463,"=3111",CB$12:CB$463)</f>
        <v>0</v>
      </c>
      <c r="CC78" s="504">
        <f t="shared" si="204"/>
        <v>0</v>
      </c>
      <c r="CD78" s="504">
        <f t="shared" si="204"/>
        <v>0</v>
      </c>
      <c r="CE78" s="504">
        <f t="shared" si="204"/>
        <v>0</v>
      </c>
      <c r="CF78" s="510">
        <f t="shared" si="204"/>
        <v>0</v>
      </c>
    </row>
    <row r="79" spans="1:84" x14ac:dyDescent="0.2">
      <c r="D79" s="9"/>
      <c r="E79" s="5"/>
      <c r="F79" s="9"/>
      <c r="G79" s="20"/>
      <c r="H79" s="19">
        <v>3113</v>
      </c>
      <c r="I79" s="167">
        <f t="shared" ref="I79:CA79" si="205">SUMIF($F$12:$F$463,"=3113",I$12:I$463)</f>
        <v>76757972</v>
      </c>
      <c r="J79" s="16">
        <f t="shared" si="205"/>
        <v>56200720</v>
      </c>
      <c r="K79" s="16">
        <f t="shared" si="205"/>
        <v>51887880</v>
      </c>
      <c r="L79" s="16">
        <f t="shared" si="205"/>
        <v>4312840</v>
      </c>
      <c r="M79" s="16">
        <f t="shared" si="205"/>
        <v>0</v>
      </c>
      <c r="N79" s="16">
        <f t="shared" si="205"/>
        <v>0</v>
      </c>
      <c r="O79" s="16">
        <f t="shared" si="205"/>
        <v>0</v>
      </c>
      <c r="P79" s="16">
        <f t="shared" si="205"/>
        <v>18995844</v>
      </c>
      <c r="Q79" s="16">
        <f t="shared" si="205"/>
        <v>562009</v>
      </c>
      <c r="R79" s="16">
        <f t="shared" si="205"/>
        <v>999399</v>
      </c>
      <c r="S79" s="13">
        <f t="shared" si="205"/>
        <v>86.659299999999988</v>
      </c>
      <c r="T79" s="13">
        <f t="shared" si="205"/>
        <v>74.113900000000001</v>
      </c>
      <c r="U79" s="17">
        <f t="shared" si="205"/>
        <v>12.545400000000001</v>
      </c>
      <c r="V79" s="168">
        <f t="shared" si="205"/>
        <v>-60800</v>
      </c>
      <c r="W79" s="16">
        <f t="shared" si="205"/>
        <v>-89600</v>
      </c>
      <c r="X79" s="16">
        <f t="shared" si="205"/>
        <v>4874518</v>
      </c>
      <c r="Y79" s="16">
        <f t="shared" si="205"/>
        <v>0</v>
      </c>
      <c r="Z79" s="16">
        <f t="shared" si="205"/>
        <v>0</v>
      </c>
      <c r="AA79" s="16">
        <f t="shared" si="205"/>
        <v>121808</v>
      </c>
      <c r="AB79" s="16">
        <f t="shared" si="205"/>
        <v>282000</v>
      </c>
      <c r="AC79" s="16">
        <f t="shared" si="205"/>
        <v>0</v>
      </c>
      <c r="AD79" s="16">
        <f t="shared" si="205"/>
        <v>0</v>
      </c>
      <c r="AE79" s="16">
        <f t="shared" si="205"/>
        <v>0</v>
      </c>
      <c r="AF79" s="16">
        <f t="shared" si="205"/>
        <v>5217526</v>
      </c>
      <c r="AG79" s="16">
        <f t="shared" si="205"/>
        <v>-89600</v>
      </c>
      <c r="AH79" s="16">
        <f t="shared" si="205"/>
        <v>5127926</v>
      </c>
      <c r="AI79" s="16">
        <f t="shared" si="205"/>
        <v>60800</v>
      </c>
      <c r="AJ79" s="16">
        <f t="shared" si="205"/>
        <v>89600</v>
      </c>
      <c r="AK79" s="16">
        <f t="shared" si="205"/>
        <v>0</v>
      </c>
      <c r="AL79" s="16">
        <f t="shared" si="205"/>
        <v>0</v>
      </c>
      <c r="AM79" s="16">
        <f t="shared" si="205"/>
        <v>0</v>
      </c>
      <c r="AN79" s="16">
        <f t="shared" si="205"/>
        <v>0</v>
      </c>
      <c r="AO79" s="16">
        <f t="shared" si="205"/>
        <v>60800</v>
      </c>
      <c r="AP79" s="16">
        <f t="shared" si="205"/>
        <v>89600</v>
      </c>
      <c r="AQ79" s="16">
        <f t="shared" si="205"/>
        <v>150400</v>
      </c>
      <c r="AR79" s="16">
        <f t="shared" si="205"/>
        <v>5278326</v>
      </c>
      <c r="AS79" s="16">
        <f t="shared" si="205"/>
        <v>0</v>
      </c>
      <c r="AT79" s="16">
        <f t="shared" si="205"/>
        <v>5278326</v>
      </c>
      <c r="AU79" s="16">
        <f t="shared" si="205"/>
        <v>1784074</v>
      </c>
      <c r="AV79" s="16">
        <f t="shared" si="205"/>
        <v>51280</v>
      </c>
      <c r="AW79" s="16">
        <f t="shared" si="205"/>
        <v>5250</v>
      </c>
      <c r="AX79" s="16">
        <f t="shared" si="205"/>
        <v>0</v>
      </c>
      <c r="AY79" s="16">
        <f t="shared" si="205"/>
        <v>5250</v>
      </c>
      <c r="AZ79" s="16">
        <f t="shared" si="205"/>
        <v>7118930</v>
      </c>
      <c r="BA79" s="13">
        <f t="shared" si="205"/>
        <v>-0.11000000000000001</v>
      </c>
      <c r="BB79" s="13">
        <f t="shared" si="205"/>
        <v>-0.32</v>
      </c>
      <c r="BC79" s="13">
        <f t="shared" si="205"/>
        <v>12.920000000000002</v>
      </c>
      <c r="BD79" s="13">
        <f t="shared" si="205"/>
        <v>0.5</v>
      </c>
      <c r="BE79" s="13">
        <f t="shared" si="205"/>
        <v>0</v>
      </c>
      <c r="BF79" s="13">
        <f t="shared" si="205"/>
        <v>0</v>
      </c>
      <c r="BG79" s="13">
        <f t="shared" si="205"/>
        <v>0</v>
      </c>
      <c r="BH79" s="13">
        <f t="shared" si="205"/>
        <v>0.17</v>
      </c>
      <c r="BI79" s="13">
        <f t="shared" si="205"/>
        <v>0</v>
      </c>
      <c r="BJ79" s="13">
        <f t="shared" si="205"/>
        <v>0</v>
      </c>
      <c r="BK79" s="13">
        <f t="shared" si="205"/>
        <v>13.48</v>
      </c>
      <c r="BL79" s="13">
        <f t="shared" si="205"/>
        <v>-0.32</v>
      </c>
      <c r="BM79" s="169">
        <f t="shared" si="205"/>
        <v>13.16</v>
      </c>
      <c r="BN79" s="167">
        <f t="shared" si="205"/>
        <v>83876902</v>
      </c>
      <c r="BO79" s="16">
        <f t="shared" si="205"/>
        <v>61328646</v>
      </c>
      <c r="BP79" s="16">
        <f t="shared" si="205"/>
        <v>57105406</v>
      </c>
      <c r="BQ79" s="16">
        <f t="shared" si="205"/>
        <v>4223240</v>
      </c>
      <c r="BR79" s="16">
        <f t="shared" si="205"/>
        <v>150400</v>
      </c>
      <c r="BS79" s="16">
        <f t="shared" si="205"/>
        <v>60800</v>
      </c>
      <c r="BT79" s="16">
        <f t="shared" si="205"/>
        <v>89600</v>
      </c>
      <c r="BU79" s="16">
        <f t="shared" si="205"/>
        <v>20779918</v>
      </c>
      <c r="BV79" s="16">
        <f t="shared" si="205"/>
        <v>613289</v>
      </c>
      <c r="BW79" s="16">
        <f t="shared" si="205"/>
        <v>1004649</v>
      </c>
      <c r="BX79" s="13">
        <f t="shared" si="205"/>
        <v>99.819299999999984</v>
      </c>
      <c r="BY79" s="13">
        <f t="shared" si="205"/>
        <v>87.593900000000005</v>
      </c>
      <c r="BZ79" s="169">
        <f t="shared" si="205"/>
        <v>12.2254</v>
      </c>
      <c r="CA79" s="167">
        <f t="shared" si="205"/>
        <v>380136</v>
      </c>
      <c r="CB79" s="16">
        <f t="shared" ref="CB79:CF79" si="206">SUMIF($F$12:$F$463,"=3113",CB$12:CB$463)</f>
        <v>282000</v>
      </c>
      <c r="CC79" s="16">
        <f t="shared" si="206"/>
        <v>0</v>
      </c>
      <c r="CD79" s="16">
        <f t="shared" si="206"/>
        <v>95316</v>
      </c>
      <c r="CE79" s="16">
        <f t="shared" si="206"/>
        <v>2820</v>
      </c>
      <c r="CF79" s="17">
        <f t="shared" si="206"/>
        <v>0.5</v>
      </c>
    </row>
    <row r="80" spans="1:84" x14ac:dyDescent="0.2">
      <c r="D80" s="9"/>
      <c r="E80" s="5"/>
      <c r="F80" s="9"/>
      <c r="G80" s="20"/>
      <c r="H80" s="19">
        <v>3114</v>
      </c>
      <c r="I80" s="167">
        <f t="shared" ref="I80:CA80" si="207">SUMIF($F$12:$F$463,"=3114",I$12:I$463)</f>
        <v>0</v>
      </c>
      <c r="J80" s="16">
        <f t="shared" si="207"/>
        <v>0</v>
      </c>
      <c r="K80" s="16">
        <f t="shared" si="207"/>
        <v>0</v>
      </c>
      <c r="L80" s="16">
        <f t="shared" si="207"/>
        <v>0</v>
      </c>
      <c r="M80" s="16">
        <f t="shared" si="207"/>
        <v>0</v>
      </c>
      <c r="N80" s="16">
        <f t="shared" si="207"/>
        <v>0</v>
      </c>
      <c r="O80" s="16">
        <f t="shared" si="207"/>
        <v>0</v>
      </c>
      <c r="P80" s="16">
        <f t="shared" si="207"/>
        <v>0</v>
      </c>
      <c r="Q80" s="16">
        <f t="shared" si="207"/>
        <v>0</v>
      </c>
      <c r="R80" s="16">
        <f t="shared" si="207"/>
        <v>0</v>
      </c>
      <c r="S80" s="13">
        <f t="shared" si="207"/>
        <v>0</v>
      </c>
      <c r="T80" s="13">
        <f t="shared" si="207"/>
        <v>0</v>
      </c>
      <c r="U80" s="17">
        <f t="shared" si="207"/>
        <v>0</v>
      </c>
      <c r="V80" s="168">
        <f t="shared" si="207"/>
        <v>0</v>
      </c>
      <c r="W80" s="16">
        <f t="shared" si="207"/>
        <v>0</v>
      </c>
      <c r="X80" s="16">
        <f t="shared" si="207"/>
        <v>0</v>
      </c>
      <c r="Y80" s="16">
        <f t="shared" si="207"/>
        <v>0</v>
      </c>
      <c r="Z80" s="16">
        <f t="shared" si="207"/>
        <v>0</v>
      </c>
      <c r="AA80" s="16">
        <f t="shared" si="207"/>
        <v>0</v>
      </c>
      <c r="AB80" s="16">
        <f t="shared" si="207"/>
        <v>0</v>
      </c>
      <c r="AC80" s="16">
        <f t="shared" si="207"/>
        <v>0</v>
      </c>
      <c r="AD80" s="16">
        <f t="shared" si="207"/>
        <v>0</v>
      </c>
      <c r="AE80" s="16">
        <f t="shared" si="207"/>
        <v>0</v>
      </c>
      <c r="AF80" s="16">
        <f t="shared" si="207"/>
        <v>0</v>
      </c>
      <c r="AG80" s="16">
        <f t="shared" si="207"/>
        <v>0</v>
      </c>
      <c r="AH80" s="16">
        <f t="shared" si="207"/>
        <v>0</v>
      </c>
      <c r="AI80" s="16">
        <f t="shared" si="207"/>
        <v>0</v>
      </c>
      <c r="AJ80" s="16">
        <f t="shared" si="207"/>
        <v>0</v>
      </c>
      <c r="AK80" s="16">
        <f t="shared" si="207"/>
        <v>0</v>
      </c>
      <c r="AL80" s="16">
        <f t="shared" si="207"/>
        <v>0</v>
      </c>
      <c r="AM80" s="16">
        <f t="shared" si="207"/>
        <v>0</v>
      </c>
      <c r="AN80" s="16">
        <f t="shared" si="207"/>
        <v>0</v>
      </c>
      <c r="AO80" s="16">
        <f t="shared" si="207"/>
        <v>0</v>
      </c>
      <c r="AP80" s="16">
        <f t="shared" si="207"/>
        <v>0</v>
      </c>
      <c r="AQ80" s="16">
        <f t="shared" si="207"/>
        <v>0</v>
      </c>
      <c r="AR80" s="16">
        <f t="shared" si="207"/>
        <v>0</v>
      </c>
      <c r="AS80" s="16">
        <f t="shared" si="207"/>
        <v>0</v>
      </c>
      <c r="AT80" s="16">
        <f t="shared" si="207"/>
        <v>0</v>
      </c>
      <c r="AU80" s="16">
        <f t="shared" si="207"/>
        <v>0</v>
      </c>
      <c r="AV80" s="16">
        <f t="shared" si="207"/>
        <v>0</v>
      </c>
      <c r="AW80" s="16">
        <f t="shared" si="207"/>
        <v>0</v>
      </c>
      <c r="AX80" s="16">
        <f t="shared" si="207"/>
        <v>0</v>
      </c>
      <c r="AY80" s="16">
        <f t="shared" si="207"/>
        <v>0</v>
      </c>
      <c r="AZ80" s="16">
        <f t="shared" si="207"/>
        <v>0</v>
      </c>
      <c r="BA80" s="13">
        <f t="shared" si="207"/>
        <v>0</v>
      </c>
      <c r="BB80" s="13">
        <f t="shared" si="207"/>
        <v>0</v>
      </c>
      <c r="BC80" s="13">
        <f t="shared" si="207"/>
        <v>0</v>
      </c>
      <c r="BD80" s="13">
        <f t="shared" si="207"/>
        <v>0</v>
      </c>
      <c r="BE80" s="13">
        <f t="shared" si="207"/>
        <v>0</v>
      </c>
      <c r="BF80" s="13">
        <f t="shared" si="207"/>
        <v>0</v>
      </c>
      <c r="BG80" s="13">
        <f t="shared" si="207"/>
        <v>0</v>
      </c>
      <c r="BH80" s="13">
        <f t="shared" si="207"/>
        <v>0</v>
      </c>
      <c r="BI80" s="13">
        <f t="shared" si="207"/>
        <v>0</v>
      </c>
      <c r="BJ80" s="13">
        <f t="shared" si="207"/>
        <v>0</v>
      </c>
      <c r="BK80" s="13">
        <f t="shared" si="207"/>
        <v>0</v>
      </c>
      <c r="BL80" s="13">
        <f t="shared" si="207"/>
        <v>0</v>
      </c>
      <c r="BM80" s="169">
        <f t="shared" si="207"/>
        <v>0</v>
      </c>
      <c r="BN80" s="167">
        <f t="shared" si="207"/>
        <v>0</v>
      </c>
      <c r="BO80" s="16">
        <f t="shared" si="207"/>
        <v>0</v>
      </c>
      <c r="BP80" s="16">
        <f t="shared" si="207"/>
        <v>0</v>
      </c>
      <c r="BQ80" s="16">
        <f t="shared" si="207"/>
        <v>0</v>
      </c>
      <c r="BR80" s="16">
        <f t="shared" si="207"/>
        <v>0</v>
      </c>
      <c r="BS80" s="16">
        <f t="shared" si="207"/>
        <v>0</v>
      </c>
      <c r="BT80" s="16">
        <f t="shared" si="207"/>
        <v>0</v>
      </c>
      <c r="BU80" s="16">
        <f t="shared" si="207"/>
        <v>0</v>
      </c>
      <c r="BV80" s="16">
        <f t="shared" si="207"/>
        <v>0</v>
      </c>
      <c r="BW80" s="16">
        <f t="shared" si="207"/>
        <v>0</v>
      </c>
      <c r="BX80" s="13">
        <f t="shared" si="207"/>
        <v>0</v>
      </c>
      <c r="BY80" s="13">
        <f t="shared" si="207"/>
        <v>0</v>
      </c>
      <c r="BZ80" s="169">
        <f t="shared" si="207"/>
        <v>0</v>
      </c>
      <c r="CA80" s="167">
        <f t="shared" si="207"/>
        <v>0</v>
      </c>
      <c r="CB80" s="16">
        <f t="shared" ref="CB80:CF80" si="208">SUMIF($F$12:$F$463,"=3114",CB$12:CB$463)</f>
        <v>0</v>
      </c>
      <c r="CC80" s="16">
        <f t="shared" si="208"/>
        <v>0</v>
      </c>
      <c r="CD80" s="16">
        <f t="shared" si="208"/>
        <v>0</v>
      </c>
      <c r="CE80" s="16">
        <f t="shared" si="208"/>
        <v>0</v>
      </c>
      <c r="CF80" s="17">
        <f t="shared" si="208"/>
        <v>0</v>
      </c>
    </row>
    <row r="81" spans="4:84" x14ac:dyDescent="0.2">
      <c r="D81" s="9"/>
      <c r="E81" s="5"/>
      <c r="F81" s="9"/>
      <c r="G81" s="20"/>
      <c r="H81" s="19">
        <v>3117</v>
      </c>
      <c r="I81" s="167">
        <f t="shared" ref="I81:CA81" si="209">SUMIF($F$12:$F$463,"=3117",I$12:I$463)</f>
        <v>6980911</v>
      </c>
      <c r="J81" s="16">
        <f t="shared" si="209"/>
        <v>5100172</v>
      </c>
      <c r="K81" s="16">
        <f t="shared" si="209"/>
        <v>4557833</v>
      </c>
      <c r="L81" s="16">
        <f t="shared" si="209"/>
        <v>542339</v>
      </c>
      <c r="M81" s="16">
        <f t="shared" si="209"/>
        <v>0</v>
      </c>
      <c r="N81" s="16">
        <f t="shared" si="209"/>
        <v>0</v>
      </c>
      <c r="O81" s="16">
        <f t="shared" si="209"/>
        <v>0</v>
      </c>
      <c r="P81" s="16">
        <f t="shared" si="209"/>
        <v>1723858</v>
      </c>
      <c r="Q81" s="16">
        <f t="shared" si="209"/>
        <v>51002</v>
      </c>
      <c r="R81" s="16">
        <f t="shared" si="209"/>
        <v>105879</v>
      </c>
      <c r="S81" s="13">
        <f t="shared" si="209"/>
        <v>8.4733000000000001</v>
      </c>
      <c r="T81" s="13">
        <f t="shared" si="209"/>
        <v>6.94</v>
      </c>
      <c r="U81" s="17">
        <f t="shared" si="209"/>
        <v>1.5332999999999999</v>
      </c>
      <c r="V81" s="168">
        <f t="shared" si="209"/>
        <v>-6093</v>
      </c>
      <c r="W81" s="16">
        <f t="shared" si="209"/>
        <v>-9600</v>
      </c>
      <c r="X81" s="16">
        <f t="shared" si="209"/>
        <v>607707</v>
      </c>
      <c r="Y81" s="16">
        <f t="shared" si="209"/>
        <v>0</v>
      </c>
      <c r="Z81" s="16">
        <f t="shared" si="209"/>
        <v>0</v>
      </c>
      <c r="AA81" s="16">
        <f t="shared" si="209"/>
        <v>0</v>
      </c>
      <c r="AB81" s="16">
        <f t="shared" si="209"/>
        <v>0</v>
      </c>
      <c r="AC81" s="16">
        <f t="shared" si="209"/>
        <v>0</v>
      </c>
      <c r="AD81" s="16">
        <f t="shared" si="209"/>
        <v>0</v>
      </c>
      <c r="AE81" s="16">
        <f t="shared" si="209"/>
        <v>0</v>
      </c>
      <c r="AF81" s="16">
        <f t="shared" si="209"/>
        <v>601614</v>
      </c>
      <c r="AG81" s="16">
        <f t="shared" si="209"/>
        <v>-9600</v>
      </c>
      <c r="AH81" s="16">
        <f t="shared" si="209"/>
        <v>592014</v>
      </c>
      <c r="AI81" s="16">
        <f t="shared" si="209"/>
        <v>6093</v>
      </c>
      <c r="AJ81" s="16">
        <f t="shared" si="209"/>
        <v>9600</v>
      </c>
      <c r="AK81" s="16">
        <f t="shared" si="209"/>
        <v>0</v>
      </c>
      <c r="AL81" s="16">
        <f t="shared" si="209"/>
        <v>0</v>
      </c>
      <c r="AM81" s="16">
        <f t="shared" si="209"/>
        <v>0</v>
      </c>
      <c r="AN81" s="16">
        <f t="shared" si="209"/>
        <v>0</v>
      </c>
      <c r="AO81" s="16">
        <f t="shared" si="209"/>
        <v>6093</v>
      </c>
      <c r="AP81" s="16">
        <f t="shared" si="209"/>
        <v>9600</v>
      </c>
      <c r="AQ81" s="16">
        <f t="shared" si="209"/>
        <v>15693</v>
      </c>
      <c r="AR81" s="16">
        <f t="shared" si="209"/>
        <v>607707</v>
      </c>
      <c r="AS81" s="16">
        <f t="shared" si="209"/>
        <v>0</v>
      </c>
      <c r="AT81" s="16">
        <f t="shared" si="209"/>
        <v>607707</v>
      </c>
      <c r="AU81" s="16">
        <f t="shared" si="209"/>
        <v>205405</v>
      </c>
      <c r="AV81" s="16">
        <f t="shared" si="209"/>
        <v>5920</v>
      </c>
      <c r="AW81" s="16">
        <f t="shared" si="209"/>
        <v>2500</v>
      </c>
      <c r="AX81" s="16">
        <f t="shared" si="209"/>
        <v>0</v>
      </c>
      <c r="AY81" s="16">
        <f t="shared" si="209"/>
        <v>2500</v>
      </c>
      <c r="AZ81" s="16">
        <f t="shared" si="209"/>
        <v>821532</v>
      </c>
      <c r="BA81" s="13">
        <f t="shared" si="209"/>
        <v>-0.01</v>
      </c>
      <c r="BB81" s="13">
        <f t="shared" si="209"/>
        <v>0</v>
      </c>
      <c r="BC81" s="13">
        <f t="shared" si="209"/>
        <v>1.6400000000000001</v>
      </c>
      <c r="BD81" s="13">
        <f t="shared" si="209"/>
        <v>0</v>
      </c>
      <c r="BE81" s="13">
        <f t="shared" si="209"/>
        <v>0</v>
      </c>
      <c r="BF81" s="13">
        <f t="shared" si="209"/>
        <v>0</v>
      </c>
      <c r="BG81" s="13">
        <f t="shared" si="209"/>
        <v>0</v>
      </c>
      <c r="BH81" s="13">
        <f t="shared" si="209"/>
        <v>0</v>
      </c>
      <c r="BI81" s="13">
        <f t="shared" si="209"/>
        <v>0</v>
      </c>
      <c r="BJ81" s="13">
        <f t="shared" si="209"/>
        <v>0</v>
      </c>
      <c r="BK81" s="13">
        <f t="shared" si="209"/>
        <v>1.63</v>
      </c>
      <c r="BL81" s="13">
        <f t="shared" si="209"/>
        <v>0</v>
      </c>
      <c r="BM81" s="169">
        <f t="shared" si="209"/>
        <v>1.63</v>
      </c>
      <c r="BN81" s="167">
        <f t="shared" si="209"/>
        <v>7802443</v>
      </c>
      <c r="BO81" s="16">
        <f t="shared" si="209"/>
        <v>5692186</v>
      </c>
      <c r="BP81" s="16">
        <f t="shared" si="209"/>
        <v>5159447</v>
      </c>
      <c r="BQ81" s="16">
        <f t="shared" si="209"/>
        <v>532739</v>
      </c>
      <c r="BR81" s="16">
        <f t="shared" si="209"/>
        <v>15693</v>
      </c>
      <c r="BS81" s="16">
        <f t="shared" si="209"/>
        <v>6093</v>
      </c>
      <c r="BT81" s="16">
        <f t="shared" si="209"/>
        <v>9600</v>
      </c>
      <c r="BU81" s="16">
        <f t="shared" si="209"/>
        <v>1929263</v>
      </c>
      <c r="BV81" s="16">
        <f t="shared" si="209"/>
        <v>56922</v>
      </c>
      <c r="BW81" s="16">
        <f t="shared" si="209"/>
        <v>108379</v>
      </c>
      <c r="BX81" s="13">
        <f t="shared" si="209"/>
        <v>10.103300000000001</v>
      </c>
      <c r="BY81" s="13">
        <f t="shared" si="209"/>
        <v>8.57</v>
      </c>
      <c r="BZ81" s="169">
        <f t="shared" si="209"/>
        <v>1.5332999999999999</v>
      </c>
      <c r="CA81" s="167">
        <f t="shared" si="209"/>
        <v>0</v>
      </c>
      <c r="CB81" s="16">
        <f t="shared" ref="CB81:CF81" si="210">SUMIF($F$12:$F$463,"=3117",CB$12:CB$463)</f>
        <v>0</v>
      </c>
      <c r="CC81" s="16">
        <f t="shared" si="210"/>
        <v>0</v>
      </c>
      <c r="CD81" s="16">
        <f t="shared" si="210"/>
        <v>0</v>
      </c>
      <c r="CE81" s="16">
        <f t="shared" si="210"/>
        <v>0</v>
      </c>
      <c r="CF81" s="17">
        <f t="shared" si="210"/>
        <v>0</v>
      </c>
    </row>
    <row r="82" spans="4:84" x14ac:dyDescent="0.2">
      <c r="D82" s="9"/>
      <c r="E82" s="5"/>
      <c r="F82" s="9"/>
      <c r="G82" s="20"/>
      <c r="H82" s="19">
        <v>3122</v>
      </c>
      <c r="I82" s="167">
        <f t="shared" ref="I82:CA82" si="211">SUMIF($F$12:$F$463,"=3122",I$12:I$463)</f>
        <v>0</v>
      </c>
      <c r="J82" s="16">
        <f t="shared" si="211"/>
        <v>0</v>
      </c>
      <c r="K82" s="16">
        <f t="shared" si="211"/>
        <v>0</v>
      </c>
      <c r="L82" s="16">
        <f t="shared" si="211"/>
        <v>0</v>
      </c>
      <c r="M82" s="16">
        <f t="shared" si="211"/>
        <v>0</v>
      </c>
      <c r="N82" s="16">
        <f t="shared" si="211"/>
        <v>0</v>
      </c>
      <c r="O82" s="16">
        <f t="shared" si="211"/>
        <v>0</v>
      </c>
      <c r="P82" s="16">
        <f t="shared" si="211"/>
        <v>0</v>
      </c>
      <c r="Q82" s="16">
        <f t="shared" si="211"/>
        <v>0</v>
      </c>
      <c r="R82" s="16">
        <f t="shared" si="211"/>
        <v>0</v>
      </c>
      <c r="S82" s="13">
        <f t="shared" si="211"/>
        <v>0</v>
      </c>
      <c r="T82" s="13">
        <f t="shared" si="211"/>
        <v>0</v>
      </c>
      <c r="U82" s="17">
        <f t="shared" si="211"/>
        <v>0</v>
      </c>
      <c r="V82" s="168">
        <f t="shared" si="211"/>
        <v>0</v>
      </c>
      <c r="W82" s="16">
        <f t="shared" si="211"/>
        <v>0</v>
      </c>
      <c r="X82" s="16">
        <f t="shared" si="211"/>
        <v>0</v>
      </c>
      <c r="Y82" s="16">
        <f t="shared" si="211"/>
        <v>0</v>
      </c>
      <c r="Z82" s="16">
        <f t="shared" si="211"/>
        <v>0</v>
      </c>
      <c r="AA82" s="16">
        <f t="shared" si="211"/>
        <v>0</v>
      </c>
      <c r="AB82" s="16">
        <f t="shared" si="211"/>
        <v>0</v>
      </c>
      <c r="AC82" s="16">
        <f t="shared" si="211"/>
        <v>0</v>
      </c>
      <c r="AD82" s="16">
        <f t="shared" si="211"/>
        <v>0</v>
      </c>
      <c r="AE82" s="16">
        <f t="shared" si="211"/>
        <v>0</v>
      </c>
      <c r="AF82" s="16">
        <f t="shared" si="211"/>
        <v>0</v>
      </c>
      <c r="AG82" s="16">
        <f t="shared" si="211"/>
        <v>0</v>
      </c>
      <c r="AH82" s="16">
        <f t="shared" si="211"/>
        <v>0</v>
      </c>
      <c r="AI82" s="16">
        <f t="shared" si="211"/>
        <v>0</v>
      </c>
      <c r="AJ82" s="16">
        <f t="shared" si="211"/>
        <v>0</v>
      </c>
      <c r="AK82" s="16">
        <f t="shared" si="211"/>
        <v>0</v>
      </c>
      <c r="AL82" s="16">
        <f t="shared" si="211"/>
        <v>0</v>
      </c>
      <c r="AM82" s="16">
        <f t="shared" si="211"/>
        <v>0</v>
      </c>
      <c r="AN82" s="16">
        <f t="shared" si="211"/>
        <v>0</v>
      </c>
      <c r="AO82" s="16">
        <f t="shared" si="211"/>
        <v>0</v>
      </c>
      <c r="AP82" s="16">
        <f t="shared" si="211"/>
        <v>0</v>
      </c>
      <c r="AQ82" s="16">
        <f t="shared" si="211"/>
        <v>0</v>
      </c>
      <c r="AR82" s="16">
        <f t="shared" si="211"/>
        <v>0</v>
      </c>
      <c r="AS82" s="16">
        <f t="shared" si="211"/>
        <v>0</v>
      </c>
      <c r="AT82" s="16">
        <f t="shared" si="211"/>
        <v>0</v>
      </c>
      <c r="AU82" s="16">
        <f t="shared" si="211"/>
        <v>0</v>
      </c>
      <c r="AV82" s="16">
        <f t="shared" si="211"/>
        <v>0</v>
      </c>
      <c r="AW82" s="16">
        <f t="shared" si="211"/>
        <v>0</v>
      </c>
      <c r="AX82" s="16">
        <f t="shared" si="211"/>
        <v>0</v>
      </c>
      <c r="AY82" s="16">
        <f t="shared" si="211"/>
        <v>0</v>
      </c>
      <c r="AZ82" s="16">
        <f t="shared" si="211"/>
        <v>0</v>
      </c>
      <c r="BA82" s="13">
        <f t="shared" si="211"/>
        <v>0</v>
      </c>
      <c r="BB82" s="13">
        <f t="shared" si="211"/>
        <v>0</v>
      </c>
      <c r="BC82" s="13">
        <f t="shared" si="211"/>
        <v>0</v>
      </c>
      <c r="BD82" s="13">
        <f t="shared" si="211"/>
        <v>0</v>
      </c>
      <c r="BE82" s="13">
        <f t="shared" si="211"/>
        <v>0</v>
      </c>
      <c r="BF82" s="13">
        <f t="shared" si="211"/>
        <v>0</v>
      </c>
      <c r="BG82" s="13">
        <f t="shared" si="211"/>
        <v>0</v>
      </c>
      <c r="BH82" s="13">
        <f t="shared" si="211"/>
        <v>0</v>
      </c>
      <c r="BI82" s="13">
        <f t="shared" si="211"/>
        <v>0</v>
      </c>
      <c r="BJ82" s="13">
        <f t="shared" si="211"/>
        <v>0</v>
      </c>
      <c r="BK82" s="13">
        <f t="shared" si="211"/>
        <v>0</v>
      </c>
      <c r="BL82" s="13">
        <f t="shared" si="211"/>
        <v>0</v>
      </c>
      <c r="BM82" s="169">
        <f t="shared" si="211"/>
        <v>0</v>
      </c>
      <c r="BN82" s="167">
        <f t="shared" si="211"/>
        <v>0</v>
      </c>
      <c r="BO82" s="16">
        <f t="shared" si="211"/>
        <v>0</v>
      </c>
      <c r="BP82" s="16">
        <f t="shared" si="211"/>
        <v>0</v>
      </c>
      <c r="BQ82" s="16">
        <f t="shared" si="211"/>
        <v>0</v>
      </c>
      <c r="BR82" s="16">
        <f t="shared" si="211"/>
        <v>0</v>
      </c>
      <c r="BS82" s="16">
        <f t="shared" si="211"/>
        <v>0</v>
      </c>
      <c r="BT82" s="16">
        <f t="shared" si="211"/>
        <v>0</v>
      </c>
      <c r="BU82" s="16">
        <f t="shared" si="211"/>
        <v>0</v>
      </c>
      <c r="BV82" s="16">
        <f t="shared" si="211"/>
        <v>0</v>
      </c>
      <c r="BW82" s="16">
        <f t="shared" si="211"/>
        <v>0</v>
      </c>
      <c r="BX82" s="13">
        <f t="shared" si="211"/>
        <v>0</v>
      </c>
      <c r="BY82" s="13">
        <f t="shared" si="211"/>
        <v>0</v>
      </c>
      <c r="BZ82" s="169">
        <f t="shared" si="211"/>
        <v>0</v>
      </c>
      <c r="CA82" s="167">
        <f t="shared" si="211"/>
        <v>0</v>
      </c>
      <c r="CB82" s="16">
        <f t="shared" ref="CB82:CF82" si="212">SUMIF($F$12:$F$463,"=3122",CB$12:CB$463)</f>
        <v>0</v>
      </c>
      <c r="CC82" s="16">
        <f t="shared" si="212"/>
        <v>0</v>
      </c>
      <c r="CD82" s="16">
        <f t="shared" si="212"/>
        <v>0</v>
      </c>
      <c r="CE82" s="16">
        <f t="shared" si="212"/>
        <v>0</v>
      </c>
      <c r="CF82" s="17">
        <f t="shared" si="212"/>
        <v>0</v>
      </c>
    </row>
    <row r="83" spans="4:84" x14ac:dyDescent="0.2">
      <c r="D83" s="9"/>
      <c r="E83" s="5"/>
      <c r="F83" s="9"/>
      <c r="G83" s="20"/>
      <c r="H83" s="19">
        <v>3124</v>
      </c>
      <c r="I83" s="167">
        <f t="shared" ref="I83:CA83" si="213">SUMIF($F$12:$F$463,"=3124",I$12:I$463)</f>
        <v>0</v>
      </c>
      <c r="J83" s="16">
        <f t="shared" si="213"/>
        <v>0</v>
      </c>
      <c r="K83" s="16">
        <f t="shared" si="213"/>
        <v>0</v>
      </c>
      <c r="L83" s="16">
        <f t="shared" si="213"/>
        <v>0</v>
      </c>
      <c r="M83" s="16">
        <f t="shared" si="213"/>
        <v>0</v>
      </c>
      <c r="N83" s="16">
        <f t="shared" si="213"/>
        <v>0</v>
      </c>
      <c r="O83" s="16">
        <f t="shared" si="213"/>
        <v>0</v>
      </c>
      <c r="P83" s="16">
        <f t="shared" si="213"/>
        <v>0</v>
      </c>
      <c r="Q83" s="16">
        <f t="shared" si="213"/>
        <v>0</v>
      </c>
      <c r="R83" s="16">
        <f t="shared" si="213"/>
        <v>0</v>
      </c>
      <c r="S83" s="13">
        <f t="shared" si="213"/>
        <v>0</v>
      </c>
      <c r="T83" s="13">
        <f t="shared" si="213"/>
        <v>0</v>
      </c>
      <c r="U83" s="17">
        <f t="shared" si="213"/>
        <v>0</v>
      </c>
      <c r="V83" s="168">
        <f t="shared" si="213"/>
        <v>0</v>
      </c>
      <c r="W83" s="16">
        <f t="shared" si="213"/>
        <v>0</v>
      </c>
      <c r="X83" s="16">
        <f t="shared" si="213"/>
        <v>0</v>
      </c>
      <c r="Y83" s="16">
        <f t="shared" si="213"/>
        <v>0</v>
      </c>
      <c r="Z83" s="16">
        <f t="shared" si="213"/>
        <v>0</v>
      </c>
      <c r="AA83" s="16">
        <f t="shared" si="213"/>
        <v>0</v>
      </c>
      <c r="AB83" s="16">
        <f t="shared" si="213"/>
        <v>0</v>
      </c>
      <c r="AC83" s="16">
        <f t="shared" si="213"/>
        <v>0</v>
      </c>
      <c r="AD83" s="16">
        <f t="shared" si="213"/>
        <v>0</v>
      </c>
      <c r="AE83" s="16">
        <f t="shared" si="213"/>
        <v>0</v>
      </c>
      <c r="AF83" s="16">
        <f t="shared" si="213"/>
        <v>0</v>
      </c>
      <c r="AG83" s="16">
        <f t="shared" si="213"/>
        <v>0</v>
      </c>
      <c r="AH83" s="16">
        <f t="shared" si="213"/>
        <v>0</v>
      </c>
      <c r="AI83" s="16">
        <f t="shared" si="213"/>
        <v>0</v>
      </c>
      <c r="AJ83" s="16">
        <f t="shared" si="213"/>
        <v>0</v>
      </c>
      <c r="AK83" s="16">
        <f t="shared" si="213"/>
        <v>0</v>
      </c>
      <c r="AL83" s="16">
        <f t="shared" si="213"/>
        <v>0</v>
      </c>
      <c r="AM83" s="16">
        <f t="shared" si="213"/>
        <v>0</v>
      </c>
      <c r="AN83" s="16">
        <f t="shared" si="213"/>
        <v>0</v>
      </c>
      <c r="AO83" s="16">
        <f t="shared" si="213"/>
        <v>0</v>
      </c>
      <c r="AP83" s="16">
        <f t="shared" si="213"/>
        <v>0</v>
      </c>
      <c r="AQ83" s="16">
        <f t="shared" si="213"/>
        <v>0</v>
      </c>
      <c r="AR83" s="16">
        <f t="shared" si="213"/>
        <v>0</v>
      </c>
      <c r="AS83" s="16">
        <f t="shared" si="213"/>
        <v>0</v>
      </c>
      <c r="AT83" s="16">
        <f t="shared" si="213"/>
        <v>0</v>
      </c>
      <c r="AU83" s="16">
        <f t="shared" si="213"/>
        <v>0</v>
      </c>
      <c r="AV83" s="16">
        <f t="shared" si="213"/>
        <v>0</v>
      </c>
      <c r="AW83" s="16">
        <f t="shared" si="213"/>
        <v>0</v>
      </c>
      <c r="AX83" s="16">
        <f t="shared" si="213"/>
        <v>0</v>
      </c>
      <c r="AY83" s="16">
        <f t="shared" si="213"/>
        <v>0</v>
      </c>
      <c r="AZ83" s="16">
        <f t="shared" si="213"/>
        <v>0</v>
      </c>
      <c r="BA83" s="13">
        <f t="shared" si="213"/>
        <v>0</v>
      </c>
      <c r="BB83" s="13">
        <f t="shared" si="213"/>
        <v>0</v>
      </c>
      <c r="BC83" s="13">
        <f t="shared" si="213"/>
        <v>0</v>
      </c>
      <c r="BD83" s="13">
        <f t="shared" si="213"/>
        <v>0</v>
      </c>
      <c r="BE83" s="13">
        <f t="shared" si="213"/>
        <v>0</v>
      </c>
      <c r="BF83" s="13">
        <f t="shared" si="213"/>
        <v>0</v>
      </c>
      <c r="BG83" s="13">
        <f t="shared" si="213"/>
        <v>0</v>
      </c>
      <c r="BH83" s="13">
        <f t="shared" si="213"/>
        <v>0</v>
      </c>
      <c r="BI83" s="13">
        <f t="shared" si="213"/>
        <v>0</v>
      </c>
      <c r="BJ83" s="13">
        <f t="shared" si="213"/>
        <v>0</v>
      </c>
      <c r="BK83" s="13">
        <f t="shared" si="213"/>
        <v>0</v>
      </c>
      <c r="BL83" s="13">
        <f t="shared" si="213"/>
        <v>0</v>
      </c>
      <c r="BM83" s="169">
        <f t="shared" si="213"/>
        <v>0</v>
      </c>
      <c r="BN83" s="167">
        <f t="shared" si="213"/>
        <v>0</v>
      </c>
      <c r="BO83" s="16">
        <f t="shared" si="213"/>
        <v>0</v>
      </c>
      <c r="BP83" s="16">
        <f t="shared" si="213"/>
        <v>0</v>
      </c>
      <c r="BQ83" s="16">
        <f t="shared" si="213"/>
        <v>0</v>
      </c>
      <c r="BR83" s="16">
        <f t="shared" si="213"/>
        <v>0</v>
      </c>
      <c r="BS83" s="16">
        <f t="shared" si="213"/>
        <v>0</v>
      </c>
      <c r="BT83" s="16">
        <f t="shared" si="213"/>
        <v>0</v>
      </c>
      <c r="BU83" s="16">
        <f t="shared" si="213"/>
        <v>0</v>
      </c>
      <c r="BV83" s="16">
        <f t="shared" si="213"/>
        <v>0</v>
      </c>
      <c r="BW83" s="16">
        <f t="shared" si="213"/>
        <v>0</v>
      </c>
      <c r="BX83" s="13">
        <f t="shared" si="213"/>
        <v>0</v>
      </c>
      <c r="BY83" s="13">
        <f t="shared" si="213"/>
        <v>0</v>
      </c>
      <c r="BZ83" s="169">
        <f t="shared" si="213"/>
        <v>0</v>
      </c>
      <c r="CA83" s="167">
        <f t="shared" si="213"/>
        <v>0</v>
      </c>
      <c r="CB83" s="16">
        <f t="shared" ref="CB83:CF83" si="214">SUMIF($F$12:$F$463,"=3124",CB$12:CB$463)</f>
        <v>0</v>
      </c>
      <c r="CC83" s="16">
        <f t="shared" si="214"/>
        <v>0</v>
      </c>
      <c r="CD83" s="16">
        <f t="shared" si="214"/>
        <v>0</v>
      </c>
      <c r="CE83" s="16">
        <f t="shared" si="214"/>
        <v>0</v>
      </c>
      <c r="CF83" s="17">
        <f t="shared" si="214"/>
        <v>0</v>
      </c>
    </row>
    <row r="84" spans="4:84" x14ac:dyDescent="0.2">
      <c r="D84" s="9"/>
      <c r="E84" s="5"/>
      <c r="F84" s="9"/>
      <c r="G84" s="20"/>
      <c r="H84" s="19">
        <v>3141</v>
      </c>
      <c r="I84" s="167">
        <f t="shared" ref="I84:CA84" si="215">SUMIF($F$12:$F$463,"=3141",I$12:I$463)</f>
        <v>8313028</v>
      </c>
      <c r="J84" s="16">
        <f t="shared" si="215"/>
        <v>6131597</v>
      </c>
      <c r="K84" s="16">
        <f t="shared" si="215"/>
        <v>0</v>
      </c>
      <c r="L84" s="16">
        <f t="shared" si="215"/>
        <v>6131597</v>
      </c>
      <c r="M84" s="16">
        <f t="shared" si="215"/>
        <v>0</v>
      </c>
      <c r="N84" s="16">
        <f t="shared" si="215"/>
        <v>0</v>
      </c>
      <c r="O84" s="16">
        <f t="shared" si="215"/>
        <v>0</v>
      </c>
      <c r="P84" s="16">
        <f t="shared" si="215"/>
        <v>2072480</v>
      </c>
      <c r="Q84" s="16">
        <f t="shared" si="215"/>
        <v>61316</v>
      </c>
      <c r="R84" s="16">
        <f t="shared" si="215"/>
        <v>47635</v>
      </c>
      <c r="S84" s="13">
        <f t="shared" si="215"/>
        <v>18.39</v>
      </c>
      <c r="T84" s="13">
        <f t="shared" si="215"/>
        <v>0</v>
      </c>
      <c r="U84" s="17">
        <f t="shared" si="215"/>
        <v>18.39</v>
      </c>
      <c r="V84" s="168">
        <f t="shared" si="215"/>
        <v>0</v>
      </c>
      <c r="W84" s="16">
        <f t="shared" si="215"/>
        <v>-71424</v>
      </c>
      <c r="X84" s="16">
        <f t="shared" si="215"/>
        <v>0</v>
      </c>
      <c r="Y84" s="16">
        <f t="shared" si="215"/>
        <v>0</v>
      </c>
      <c r="Z84" s="16">
        <f t="shared" si="215"/>
        <v>0</v>
      </c>
      <c r="AA84" s="16">
        <f t="shared" si="215"/>
        <v>0</v>
      </c>
      <c r="AB84" s="16">
        <f t="shared" si="215"/>
        <v>0</v>
      </c>
      <c r="AC84" s="16">
        <f t="shared" si="215"/>
        <v>0</v>
      </c>
      <c r="AD84" s="16">
        <f t="shared" si="215"/>
        <v>0</v>
      </c>
      <c r="AE84" s="16">
        <f t="shared" si="215"/>
        <v>0</v>
      </c>
      <c r="AF84" s="16">
        <f t="shared" si="215"/>
        <v>0</v>
      </c>
      <c r="AG84" s="16">
        <f t="shared" si="215"/>
        <v>-71424</v>
      </c>
      <c r="AH84" s="16">
        <f t="shared" si="215"/>
        <v>-71424</v>
      </c>
      <c r="AI84" s="16">
        <f t="shared" si="215"/>
        <v>0</v>
      </c>
      <c r="AJ84" s="16">
        <f t="shared" si="215"/>
        <v>71424</v>
      </c>
      <c r="AK84" s="16">
        <f t="shared" si="215"/>
        <v>0</v>
      </c>
      <c r="AL84" s="16">
        <f t="shared" si="215"/>
        <v>0</v>
      </c>
      <c r="AM84" s="16">
        <f t="shared" si="215"/>
        <v>0</v>
      </c>
      <c r="AN84" s="16">
        <f t="shared" si="215"/>
        <v>0</v>
      </c>
      <c r="AO84" s="16">
        <f t="shared" si="215"/>
        <v>0</v>
      </c>
      <c r="AP84" s="16">
        <f t="shared" si="215"/>
        <v>71424</v>
      </c>
      <c r="AQ84" s="16">
        <f t="shared" si="215"/>
        <v>71424</v>
      </c>
      <c r="AR84" s="16">
        <f t="shared" si="215"/>
        <v>0</v>
      </c>
      <c r="AS84" s="16">
        <f t="shared" si="215"/>
        <v>0</v>
      </c>
      <c r="AT84" s="16">
        <f t="shared" si="215"/>
        <v>0</v>
      </c>
      <c r="AU84" s="16">
        <f t="shared" si="215"/>
        <v>0</v>
      </c>
      <c r="AV84" s="16">
        <f t="shared" si="215"/>
        <v>-714</v>
      </c>
      <c r="AW84" s="16">
        <f t="shared" si="215"/>
        <v>0</v>
      </c>
      <c r="AX84" s="16">
        <f t="shared" si="215"/>
        <v>0</v>
      </c>
      <c r="AY84" s="16">
        <f t="shared" si="215"/>
        <v>0</v>
      </c>
      <c r="AZ84" s="16">
        <f t="shared" si="215"/>
        <v>-714</v>
      </c>
      <c r="BA84" s="13">
        <f t="shared" si="215"/>
        <v>0</v>
      </c>
      <c r="BB84" s="13">
        <f t="shared" si="215"/>
        <v>-0.13999999999999999</v>
      </c>
      <c r="BC84" s="13">
        <f t="shared" si="215"/>
        <v>0</v>
      </c>
      <c r="BD84" s="13">
        <f t="shared" si="215"/>
        <v>0</v>
      </c>
      <c r="BE84" s="13">
        <f t="shared" si="215"/>
        <v>0</v>
      </c>
      <c r="BF84" s="13">
        <f t="shared" si="215"/>
        <v>0</v>
      </c>
      <c r="BG84" s="13">
        <f t="shared" si="215"/>
        <v>0</v>
      </c>
      <c r="BH84" s="13">
        <f t="shared" si="215"/>
        <v>0</v>
      </c>
      <c r="BI84" s="13">
        <f t="shared" si="215"/>
        <v>0</v>
      </c>
      <c r="BJ84" s="13">
        <f t="shared" si="215"/>
        <v>0</v>
      </c>
      <c r="BK84" s="13">
        <f t="shared" si="215"/>
        <v>0</v>
      </c>
      <c r="BL84" s="13">
        <f t="shared" si="215"/>
        <v>-0.13999999999999999</v>
      </c>
      <c r="BM84" s="169">
        <f t="shared" si="215"/>
        <v>-0.13999999999999999</v>
      </c>
      <c r="BN84" s="167">
        <f t="shared" si="215"/>
        <v>8312314</v>
      </c>
      <c r="BO84" s="16">
        <f t="shared" si="215"/>
        <v>6060173</v>
      </c>
      <c r="BP84" s="16">
        <f t="shared" si="215"/>
        <v>0</v>
      </c>
      <c r="BQ84" s="16">
        <f t="shared" si="215"/>
        <v>6060173</v>
      </c>
      <c r="BR84" s="16">
        <f t="shared" si="215"/>
        <v>71424</v>
      </c>
      <c r="BS84" s="16">
        <f t="shared" si="215"/>
        <v>0</v>
      </c>
      <c r="BT84" s="16">
        <f t="shared" si="215"/>
        <v>71424</v>
      </c>
      <c r="BU84" s="16">
        <f t="shared" si="215"/>
        <v>2072480</v>
      </c>
      <c r="BV84" s="16">
        <f t="shared" si="215"/>
        <v>60602</v>
      </c>
      <c r="BW84" s="16">
        <f t="shared" si="215"/>
        <v>47635</v>
      </c>
      <c r="BX84" s="13">
        <f t="shared" si="215"/>
        <v>18.25</v>
      </c>
      <c r="BY84" s="13">
        <f t="shared" si="215"/>
        <v>0</v>
      </c>
      <c r="BZ84" s="169">
        <f t="shared" si="215"/>
        <v>18.25</v>
      </c>
      <c r="CA84" s="167">
        <f t="shared" si="215"/>
        <v>0</v>
      </c>
      <c r="CB84" s="16">
        <f t="shared" ref="CB84:CF84" si="216">SUMIF($F$12:$F$463,"=3141",CB$12:CB$463)</f>
        <v>0</v>
      </c>
      <c r="CC84" s="16">
        <f t="shared" si="216"/>
        <v>0</v>
      </c>
      <c r="CD84" s="16">
        <f t="shared" si="216"/>
        <v>0</v>
      </c>
      <c r="CE84" s="16">
        <f t="shared" si="216"/>
        <v>0</v>
      </c>
      <c r="CF84" s="17">
        <f t="shared" si="216"/>
        <v>0</v>
      </c>
    </row>
    <row r="85" spans="4:84" x14ac:dyDescent="0.2">
      <c r="D85" s="9"/>
      <c r="E85" s="5"/>
      <c r="F85" s="9"/>
      <c r="G85" s="20"/>
      <c r="H85" s="19">
        <v>3143</v>
      </c>
      <c r="I85" s="167">
        <f t="shared" ref="I85:CA85" si="217">SUMIF($F$12:$F$463,"=3143",I$12:I$463)</f>
        <v>7625107</v>
      </c>
      <c r="J85" s="16">
        <f t="shared" si="217"/>
        <v>5651975</v>
      </c>
      <c r="K85" s="16">
        <f t="shared" si="217"/>
        <v>5524727</v>
      </c>
      <c r="L85" s="16">
        <f t="shared" si="217"/>
        <v>127248</v>
      </c>
      <c r="M85" s="16">
        <f t="shared" si="217"/>
        <v>0</v>
      </c>
      <c r="N85" s="16">
        <f t="shared" si="217"/>
        <v>0</v>
      </c>
      <c r="O85" s="16">
        <f t="shared" si="217"/>
        <v>0</v>
      </c>
      <c r="P85" s="16">
        <f t="shared" si="217"/>
        <v>1910367</v>
      </c>
      <c r="Q85" s="16">
        <f t="shared" si="217"/>
        <v>56519</v>
      </c>
      <c r="R85" s="16">
        <f t="shared" si="217"/>
        <v>6246</v>
      </c>
      <c r="S85" s="13">
        <f t="shared" si="217"/>
        <v>11.967499999999999</v>
      </c>
      <c r="T85" s="13">
        <f t="shared" si="217"/>
        <v>11.487499999999999</v>
      </c>
      <c r="U85" s="17">
        <f t="shared" si="217"/>
        <v>0.48000000000000004</v>
      </c>
      <c r="V85" s="168">
        <f t="shared" si="217"/>
        <v>-13120</v>
      </c>
      <c r="W85" s="16">
        <f t="shared" si="217"/>
        <v>0</v>
      </c>
      <c r="X85" s="16">
        <f t="shared" si="217"/>
        <v>0</v>
      </c>
      <c r="Y85" s="16">
        <f t="shared" si="217"/>
        <v>0</v>
      </c>
      <c r="Z85" s="16">
        <f t="shared" si="217"/>
        <v>0</v>
      </c>
      <c r="AA85" s="16">
        <f t="shared" si="217"/>
        <v>0</v>
      </c>
      <c r="AB85" s="16">
        <f t="shared" si="217"/>
        <v>0</v>
      </c>
      <c r="AC85" s="16">
        <f t="shared" si="217"/>
        <v>0</v>
      </c>
      <c r="AD85" s="16">
        <f t="shared" si="217"/>
        <v>0</v>
      </c>
      <c r="AE85" s="16">
        <f t="shared" si="217"/>
        <v>0</v>
      </c>
      <c r="AF85" s="16">
        <f t="shared" si="217"/>
        <v>-13120</v>
      </c>
      <c r="AG85" s="16">
        <f t="shared" si="217"/>
        <v>0</v>
      </c>
      <c r="AH85" s="16">
        <f t="shared" si="217"/>
        <v>-13120</v>
      </c>
      <c r="AI85" s="16">
        <f t="shared" si="217"/>
        <v>13120</v>
      </c>
      <c r="AJ85" s="16">
        <f t="shared" si="217"/>
        <v>0</v>
      </c>
      <c r="AK85" s="16">
        <f t="shared" si="217"/>
        <v>0</v>
      </c>
      <c r="AL85" s="16">
        <f t="shared" si="217"/>
        <v>0</v>
      </c>
      <c r="AM85" s="16">
        <f t="shared" si="217"/>
        <v>0</v>
      </c>
      <c r="AN85" s="16">
        <f t="shared" si="217"/>
        <v>0</v>
      </c>
      <c r="AO85" s="16">
        <f t="shared" si="217"/>
        <v>13120</v>
      </c>
      <c r="AP85" s="16">
        <f t="shared" si="217"/>
        <v>0</v>
      </c>
      <c r="AQ85" s="16">
        <f t="shared" si="217"/>
        <v>13120</v>
      </c>
      <c r="AR85" s="16">
        <f t="shared" si="217"/>
        <v>0</v>
      </c>
      <c r="AS85" s="16">
        <f t="shared" si="217"/>
        <v>0</v>
      </c>
      <c r="AT85" s="16">
        <f t="shared" si="217"/>
        <v>0</v>
      </c>
      <c r="AU85" s="16">
        <f t="shared" si="217"/>
        <v>0</v>
      </c>
      <c r="AV85" s="16">
        <f t="shared" si="217"/>
        <v>-131</v>
      </c>
      <c r="AW85" s="16">
        <f t="shared" si="217"/>
        <v>0</v>
      </c>
      <c r="AX85" s="16">
        <f t="shared" si="217"/>
        <v>0</v>
      </c>
      <c r="AY85" s="16">
        <f t="shared" si="217"/>
        <v>0</v>
      </c>
      <c r="AZ85" s="16">
        <f t="shared" si="217"/>
        <v>-131</v>
      </c>
      <c r="BA85" s="13">
        <f t="shared" si="217"/>
        <v>0</v>
      </c>
      <c r="BB85" s="13">
        <f t="shared" si="217"/>
        <v>0</v>
      </c>
      <c r="BC85" s="13">
        <f t="shared" si="217"/>
        <v>0</v>
      </c>
      <c r="BD85" s="13">
        <f t="shared" si="217"/>
        <v>0</v>
      </c>
      <c r="BE85" s="13">
        <f t="shared" si="217"/>
        <v>0</v>
      </c>
      <c r="BF85" s="13">
        <f t="shared" si="217"/>
        <v>0</v>
      </c>
      <c r="BG85" s="13">
        <f t="shared" si="217"/>
        <v>0</v>
      </c>
      <c r="BH85" s="13">
        <f t="shared" si="217"/>
        <v>0</v>
      </c>
      <c r="BI85" s="13">
        <f t="shared" si="217"/>
        <v>0</v>
      </c>
      <c r="BJ85" s="13">
        <f t="shared" si="217"/>
        <v>0</v>
      </c>
      <c r="BK85" s="13">
        <f t="shared" si="217"/>
        <v>0</v>
      </c>
      <c r="BL85" s="13">
        <f t="shared" si="217"/>
        <v>0</v>
      </c>
      <c r="BM85" s="169">
        <f t="shared" si="217"/>
        <v>0</v>
      </c>
      <c r="BN85" s="167">
        <f t="shared" si="217"/>
        <v>7624976</v>
      </c>
      <c r="BO85" s="16">
        <f t="shared" si="217"/>
        <v>5638855</v>
      </c>
      <c r="BP85" s="16">
        <f t="shared" si="217"/>
        <v>5511607</v>
      </c>
      <c r="BQ85" s="16">
        <f t="shared" si="217"/>
        <v>127248</v>
      </c>
      <c r="BR85" s="16">
        <f t="shared" si="217"/>
        <v>13120</v>
      </c>
      <c r="BS85" s="16">
        <f t="shared" si="217"/>
        <v>13120</v>
      </c>
      <c r="BT85" s="16">
        <f t="shared" si="217"/>
        <v>0</v>
      </c>
      <c r="BU85" s="16">
        <f t="shared" si="217"/>
        <v>1910367</v>
      </c>
      <c r="BV85" s="16">
        <f t="shared" si="217"/>
        <v>56388</v>
      </c>
      <c r="BW85" s="16">
        <f t="shared" si="217"/>
        <v>6246</v>
      </c>
      <c r="BX85" s="13">
        <f t="shared" si="217"/>
        <v>11.967499999999999</v>
      </c>
      <c r="BY85" s="13">
        <f t="shared" si="217"/>
        <v>11.487499999999999</v>
      </c>
      <c r="BZ85" s="169">
        <f t="shared" si="217"/>
        <v>0.48000000000000004</v>
      </c>
      <c r="CA85" s="167">
        <f t="shared" si="217"/>
        <v>0</v>
      </c>
      <c r="CB85" s="16">
        <f t="shared" ref="CB85:CF85" si="218">SUMIF($F$12:$F$463,"=3143",CB$12:CB$463)</f>
        <v>0</v>
      </c>
      <c r="CC85" s="16">
        <f t="shared" si="218"/>
        <v>0</v>
      </c>
      <c r="CD85" s="16">
        <f t="shared" si="218"/>
        <v>0</v>
      </c>
      <c r="CE85" s="16">
        <f t="shared" si="218"/>
        <v>0</v>
      </c>
      <c r="CF85" s="17">
        <f t="shared" si="218"/>
        <v>0</v>
      </c>
    </row>
    <row r="86" spans="4:84" x14ac:dyDescent="0.2">
      <c r="D86" s="9"/>
      <c r="E86" s="5"/>
      <c r="F86" s="9"/>
      <c r="G86" s="20"/>
      <c r="H86" s="19">
        <v>3231</v>
      </c>
      <c r="I86" s="167">
        <f t="shared" ref="I86:CA86" si="219">SUMIF($F$12:$F$463,"=3231",I$12:I$463)</f>
        <v>12101407</v>
      </c>
      <c r="J86" s="16">
        <f t="shared" si="219"/>
        <v>8966557</v>
      </c>
      <c r="K86" s="16">
        <f t="shared" si="219"/>
        <v>8628849</v>
      </c>
      <c r="L86" s="16">
        <f t="shared" si="219"/>
        <v>337708</v>
      </c>
      <c r="M86" s="16">
        <f t="shared" si="219"/>
        <v>0</v>
      </c>
      <c r="N86" s="16">
        <f t="shared" si="219"/>
        <v>0</v>
      </c>
      <c r="O86" s="16">
        <f t="shared" si="219"/>
        <v>0</v>
      </c>
      <c r="P86" s="16">
        <f t="shared" si="219"/>
        <v>3030696</v>
      </c>
      <c r="Q86" s="16">
        <f t="shared" si="219"/>
        <v>89666</v>
      </c>
      <c r="R86" s="16">
        <f t="shared" si="219"/>
        <v>14488</v>
      </c>
      <c r="S86" s="13">
        <f t="shared" si="219"/>
        <v>14.6241</v>
      </c>
      <c r="T86" s="13">
        <f t="shared" si="219"/>
        <v>13.676500000000001</v>
      </c>
      <c r="U86" s="17">
        <f t="shared" si="219"/>
        <v>0.9476</v>
      </c>
      <c r="V86" s="168">
        <f t="shared" si="219"/>
        <v>-25920</v>
      </c>
      <c r="W86" s="16">
        <f t="shared" si="219"/>
        <v>0</v>
      </c>
      <c r="X86" s="16">
        <f t="shared" si="219"/>
        <v>0</v>
      </c>
      <c r="Y86" s="16">
        <f t="shared" si="219"/>
        <v>0</v>
      </c>
      <c r="Z86" s="16">
        <f t="shared" si="219"/>
        <v>0</v>
      </c>
      <c r="AA86" s="16">
        <f t="shared" si="219"/>
        <v>0</v>
      </c>
      <c r="AB86" s="16">
        <f t="shared" si="219"/>
        <v>0</v>
      </c>
      <c r="AC86" s="16">
        <f t="shared" si="219"/>
        <v>0</v>
      </c>
      <c r="AD86" s="16">
        <f t="shared" si="219"/>
        <v>0</v>
      </c>
      <c r="AE86" s="16">
        <f t="shared" si="219"/>
        <v>0</v>
      </c>
      <c r="AF86" s="16">
        <f t="shared" si="219"/>
        <v>-25920</v>
      </c>
      <c r="AG86" s="16">
        <f t="shared" si="219"/>
        <v>0</v>
      </c>
      <c r="AH86" s="16">
        <f t="shared" si="219"/>
        <v>-25920</v>
      </c>
      <c r="AI86" s="16">
        <f t="shared" si="219"/>
        <v>25920</v>
      </c>
      <c r="AJ86" s="16">
        <f t="shared" si="219"/>
        <v>0</v>
      </c>
      <c r="AK86" s="16">
        <f t="shared" si="219"/>
        <v>0</v>
      </c>
      <c r="AL86" s="16">
        <f t="shared" si="219"/>
        <v>0</v>
      </c>
      <c r="AM86" s="16">
        <f t="shared" si="219"/>
        <v>0</v>
      </c>
      <c r="AN86" s="16">
        <f t="shared" si="219"/>
        <v>0</v>
      </c>
      <c r="AO86" s="16">
        <f t="shared" si="219"/>
        <v>25920</v>
      </c>
      <c r="AP86" s="16">
        <f t="shared" si="219"/>
        <v>0</v>
      </c>
      <c r="AQ86" s="16">
        <f t="shared" si="219"/>
        <v>25920</v>
      </c>
      <c r="AR86" s="16">
        <f t="shared" si="219"/>
        <v>0</v>
      </c>
      <c r="AS86" s="16">
        <f t="shared" si="219"/>
        <v>0</v>
      </c>
      <c r="AT86" s="16">
        <f t="shared" si="219"/>
        <v>0</v>
      </c>
      <c r="AU86" s="16">
        <f t="shared" si="219"/>
        <v>0</v>
      </c>
      <c r="AV86" s="16">
        <f t="shared" si="219"/>
        <v>-259</v>
      </c>
      <c r="AW86" s="16">
        <f t="shared" si="219"/>
        <v>0</v>
      </c>
      <c r="AX86" s="16">
        <f t="shared" si="219"/>
        <v>0</v>
      </c>
      <c r="AY86" s="16">
        <f t="shared" si="219"/>
        <v>0</v>
      </c>
      <c r="AZ86" s="16">
        <f t="shared" si="219"/>
        <v>-259</v>
      </c>
      <c r="BA86" s="13">
        <f t="shared" si="219"/>
        <v>0</v>
      </c>
      <c r="BB86" s="13">
        <f t="shared" si="219"/>
        <v>0</v>
      </c>
      <c r="BC86" s="13">
        <f t="shared" si="219"/>
        <v>0</v>
      </c>
      <c r="BD86" s="13">
        <f t="shared" si="219"/>
        <v>0</v>
      </c>
      <c r="BE86" s="13">
        <f t="shared" si="219"/>
        <v>0</v>
      </c>
      <c r="BF86" s="13">
        <f t="shared" si="219"/>
        <v>0</v>
      </c>
      <c r="BG86" s="13">
        <f t="shared" si="219"/>
        <v>0</v>
      </c>
      <c r="BH86" s="13">
        <f t="shared" si="219"/>
        <v>0</v>
      </c>
      <c r="BI86" s="13">
        <f t="shared" si="219"/>
        <v>0</v>
      </c>
      <c r="BJ86" s="13">
        <f t="shared" si="219"/>
        <v>0</v>
      </c>
      <c r="BK86" s="13">
        <f t="shared" si="219"/>
        <v>0</v>
      </c>
      <c r="BL86" s="13">
        <f t="shared" si="219"/>
        <v>0</v>
      </c>
      <c r="BM86" s="169">
        <f t="shared" si="219"/>
        <v>0</v>
      </c>
      <c r="BN86" s="167">
        <f t="shared" si="219"/>
        <v>12101148</v>
      </c>
      <c r="BO86" s="16">
        <f t="shared" si="219"/>
        <v>8940637</v>
      </c>
      <c r="BP86" s="16">
        <f t="shared" si="219"/>
        <v>8602929</v>
      </c>
      <c r="BQ86" s="16">
        <f t="shared" si="219"/>
        <v>337708</v>
      </c>
      <c r="BR86" s="16">
        <f t="shared" si="219"/>
        <v>25920</v>
      </c>
      <c r="BS86" s="16">
        <f t="shared" si="219"/>
        <v>25920</v>
      </c>
      <c r="BT86" s="16">
        <f t="shared" si="219"/>
        <v>0</v>
      </c>
      <c r="BU86" s="16">
        <f t="shared" si="219"/>
        <v>3030696</v>
      </c>
      <c r="BV86" s="16">
        <f t="shared" si="219"/>
        <v>89407</v>
      </c>
      <c r="BW86" s="16">
        <f t="shared" si="219"/>
        <v>14488</v>
      </c>
      <c r="BX86" s="13">
        <f t="shared" si="219"/>
        <v>14.6241</v>
      </c>
      <c r="BY86" s="13">
        <f t="shared" si="219"/>
        <v>13.676500000000001</v>
      </c>
      <c r="BZ86" s="169">
        <f t="shared" si="219"/>
        <v>0.9476</v>
      </c>
      <c r="CA86" s="167">
        <f t="shared" si="219"/>
        <v>0</v>
      </c>
      <c r="CB86" s="16">
        <f t="shared" ref="CB86:CF86" si="220">SUMIF($F$12:$F$463,"=3231",CB$12:CB$463)</f>
        <v>0</v>
      </c>
      <c r="CC86" s="16">
        <f t="shared" si="220"/>
        <v>0</v>
      </c>
      <c r="CD86" s="16">
        <f t="shared" si="220"/>
        <v>0</v>
      </c>
      <c r="CE86" s="16">
        <f t="shared" si="220"/>
        <v>0</v>
      </c>
      <c r="CF86" s="17">
        <f t="shared" si="220"/>
        <v>0</v>
      </c>
    </row>
    <row r="87" spans="4:84" ht="13.5" thickBot="1" x14ac:dyDescent="0.25">
      <c r="D87" s="9"/>
      <c r="E87" s="5"/>
      <c r="F87" s="9"/>
      <c r="G87" s="20"/>
      <c r="H87" s="138">
        <v>3233</v>
      </c>
      <c r="I87" s="170">
        <f t="shared" ref="I87:CA87" si="221">SUMIF($F$12:$F$463,"=3233",I$12:I$463)</f>
        <v>2590000</v>
      </c>
      <c r="J87" s="171">
        <f t="shared" si="221"/>
        <v>1919440</v>
      </c>
      <c r="K87" s="171">
        <f t="shared" si="221"/>
        <v>1608822</v>
      </c>
      <c r="L87" s="171">
        <f t="shared" si="221"/>
        <v>310618</v>
      </c>
      <c r="M87" s="171">
        <f t="shared" si="221"/>
        <v>0</v>
      </c>
      <c r="N87" s="171">
        <f t="shared" si="221"/>
        <v>0</v>
      </c>
      <c r="O87" s="171">
        <f t="shared" si="221"/>
        <v>0</v>
      </c>
      <c r="P87" s="171">
        <f t="shared" si="221"/>
        <v>648771</v>
      </c>
      <c r="Q87" s="171">
        <f t="shared" si="221"/>
        <v>19194</v>
      </c>
      <c r="R87" s="171">
        <f t="shared" si="221"/>
        <v>2595</v>
      </c>
      <c r="S87" s="172">
        <f t="shared" si="221"/>
        <v>3.91</v>
      </c>
      <c r="T87" s="172">
        <f t="shared" si="221"/>
        <v>2.91</v>
      </c>
      <c r="U87" s="173">
        <f t="shared" si="221"/>
        <v>1</v>
      </c>
      <c r="V87" s="174">
        <f t="shared" si="221"/>
        <v>-102400</v>
      </c>
      <c r="W87" s="171">
        <f t="shared" si="221"/>
        <v>-12800</v>
      </c>
      <c r="X87" s="171">
        <f t="shared" si="221"/>
        <v>0</v>
      </c>
      <c r="Y87" s="171">
        <f t="shared" si="221"/>
        <v>0</v>
      </c>
      <c r="Z87" s="171">
        <f t="shared" si="221"/>
        <v>0</v>
      </c>
      <c r="AA87" s="171">
        <f t="shared" si="221"/>
        <v>0</v>
      </c>
      <c r="AB87" s="171">
        <f t="shared" si="221"/>
        <v>0</v>
      </c>
      <c r="AC87" s="171">
        <f t="shared" si="221"/>
        <v>0</v>
      </c>
      <c r="AD87" s="171">
        <f t="shared" si="221"/>
        <v>0</v>
      </c>
      <c r="AE87" s="171">
        <f t="shared" si="221"/>
        <v>0</v>
      </c>
      <c r="AF87" s="171">
        <f t="shared" si="221"/>
        <v>-102400</v>
      </c>
      <c r="AG87" s="171">
        <f t="shared" si="221"/>
        <v>-12800</v>
      </c>
      <c r="AH87" s="171">
        <f t="shared" si="221"/>
        <v>-115200</v>
      </c>
      <c r="AI87" s="171">
        <f t="shared" si="221"/>
        <v>102400</v>
      </c>
      <c r="AJ87" s="171">
        <f t="shared" si="221"/>
        <v>12800</v>
      </c>
      <c r="AK87" s="171">
        <f t="shared" si="221"/>
        <v>0</v>
      </c>
      <c r="AL87" s="171">
        <f t="shared" si="221"/>
        <v>0</v>
      </c>
      <c r="AM87" s="171">
        <f t="shared" si="221"/>
        <v>0</v>
      </c>
      <c r="AN87" s="171">
        <f t="shared" si="221"/>
        <v>0</v>
      </c>
      <c r="AO87" s="171">
        <f t="shared" si="221"/>
        <v>102400</v>
      </c>
      <c r="AP87" s="171">
        <f t="shared" si="221"/>
        <v>12800</v>
      </c>
      <c r="AQ87" s="171">
        <f t="shared" si="221"/>
        <v>115200</v>
      </c>
      <c r="AR87" s="171">
        <f t="shared" si="221"/>
        <v>0</v>
      </c>
      <c r="AS87" s="171">
        <f t="shared" si="221"/>
        <v>0</v>
      </c>
      <c r="AT87" s="171">
        <f t="shared" si="221"/>
        <v>0</v>
      </c>
      <c r="AU87" s="171">
        <f t="shared" si="221"/>
        <v>0</v>
      </c>
      <c r="AV87" s="171">
        <f t="shared" si="221"/>
        <v>-1152</v>
      </c>
      <c r="AW87" s="171">
        <f t="shared" si="221"/>
        <v>0</v>
      </c>
      <c r="AX87" s="171">
        <f t="shared" si="221"/>
        <v>0</v>
      </c>
      <c r="AY87" s="171">
        <f t="shared" si="221"/>
        <v>0</v>
      </c>
      <c r="AZ87" s="171">
        <f t="shared" si="221"/>
        <v>-1152</v>
      </c>
      <c r="BA87" s="172">
        <f t="shared" si="221"/>
        <v>-0.19</v>
      </c>
      <c r="BB87" s="172">
        <f t="shared" si="221"/>
        <v>-0.04</v>
      </c>
      <c r="BC87" s="172">
        <f t="shared" si="221"/>
        <v>0</v>
      </c>
      <c r="BD87" s="172">
        <f t="shared" si="221"/>
        <v>0</v>
      </c>
      <c r="BE87" s="172">
        <f t="shared" si="221"/>
        <v>0</v>
      </c>
      <c r="BF87" s="172">
        <f t="shared" si="221"/>
        <v>0</v>
      </c>
      <c r="BG87" s="172">
        <f t="shared" si="221"/>
        <v>0</v>
      </c>
      <c r="BH87" s="172">
        <f t="shared" si="221"/>
        <v>0</v>
      </c>
      <c r="BI87" s="172">
        <f t="shared" si="221"/>
        <v>0</v>
      </c>
      <c r="BJ87" s="172">
        <f t="shared" si="221"/>
        <v>0</v>
      </c>
      <c r="BK87" s="172">
        <f t="shared" si="221"/>
        <v>-0.19</v>
      </c>
      <c r="BL87" s="172">
        <f t="shared" si="221"/>
        <v>-0.04</v>
      </c>
      <c r="BM87" s="175">
        <f t="shared" si="221"/>
        <v>-0.23</v>
      </c>
      <c r="BN87" s="170">
        <f t="shared" si="221"/>
        <v>2588848</v>
      </c>
      <c r="BO87" s="171">
        <f t="shared" si="221"/>
        <v>1804240</v>
      </c>
      <c r="BP87" s="171">
        <f t="shared" si="221"/>
        <v>1506422</v>
      </c>
      <c r="BQ87" s="171">
        <f t="shared" si="221"/>
        <v>297818</v>
      </c>
      <c r="BR87" s="171">
        <f t="shared" si="221"/>
        <v>115200</v>
      </c>
      <c r="BS87" s="171">
        <f t="shared" si="221"/>
        <v>102400</v>
      </c>
      <c r="BT87" s="171">
        <f t="shared" si="221"/>
        <v>12800</v>
      </c>
      <c r="BU87" s="171">
        <f t="shared" si="221"/>
        <v>648771</v>
      </c>
      <c r="BV87" s="171">
        <f t="shared" si="221"/>
        <v>18042</v>
      </c>
      <c r="BW87" s="171">
        <f t="shared" si="221"/>
        <v>2595</v>
      </c>
      <c r="BX87" s="172">
        <f t="shared" si="221"/>
        <v>3.68</v>
      </c>
      <c r="BY87" s="172">
        <f t="shared" si="221"/>
        <v>2.72</v>
      </c>
      <c r="BZ87" s="175">
        <f t="shared" si="221"/>
        <v>0.96</v>
      </c>
      <c r="CA87" s="170">
        <f t="shared" si="221"/>
        <v>0</v>
      </c>
      <c r="CB87" s="171">
        <f t="shared" ref="CB87:CF87" si="222">SUMIF($F$12:$F$463,"=3233",CB$12:CB$463)</f>
        <v>0</v>
      </c>
      <c r="CC87" s="171">
        <f t="shared" si="222"/>
        <v>0</v>
      </c>
      <c r="CD87" s="171">
        <f t="shared" si="222"/>
        <v>0</v>
      </c>
      <c r="CE87" s="171">
        <f t="shared" si="222"/>
        <v>0</v>
      </c>
      <c r="CF87" s="173">
        <f t="shared" si="222"/>
        <v>0</v>
      </c>
    </row>
    <row r="88" spans="4:84" x14ac:dyDescent="0.2">
      <c r="D88" s="5"/>
      <c r="E88" s="5"/>
      <c r="F88" s="5"/>
      <c r="G88" s="20"/>
      <c r="H88" s="5"/>
    </row>
    <row r="130" spans="79:79" x14ac:dyDescent="0.2">
      <c r="CA130" s="236">
        <f>SUM(CB129:CE129)</f>
        <v>0</v>
      </c>
    </row>
    <row r="131" spans="79:79" x14ac:dyDescent="0.2">
      <c r="CA131" s="236">
        <f>SUM(CB132:CE132)</f>
        <v>0</v>
      </c>
    </row>
  </sheetData>
  <mergeCells count="59">
    <mergeCell ref="AB11:AC11"/>
    <mergeCell ref="BD8:BE10"/>
    <mergeCell ref="BD11:BE11"/>
    <mergeCell ref="CA6:CF7"/>
    <mergeCell ref="CA8:CF9"/>
    <mergeCell ref="BP9:BQ9"/>
    <mergeCell ref="BR9:BR10"/>
    <mergeCell ref="AL9:AL10"/>
    <mergeCell ref="AM9:AN9"/>
    <mergeCell ref="AO9:AP9"/>
    <mergeCell ref="AW7:AY9"/>
    <mergeCell ref="AZ7:AZ10"/>
    <mergeCell ref="AV7:AV10"/>
    <mergeCell ref="BK8:BM9"/>
    <mergeCell ref="BV9:BV10"/>
    <mergeCell ref="BA7:BM7"/>
    <mergeCell ref="BC8:BC9"/>
    <mergeCell ref="BF8:BG8"/>
    <mergeCell ref="BH8:BH9"/>
    <mergeCell ref="BI8:BJ9"/>
    <mergeCell ref="BN6:BZ7"/>
    <mergeCell ref="BX8:BX10"/>
    <mergeCell ref="BY8:BZ9"/>
    <mergeCell ref="BW9:BW10"/>
    <mergeCell ref="BN8:BN10"/>
    <mergeCell ref="BO8:BW8"/>
    <mergeCell ref="BO9:BO10"/>
    <mergeCell ref="BS9:BT9"/>
    <mergeCell ref="BU9:BU10"/>
    <mergeCell ref="AI7:AQ8"/>
    <mergeCell ref="AR7:AT9"/>
    <mergeCell ref="Q9:Q10"/>
    <mergeCell ref="R9:R10"/>
    <mergeCell ref="J8:R8"/>
    <mergeCell ref="S8:S10"/>
    <mergeCell ref="T8:U9"/>
    <mergeCell ref="J9:J10"/>
    <mergeCell ref="K9:L9"/>
    <mergeCell ref="M9:M10"/>
    <mergeCell ref="N9:O9"/>
    <mergeCell ref="P9:P10"/>
    <mergeCell ref="AB9:AC10"/>
    <mergeCell ref="AK9:AK10"/>
    <mergeCell ref="A3:E3"/>
    <mergeCell ref="I8:I10"/>
    <mergeCell ref="I6:U7"/>
    <mergeCell ref="AU7:AU10"/>
    <mergeCell ref="AQ9:AQ10"/>
    <mergeCell ref="V6:BM6"/>
    <mergeCell ref="AD9:AE9"/>
    <mergeCell ref="AF9:AG9"/>
    <mergeCell ref="V9:W9"/>
    <mergeCell ref="X9:X10"/>
    <mergeCell ref="Y9:Z9"/>
    <mergeCell ref="AA9:AA10"/>
    <mergeCell ref="BA8:BB9"/>
    <mergeCell ref="AH9:AH10"/>
    <mergeCell ref="AI9:AJ9"/>
    <mergeCell ref="V7:AH8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CF307"/>
  <sheetViews>
    <sheetView zoomScaleNormal="100" workbookViewId="0">
      <pane xSplit="8" ySplit="11" topLeftCell="BN278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5.42578125" customWidth="1"/>
    <col min="7" max="7" width="10.28515625" style="42" customWidth="1"/>
    <col min="8" max="8" width="8" customWidth="1"/>
    <col min="9" max="12" width="10.85546875" style="8" customWidth="1"/>
    <col min="13" max="15" width="10.85546875" style="8" hidden="1" customWidth="1"/>
    <col min="16" max="18" width="10.85546875" style="8" customWidth="1"/>
    <col min="19" max="21" width="9.28515625" style="7" customWidth="1"/>
    <col min="22" max="27" width="10.28515625" style="8" customWidth="1"/>
    <col min="28" max="28" width="10.5703125" style="8" customWidth="1"/>
    <col min="29" max="29" width="10.28515625" style="8" hidden="1" customWidth="1"/>
    <col min="30" max="44" width="10.28515625" style="8" customWidth="1"/>
    <col min="45" max="45" width="10.28515625" style="7" customWidth="1"/>
    <col min="46" max="47" width="9.28515625" style="7" customWidth="1"/>
    <col min="48" max="48" width="9.140625" style="8" customWidth="1"/>
    <col min="49" max="49" width="9.7109375" style="8" customWidth="1"/>
    <col min="50" max="50" width="10" style="8" customWidth="1"/>
    <col min="51" max="51" width="9.140625" style="8" customWidth="1"/>
    <col min="52" max="52" width="9.7109375" style="8" customWidth="1"/>
    <col min="53" max="56" width="9.140625" style="7" customWidth="1"/>
    <col min="57" max="57" width="9.140625" style="7" hidden="1" customWidth="1"/>
    <col min="58" max="58" width="10.140625" style="7" customWidth="1"/>
    <col min="59" max="65" width="9.28515625" style="7" customWidth="1"/>
    <col min="66" max="75" width="10.85546875" style="7" customWidth="1"/>
    <col min="76" max="78" width="9.28515625" style="7" customWidth="1"/>
    <col min="79" max="83" width="9.7109375" style="8" customWidth="1"/>
    <col min="84" max="84" width="9.7109375" style="7" customWidth="1"/>
    <col min="200" max="200" width="6.85546875" customWidth="1"/>
    <col min="201" max="201" width="29.85546875" customWidth="1"/>
    <col min="202" max="202" width="6.7109375" customWidth="1"/>
    <col min="203" max="203" width="32.28515625" customWidth="1"/>
    <col min="204" max="204" width="10.85546875" customWidth="1"/>
    <col min="205" max="205" width="11.7109375" customWidth="1"/>
    <col min="206" max="206" width="10.85546875" customWidth="1"/>
    <col min="207" max="207" width="10.5703125" customWidth="1"/>
    <col min="209" max="209" width="10.85546875" customWidth="1"/>
    <col min="212" max="212" width="12" customWidth="1"/>
    <col min="456" max="456" width="6.85546875" customWidth="1"/>
    <col min="457" max="457" width="29.85546875" customWidth="1"/>
    <col min="458" max="458" width="6.7109375" customWidth="1"/>
    <col min="459" max="459" width="32.28515625" customWidth="1"/>
    <col min="460" max="460" width="10.85546875" customWidth="1"/>
    <col min="461" max="461" width="11.7109375" customWidth="1"/>
    <col min="462" max="462" width="10.85546875" customWidth="1"/>
    <col min="463" max="463" width="10.5703125" customWidth="1"/>
    <col min="465" max="465" width="10.85546875" customWidth="1"/>
    <col min="468" max="468" width="12" customWidth="1"/>
    <col min="712" max="712" width="6.85546875" customWidth="1"/>
    <col min="713" max="713" width="29.85546875" customWidth="1"/>
    <col min="714" max="714" width="6.7109375" customWidth="1"/>
    <col min="715" max="715" width="32.28515625" customWidth="1"/>
    <col min="716" max="716" width="10.85546875" customWidth="1"/>
    <col min="717" max="717" width="11.7109375" customWidth="1"/>
    <col min="718" max="718" width="10.85546875" customWidth="1"/>
    <col min="719" max="719" width="10.5703125" customWidth="1"/>
    <col min="721" max="721" width="10.85546875" customWidth="1"/>
    <col min="724" max="724" width="12" customWidth="1"/>
    <col min="968" max="968" width="6.85546875" customWidth="1"/>
    <col min="969" max="969" width="29.85546875" customWidth="1"/>
    <col min="970" max="970" width="6.7109375" customWidth="1"/>
    <col min="971" max="971" width="32.28515625" customWidth="1"/>
    <col min="972" max="972" width="10.85546875" customWidth="1"/>
    <col min="973" max="973" width="11.7109375" customWidth="1"/>
    <col min="974" max="974" width="10.85546875" customWidth="1"/>
    <col min="975" max="975" width="10.5703125" customWidth="1"/>
    <col min="977" max="977" width="10.85546875" customWidth="1"/>
    <col min="980" max="980" width="12" customWidth="1"/>
    <col min="1224" max="1224" width="6.85546875" customWidth="1"/>
    <col min="1225" max="1225" width="29.85546875" customWidth="1"/>
    <col min="1226" max="1226" width="6.7109375" customWidth="1"/>
    <col min="1227" max="1227" width="32.28515625" customWidth="1"/>
    <col min="1228" max="1228" width="10.85546875" customWidth="1"/>
    <col min="1229" max="1229" width="11.7109375" customWidth="1"/>
    <col min="1230" max="1230" width="10.85546875" customWidth="1"/>
    <col min="1231" max="1231" width="10.5703125" customWidth="1"/>
    <col min="1233" max="1233" width="10.85546875" customWidth="1"/>
    <col min="1236" max="1236" width="12" customWidth="1"/>
    <col min="1480" max="1480" width="6.85546875" customWidth="1"/>
    <col min="1481" max="1481" width="29.85546875" customWidth="1"/>
    <col min="1482" max="1482" width="6.7109375" customWidth="1"/>
    <col min="1483" max="1483" width="32.28515625" customWidth="1"/>
    <col min="1484" max="1484" width="10.85546875" customWidth="1"/>
    <col min="1485" max="1485" width="11.7109375" customWidth="1"/>
    <col min="1486" max="1486" width="10.85546875" customWidth="1"/>
    <col min="1487" max="1487" width="10.5703125" customWidth="1"/>
    <col min="1489" max="1489" width="10.85546875" customWidth="1"/>
    <col min="1492" max="1492" width="12" customWidth="1"/>
    <col min="1736" max="1736" width="6.85546875" customWidth="1"/>
    <col min="1737" max="1737" width="29.85546875" customWidth="1"/>
    <col min="1738" max="1738" width="6.7109375" customWidth="1"/>
    <col min="1739" max="1739" width="32.28515625" customWidth="1"/>
    <col min="1740" max="1740" width="10.85546875" customWidth="1"/>
    <col min="1741" max="1741" width="11.7109375" customWidth="1"/>
    <col min="1742" max="1742" width="10.85546875" customWidth="1"/>
    <col min="1743" max="1743" width="10.5703125" customWidth="1"/>
    <col min="1745" max="1745" width="10.85546875" customWidth="1"/>
    <col min="1748" max="1748" width="12" customWidth="1"/>
    <col min="1992" max="1992" width="6.85546875" customWidth="1"/>
    <col min="1993" max="1993" width="29.85546875" customWidth="1"/>
    <col min="1994" max="1994" width="6.7109375" customWidth="1"/>
    <col min="1995" max="1995" width="32.28515625" customWidth="1"/>
    <col min="1996" max="1996" width="10.85546875" customWidth="1"/>
    <col min="1997" max="1997" width="11.7109375" customWidth="1"/>
    <col min="1998" max="1998" width="10.85546875" customWidth="1"/>
    <col min="1999" max="1999" width="10.5703125" customWidth="1"/>
    <col min="2001" max="2001" width="10.85546875" customWidth="1"/>
    <col min="2004" max="2004" width="12" customWidth="1"/>
    <col min="2248" max="2248" width="6.85546875" customWidth="1"/>
    <col min="2249" max="2249" width="29.85546875" customWidth="1"/>
    <col min="2250" max="2250" width="6.7109375" customWidth="1"/>
    <col min="2251" max="2251" width="32.28515625" customWidth="1"/>
    <col min="2252" max="2252" width="10.85546875" customWidth="1"/>
    <col min="2253" max="2253" width="11.7109375" customWidth="1"/>
    <col min="2254" max="2254" width="10.85546875" customWidth="1"/>
    <col min="2255" max="2255" width="10.5703125" customWidth="1"/>
    <col min="2257" max="2257" width="10.85546875" customWidth="1"/>
    <col min="2260" max="2260" width="12" customWidth="1"/>
    <col min="2504" max="2504" width="6.85546875" customWidth="1"/>
    <col min="2505" max="2505" width="29.85546875" customWidth="1"/>
    <col min="2506" max="2506" width="6.7109375" customWidth="1"/>
    <col min="2507" max="2507" width="32.28515625" customWidth="1"/>
    <col min="2508" max="2508" width="10.85546875" customWidth="1"/>
    <col min="2509" max="2509" width="11.7109375" customWidth="1"/>
    <col min="2510" max="2510" width="10.85546875" customWidth="1"/>
    <col min="2511" max="2511" width="10.5703125" customWidth="1"/>
    <col min="2513" max="2513" width="10.85546875" customWidth="1"/>
    <col min="2516" max="2516" width="12" customWidth="1"/>
    <col min="2760" max="2760" width="6.85546875" customWidth="1"/>
    <col min="2761" max="2761" width="29.85546875" customWidth="1"/>
    <col min="2762" max="2762" width="6.7109375" customWidth="1"/>
    <col min="2763" max="2763" width="32.28515625" customWidth="1"/>
    <col min="2764" max="2764" width="10.85546875" customWidth="1"/>
    <col min="2765" max="2765" width="11.7109375" customWidth="1"/>
    <col min="2766" max="2766" width="10.85546875" customWidth="1"/>
    <col min="2767" max="2767" width="10.5703125" customWidth="1"/>
    <col min="2769" max="2769" width="10.85546875" customWidth="1"/>
    <col min="2772" max="2772" width="12" customWidth="1"/>
    <col min="3016" max="3016" width="6.85546875" customWidth="1"/>
    <col min="3017" max="3017" width="29.85546875" customWidth="1"/>
    <col min="3018" max="3018" width="6.7109375" customWidth="1"/>
    <col min="3019" max="3019" width="32.28515625" customWidth="1"/>
    <col min="3020" max="3020" width="10.85546875" customWidth="1"/>
    <col min="3021" max="3021" width="11.7109375" customWidth="1"/>
    <col min="3022" max="3022" width="10.85546875" customWidth="1"/>
    <col min="3023" max="3023" width="10.5703125" customWidth="1"/>
    <col min="3025" max="3025" width="10.85546875" customWidth="1"/>
    <col min="3028" max="3028" width="12" customWidth="1"/>
    <col min="3272" max="3272" width="6.85546875" customWidth="1"/>
    <col min="3273" max="3273" width="29.85546875" customWidth="1"/>
    <col min="3274" max="3274" width="6.7109375" customWidth="1"/>
    <col min="3275" max="3275" width="32.28515625" customWidth="1"/>
    <col min="3276" max="3276" width="10.85546875" customWidth="1"/>
    <col min="3277" max="3277" width="11.7109375" customWidth="1"/>
    <col min="3278" max="3278" width="10.85546875" customWidth="1"/>
    <col min="3279" max="3279" width="10.5703125" customWidth="1"/>
    <col min="3281" max="3281" width="10.85546875" customWidth="1"/>
    <col min="3284" max="3284" width="12" customWidth="1"/>
    <col min="3528" max="3528" width="6.85546875" customWidth="1"/>
    <col min="3529" max="3529" width="29.85546875" customWidth="1"/>
    <col min="3530" max="3530" width="6.7109375" customWidth="1"/>
    <col min="3531" max="3531" width="32.28515625" customWidth="1"/>
    <col min="3532" max="3532" width="10.85546875" customWidth="1"/>
    <col min="3533" max="3533" width="11.7109375" customWidth="1"/>
    <col min="3534" max="3534" width="10.85546875" customWidth="1"/>
    <col min="3535" max="3535" width="10.5703125" customWidth="1"/>
    <col min="3537" max="3537" width="10.85546875" customWidth="1"/>
    <col min="3540" max="3540" width="12" customWidth="1"/>
    <col min="3784" max="3784" width="6.85546875" customWidth="1"/>
    <col min="3785" max="3785" width="29.85546875" customWidth="1"/>
    <col min="3786" max="3786" width="6.7109375" customWidth="1"/>
    <col min="3787" max="3787" width="32.28515625" customWidth="1"/>
    <col min="3788" max="3788" width="10.85546875" customWidth="1"/>
    <col min="3789" max="3789" width="11.7109375" customWidth="1"/>
    <col min="3790" max="3790" width="10.85546875" customWidth="1"/>
    <col min="3791" max="3791" width="10.5703125" customWidth="1"/>
    <col min="3793" max="3793" width="10.85546875" customWidth="1"/>
    <col min="3796" max="3796" width="12" customWidth="1"/>
    <col min="4040" max="4040" width="6.85546875" customWidth="1"/>
    <col min="4041" max="4041" width="29.85546875" customWidth="1"/>
    <col min="4042" max="4042" width="6.7109375" customWidth="1"/>
    <col min="4043" max="4043" width="32.28515625" customWidth="1"/>
    <col min="4044" max="4044" width="10.85546875" customWidth="1"/>
    <col min="4045" max="4045" width="11.7109375" customWidth="1"/>
    <col min="4046" max="4046" width="10.85546875" customWidth="1"/>
    <col min="4047" max="4047" width="10.5703125" customWidth="1"/>
    <col min="4049" max="4049" width="10.85546875" customWidth="1"/>
    <col min="4052" max="4052" width="12" customWidth="1"/>
    <col min="4296" max="4296" width="6.85546875" customWidth="1"/>
    <col min="4297" max="4297" width="29.85546875" customWidth="1"/>
    <col min="4298" max="4298" width="6.7109375" customWidth="1"/>
    <col min="4299" max="4299" width="32.28515625" customWidth="1"/>
    <col min="4300" max="4300" width="10.85546875" customWidth="1"/>
    <col min="4301" max="4301" width="11.7109375" customWidth="1"/>
    <col min="4302" max="4302" width="10.85546875" customWidth="1"/>
    <col min="4303" max="4303" width="10.5703125" customWidth="1"/>
    <col min="4305" max="4305" width="10.85546875" customWidth="1"/>
    <col min="4308" max="4308" width="12" customWidth="1"/>
    <col min="4552" max="4552" width="6.85546875" customWidth="1"/>
    <col min="4553" max="4553" width="29.85546875" customWidth="1"/>
    <col min="4554" max="4554" width="6.7109375" customWidth="1"/>
    <col min="4555" max="4555" width="32.28515625" customWidth="1"/>
    <col min="4556" max="4556" width="10.85546875" customWidth="1"/>
    <col min="4557" max="4557" width="11.7109375" customWidth="1"/>
    <col min="4558" max="4558" width="10.85546875" customWidth="1"/>
    <col min="4559" max="4559" width="10.5703125" customWidth="1"/>
    <col min="4561" max="4561" width="10.85546875" customWidth="1"/>
    <col min="4564" max="4564" width="12" customWidth="1"/>
    <col min="4808" max="4808" width="6.85546875" customWidth="1"/>
    <col min="4809" max="4809" width="29.85546875" customWidth="1"/>
    <col min="4810" max="4810" width="6.7109375" customWidth="1"/>
    <col min="4811" max="4811" width="32.28515625" customWidth="1"/>
    <col min="4812" max="4812" width="10.85546875" customWidth="1"/>
    <col min="4813" max="4813" width="11.7109375" customWidth="1"/>
    <col min="4814" max="4814" width="10.85546875" customWidth="1"/>
    <col min="4815" max="4815" width="10.5703125" customWidth="1"/>
    <col min="4817" max="4817" width="10.85546875" customWidth="1"/>
    <col min="4820" max="4820" width="12" customWidth="1"/>
    <col min="5064" max="5064" width="6.85546875" customWidth="1"/>
    <col min="5065" max="5065" width="29.85546875" customWidth="1"/>
    <col min="5066" max="5066" width="6.7109375" customWidth="1"/>
    <col min="5067" max="5067" width="32.28515625" customWidth="1"/>
    <col min="5068" max="5068" width="10.85546875" customWidth="1"/>
    <col min="5069" max="5069" width="11.7109375" customWidth="1"/>
    <col min="5070" max="5070" width="10.85546875" customWidth="1"/>
    <col min="5071" max="5071" width="10.5703125" customWidth="1"/>
    <col min="5073" max="5073" width="10.85546875" customWidth="1"/>
    <col min="5076" max="5076" width="12" customWidth="1"/>
    <col min="5320" max="5320" width="6.85546875" customWidth="1"/>
    <col min="5321" max="5321" width="29.85546875" customWidth="1"/>
    <col min="5322" max="5322" width="6.7109375" customWidth="1"/>
    <col min="5323" max="5323" width="32.28515625" customWidth="1"/>
    <col min="5324" max="5324" width="10.85546875" customWidth="1"/>
    <col min="5325" max="5325" width="11.7109375" customWidth="1"/>
    <col min="5326" max="5326" width="10.85546875" customWidth="1"/>
    <col min="5327" max="5327" width="10.5703125" customWidth="1"/>
    <col min="5329" max="5329" width="10.85546875" customWidth="1"/>
    <col min="5332" max="5332" width="12" customWidth="1"/>
    <col min="5576" max="5576" width="6.85546875" customWidth="1"/>
    <col min="5577" max="5577" width="29.85546875" customWidth="1"/>
    <col min="5578" max="5578" width="6.7109375" customWidth="1"/>
    <col min="5579" max="5579" width="32.28515625" customWidth="1"/>
    <col min="5580" max="5580" width="10.85546875" customWidth="1"/>
    <col min="5581" max="5581" width="11.7109375" customWidth="1"/>
    <col min="5582" max="5582" width="10.85546875" customWidth="1"/>
    <col min="5583" max="5583" width="10.5703125" customWidth="1"/>
    <col min="5585" max="5585" width="10.85546875" customWidth="1"/>
    <col min="5588" max="5588" width="12" customWidth="1"/>
    <col min="5832" max="5832" width="6.85546875" customWidth="1"/>
    <col min="5833" max="5833" width="29.85546875" customWidth="1"/>
    <col min="5834" max="5834" width="6.7109375" customWidth="1"/>
    <col min="5835" max="5835" width="32.28515625" customWidth="1"/>
    <col min="5836" max="5836" width="10.85546875" customWidth="1"/>
    <col min="5837" max="5837" width="11.7109375" customWidth="1"/>
    <col min="5838" max="5838" width="10.85546875" customWidth="1"/>
    <col min="5839" max="5839" width="10.5703125" customWidth="1"/>
    <col min="5841" max="5841" width="10.85546875" customWidth="1"/>
    <col min="5844" max="5844" width="12" customWidth="1"/>
    <col min="6088" max="6088" width="6.85546875" customWidth="1"/>
    <col min="6089" max="6089" width="29.85546875" customWidth="1"/>
    <col min="6090" max="6090" width="6.7109375" customWidth="1"/>
    <col min="6091" max="6091" width="32.28515625" customWidth="1"/>
    <col min="6092" max="6092" width="10.85546875" customWidth="1"/>
    <col min="6093" max="6093" width="11.7109375" customWidth="1"/>
    <col min="6094" max="6094" width="10.85546875" customWidth="1"/>
    <col min="6095" max="6095" width="10.5703125" customWidth="1"/>
    <col min="6097" max="6097" width="10.85546875" customWidth="1"/>
    <col min="6100" max="6100" width="12" customWidth="1"/>
    <col min="6344" max="6344" width="6.85546875" customWidth="1"/>
    <col min="6345" max="6345" width="29.85546875" customWidth="1"/>
    <col min="6346" max="6346" width="6.7109375" customWidth="1"/>
    <col min="6347" max="6347" width="32.28515625" customWidth="1"/>
    <col min="6348" max="6348" width="10.85546875" customWidth="1"/>
    <col min="6349" max="6349" width="11.7109375" customWidth="1"/>
    <col min="6350" max="6350" width="10.85546875" customWidth="1"/>
    <col min="6351" max="6351" width="10.5703125" customWidth="1"/>
    <col min="6353" max="6353" width="10.85546875" customWidth="1"/>
    <col min="6356" max="6356" width="12" customWidth="1"/>
    <col min="6600" max="6600" width="6.85546875" customWidth="1"/>
    <col min="6601" max="6601" width="29.85546875" customWidth="1"/>
    <col min="6602" max="6602" width="6.7109375" customWidth="1"/>
    <col min="6603" max="6603" width="32.28515625" customWidth="1"/>
    <col min="6604" max="6604" width="10.85546875" customWidth="1"/>
    <col min="6605" max="6605" width="11.7109375" customWidth="1"/>
    <col min="6606" max="6606" width="10.85546875" customWidth="1"/>
    <col min="6607" max="6607" width="10.5703125" customWidth="1"/>
    <col min="6609" max="6609" width="10.85546875" customWidth="1"/>
    <col min="6612" max="6612" width="12" customWidth="1"/>
    <col min="6856" max="6856" width="6.85546875" customWidth="1"/>
    <col min="6857" max="6857" width="29.85546875" customWidth="1"/>
    <col min="6858" max="6858" width="6.7109375" customWidth="1"/>
    <col min="6859" max="6859" width="32.28515625" customWidth="1"/>
    <col min="6860" max="6860" width="10.85546875" customWidth="1"/>
    <col min="6861" max="6861" width="11.7109375" customWidth="1"/>
    <col min="6862" max="6862" width="10.85546875" customWidth="1"/>
    <col min="6863" max="6863" width="10.5703125" customWidth="1"/>
    <col min="6865" max="6865" width="10.85546875" customWidth="1"/>
    <col min="6868" max="6868" width="12" customWidth="1"/>
    <col min="7112" max="7112" width="6.85546875" customWidth="1"/>
    <col min="7113" max="7113" width="29.85546875" customWidth="1"/>
    <col min="7114" max="7114" width="6.7109375" customWidth="1"/>
    <col min="7115" max="7115" width="32.28515625" customWidth="1"/>
    <col min="7116" max="7116" width="10.85546875" customWidth="1"/>
    <col min="7117" max="7117" width="11.7109375" customWidth="1"/>
    <col min="7118" max="7118" width="10.85546875" customWidth="1"/>
    <col min="7119" max="7119" width="10.5703125" customWidth="1"/>
    <col min="7121" max="7121" width="10.85546875" customWidth="1"/>
    <col min="7124" max="7124" width="12" customWidth="1"/>
    <col min="7368" max="7368" width="6.85546875" customWidth="1"/>
    <col min="7369" max="7369" width="29.85546875" customWidth="1"/>
    <col min="7370" max="7370" width="6.7109375" customWidth="1"/>
    <col min="7371" max="7371" width="32.28515625" customWidth="1"/>
    <col min="7372" max="7372" width="10.85546875" customWidth="1"/>
    <col min="7373" max="7373" width="11.7109375" customWidth="1"/>
    <col min="7374" max="7374" width="10.85546875" customWidth="1"/>
    <col min="7375" max="7375" width="10.5703125" customWidth="1"/>
    <col min="7377" max="7377" width="10.85546875" customWidth="1"/>
    <col min="7380" max="7380" width="12" customWidth="1"/>
    <col min="7624" max="7624" width="6.85546875" customWidth="1"/>
    <col min="7625" max="7625" width="29.85546875" customWidth="1"/>
    <col min="7626" max="7626" width="6.7109375" customWidth="1"/>
    <col min="7627" max="7627" width="32.28515625" customWidth="1"/>
    <col min="7628" max="7628" width="10.85546875" customWidth="1"/>
    <col min="7629" max="7629" width="11.7109375" customWidth="1"/>
    <col min="7630" max="7630" width="10.85546875" customWidth="1"/>
    <col min="7631" max="7631" width="10.5703125" customWidth="1"/>
    <col min="7633" max="7633" width="10.85546875" customWidth="1"/>
    <col min="7636" max="7636" width="12" customWidth="1"/>
    <col min="7880" max="7880" width="6.85546875" customWidth="1"/>
    <col min="7881" max="7881" width="29.85546875" customWidth="1"/>
    <col min="7882" max="7882" width="6.7109375" customWidth="1"/>
    <col min="7883" max="7883" width="32.28515625" customWidth="1"/>
    <col min="7884" max="7884" width="10.85546875" customWidth="1"/>
    <col min="7885" max="7885" width="11.7109375" customWidth="1"/>
    <col min="7886" max="7886" width="10.85546875" customWidth="1"/>
    <col min="7887" max="7887" width="10.5703125" customWidth="1"/>
    <col min="7889" max="7889" width="10.85546875" customWidth="1"/>
    <col min="7892" max="7892" width="12" customWidth="1"/>
    <col min="8136" max="8136" width="6.85546875" customWidth="1"/>
    <col min="8137" max="8137" width="29.85546875" customWidth="1"/>
    <col min="8138" max="8138" width="6.7109375" customWidth="1"/>
    <col min="8139" max="8139" width="32.28515625" customWidth="1"/>
    <col min="8140" max="8140" width="10.85546875" customWidth="1"/>
    <col min="8141" max="8141" width="11.7109375" customWidth="1"/>
    <col min="8142" max="8142" width="10.85546875" customWidth="1"/>
    <col min="8143" max="8143" width="10.5703125" customWidth="1"/>
    <col min="8145" max="8145" width="10.85546875" customWidth="1"/>
    <col min="8148" max="8148" width="12" customWidth="1"/>
    <col min="8392" max="8392" width="6.85546875" customWidth="1"/>
    <col min="8393" max="8393" width="29.85546875" customWidth="1"/>
    <col min="8394" max="8394" width="6.7109375" customWidth="1"/>
    <col min="8395" max="8395" width="32.28515625" customWidth="1"/>
    <col min="8396" max="8396" width="10.85546875" customWidth="1"/>
    <col min="8397" max="8397" width="11.7109375" customWidth="1"/>
    <col min="8398" max="8398" width="10.85546875" customWidth="1"/>
    <col min="8399" max="8399" width="10.5703125" customWidth="1"/>
    <col min="8401" max="8401" width="10.85546875" customWidth="1"/>
    <col min="8404" max="8404" width="12" customWidth="1"/>
    <col min="8648" max="8648" width="6.85546875" customWidth="1"/>
    <col min="8649" max="8649" width="29.85546875" customWidth="1"/>
    <col min="8650" max="8650" width="6.7109375" customWidth="1"/>
    <col min="8651" max="8651" width="32.28515625" customWidth="1"/>
    <col min="8652" max="8652" width="10.85546875" customWidth="1"/>
    <col min="8653" max="8653" width="11.7109375" customWidth="1"/>
    <col min="8654" max="8654" width="10.85546875" customWidth="1"/>
    <col min="8655" max="8655" width="10.5703125" customWidth="1"/>
    <col min="8657" max="8657" width="10.85546875" customWidth="1"/>
    <col min="8660" max="8660" width="12" customWidth="1"/>
    <col min="8904" max="8904" width="6.85546875" customWidth="1"/>
    <col min="8905" max="8905" width="29.85546875" customWidth="1"/>
    <col min="8906" max="8906" width="6.7109375" customWidth="1"/>
    <col min="8907" max="8907" width="32.28515625" customWidth="1"/>
    <col min="8908" max="8908" width="10.85546875" customWidth="1"/>
    <col min="8909" max="8909" width="11.7109375" customWidth="1"/>
    <col min="8910" max="8910" width="10.85546875" customWidth="1"/>
    <col min="8911" max="8911" width="10.5703125" customWidth="1"/>
    <col min="8913" max="8913" width="10.85546875" customWidth="1"/>
    <col min="8916" max="8916" width="12" customWidth="1"/>
    <col min="9160" max="9160" width="6.85546875" customWidth="1"/>
    <col min="9161" max="9161" width="29.85546875" customWidth="1"/>
    <col min="9162" max="9162" width="6.7109375" customWidth="1"/>
    <col min="9163" max="9163" width="32.28515625" customWidth="1"/>
    <col min="9164" max="9164" width="10.85546875" customWidth="1"/>
    <col min="9165" max="9165" width="11.7109375" customWidth="1"/>
    <col min="9166" max="9166" width="10.85546875" customWidth="1"/>
    <col min="9167" max="9167" width="10.5703125" customWidth="1"/>
    <col min="9169" max="9169" width="10.85546875" customWidth="1"/>
    <col min="9172" max="9172" width="12" customWidth="1"/>
    <col min="9416" max="9416" width="6.85546875" customWidth="1"/>
    <col min="9417" max="9417" width="29.85546875" customWidth="1"/>
    <col min="9418" max="9418" width="6.7109375" customWidth="1"/>
    <col min="9419" max="9419" width="32.28515625" customWidth="1"/>
    <col min="9420" max="9420" width="10.85546875" customWidth="1"/>
    <col min="9421" max="9421" width="11.7109375" customWidth="1"/>
    <col min="9422" max="9422" width="10.85546875" customWidth="1"/>
    <col min="9423" max="9423" width="10.5703125" customWidth="1"/>
    <col min="9425" max="9425" width="10.85546875" customWidth="1"/>
    <col min="9428" max="9428" width="12" customWidth="1"/>
    <col min="9672" max="9672" width="6.85546875" customWidth="1"/>
    <col min="9673" max="9673" width="29.85546875" customWidth="1"/>
    <col min="9674" max="9674" width="6.7109375" customWidth="1"/>
    <col min="9675" max="9675" width="32.28515625" customWidth="1"/>
    <col min="9676" max="9676" width="10.85546875" customWidth="1"/>
    <col min="9677" max="9677" width="11.7109375" customWidth="1"/>
    <col min="9678" max="9678" width="10.85546875" customWidth="1"/>
    <col min="9679" max="9679" width="10.5703125" customWidth="1"/>
    <col min="9681" max="9681" width="10.85546875" customWidth="1"/>
    <col min="9684" max="9684" width="12" customWidth="1"/>
    <col min="9928" max="9928" width="6.85546875" customWidth="1"/>
    <col min="9929" max="9929" width="29.85546875" customWidth="1"/>
    <col min="9930" max="9930" width="6.7109375" customWidth="1"/>
    <col min="9931" max="9931" width="32.28515625" customWidth="1"/>
    <col min="9932" max="9932" width="10.85546875" customWidth="1"/>
    <col min="9933" max="9933" width="11.7109375" customWidth="1"/>
    <col min="9934" max="9934" width="10.85546875" customWidth="1"/>
    <col min="9935" max="9935" width="10.5703125" customWidth="1"/>
    <col min="9937" max="9937" width="10.85546875" customWidth="1"/>
    <col min="9940" max="9940" width="12" customWidth="1"/>
    <col min="10184" max="10184" width="6.85546875" customWidth="1"/>
    <col min="10185" max="10185" width="29.85546875" customWidth="1"/>
    <col min="10186" max="10186" width="6.7109375" customWidth="1"/>
    <col min="10187" max="10187" width="32.28515625" customWidth="1"/>
    <col min="10188" max="10188" width="10.85546875" customWidth="1"/>
    <col min="10189" max="10189" width="11.7109375" customWidth="1"/>
    <col min="10190" max="10190" width="10.85546875" customWidth="1"/>
    <col min="10191" max="10191" width="10.5703125" customWidth="1"/>
    <col min="10193" max="10193" width="10.85546875" customWidth="1"/>
    <col min="10196" max="10196" width="12" customWidth="1"/>
    <col min="10440" max="10440" width="6.85546875" customWidth="1"/>
    <col min="10441" max="10441" width="29.85546875" customWidth="1"/>
    <col min="10442" max="10442" width="6.7109375" customWidth="1"/>
    <col min="10443" max="10443" width="32.28515625" customWidth="1"/>
    <col min="10444" max="10444" width="10.85546875" customWidth="1"/>
    <col min="10445" max="10445" width="11.7109375" customWidth="1"/>
    <col min="10446" max="10446" width="10.85546875" customWidth="1"/>
    <col min="10447" max="10447" width="10.5703125" customWidth="1"/>
    <col min="10449" max="10449" width="10.85546875" customWidth="1"/>
    <col min="10452" max="10452" width="12" customWidth="1"/>
    <col min="10696" max="10696" width="6.85546875" customWidth="1"/>
    <col min="10697" max="10697" width="29.85546875" customWidth="1"/>
    <col min="10698" max="10698" width="6.7109375" customWidth="1"/>
    <col min="10699" max="10699" width="32.28515625" customWidth="1"/>
    <col min="10700" max="10700" width="10.85546875" customWidth="1"/>
    <col min="10701" max="10701" width="11.7109375" customWidth="1"/>
    <col min="10702" max="10702" width="10.85546875" customWidth="1"/>
    <col min="10703" max="10703" width="10.5703125" customWidth="1"/>
    <col min="10705" max="10705" width="10.85546875" customWidth="1"/>
    <col min="10708" max="10708" width="12" customWidth="1"/>
    <col min="10952" max="10952" width="6.85546875" customWidth="1"/>
    <col min="10953" max="10953" width="29.85546875" customWidth="1"/>
    <col min="10954" max="10954" width="6.7109375" customWidth="1"/>
    <col min="10955" max="10955" width="32.28515625" customWidth="1"/>
    <col min="10956" max="10956" width="10.85546875" customWidth="1"/>
    <col min="10957" max="10957" width="11.7109375" customWidth="1"/>
    <col min="10958" max="10958" width="10.85546875" customWidth="1"/>
    <col min="10959" max="10959" width="10.5703125" customWidth="1"/>
    <col min="10961" max="10961" width="10.85546875" customWidth="1"/>
    <col min="10964" max="10964" width="12" customWidth="1"/>
    <col min="11208" max="11208" width="6.85546875" customWidth="1"/>
    <col min="11209" max="11209" width="29.85546875" customWidth="1"/>
    <col min="11210" max="11210" width="6.7109375" customWidth="1"/>
    <col min="11211" max="11211" width="32.28515625" customWidth="1"/>
    <col min="11212" max="11212" width="10.85546875" customWidth="1"/>
    <col min="11213" max="11213" width="11.7109375" customWidth="1"/>
    <col min="11214" max="11214" width="10.85546875" customWidth="1"/>
    <col min="11215" max="11215" width="10.5703125" customWidth="1"/>
    <col min="11217" max="11217" width="10.85546875" customWidth="1"/>
    <col min="11220" max="11220" width="12" customWidth="1"/>
    <col min="11464" max="11464" width="6.85546875" customWidth="1"/>
    <col min="11465" max="11465" width="29.85546875" customWidth="1"/>
    <col min="11466" max="11466" width="6.7109375" customWidth="1"/>
    <col min="11467" max="11467" width="32.28515625" customWidth="1"/>
    <col min="11468" max="11468" width="10.85546875" customWidth="1"/>
    <col min="11469" max="11469" width="11.7109375" customWidth="1"/>
    <col min="11470" max="11470" width="10.85546875" customWidth="1"/>
    <col min="11471" max="11471" width="10.5703125" customWidth="1"/>
    <col min="11473" max="11473" width="10.85546875" customWidth="1"/>
    <col min="11476" max="11476" width="12" customWidth="1"/>
    <col min="11720" max="11720" width="6.85546875" customWidth="1"/>
    <col min="11721" max="11721" width="29.85546875" customWidth="1"/>
    <col min="11722" max="11722" width="6.7109375" customWidth="1"/>
    <col min="11723" max="11723" width="32.28515625" customWidth="1"/>
    <col min="11724" max="11724" width="10.85546875" customWidth="1"/>
    <col min="11725" max="11725" width="11.7109375" customWidth="1"/>
    <col min="11726" max="11726" width="10.85546875" customWidth="1"/>
    <col min="11727" max="11727" width="10.5703125" customWidth="1"/>
    <col min="11729" max="11729" width="10.85546875" customWidth="1"/>
    <col min="11732" max="11732" width="12" customWidth="1"/>
    <col min="11976" max="11976" width="6.85546875" customWidth="1"/>
    <col min="11977" max="11977" width="29.85546875" customWidth="1"/>
    <col min="11978" max="11978" width="6.7109375" customWidth="1"/>
    <col min="11979" max="11979" width="32.28515625" customWidth="1"/>
    <col min="11980" max="11980" width="10.85546875" customWidth="1"/>
    <col min="11981" max="11981" width="11.7109375" customWidth="1"/>
    <col min="11982" max="11982" width="10.85546875" customWidth="1"/>
    <col min="11983" max="11983" width="10.5703125" customWidth="1"/>
    <col min="11985" max="11985" width="10.85546875" customWidth="1"/>
    <col min="11988" max="11988" width="12" customWidth="1"/>
    <col min="12232" max="12232" width="6.85546875" customWidth="1"/>
    <col min="12233" max="12233" width="29.85546875" customWidth="1"/>
    <col min="12234" max="12234" width="6.7109375" customWidth="1"/>
    <col min="12235" max="12235" width="32.28515625" customWidth="1"/>
    <col min="12236" max="12236" width="10.85546875" customWidth="1"/>
    <col min="12237" max="12237" width="11.7109375" customWidth="1"/>
    <col min="12238" max="12238" width="10.85546875" customWidth="1"/>
    <col min="12239" max="12239" width="10.5703125" customWidth="1"/>
    <col min="12241" max="12241" width="10.85546875" customWidth="1"/>
    <col min="12244" max="12244" width="12" customWidth="1"/>
    <col min="12488" max="12488" width="6.85546875" customWidth="1"/>
    <col min="12489" max="12489" width="29.85546875" customWidth="1"/>
    <col min="12490" max="12490" width="6.7109375" customWidth="1"/>
    <col min="12491" max="12491" width="32.28515625" customWidth="1"/>
    <col min="12492" max="12492" width="10.85546875" customWidth="1"/>
    <col min="12493" max="12493" width="11.7109375" customWidth="1"/>
    <col min="12494" max="12494" width="10.85546875" customWidth="1"/>
    <col min="12495" max="12495" width="10.5703125" customWidth="1"/>
    <col min="12497" max="12497" width="10.85546875" customWidth="1"/>
    <col min="12500" max="12500" width="12" customWidth="1"/>
    <col min="12744" max="12744" width="6.85546875" customWidth="1"/>
    <col min="12745" max="12745" width="29.85546875" customWidth="1"/>
    <col min="12746" max="12746" width="6.7109375" customWidth="1"/>
    <col min="12747" max="12747" width="32.28515625" customWidth="1"/>
    <col min="12748" max="12748" width="10.85546875" customWidth="1"/>
    <col min="12749" max="12749" width="11.7109375" customWidth="1"/>
    <col min="12750" max="12750" width="10.85546875" customWidth="1"/>
    <col min="12751" max="12751" width="10.5703125" customWidth="1"/>
    <col min="12753" max="12753" width="10.85546875" customWidth="1"/>
    <col min="12756" max="12756" width="12" customWidth="1"/>
    <col min="13000" max="13000" width="6.85546875" customWidth="1"/>
    <col min="13001" max="13001" width="29.85546875" customWidth="1"/>
    <col min="13002" max="13002" width="6.7109375" customWidth="1"/>
    <col min="13003" max="13003" width="32.28515625" customWidth="1"/>
    <col min="13004" max="13004" width="10.85546875" customWidth="1"/>
    <col min="13005" max="13005" width="11.7109375" customWidth="1"/>
    <col min="13006" max="13006" width="10.85546875" customWidth="1"/>
    <col min="13007" max="13007" width="10.5703125" customWidth="1"/>
    <col min="13009" max="13009" width="10.85546875" customWidth="1"/>
    <col min="13012" max="13012" width="12" customWidth="1"/>
    <col min="13256" max="13256" width="6.85546875" customWidth="1"/>
    <col min="13257" max="13257" width="29.85546875" customWidth="1"/>
    <col min="13258" max="13258" width="6.7109375" customWidth="1"/>
    <col min="13259" max="13259" width="32.28515625" customWidth="1"/>
    <col min="13260" max="13260" width="10.85546875" customWidth="1"/>
    <col min="13261" max="13261" width="11.7109375" customWidth="1"/>
    <col min="13262" max="13262" width="10.85546875" customWidth="1"/>
    <col min="13263" max="13263" width="10.5703125" customWidth="1"/>
    <col min="13265" max="13265" width="10.85546875" customWidth="1"/>
    <col min="13268" max="13268" width="12" customWidth="1"/>
    <col min="13512" max="13512" width="6.85546875" customWidth="1"/>
    <col min="13513" max="13513" width="29.85546875" customWidth="1"/>
    <col min="13514" max="13514" width="6.7109375" customWidth="1"/>
    <col min="13515" max="13515" width="32.28515625" customWidth="1"/>
    <col min="13516" max="13516" width="10.85546875" customWidth="1"/>
    <col min="13517" max="13517" width="11.7109375" customWidth="1"/>
    <col min="13518" max="13518" width="10.85546875" customWidth="1"/>
    <col min="13519" max="13519" width="10.5703125" customWidth="1"/>
    <col min="13521" max="13521" width="10.85546875" customWidth="1"/>
    <col min="13524" max="13524" width="12" customWidth="1"/>
    <col min="13768" max="13768" width="6.85546875" customWidth="1"/>
    <col min="13769" max="13769" width="29.85546875" customWidth="1"/>
    <col min="13770" max="13770" width="6.7109375" customWidth="1"/>
    <col min="13771" max="13771" width="32.28515625" customWidth="1"/>
    <col min="13772" max="13772" width="10.85546875" customWidth="1"/>
    <col min="13773" max="13773" width="11.7109375" customWidth="1"/>
    <col min="13774" max="13774" width="10.85546875" customWidth="1"/>
    <col min="13775" max="13775" width="10.5703125" customWidth="1"/>
    <col min="13777" max="13777" width="10.85546875" customWidth="1"/>
    <col min="13780" max="13780" width="12" customWidth="1"/>
    <col min="14024" max="14024" width="6.85546875" customWidth="1"/>
    <col min="14025" max="14025" width="29.85546875" customWidth="1"/>
    <col min="14026" max="14026" width="6.7109375" customWidth="1"/>
    <col min="14027" max="14027" width="32.28515625" customWidth="1"/>
    <col min="14028" max="14028" width="10.85546875" customWidth="1"/>
    <col min="14029" max="14029" width="11.7109375" customWidth="1"/>
    <col min="14030" max="14030" width="10.85546875" customWidth="1"/>
    <col min="14031" max="14031" width="10.5703125" customWidth="1"/>
    <col min="14033" max="14033" width="10.85546875" customWidth="1"/>
    <col min="14036" max="14036" width="12" customWidth="1"/>
    <col min="14280" max="14280" width="6.85546875" customWidth="1"/>
    <col min="14281" max="14281" width="29.85546875" customWidth="1"/>
    <col min="14282" max="14282" width="6.7109375" customWidth="1"/>
    <col min="14283" max="14283" width="32.28515625" customWidth="1"/>
    <col min="14284" max="14284" width="10.85546875" customWidth="1"/>
    <col min="14285" max="14285" width="11.7109375" customWidth="1"/>
    <col min="14286" max="14286" width="10.85546875" customWidth="1"/>
    <col min="14287" max="14287" width="10.5703125" customWidth="1"/>
    <col min="14289" max="14289" width="10.85546875" customWidth="1"/>
    <col min="14292" max="14292" width="12" customWidth="1"/>
    <col min="14536" max="14536" width="6.85546875" customWidth="1"/>
    <col min="14537" max="14537" width="29.85546875" customWidth="1"/>
    <col min="14538" max="14538" width="6.7109375" customWidth="1"/>
    <col min="14539" max="14539" width="32.28515625" customWidth="1"/>
    <col min="14540" max="14540" width="10.85546875" customWidth="1"/>
    <col min="14541" max="14541" width="11.7109375" customWidth="1"/>
    <col min="14542" max="14542" width="10.85546875" customWidth="1"/>
    <col min="14543" max="14543" width="10.5703125" customWidth="1"/>
    <col min="14545" max="14545" width="10.85546875" customWidth="1"/>
    <col min="14548" max="14548" width="12" customWidth="1"/>
    <col min="14792" max="14792" width="6.85546875" customWidth="1"/>
    <col min="14793" max="14793" width="29.85546875" customWidth="1"/>
    <col min="14794" max="14794" width="6.7109375" customWidth="1"/>
    <col min="14795" max="14795" width="32.28515625" customWidth="1"/>
    <col min="14796" max="14796" width="10.85546875" customWidth="1"/>
    <col min="14797" max="14797" width="11.7109375" customWidth="1"/>
    <col min="14798" max="14798" width="10.85546875" customWidth="1"/>
    <col min="14799" max="14799" width="10.5703125" customWidth="1"/>
    <col min="14801" max="14801" width="10.85546875" customWidth="1"/>
    <col min="14804" max="14804" width="12" customWidth="1"/>
    <col min="15048" max="15048" width="6.85546875" customWidth="1"/>
    <col min="15049" max="15049" width="29.85546875" customWidth="1"/>
    <col min="15050" max="15050" width="6.7109375" customWidth="1"/>
    <col min="15051" max="15051" width="32.28515625" customWidth="1"/>
    <col min="15052" max="15052" width="10.85546875" customWidth="1"/>
    <col min="15053" max="15053" width="11.7109375" customWidth="1"/>
    <col min="15054" max="15054" width="10.85546875" customWidth="1"/>
    <col min="15055" max="15055" width="10.5703125" customWidth="1"/>
    <col min="15057" max="15057" width="10.85546875" customWidth="1"/>
    <col min="15060" max="15060" width="12" customWidth="1"/>
    <col min="15304" max="15304" width="6.85546875" customWidth="1"/>
    <col min="15305" max="15305" width="29.85546875" customWidth="1"/>
    <col min="15306" max="15306" width="6.7109375" customWidth="1"/>
    <col min="15307" max="15307" width="32.28515625" customWidth="1"/>
    <col min="15308" max="15308" width="10.85546875" customWidth="1"/>
    <col min="15309" max="15309" width="11.7109375" customWidth="1"/>
    <col min="15310" max="15310" width="10.85546875" customWidth="1"/>
    <col min="15311" max="15311" width="10.5703125" customWidth="1"/>
    <col min="15313" max="15313" width="10.85546875" customWidth="1"/>
    <col min="15316" max="15316" width="12" customWidth="1"/>
    <col min="15560" max="15560" width="6.85546875" customWidth="1"/>
    <col min="15561" max="15561" width="29.85546875" customWidth="1"/>
    <col min="15562" max="15562" width="6.7109375" customWidth="1"/>
    <col min="15563" max="15563" width="32.28515625" customWidth="1"/>
    <col min="15564" max="15564" width="10.85546875" customWidth="1"/>
    <col min="15565" max="15565" width="11.7109375" customWidth="1"/>
    <col min="15566" max="15566" width="10.85546875" customWidth="1"/>
    <col min="15567" max="15567" width="10.5703125" customWidth="1"/>
    <col min="15569" max="15569" width="10.85546875" customWidth="1"/>
    <col min="15572" max="15572" width="12" customWidth="1"/>
    <col min="15816" max="15816" width="6.85546875" customWidth="1"/>
    <col min="15817" max="15817" width="29.85546875" customWidth="1"/>
    <col min="15818" max="15818" width="6.7109375" customWidth="1"/>
    <col min="15819" max="15819" width="32.28515625" customWidth="1"/>
    <col min="15820" max="15820" width="10.85546875" customWidth="1"/>
    <col min="15821" max="15821" width="11.7109375" customWidth="1"/>
    <col min="15822" max="15822" width="10.85546875" customWidth="1"/>
    <col min="15823" max="15823" width="10.5703125" customWidth="1"/>
    <col min="15825" max="15825" width="10.85546875" customWidth="1"/>
    <col min="15828" max="15828" width="12" customWidth="1"/>
    <col min="16072" max="16072" width="6.85546875" customWidth="1"/>
    <col min="16073" max="16073" width="29.85546875" customWidth="1"/>
    <col min="16074" max="16074" width="6.7109375" customWidth="1"/>
    <col min="16075" max="16075" width="32.28515625" customWidth="1"/>
    <col min="16076" max="16076" width="10.85546875" customWidth="1"/>
    <col min="16077" max="16077" width="11.7109375" customWidth="1"/>
    <col min="16078" max="16078" width="10.85546875" customWidth="1"/>
    <col min="16079" max="16079" width="10.5703125" customWidth="1"/>
    <col min="16081" max="16081" width="10.85546875" customWidth="1"/>
    <col min="16084" max="16084" width="12" customWidth="1"/>
  </cols>
  <sheetData>
    <row r="1" spans="1:84" ht="15" x14ac:dyDescent="0.25">
      <c r="A1" s="50" t="s">
        <v>2</v>
      </c>
      <c r="B1" s="50"/>
      <c r="C1" s="42"/>
      <c r="D1" s="50"/>
      <c r="E1" s="50"/>
      <c r="F1" s="90"/>
      <c r="G1" s="90"/>
      <c r="H1" s="90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5" x14ac:dyDescent="0.25">
      <c r="A2" s="50" t="s">
        <v>3</v>
      </c>
      <c r="B2" s="50"/>
      <c r="C2" s="42"/>
      <c r="D2" s="50"/>
      <c r="E2" s="50"/>
      <c r="F2" s="90"/>
      <c r="G2" s="90"/>
      <c r="H2" s="90"/>
    </row>
    <row r="3" spans="1:84" ht="12.75" customHeight="1" x14ac:dyDescent="0.25">
      <c r="A3" s="965" t="s">
        <v>4</v>
      </c>
      <c r="B3" s="965"/>
      <c r="C3" s="965"/>
      <c r="D3" s="965"/>
      <c r="E3" s="965"/>
      <c r="F3" s="90"/>
      <c r="G3" s="90"/>
      <c r="H3" s="90"/>
      <c r="AX3" s="524"/>
      <c r="AY3" s="524"/>
    </row>
    <row r="4" spans="1:84" ht="15" x14ac:dyDescent="0.25">
      <c r="A4" s="89"/>
      <c r="B4" s="50"/>
      <c r="C4" s="50"/>
      <c r="D4" s="50"/>
      <c r="E4" s="50"/>
      <c r="F4" s="90"/>
      <c r="G4" s="90"/>
      <c r="H4" s="90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52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90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89"/>
      <c r="B7" s="6"/>
      <c r="D7" s="10"/>
      <c r="E7" s="6"/>
      <c r="F7" s="90"/>
      <c r="G7" s="90"/>
      <c r="H7" s="90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117"/>
      <c r="B8" s="91"/>
      <c r="C8" s="91"/>
      <c r="D8" s="91"/>
      <c r="E8" s="91"/>
      <c r="F8" s="91"/>
      <c r="G8" s="91"/>
      <c r="H8" s="91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840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25">
      <c r="A9" s="12" t="s">
        <v>775</v>
      </c>
      <c r="D9" s="12"/>
      <c r="F9" s="59"/>
      <c r="G9" s="60"/>
      <c r="H9" s="60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25">
      <c r="A10" s="61" t="s">
        <v>756</v>
      </c>
      <c r="B10" s="62" t="s">
        <v>527</v>
      </c>
      <c r="C10" s="62" t="s">
        <v>528</v>
      </c>
      <c r="D10" s="62" t="s">
        <v>258</v>
      </c>
      <c r="E10" s="163" t="s">
        <v>758</v>
      </c>
      <c r="F10" s="62" t="s">
        <v>0</v>
      </c>
      <c r="G10" s="121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122" customFormat="1" ht="11.25" customHeight="1" thickBot="1" x14ac:dyDescent="0.25">
      <c r="A11" s="133" t="s">
        <v>529</v>
      </c>
      <c r="B11" s="134" t="s">
        <v>530</v>
      </c>
      <c r="C11" s="134" t="s">
        <v>260</v>
      </c>
      <c r="D11" s="134" t="s">
        <v>261</v>
      </c>
      <c r="E11" s="134" t="s">
        <v>531</v>
      </c>
      <c r="F11" s="134" t="s">
        <v>0</v>
      </c>
      <c r="G11" s="134" t="s">
        <v>532</v>
      </c>
      <c r="H11" s="135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757" t="s">
        <v>889</v>
      </c>
      <c r="CB11" s="757" t="s">
        <v>882</v>
      </c>
      <c r="CC11" s="757" t="s">
        <v>883</v>
      </c>
      <c r="CD11" s="757" t="s">
        <v>890</v>
      </c>
      <c r="CE11" s="757" t="s">
        <v>891</v>
      </c>
      <c r="CF11" s="839" t="s">
        <v>884</v>
      </c>
    </row>
    <row r="12" spans="1:84" s="222" customFormat="1" ht="14.1" customHeight="1" x14ac:dyDescent="0.2">
      <c r="A12" s="695">
        <v>1</v>
      </c>
      <c r="B12" s="696">
        <v>4476</v>
      </c>
      <c r="C12" s="696">
        <v>600075184</v>
      </c>
      <c r="D12" s="696">
        <v>70200815</v>
      </c>
      <c r="E12" s="692" t="s">
        <v>146</v>
      </c>
      <c r="F12" s="696">
        <v>3233</v>
      </c>
      <c r="G12" s="697" t="s">
        <v>298</v>
      </c>
      <c r="H12" s="698" t="s">
        <v>272</v>
      </c>
      <c r="I12" s="558">
        <f>J12+P12+Q12+R12</f>
        <v>6416704</v>
      </c>
      <c r="J12" s="409">
        <f>K12+L12</f>
        <v>4754773</v>
      </c>
      <c r="K12" s="409">
        <v>3808193</v>
      </c>
      <c r="L12" s="409">
        <v>946580</v>
      </c>
      <c r="M12" s="409">
        <f>N12+O12</f>
        <v>0</v>
      </c>
      <c r="N12" s="409"/>
      <c r="O12" s="409"/>
      <c r="P12" s="68">
        <f>ROUND(J12*33.8%,0)</f>
        <v>1607113</v>
      </c>
      <c r="Q12" s="68">
        <f>ROUND(J12*1%,0)</f>
        <v>47548</v>
      </c>
      <c r="R12" s="409">
        <v>7270</v>
      </c>
      <c r="S12" s="410">
        <f>T12+U12</f>
        <v>9.9499999999999993</v>
      </c>
      <c r="T12" s="411">
        <v>6.9</v>
      </c>
      <c r="U12" s="509">
        <v>3.05</v>
      </c>
      <c r="V12" s="412">
        <f>AI12*-1</f>
        <v>-300800</v>
      </c>
      <c r="W12" s="413">
        <f>AJ12*-1</f>
        <v>-89600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-300800</v>
      </c>
      <c r="AG12" s="413">
        <f>W12+Z12+AC12+AE12</f>
        <v>-89600</v>
      </c>
      <c r="AH12" s="413">
        <f>SUM(AF12:AG12)</f>
        <v>-390400</v>
      </c>
      <c r="AI12" s="413">
        <v>300800</v>
      </c>
      <c r="AJ12" s="413">
        <v>89600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300800</v>
      </c>
      <c r="AP12" s="413">
        <f>AJ12+AN12</f>
        <v>89600</v>
      </c>
      <c r="AQ12" s="413">
        <f>SUM(AO12:AP12)</f>
        <v>390400</v>
      </c>
      <c r="AR12" s="413">
        <f>AF12+AO12</f>
        <v>0</v>
      </c>
      <c r="AS12" s="413">
        <f>AG12+AP12</f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-3904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-3904</v>
      </c>
      <c r="BA12" s="414">
        <v>-0.54</v>
      </c>
      <c r="BB12" s="414">
        <v>-0.28999999999999998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-0.54</v>
      </c>
      <c r="BL12" s="414">
        <f>BB12+BE12+BG12+BJ12</f>
        <v>-0.28999999999999998</v>
      </c>
      <c r="BM12" s="610">
        <f>SUM(BK12:BL12)</f>
        <v>-0.83000000000000007</v>
      </c>
      <c r="BN12" s="415">
        <f>I12+AZ12</f>
        <v>6412800</v>
      </c>
      <c r="BO12" s="413">
        <f>J12+AH12</f>
        <v>4364373</v>
      </c>
      <c r="BP12" s="413">
        <f>K12+AF12</f>
        <v>3507393</v>
      </c>
      <c r="BQ12" s="413">
        <f>L12+AG12</f>
        <v>856980</v>
      </c>
      <c r="BR12" s="413">
        <f>M12+AQ12</f>
        <v>390400</v>
      </c>
      <c r="BS12" s="413">
        <f>N12+AO12</f>
        <v>300800</v>
      </c>
      <c r="BT12" s="413">
        <f>O12+AP12</f>
        <v>89600</v>
      </c>
      <c r="BU12" s="413">
        <f>P12+AU12</f>
        <v>1607113</v>
      </c>
      <c r="BV12" s="413">
        <f>Q12+AV12</f>
        <v>43644</v>
      </c>
      <c r="BW12" s="413">
        <f>R12+AY12</f>
        <v>7270</v>
      </c>
      <c r="BX12" s="414">
        <f>S12+BM12</f>
        <v>9.1199999999999992</v>
      </c>
      <c r="BY12" s="414">
        <f>T12+BK12</f>
        <v>6.36</v>
      </c>
      <c r="BZ12" s="610">
        <f>U12+BL12</f>
        <v>2.76</v>
      </c>
      <c r="CA12" s="408"/>
      <c r="CB12" s="409"/>
      <c r="CC12" s="409"/>
      <c r="CD12" s="409"/>
      <c r="CE12" s="409"/>
      <c r="CF12" s="509"/>
    </row>
    <row r="13" spans="1:84" s="222" customFormat="1" x14ac:dyDescent="0.2">
      <c r="A13" s="155">
        <v>1</v>
      </c>
      <c r="B13" s="18">
        <v>4476</v>
      </c>
      <c r="C13" s="18">
        <v>600075184</v>
      </c>
      <c r="D13" s="18">
        <v>70200815</v>
      </c>
      <c r="E13" s="164" t="s">
        <v>147</v>
      </c>
      <c r="F13" s="18"/>
      <c r="G13" s="154"/>
      <c r="H13" s="685"/>
      <c r="I13" s="458">
        <f t="shared" ref="I13:BU13" si="0">SUM(I12)</f>
        <v>6416704</v>
      </c>
      <c r="J13" s="630">
        <f t="shared" si="0"/>
        <v>4754773</v>
      </c>
      <c r="K13" s="630">
        <f t="shared" si="0"/>
        <v>3808193</v>
      </c>
      <c r="L13" s="630">
        <f t="shared" si="0"/>
        <v>946580</v>
      </c>
      <c r="M13" s="630">
        <f t="shared" si="0"/>
        <v>0</v>
      </c>
      <c r="N13" s="630">
        <f t="shared" si="0"/>
        <v>0</v>
      </c>
      <c r="O13" s="630">
        <f t="shared" si="0"/>
        <v>0</v>
      </c>
      <c r="P13" s="630">
        <f t="shared" si="0"/>
        <v>1607113</v>
      </c>
      <c r="Q13" s="630">
        <f t="shared" si="0"/>
        <v>47548</v>
      </c>
      <c r="R13" s="630">
        <f t="shared" si="0"/>
        <v>7270</v>
      </c>
      <c r="S13" s="631">
        <f t="shared" si="0"/>
        <v>9.9499999999999993</v>
      </c>
      <c r="T13" s="631">
        <f t="shared" si="0"/>
        <v>6.9</v>
      </c>
      <c r="U13" s="632">
        <f t="shared" si="0"/>
        <v>3.05</v>
      </c>
      <c r="V13" s="458">
        <f t="shared" si="0"/>
        <v>-300800</v>
      </c>
      <c r="W13" s="451">
        <f t="shared" si="0"/>
        <v>-89600</v>
      </c>
      <c r="X13" s="451">
        <f t="shared" si="0"/>
        <v>0</v>
      </c>
      <c r="Y13" s="451">
        <f t="shared" si="0"/>
        <v>0</v>
      </c>
      <c r="Z13" s="451">
        <f t="shared" si="0"/>
        <v>0</v>
      </c>
      <c r="AA13" s="451">
        <f t="shared" si="0"/>
        <v>0</v>
      </c>
      <c r="AB13" s="451">
        <f t="shared" si="0"/>
        <v>0</v>
      </c>
      <c r="AC13" s="451">
        <f t="shared" si="0"/>
        <v>0</v>
      </c>
      <c r="AD13" s="451">
        <f t="shared" si="0"/>
        <v>0</v>
      </c>
      <c r="AE13" s="451">
        <f t="shared" si="0"/>
        <v>0</v>
      </c>
      <c r="AF13" s="451">
        <f t="shared" si="0"/>
        <v>-300800</v>
      </c>
      <c r="AG13" s="451">
        <f t="shared" si="0"/>
        <v>-89600</v>
      </c>
      <c r="AH13" s="451">
        <f t="shared" si="0"/>
        <v>-390400</v>
      </c>
      <c r="AI13" s="451">
        <f t="shared" si="0"/>
        <v>300800</v>
      </c>
      <c r="AJ13" s="451">
        <f t="shared" si="0"/>
        <v>89600</v>
      </c>
      <c r="AK13" s="451">
        <f t="shared" ref="AK13" si="1">SUM(AK12)</f>
        <v>0</v>
      </c>
      <c r="AL13" s="451">
        <f t="shared" si="0"/>
        <v>0</v>
      </c>
      <c r="AM13" s="451">
        <f t="shared" si="0"/>
        <v>0</v>
      </c>
      <c r="AN13" s="451">
        <f t="shared" si="0"/>
        <v>0</v>
      </c>
      <c r="AO13" s="451">
        <f t="shared" si="0"/>
        <v>300800</v>
      </c>
      <c r="AP13" s="451">
        <f t="shared" si="0"/>
        <v>89600</v>
      </c>
      <c r="AQ13" s="451">
        <f t="shared" si="0"/>
        <v>390400</v>
      </c>
      <c r="AR13" s="451">
        <f t="shared" si="0"/>
        <v>0</v>
      </c>
      <c r="AS13" s="451">
        <f t="shared" si="0"/>
        <v>0</v>
      </c>
      <c r="AT13" s="451">
        <f t="shared" si="0"/>
        <v>0</v>
      </c>
      <c r="AU13" s="451">
        <f t="shared" si="0"/>
        <v>0</v>
      </c>
      <c r="AV13" s="451">
        <f t="shared" si="0"/>
        <v>-3904</v>
      </c>
      <c r="AW13" s="451">
        <f t="shared" si="0"/>
        <v>0</v>
      </c>
      <c r="AX13" s="451">
        <f t="shared" si="0"/>
        <v>0</v>
      </c>
      <c r="AY13" s="451">
        <f t="shared" si="0"/>
        <v>0</v>
      </c>
      <c r="AZ13" s="451">
        <f t="shared" si="0"/>
        <v>-3904</v>
      </c>
      <c r="BA13" s="452">
        <f t="shared" si="0"/>
        <v>-0.54</v>
      </c>
      <c r="BB13" s="452">
        <f t="shared" si="0"/>
        <v>-0.28999999999999998</v>
      </c>
      <c r="BC13" s="452">
        <f t="shared" si="0"/>
        <v>0</v>
      </c>
      <c r="BD13" s="452">
        <f t="shared" si="0"/>
        <v>0</v>
      </c>
      <c r="BE13" s="452">
        <f t="shared" si="0"/>
        <v>0</v>
      </c>
      <c r="BF13" s="452">
        <f t="shared" si="0"/>
        <v>0</v>
      </c>
      <c r="BG13" s="452">
        <f t="shared" si="0"/>
        <v>0</v>
      </c>
      <c r="BH13" s="452">
        <f t="shared" si="0"/>
        <v>0</v>
      </c>
      <c r="BI13" s="452">
        <f t="shared" si="0"/>
        <v>0</v>
      </c>
      <c r="BJ13" s="452">
        <f t="shared" si="0"/>
        <v>0</v>
      </c>
      <c r="BK13" s="452">
        <f t="shared" si="0"/>
        <v>-0.54</v>
      </c>
      <c r="BL13" s="452">
        <f t="shared" si="0"/>
        <v>-0.28999999999999998</v>
      </c>
      <c r="BM13" s="456">
        <f t="shared" si="0"/>
        <v>-0.83000000000000007</v>
      </c>
      <c r="BN13" s="454">
        <f t="shared" si="0"/>
        <v>6412800</v>
      </c>
      <c r="BO13" s="451">
        <f t="shared" si="0"/>
        <v>4364373</v>
      </c>
      <c r="BP13" s="451">
        <f t="shared" si="0"/>
        <v>3507393</v>
      </c>
      <c r="BQ13" s="451">
        <f t="shared" si="0"/>
        <v>856980</v>
      </c>
      <c r="BR13" s="451">
        <f t="shared" si="0"/>
        <v>390400</v>
      </c>
      <c r="BS13" s="451">
        <f t="shared" si="0"/>
        <v>300800</v>
      </c>
      <c r="BT13" s="451">
        <f t="shared" si="0"/>
        <v>89600</v>
      </c>
      <c r="BU13" s="451">
        <f t="shared" si="0"/>
        <v>1607113</v>
      </c>
      <c r="BV13" s="451">
        <f t="shared" ref="BV13:CF13" si="2">SUM(BV12)</f>
        <v>43644</v>
      </c>
      <c r="BW13" s="451">
        <f t="shared" si="2"/>
        <v>7270</v>
      </c>
      <c r="BX13" s="452">
        <f t="shared" si="2"/>
        <v>9.1199999999999992</v>
      </c>
      <c r="BY13" s="452">
        <f t="shared" si="2"/>
        <v>6.36</v>
      </c>
      <c r="BZ13" s="456">
        <f t="shared" si="2"/>
        <v>2.76</v>
      </c>
      <c r="CA13" s="854">
        <f t="shared" si="2"/>
        <v>0</v>
      </c>
      <c r="CB13" s="852">
        <f t="shared" si="2"/>
        <v>0</v>
      </c>
      <c r="CC13" s="852">
        <f t="shared" si="2"/>
        <v>0</v>
      </c>
      <c r="CD13" s="852">
        <f t="shared" si="2"/>
        <v>0</v>
      </c>
      <c r="CE13" s="852">
        <f t="shared" si="2"/>
        <v>0</v>
      </c>
      <c r="CF13" s="848">
        <f t="shared" si="2"/>
        <v>0</v>
      </c>
    </row>
    <row r="14" spans="1:84" s="222" customFormat="1" x14ac:dyDescent="0.2">
      <c r="A14" s="210">
        <v>2</v>
      </c>
      <c r="B14" s="211">
        <v>4411</v>
      </c>
      <c r="C14" s="211">
        <v>600074340</v>
      </c>
      <c r="D14" s="211">
        <v>70982121</v>
      </c>
      <c r="E14" s="209" t="s">
        <v>148</v>
      </c>
      <c r="F14" s="211">
        <v>3111</v>
      </c>
      <c r="G14" s="165" t="s">
        <v>291</v>
      </c>
      <c r="H14" s="699" t="s">
        <v>271</v>
      </c>
      <c r="I14" s="528">
        <f>J14+P14+Q14+R14</f>
        <v>8688342</v>
      </c>
      <c r="J14" s="418">
        <f>K14+L14</f>
        <v>6426343</v>
      </c>
      <c r="K14" s="418">
        <v>5874444</v>
      </c>
      <c r="L14" s="418">
        <v>551899</v>
      </c>
      <c r="M14" s="418">
        <f>N14+O14</f>
        <v>0</v>
      </c>
      <c r="N14" s="418"/>
      <c r="O14" s="418"/>
      <c r="P14" s="68">
        <f>ROUND(J14*33.8%,0)</f>
        <v>2172104</v>
      </c>
      <c r="Q14" s="68">
        <f>ROUND(J14*1%,0)</f>
        <v>64263</v>
      </c>
      <c r="R14" s="418">
        <v>25632</v>
      </c>
      <c r="S14" s="419">
        <f>T14+U14</f>
        <v>11.86</v>
      </c>
      <c r="T14" s="420">
        <v>10</v>
      </c>
      <c r="U14" s="527">
        <v>1.8599999999999999</v>
      </c>
      <c r="V14" s="427">
        <f t="shared" ref="V14:W16" si="3">AI14*-1</f>
        <v>-71680</v>
      </c>
      <c r="W14" s="421">
        <f t="shared" si="3"/>
        <v>-61440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-71680</v>
      </c>
      <c r="AG14" s="421">
        <f>W14+Z14+AC14+AE14</f>
        <v>-61440</v>
      </c>
      <c r="AH14" s="421">
        <f>SUM(AF14:AG14)</f>
        <v>-133120</v>
      </c>
      <c r="AI14" s="421">
        <v>71680</v>
      </c>
      <c r="AJ14" s="421">
        <v>61440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71680</v>
      </c>
      <c r="AP14" s="421">
        <f>AJ14+AN14</f>
        <v>61440</v>
      </c>
      <c r="AQ14" s="421">
        <f>SUM(AO14:AP14)</f>
        <v>133120</v>
      </c>
      <c r="AR14" s="421">
        <f t="shared" ref="AR14:AS16" si="4">AF14+AO14</f>
        <v>0</v>
      </c>
      <c r="AS14" s="421">
        <f t="shared" si="4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-1331</v>
      </c>
      <c r="AW14" s="421">
        <v>0</v>
      </c>
      <c r="AX14" s="421">
        <v>0</v>
      </c>
      <c r="AY14" s="421">
        <f>AW14+AX14</f>
        <v>0</v>
      </c>
      <c r="AZ14" s="421">
        <f>AT14+AU14+AV14+AY14</f>
        <v>-1331</v>
      </c>
      <c r="BA14" s="422">
        <v>-0.15</v>
      </c>
      <c r="BB14" s="422">
        <v>-0.25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-0.15</v>
      </c>
      <c r="BL14" s="422">
        <f>BB14+BE14+BG14+BJ14</f>
        <v>-0.25</v>
      </c>
      <c r="BM14" s="611">
        <f>SUM(BK14:BL14)</f>
        <v>-0.4</v>
      </c>
      <c r="BN14" s="428">
        <f>I14+AZ14</f>
        <v>8687011</v>
      </c>
      <c r="BO14" s="421">
        <f>J14+AH14</f>
        <v>6293223</v>
      </c>
      <c r="BP14" s="421">
        <f t="shared" ref="BP14:BQ16" si="5">K14+AF14</f>
        <v>5802764</v>
      </c>
      <c r="BQ14" s="421">
        <f t="shared" si="5"/>
        <v>490459</v>
      </c>
      <c r="BR14" s="421">
        <f>M14+AQ14</f>
        <v>133120</v>
      </c>
      <c r="BS14" s="421">
        <f t="shared" ref="BS14:BT16" si="6">N14+AO14</f>
        <v>71680</v>
      </c>
      <c r="BT14" s="421">
        <f t="shared" si="6"/>
        <v>61440</v>
      </c>
      <c r="BU14" s="421">
        <f t="shared" ref="BU14:BV16" si="7">P14+AU14</f>
        <v>2172104</v>
      </c>
      <c r="BV14" s="421">
        <f t="shared" si="7"/>
        <v>62932</v>
      </c>
      <c r="BW14" s="421">
        <f>R14+AY14</f>
        <v>25632</v>
      </c>
      <c r="BX14" s="422">
        <f>S14+BM14</f>
        <v>11.459999999999999</v>
      </c>
      <c r="BY14" s="422">
        <f t="shared" ref="BY14:BZ16" si="8">T14+BK14</f>
        <v>9.85</v>
      </c>
      <c r="BZ14" s="611">
        <f t="shared" si="8"/>
        <v>1.6099999999999999</v>
      </c>
      <c r="CA14" s="423"/>
      <c r="CB14" s="418"/>
      <c r="CC14" s="418"/>
      <c r="CD14" s="418"/>
      <c r="CE14" s="418"/>
      <c r="CF14" s="527"/>
    </row>
    <row r="15" spans="1:84" s="222" customFormat="1" x14ac:dyDescent="0.2">
      <c r="A15" s="210">
        <v>2</v>
      </c>
      <c r="B15" s="211">
        <v>4411</v>
      </c>
      <c r="C15" s="211">
        <v>600074340</v>
      </c>
      <c r="D15" s="211">
        <v>70982121</v>
      </c>
      <c r="E15" s="209" t="s">
        <v>148</v>
      </c>
      <c r="F15" s="211">
        <v>3111</v>
      </c>
      <c r="G15" s="165" t="s">
        <v>292</v>
      </c>
      <c r="H15" s="699" t="s">
        <v>272</v>
      </c>
      <c r="I15" s="528">
        <f t="shared" ref="I15:I16" si="9">J15+P15+Q15+R15</f>
        <v>0</v>
      </c>
      <c r="J15" s="418">
        <f>K15+L15</f>
        <v>0</v>
      </c>
      <c r="K15" s="418">
        <v>0</v>
      </c>
      <c r="L15" s="418">
        <v>0</v>
      </c>
      <c r="M15" s="418">
        <f>N15+O15</f>
        <v>0</v>
      </c>
      <c r="N15" s="418"/>
      <c r="O15" s="418"/>
      <c r="P15" s="68">
        <f t="shared" ref="P15:P16" si="10">ROUND(J15*33.8%,0)</f>
        <v>0</v>
      </c>
      <c r="Q15" s="68">
        <f t="shared" ref="Q15:Q16" si="11">ROUND(J15*1%,0)</f>
        <v>0</v>
      </c>
      <c r="R15" s="418">
        <v>0</v>
      </c>
      <c r="S15" s="419">
        <f>T15+U15</f>
        <v>0</v>
      </c>
      <c r="T15" s="420">
        <v>0</v>
      </c>
      <c r="U15" s="527">
        <v>0</v>
      </c>
      <c r="V15" s="427">
        <f t="shared" si="3"/>
        <v>0</v>
      </c>
      <c r="W15" s="421">
        <f t="shared" si="3"/>
        <v>0</v>
      </c>
      <c r="X15" s="421">
        <v>741602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>V15+X15+Y15+AA15+AB15+AD15</f>
        <v>741602</v>
      </c>
      <c r="AG15" s="421">
        <f>W15+Z15+AC15+AE15</f>
        <v>0</v>
      </c>
      <c r="AH15" s="421">
        <f>SUM(AF15:AG15)</f>
        <v>741602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ref="AO15:AO16" si="12">AI15+AK15+AL15+AM15</f>
        <v>0</v>
      </c>
      <c r="AP15" s="421">
        <f>AJ15+AN15</f>
        <v>0</v>
      </c>
      <c r="AQ15" s="421">
        <f>SUM(AO15:AP15)</f>
        <v>0</v>
      </c>
      <c r="AR15" s="421">
        <f t="shared" si="4"/>
        <v>741602</v>
      </c>
      <c r="AS15" s="421">
        <f t="shared" si="4"/>
        <v>0</v>
      </c>
      <c r="AT15" s="421">
        <f>SUM(AR15:AS15)</f>
        <v>741602</v>
      </c>
      <c r="AU15" s="68">
        <f t="shared" ref="AU15:AU16" si="13">ROUND((AH15+AI15+AJ15+AK15+AL15)*33.8%,0)</f>
        <v>250661</v>
      </c>
      <c r="AV15" s="68">
        <f>ROUND(AH15*1%,0)</f>
        <v>7416</v>
      </c>
      <c r="AW15" s="421">
        <v>0</v>
      </c>
      <c r="AX15" s="421">
        <v>0</v>
      </c>
      <c r="AY15" s="421">
        <f>AW15+AX15</f>
        <v>0</v>
      </c>
      <c r="AZ15" s="421">
        <f>AT15+AU15+AV15+AY15</f>
        <v>999679</v>
      </c>
      <c r="BA15" s="422">
        <v>0</v>
      </c>
      <c r="BB15" s="422">
        <v>0</v>
      </c>
      <c r="BC15" s="422">
        <v>2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2</v>
      </c>
      <c r="BL15" s="422">
        <f>BB15+BE15+BG15+BJ15</f>
        <v>0</v>
      </c>
      <c r="BM15" s="611">
        <f>SUM(BK15:BL15)</f>
        <v>2</v>
      </c>
      <c r="BN15" s="428">
        <f>I15+AZ15</f>
        <v>999679</v>
      </c>
      <c r="BO15" s="421">
        <f>J15+AH15</f>
        <v>741602</v>
      </c>
      <c r="BP15" s="421">
        <f t="shared" si="5"/>
        <v>741602</v>
      </c>
      <c r="BQ15" s="421">
        <f t="shared" si="5"/>
        <v>0</v>
      </c>
      <c r="BR15" s="421">
        <f>M15+AQ15</f>
        <v>0</v>
      </c>
      <c r="BS15" s="421">
        <f t="shared" si="6"/>
        <v>0</v>
      </c>
      <c r="BT15" s="421">
        <f t="shared" si="6"/>
        <v>0</v>
      </c>
      <c r="BU15" s="421">
        <f t="shared" si="7"/>
        <v>250661</v>
      </c>
      <c r="BV15" s="421">
        <f t="shared" si="7"/>
        <v>7416</v>
      </c>
      <c r="BW15" s="421">
        <f>R15+AY15</f>
        <v>0</v>
      </c>
      <c r="BX15" s="422">
        <f>S15+BM15</f>
        <v>2</v>
      </c>
      <c r="BY15" s="422">
        <f t="shared" si="8"/>
        <v>2</v>
      </c>
      <c r="BZ15" s="611">
        <f t="shared" si="8"/>
        <v>0</v>
      </c>
      <c r="CA15" s="423"/>
      <c r="CB15" s="418"/>
      <c r="CC15" s="418"/>
      <c r="CD15" s="418"/>
      <c r="CE15" s="418"/>
      <c r="CF15" s="527"/>
    </row>
    <row r="16" spans="1:84" s="222" customFormat="1" x14ac:dyDescent="0.2">
      <c r="A16" s="210">
        <v>2</v>
      </c>
      <c r="B16" s="211">
        <v>4411</v>
      </c>
      <c r="C16" s="211">
        <v>600074340</v>
      </c>
      <c r="D16" s="211">
        <v>70982121</v>
      </c>
      <c r="E16" s="209" t="s">
        <v>148</v>
      </c>
      <c r="F16" s="211">
        <v>3141</v>
      </c>
      <c r="G16" s="165" t="s">
        <v>295</v>
      </c>
      <c r="H16" s="699" t="s">
        <v>272</v>
      </c>
      <c r="I16" s="528">
        <f t="shared" si="9"/>
        <v>364823</v>
      </c>
      <c r="J16" s="418">
        <f>K16+L16</f>
        <v>268985</v>
      </c>
      <c r="K16" s="418">
        <v>0</v>
      </c>
      <c r="L16" s="418">
        <v>268985</v>
      </c>
      <c r="M16" s="418">
        <f>N16+O16</f>
        <v>0</v>
      </c>
      <c r="N16" s="418"/>
      <c r="O16" s="418"/>
      <c r="P16" s="68">
        <f t="shared" si="10"/>
        <v>90917</v>
      </c>
      <c r="Q16" s="68">
        <f t="shared" si="11"/>
        <v>2690</v>
      </c>
      <c r="R16" s="418">
        <v>2231</v>
      </c>
      <c r="S16" s="419">
        <f>T16+U16</f>
        <v>0.81</v>
      </c>
      <c r="T16" s="420">
        <v>0</v>
      </c>
      <c r="U16" s="527">
        <v>0.81</v>
      </c>
      <c r="V16" s="427">
        <f t="shared" si="3"/>
        <v>0</v>
      </c>
      <c r="W16" s="421">
        <f t="shared" si="3"/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0</v>
      </c>
      <c r="AG16" s="421">
        <f>W16+Z16+AC16+AE16</f>
        <v>0</v>
      </c>
      <c r="AH16" s="421">
        <f>SUM(AF16:AG16)</f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si="12"/>
        <v>0</v>
      </c>
      <c r="AP16" s="421">
        <f>AJ16+AN16</f>
        <v>0</v>
      </c>
      <c r="AQ16" s="421">
        <f>SUM(AO16:AP16)</f>
        <v>0</v>
      </c>
      <c r="AR16" s="421">
        <f t="shared" si="4"/>
        <v>0</v>
      </c>
      <c r="AS16" s="421">
        <f t="shared" si="4"/>
        <v>0</v>
      </c>
      <c r="AT16" s="421">
        <f>SUM(AR16:AS16)</f>
        <v>0</v>
      </c>
      <c r="AU16" s="68">
        <f t="shared" si="13"/>
        <v>0</v>
      </c>
      <c r="AV16" s="68">
        <f>ROUND(AH16*1%,0)</f>
        <v>0</v>
      </c>
      <c r="AW16" s="421">
        <v>0</v>
      </c>
      <c r="AX16" s="421">
        <v>0</v>
      </c>
      <c r="AY16" s="421">
        <f>AW16+AX16</f>
        <v>0</v>
      </c>
      <c r="AZ16" s="421">
        <f>AT16+AU16+AV16+AY16</f>
        <v>0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611">
        <f>SUM(BK16:BL16)</f>
        <v>0</v>
      </c>
      <c r="BN16" s="428">
        <f>I16+AZ16</f>
        <v>364823</v>
      </c>
      <c r="BO16" s="421">
        <f>J16+AH16</f>
        <v>268985</v>
      </c>
      <c r="BP16" s="421">
        <f t="shared" si="5"/>
        <v>0</v>
      </c>
      <c r="BQ16" s="421">
        <f t="shared" si="5"/>
        <v>268985</v>
      </c>
      <c r="BR16" s="421">
        <f>M16+AQ16</f>
        <v>0</v>
      </c>
      <c r="BS16" s="421">
        <f t="shared" si="6"/>
        <v>0</v>
      </c>
      <c r="BT16" s="421">
        <f t="shared" si="6"/>
        <v>0</v>
      </c>
      <c r="BU16" s="421">
        <f t="shared" si="7"/>
        <v>90917</v>
      </c>
      <c r="BV16" s="421">
        <f t="shared" si="7"/>
        <v>2690</v>
      </c>
      <c r="BW16" s="421">
        <f>R16+AY16</f>
        <v>2231</v>
      </c>
      <c r="BX16" s="422">
        <f>S16+BM16</f>
        <v>0.81</v>
      </c>
      <c r="BY16" s="422">
        <f t="shared" si="8"/>
        <v>0</v>
      </c>
      <c r="BZ16" s="611">
        <f t="shared" si="8"/>
        <v>0.81</v>
      </c>
      <c r="CA16" s="423"/>
      <c r="CB16" s="418"/>
      <c r="CC16" s="418"/>
      <c r="CD16" s="418"/>
      <c r="CE16" s="418"/>
      <c r="CF16" s="527"/>
    </row>
    <row r="17" spans="1:84" s="222" customFormat="1" x14ac:dyDescent="0.2">
      <c r="A17" s="155">
        <v>2</v>
      </c>
      <c r="B17" s="18">
        <v>4411</v>
      </c>
      <c r="C17" s="18">
        <v>600074340</v>
      </c>
      <c r="D17" s="18">
        <v>70982121</v>
      </c>
      <c r="E17" s="164" t="s">
        <v>149</v>
      </c>
      <c r="F17" s="18"/>
      <c r="G17" s="154"/>
      <c r="H17" s="685"/>
      <c r="I17" s="458">
        <f t="shared" ref="I17:BU17" si="14">SUM(I14:I16)</f>
        <v>9053165</v>
      </c>
      <c r="J17" s="451">
        <f t="shared" si="14"/>
        <v>6695328</v>
      </c>
      <c r="K17" s="451">
        <f t="shared" si="14"/>
        <v>5874444</v>
      </c>
      <c r="L17" s="451">
        <f t="shared" si="14"/>
        <v>820884</v>
      </c>
      <c r="M17" s="451">
        <f t="shared" si="14"/>
        <v>0</v>
      </c>
      <c r="N17" s="451">
        <f t="shared" si="14"/>
        <v>0</v>
      </c>
      <c r="O17" s="451">
        <f t="shared" si="14"/>
        <v>0</v>
      </c>
      <c r="P17" s="451">
        <f t="shared" si="14"/>
        <v>2263021</v>
      </c>
      <c r="Q17" s="451">
        <f t="shared" si="14"/>
        <v>66953</v>
      </c>
      <c r="R17" s="451">
        <f t="shared" si="14"/>
        <v>27863</v>
      </c>
      <c r="S17" s="452">
        <f t="shared" si="14"/>
        <v>12.67</v>
      </c>
      <c r="T17" s="452">
        <f t="shared" si="14"/>
        <v>10</v>
      </c>
      <c r="U17" s="39">
        <f t="shared" si="14"/>
        <v>2.67</v>
      </c>
      <c r="V17" s="458">
        <f t="shared" si="14"/>
        <v>-71680</v>
      </c>
      <c r="W17" s="451">
        <f t="shared" si="14"/>
        <v>-61440</v>
      </c>
      <c r="X17" s="451">
        <f t="shared" si="14"/>
        <v>741602</v>
      </c>
      <c r="Y17" s="451">
        <f t="shared" si="14"/>
        <v>0</v>
      </c>
      <c r="Z17" s="451">
        <f t="shared" si="14"/>
        <v>0</v>
      </c>
      <c r="AA17" s="451">
        <f t="shared" si="14"/>
        <v>0</v>
      </c>
      <c r="AB17" s="451">
        <f t="shared" si="14"/>
        <v>0</v>
      </c>
      <c r="AC17" s="451">
        <f t="shared" si="14"/>
        <v>0</v>
      </c>
      <c r="AD17" s="451">
        <f t="shared" si="14"/>
        <v>0</v>
      </c>
      <c r="AE17" s="451">
        <f t="shared" si="14"/>
        <v>0</v>
      </c>
      <c r="AF17" s="451">
        <f t="shared" si="14"/>
        <v>669922</v>
      </c>
      <c r="AG17" s="451">
        <f t="shared" si="14"/>
        <v>-61440</v>
      </c>
      <c r="AH17" s="451">
        <f t="shared" si="14"/>
        <v>608482</v>
      </c>
      <c r="AI17" s="451">
        <f t="shared" si="14"/>
        <v>71680</v>
      </c>
      <c r="AJ17" s="451">
        <f t="shared" si="14"/>
        <v>61440</v>
      </c>
      <c r="AK17" s="451">
        <f t="shared" ref="AK17" si="15">SUM(AK14:AK16)</f>
        <v>0</v>
      </c>
      <c r="AL17" s="451">
        <f t="shared" si="14"/>
        <v>0</v>
      </c>
      <c r="AM17" s="451">
        <f t="shared" si="14"/>
        <v>0</v>
      </c>
      <c r="AN17" s="451">
        <f t="shared" si="14"/>
        <v>0</v>
      </c>
      <c r="AO17" s="451">
        <f t="shared" si="14"/>
        <v>71680</v>
      </c>
      <c r="AP17" s="451">
        <f t="shared" si="14"/>
        <v>61440</v>
      </c>
      <c r="AQ17" s="451">
        <f t="shared" si="14"/>
        <v>133120</v>
      </c>
      <c r="AR17" s="451">
        <f t="shared" si="14"/>
        <v>741602</v>
      </c>
      <c r="AS17" s="451">
        <f t="shared" si="14"/>
        <v>0</v>
      </c>
      <c r="AT17" s="451">
        <f t="shared" si="14"/>
        <v>741602</v>
      </c>
      <c r="AU17" s="451">
        <f t="shared" si="14"/>
        <v>250661</v>
      </c>
      <c r="AV17" s="451">
        <f t="shared" si="14"/>
        <v>6085</v>
      </c>
      <c r="AW17" s="451">
        <f t="shared" si="14"/>
        <v>0</v>
      </c>
      <c r="AX17" s="451">
        <f t="shared" si="14"/>
        <v>0</v>
      </c>
      <c r="AY17" s="451">
        <f t="shared" si="14"/>
        <v>0</v>
      </c>
      <c r="AZ17" s="451">
        <f t="shared" si="14"/>
        <v>998348</v>
      </c>
      <c r="BA17" s="452">
        <f t="shared" si="14"/>
        <v>-0.15</v>
      </c>
      <c r="BB17" s="452">
        <f t="shared" si="14"/>
        <v>-0.25</v>
      </c>
      <c r="BC17" s="452">
        <f t="shared" si="14"/>
        <v>2</v>
      </c>
      <c r="BD17" s="452">
        <f t="shared" si="14"/>
        <v>0</v>
      </c>
      <c r="BE17" s="452">
        <f t="shared" si="14"/>
        <v>0</v>
      </c>
      <c r="BF17" s="452">
        <f t="shared" si="14"/>
        <v>0</v>
      </c>
      <c r="BG17" s="452">
        <f t="shared" si="14"/>
        <v>0</v>
      </c>
      <c r="BH17" s="452">
        <f t="shared" si="14"/>
        <v>0</v>
      </c>
      <c r="BI17" s="452">
        <f t="shared" si="14"/>
        <v>0</v>
      </c>
      <c r="BJ17" s="452">
        <f t="shared" si="14"/>
        <v>0</v>
      </c>
      <c r="BK17" s="452">
        <f t="shared" si="14"/>
        <v>1.85</v>
      </c>
      <c r="BL17" s="452">
        <f t="shared" si="14"/>
        <v>-0.25</v>
      </c>
      <c r="BM17" s="456">
        <f t="shared" si="14"/>
        <v>1.6</v>
      </c>
      <c r="BN17" s="454">
        <f t="shared" si="14"/>
        <v>10051513</v>
      </c>
      <c r="BO17" s="451">
        <f t="shared" si="14"/>
        <v>7303810</v>
      </c>
      <c r="BP17" s="451">
        <f t="shared" si="14"/>
        <v>6544366</v>
      </c>
      <c r="BQ17" s="451">
        <f t="shared" si="14"/>
        <v>759444</v>
      </c>
      <c r="BR17" s="451">
        <f t="shared" si="14"/>
        <v>133120</v>
      </c>
      <c r="BS17" s="451">
        <f t="shared" si="14"/>
        <v>71680</v>
      </c>
      <c r="BT17" s="451">
        <f t="shared" si="14"/>
        <v>61440</v>
      </c>
      <c r="BU17" s="451">
        <f t="shared" si="14"/>
        <v>2513682</v>
      </c>
      <c r="BV17" s="451">
        <f t="shared" ref="BV17:CF17" si="16">SUM(BV14:BV16)</f>
        <v>73038</v>
      </c>
      <c r="BW17" s="451">
        <f t="shared" si="16"/>
        <v>27863</v>
      </c>
      <c r="BX17" s="452">
        <f t="shared" si="16"/>
        <v>14.27</v>
      </c>
      <c r="BY17" s="452">
        <f t="shared" si="16"/>
        <v>11.85</v>
      </c>
      <c r="BZ17" s="456">
        <f t="shared" si="16"/>
        <v>2.42</v>
      </c>
      <c r="CA17" s="854">
        <f t="shared" si="16"/>
        <v>0</v>
      </c>
      <c r="CB17" s="852">
        <f t="shared" si="16"/>
        <v>0</v>
      </c>
      <c r="CC17" s="852">
        <f t="shared" si="16"/>
        <v>0</v>
      </c>
      <c r="CD17" s="852">
        <f t="shared" si="16"/>
        <v>0</v>
      </c>
      <c r="CE17" s="852">
        <f t="shared" si="16"/>
        <v>0</v>
      </c>
      <c r="CF17" s="848">
        <f t="shared" si="16"/>
        <v>0</v>
      </c>
    </row>
    <row r="18" spans="1:84" s="222" customFormat="1" x14ac:dyDescent="0.2">
      <c r="A18" s="210">
        <v>3</v>
      </c>
      <c r="B18" s="211">
        <v>4409</v>
      </c>
      <c r="C18" s="211">
        <v>600074358</v>
      </c>
      <c r="D18" s="211">
        <v>70982104</v>
      </c>
      <c r="E18" s="205" t="s">
        <v>150</v>
      </c>
      <c r="F18" s="211">
        <v>3111</v>
      </c>
      <c r="G18" s="165" t="s">
        <v>291</v>
      </c>
      <c r="H18" s="699" t="s">
        <v>271</v>
      </c>
      <c r="I18" s="528">
        <f t="shared" ref="I18:I21" si="17">J18+P18+Q18+R18</f>
        <v>17369371</v>
      </c>
      <c r="J18" s="418">
        <f>K18+L18</f>
        <v>12834395</v>
      </c>
      <c r="K18" s="418">
        <v>11625427</v>
      </c>
      <c r="L18" s="418">
        <v>1208968</v>
      </c>
      <c r="M18" s="418">
        <f>N18+O18</f>
        <v>0</v>
      </c>
      <c r="N18" s="418"/>
      <c r="O18" s="418"/>
      <c r="P18" s="68">
        <f>ROUND(J18*33.8%,0)-1</f>
        <v>4338025</v>
      </c>
      <c r="Q18" s="68">
        <f t="shared" ref="Q18:Q21" si="18">ROUND(J18*1%,0)</f>
        <v>128344</v>
      </c>
      <c r="R18" s="418">
        <v>68607</v>
      </c>
      <c r="S18" s="419">
        <f>T18+U18</f>
        <v>24.5334</v>
      </c>
      <c r="T18" s="420">
        <v>20.292999999999999</v>
      </c>
      <c r="U18" s="527">
        <v>4.2403999999999993</v>
      </c>
      <c r="V18" s="427">
        <f t="shared" ref="V18:W21" si="19">AI18*-1</f>
        <v>-12800</v>
      </c>
      <c r="W18" s="421">
        <f t="shared" si="19"/>
        <v>-6400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>V18+X18+Y18+AA18+AB18+AD18</f>
        <v>-12800</v>
      </c>
      <c r="AG18" s="421">
        <f>W18+Z18+AC18+AE18</f>
        <v>-6400</v>
      </c>
      <c r="AH18" s="421">
        <f>SUM(AF18:AG18)</f>
        <v>-19200</v>
      </c>
      <c r="AI18" s="421">
        <v>12800</v>
      </c>
      <c r="AJ18" s="421">
        <v>6400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ref="AO18:AO21" si="20">AI18+AK18+AL18+AM18</f>
        <v>12800</v>
      </c>
      <c r="AP18" s="421">
        <f>AJ18+AN18</f>
        <v>6400</v>
      </c>
      <c r="AQ18" s="421">
        <f>SUM(AO18:AP18)</f>
        <v>19200</v>
      </c>
      <c r="AR18" s="421">
        <f t="shared" ref="AR18:AS21" si="21">AF18+AO18</f>
        <v>0</v>
      </c>
      <c r="AS18" s="421">
        <f t="shared" si="21"/>
        <v>0</v>
      </c>
      <c r="AT18" s="421">
        <f>SUM(AR18:AS18)</f>
        <v>0</v>
      </c>
      <c r="AU18" s="68">
        <f t="shared" ref="AU18:AU21" si="22">ROUND((AH18+AI18+AJ18+AK18+AL18)*33.8%,0)</f>
        <v>0</v>
      </c>
      <c r="AV18" s="68">
        <f>ROUND(AH18*1%,0)</f>
        <v>-192</v>
      </c>
      <c r="AW18" s="421">
        <v>0</v>
      </c>
      <c r="AX18" s="421">
        <v>0</v>
      </c>
      <c r="AY18" s="421">
        <f>AW18+AX18</f>
        <v>0</v>
      </c>
      <c r="AZ18" s="421">
        <f>AT18+AU18+AV18+AY18</f>
        <v>-192</v>
      </c>
      <c r="BA18" s="422">
        <v>-0.03</v>
      </c>
      <c r="BB18" s="422">
        <v>-0.03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-0.03</v>
      </c>
      <c r="BL18" s="422">
        <f>BB18+BE18+BG18+BJ18</f>
        <v>-0.03</v>
      </c>
      <c r="BM18" s="611">
        <f>SUM(BK18:BL18)</f>
        <v>-0.06</v>
      </c>
      <c r="BN18" s="428">
        <f>I18+AZ18</f>
        <v>17369179</v>
      </c>
      <c r="BO18" s="421">
        <f>J18+AH18</f>
        <v>12815195</v>
      </c>
      <c r="BP18" s="421">
        <f t="shared" ref="BP18:BQ21" si="23">K18+AF18</f>
        <v>11612627</v>
      </c>
      <c r="BQ18" s="421">
        <f t="shared" si="23"/>
        <v>1202568</v>
      </c>
      <c r="BR18" s="421">
        <f>M18+AQ18</f>
        <v>19200</v>
      </c>
      <c r="BS18" s="421">
        <f t="shared" ref="BS18:BT21" si="24">N18+AO18</f>
        <v>12800</v>
      </c>
      <c r="BT18" s="421">
        <f t="shared" si="24"/>
        <v>6400</v>
      </c>
      <c r="BU18" s="421">
        <f t="shared" ref="BU18:BV21" si="25">P18+AU18</f>
        <v>4338025</v>
      </c>
      <c r="BV18" s="421">
        <f t="shared" si="25"/>
        <v>128152</v>
      </c>
      <c r="BW18" s="421">
        <f>R18+AY18</f>
        <v>68607</v>
      </c>
      <c r="BX18" s="422">
        <f>S18+BM18</f>
        <v>24.473400000000002</v>
      </c>
      <c r="BY18" s="422">
        <f t="shared" ref="BY18:BZ21" si="26">T18+BK18</f>
        <v>20.262999999999998</v>
      </c>
      <c r="BZ18" s="611">
        <f t="shared" si="26"/>
        <v>4.210399999999999</v>
      </c>
      <c r="CA18" s="423"/>
      <c r="CB18" s="418"/>
      <c r="CC18" s="418"/>
      <c r="CD18" s="418"/>
      <c r="CE18" s="418"/>
      <c r="CF18" s="527"/>
    </row>
    <row r="19" spans="1:84" s="222" customFormat="1" x14ac:dyDescent="0.2">
      <c r="A19" s="210">
        <v>3</v>
      </c>
      <c r="B19" s="211">
        <v>4409</v>
      </c>
      <c r="C19" s="211">
        <v>600074358</v>
      </c>
      <c r="D19" s="211">
        <v>70982104</v>
      </c>
      <c r="E19" s="205" t="s">
        <v>150</v>
      </c>
      <c r="F19" s="211">
        <v>3111</v>
      </c>
      <c r="G19" s="165" t="s">
        <v>293</v>
      </c>
      <c r="H19" s="699" t="s">
        <v>271</v>
      </c>
      <c r="I19" s="528">
        <f t="shared" si="17"/>
        <v>523941</v>
      </c>
      <c r="J19" s="418">
        <f>K19+L19</f>
        <v>388680</v>
      </c>
      <c r="K19" s="418">
        <v>388680</v>
      </c>
      <c r="L19" s="418">
        <v>0</v>
      </c>
      <c r="M19" s="418">
        <f>N19+O19</f>
        <v>0</v>
      </c>
      <c r="N19" s="418"/>
      <c r="O19" s="418"/>
      <c r="P19" s="68">
        <f t="shared" ref="P19:P21" si="27">ROUND(J19*33.8%,0)</f>
        <v>131374</v>
      </c>
      <c r="Q19" s="68">
        <f t="shared" si="18"/>
        <v>3887</v>
      </c>
      <c r="R19" s="418">
        <v>0</v>
      </c>
      <c r="S19" s="419">
        <f>T19+U19</f>
        <v>1</v>
      </c>
      <c r="T19" s="420">
        <v>1</v>
      </c>
      <c r="U19" s="527">
        <v>0</v>
      </c>
      <c r="V19" s="427">
        <f t="shared" si="19"/>
        <v>0</v>
      </c>
      <c r="W19" s="421">
        <f t="shared" si="19"/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>V19+X19+Y19+AA19+AB19+AD19</f>
        <v>0</v>
      </c>
      <c r="AG19" s="421">
        <f>W19+Z19+AC19+AE19</f>
        <v>0</v>
      </c>
      <c r="AH19" s="421">
        <f>SUM(AF19:AG19)</f>
        <v>0</v>
      </c>
      <c r="AI19" s="421">
        <v>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si="20"/>
        <v>0</v>
      </c>
      <c r="AP19" s="421">
        <f>AJ19+AN19</f>
        <v>0</v>
      </c>
      <c r="AQ19" s="421">
        <f>SUM(AO19:AP19)</f>
        <v>0</v>
      </c>
      <c r="AR19" s="421">
        <f t="shared" si="21"/>
        <v>0</v>
      </c>
      <c r="AS19" s="421">
        <f t="shared" si="21"/>
        <v>0</v>
      </c>
      <c r="AT19" s="421">
        <f>SUM(AR19:AS19)</f>
        <v>0</v>
      </c>
      <c r="AU19" s="68">
        <f t="shared" si="22"/>
        <v>0</v>
      </c>
      <c r="AV19" s="68">
        <f>ROUND(AH19*1%,0)</f>
        <v>0</v>
      </c>
      <c r="AW19" s="421">
        <v>0</v>
      </c>
      <c r="AX19" s="421">
        <v>0</v>
      </c>
      <c r="AY19" s="421">
        <f>AW19+AX19</f>
        <v>0</v>
      </c>
      <c r="AZ19" s="421">
        <f>AT19+AU19+AV19+AY19</f>
        <v>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0</v>
      </c>
      <c r="BL19" s="422">
        <f>BB19+BE19+BG19+BJ19</f>
        <v>0</v>
      </c>
      <c r="BM19" s="611">
        <f>SUM(BK19:BL19)</f>
        <v>0</v>
      </c>
      <c r="BN19" s="428">
        <f>I19+AZ19</f>
        <v>523941</v>
      </c>
      <c r="BO19" s="421">
        <f>J19+AH19</f>
        <v>388680</v>
      </c>
      <c r="BP19" s="421">
        <f t="shared" si="23"/>
        <v>388680</v>
      </c>
      <c r="BQ19" s="421">
        <f t="shared" si="23"/>
        <v>0</v>
      </c>
      <c r="BR19" s="421">
        <f>M19+AQ19</f>
        <v>0</v>
      </c>
      <c r="BS19" s="421">
        <f t="shared" si="24"/>
        <v>0</v>
      </c>
      <c r="BT19" s="421">
        <f t="shared" si="24"/>
        <v>0</v>
      </c>
      <c r="BU19" s="421">
        <f t="shared" si="25"/>
        <v>131374</v>
      </c>
      <c r="BV19" s="421">
        <f t="shared" si="25"/>
        <v>3887</v>
      </c>
      <c r="BW19" s="421">
        <f>R19+AY19</f>
        <v>0</v>
      </c>
      <c r="BX19" s="422">
        <f>S19+BM19</f>
        <v>1</v>
      </c>
      <c r="BY19" s="422">
        <f t="shared" si="26"/>
        <v>1</v>
      </c>
      <c r="BZ19" s="611">
        <f t="shared" si="26"/>
        <v>0</v>
      </c>
      <c r="CA19" s="423"/>
      <c r="CB19" s="418"/>
      <c r="CC19" s="418"/>
      <c r="CD19" s="418"/>
      <c r="CE19" s="418"/>
      <c r="CF19" s="527"/>
    </row>
    <row r="20" spans="1:84" s="222" customFormat="1" x14ac:dyDescent="0.2">
      <c r="A20" s="210">
        <v>3</v>
      </c>
      <c r="B20" s="211">
        <v>4409</v>
      </c>
      <c r="C20" s="211">
        <v>600074358</v>
      </c>
      <c r="D20" s="211">
        <v>70982104</v>
      </c>
      <c r="E20" s="205" t="s">
        <v>150</v>
      </c>
      <c r="F20" s="211">
        <v>3111</v>
      </c>
      <c r="G20" s="165" t="s">
        <v>292</v>
      </c>
      <c r="H20" s="699" t="s">
        <v>272</v>
      </c>
      <c r="I20" s="528">
        <f t="shared" si="17"/>
        <v>0</v>
      </c>
      <c r="J20" s="418">
        <f>K20+L20</f>
        <v>0</v>
      </c>
      <c r="K20" s="418">
        <v>0</v>
      </c>
      <c r="L20" s="418">
        <v>0</v>
      </c>
      <c r="M20" s="418">
        <f>N20+O20</f>
        <v>0</v>
      </c>
      <c r="N20" s="418"/>
      <c r="O20" s="418"/>
      <c r="P20" s="68">
        <f t="shared" si="27"/>
        <v>0</v>
      </c>
      <c r="Q20" s="68">
        <f t="shared" si="18"/>
        <v>0</v>
      </c>
      <c r="R20" s="418">
        <v>0</v>
      </c>
      <c r="S20" s="419">
        <f>T20+U20</f>
        <v>0</v>
      </c>
      <c r="T20" s="420">
        <v>0</v>
      </c>
      <c r="U20" s="527">
        <v>0</v>
      </c>
      <c r="V20" s="427">
        <f t="shared" si="19"/>
        <v>0</v>
      </c>
      <c r="W20" s="421">
        <f t="shared" si="19"/>
        <v>0</v>
      </c>
      <c r="X20" s="421">
        <v>2132106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2132106</v>
      </c>
      <c r="AG20" s="421">
        <f>W20+Z20+AC20+AE20</f>
        <v>0</v>
      </c>
      <c r="AH20" s="421">
        <f>SUM(AF20:AG20)</f>
        <v>2132106</v>
      </c>
      <c r="AI20" s="421">
        <v>0</v>
      </c>
      <c r="AJ20" s="421">
        <v>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si="20"/>
        <v>0</v>
      </c>
      <c r="AP20" s="421">
        <f>AJ20+AN20</f>
        <v>0</v>
      </c>
      <c r="AQ20" s="421">
        <f>SUM(AO20:AP20)</f>
        <v>0</v>
      </c>
      <c r="AR20" s="421">
        <f t="shared" si="21"/>
        <v>2132106</v>
      </c>
      <c r="AS20" s="421">
        <f t="shared" si="21"/>
        <v>0</v>
      </c>
      <c r="AT20" s="421">
        <f>SUM(AR20:AS20)</f>
        <v>2132106</v>
      </c>
      <c r="AU20" s="68">
        <f t="shared" si="22"/>
        <v>720652</v>
      </c>
      <c r="AV20" s="68">
        <f>ROUND(AH20*1%,0)</f>
        <v>21321</v>
      </c>
      <c r="AW20" s="421">
        <v>0</v>
      </c>
      <c r="AX20" s="421">
        <v>0</v>
      </c>
      <c r="AY20" s="421">
        <f>AW20+AX20</f>
        <v>0</v>
      </c>
      <c r="AZ20" s="421">
        <f>AT20+AU20+AV20+AY20</f>
        <v>2874079</v>
      </c>
      <c r="BA20" s="422">
        <v>0</v>
      </c>
      <c r="BB20" s="422">
        <v>0</v>
      </c>
      <c r="BC20" s="422">
        <v>5.75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5.75</v>
      </c>
      <c r="BL20" s="422">
        <f>BB20+BE20+BG20+BJ20</f>
        <v>0</v>
      </c>
      <c r="BM20" s="611">
        <f>SUM(BK20:BL20)</f>
        <v>5.75</v>
      </c>
      <c r="BN20" s="428">
        <f>I20+AZ20</f>
        <v>2874079</v>
      </c>
      <c r="BO20" s="421">
        <f>J20+AH20</f>
        <v>2132106</v>
      </c>
      <c r="BP20" s="421">
        <f t="shared" si="23"/>
        <v>2132106</v>
      </c>
      <c r="BQ20" s="421">
        <f t="shared" si="23"/>
        <v>0</v>
      </c>
      <c r="BR20" s="421">
        <f>M20+AQ20</f>
        <v>0</v>
      </c>
      <c r="BS20" s="421">
        <f t="shared" si="24"/>
        <v>0</v>
      </c>
      <c r="BT20" s="421">
        <f t="shared" si="24"/>
        <v>0</v>
      </c>
      <c r="BU20" s="421">
        <f t="shared" si="25"/>
        <v>720652</v>
      </c>
      <c r="BV20" s="421">
        <f t="shared" si="25"/>
        <v>21321</v>
      </c>
      <c r="BW20" s="421">
        <f>R20+AY20</f>
        <v>0</v>
      </c>
      <c r="BX20" s="422">
        <f>S20+BM20</f>
        <v>5.75</v>
      </c>
      <c r="BY20" s="422">
        <f t="shared" si="26"/>
        <v>5.75</v>
      </c>
      <c r="BZ20" s="611">
        <f t="shared" si="26"/>
        <v>0</v>
      </c>
      <c r="CA20" s="423"/>
      <c r="CB20" s="418"/>
      <c r="CC20" s="418"/>
      <c r="CD20" s="418"/>
      <c r="CE20" s="418"/>
      <c r="CF20" s="527"/>
    </row>
    <row r="21" spans="1:84" s="222" customFormat="1" x14ac:dyDescent="0.2">
      <c r="A21" s="210">
        <v>3</v>
      </c>
      <c r="B21" s="211">
        <v>4409</v>
      </c>
      <c r="C21" s="211">
        <v>600074358</v>
      </c>
      <c r="D21" s="211">
        <v>70982104</v>
      </c>
      <c r="E21" s="209" t="s">
        <v>150</v>
      </c>
      <c r="F21" s="211">
        <v>3141</v>
      </c>
      <c r="G21" s="165" t="s">
        <v>295</v>
      </c>
      <c r="H21" s="699" t="s">
        <v>272</v>
      </c>
      <c r="I21" s="528">
        <f t="shared" si="17"/>
        <v>1664566</v>
      </c>
      <c r="J21" s="418">
        <f>K21+L21</f>
        <v>1229441</v>
      </c>
      <c r="K21" s="418">
        <v>0</v>
      </c>
      <c r="L21" s="418">
        <v>1229441</v>
      </c>
      <c r="M21" s="418">
        <f>N21+O21</f>
        <v>0</v>
      </c>
      <c r="N21" s="418"/>
      <c r="O21" s="418"/>
      <c r="P21" s="68">
        <f t="shared" si="27"/>
        <v>415551</v>
      </c>
      <c r="Q21" s="68">
        <f t="shared" si="18"/>
        <v>12294</v>
      </c>
      <c r="R21" s="418">
        <v>7280</v>
      </c>
      <c r="S21" s="419">
        <f>T21+U21</f>
        <v>3.69</v>
      </c>
      <c r="T21" s="420">
        <v>0</v>
      </c>
      <c r="U21" s="527">
        <v>3.69</v>
      </c>
      <c r="V21" s="427">
        <f t="shared" si="19"/>
        <v>0</v>
      </c>
      <c r="W21" s="421">
        <f t="shared" si="19"/>
        <v>0</v>
      </c>
      <c r="X21" s="421">
        <v>0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0</v>
      </c>
      <c r="AG21" s="421">
        <f>W21+Z21+AC21+AE21</f>
        <v>0</v>
      </c>
      <c r="AH21" s="421">
        <f>SUM(AF21:AG21)</f>
        <v>0</v>
      </c>
      <c r="AI21" s="421">
        <v>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20"/>
        <v>0</v>
      </c>
      <c r="AP21" s="421">
        <f>AJ21+AN21</f>
        <v>0</v>
      </c>
      <c r="AQ21" s="421">
        <f>SUM(AO21:AP21)</f>
        <v>0</v>
      </c>
      <c r="AR21" s="421">
        <f t="shared" si="21"/>
        <v>0</v>
      </c>
      <c r="AS21" s="421">
        <f t="shared" si="21"/>
        <v>0</v>
      </c>
      <c r="AT21" s="421">
        <f>SUM(AR21:AS21)</f>
        <v>0</v>
      </c>
      <c r="AU21" s="68">
        <f t="shared" si="22"/>
        <v>0</v>
      </c>
      <c r="AV21" s="68">
        <f>ROUND(AH21*1%,0)</f>
        <v>0</v>
      </c>
      <c r="AW21" s="421">
        <v>0</v>
      </c>
      <c r="AX21" s="421">
        <v>0</v>
      </c>
      <c r="AY21" s="421">
        <f>AW21+AX21</f>
        <v>0</v>
      </c>
      <c r="AZ21" s="421">
        <f>AT21+AU21+AV21+AY21</f>
        <v>0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0</v>
      </c>
      <c r="BL21" s="422">
        <f>BB21+BE21+BG21+BJ21</f>
        <v>0</v>
      </c>
      <c r="BM21" s="611">
        <f>SUM(BK21:BL21)</f>
        <v>0</v>
      </c>
      <c r="BN21" s="428">
        <f>I21+AZ21</f>
        <v>1664566</v>
      </c>
      <c r="BO21" s="421">
        <f>J21+AH21</f>
        <v>1229441</v>
      </c>
      <c r="BP21" s="421">
        <f t="shared" si="23"/>
        <v>0</v>
      </c>
      <c r="BQ21" s="421">
        <f t="shared" si="23"/>
        <v>1229441</v>
      </c>
      <c r="BR21" s="421">
        <f>M21+AQ21</f>
        <v>0</v>
      </c>
      <c r="BS21" s="421">
        <f t="shared" si="24"/>
        <v>0</v>
      </c>
      <c r="BT21" s="421">
        <f t="shared" si="24"/>
        <v>0</v>
      </c>
      <c r="BU21" s="421">
        <f t="shared" si="25"/>
        <v>415551</v>
      </c>
      <c r="BV21" s="421">
        <f t="shared" si="25"/>
        <v>12294</v>
      </c>
      <c r="BW21" s="421">
        <f>R21+AY21</f>
        <v>7280</v>
      </c>
      <c r="BX21" s="422">
        <f>S21+BM21</f>
        <v>3.69</v>
      </c>
      <c r="BY21" s="422">
        <f t="shared" si="26"/>
        <v>0</v>
      </c>
      <c r="BZ21" s="611">
        <f t="shared" si="26"/>
        <v>3.69</v>
      </c>
      <c r="CA21" s="423"/>
      <c r="CB21" s="418"/>
      <c r="CC21" s="418"/>
      <c r="CD21" s="418"/>
      <c r="CE21" s="418"/>
      <c r="CF21" s="527"/>
    </row>
    <row r="22" spans="1:84" s="222" customFormat="1" x14ac:dyDescent="0.2">
      <c r="A22" s="155">
        <v>3</v>
      </c>
      <c r="B22" s="18">
        <v>4409</v>
      </c>
      <c r="C22" s="18">
        <v>600074358</v>
      </c>
      <c r="D22" s="18">
        <v>70982104</v>
      </c>
      <c r="E22" s="164" t="s">
        <v>151</v>
      </c>
      <c r="F22" s="18"/>
      <c r="G22" s="154"/>
      <c r="H22" s="685"/>
      <c r="I22" s="458">
        <f t="shared" ref="I22:BU22" si="28">SUM(I18:I21)</f>
        <v>19557878</v>
      </c>
      <c r="J22" s="451">
        <f t="shared" si="28"/>
        <v>14452516</v>
      </c>
      <c r="K22" s="451">
        <f t="shared" si="28"/>
        <v>12014107</v>
      </c>
      <c r="L22" s="451">
        <f t="shared" si="28"/>
        <v>2438409</v>
      </c>
      <c r="M22" s="451">
        <f t="shared" si="28"/>
        <v>0</v>
      </c>
      <c r="N22" s="451">
        <f t="shared" si="28"/>
        <v>0</v>
      </c>
      <c r="O22" s="451">
        <f t="shared" si="28"/>
        <v>0</v>
      </c>
      <c r="P22" s="451">
        <f t="shared" si="28"/>
        <v>4884950</v>
      </c>
      <c r="Q22" s="451">
        <f t="shared" si="28"/>
        <v>144525</v>
      </c>
      <c r="R22" s="451">
        <f t="shared" si="28"/>
        <v>75887</v>
      </c>
      <c r="S22" s="452">
        <f t="shared" si="28"/>
        <v>29.223400000000002</v>
      </c>
      <c r="T22" s="452">
        <f t="shared" si="28"/>
        <v>21.292999999999999</v>
      </c>
      <c r="U22" s="39">
        <f t="shared" si="28"/>
        <v>7.9303999999999988</v>
      </c>
      <c r="V22" s="458">
        <f t="shared" si="28"/>
        <v>-12800</v>
      </c>
      <c r="W22" s="451">
        <f t="shared" si="28"/>
        <v>-6400</v>
      </c>
      <c r="X22" s="451">
        <f t="shared" si="28"/>
        <v>2132106</v>
      </c>
      <c r="Y22" s="451">
        <f t="shared" si="28"/>
        <v>0</v>
      </c>
      <c r="Z22" s="451">
        <f t="shared" si="28"/>
        <v>0</v>
      </c>
      <c r="AA22" s="451">
        <f t="shared" si="28"/>
        <v>0</v>
      </c>
      <c r="AB22" s="451">
        <f t="shared" si="28"/>
        <v>0</v>
      </c>
      <c r="AC22" s="451">
        <f t="shared" si="28"/>
        <v>0</v>
      </c>
      <c r="AD22" s="451">
        <f t="shared" si="28"/>
        <v>0</v>
      </c>
      <c r="AE22" s="451">
        <f t="shared" si="28"/>
        <v>0</v>
      </c>
      <c r="AF22" s="451">
        <f t="shared" si="28"/>
        <v>2119306</v>
      </c>
      <c r="AG22" s="451">
        <f t="shared" si="28"/>
        <v>-6400</v>
      </c>
      <c r="AH22" s="451">
        <f t="shared" si="28"/>
        <v>2112906</v>
      </c>
      <c r="AI22" s="451">
        <f t="shared" si="28"/>
        <v>12800</v>
      </c>
      <c r="AJ22" s="451">
        <f t="shared" si="28"/>
        <v>6400</v>
      </c>
      <c r="AK22" s="451">
        <f t="shared" ref="AK22" si="29">SUM(AK18:AK21)</f>
        <v>0</v>
      </c>
      <c r="AL22" s="451">
        <f t="shared" si="28"/>
        <v>0</v>
      </c>
      <c r="AM22" s="451">
        <f t="shared" si="28"/>
        <v>0</v>
      </c>
      <c r="AN22" s="451">
        <f t="shared" si="28"/>
        <v>0</v>
      </c>
      <c r="AO22" s="451">
        <f t="shared" si="28"/>
        <v>12800</v>
      </c>
      <c r="AP22" s="451">
        <f t="shared" si="28"/>
        <v>6400</v>
      </c>
      <c r="AQ22" s="451">
        <f t="shared" si="28"/>
        <v>19200</v>
      </c>
      <c r="AR22" s="451">
        <f t="shared" si="28"/>
        <v>2132106</v>
      </c>
      <c r="AS22" s="451">
        <f t="shared" si="28"/>
        <v>0</v>
      </c>
      <c r="AT22" s="451">
        <f t="shared" si="28"/>
        <v>2132106</v>
      </c>
      <c r="AU22" s="451">
        <f t="shared" si="28"/>
        <v>720652</v>
      </c>
      <c r="AV22" s="451">
        <f t="shared" si="28"/>
        <v>21129</v>
      </c>
      <c r="AW22" s="451">
        <f t="shared" si="28"/>
        <v>0</v>
      </c>
      <c r="AX22" s="451">
        <f t="shared" si="28"/>
        <v>0</v>
      </c>
      <c r="AY22" s="451">
        <f t="shared" si="28"/>
        <v>0</v>
      </c>
      <c r="AZ22" s="451">
        <f t="shared" si="28"/>
        <v>2873887</v>
      </c>
      <c r="BA22" s="452">
        <f t="shared" si="28"/>
        <v>-0.03</v>
      </c>
      <c r="BB22" s="452">
        <f t="shared" si="28"/>
        <v>-0.03</v>
      </c>
      <c r="BC22" s="452">
        <f t="shared" si="28"/>
        <v>5.75</v>
      </c>
      <c r="BD22" s="452">
        <f t="shared" si="28"/>
        <v>0</v>
      </c>
      <c r="BE22" s="452">
        <f t="shared" si="28"/>
        <v>0</v>
      </c>
      <c r="BF22" s="452">
        <f t="shared" si="28"/>
        <v>0</v>
      </c>
      <c r="BG22" s="452">
        <f t="shared" si="28"/>
        <v>0</v>
      </c>
      <c r="BH22" s="452">
        <f t="shared" si="28"/>
        <v>0</v>
      </c>
      <c r="BI22" s="452">
        <f t="shared" si="28"/>
        <v>0</v>
      </c>
      <c r="BJ22" s="452">
        <f t="shared" si="28"/>
        <v>0</v>
      </c>
      <c r="BK22" s="452">
        <f t="shared" si="28"/>
        <v>5.72</v>
      </c>
      <c r="BL22" s="452">
        <f t="shared" si="28"/>
        <v>-0.03</v>
      </c>
      <c r="BM22" s="456">
        <f t="shared" si="28"/>
        <v>5.69</v>
      </c>
      <c r="BN22" s="454">
        <f t="shared" si="28"/>
        <v>22431765</v>
      </c>
      <c r="BO22" s="451">
        <f t="shared" si="28"/>
        <v>16565422</v>
      </c>
      <c r="BP22" s="451">
        <f t="shared" si="28"/>
        <v>14133413</v>
      </c>
      <c r="BQ22" s="451">
        <f t="shared" si="28"/>
        <v>2432009</v>
      </c>
      <c r="BR22" s="451">
        <f t="shared" si="28"/>
        <v>19200</v>
      </c>
      <c r="BS22" s="451">
        <f t="shared" si="28"/>
        <v>12800</v>
      </c>
      <c r="BT22" s="451">
        <f t="shared" si="28"/>
        <v>6400</v>
      </c>
      <c r="BU22" s="451">
        <f t="shared" si="28"/>
        <v>5605602</v>
      </c>
      <c r="BV22" s="451">
        <f t="shared" ref="BV22:CF22" si="30">SUM(BV18:BV21)</f>
        <v>165654</v>
      </c>
      <c r="BW22" s="451">
        <f t="shared" si="30"/>
        <v>75887</v>
      </c>
      <c r="BX22" s="452">
        <f t="shared" si="30"/>
        <v>34.913400000000003</v>
      </c>
      <c r="BY22" s="452">
        <f t="shared" si="30"/>
        <v>27.012999999999998</v>
      </c>
      <c r="BZ22" s="456">
        <f t="shared" si="30"/>
        <v>7.9003999999999994</v>
      </c>
      <c r="CA22" s="854">
        <f t="shared" si="30"/>
        <v>0</v>
      </c>
      <c r="CB22" s="852">
        <f t="shared" si="30"/>
        <v>0</v>
      </c>
      <c r="CC22" s="852">
        <f t="shared" si="30"/>
        <v>0</v>
      </c>
      <c r="CD22" s="852">
        <f t="shared" si="30"/>
        <v>0</v>
      </c>
      <c r="CE22" s="852">
        <f t="shared" si="30"/>
        <v>0</v>
      </c>
      <c r="CF22" s="848">
        <f t="shared" si="30"/>
        <v>0</v>
      </c>
    </row>
    <row r="23" spans="1:84" s="222" customFormat="1" x14ac:dyDescent="0.2">
      <c r="A23" s="210">
        <v>4</v>
      </c>
      <c r="B23" s="211">
        <v>4407</v>
      </c>
      <c r="C23" s="211">
        <v>600074552</v>
      </c>
      <c r="D23" s="211">
        <v>70982201</v>
      </c>
      <c r="E23" s="209" t="s">
        <v>152</v>
      </c>
      <c r="F23" s="211">
        <v>3111</v>
      </c>
      <c r="G23" s="165" t="s">
        <v>291</v>
      </c>
      <c r="H23" s="699" t="s">
        <v>271</v>
      </c>
      <c r="I23" s="528">
        <f t="shared" ref="I23:I26" si="31">J23+P23+Q23+R23</f>
        <v>7725049</v>
      </c>
      <c r="J23" s="418">
        <f>K23+L23</f>
        <v>5711778</v>
      </c>
      <c r="K23" s="418">
        <v>5236584</v>
      </c>
      <c r="L23" s="418">
        <v>475194</v>
      </c>
      <c r="M23" s="418">
        <f>N23+O23</f>
        <v>0</v>
      </c>
      <c r="N23" s="418"/>
      <c r="O23" s="418"/>
      <c r="P23" s="68">
        <f t="shared" ref="P23:P26" si="32">ROUND(J23*33.8%,0)</f>
        <v>1930581</v>
      </c>
      <c r="Q23" s="68">
        <f t="shared" ref="Q23:Q26" si="33">ROUND(J23*1%,0)</f>
        <v>57118</v>
      </c>
      <c r="R23" s="418">
        <v>25572</v>
      </c>
      <c r="S23" s="419">
        <f>T23+U23</f>
        <v>10.0395</v>
      </c>
      <c r="T23" s="420">
        <v>8.4193999999999996</v>
      </c>
      <c r="U23" s="527">
        <v>1.6200999999999999</v>
      </c>
      <c r="V23" s="427">
        <f t="shared" ref="V23:W26" si="34">AI23*-1</f>
        <v>0</v>
      </c>
      <c r="W23" s="421">
        <f t="shared" si="34"/>
        <v>0</v>
      </c>
      <c r="X23" s="421">
        <v>0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>V23+X23+Y23+AA23+AB23+AD23</f>
        <v>0</v>
      </c>
      <c r="AG23" s="421">
        <f>W23+Z23+AC23+AE23</f>
        <v>0</v>
      </c>
      <c r="AH23" s="421">
        <f>SUM(AF23:AG23)</f>
        <v>0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ref="AO23:AO26" si="35">AI23+AK23+AL23+AM23</f>
        <v>0</v>
      </c>
      <c r="AP23" s="421">
        <f>AJ23+AN23</f>
        <v>0</v>
      </c>
      <c r="AQ23" s="421">
        <f>SUM(AO23:AP23)</f>
        <v>0</v>
      </c>
      <c r="AR23" s="421">
        <f t="shared" ref="AR23:AS26" si="36">AF23+AO23</f>
        <v>0</v>
      </c>
      <c r="AS23" s="421">
        <f t="shared" si="36"/>
        <v>0</v>
      </c>
      <c r="AT23" s="421">
        <f>SUM(AR23:AS23)</f>
        <v>0</v>
      </c>
      <c r="AU23" s="68">
        <f t="shared" ref="AU23:AU26" si="37">ROUND((AH23+AI23+AJ23+AK23+AL23)*33.8%,0)</f>
        <v>0</v>
      </c>
      <c r="AV23" s="68">
        <f>ROUND(AH23*1%,0)</f>
        <v>0</v>
      </c>
      <c r="AW23" s="421">
        <v>0</v>
      </c>
      <c r="AX23" s="421">
        <v>0</v>
      </c>
      <c r="AY23" s="421">
        <f>AW23+AX23</f>
        <v>0</v>
      </c>
      <c r="AZ23" s="421">
        <f>AT23+AU23+AV23+AY23</f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0</v>
      </c>
      <c r="BL23" s="422">
        <f>BB23+BE23+BG23+BJ23</f>
        <v>0</v>
      </c>
      <c r="BM23" s="611">
        <f>SUM(BK23:BL23)</f>
        <v>0</v>
      </c>
      <c r="BN23" s="428">
        <f>I23+AZ23</f>
        <v>7725049</v>
      </c>
      <c r="BO23" s="421">
        <f>J23+AH23</f>
        <v>5711778</v>
      </c>
      <c r="BP23" s="421">
        <f t="shared" ref="BP23:BQ26" si="38">K23+AF23</f>
        <v>5236584</v>
      </c>
      <c r="BQ23" s="421">
        <f t="shared" si="38"/>
        <v>475194</v>
      </c>
      <c r="BR23" s="421">
        <f>M23+AQ23</f>
        <v>0</v>
      </c>
      <c r="BS23" s="421">
        <f t="shared" ref="BS23:BT26" si="39">N23+AO23</f>
        <v>0</v>
      </c>
      <c r="BT23" s="421">
        <f t="shared" si="39"/>
        <v>0</v>
      </c>
      <c r="BU23" s="421">
        <f t="shared" ref="BU23:BV26" si="40">P23+AU23</f>
        <v>1930581</v>
      </c>
      <c r="BV23" s="421">
        <f t="shared" si="40"/>
        <v>57118</v>
      </c>
      <c r="BW23" s="421">
        <f>R23+AY23</f>
        <v>25572</v>
      </c>
      <c r="BX23" s="422">
        <f>S23+BM23</f>
        <v>10.0395</v>
      </c>
      <c r="BY23" s="422">
        <f t="shared" ref="BY23:BZ26" si="41">T23+BK23</f>
        <v>8.4193999999999996</v>
      </c>
      <c r="BZ23" s="611">
        <f t="shared" si="41"/>
        <v>1.6200999999999999</v>
      </c>
      <c r="CA23" s="423"/>
      <c r="CB23" s="418"/>
      <c r="CC23" s="418"/>
      <c r="CD23" s="418"/>
      <c r="CE23" s="418"/>
      <c r="CF23" s="527"/>
    </row>
    <row r="24" spans="1:84" s="222" customFormat="1" x14ac:dyDescent="0.2">
      <c r="A24" s="210">
        <v>4</v>
      </c>
      <c r="B24" s="211">
        <v>4407</v>
      </c>
      <c r="C24" s="211">
        <v>600074552</v>
      </c>
      <c r="D24" s="211">
        <v>70982201</v>
      </c>
      <c r="E24" s="209" t="s">
        <v>152</v>
      </c>
      <c r="F24" s="211">
        <v>3111</v>
      </c>
      <c r="G24" s="165" t="s">
        <v>293</v>
      </c>
      <c r="H24" s="699" t="s">
        <v>271</v>
      </c>
      <c r="I24" s="528">
        <f t="shared" si="31"/>
        <v>601586</v>
      </c>
      <c r="J24" s="418">
        <f>K24+L24</f>
        <v>446280</v>
      </c>
      <c r="K24" s="418">
        <v>446280</v>
      </c>
      <c r="L24" s="418">
        <v>0</v>
      </c>
      <c r="M24" s="418">
        <f>N24+O24</f>
        <v>0</v>
      </c>
      <c r="N24" s="418"/>
      <c r="O24" s="418"/>
      <c r="P24" s="68">
        <f t="shared" si="32"/>
        <v>150843</v>
      </c>
      <c r="Q24" s="68">
        <f t="shared" si="33"/>
        <v>4463</v>
      </c>
      <c r="R24" s="418">
        <v>0</v>
      </c>
      <c r="S24" s="419">
        <f>T24+U24</f>
        <v>1</v>
      </c>
      <c r="T24" s="420">
        <v>1</v>
      </c>
      <c r="U24" s="527">
        <v>0</v>
      </c>
      <c r="V24" s="427">
        <f t="shared" si="34"/>
        <v>0</v>
      </c>
      <c r="W24" s="421">
        <f t="shared" si="34"/>
        <v>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>V24+X24+Y24+AA24+AB24+AD24</f>
        <v>0</v>
      </c>
      <c r="AG24" s="421">
        <f>W24+Z24+AC24+AE24</f>
        <v>0</v>
      </c>
      <c r="AH24" s="421">
        <f>SUM(AF24:AG24)</f>
        <v>0</v>
      </c>
      <c r="AI24" s="421">
        <v>0</v>
      </c>
      <c r="AJ24" s="421">
        <v>0</v>
      </c>
      <c r="AK24" s="421">
        <v>0</v>
      </c>
      <c r="AL24" s="421">
        <v>0</v>
      </c>
      <c r="AM24" s="421">
        <v>0</v>
      </c>
      <c r="AN24" s="421">
        <v>0</v>
      </c>
      <c r="AO24" s="421">
        <f t="shared" si="35"/>
        <v>0</v>
      </c>
      <c r="AP24" s="421">
        <f>AJ24+AN24</f>
        <v>0</v>
      </c>
      <c r="AQ24" s="421">
        <f>SUM(AO24:AP24)</f>
        <v>0</v>
      </c>
      <c r="AR24" s="421">
        <f t="shared" si="36"/>
        <v>0</v>
      </c>
      <c r="AS24" s="421">
        <f t="shared" si="36"/>
        <v>0</v>
      </c>
      <c r="AT24" s="421">
        <f>SUM(AR24:AS24)</f>
        <v>0</v>
      </c>
      <c r="AU24" s="68">
        <f t="shared" si="37"/>
        <v>0</v>
      </c>
      <c r="AV24" s="68">
        <f>ROUND(AH24*1%,0)</f>
        <v>0</v>
      </c>
      <c r="AW24" s="421">
        <v>0</v>
      </c>
      <c r="AX24" s="421">
        <v>0</v>
      </c>
      <c r="AY24" s="421">
        <f>AW24+AX24</f>
        <v>0</v>
      </c>
      <c r="AZ24" s="421">
        <f>AT24+AU24+AV24+AY24</f>
        <v>0</v>
      </c>
      <c r="BA24" s="422">
        <v>0</v>
      </c>
      <c r="BB24" s="422">
        <v>0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0</v>
      </c>
      <c r="BL24" s="422">
        <f>BB24+BE24+BG24+BJ24</f>
        <v>0</v>
      </c>
      <c r="BM24" s="611">
        <f>SUM(BK24:BL24)</f>
        <v>0</v>
      </c>
      <c r="BN24" s="428">
        <f>I24+AZ24</f>
        <v>601586</v>
      </c>
      <c r="BO24" s="421">
        <f>J24+AH24</f>
        <v>446280</v>
      </c>
      <c r="BP24" s="421">
        <f t="shared" si="38"/>
        <v>446280</v>
      </c>
      <c r="BQ24" s="421">
        <f t="shared" si="38"/>
        <v>0</v>
      </c>
      <c r="BR24" s="421">
        <f>M24+AQ24</f>
        <v>0</v>
      </c>
      <c r="BS24" s="421">
        <f t="shared" si="39"/>
        <v>0</v>
      </c>
      <c r="BT24" s="421">
        <f t="shared" si="39"/>
        <v>0</v>
      </c>
      <c r="BU24" s="421">
        <f t="shared" si="40"/>
        <v>150843</v>
      </c>
      <c r="BV24" s="421">
        <f t="shared" si="40"/>
        <v>4463</v>
      </c>
      <c r="BW24" s="421">
        <f>R24+AY24</f>
        <v>0</v>
      </c>
      <c r="BX24" s="422">
        <f>S24+BM24</f>
        <v>1</v>
      </c>
      <c r="BY24" s="422">
        <f t="shared" si="41"/>
        <v>1</v>
      </c>
      <c r="BZ24" s="611">
        <f t="shared" si="41"/>
        <v>0</v>
      </c>
      <c r="CA24" s="423"/>
      <c r="CB24" s="418"/>
      <c r="CC24" s="418"/>
      <c r="CD24" s="418"/>
      <c r="CE24" s="418"/>
      <c r="CF24" s="527"/>
    </row>
    <row r="25" spans="1:84" s="222" customFormat="1" x14ac:dyDescent="0.2">
      <c r="A25" s="210">
        <v>4</v>
      </c>
      <c r="B25" s="211">
        <v>4407</v>
      </c>
      <c r="C25" s="211">
        <v>600074552</v>
      </c>
      <c r="D25" s="211">
        <v>70982201</v>
      </c>
      <c r="E25" s="209" t="s">
        <v>152</v>
      </c>
      <c r="F25" s="211">
        <v>3111</v>
      </c>
      <c r="G25" s="165" t="s">
        <v>292</v>
      </c>
      <c r="H25" s="699" t="s">
        <v>272</v>
      </c>
      <c r="I25" s="528">
        <f t="shared" si="31"/>
        <v>0</v>
      </c>
      <c r="J25" s="418">
        <f>K25+L25</f>
        <v>0</v>
      </c>
      <c r="K25" s="418">
        <v>0</v>
      </c>
      <c r="L25" s="418">
        <v>0</v>
      </c>
      <c r="M25" s="418">
        <f>N25+O25</f>
        <v>0</v>
      </c>
      <c r="N25" s="418"/>
      <c r="O25" s="418"/>
      <c r="P25" s="68">
        <f t="shared" si="32"/>
        <v>0</v>
      </c>
      <c r="Q25" s="68">
        <f t="shared" si="33"/>
        <v>0</v>
      </c>
      <c r="R25" s="418">
        <v>0</v>
      </c>
      <c r="S25" s="419">
        <f>T25+U25</f>
        <v>0</v>
      </c>
      <c r="T25" s="420">
        <v>0</v>
      </c>
      <c r="U25" s="527">
        <v>0</v>
      </c>
      <c r="V25" s="427">
        <f t="shared" si="34"/>
        <v>0</v>
      </c>
      <c r="W25" s="421">
        <f t="shared" si="34"/>
        <v>0</v>
      </c>
      <c r="X25" s="421">
        <v>673659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>V25+X25+Y25+AA25+AB25+AD25</f>
        <v>673659</v>
      </c>
      <c r="AG25" s="421">
        <f>W25+Z25+AC25+AE25</f>
        <v>0</v>
      </c>
      <c r="AH25" s="421">
        <f>SUM(AF25:AG25)</f>
        <v>673659</v>
      </c>
      <c r="AI25" s="421">
        <v>0</v>
      </c>
      <c r="AJ25" s="421">
        <v>0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si="35"/>
        <v>0</v>
      </c>
      <c r="AP25" s="421">
        <f>AJ25+AN25</f>
        <v>0</v>
      </c>
      <c r="AQ25" s="421">
        <f>SUM(AO25:AP25)</f>
        <v>0</v>
      </c>
      <c r="AR25" s="421">
        <f t="shared" si="36"/>
        <v>673659</v>
      </c>
      <c r="AS25" s="421">
        <f t="shared" si="36"/>
        <v>0</v>
      </c>
      <c r="AT25" s="421">
        <f>SUM(AR25:AS25)</f>
        <v>673659</v>
      </c>
      <c r="AU25" s="68">
        <f t="shared" si="37"/>
        <v>227697</v>
      </c>
      <c r="AV25" s="68">
        <f>ROUND(AH25*1%,0)</f>
        <v>6737</v>
      </c>
      <c r="AW25" s="421">
        <v>4000</v>
      </c>
      <c r="AX25" s="421">
        <v>0</v>
      </c>
      <c r="AY25" s="421">
        <f>AW25+AX25</f>
        <v>4000</v>
      </c>
      <c r="AZ25" s="421">
        <f>AT25+AU25+AV25+AY25</f>
        <v>912093</v>
      </c>
      <c r="BA25" s="422">
        <v>0</v>
      </c>
      <c r="BB25" s="422">
        <v>0</v>
      </c>
      <c r="BC25" s="422">
        <v>1.8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1.8</v>
      </c>
      <c r="BL25" s="422">
        <f>BB25+BE25+BG25+BJ25</f>
        <v>0</v>
      </c>
      <c r="BM25" s="611">
        <f>SUM(BK25:BL25)</f>
        <v>1.8</v>
      </c>
      <c r="BN25" s="428">
        <f>I25+AZ25</f>
        <v>912093</v>
      </c>
      <c r="BO25" s="421">
        <f>J25+AH25</f>
        <v>673659</v>
      </c>
      <c r="BP25" s="421">
        <f t="shared" si="38"/>
        <v>673659</v>
      </c>
      <c r="BQ25" s="421">
        <f t="shared" si="38"/>
        <v>0</v>
      </c>
      <c r="BR25" s="421">
        <f>M25+AQ25</f>
        <v>0</v>
      </c>
      <c r="BS25" s="421">
        <f t="shared" si="39"/>
        <v>0</v>
      </c>
      <c r="BT25" s="421">
        <f t="shared" si="39"/>
        <v>0</v>
      </c>
      <c r="BU25" s="421">
        <f t="shared" si="40"/>
        <v>227697</v>
      </c>
      <c r="BV25" s="421">
        <f t="shared" si="40"/>
        <v>6737</v>
      </c>
      <c r="BW25" s="421">
        <f>R25+AY25</f>
        <v>4000</v>
      </c>
      <c r="BX25" s="422">
        <f>S25+BM25</f>
        <v>1.8</v>
      </c>
      <c r="BY25" s="422">
        <f t="shared" si="41"/>
        <v>1.8</v>
      </c>
      <c r="BZ25" s="611">
        <f t="shared" si="41"/>
        <v>0</v>
      </c>
      <c r="CA25" s="423"/>
      <c r="CB25" s="418"/>
      <c r="CC25" s="418"/>
      <c r="CD25" s="418"/>
      <c r="CE25" s="418"/>
      <c r="CF25" s="527"/>
    </row>
    <row r="26" spans="1:84" s="222" customFormat="1" x14ac:dyDescent="0.2">
      <c r="A26" s="210">
        <v>4</v>
      </c>
      <c r="B26" s="211">
        <v>4407</v>
      </c>
      <c r="C26" s="211">
        <v>600074552</v>
      </c>
      <c r="D26" s="211">
        <v>70982201</v>
      </c>
      <c r="E26" s="209" t="s">
        <v>152</v>
      </c>
      <c r="F26" s="211">
        <v>3141</v>
      </c>
      <c r="G26" s="165" t="s">
        <v>295</v>
      </c>
      <c r="H26" s="699" t="s">
        <v>272</v>
      </c>
      <c r="I26" s="528">
        <f t="shared" si="31"/>
        <v>665269</v>
      </c>
      <c r="J26" s="418">
        <f>K26+L26</f>
        <v>491316</v>
      </c>
      <c r="K26" s="418">
        <v>0</v>
      </c>
      <c r="L26" s="418">
        <v>491316</v>
      </c>
      <c r="M26" s="418">
        <f>N26+O26</f>
        <v>0</v>
      </c>
      <c r="N26" s="418"/>
      <c r="O26" s="418"/>
      <c r="P26" s="68">
        <f t="shared" si="32"/>
        <v>166065</v>
      </c>
      <c r="Q26" s="68">
        <f t="shared" si="33"/>
        <v>4913</v>
      </c>
      <c r="R26" s="418">
        <v>2975</v>
      </c>
      <c r="S26" s="419">
        <f>T26+U26</f>
        <v>1.47</v>
      </c>
      <c r="T26" s="420">
        <v>0</v>
      </c>
      <c r="U26" s="527">
        <v>1.47</v>
      </c>
      <c r="V26" s="427">
        <f t="shared" si="34"/>
        <v>0</v>
      </c>
      <c r="W26" s="421">
        <f t="shared" si="34"/>
        <v>0</v>
      </c>
      <c r="X26" s="421">
        <v>0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0</v>
      </c>
      <c r="AG26" s="421">
        <f>W26+Z26+AC26+AE26</f>
        <v>0</v>
      </c>
      <c r="AH26" s="421">
        <f>SUM(AF26:AG26)</f>
        <v>0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35"/>
        <v>0</v>
      </c>
      <c r="AP26" s="421">
        <f>AJ26+AN26</f>
        <v>0</v>
      </c>
      <c r="AQ26" s="421">
        <f>SUM(AO26:AP26)</f>
        <v>0</v>
      </c>
      <c r="AR26" s="421">
        <f t="shared" si="36"/>
        <v>0</v>
      </c>
      <c r="AS26" s="421">
        <f t="shared" si="36"/>
        <v>0</v>
      </c>
      <c r="AT26" s="421">
        <f>SUM(AR26:AS26)</f>
        <v>0</v>
      </c>
      <c r="AU26" s="68">
        <f t="shared" si="37"/>
        <v>0</v>
      </c>
      <c r="AV26" s="68">
        <f>ROUND(AH26*1%,0)</f>
        <v>0</v>
      </c>
      <c r="AW26" s="421">
        <v>0</v>
      </c>
      <c r="AX26" s="421">
        <v>0</v>
      </c>
      <c r="AY26" s="421">
        <f>AW26+AX26</f>
        <v>0</v>
      </c>
      <c r="AZ26" s="421">
        <f>AT26+AU26+AV26+AY26</f>
        <v>0</v>
      </c>
      <c r="BA26" s="422">
        <v>0</v>
      </c>
      <c r="BB26" s="422">
        <v>0</v>
      </c>
      <c r="BC26" s="422">
        <v>0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0</v>
      </c>
      <c r="BL26" s="422">
        <f>BB26+BE26+BG26+BJ26</f>
        <v>0</v>
      </c>
      <c r="BM26" s="611">
        <f>SUM(BK26:BL26)</f>
        <v>0</v>
      </c>
      <c r="BN26" s="428">
        <f>I26+AZ26</f>
        <v>665269</v>
      </c>
      <c r="BO26" s="421">
        <f>J26+AH26</f>
        <v>491316</v>
      </c>
      <c r="BP26" s="421">
        <f t="shared" si="38"/>
        <v>0</v>
      </c>
      <c r="BQ26" s="421">
        <f t="shared" si="38"/>
        <v>491316</v>
      </c>
      <c r="BR26" s="421">
        <f>M26+AQ26</f>
        <v>0</v>
      </c>
      <c r="BS26" s="421">
        <f t="shared" si="39"/>
        <v>0</v>
      </c>
      <c r="BT26" s="421">
        <f t="shared" si="39"/>
        <v>0</v>
      </c>
      <c r="BU26" s="421">
        <f t="shared" si="40"/>
        <v>166065</v>
      </c>
      <c r="BV26" s="421">
        <f t="shared" si="40"/>
        <v>4913</v>
      </c>
      <c r="BW26" s="421">
        <f>R26+AY26</f>
        <v>2975</v>
      </c>
      <c r="BX26" s="422">
        <f>S26+BM26</f>
        <v>1.47</v>
      </c>
      <c r="BY26" s="422">
        <f t="shared" si="41"/>
        <v>0</v>
      </c>
      <c r="BZ26" s="611">
        <f t="shared" si="41"/>
        <v>1.47</v>
      </c>
      <c r="CA26" s="423"/>
      <c r="CB26" s="418"/>
      <c r="CC26" s="418"/>
      <c r="CD26" s="418"/>
      <c r="CE26" s="418"/>
      <c r="CF26" s="527"/>
    </row>
    <row r="27" spans="1:84" s="222" customFormat="1" x14ac:dyDescent="0.2">
      <c r="A27" s="155">
        <v>4</v>
      </c>
      <c r="B27" s="18">
        <v>4407</v>
      </c>
      <c r="C27" s="18">
        <v>600074552</v>
      </c>
      <c r="D27" s="18">
        <v>70982201</v>
      </c>
      <c r="E27" s="164" t="s">
        <v>153</v>
      </c>
      <c r="F27" s="18"/>
      <c r="G27" s="154"/>
      <c r="H27" s="685"/>
      <c r="I27" s="458">
        <f t="shared" ref="I27:BU27" si="42">SUM(I23:I26)</f>
        <v>8991904</v>
      </c>
      <c r="J27" s="451">
        <f t="shared" si="42"/>
        <v>6649374</v>
      </c>
      <c r="K27" s="451">
        <f t="shared" si="42"/>
        <v>5682864</v>
      </c>
      <c r="L27" s="451">
        <f t="shared" si="42"/>
        <v>966510</v>
      </c>
      <c r="M27" s="451">
        <f t="shared" si="42"/>
        <v>0</v>
      </c>
      <c r="N27" s="451">
        <f t="shared" si="42"/>
        <v>0</v>
      </c>
      <c r="O27" s="451">
        <f t="shared" si="42"/>
        <v>0</v>
      </c>
      <c r="P27" s="451">
        <f t="shared" si="42"/>
        <v>2247489</v>
      </c>
      <c r="Q27" s="451">
        <f t="shared" si="42"/>
        <v>66494</v>
      </c>
      <c r="R27" s="451">
        <f t="shared" si="42"/>
        <v>28547</v>
      </c>
      <c r="S27" s="452">
        <f t="shared" si="42"/>
        <v>12.509500000000001</v>
      </c>
      <c r="T27" s="452">
        <f t="shared" si="42"/>
        <v>9.4193999999999996</v>
      </c>
      <c r="U27" s="39">
        <f t="shared" si="42"/>
        <v>3.0900999999999996</v>
      </c>
      <c r="V27" s="458">
        <f t="shared" si="42"/>
        <v>0</v>
      </c>
      <c r="W27" s="451">
        <f t="shared" si="42"/>
        <v>0</v>
      </c>
      <c r="X27" s="451">
        <f t="shared" si="42"/>
        <v>673659</v>
      </c>
      <c r="Y27" s="451">
        <f t="shared" si="42"/>
        <v>0</v>
      </c>
      <c r="Z27" s="451">
        <f t="shared" si="42"/>
        <v>0</v>
      </c>
      <c r="AA27" s="451">
        <f t="shared" si="42"/>
        <v>0</v>
      </c>
      <c r="AB27" s="451">
        <f t="shared" si="42"/>
        <v>0</v>
      </c>
      <c r="AC27" s="451">
        <f t="shared" si="42"/>
        <v>0</v>
      </c>
      <c r="AD27" s="451">
        <f t="shared" si="42"/>
        <v>0</v>
      </c>
      <c r="AE27" s="451">
        <f t="shared" si="42"/>
        <v>0</v>
      </c>
      <c r="AF27" s="451">
        <f t="shared" si="42"/>
        <v>673659</v>
      </c>
      <c r="AG27" s="451">
        <f t="shared" si="42"/>
        <v>0</v>
      </c>
      <c r="AH27" s="451">
        <f t="shared" si="42"/>
        <v>673659</v>
      </c>
      <c r="AI27" s="451">
        <f t="shared" si="42"/>
        <v>0</v>
      </c>
      <c r="AJ27" s="451">
        <f t="shared" si="42"/>
        <v>0</v>
      </c>
      <c r="AK27" s="451">
        <f t="shared" ref="AK27" si="43">SUM(AK23:AK26)</f>
        <v>0</v>
      </c>
      <c r="AL27" s="451">
        <f t="shared" si="42"/>
        <v>0</v>
      </c>
      <c r="AM27" s="451">
        <f t="shared" si="42"/>
        <v>0</v>
      </c>
      <c r="AN27" s="451">
        <f t="shared" si="42"/>
        <v>0</v>
      </c>
      <c r="AO27" s="451">
        <f t="shared" si="42"/>
        <v>0</v>
      </c>
      <c r="AP27" s="451">
        <f t="shared" si="42"/>
        <v>0</v>
      </c>
      <c r="AQ27" s="451">
        <f t="shared" si="42"/>
        <v>0</v>
      </c>
      <c r="AR27" s="451">
        <f t="shared" si="42"/>
        <v>673659</v>
      </c>
      <c r="AS27" s="451">
        <f t="shared" si="42"/>
        <v>0</v>
      </c>
      <c r="AT27" s="451">
        <f t="shared" si="42"/>
        <v>673659</v>
      </c>
      <c r="AU27" s="451">
        <f t="shared" si="42"/>
        <v>227697</v>
      </c>
      <c r="AV27" s="451">
        <f t="shared" si="42"/>
        <v>6737</v>
      </c>
      <c r="AW27" s="451">
        <f t="shared" si="42"/>
        <v>4000</v>
      </c>
      <c r="AX27" s="451">
        <f t="shared" si="42"/>
        <v>0</v>
      </c>
      <c r="AY27" s="451">
        <f t="shared" si="42"/>
        <v>4000</v>
      </c>
      <c r="AZ27" s="451">
        <f t="shared" si="42"/>
        <v>912093</v>
      </c>
      <c r="BA27" s="452">
        <f t="shared" si="42"/>
        <v>0</v>
      </c>
      <c r="BB27" s="452">
        <f t="shared" si="42"/>
        <v>0</v>
      </c>
      <c r="BC27" s="452">
        <f t="shared" si="42"/>
        <v>1.8</v>
      </c>
      <c r="BD27" s="452">
        <f t="shared" si="42"/>
        <v>0</v>
      </c>
      <c r="BE27" s="452">
        <f t="shared" si="42"/>
        <v>0</v>
      </c>
      <c r="BF27" s="452">
        <f t="shared" si="42"/>
        <v>0</v>
      </c>
      <c r="BG27" s="452">
        <f t="shared" si="42"/>
        <v>0</v>
      </c>
      <c r="BH27" s="452">
        <f t="shared" si="42"/>
        <v>0</v>
      </c>
      <c r="BI27" s="452">
        <f t="shared" si="42"/>
        <v>0</v>
      </c>
      <c r="BJ27" s="452">
        <f t="shared" si="42"/>
        <v>0</v>
      </c>
      <c r="BK27" s="452">
        <f t="shared" si="42"/>
        <v>1.8</v>
      </c>
      <c r="BL27" s="452">
        <f t="shared" si="42"/>
        <v>0</v>
      </c>
      <c r="BM27" s="456">
        <f t="shared" si="42"/>
        <v>1.8</v>
      </c>
      <c r="BN27" s="454">
        <f t="shared" si="42"/>
        <v>9903997</v>
      </c>
      <c r="BO27" s="451">
        <f t="shared" si="42"/>
        <v>7323033</v>
      </c>
      <c r="BP27" s="451">
        <f t="shared" si="42"/>
        <v>6356523</v>
      </c>
      <c r="BQ27" s="451">
        <f t="shared" si="42"/>
        <v>966510</v>
      </c>
      <c r="BR27" s="451">
        <f t="shared" si="42"/>
        <v>0</v>
      </c>
      <c r="BS27" s="451">
        <f t="shared" si="42"/>
        <v>0</v>
      </c>
      <c r="BT27" s="451">
        <f t="shared" si="42"/>
        <v>0</v>
      </c>
      <c r="BU27" s="451">
        <f t="shared" si="42"/>
        <v>2475186</v>
      </c>
      <c r="BV27" s="451">
        <f t="shared" ref="BV27:CF27" si="44">SUM(BV23:BV26)</f>
        <v>73231</v>
      </c>
      <c r="BW27" s="451">
        <f t="shared" si="44"/>
        <v>32547</v>
      </c>
      <c r="BX27" s="452">
        <f t="shared" si="44"/>
        <v>14.309500000000002</v>
      </c>
      <c r="BY27" s="452">
        <f t="shared" si="44"/>
        <v>11.2194</v>
      </c>
      <c r="BZ27" s="456">
        <f t="shared" si="44"/>
        <v>3.0900999999999996</v>
      </c>
      <c r="CA27" s="854">
        <f t="shared" si="44"/>
        <v>0</v>
      </c>
      <c r="CB27" s="852">
        <f t="shared" si="44"/>
        <v>0</v>
      </c>
      <c r="CC27" s="852">
        <f t="shared" si="44"/>
        <v>0</v>
      </c>
      <c r="CD27" s="852">
        <f t="shared" si="44"/>
        <v>0</v>
      </c>
      <c r="CE27" s="852">
        <f t="shared" si="44"/>
        <v>0</v>
      </c>
      <c r="CF27" s="848">
        <f t="shared" si="44"/>
        <v>0</v>
      </c>
    </row>
    <row r="28" spans="1:84" s="222" customFormat="1" x14ac:dyDescent="0.2">
      <c r="A28" s="210">
        <v>5</v>
      </c>
      <c r="B28" s="211">
        <v>4492</v>
      </c>
      <c r="C28" s="211">
        <v>650065221</v>
      </c>
      <c r="D28" s="211">
        <v>71173838</v>
      </c>
      <c r="E28" s="209" t="s">
        <v>154</v>
      </c>
      <c r="F28" s="211">
        <v>3111</v>
      </c>
      <c r="G28" s="165" t="s">
        <v>291</v>
      </c>
      <c r="H28" s="699" t="s">
        <v>271</v>
      </c>
      <c r="I28" s="528">
        <f t="shared" ref="I28:I30" si="45">J28+P28+Q28+R28</f>
        <v>8249547</v>
      </c>
      <c r="J28" s="418">
        <f>K28+L28</f>
        <v>6100035</v>
      </c>
      <c r="K28" s="418">
        <v>5500592</v>
      </c>
      <c r="L28" s="418">
        <v>599443</v>
      </c>
      <c r="M28" s="418">
        <f>N28+O28</f>
        <v>0</v>
      </c>
      <c r="N28" s="418"/>
      <c r="O28" s="418"/>
      <c r="P28" s="68">
        <f t="shared" ref="P28:P30" si="46">ROUND(J28*33.8%,0)</f>
        <v>2061812</v>
      </c>
      <c r="Q28" s="68">
        <f t="shared" ref="Q28:Q30" si="47">ROUND(J28*1%,0)</f>
        <v>61000</v>
      </c>
      <c r="R28" s="418">
        <v>26700</v>
      </c>
      <c r="S28" s="419">
        <f>T28+U28</f>
        <v>11.020199999999999</v>
      </c>
      <c r="T28" s="420">
        <v>9</v>
      </c>
      <c r="U28" s="527">
        <v>2.0202</v>
      </c>
      <c r="V28" s="427">
        <f t="shared" ref="V28:W30" si="48">AI28*-1</f>
        <v>0</v>
      </c>
      <c r="W28" s="421">
        <f t="shared" si="48"/>
        <v>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>V28+X28+Y28+AA28+AB28+AD28</f>
        <v>0</v>
      </c>
      <c r="AG28" s="421">
        <f>W28+Z28+AC28+AE28</f>
        <v>0</v>
      </c>
      <c r="AH28" s="421">
        <f>SUM(AF28:AG28)</f>
        <v>0</v>
      </c>
      <c r="AI28" s="421">
        <v>0</v>
      </c>
      <c r="AJ28" s="421">
        <v>0</v>
      </c>
      <c r="AK28" s="421">
        <v>0</v>
      </c>
      <c r="AL28" s="421">
        <v>0</v>
      </c>
      <c r="AM28" s="421">
        <v>0</v>
      </c>
      <c r="AN28" s="421">
        <v>0</v>
      </c>
      <c r="AO28" s="421">
        <f t="shared" ref="AO28:AO30" si="49">AI28+AK28+AL28+AM28</f>
        <v>0</v>
      </c>
      <c r="AP28" s="421">
        <f>AJ28+AN28</f>
        <v>0</v>
      </c>
      <c r="AQ28" s="421">
        <f>SUM(AO28:AP28)</f>
        <v>0</v>
      </c>
      <c r="AR28" s="421">
        <f t="shared" ref="AR28:AS30" si="50">AF28+AO28</f>
        <v>0</v>
      </c>
      <c r="AS28" s="421">
        <f t="shared" si="50"/>
        <v>0</v>
      </c>
      <c r="AT28" s="421">
        <f>SUM(AR28:AS28)</f>
        <v>0</v>
      </c>
      <c r="AU28" s="68">
        <f t="shared" ref="AU28:AU30" si="51">ROUND((AH28+AI28+AJ28+AK28+AL28)*33.8%,0)</f>
        <v>0</v>
      </c>
      <c r="AV28" s="68">
        <f>ROUND(AH28*1%,0)</f>
        <v>0</v>
      </c>
      <c r="AW28" s="421">
        <v>0</v>
      </c>
      <c r="AX28" s="421">
        <v>0</v>
      </c>
      <c r="AY28" s="421">
        <f>AW28+AX28</f>
        <v>0</v>
      </c>
      <c r="AZ28" s="421">
        <f>AT28+AU28+AV28+AY28</f>
        <v>0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>BA28+BC28+BD28+BF28+BH28+BI28</f>
        <v>0</v>
      </c>
      <c r="BL28" s="422">
        <f>BB28+BE28+BG28+BJ28</f>
        <v>0</v>
      </c>
      <c r="BM28" s="611">
        <f>SUM(BK28:BL28)</f>
        <v>0</v>
      </c>
      <c r="BN28" s="428">
        <f>I28+AZ28</f>
        <v>8249547</v>
      </c>
      <c r="BO28" s="421">
        <f>J28+AH28</f>
        <v>6100035</v>
      </c>
      <c r="BP28" s="421">
        <f t="shared" ref="BP28:BQ30" si="52">K28+AF28</f>
        <v>5500592</v>
      </c>
      <c r="BQ28" s="421">
        <f t="shared" si="52"/>
        <v>599443</v>
      </c>
      <c r="BR28" s="421">
        <f>M28+AQ28</f>
        <v>0</v>
      </c>
      <c r="BS28" s="421">
        <f t="shared" ref="BS28:BT30" si="53">N28+AO28</f>
        <v>0</v>
      </c>
      <c r="BT28" s="421">
        <f t="shared" si="53"/>
        <v>0</v>
      </c>
      <c r="BU28" s="421">
        <f t="shared" ref="BU28:BV30" si="54">P28+AU28</f>
        <v>2061812</v>
      </c>
      <c r="BV28" s="421">
        <f t="shared" si="54"/>
        <v>61000</v>
      </c>
      <c r="BW28" s="421">
        <f>R28+AY28</f>
        <v>26700</v>
      </c>
      <c r="BX28" s="422">
        <f>S28+BM28</f>
        <v>11.020199999999999</v>
      </c>
      <c r="BY28" s="422">
        <f t="shared" ref="BY28:BZ30" si="55">T28+BK28</f>
        <v>9</v>
      </c>
      <c r="BZ28" s="611">
        <f t="shared" si="55"/>
        <v>2.0202</v>
      </c>
      <c r="CA28" s="423"/>
      <c r="CB28" s="418"/>
      <c r="CC28" s="418"/>
      <c r="CD28" s="418"/>
      <c r="CE28" s="418"/>
      <c r="CF28" s="527"/>
    </row>
    <row r="29" spans="1:84" s="222" customFormat="1" x14ac:dyDescent="0.2">
      <c r="A29" s="210">
        <v>5</v>
      </c>
      <c r="B29" s="211">
        <v>4492</v>
      </c>
      <c r="C29" s="211">
        <v>650065221</v>
      </c>
      <c r="D29" s="211">
        <v>71173838</v>
      </c>
      <c r="E29" s="209" t="s">
        <v>154</v>
      </c>
      <c r="F29" s="211">
        <v>3111</v>
      </c>
      <c r="G29" s="165" t="s">
        <v>292</v>
      </c>
      <c r="H29" s="699" t="s">
        <v>272</v>
      </c>
      <c r="I29" s="528">
        <f t="shared" si="45"/>
        <v>0</v>
      </c>
      <c r="J29" s="418">
        <f>K29+L29</f>
        <v>0</v>
      </c>
      <c r="K29" s="418">
        <v>0</v>
      </c>
      <c r="L29" s="418">
        <v>0</v>
      </c>
      <c r="M29" s="418">
        <f>N29+O29</f>
        <v>0</v>
      </c>
      <c r="N29" s="418"/>
      <c r="O29" s="418"/>
      <c r="P29" s="68">
        <f t="shared" si="46"/>
        <v>0</v>
      </c>
      <c r="Q29" s="68">
        <f t="shared" si="47"/>
        <v>0</v>
      </c>
      <c r="R29" s="418">
        <v>0</v>
      </c>
      <c r="S29" s="419">
        <f>T29+U29</f>
        <v>0</v>
      </c>
      <c r="T29" s="420">
        <v>0</v>
      </c>
      <c r="U29" s="527">
        <v>0</v>
      </c>
      <c r="V29" s="427">
        <f t="shared" si="48"/>
        <v>0</v>
      </c>
      <c r="W29" s="421">
        <f t="shared" si="48"/>
        <v>0</v>
      </c>
      <c r="X29" s="421">
        <v>927003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>V29+X29+Y29+AA29+AB29+AD29</f>
        <v>927003</v>
      </c>
      <c r="AG29" s="421">
        <f>W29+Z29+AC29+AE29</f>
        <v>0</v>
      </c>
      <c r="AH29" s="421">
        <f>SUM(AF29:AG29)</f>
        <v>927003</v>
      </c>
      <c r="AI29" s="421">
        <v>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f t="shared" si="49"/>
        <v>0</v>
      </c>
      <c r="AP29" s="421">
        <f>AJ29+AN29</f>
        <v>0</v>
      </c>
      <c r="AQ29" s="421">
        <f>SUM(AO29:AP29)</f>
        <v>0</v>
      </c>
      <c r="AR29" s="421">
        <f t="shared" si="50"/>
        <v>927003</v>
      </c>
      <c r="AS29" s="421">
        <f t="shared" si="50"/>
        <v>0</v>
      </c>
      <c r="AT29" s="421">
        <f>SUM(AR29:AS29)</f>
        <v>927003</v>
      </c>
      <c r="AU29" s="68">
        <f t="shared" si="51"/>
        <v>313327</v>
      </c>
      <c r="AV29" s="68">
        <f>ROUND(AH29*1%,0)</f>
        <v>9270</v>
      </c>
      <c r="AW29" s="421">
        <v>0</v>
      </c>
      <c r="AX29" s="421">
        <v>0</v>
      </c>
      <c r="AY29" s="421">
        <f>AW29+AX29</f>
        <v>0</v>
      </c>
      <c r="AZ29" s="421">
        <f>AT29+AU29+AV29+AY29</f>
        <v>1249600</v>
      </c>
      <c r="BA29" s="422">
        <v>0</v>
      </c>
      <c r="BB29" s="422">
        <v>0</v>
      </c>
      <c r="BC29" s="422">
        <v>2.5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>BA29+BC29+BD29+BF29+BH29+BI29</f>
        <v>2.5</v>
      </c>
      <c r="BL29" s="422">
        <f>BB29+BE29+BG29+BJ29</f>
        <v>0</v>
      </c>
      <c r="BM29" s="611">
        <f>SUM(BK29:BL29)</f>
        <v>2.5</v>
      </c>
      <c r="BN29" s="428">
        <f>I29+AZ29</f>
        <v>1249600</v>
      </c>
      <c r="BO29" s="421">
        <f>J29+AH29</f>
        <v>927003</v>
      </c>
      <c r="BP29" s="421">
        <f t="shared" si="52"/>
        <v>927003</v>
      </c>
      <c r="BQ29" s="421">
        <f t="shared" si="52"/>
        <v>0</v>
      </c>
      <c r="BR29" s="421">
        <f>M29+AQ29</f>
        <v>0</v>
      </c>
      <c r="BS29" s="421">
        <f t="shared" si="53"/>
        <v>0</v>
      </c>
      <c r="BT29" s="421">
        <f t="shared" si="53"/>
        <v>0</v>
      </c>
      <c r="BU29" s="421">
        <f t="shared" si="54"/>
        <v>313327</v>
      </c>
      <c r="BV29" s="421">
        <f t="shared" si="54"/>
        <v>9270</v>
      </c>
      <c r="BW29" s="421">
        <f>R29+AY29</f>
        <v>0</v>
      </c>
      <c r="BX29" s="422">
        <f>S29+BM29</f>
        <v>2.5</v>
      </c>
      <c r="BY29" s="422">
        <f t="shared" si="55"/>
        <v>2.5</v>
      </c>
      <c r="BZ29" s="611">
        <f t="shared" si="55"/>
        <v>0</v>
      </c>
      <c r="CA29" s="423"/>
      <c r="CB29" s="418"/>
      <c r="CC29" s="418"/>
      <c r="CD29" s="418"/>
      <c r="CE29" s="418"/>
      <c r="CF29" s="527"/>
    </row>
    <row r="30" spans="1:84" s="222" customFormat="1" x14ac:dyDescent="0.2">
      <c r="A30" s="210">
        <v>5</v>
      </c>
      <c r="B30" s="211">
        <v>4492</v>
      </c>
      <c r="C30" s="211">
        <v>650065221</v>
      </c>
      <c r="D30" s="211">
        <v>71173838</v>
      </c>
      <c r="E30" s="209" t="s">
        <v>154</v>
      </c>
      <c r="F30" s="211">
        <v>3141</v>
      </c>
      <c r="G30" s="165" t="s">
        <v>295</v>
      </c>
      <c r="H30" s="699" t="s">
        <v>272</v>
      </c>
      <c r="I30" s="528">
        <f t="shared" si="45"/>
        <v>692416</v>
      </c>
      <c r="J30" s="418">
        <f>K30+L30</f>
        <v>511325</v>
      </c>
      <c r="K30" s="418">
        <v>0</v>
      </c>
      <c r="L30" s="418">
        <v>511325</v>
      </c>
      <c r="M30" s="418">
        <f>N30+O30</f>
        <v>0</v>
      </c>
      <c r="N30" s="418"/>
      <c r="O30" s="418"/>
      <c r="P30" s="68">
        <f t="shared" si="46"/>
        <v>172828</v>
      </c>
      <c r="Q30" s="68">
        <f t="shared" si="47"/>
        <v>5113</v>
      </c>
      <c r="R30" s="418">
        <v>3150</v>
      </c>
      <c r="S30" s="419">
        <f>T30+U30</f>
        <v>1.53</v>
      </c>
      <c r="T30" s="420">
        <v>0</v>
      </c>
      <c r="U30" s="527">
        <v>1.53</v>
      </c>
      <c r="V30" s="427">
        <f t="shared" si="48"/>
        <v>0</v>
      </c>
      <c r="W30" s="421">
        <f t="shared" si="48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>V30+X30+Y30+AA30+AB30+AD30</f>
        <v>0</v>
      </c>
      <c r="AG30" s="421">
        <f>W30+Z30+AC30+AE30</f>
        <v>0</v>
      </c>
      <c r="AH30" s="421">
        <f>SUM(AF30:AG30)</f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49"/>
        <v>0</v>
      </c>
      <c r="AP30" s="421">
        <f>AJ30+AN30</f>
        <v>0</v>
      </c>
      <c r="AQ30" s="421">
        <f>SUM(AO30:AP30)</f>
        <v>0</v>
      </c>
      <c r="AR30" s="421">
        <f t="shared" si="50"/>
        <v>0</v>
      </c>
      <c r="AS30" s="421">
        <f t="shared" si="50"/>
        <v>0</v>
      </c>
      <c r="AT30" s="421">
        <f>SUM(AR30:AS30)</f>
        <v>0</v>
      </c>
      <c r="AU30" s="68">
        <f t="shared" si="51"/>
        <v>0</v>
      </c>
      <c r="AV30" s="68">
        <f>ROUND(AH30*1%,0)</f>
        <v>0</v>
      </c>
      <c r="AW30" s="421">
        <v>0</v>
      </c>
      <c r="AX30" s="421">
        <v>0</v>
      </c>
      <c r="AY30" s="421">
        <f>AW30+AX30</f>
        <v>0</v>
      </c>
      <c r="AZ30" s="421">
        <f>AT30+AU30+AV30+AY30</f>
        <v>0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>BA30+BC30+BD30+BF30+BH30+BI30</f>
        <v>0</v>
      </c>
      <c r="BL30" s="422">
        <f>BB30+BE30+BG30+BJ30</f>
        <v>0</v>
      </c>
      <c r="BM30" s="611">
        <f>SUM(BK30:BL30)</f>
        <v>0</v>
      </c>
      <c r="BN30" s="428">
        <f>I30+AZ30</f>
        <v>692416</v>
      </c>
      <c r="BO30" s="421">
        <f>J30+AH30</f>
        <v>511325</v>
      </c>
      <c r="BP30" s="421">
        <f t="shared" si="52"/>
        <v>0</v>
      </c>
      <c r="BQ30" s="421">
        <f t="shared" si="52"/>
        <v>511325</v>
      </c>
      <c r="BR30" s="421">
        <f>M30+AQ30</f>
        <v>0</v>
      </c>
      <c r="BS30" s="421">
        <f t="shared" si="53"/>
        <v>0</v>
      </c>
      <c r="BT30" s="421">
        <f t="shared" si="53"/>
        <v>0</v>
      </c>
      <c r="BU30" s="421">
        <f t="shared" si="54"/>
        <v>172828</v>
      </c>
      <c r="BV30" s="421">
        <f t="shared" si="54"/>
        <v>5113</v>
      </c>
      <c r="BW30" s="421">
        <f>R30+AY30</f>
        <v>3150</v>
      </c>
      <c r="BX30" s="422">
        <f>S30+BM30</f>
        <v>1.53</v>
      </c>
      <c r="BY30" s="422">
        <f t="shared" si="55"/>
        <v>0</v>
      </c>
      <c r="BZ30" s="611">
        <f t="shared" si="55"/>
        <v>1.53</v>
      </c>
      <c r="CA30" s="423"/>
      <c r="CB30" s="418"/>
      <c r="CC30" s="418"/>
      <c r="CD30" s="418"/>
      <c r="CE30" s="418"/>
      <c r="CF30" s="527"/>
    </row>
    <row r="31" spans="1:84" s="222" customFormat="1" x14ac:dyDescent="0.2">
      <c r="A31" s="155">
        <v>5</v>
      </c>
      <c r="B31" s="18">
        <v>4492</v>
      </c>
      <c r="C31" s="18">
        <v>650065221</v>
      </c>
      <c r="D31" s="18">
        <v>71173838</v>
      </c>
      <c r="E31" s="164" t="s">
        <v>155</v>
      </c>
      <c r="F31" s="18"/>
      <c r="G31" s="154"/>
      <c r="H31" s="685"/>
      <c r="I31" s="458">
        <f t="shared" ref="I31:BU31" si="56">SUM(I28:I30)</f>
        <v>8941963</v>
      </c>
      <c r="J31" s="451">
        <f t="shared" si="56"/>
        <v>6611360</v>
      </c>
      <c r="K31" s="451">
        <f t="shared" si="56"/>
        <v>5500592</v>
      </c>
      <c r="L31" s="451">
        <f t="shared" si="56"/>
        <v>1110768</v>
      </c>
      <c r="M31" s="451">
        <f t="shared" si="56"/>
        <v>0</v>
      </c>
      <c r="N31" s="451">
        <f t="shared" si="56"/>
        <v>0</v>
      </c>
      <c r="O31" s="451">
        <f t="shared" si="56"/>
        <v>0</v>
      </c>
      <c r="P31" s="451">
        <f t="shared" si="56"/>
        <v>2234640</v>
      </c>
      <c r="Q31" s="451">
        <f t="shared" si="56"/>
        <v>66113</v>
      </c>
      <c r="R31" s="451">
        <f t="shared" si="56"/>
        <v>29850</v>
      </c>
      <c r="S31" s="452">
        <f t="shared" si="56"/>
        <v>12.550199999999998</v>
      </c>
      <c r="T31" s="452">
        <f t="shared" si="56"/>
        <v>9</v>
      </c>
      <c r="U31" s="39">
        <f t="shared" si="56"/>
        <v>3.5502000000000002</v>
      </c>
      <c r="V31" s="458">
        <f t="shared" si="56"/>
        <v>0</v>
      </c>
      <c r="W31" s="451">
        <f t="shared" si="56"/>
        <v>0</v>
      </c>
      <c r="X31" s="451">
        <f t="shared" si="56"/>
        <v>927003</v>
      </c>
      <c r="Y31" s="451">
        <f t="shared" si="56"/>
        <v>0</v>
      </c>
      <c r="Z31" s="451">
        <f t="shared" si="56"/>
        <v>0</v>
      </c>
      <c r="AA31" s="451">
        <f t="shared" si="56"/>
        <v>0</v>
      </c>
      <c r="AB31" s="451">
        <f t="shared" si="56"/>
        <v>0</v>
      </c>
      <c r="AC31" s="451">
        <f t="shared" si="56"/>
        <v>0</v>
      </c>
      <c r="AD31" s="451">
        <f t="shared" si="56"/>
        <v>0</v>
      </c>
      <c r="AE31" s="451">
        <f t="shared" si="56"/>
        <v>0</v>
      </c>
      <c r="AF31" s="451">
        <f t="shared" si="56"/>
        <v>927003</v>
      </c>
      <c r="AG31" s="451">
        <f t="shared" si="56"/>
        <v>0</v>
      </c>
      <c r="AH31" s="451">
        <f t="shared" si="56"/>
        <v>927003</v>
      </c>
      <c r="AI31" s="451">
        <f t="shared" si="56"/>
        <v>0</v>
      </c>
      <c r="AJ31" s="451">
        <f t="shared" si="56"/>
        <v>0</v>
      </c>
      <c r="AK31" s="451">
        <f t="shared" ref="AK31" si="57">SUM(AK28:AK30)</f>
        <v>0</v>
      </c>
      <c r="AL31" s="451">
        <f t="shared" si="56"/>
        <v>0</v>
      </c>
      <c r="AM31" s="451">
        <f t="shared" si="56"/>
        <v>0</v>
      </c>
      <c r="AN31" s="451">
        <f t="shared" si="56"/>
        <v>0</v>
      </c>
      <c r="AO31" s="451">
        <f t="shared" si="56"/>
        <v>0</v>
      </c>
      <c r="AP31" s="451">
        <f t="shared" si="56"/>
        <v>0</v>
      </c>
      <c r="AQ31" s="451">
        <f t="shared" si="56"/>
        <v>0</v>
      </c>
      <c r="AR31" s="451">
        <f t="shared" si="56"/>
        <v>927003</v>
      </c>
      <c r="AS31" s="451">
        <f t="shared" si="56"/>
        <v>0</v>
      </c>
      <c r="AT31" s="451">
        <f t="shared" si="56"/>
        <v>927003</v>
      </c>
      <c r="AU31" s="451">
        <f t="shared" si="56"/>
        <v>313327</v>
      </c>
      <c r="AV31" s="451">
        <f t="shared" si="56"/>
        <v>9270</v>
      </c>
      <c r="AW31" s="451">
        <f t="shared" si="56"/>
        <v>0</v>
      </c>
      <c r="AX31" s="451">
        <f t="shared" si="56"/>
        <v>0</v>
      </c>
      <c r="AY31" s="451">
        <f t="shared" si="56"/>
        <v>0</v>
      </c>
      <c r="AZ31" s="451">
        <f t="shared" si="56"/>
        <v>1249600</v>
      </c>
      <c r="BA31" s="452">
        <f t="shared" si="56"/>
        <v>0</v>
      </c>
      <c r="BB31" s="452">
        <f t="shared" si="56"/>
        <v>0</v>
      </c>
      <c r="BC31" s="452">
        <f t="shared" si="56"/>
        <v>2.5</v>
      </c>
      <c r="BD31" s="452">
        <f t="shared" si="56"/>
        <v>0</v>
      </c>
      <c r="BE31" s="452">
        <f t="shared" si="56"/>
        <v>0</v>
      </c>
      <c r="BF31" s="452">
        <f t="shared" si="56"/>
        <v>0</v>
      </c>
      <c r="BG31" s="452">
        <f t="shared" si="56"/>
        <v>0</v>
      </c>
      <c r="BH31" s="452">
        <f t="shared" si="56"/>
        <v>0</v>
      </c>
      <c r="BI31" s="452">
        <f t="shared" si="56"/>
        <v>0</v>
      </c>
      <c r="BJ31" s="452">
        <f t="shared" si="56"/>
        <v>0</v>
      </c>
      <c r="BK31" s="452">
        <f t="shared" si="56"/>
        <v>2.5</v>
      </c>
      <c r="BL31" s="452">
        <f t="shared" si="56"/>
        <v>0</v>
      </c>
      <c r="BM31" s="456">
        <f t="shared" si="56"/>
        <v>2.5</v>
      </c>
      <c r="BN31" s="454">
        <f t="shared" si="56"/>
        <v>10191563</v>
      </c>
      <c r="BO31" s="451">
        <f t="shared" si="56"/>
        <v>7538363</v>
      </c>
      <c r="BP31" s="451">
        <f t="shared" si="56"/>
        <v>6427595</v>
      </c>
      <c r="BQ31" s="451">
        <f t="shared" si="56"/>
        <v>1110768</v>
      </c>
      <c r="BR31" s="451">
        <f t="shared" si="56"/>
        <v>0</v>
      </c>
      <c r="BS31" s="451">
        <f t="shared" si="56"/>
        <v>0</v>
      </c>
      <c r="BT31" s="451">
        <f t="shared" si="56"/>
        <v>0</v>
      </c>
      <c r="BU31" s="451">
        <f t="shared" si="56"/>
        <v>2547967</v>
      </c>
      <c r="BV31" s="451">
        <f t="shared" ref="BV31:CF31" si="58">SUM(BV28:BV30)</f>
        <v>75383</v>
      </c>
      <c r="BW31" s="451">
        <f t="shared" si="58"/>
        <v>29850</v>
      </c>
      <c r="BX31" s="452">
        <f t="shared" si="58"/>
        <v>15.050199999999998</v>
      </c>
      <c r="BY31" s="452">
        <f t="shared" si="58"/>
        <v>11.5</v>
      </c>
      <c r="BZ31" s="456">
        <f t="shared" si="58"/>
        <v>3.5502000000000002</v>
      </c>
      <c r="CA31" s="854">
        <f t="shared" si="58"/>
        <v>0</v>
      </c>
      <c r="CB31" s="852">
        <f t="shared" si="58"/>
        <v>0</v>
      </c>
      <c r="CC31" s="852">
        <f t="shared" si="58"/>
        <v>0</v>
      </c>
      <c r="CD31" s="852">
        <f t="shared" si="58"/>
        <v>0</v>
      </c>
      <c r="CE31" s="852">
        <f t="shared" si="58"/>
        <v>0</v>
      </c>
      <c r="CF31" s="848">
        <f t="shared" si="58"/>
        <v>0</v>
      </c>
    </row>
    <row r="32" spans="1:84" s="222" customFormat="1" x14ac:dyDescent="0.2">
      <c r="A32" s="210">
        <v>6</v>
      </c>
      <c r="B32" s="211">
        <v>4408</v>
      </c>
      <c r="C32" s="211">
        <v>600074528</v>
      </c>
      <c r="D32" s="211">
        <v>70982163</v>
      </c>
      <c r="E32" s="209" t="s">
        <v>156</v>
      </c>
      <c r="F32" s="211">
        <v>3111</v>
      </c>
      <c r="G32" s="165" t="s">
        <v>291</v>
      </c>
      <c r="H32" s="699" t="s">
        <v>271</v>
      </c>
      <c r="I32" s="528">
        <f t="shared" ref="I32:I34" si="59">J32+P32+Q32+R32</f>
        <v>11169349</v>
      </c>
      <c r="J32" s="418">
        <f>K32+L32</f>
        <v>8259722</v>
      </c>
      <c r="K32" s="418">
        <v>7572258</v>
      </c>
      <c r="L32" s="418">
        <v>687464</v>
      </c>
      <c r="M32" s="418">
        <f>N32+O32</f>
        <v>0</v>
      </c>
      <c r="N32" s="418"/>
      <c r="O32" s="418"/>
      <c r="P32" s="68">
        <f t="shared" ref="P32:P34" si="60">ROUND(J32*33.8%,0)</f>
        <v>2791786</v>
      </c>
      <c r="Q32" s="68">
        <f t="shared" ref="Q32:Q34" si="61">ROUND(J32*1%,0)</f>
        <v>82597</v>
      </c>
      <c r="R32" s="418">
        <v>35244</v>
      </c>
      <c r="S32" s="419">
        <f>T32+U32</f>
        <v>15.093500000000001</v>
      </c>
      <c r="T32" s="420">
        <v>12.74</v>
      </c>
      <c r="U32" s="527">
        <v>2.3534999999999999</v>
      </c>
      <c r="V32" s="427">
        <f t="shared" ref="V32:W34" si="62">AI32*-1</f>
        <v>-6400</v>
      </c>
      <c r="W32" s="421">
        <f t="shared" si="62"/>
        <v>-6400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>V32+X32+Y32+AA32+AB32+AD32</f>
        <v>-6400</v>
      </c>
      <c r="AG32" s="421">
        <f>W32+Z32+AC32+AE32</f>
        <v>-6400</v>
      </c>
      <c r="AH32" s="421">
        <f>SUM(AF32:AG32)</f>
        <v>-12800</v>
      </c>
      <c r="AI32" s="421">
        <v>6400</v>
      </c>
      <c r="AJ32" s="421">
        <v>6400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ref="AO32:AO34" si="63">AI32+AK32+AL32+AM32</f>
        <v>6400</v>
      </c>
      <c r="AP32" s="421">
        <f>AJ32+AN32</f>
        <v>6400</v>
      </c>
      <c r="AQ32" s="421">
        <f>SUM(AO32:AP32)</f>
        <v>12800</v>
      </c>
      <c r="AR32" s="421">
        <f t="shared" ref="AR32:AS34" si="64">AF32+AO32</f>
        <v>0</v>
      </c>
      <c r="AS32" s="421">
        <f t="shared" si="64"/>
        <v>0</v>
      </c>
      <c r="AT32" s="421">
        <f>SUM(AR32:AS32)</f>
        <v>0</v>
      </c>
      <c r="AU32" s="68">
        <f t="shared" ref="AU32:AU34" si="65">ROUND((AH32+AI32+AJ32+AK32+AL32)*33.8%,0)</f>
        <v>0</v>
      </c>
      <c r="AV32" s="68">
        <f>ROUND(AH32*1%,0)</f>
        <v>-128</v>
      </c>
      <c r="AW32" s="421">
        <v>0</v>
      </c>
      <c r="AX32" s="421">
        <v>0</v>
      </c>
      <c r="AY32" s="421">
        <f>AW32+AX32</f>
        <v>0</v>
      </c>
      <c r="AZ32" s="421">
        <f>AT32+AU32+AV32+AY32</f>
        <v>-128</v>
      </c>
      <c r="BA32" s="422">
        <v>0</v>
      </c>
      <c r="BB32" s="422">
        <v>0</v>
      </c>
      <c r="BC32" s="422">
        <v>0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>BA32+BC32+BD32+BF32+BH32+BI32</f>
        <v>0</v>
      </c>
      <c r="BL32" s="422">
        <f>BB32+BE32+BG32+BJ32</f>
        <v>0</v>
      </c>
      <c r="BM32" s="611">
        <f>SUM(BK32:BL32)</f>
        <v>0</v>
      </c>
      <c r="BN32" s="428">
        <f>I32+AZ32</f>
        <v>11169221</v>
      </c>
      <c r="BO32" s="421">
        <f>J32+AH32</f>
        <v>8246922</v>
      </c>
      <c r="BP32" s="421">
        <f t="shared" ref="BP32:BQ34" si="66">K32+AF32</f>
        <v>7565858</v>
      </c>
      <c r="BQ32" s="421">
        <f t="shared" si="66"/>
        <v>681064</v>
      </c>
      <c r="BR32" s="421">
        <f>M32+AQ32</f>
        <v>12800</v>
      </c>
      <c r="BS32" s="421">
        <f t="shared" ref="BS32:BT34" si="67">N32+AO32</f>
        <v>6400</v>
      </c>
      <c r="BT32" s="421">
        <f t="shared" si="67"/>
        <v>6400</v>
      </c>
      <c r="BU32" s="421">
        <f t="shared" ref="BU32:BV34" si="68">P32+AU32</f>
        <v>2791786</v>
      </c>
      <c r="BV32" s="421">
        <f t="shared" si="68"/>
        <v>82469</v>
      </c>
      <c r="BW32" s="421">
        <f>R32+AY32</f>
        <v>35244</v>
      </c>
      <c r="BX32" s="422">
        <f>S32+BM32</f>
        <v>15.093500000000001</v>
      </c>
      <c r="BY32" s="422">
        <f t="shared" ref="BY32:BZ34" si="69">T32+BK32</f>
        <v>12.74</v>
      </c>
      <c r="BZ32" s="611">
        <f t="shared" si="69"/>
        <v>2.3534999999999999</v>
      </c>
      <c r="CA32" s="423"/>
      <c r="CB32" s="418"/>
      <c r="CC32" s="418"/>
      <c r="CD32" s="418"/>
      <c r="CE32" s="418"/>
      <c r="CF32" s="527"/>
    </row>
    <row r="33" spans="1:84" s="222" customFormat="1" x14ac:dyDescent="0.2">
      <c r="A33" s="210">
        <v>6</v>
      </c>
      <c r="B33" s="211">
        <v>4408</v>
      </c>
      <c r="C33" s="211">
        <v>600074528</v>
      </c>
      <c r="D33" s="211">
        <v>70982163</v>
      </c>
      <c r="E33" s="209" t="s">
        <v>156</v>
      </c>
      <c r="F33" s="211">
        <v>3111</v>
      </c>
      <c r="G33" s="165" t="s">
        <v>292</v>
      </c>
      <c r="H33" s="699" t="s">
        <v>272</v>
      </c>
      <c r="I33" s="528">
        <f t="shared" si="59"/>
        <v>0</v>
      </c>
      <c r="J33" s="418">
        <f>K33+L33</f>
        <v>0</v>
      </c>
      <c r="K33" s="418">
        <v>0</v>
      </c>
      <c r="L33" s="418">
        <v>0</v>
      </c>
      <c r="M33" s="418">
        <f>N33+O33</f>
        <v>0</v>
      </c>
      <c r="N33" s="418"/>
      <c r="O33" s="418"/>
      <c r="P33" s="68">
        <f t="shared" si="60"/>
        <v>0</v>
      </c>
      <c r="Q33" s="68">
        <f t="shared" si="61"/>
        <v>0</v>
      </c>
      <c r="R33" s="418">
        <v>0</v>
      </c>
      <c r="S33" s="419">
        <f>T33+U33</f>
        <v>0</v>
      </c>
      <c r="T33" s="420">
        <v>0</v>
      </c>
      <c r="U33" s="527">
        <v>0</v>
      </c>
      <c r="V33" s="427">
        <f t="shared" si="62"/>
        <v>0</v>
      </c>
      <c r="W33" s="421">
        <f t="shared" si="62"/>
        <v>0</v>
      </c>
      <c r="X33" s="421">
        <v>506762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>V33+X33+Y33+AA33+AB33+AD33</f>
        <v>506762</v>
      </c>
      <c r="AG33" s="421">
        <f>W33+Z33+AC33+AE33</f>
        <v>0</v>
      </c>
      <c r="AH33" s="421">
        <f>SUM(AF33:AG33)</f>
        <v>506762</v>
      </c>
      <c r="AI33" s="421">
        <v>0</v>
      </c>
      <c r="AJ33" s="421">
        <v>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63"/>
        <v>0</v>
      </c>
      <c r="AP33" s="421">
        <f>AJ33+AN33</f>
        <v>0</v>
      </c>
      <c r="AQ33" s="421">
        <f>SUM(AO33:AP33)</f>
        <v>0</v>
      </c>
      <c r="AR33" s="421">
        <f t="shared" si="64"/>
        <v>506762</v>
      </c>
      <c r="AS33" s="421">
        <f t="shared" si="64"/>
        <v>0</v>
      </c>
      <c r="AT33" s="421">
        <f>SUM(AR33:AS33)</f>
        <v>506762</v>
      </c>
      <c r="AU33" s="68">
        <f t="shared" si="65"/>
        <v>171286</v>
      </c>
      <c r="AV33" s="68">
        <f>ROUND(AH33*1%,0)</f>
        <v>5068</v>
      </c>
      <c r="AW33" s="421">
        <v>0</v>
      </c>
      <c r="AX33" s="421">
        <v>0</v>
      </c>
      <c r="AY33" s="421">
        <f>AW33+AX33</f>
        <v>0</v>
      </c>
      <c r="AZ33" s="421">
        <f>AT33+AU33+AV33+AY33</f>
        <v>683116</v>
      </c>
      <c r="BA33" s="422">
        <v>0</v>
      </c>
      <c r="BB33" s="422">
        <v>0</v>
      </c>
      <c r="BC33" s="422">
        <v>1.5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>BA33+BC33+BD33+BF33+BH33+BI33</f>
        <v>1.5</v>
      </c>
      <c r="BL33" s="422">
        <f>BB33+BE33+BG33+BJ33</f>
        <v>0</v>
      </c>
      <c r="BM33" s="611">
        <f>SUM(BK33:BL33)</f>
        <v>1.5</v>
      </c>
      <c r="BN33" s="428">
        <f>I33+AZ33</f>
        <v>683116</v>
      </c>
      <c r="BO33" s="421">
        <f>J33+AH33</f>
        <v>506762</v>
      </c>
      <c r="BP33" s="421">
        <f t="shared" si="66"/>
        <v>506762</v>
      </c>
      <c r="BQ33" s="421">
        <f t="shared" si="66"/>
        <v>0</v>
      </c>
      <c r="BR33" s="421">
        <f>M33+AQ33</f>
        <v>0</v>
      </c>
      <c r="BS33" s="421">
        <f t="shared" si="67"/>
        <v>0</v>
      </c>
      <c r="BT33" s="421">
        <f t="shared" si="67"/>
        <v>0</v>
      </c>
      <c r="BU33" s="421">
        <f t="shared" si="68"/>
        <v>171286</v>
      </c>
      <c r="BV33" s="421">
        <f t="shared" si="68"/>
        <v>5068</v>
      </c>
      <c r="BW33" s="421">
        <f>R33+AY33</f>
        <v>0</v>
      </c>
      <c r="BX33" s="422">
        <f>S33+BM33</f>
        <v>1.5</v>
      </c>
      <c r="BY33" s="422">
        <f t="shared" si="69"/>
        <v>1.5</v>
      </c>
      <c r="BZ33" s="611">
        <f t="shared" si="69"/>
        <v>0</v>
      </c>
      <c r="CA33" s="423"/>
      <c r="CB33" s="418"/>
      <c r="CC33" s="418"/>
      <c r="CD33" s="418"/>
      <c r="CE33" s="418"/>
      <c r="CF33" s="527"/>
    </row>
    <row r="34" spans="1:84" s="222" customFormat="1" x14ac:dyDescent="0.2">
      <c r="A34" s="210">
        <v>6</v>
      </c>
      <c r="B34" s="211">
        <v>4408</v>
      </c>
      <c r="C34" s="211">
        <v>600074528</v>
      </c>
      <c r="D34" s="211">
        <v>70982163</v>
      </c>
      <c r="E34" s="209" t="s">
        <v>156</v>
      </c>
      <c r="F34" s="211">
        <v>3141</v>
      </c>
      <c r="G34" s="165" t="s">
        <v>295</v>
      </c>
      <c r="H34" s="699" t="s">
        <v>272</v>
      </c>
      <c r="I34" s="528">
        <f t="shared" si="59"/>
        <v>918617</v>
      </c>
      <c r="J34" s="418">
        <f>K34+L34</f>
        <v>678065</v>
      </c>
      <c r="K34" s="418">
        <v>0</v>
      </c>
      <c r="L34" s="418">
        <v>678065</v>
      </c>
      <c r="M34" s="418">
        <f>N34+O34</f>
        <v>0</v>
      </c>
      <c r="N34" s="418"/>
      <c r="O34" s="418"/>
      <c r="P34" s="68">
        <f t="shared" si="60"/>
        <v>229186</v>
      </c>
      <c r="Q34" s="68">
        <f t="shared" si="61"/>
        <v>6781</v>
      </c>
      <c r="R34" s="418">
        <v>4585</v>
      </c>
      <c r="S34" s="419">
        <f>T34+U34</f>
        <v>2.0299999999999998</v>
      </c>
      <c r="T34" s="420">
        <v>0</v>
      </c>
      <c r="U34" s="527">
        <v>2.0299999999999998</v>
      </c>
      <c r="V34" s="427">
        <f t="shared" si="62"/>
        <v>0</v>
      </c>
      <c r="W34" s="421">
        <f t="shared" si="62"/>
        <v>-6400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0</v>
      </c>
      <c r="AG34" s="421">
        <f>W34+Z34+AC34+AE34</f>
        <v>-6400</v>
      </c>
      <c r="AH34" s="421">
        <f>SUM(AF34:AG34)</f>
        <v>-6400</v>
      </c>
      <c r="AI34" s="421">
        <v>0</v>
      </c>
      <c r="AJ34" s="421">
        <v>6400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63"/>
        <v>0</v>
      </c>
      <c r="AP34" s="421">
        <f>AJ34+AN34</f>
        <v>6400</v>
      </c>
      <c r="AQ34" s="421">
        <f>SUM(AO34:AP34)</f>
        <v>6400</v>
      </c>
      <c r="AR34" s="421">
        <f t="shared" si="64"/>
        <v>0</v>
      </c>
      <c r="AS34" s="421">
        <f t="shared" si="64"/>
        <v>0</v>
      </c>
      <c r="AT34" s="421">
        <f>SUM(AR34:AS34)</f>
        <v>0</v>
      </c>
      <c r="AU34" s="68">
        <f t="shared" si="65"/>
        <v>0</v>
      </c>
      <c r="AV34" s="68">
        <f>ROUND(AH34*1%,0)</f>
        <v>-64</v>
      </c>
      <c r="AW34" s="421">
        <v>0</v>
      </c>
      <c r="AX34" s="421">
        <v>0</v>
      </c>
      <c r="AY34" s="421">
        <f>AW34+AX34</f>
        <v>0</v>
      </c>
      <c r="AZ34" s="421">
        <f>AT34+AU34+AV34+AY34</f>
        <v>-64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611">
        <f>SUM(BK34:BL34)</f>
        <v>0</v>
      </c>
      <c r="BN34" s="428">
        <f>I34+AZ34</f>
        <v>918553</v>
      </c>
      <c r="BO34" s="421">
        <f>J34+AH34</f>
        <v>671665</v>
      </c>
      <c r="BP34" s="421">
        <f t="shared" si="66"/>
        <v>0</v>
      </c>
      <c r="BQ34" s="421">
        <f t="shared" si="66"/>
        <v>671665</v>
      </c>
      <c r="BR34" s="421">
        <f>M34+AQ34</f>
        <v>6400</v>
      </c>
      <c r="BS34" s="421">
        <f t="shared" si="67"/>
        <v>0</v>
      </c>
      <c r="BT34" s="421">
        <f t="shared" si="67"/>
        <v>6400</v>
      </c>
      <c r="BU34" s="421">
        <f t="shared" si="68"/>
        <v>229186</v>
      </c>
      <c r="BV34" s="421">
        <f t="shared" si="68"/>
        <v>6717</v>
      </c>
      <c r="BW34" s="421">
        <f>R34+AY34</f>
        <v>4585</v>
      </c>
      <c r="BX34" s="422">
        <f>S34+BM34</f>
        <v>2.0299999999999998</v>
      </c>
      <c r="BY34" s="422">
        <f t="shared" si="69"/>
        <v>0</v>
      </c>
      <c r="BZ34" s="611">
        <f t="shared" si="69"/>
        <v>2.0299999999999998</v>
      </c>
      <c r="CA34" s="423"/>
      <c r="CB34" s="418"/>
      <c r="CC34" s="418"/>
      <c r="CD34" s="418"/>
      <c r="CE34" s="418"/>
      <c r="CF34" s="527"/>
    </row>
    <row r="35" spans="1:84" s="222" customFormat="1" x14ac:dyDescent="0.2">
      <c r="A35" s="155">
        <v>6</v>
      </c>
      <c r="B35" s="18">
        <v>4408</v>
      </c>
      <c r="C35" s="18">
        <v>600074528</v>
      </c>
      <c r="D35" s="18">
        <v>70982163</v>
      </c>
      <c r="E35" s="164" t="s">
        <v>157</v>
      </c>
      <c r="F35" s="18"/>
      <c r="G35" s="154"/>
      <c r="H35" s="685"/>
      <c r="I35" s="458">
        <f t="shared" ref="I35:BU35" si="70">SUM(I32:I34)</f>
        <v>12087966</v>
      </c>
      <c r="J35" s="451">
        <f t="shared" si="70"/>
        <v>8937787</v>
      </c>
      <c r="K35" s="451">
        <f t="shared" si="70"/>
        <v>7572258</v>
      </c>
      <c r="L35" s="451">
        <f t="shared" si="70"/>
        <v>1365529</v>
      </c>
      <c r="M35" s="451">
        <f t="shared" si="70"/>
        <v>0</v>
      </c>
      <c r="N35" s="451">
        <f t="shared" si="70"/>
        <v>0</v>
      </c>
      <c r="O35" s="451">
        <f t="shared" si="70"/>
        <v>0</v>
      </c>
      <c r="P35" s="451">
        <f t="shared" si="70"/>
        <v>3020972</v>
      </c>
      <c r="Q35" s="451">
        <f t="shared" si="70"/>
        <v>89378</v>
      </c>
      <c r="R35" s="451">
        <f t="shared" si="70"/>
        <v>39829</v>
      </c>
      <c r="S35" s="452">
        <f t="shared" si="70"/>
        <v>17.1235</v>
      </c>
      <c r="T35" s="452">
        <f t="shared" si="70"/>
        <v>12.74</v>
      </c>
      <c r="U35" s="39">
        <f t="shared" si="70"/>
        <v>4.3834999999999997</v>
      </c>
      <c r="V35" s="458">
        <f t="shared" si="70"/>
        <v>-6400</v>
      </c>
      <c r="W35" s="451">
        <f t="shared" si="70"/>
        <v>-12800</v>
      </c>
      <c r="X35" s="451">
        <f t="shared" si="70"/>
        <v>506762</v>
      </c>
      <c r="Y35" s="451">
        <f t="shared" si="70"/>
        <v>0</v>
      </c>
      <c r="Z35" s="451">
        <f t="shared" si="70"/>
        <v>0</v>
      </c>
      <c r="AA35" s="451">
        <f t="shared" si="70"/>
        <v>0</v>
      </c>
      <c r="AB35" s="451">
        <f t="shared" si="70"/>
        <v>0</v>
      </c>
      <c r="AC35" s="451">
        <f t="shared" si="70"/>
        <v>0</v>
      </c>
      <c r="AD35" s="451">
        <f t="shared" si="70"/>
        <v>0</v>
      </c>
      <c r="AE35" s="451">
        <f t="shared" si="70"/>
        <v>0</v>
      </c>
      <c r="AF35" s="451">
        <f t="shared" si="70"/>
        <v>500362</v>
      </c>
      <c r="AG35" s="451">
        <f t="shared" si="70"/>
        <v>-12800</v>
      </c>
      <c r="AH35" s="451">
        <f t="shared" si="70"/>
        <v>487562</v>
      </c>
      <c r="AI35" s="451">
        <f t="shared" si="70"/>
        <v>6400</v>
      </c>
      <c r="AJ35" s="451">
        <f t="shared" si="70"/>
        <v>12800</v>
      </c>
      <c r="AK35" s="451">
        <f t="shared" ref="AK35" si="71">SUM(AK32:AK34)</f>
        <v>0</v>
      </c>
      <c r="AL35" s="451">
        <f t="shared" si="70"/>
        <v>0</v>
      </c>
      <c r="AM35" s="451">
        <f t="shared" si="70"/>
        <v>0</v>
      </c>
      <c r="AN35" s="451">
        <f t="shared" si="70"/>
        <v>0</v>
      </c>
      <c r="AO35" s="451">
        <f t="shared" si="70"/>
        <v>6400</v>
      </c>
      <c r="AP35" s="451">
        <f t="shared" si="70"/>
        <v>12800</v>
      </c>
      <c r="AQ35" s="451">
        <f t="shared" si="70"/>
        <v>19200</v>
      </c>
      <c r="AR35" s="451">
        <f t="shared" si="70"/>
        <v>506762</v>
      </c>
      <c r="AS35" s="451">
        <f t="shared" si="70"/>
        <v>0</v>
      </c>
      <c r="AT35" s="451">
        <f t="shared" si="70"/>
        <v>506762</v>
      </c>
      <c r="AU35" s="451">
        <f t="shared" si="70"/>
        <v>171286</v>
      </c>
      <c r="AV35" s="451">
        <f t="shared" si="70"/>
        <v>4876</v>
      </c>
      <c r="AW35" s="451">
        <f t="shared" si="70"/>
        <v>0</v>
      </c>
      <c r="AX35" s="451">
        <f t="shared" si="70"/>
        <v>0</v>
      </c>
      <c r="AY35" s="451">
        <f t="shared" si="70"/>
        <v>0</v>
      </c>
      <c r="AZ35" s="451">
        <f t="shared" si="70"/>
        <v>682924</v>
      </c>
      <c r="BA35" s="452">
        <f t="shared" si="70"/>
        <v>0</v>
      </c>
      <c r="BB35" s="452">
        <f t="shared" si="70"/>
        <v>0</v>
      </c>
      <c r="BC35" s="452">
        <f t="shared" si="70"/>
        <v>1.5</v>
      </c>
      <c r="BD35" s="452">
        <f t="shared" si="70"/>
        <v>0</v>
      </c>
      <c r="BE35" s="452">
        <f t="shared" si="70"/>
        <v>0</v>
      </c>
      <c r="BF35" s="452">
        <f t="shared" si="70"/>
        <v>0</v>
      </c>
      <c r="BG35" s="452">
        <f t="shared" si="70"/>
        <v>0</v>
      </c>
      <c r="BH35" s="452">
        <f t="shared" si="70"/>
        <v>0</v>
      </c>
      <c r="BI35" s="452">
        <f t="shared" si="70"/>
        <v>0</v>
      </c>
      <c r="BJ35" s="452">
        <f t="shared" si="70"/>
        <v>0</v>
      </c>
      <c r="BK35" s="452">
        <f t="shared" si="70"/>
        <v>1.5</v>
      </c>
      <c r="BL35" s="452">
        <f t="shared" si="70"/>
        <v>0</v>
      </c>
      <c r="BM35" s="456">
        <f t="shared" si="70"/>
        <v>1.5</v>
      </c>
      <c r="BN35" s="454">
        <f t="shared" si="70"/>
        <v>12770890</v>
      </c>
      <c r="BO35" s="451">
        <f t="shared" si="70"/>
        <v>9425349</v>
      </c>
      <c r="BP35" s="451">
        <f t="shared" si="70"/>
        <v>8072620</v>
      </c>
      <c r="BQ35" s="451">
        <f t="shared" si="70"/>
        <v>1352729</v>
      </c>
      <c r="BR35" s="451">
        <f t="shared" si="70"/>
        <v>19200</v>
      </c>
      <c r="BS35" s="451">
        <f t="shared" si="70"/>
        <v>6400</v>
      </c>
      <c r="BT35" s="451">
        <f t="shared" si="70"/>
        <v>12800</v>
      </c>
      <c r="BU35" s="451">
        <f t="shared" si="70"/>
        <v>3192258</v>
      </c>
      <c r="BV35" s="451">
        <f t="shared" ref="BV35:CF35" si="72">SUM(BV32:BV34)</f>
        <v>94254</v>
      </c>
      <c r="BW35" s="451">
        <f t="shared" si="72"/>
        <v>39829</v>
      </c>
      <c r="BX35" s="452">
        <f t="shared" si="72"/>
        <v>18.6235</v>
      </c>
      <c r="BY35" s="452">
        <f t="shared" si="72"/>
        <v>14.24</v>
      </c>
      <c r="BZ35" s="456">
        <f t="shared" si="72"/>
        <v>4.3834999999999997</v>
      </c>
      <c r="CA35" s="854">
        <f t="shared" si="72"/>
        <v>0</v>
      </c>
      <c r="CB35" s="852">
        <f t="shared" si="72"/>
        <v>0</v>
      </c>
      <c r="CC35" s="852">
        <f t="shared" si="72"/>
        <v>0</v>
      </c>
      <c r="CD35" s="852">
        <f t="shared" si="72"/>
        <v>0</v>
      </c>
      <c r="CE35" s="852">
        <f t="shared" si="72"/>
        <v>0</v>
      </c>
      <c r="CF35" s="848">
        <f t="shared" si="72"/>
        <v>0</v>
      </c>
    </row>
    <row r="36" spans="1:84" s="222" customFormat="1" x14ac:dyDescent="0.2">
      <c r="A36" s="210">
        <v>7</v>
      </c>
      <c r="B36" s="211">
        <v>4423</v>
      </c>
      <c r="C36" s="211">
        <v>600074439</v>
      </c>
      <c r="D36" s="211">
        <v>70982155</v>
      </c>
      <c r="E36" s="209" t="s">
        <v>158</v>
      </c>
      <c r="F36" s="211">
        <v>3111</v>
      </c>
      <c r="G36" s="165" t="s">
        <v>291</v>
      </c>
      <c r="H36" s="699" t="s">
        <v>271</v>
      </c>
      <c r="I36" s="528">
        <f t="shared" ref="I36:I38" si="73">J36+P36+Q36+R36</f>
        <v>7254310</v>
      </c>
      <c r="J36" s="418">
        <f>K36+L36</f>
        <v>5363313</v>
      </c>
      <c r="K36" s="418">
        <v>4818983</v>
      </c>
      <c r="L36" s="418">
        <v>544330</v>
      </c>
      <c r="M36" s="418">
        <f>N36+O36</f>
        <v>0</v>
      </c>
      <c r="N36" s="418"/>
      <c r="O36" s="418"/>
      <c r="P36" s="68">
        <f t="shared" ref="P36:P38" si="74">ROUND(J36*33.8%,0)</f>
        <v>1812800</v>
      </c>
      <c r="Q36" s="68">
        <f t="shared" ref="Q36:Q38" si="75">ROUND(J36*1%,0)</f>
        <v>53633</v>
      </c>
      <c r="R36" s="418">
        <v>24564</v>
      </c>
      <c r="S36" s="419">
        <f>T36+U36</f>
        <v>9.8667999999999996</v>
      </c>
      <c r="T36" s="420">
        <v>8</v>
      </c>
      <c r="U36" s="527">
        <v>1.8668</v>
      </c>
      <c r="V36" s="427">
        <f t="shared" ref="V36:W38" si="76">AI36*-1</f>
        <v>0</v>
      </c>
      <c r="W36" s="421">
        <f t="shared" si="76"/>
        <v>-32000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>V36+X36+Y36+AA36+AB36+AD36</f>
        <v>0</v>
      </c>
      <c r="AG36" s="421">
        <f>W36+Z36+AC36+AE36</f>
        <v>-32000</v>
      </c>
      <c r="AH36" s="421">
        <f>SUM(AF36:AG36)</f>
        <v>-32000</v>
      </c>
      <c r="AI36" s="421">
        <v>0</v>
      </c>
      <c r="AJ36" s="421">
        <v>32000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ref="AO36:AO38" si="77">AI36+AK36+AL36+AM36</f>
        <v>0</v>
      </c>
      <c r="AP36" s="421">
        <f>AJ36+AN36</f>
        <v>32000</v>
      </c>
      <c r="AQ36" s="421">
        <f>SUM(AO36:AP36)</f>
        <v>32000</v>
      </c>
      <c r="AR36" s="421">
        <f t="shared" ref="AR36:AS38" si="78">AF36+AO36</f>
        <v>0</v>
      </c>
      <c r="AS36" s="421">
        <f t="shared" si="78"/>
        <v>0</v>
      </c>
      <c r="AT36" s="421">
        <f>SUM(AR36:AS36)</f>
        <v>0</v>
      </c>
      <c r="AU36" s="68">
        <f t="shared" ref="AU36:AU38" si="79">ROUND((AH36+AI36+AJ36+AK36+AL36)*33.8%,0)</f>
        <v>0</v>
      </c>
      <c r="AV36" s="68">
        <f>ROUND(AH36*1%,0)</f>
        <v>-320</v>
      </c>
      <c r="AW36" s="421">
        <v>0</v>
      </c>
      <c r="AX36" s="421">
        <v>0</v>
      </c>
      <c r="AY36" s="421">
        <f>AW36+AX36</f>
        <v>0</v>
      </c>
      <c r="AZ36" s="421">
        <f>AT36+AU36+AV36+AY36</f>
        <v>-320</v>
      </c>
      <c r="BA36" s="422">
        <v>0</v>
      </c>
      <c r="BB36" s="422">
        <v>-0.13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-0.13</v>
      </c>
      <c r="BM36" s="611">
        <f>SUM(BK36:BL36)</f>
        <v>-0.13</v>
      </c>
      <c r="BN36" s="428">
        <f>I36+AZ36</f>
        <v>7253990</v>
      </c>
      <c r="BO36" s="421">
        <f>J36+AH36</f>
        <v>5331313</v>
      </c>
      <c r="BP36" s="421">
        <f t="shared" ref="BP36:BQ38" si="80">K36+AF36</f>
        <v>4818983</v>
      </c>
      <c r="BQ36" s="421">
        <f t="shared" si="80"/>
        <v>512330</v>
      </c>
      <c r="BR36" s="421">
        <f>M36+AQ36</f>
        <v>32000</v>
      </c>
      <c r="BS36" s="421">
        <f t="shared" ref="BS36:BT38" si="81">N36+AO36</f>
        <v>0</v>
      </c>
      <c r="BT36" s="421">
        <f t="shared" si="81"/>
        <v>32000</v>
      </c>
      <c r="BU36" s="421">
        <f t="shared" ref="BU36:BV38" si="82">P36+AU36</f>
        <v>1812800</v>
      </c>
      <c r="BV36" s="421">
        <f t="shared" si="82"/>
        <v>53313</v>
      </c>
      <c r="BW36" s="421">
        <f>R36+AY36</f>
        <v>24564</v>
      </c>
      <c r="BX36" s="422">
        <f>S36+BM36</f>
        <v>9.7367999999999988</v>
      </c>
      <c r="BY36" s="422">
        <f t="shared" ref="BY36:BZ38" si="83">T36+BK36</f>
        <v>8</v>
      </c>
      <c r="BZ36" s="611">
        <f t="shared" si="83"/>
        <v>1.7368000000000001</v>
      </c>
      <c r="CA36" s="423"/>
      <c r="CB36" s="418"/>
      <c r="CC36" s="418"/>
      <c r="CD36" s="418"/>
      <c r="CE36" s="418"/>
      <c r="CF36" s="527"/>
    </row>
    <row r="37" spans="1:84" s="222" customFormat="1" x14ac:dyDescent="0.2">
      <c r="A37" s="210">
        <v>7</v>
      </c>
      <c r="B37" s="211">
        <v>4423</v>
      </c>
      <c r="C37" s="211">
        <v>600074439</v>
      </c>
      <c r="D37" s="211">
        <v>70982155</v>
      </c>
      <c r="E37" s="209" t="s">
        <v>158</v>
      </c>
      <c r="F37" s="211">
        <v>3111</v>
      </c>
      <c r="G37" s="165" t="s">
        <v>292</v>
      </c>
      <c r="H37" s="699" t="s">
        <v>272</v>
      </c>
      <c r="I37" s="528">
        <f t="shared" si="73"/>
        <v>0</v>
      </c>
      <c r="J37" s="418">
        <f>K37+L37</f>
        <v>0</v>
      </c>
      <c r="K37" s="418">
        <v>0</v>
      </c>
      <c r="L37" s="418">
        <v>0</v>
      </c>
      <c r="M37" s="418">
        <f>N37+O37</f>
        <v>0</v>
      </c>
      <c r="N37" s="418"/>
      <c r="O37" s="418"/>
      <c r="P37" s="68">
        <f t="shared" si="74"/>
        <v>0</v>
      </c>
      <c r="Q37" s="68">
        <f t="shared" si="75"/>
        <v>0</v>
      </c>
      <c r="R37" s="418">
        <v>0</v>
      </c>
      <c r="S37" s="419">
        <f>T37+U37</f>
        <v>0</v>
      </c>
      <c r="T37" s="420">
        <v>0</v>
      </c>
      <c r="U37" s="527">
        <v>0</v>
      </c>
      <c r="V37" s="427">
        <f t="shared" si="76"/>
        <v>0</v>
      </c>
      <c r="W37" s="421">
        <f t="shared" si="76"/>
        <v>0</v>
      </c>
      <c r="X37" s="421">
        <v>278101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>V37+X37+Y37+AA37+AB37+AD37</f>
        <v>278101</v>
      </c>
      <c r="AG37" s="421">
        <f>W37+Z37+AC37+AE37</f>
        <v>0</v>
      </c>
      <c r="AH37" s="421">
        <f>SUM(AF37:AG37)</f>
        <v>278101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si="77"/>
        <v>0</v>
      </c>
      <c r="AP37" s="421">
        <f>AJ37+AN37</f>
        <v>0</v>
      </c>
      <c r="AQ37" s="421">
        <f>SUM(AO37:AP37)</f>
        <v>0</v>
      </c>
      <c r="AR37" s="421">
        <f t="shared" si="78"/>
        <v>278101</v>
      </c>
      <c r="AS37" s="421">
        <f t="shared" si="78"/>
        <v>0</v>
      </c>
      <c r="AT37" s="421">
        <f>SUM(AR37:AS37)</f>
        <v>278101</v>
      </c>
      <c r="AU37" s="68">
        <f t="shared" si="79"/>
        <v>93998</v>
      </c>
      <c r="AV37" s="68">
        <f>ROUND(AH37*1%,0)</f>
        <v>2781</v>
      </c>
      <c r="AW37" s="421">
        <v>0</v>
      </c>
      <c r="AX37" s="421">
        <v>0</v>
      </c>
      <c r="AY37" s="421">
        <f>AW37+AX37</f>
        <v>0</v>
      </c>
      <c r="AZ37" s="421">
        <f>AT37+AU37+AV37+AY37</f>
        <v>374880</v>
      </c>
      <c r="BA37" s="422">
        <v>0</v>
      </c>
      <c r="BB37" s="422">
        <v>0</v>
      </c>
      <c r="BC37" s="422">
        <v>0.75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0.75</v>
      </c>
      <c r="BL37" s="422">
        <f>BB37+BE37+BG37+BJ37</f>
        <v>0</v>
      </c>
      <c r="BM37" s="611">
        <f>SUM(BK37:BL37)</f>
        <v>0.75</v>
      </c>
      <c r="BN37" s="428">
        <f>I37+AZ37</f>
        <v>374880</v>
      </c>
      <c r="BO37" s="421">
        <f>J37+AH37</f>
        <v>278101</v>
      </c>
      <c r="BP37" s="421">
        <f t="shared" si="80"/>
        <v>278101</v>
      </c>
      <c r="BQ37" s="421">
        <f t="shared" si="80"/>
        <v>0</v>
      </c>
      <c r="BR37" s="421">
        <f>M37+AQ37</f>
        <v>0</v>
      </c>
      <c r="BS37" s="421">
        <f t="shared" si="81"/>
        <v>0</v>
      </c>
      <c r="BT37" s="421">
        <f t="shared" si="81"/>
        <v>0</v>
      </c>
      <c r="BU37" s="421">
        <f t="shared" si="82"/>
        <v>93998</v>
      </c>
      <c r="BV37" s="421">
        <f t="shared" si="82"/>
        <v>2781</v>
      </c>
      <c r="BW37" s="421">
        <f>R37+AY37</f>
        <v>0</v>
      </c>
      <c r="BX37" s="422">
        <f>S37+BM37</f>
        <v>0.75</v>
      </c>
      <c r="BY37" s="422">
        <f t="shared" si="83"/>
        <v>0.75</v>
      </c>
      <c r="BZ37" s="611">
        <f t="shared" si="83"/>
        <v>0</v>
      </c>
      <c r="CA37" s="423"/>
      <c r="CB37" s="418"/>
      <c r="CC37" s="418"/>
      <c r="CD37" s="418"/>
      <c r="CE37" s="418"/>
      <c r="CF37" s="527"/>
    </row>
    <row r="38" spans="1:84" s="222" customFormat="1" x14ac:dyDescent="0.2">
      <c r="A38" s="210">
        <v>7</v>
      </c>
      <c r="B38" s="211">
        <v>4423</v>
      </c>
      <c r="C38" s="211">
        <v>600074439</v>
      </c>
      <c r="D38" s="211">
        <v>70982155</v>
      </c>
      <c r="E38" s="209" t="s">
        <v>158</v>
      </c>
      <c r="F38" s="211">
        <v>3141</v>
      </c>
      <c r="G38" s="165" t="s">
        <v>295</v>
      </c>
      <c r="H38" s="699" t="s">
        <v>272</v>
      </c>
      <c r="I38" s="528">
        <f t="shared" si="73"/>
        <v>848407</v>
      </c>
      <c r="J38" s="418">
        <f>K38+L38</f>
        <v>626942</v>
      </c>
      <c r="K38" s="418">
        <v>0</v>
      </c>
      <c r="L38" s="418">
        <v>626942</v>
      </c>
      <c r="M38" s="418">
        <f>N38+O38</f>
        <v>0</v>
      </c>
      <c r="N38" s="418"/>
      <c r="O38" s="418"/>
      <c r="P38" s="68">
        <f t="shared" si="74"/>
        <v>211906</v>
      </c>
      <c r="Q38" s="68">
        <f t="shared" si="75"/>
        <v>6269</v>
      </c>
      <c r="R38" s="418">
        <v>3290</v>
      </c>
      <c r="S38" s="419">
        <f>T38+U38</f>
        <v>1.88</v>
      </c>
      <c r="T38" s="420">
        <v>0</v>
      </c>
      <c r="U38" s="527">
        <v>1.88</v>
      </c>
      <c r="V38" s="427">
        <f t="shared" si="76"/>
        <v>0</v>
      </c>
      <c r="W38" s="421">
        <f t="shared" si="76"/>
        <v>-15360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>V38+X38+Y38+AA38+AB38+AD38</f>
        <v>0</v>
      </c>
      <c r="AG38" s="421">
        <f>W38+Z38+AC38+AE38</f>
        <v>-15360</v>
      </c>
      <c r="AH38" s="421">
        <f>SUM(AF38:AG38)</f>
        <v>-15360</v>
      </c>
      <c r="AI38" s="421">
        <v>0</v>
      </c>
      <c r="AJ38" s="421">
        <v>15360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si="77"/>
        <v>0</v>
      </c>
      <c r="AP38" s="421">
        <f>AJ38+AN38</f>
        <v>15360</v>
      </c>
      <c r="AQ38" s="421">
        <f>SUM(AO38:AP38)</f>
        <v>15360</v>
      </c>
      <c r="AR38" s="421">
        <f t="shared" si="78"/>
        <v>0</v>
      </c>
      <c r="AS38" s="421">
        <f t="shared" si="78"/>
        <v>0</v>
      </c>
      <c r="AT38" s="421">
        <f>SUM(AR38:AS38)</f>
        <v>0</v>
      </c>
      <c r="AU38" s="68">
        <f t="shared" si="79"/>
        <v>0</v>
      </c>
      <c r="AV38" s="68">
        <f>ROUND(AH38*1%,0)</f>
        <v>-154</v>
      </c>
      <c r="AW38" s="421">
        <v>0</v>
      </c>
      <c r="AX38" s="421">
        <v>0</v>
      </c>
      <c r="AY38" s="421">
        <f>AW38+AX38</f>
        <v>0</v>
      </c>
      <c r="AZ38" s="421">
        <f>AT38+AU38+AV38+AY38</f>
        <v>-154</v>
      </c>
      <c r="BA38" s="422">
        <v>0</v>
      </c>
      <c r="BB38" s="422">
        <v>-0.06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>BA38+BC38+BD38+BF38+BH38+BI38</f>
        <v>0</v>
      </c>
      <c r="BL38" s="422">
        <f>BB38+BE38+BG38+BJ38</f>
        <v>-0.06</v>
      </c>
      <c r="BM38" s="611">
        <f>SUM(BK38:BL38)</f>
        <v>-0.06</v>
      </c>
      <c r="BN38" s="428">
        <f>I38+AZ38</f>
        <v>848253</v>
      </c>
      <c r="BO38" s="421">
        <f>J38+AH38</f>
        <v>611582</v>
      </c>
      <c r="BP38" s="421">
        <f t="shared" si="80"/>
        <v>0</v>
      </c>
      <c r="BQ38" s="421">
        <f t="shared" si="80"/>
        <v>611582</v>
      </c>
      <c r="BR38" s="421">
        <f>M38+AQ38</f>
        <v>15360</v>
      </c>
      <c r="BS38" s="421">
        <f t="shared" si="81"/>
        <v>0</v>
      </c>
      <c r="BT38" s="421">
        <f t="shared" si="81"/>
        <v>15360</v>
      </c>
      <c r="BU38" s="421">
        <f t="shared" si="82"/>
        <v>211906</v>
      </c>
      <c r="BV38" s="421">
        <f t="shared" si="82"/>
        <v>6115</v>
      </c>
      <c r="BW38" s="421">
        <f>R38+AY38</f>
        <v>3290</v>
      </c>
      <c r="BX38" s="422">
        <f>S38+BM38</f>
        <v>1.8199999999999998</v>
      </c>
      <c r="BY38" s="422">
        <f t="shared" si="83"/>
        <v>0</v>
      </c>
      <c r="BZ38" s="611">
        <f t="shared" si="83"/>
        <v>1.8199999999999998</v>
      </c>
      <c r="CA38" s="423"/>
      <c r="CB38" s="418"/>
      <c r="CC38" s="418"/>
      <c r="CD38" s="418"/>
      <c r="CE38" s="418"/>
      <c r="CF38" s="527"/>
    </row>
    <row r="39" spans="1:84" s="222" customFormat="1" x14ac:dyDescent="0.2">
      <c r="A39" s="155">
        <v>7</v>
      </c>
      <c r="B39" s="18">
        <v>4423</v>
      </c>
      <c r="C39" s="18">
        <v>600074439</v>
      </c>
      <c r="D39" s="18">
        <v>70982155</v>
      </c>
      <c r="E39" s="164" t="s">
        <v>159</v>
      </c>
      <c r="F39" s="18"/>
      <c r="G39" s="154"/>
      <c r="H39" s="685"/>
      <c r="I39" s="458">
        <f t="shared" ref="I39:BU39" si="84">SUM(I36:I38)</f>
        <v>8102717</v>
      </c>
      <c r="J39" s="451">
        <f t="shared" si="84"/>
        <v>5990255</v>
      </c>
      <c r="K39" s="451">
        <f t="shared" si="84"/>
        <v>4818983</v>
      </c>
      <c r="L39" s="451">
        <f t="shared" si="84"/>
        <v>1171272</v>
      </c>
      <c r="M39" s="451">
        <f t="shared" si="84"/>
        <v>0</v>
      </c>
      <c r="N39" s="451">
        <f t="shared" si="84"/>
        <v>0</v>
      </c>
      <c r="O39" s="451">
        <f t="shared" si="84"/>
        <v>0</v>
      </c>
      <c r="P39" s="451">
        <f t="shared" si="84"/>
        <v>2024706</v>
      </c>
      <c r="Q39" s="451">
        <f t="shared" si="84"/>
        <v>59902</v>
      </c>
      <c r="R39" s="451">
        <f t="shared" si="84"/>
        <v>27854</v>
      </c>
      <c r="S39" s="452">
        <f t="shared" si="84"/>
        <v>11.7468</v>
      </c>
      <c r="T39" s="452">
        <f t="shared" si="84"/>
        <v>8</v>
      </c>
      <c r="U39" s="39">
        <f t="shared" si="84"/>
        <v>3.7467999999999999</v>
      </c>
      <c r="V39" s="458">
        <f t="shared" si="84"/>
        <v>0</v>
      </c>
      <c r="W39" s="451">
        <f t="shared" si="84"/>
        <v>-47360</v>
      </c>
      <c r="X39" s="451">
        <f t="shared" si="84"/>
        <v>278101</v>
      </c>
      <c r="Y39" s="451">
        <f t="shared" si="84"/>
        <v>0</v>
      </c>
      <c r="Z39" s="451">
        <f t="shared" si="84"/>
        <v>0</v>
      </c>
      <c r="AA39" s="451">
        <f t="shared" si="84"/>
        <v>0</v>
      </c>
      <c r="AB39" s="451">
        <f t="shared" si="84"/>
        <v>0</v>
      </c>
      <c r="AC39" s="451">
        <f t="shared" si="84"/>
        <v>0</v>
      </c>
      <c r="AD39" s="451">
        <f t="shared" si="84"/>
        <v>0</v>
      </c>
      <c r="AE39" s="451">
        <f t="shared" si="84"/>
        <v>0</v>
      </c>
      <c r="AF39" s="451">
        <f t="shared" si="84"/>
        <v>278101</v>
      </c>
      <c r="AG39" s="451">
        <f t="shared" si="84"/>
        <v>-47360</v>
      </c>
      <c r="AH39" s="451">
        <f t="shared" si="84"/>
        <v>230741</v>
      </c>
      <c r="AI39" s="451">
        <f t="shared" si="84"/>
        <v>0</v>
      </c>
      <c r="AJ39" s="451">
        <f t="shared" si="84"/>
        <v>47360</v>
      </c>
      <c r="AK39" s="451">
        <f t="shared" ref="AK39" si="85">SUM(AK36:AK38)</f>
        <v>0</v>
      </c>
      <c r="AL39" s="451">
        <f t="shared" si="84"/>
        <v>0</v>
      </c>
      <c r="AM39" s="451">
        <f t="shared" si="84"/>
        <v>0</v>
      </c>
      <c r="AN39" s="451">
        <f t="shared" si="84"/>
        <v>0</v>
      </c>
      <c r="AO39" s="451">
        <f t="shared" si="84"/>
        <v>0</v>
      </c>
      <c r="AP39" s="451">
        <f t="shared" si="84"/>
        <v>47360</v>
      </c>
      <c r="AQ39" s="451">
        <f t="shared" si="84"/>
        <v>47360</v>
      </c>
      <c r="AR39" s="451">
        <f t="shared" si="84"/>
        <v>278101</v>
      </c>
      <c r="AS39" s="451">
        <f t="shared" si="84"/>
        <v>0</v>
      </c>
      <c r="AT39" s="451">
        <f t="shared" si="84"/>
        <v>278101</v>
      </c>
      <c r="AU39" s="451">
        <f t="shared" si="84"/>
        <v>93998</v>
      </c>
      <c r="AV39" s="451">
        <f t="shared" si="84"/>
        <v>2307</v>
      </c>
      <c r="AW39" s="451">
        <f t="shared" si="84"/>
        <v>0</v>
      </c>
      <c r="AX39" s="451">
        <f t="shared" si="84"/>
        <v>0</v>
      </c>
      <c r="AY39" s="451">
        <f t="shared" si="84"/>
        <v>0</v>
      </c>
      <c r="AZ39" s="451">
        <f t="shared" si="84"/>
        <v>374406</v>
      </c>
      <c r="BA39" s="452">
        <f t="shared" si="84"/>
        <v>0</v>
      </c>
      <c r="BB39" s="452">
        <f t="shared" si="84"/>
        <v>-0.19</v>
      </c>
      <c r="BC39" s="452">
        <f t="shared" si="84"/>
        <v>0.75</v>
      </c>
      <c r="BD39" s="452">
        <f t="shared" si="84"/>
        <v>0</v>
      </c>
      <c r="BE39" s="452">
        <f t="shared" si="84"/>
        <v>0</v>
      </c>
      <c r="BF39" s="452">
        <f t="shared" si="84"/>
        <v>0</v>
      </c>
      <c r="BG39" s="452">
        <f t="shared" si="84"/>
        <v>0</v>
      </c>
      <c r="BH39" s="452">
        <f t="shared" si="84"/>
        <v>0</v>
      </c>
      <c r="BI39" s="452">
        <f t="shared" si="84"/>
        <v>0</v>
      </c>
      <c r="BJ39" s="452">
        <f t="shared" si="84"/>
        <v>0</v>
      </c>
      <c r="BK39" s="452">
        <f t="shared" si="84"/>
        <v>0.75</v>
      </c>
      <c r="BL39" s="452">
        <f t="shared" si="84"/>
        <v>-0.19</v>
      </c>
      <c r="BM39" s="456">
        <f t="shared" si="84"/>
        <v>0.56000000000000005</v>
      </c>
      <c r="BN39" s="454">
        <f t="shared" si="84"/>
        <v>8477123</v>
      </c>
      <c r="BO39" s="451">
        <f t="shared" si="84"/>
        <v>6220996</v>
      </c>
      <c r="BP39" s="451">
        <f t="shared" si="84"/>
        <v>5097084</v>
      </c>
      <c r="BQ39" s="451">
        <f t="shared" si="84"/>
        <v>1123912</v>
      </c>
      <c r="BR39" s="451">
        <f t="shared" si="84"/>
        <v>47360</v>
      </c>
      <c r="BS39" s="451">
        <f t="shared" si="84"/>
        <v>0</v>
      </c>
      <c r="BT39" s="451">
        <f t="shared" si="84"/>
        <v>47360</v>
      </c>
      <c r="BU39" s="451">
        <f t="shared" si="84"/>
        <v>2118704</v>
      </c>
      <c r="BV39" s="451">
        <f t="shared" ref="BV39:CF39" si="86">SUM(BV36:BV38)</f>
        <v>62209</v>
      </c>
      <c r="BW39" s="451">
        <f t="shared" si="86"/>
        <v>27854</v>
      </c>
      <c r="BX39" s="452">
        <f t="shared" si="86"/>
        <v>12.306799999999999</v>
      </c>
      <c r="BY39" s="452">
        <f t="shared" si="86"/>
        <v>8.75</v>
      </c>
      <c r="BZ39" s="456">
        <f t="shared" si="86"/>
        <v>3.5568</v>
      </c>
      <c r="CA39" s="854">
        <f t="shared" si="86"/>
        <v>0</v>
      </c>
      <c r="CB39" s="852">
        <f t="shared" si="86"/>
        <v>0</v>
      </c>
      <c r="CC39" s="852">
        <f t="shared" si="86"/>
        <v>0</v>
      </c>
      <c r="CD39" s="852">
        <f t="shared" si="86"/>
        <v>0</v>
      </c>
      <c r="CE39" s="852">
        <f t="shared" si="86"/>
        <v>0</v>
      </c>
      <c r="CF39" s="848">
        <f t="shared" si="86"/>
        <v>0</v>
      </c>
    </row>
    <row r="40" spans="1:84" s="222" customFormat="1" x14ac:dyDescent="0.2">
      <c r="A40" s="210">
        <v>8</v>
      </c>
      <c r="B40" s="211">
        <v>4404</v>
      </c>
      <c r="C40" s="211">
        <v>600074331</v>
      </c>
      <c r="D40" s="211">
        <v>831298</v>
      </c>
      <c r="E40" s="209" t="s">
        <v>160</v>
      </c>
      <c r="F40" s="211">
        <v>3111</v>
      </c>
      <c r="G40" s="165" t="s">
        <v>291</v>
      </c>
      <c r="H40" s="699" t="s">
        <v>271</v>
      </c>
      <c r="I40" s="528">
        <f t="shared" ref="I40:I42" si="87">J40+P40+Q40+R40</f>
        <v>21885911</v>
      </c>
      <c r="J40" s="418">
        <f>K40+L40</f>
        <v>16181521</v>
      </c>
      <c r="K40" s="418">
        <v>14739372</v>
      </c>
      <c r="L40" s="418">
        <v>1442149</v>
      </c>
      <c r="M40" s="418">
        <f>N40+O40</f>
        <v>0</v>
      </c>
      <c r="N40" s="418"/>
      <c r="O40" s="418"/>
      <c r="P40" s="68">
        <f t="shared" ref="P40:P42" si="88">ROUND(J40*33.8%,0)</f>
        <v>5469354</v>
      </c>
      <c r="Q40" s="68">
        <f t="shared" ref="Q40:Q42" si="89">ROUND(J40*1%,0)</f>
        <v>161815</v>
      </c>
      <c r="R40" s="418">
        <v>73221</v>
      </c>
      <c r="S40" s="419">
        <f>T40+U40</f>
        <v>31.073399999999999</v>
      </c>
      <c r="T40" s="420">
        <v>26</v>
      </c>
      <c r="U40" s="527">
        <v>5.0734000000000004</v>
      </c>
      <c r="V40" s="427">
        <f t="shared" ref="V40:W42" si="90">AI40*-1</f>
        <v>0</v>
      </c>
      <c r="W40" s="421">
        <f t="shared" si="90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>V40+X40+Y40+AA40+AB40+AD40</f>
        <v>0</v>
      </c>
      <c r="AG40" s="421">
        <f>W40+Z40+AC40+AE40</f>
        <v>0</v>
      </c>
      <c r="AH40" s="421">
        <f>SUM(AF40:AG40)</f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ref="AO40:AO42" si="91">AI40+AK40+AL40+AM40</f>
        <v>0</v>
      </c>
      <c r="AP40" s="421">
        <f>AJ40+AN40</f>
        <v>0</v>
      </c>
      <c r="AQ40" s="421">
        <f>SUM(AO40:AP40)</f>
        <v>0</v>
      </c>
      <c r="AR40" s="421">
        <f t="shared" ref="AR40:AS42" si="92">AF40+AO40</f>
        <v>0</v>
      </c>
      <c r="AS40" s="421">
        <f t="shared" si="92"/>
        <v>0</v>
      </c>
      <c r="AT40" s="421">
        <f>SUM(AR40:AS40)</f>
        <v>0</v>
      </c>
      <c r="AU40" s="68">
        <f t="shared" ref="AU40:AU42" si="93">ROUND((AH40+AI40+AJ40+AK40+AL40)*33.8%,0)</f>
        <v>0</v>
      </c>
      <c r="AV40" s="68">
        <f>ROUND(AH40*1%,0)</f>
        <v>0</v>
      </c>
      <c r="AW40" s="421">
        <v>0</v>
      </c>
      <c r="AX40" s="421">
        <v>0</v>
      </c>
      <c r="AY40" s="421">
        <f>AW40+AX40</f>
        <v>0</v>
      </c>
      <c r="AZ40" s="421">
        <f>AT40+AU40+AV40+AY40</f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>BA40+BC40+BD40+BF40+BH40+BI40</f>
        <v>0</v>
      </c>
      <c r="BL40" s="422">
        <f>BB40+BE40+BG40+BJ40</f>
        <v>0</v>
      </c>
      <c r="BM40" s="611">
        <f>SUM(BK40:BL40)</f>
        <v>0</v>
      </c>
      <c r="BN40" s="428">
        <f>I40+AZ40</f>
        <v>21885911</v>
      </c>
      <c r="BO40" s="421">
        <f>J40+AH40</f>
        <v>16181521</v>
      </c>
      <c r="BP40" s="421">
        <f t="shared" ref="BP40:BQ42" si="94">K40+AF40</f>
        <v>14739372</v>
      </c>
      <c r="BQ40" s="421">
        <f t="shared" si="94"/>
        <v>1442149</v>
      </c>
      <c r="BR40" s="421">
        <f>M40+AQ40</f>
        <v>0</v>
      </c>
      <c r="BS40" s="421">
        <f t="shared" ref="BS40:BT42" si="95">N40+AO40</f>
        <v>0</v>
      </c>
      <c r="BT40" s="421">
        <f t="shared" si="95"/>
        <v>0</v>
      </c>
      <c r="BU40" s="421">
        <f t="shared" ref="BU40:BV42" si="96">P40+AU40</f>
        <v>5469354</v>
      </c>
      <c r="BV40" s="421">
        <f t="shared" si="96"/>
        <v>161815</v>
      </c>
      <c r="BW40" s="421">
        <f>R40+AY40</f>
        <v>73221</v>
      </c>
      <c r="BX40" s="422">
        <f>S40+BM40</f>
        <v>31.073399999999999</v>
      </c>
      <c r="BY40" s="422">
        <f t="shared" ref="BY40:BZ42" si="97">T40+BK40</f>
        <v>26</v>
      </c>
      <c r="BZ40" s="611">
        <f t="shared" si="97"/>
        <v>5.0734000000000004</v>
      </c>
      <c r="CA40" s="423"/>
      <c r="CB40" s="418"/>
      <c r="CC40" s="418"/>
      <c r="CD40" s="418"/>
      <c r="CE40" s="418"/>
      <c r="CF40" s="527"/>
    </row>
    <row r="41" spans="1:84" s="222" customFormat="1" x14ac:dyDescent="0.2">
      <c r="A41" s="210">
        <v>8</v>
      </c>
      <c r="B41" s="211">
        <v>4404</v>
      </c>
      <c r="C41" s="211">
        <v>600074331</v>
      </c>
      <c r="D41" s="211">
        <v>831298</v>
      </c>
      <c r="E41" s="209" t="s">
        <v>160</v>
      </c>
      <c r="F41" s="211">
        <v>3111</v>
      </c>
      <c r="G41" s="165" t="s">
        <v>292</v>
      </c>
      <c r="H41" s="699" t="s">
        <v>272</v>
      </c>
      <c r="I41" s="528">
        <f t="shared" si="87"/>
        <v>0</v>
      </c>
      <c r="J41" s="418">
        <f>K41+L41</f>
        <v>0</v>
      </c>
      <c r="K41" s="418">
        <v>0</v>
      </c>
      <c r="L41" s="418">
        <v>0</v>
      </c>
      <c r="M41" s="418">
        <f>N41+O41</f>
        <v>0</v>
      </c>
      <c r="N41" s="418"/>
      <c r="O41" s="418"/>
      <c r="P41" s="68">
        <f t="shared" si="88"/>
        <v>0</v>
      </c>
      <c r="Q41" s="68">
        <f t="shared" si="89"/>
        <v>0</v>
      </c>
      <c r="R41" s="418">
        <v>0</v>
      </c>
      <c r="S41" s="419">
        <f>T41+U41</f>
        <v>0</v>
      </c>
      <c r="T41" s="420">
        <v>0</v>
      </c>
      <c r="U41" s="527">
        <v>0</v>
      </c>
      <c r="V41" s="427">
        <f t="shared" si="90"/>
        <v>0</v>
      </c>
      <c r="W41" s="421">
        <f t="shared" si="90"/>
        <v>0</v>
      </c>
      <c r="X41" s="421">
        <v>828124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828124</v>
      </c>
      <c r="AG41" s="421">
        <f>W41+Z41+AC41+AE41</f>
        <v>0</v>
      </c>
      <c r="AH41" s="421">
        <f>SUM(AF41:AG41)</f>
        <v>828124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91"/>
        <v>0</v>
      </c>
      <c r="AP41" s="421">
        <f>AJ41+AN41</f>
        <v>0</v>
      </c>
      <c r="AQ41" s="421">
        <f>SUM(AO41:AP41)</f>
        <v>0</v>
      </c>
      <c r="AR41" s="421">
        <f t="shared" si="92"/>
        <v>828124</v>
      </c>
      <c r="AS41" s="421">
        <f t="shared" si="92"/>
        <v>0</v>
      </c>
      <c r="AT41" s="421">
        <f>SUM(AR41:AS41)</f>
        <v>828124</v>
      </c>
      <c r="AU41" s="68">
        <f t="shared" si="93"/>
        <v>279906</v>
      </c>
      <c r="AV41" s="68">
        <f>ROUND(AH41*1%,0)</f>
        <v>8281</v>
      </c>
      <c r="AW41" s="421">
        <v>0</v>
      </c>
      <c r="AX41" s="421">
        <v>0</v>
      </c>
      <c r="AY41" s="421">
        <f>AW41+AX41</f>
        <v>0</v>
      </c>
      <c r="AZ41" s="421">
        <f>AT41+AU41+AV41+AY41</f>
        <v>1116311</v>
      </c>
      <c r="BA41" s="422">
        <v>0</v>
      </c>
      <c r="BB41" s="422">
        <v>0</v>
      </c>
      <c r="BC41" s="422">
        <v>2.5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2.5</v>
      </c>
      <c r="BL41" s="422">
        <f>BB41+BE41+BG41+BJ41</f>
        <v>0</v>
      </c>
      <c r="BM41" s="611">
        <f>SUM(BK41:BL41)</f>
        <v>2.5</v>
      </c>
      <c r="BN41" s="428">
        <f>I41+AZ41</f>
        <v>1116311</v>
      </c>
      <c r="BO41" s="421">
        <f>J41+AH41</f>
        <v>828124</v>
      </c>
      <c r="BP41" s="421">
        <f t="shared" si="94"/>
        <v>828124</v>
      </c>
      <c r="BQ41" s="421">
        <f t="shared" si="94"/>
        <v>0</v>
      </c>
      <c r="BR41" s="421">
        <f>M41+AQ41</f>
        <v>0</v>
      </c>
      <c r="BS41" s="421">
        <f t="shared" si="95"/>
        <v>0</v>
      </c>
      <c r="BT41" s="421">
        <f t="shared" si="95"/>
        <v>0</v>
      </c>
      <c r="BU41" s="421">
        <f t="shared" si="96"/>
        <v>279906</v>
      </c>
      <c r="BV41" s="421">
        <f t="shared" si="96"/>
        <v>8281</v>
      </c>
      <c r="BW41" s="421">
        <f>R41+AY41</f>
        <v>0</v>
      </c>
      <c r="BX41" s="422">
        <f>S41+BM41</f>
        <v>2.5</v>
      </c>
      <c r="BY41" s="422">
        <f t="shared" si="97"/>
        <v>2.5</v>
      </c>
      <c r="BZ41" s="611">
        <f t="shared" si="97"/>
        <v>0</v>
      </c>
      <c r="CA41" s="423"/>
      <c r="CB41" s="418"/>
      <c r="CC41" s="418"/>
      <c r="CD41" s="418"/>
      <c r="CE41" s="418"/>
      <c r="CF41" s="527"/>
    </row>
    <row r="42" spans="1:84" s="222" customFormat="1" x14ac:dyDescent="0.2">
      <c r="A42" s="210">
        <v>8</v>
      </c>
      <c r="B42" s="211">
        <v>4404</v>
      </c>
      <c r="C42" s="211">
        <v>600074331</v>
      </c>
      <c r="D42" s="211">
        <v>831298</v>
      </c>
      <c r="E42" s="209" t="s">
        <v>160</v>
      </c>
      <c r="F42" s="211">
        <v>3141</v>
      </c>
      <c r="G42" s="165" t="s">
        <v>295</v>
      </c>
      <c r="H42" s="699" t="s">
        <v>272</v>
      </c>
      <c r="I42" s="528">
        <f t="shared" si="87"/>
        <v>2196903</v>
      </c>
      <c r="J42" s="418">
        <f>K42+L42</f>
        <v>1622948</v>
      </c>
      <c r="K42" s="418">
        <v>0</v>
      </c>
      <c r="L42" s="418">
        <v>1622948</v>
      </c>
      <c r="M42" s="418">
        <f>N42+O42</f>
        <v>0</v>
      </c>
      <c r="N42" s="418"/>
      <c r="O42" s="418"/>
      <c r="P42" s="68">
        <f t="shared" si="88"/>
        <v>548556</v>
      </c>
      <c r="Q42" s="68">
        <f t="shared" si="89"/>
        <v>16229</v>
      </c>
      <c r="R42" s="418">
        <v>9170</v>
      </c>
      <c r="S42" s="419">
        <f>T42+U42</f>
        <v>4.87</v>
      </c>
      <c r="T42" s="420">
        <v>0</v>
      </c>
      <c r="U42" s="527">
        <v>4.87</v>
      </c>
      <c r="V42" s="427">
        <f t="shared" si="90"/>
        <v>0</v>
      </c>
      <c r="W42" s="421">
        <f t="shared" si="90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>V42+X42+Y42+AA42+AB42+AD42</f>
        <v>0</v>
      </c>
      <c r="AG42" s="421">
        <f>W42+Z42+AC42+AE42</f>
        <v>0</v>
      </c>
      <c r="AH42" s="421">
        <f>SUM(AF42:AG42)</f>
        <v>0</v>
      </c>
      <c r="AI42" s="421">
        <v>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91"/>
        <v>0</v>
      </c>
      <c r="AP42" s="421">
        <f>AJ42+AN42</f>
        <v>0</v>
      </c>
      <c r="AQ42" s="421">
        <f>SUM(AO42:AP42)</f>
        <v>0</v>
      </c>
      <c r="AR42" s="421">
        <f t="shared" si="92"/>
        <v>0</v>
      </c>
      <c r="AS42" s="421">
        <f t="shared" si="92"/>
        <v>0</v>
      </c>
      <c r="AT42" s="421">
        <f>SUM(AR42:AS42)</f>
        <v>0</v>
      </c>
      <c r="AU42" s="68">
        <f t="shared" si="93"/>
        <v>0</v>
      </c>
      <c r="AV42" s="68">
        <f>ROUND(AH42*1%,0)</f>
        <v>0</v>
      </c>
      <c r="AW42" s="421">
        <v>0</v>
      </c>
      <c r="AX42" s="421">
        <v>0</v>
      </c>
      <c r="AY42" s="421">
        <f>AW42+AX42</f>
        <v>0</v>
      </c>
      <c r="AZ42" s="421">
        <f>AT42+AU42+AV42+AY42</f>
        <v>0</v>
      </c>
      <c r="BA42" s="422">
        <v>0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>BA42+BC42+BD42+BF42+BH42+BI42</f>
        <v>0</v>
      </c>
      <c r="BL42" s="422">
        <f>BB42+BE42+BG42+BJ42</f>
        <v>0</v>
      </c>
      <c r="BM42" s="611">
        <f>SUM(BK42:BL42)</f>
        <v>0</v>
      </c>
      <c r="BN42" s="428">
        <f>I42+AZ42</f>
        <v>2196903</v>
      </c>
      <c r="BO42" s="421">
        <f>J42+AH42</f>
        <v>1622948</v>
      </c>
      <c r="BP42" s="421">
        <f t="shared" si="94"/>
        <v>0</v>
      </c>
      <c r="BQ42" s="421">
        <f t="shared" si="94"/>
        <v>1622948</v>
      </c>
      <c r="BR42" s="421">
        <f>M42+AQ42</f>
        <v>0</v>
      </c>
      <c r="BS42" s="421">
        <f t="shared" si="95"/>
        <v>0</v>
      </c>
      <c r="BT42" s="421">
        <f t="shared" si="95"/>
        <v>0</v>
      </c>
      <c r="BU42" s="421">
        <f t="shared" si="96"/>
        <v>548556</v>
      </c>
      <c r="BV42" s="421">
        <f t="shared" si="96"/>
        <v>16229</v>
      </c>
      <c r="BW42" s="421">
        <f>R42+AY42</f>
        <v>9170</v>
      </c>
      <c r="BX42" s="422">
        <f>S42+BM42</f>
        <v>4.87</v>
      </c>
      <c r="BY42" s="422">
        <f t="shared" si="97"/>
        <v>0</v>
      </c>
      <c r="BZ42" s="611">
        <f t="shared" si="97"/>
        <v>4.87</v>
      </c>
      <c r="CA42" s="423"/>
      <c r="CB42" s="418"/>
      <c r="CC42" s="418"/>
      <c r="CD42" s="418"/>
      <c r="CE42" s="418"/>
      <c r="CF42" s="527"/>
    </row>
    <row r="43" spans="1:84" s="222" customFormat="1" x14ac:dyDescent="0.2">
      <c r="A43" s="155">
        <v>8</v>
      </c>
      <c r="B43" s="18">
        <v>4404</v>
      </c>
      <c r="C43" s="18">
        <v>600074331</v>
      </c>
      <c r="D43" s="18">
        <v>831298</v>
      </c>
      <c r="E43" s="164" t="s">
        <v>161</v>
      </c>
      <c r="F43" s="18"/>
      <c r="G43" s="154"/>
      <c r="H43" s="685"/>
      <c r="I43" s="458">
        <f t="shared" ref="I43:BU43" si="98">SUM(I40:I42)</f>
        <v>24082814</v>
      </c>
      <c r="J43" s="451">
        <f t="shared" si="98"/>
        <v>17804469</v>
      </c>
      <c r="K43" s="451">
        <f t="shared" si="98"/>
        <v>14739372</v>
      </c>
      <c r="L43" s="451">
        <f t="shared" si="98"/>
        <v>3065097</v>
      </c>
      <c r="M43" s="451">
        <f t="shared" si="98"/>
        <v>0</v>
      </c>
      <c r="N43" s="451">
        <f t="shared" si="98"/>
        <v>0</v>
      </c>
      <c r="O43" s="451">
        <f t="shared" si="98"/>
        <v>0</v>
      </c>
      <c r="P43" s="451">
        <f t="shared" si="98"/>
        <v>6017910</v>
      </c>
      <c r="Q43" s="451">
        <f t="shared" si="98"/>
        <v>178044</v>
      </c>
      <c r="R43" s="451">
        <f t="shared" si="98"/>
        <v>82391</v>
      </c>
      <c r="S43" s="452">
        <f t="shared" si="98"/>
        <v>35.943399999999997</v>
      </c>
      <c r="T43" s="452">
        <f t="shared" si="98"/>
        <v>26</v>
      </c>
      <c r="U43" s="39">
        <f t="shared" si="98"/>
        <v>9.9434000000000005</v>
      </c>
      <c r="V43" s="458">
        <f t="shared" si="98"/>
        <v>0</v>
      </c>
      <c r="W43" s="451">
        <f t="shared" si="98"/>
        <v>0</v>
      </c>
      <c r="X43" s="451">
        <f t="shared" si="98"/>
        <v>828124</v>
      </c>
      <c r="Y43" s="451">
        <f t="shared" si="98"/>
        <v>0</v>
      </c>
      <c r="Z43" s="451">
        <f t="shared" si="98"/>
        <v>0</v>
      </c>
      <c r="AA43" s="451">
        <f t="shared" si="98"/>
        <v>0</v>
      </c>
      <c r="AB43" s="451">
        <f t="shared" si="98"/>
        <v>0</v>
      </c>
      <c r="AC43" s="451">
        <f t="shared" si="98"/>
        <v>0</v>
      </c>
      <c r="AD43" s="451">
        <f t="shared" si="98"/>
        <v>0</v>
      </c>
      <c r="AE43" s="451">
        <f t="shared" si="98"/>
        <v>0</v>
      </c>
      <c r="AF43" s="451">
        <f t="shared" si="98"/>
        <v>828124</v>
      </c>
      <c r="AG43" s="451">
        <f t="shared" si="98"/>
        <v>0</v>
      </c>
      <c r="AH43" s="451">
        <f t="shared" si="98"/>
        <v>828124</v>
      </c>
      <c r="AI43" s="451">
        <f t="shared" si="98"/>
        <v>0</v>
      </c>
      <c r="AJ43" s="451">
        <f t="shared" si="98"/>
        <v>0</v>
      </c>
      <c r="AK43" s="451">
        <f t="shared" ref="AK43" si="99">SUM(AK40:AK42)</f>
        <v>0</v>
      </c>
      <c r="AL43" s="451">
        <f t="shared" si="98"/>
        <v>0</v>
      </c>
      <c r="AM43" s="451">
        <f t="shared" si="98"/>
        <v>0</v>
      </c>
      <c r="AN43" s="451">
        <f t="shared" si="98"/>
        <v>0</v>
      </c>
      <c r="AO43" s="451">
        <f t="shared" si="98"/>
        <v>0</v>
      </c>
      <c r="AP43" s="451">
        <f t="shared" si="98"/>
        <v>0</v>
      </c>
      <c r="AQ43" s="451">
        <f t="shared" si="98"/>
        <v>0</v>
      </c>
      <c r="AR43" s="451">
        <f t="shared" si="98"/>
        <v>828124</v>
      </c>
      <c r="AS43" s="451">
        <f t="shared" si="98"/>
        <v>0</v>
      </c>
      <c r="AT43" s="451">
        <f t="shared" si="98"/>
        <v>828124</v>
      </c>
      <c r="AU43" s="451">
        <f t="shared" si="98"/>
        <v>279906</v>
      </c>
      <c r="AV43" s="451">
        <f t="shared" si="98"/>
        <v>8281</v>
      </c>
      <c r="AW43" s="451">
        <f t="shared" si="98"/>
        <v>0</v>
      </c>
      <c r="AX43" s="451">
        <f t="shared" si="98"/>
        <v>0</v>
      </c>
      <c r="AY43" s="451">
        <f t="shared" si="98"/>
        <v>0</v>
      </c>
      <c r="AZ43" s="451">
        <f t="shared" si="98"/>
        <v>1116311</v>
      </c>
      <c r="BA43" s="452">
        <f t="shared" si="98"/>
        <v>0</v>
      </c>
      <c r="BB43" s="452">
        <f t="shared" si="98"/>
        <v>0</v>
      </c>
      <c r="BC43" s="452">
        <f t="shared" si="98"/>
        <v>2.5</v>
      </c>
      <c r="BD43" s="452">
        <f t="shared" si="98"/>
        <v>0</v>
      </c>
      <c r="BE43" s="452">
        <f t="shared" si="98"/>
        <v>0</v>
      </c>
      <c r="BF43" s="452">
        <f t="shared" si="98"/>
        <v>0</v>
      </c>
      <c r="BG43" s="452">
        <f t="shared" si="98"/>
        <v>0</v>
      </c>
      <c r="BH43" s="452">
        <f t="shared" si="98"/>
        <v>0</v>
      </c>
      <c r="BI43" s="452">
        <f t="shared" si="98"/>
        <v>0</v>
      </c>
      <c r="BJ43" s="452">
        <f t="shared" si="98"/>
        <v>0</v>
      </c>
      <c r="BK43" s="452">
        <f t="shared" si="98"/>
        <v>2.5</v>
      </c>
      <c r="BL43" s="452">
        <f t="shared" si="98"/>
        <v>0</v>
      </c>
      <c r="BM43" s="456">
        <f t="shared" si="98"/>
        <v>2.5</v>
      </c>
      <c r="BN43" s="454">
        <f t="shared" si="98"/>
        <v>25199125</v>
      </c>
      <c r="BO43" s="451">
        <f t="shared" si="98"/>
        <v>18632593</v>
      </c>
      <c r="BP43" s="451">
        <f t="shared" si="98"/>
        <v>15567496</v>
      </c>
      <c r="BQ43" s="451">
        <f t="shared" si="98"/>
        <v>3065097</v>
      </c>
      <c r="BR43" s="451">
        <f t="shared" si="98"/>
        <v>0</v>
      </c>
      <c r="BS43" s="451">
        <f t="shared" si="98"/>
        <v>0</v>
      </c>
      <c r="BT43" s="451">
        <f t="shared" si="98"/>
        <v>0</v>
      </c>
      <c r="BU43" s="451">
        <f t="shared" si="98"/>
        <v>6297816</v>
      </c>
      <c r="BV43" s="451">
        <f t="shared" ref="BV43:CF43" si="100">SUM(BV40:BV42)</f>
        <v>186325</v>
      </c>
      <c r="BW43" s="451">
        <f t="shared" si="100"/>
        <v>82391</v>
      </c>
      <c r="BX43" s="452">
        <f t="shared" si="100"/>
        <v>38.443399999999997</v>
      </c>
      <c r="BY43" s="452">
        <f t="shared" si="100"/>
        <v>28.5</v>
      </c>
      <c r="BZ43" s="456">
        <f t="shared" si="100"/>
        <v>9.9434000000000005</v>
      </c>
      <c r="CA43" s="854">
        <f t="shared" si="100"/>
        <v>0</v>
      </c>
      <c r="CB43" s="852">
        <f t="shared" si="100"/>
        <v>0</v>
      </c>
      <c r="CC43" s="852">
        <f t="shared" si="100"/>
        <v>0</v>
      </c>
      <c r="CD43" s="852">
        <f t="shared" si="100"/>
        <v>0</v>
      </c>
      <c r="CE43" s="852">
        <f t="shared" si="100"/>
        <v>0</v>
      </c>
      <c r="CF43" s="848">
        <f t="shared" si="100"/>
        <v>0</v>
      </c>
    </row>
    <row r="44" spans="1:84" s="222" customFormat="1" x14ac:dyDescent="0.2">
      <c r="A44" s="210">
        <v>9</v>
      </c>
      <c r="B44" s="211">
        <v>4480</v>
      </c>
      <c r="C44" s="211">
        <v>600075249</v>
      </c>
      <c r="D44" s="211">
        <v>49864548</v>
      </c>
      <c r="E44" s="209" t="s">
        <v>162</v>
      </c>
      <c r="F44" s="211">
        <v>3141</v>
      </c>
      <c r="G44" s="165" t="s">
        <v>295</v>
      </c>
      <c r="H44" s="699" t="s">
        <v>272</v>
      </c>
      <c r="I44" s="528">
        <f>J44+P44+Q44+R44</f>
        <v>2495972</v>
      </c>
      <c r="J44" s="418">
        <f>K44+L44</f>
        <v>1836374</v>
      </c>
      <c r="K44" s="418">
        <v>0</v>
      </c>
      <c r="L44" s="418">
        <v>1836374</v>
      </c>
      <c r="M44" s="418">
        <f>N44+O44</f>
        <v>0</v>
      </c>
      <c r="N44" s="418"/>
      <c r="O44" s="418"/>
      <c r="P44" s="68">
        <f>ROUND(J44*33.8%,0)</f>
        <v>620694</v>
      </c>
      <c r="Q44" s="68">
        <f>ROUND(J44*1%,0)</f>
        <v>18364</v>
      </c>
      <c r="R44" s="418">
        <v>20540</v>
      </c>
      <c r="S44" s="419">
        <f>T44+U44</f>
        <v>5.51</v>
      </c>
      <c r="T44" s="420">
        <v>0</v>
      </c>
      <c r="U44" s="527">
        <v>5.51</v>
      </c>
      <c r="V44" s="427">
        <f>AI44*-1</f>
        <v>0</v>
      </c>
      <c r="W44" s="421">
        <f>AJ44*-1</f>
        <v>0</v>
      </c>
      <c r="X44" s="421">
        <v>0</v>
      </c>
      <c r="Y44" s="421">
        <v>0</v>
      </c>
      <c r="Z44" s="421">
        <v>0</v>
      </c>
      <c r="AA44" s="421">
        <v>0</v>
      </c>
      <c r="AB44" s="421">
        <v>0</v>
      </c>
      <c r="AC44" s="421">
        <v>0</v>
      </c>
      <c r="AD44" s="421">
        <v>0</v>
      </c>
      <c r="AE44" s="421">
        <v>231213</v>
      </c>
      <c r="AF44" s="421">
        <f>V44+X44+Y44+AA44+AB44+AD44</f>
        <v>0</v>
      </c>
      <c r="AG44" s="421">
        <f>W44+Z44+AC44+AE44</f>
        <v>231213</v>
      </c>
      <c r="AH44" s="421">
        <f>SUM(AF44:AG44)</f>
        <v>231213</v>
      </c>
      <c r="AI44" s="421">
        <v>0</v>
      </c>
      <c r="AJ44" s="421">
        <v>0</v>
      </c>
      <c r="AK44" s="421">
        <v>0</v>
      </c>
      <c r="AL44" s="421">
        <v>0</v>
      </c>
      <c r="AM44" s="421">
        <v>0</v>
      </c>
      <c r="AN44" s="421">
        <v>0</v>
      </c>
      <c r="AO44" s="421">
        <f>AI44+AK44+AL44+AM44</f>
        <v>0</v>
      </c>
      <c r="AP44" s="421">
        <f>AJ44+AN44</f>
        <v>0</v>
      </c>
      <c r="AQ44" s="421">
        <f>SUM(AO44:AP44)</f>
        <v>0</v>
      </c>
      <c r="AR44" s="421">
        <f>AF44+AO44</f>
        <v>0</v>
      </c>
      <c r="AS44" s="421">
        <f>AG44+AP44</f>
        <v>231213</v>
      </c>
      <c r="AT44" s="421">
        <f>SUM(AR44:AS44)</f>
        <v>231213</v>
      </c>
      <c r="AU44" s="68">
        <f>ROUND((AH44+AI44+AJ44+AK44+AL44)*33.8%,0)</f>
        <v>78150</v>
      </c>
      <c r="AV44" s="68">
        <f>ROUND(AH44*1%,0)</f>
        <v>2312</v>
      </c>
      <c r="AW44" s="421">
        <v>0</v>
      </c>
      <c r="AX44" s="421">
        <v>0</v>
      </c>
      <c r="AY44" s="421">
        <f>AW44+AX44</f>
        <v>0</v>
      </c>
      <c r="AZ44" s="421">
        <f>AT44+AU44+AV44+AY44</f>
        <v>311675</v>
      </c>
      <c r="BA44" s="422">
        <v>0</v>
      </c>
      <c r="BB44" s="422">
        <v>0</v>
      </c>
      <c r="BC44" s="422">
        <v>0</v>
      </c>
      <c r="BD44" s="422">
        <v>0</v>
      </c>
      <c r="BE44" s="422">
        <v>0</v>
      </c>
      <c r="BF44" s="422">
        <v>0</v>
      </c>
      <c r="BG44" s="422">
        <v>0</v>
      </c>
      <c r="BH44" s="422">
        <v>0</v>
      </c>
      <c r="BI44" s="422">
        <v>0</v>
      </c>
      <c r="BJ44" s="422">
        <v>0.69</v>
      </c>
      <c r="BK44" s="422">
        <f>BA44+BC44+BD44+BF44+BH44+BI44</f>
        <v>0</v>
      </c>
      <c r="BL44" s="422">
        <f>BB44+BE44+BG44+BJ44</f>
        <v>0.69</v>
      </c>
      <c r="BM44" s="611">
        <f>SUM(BK44:BL44)</f>
        <v>0.69</v>
      </c>
      <c r="BN44" s="428">
        <f>I44+AZ44</f>
        <v>2807647</v>
      </c>
      <c r="BO44" s="421">
        <f>J44+AH44</f>
        <v>2067587</v>
      </c>
      <c r="BP44" s="421">
        <f>K44+AF44</f>
        <v>0</v>
      </c>
      <c r="BQ44" s="421">
        <f>L44+AG44</f>
        <v>2067587</v>
      </c>
      <c r="BR44" s="421">
        <f>M44+AQ44</f>
        <v>0</v>
      </c>
      <c r="BS44" s="421">
        <f>N44+AO44</f>
        <v>0</v>
      </c>
      <c r="BT44" s="421">
        <f>O44+AP44</f>
        <v>0</v>
      </c>
      <c r="BU44" s="421">
        <f>P44+AU44</f>
        <v>698844</v>
      </c>
      <c r="BV44" s="421">
        <f>Q44+AV44</f>
        <v>20676</v>
      </c>
      <c r="BW44" s="421">
        <f>R44+AY44</f>
        <v>20540</v>
      </c>
      <c r="BX44" s="422">
        <f>S44+BM44</f>
        <v>6.1999999999999993</v>
      </c>
      <c r="BY44" s="422">
        <f>T44+BK44</f>
        <v>0</v>
      </c>
      <c r="BZ44" s="611">
        <f>U44+BL44</f>
        <v>6.1999999999999993</v>
      </c>
      <c r="CA44" s="423"/>
      <c r="CB44" s="418"/>
      <c r="CC44" s="418"/>
      <c r="CD44" s="418"/>
      <c r="CE44" s="418"/>
      <c r="CF44" s="527"/>
    </row>
    <row r="45" spans="1:84" s="222" customFormat="1" x14ac:dyDescent="0.2">
      <c r="A45" s="155">
        <v>9</v>
      </c>
      <c r="B45" s="18">
        <v>4480</v>
      </c>
      <c r="C45" s="18">
        <v>600075249</v>
      </c>
      <c r="D45" s="18">
        <v>49864548</v>
      </c>
      <c r="E45" s="164" t="s">
        <v>163</v>
      </c>
      <c r="F45" s="18"/>
      <c r="G45" s="154"/>
      <c r="H45" s="685"/>
      <c r="I45" s="458">
        <f t="shared" ref="I45:BU45" si="101">SUM(I44)</f>
        <v>2495972</v>
      </c>
      <c r="J45" s="451">
        <f t="shared" si="101"/>
        <v>1836374</v>
      </c>
      <c r="K45" s="451">
        <f t="shared" si="101"/>
        <v>0</v>
      </c>
      <c r="L45" s="451">
        <f t="shared" si="101"/>
        <v>1836374</v>
      </c>
      <c r="M45" s="451">
        <f t="shared" si="101"/>
        <v>0</v>
      </c>
      <c r="N45" s="451">
        <f t="shared" si="101"/>
        <v>0</v>
      </c>
      <c r="O45" s="451">
        <f t="shared" si="101"/>
        <v>0</v>
      </c>
      <c r="P45" s="451">
        <f t="shared" si="101"/>
        <v>620694</v>
      </c>
      <c r="Q45" s="451">
        <f t="shared" si="101"/>
        <v>18364</v>
      </c>
      <c r="R45" s="451">
        <f t="shared" si="101"/>
        <v>20540</v>
      </c>
      <c r="S45" s="452">
        <f t="shared" si="101"/>
        <v>5.51</v>
      </c>
      <c r="T45" s="452">
        <f t="shared" si="101"/>
        <v>0</v>
      </c>
      <c r="U45" s="39">
        <f t="shared" si="101"/>
        <v>5.51</v>
      </c>
      <c r="V45" s="458">
        <f t="shared" si="101"/>
        <v>0</v>
      </c>
      <c r="W45" s="451">
        <f t="shared" si="101"/>
        <v>0</v>
      </c>
      <c r="X45" s="451">
        <f t="shared" si="101"/>
        <v>0</v>
      </c>
      <c r="Y45" s="451">
        <f t="shared" si="101"/>
        <v>0</v>
      </c>
      <c r="Z45" s="451">
        <f t="shared" si="101"/>
        <v>0</v>
      </c>
      <c r="AA45" s="451">
        <f t="shared" si="101"/>
        <v>0</v>
      </c>
      <c r="AB45" s="451">
        <f t="shared" si="101"/>
        <v>0</v>
      </c>
      <c r="AC45" s="451">
        <f t="shared" si="101"/>
        <v>0</v>
      </c>
      <c r="AD45" s="451">
        <f t="shared" si="101"/>
        <v>0</v>
      </c>
      <c r="AE45" s="451">
        <f t="shared" si="101"/>
        <v>231213</v>
      </c>
      <c r="AF45" s="451">
        <f t="shared" si="101"/>
        <v>0</v>
      </c>
      <c r="AG45" s="451">
        <f t="shared" si="101"/>
        <v>231213</v>
      </c>
      <c r="AH45" s="451">
        <f t="shared" si="101"/>
        <v>231213</v>
      </c>
      <c r="AI45" s="451">
        <f t="shared" si="101"/>
        <v>0</v>
      </c>
      <c r="AJ45" s="451">
        <f t="shared" si="101"/>
        <v>0</v>
      </c>
      <c r="AK45" s="451">
        <f t="shared" ref="AK45" si="102">SUM(AK44)</f>
        <v>0</v>
      </c>
      <c r="AL45" s="451">
        <f t="shared" si="101"/>
        <v>0</v>
      </c>
      <c r="AM45" s="451">
        <f t="shared" si="101"/>
        <v>0</v>
      </c>
      <c r="AN45" s="451">
        <f t="shared" si="101"/>
        <v>0</v>
      </c>
      <c r="AO45" s="451">
        <f t="shared" si="101"/>
        <v>0</v>
      </c>
      <c r="AP45" s="451">
        <f t="shared" si="101"/>
        <v>0</v>
      </c>
      <c r="AQ45" s="451">
        <f t="shared" si="101"/>
        <v>0</v>
      </c>
      <c r="AR45" s="451">
        <f t="shared" si="101"/>
        <v>0</v>
      </c>
      <c r="AS45" s="451">
        <f t="shared" si="101"/>
        <v>231213</v>
      </c>
      <c r="AT45" s="451">
        <f t="shared" si="101"/>
        <v>231213</v>
      </c>
      <c r="AU45" s="451">
        <f t="shared" si="101"/>
        <v>78150</v>
      </c>
      <c r="AV45" s="451">
        <f t="shared" si="101"/>
        <v>2312</v>
      </c>
      <c r="AW45" s="451">
        <f t="shared" si="101"/>
        <v>0</v>
      </c>
      <c r="AX45" s="451">
        <f t="shared" si="101"/>
        <v>0</v>
      </c>
      <c r="AY45" s="451">
        <f t="shared" si="101"/>
        <v>0</v>
      </c>
      <c r="AZ45" s="451">
        <f t="shared" si="101"/>
        <v>311675</v>
      </c>
      <c r="BA45" s="452">
        <f t="shared" si="101"/>
        <v>0</v>
      </c>
      <c r="BB45" s="452">
        <f t="shared" si="101"/>
        <v>0</v>
      </c>
      <c r="BC45" s="452">
        <f t="shared" si="101"/>
        <v>0</v>
      </c>
      <c r="BD45" s="452">
        <f t="shared" si="101"/>
        <v>0</v>
      </c>
      <c r="BE45" s="452">
        <f t="shared" si="101"/>
        <v>0</v>
      </c>
      <c r="BF45" s="452">
        <f t="shared" si="101"/>
        <v>0</v>
      </c>
      <c r="BG45" s="452">
        <f t="shared" si="101"/>
        <v>0</v>
      </c>
      <c r="BH45" s="452">
        <f t="shared" si="101"/>
        <v>0</v>
      </c>
      <c r="BI45" s="452">
        <f t="shared" si="101"/>
        <v>0</v>
      </c>
      <c r="BJ45" s="452">
        <f t="shared" si="101"/>
        <v>0.69</v>
      </c>
      <c r="BK45" s="452">
        <f t="shared" si="101"/>
        <v>0</v>
      </c>
      <c r="BL45" s="452">
        <f t="shared" si="101"/>
        <v>0.69</v>
      </c>
      <c r="BM45" s="456">
        <f t="shared" si="101"/>
        <v>0.69</v>
      </c>
      <c r="BN45" s="454">
        <f t="shared" si="101"/>
        <v>2807647</v>
      </c>
      <c r="BO45" s="451">
        <f t="shared" si="101"/>
        <v>2067587</v>
      </c>
      <c r="BP45" s="451">
        <f t="shared" si="101"/>
        <v>0</v>
      </c>
      <c r="BQ45" s="451">
        <f t="shared" si="101"/>
        <v>2067587</v>
      </c>
      <c r="BR45" s="451">
        <f t="shared" si="101"/>
        <v>0</v>
      </c>
      <c r="BS45" s="451">
        <f t="shared" si="101"/>
        <v>0</v>
      </c>
      <c r="BT45" s="451">
        <f t="shared" si="101"/>
        <v>0</v>
      </c>
      <c r="BU45" s="451">
        <f t="shared" si="101"/>
        <v>698844</v>
      </c>
      <c r="BV45" s="451">
        <f t="shared" ref="BV45:CF45" si="103">SUM(BV44)</f>
        <v>20676</v>
      </c>
      <c r="BW45" s="451">
        <f t="shared" si="103"/>
        <v>20540</v>
      </c>
      <c r="BX45" s="452">
        <f t="shared" si="103"/>
        <v>6.1999999999999993</v>
      </c>
      <c r="BY45" s="452">
        <f t="shared" si="103"/>
        <v>0</v>
      </c>
      <c r="BZ45" s="456">
        <f t="shared" si="103"/>
        <v>6.1999999999999993</v>
      </c>
      <c r="CA45" s="854">
        <f t="shared" si="103"/>
        <v>0</v>
      </c>
      <c r="CB45" s="852">
        <f t="shared" si="103"/>
        <v>0</v>
      </c>
      <c r="CC45" s="852">
        <f t="shared" si="103"/>
        <v>0</v>
      </c>
      <c r="CD45" s="852">
        <f t="shared" si="103"/>
        <v>0</v>
      </c>
      <c r="CE45" s="852">
        <f t="shared" si="103"/>
        <v>0</v>
      </c>
      <c r="CF45" s="848">
        <f t="shared" si="103"/>
        <v>0</v>
      </c>
    </row>
    <row r="46" spans="1:84" s="222" customFormat="1" x14ac:dyDescent="0.2">
      <c r="A46" s="210">
        <v>10</v>
      </c>
      <c r="B46" s="211">
        <v>4439</v>
      </c>
      <c r="C46" s="211">
        <v>600074951</v>
      </c>
      <c r="D46" s="211">
        <v>48283088</v>
      </c>
      <c r="E46" s="209" t="s">
        <v>164</v>
      </c>
      <c r="F46" s="211">
        <v>3111</v>
      </c>
      <c r="G46" s="165" t="s">
        <v>291</v>
      </c>
      <c r="H46" s="699" t="s">
        <v>271</v>
      </c>
      <c r="I46" s="528">
        <f t="shared" ref="I46:I51" si="104">J46+P46+Q46+R46</f>
        <v>4944569</v>
      </c>
      <c r="J46" s="418">
        <f t="shared" ref="J46:J51" si="105">K46+L46</f>
        <v>3654807</v>
      </c>
      <c r="K46" s="418">
        <v>3455103</v>
      </c>
      <c r="L46" s="418">
        <v>199704</v>
      </c>
      <c r="M46" s="418">
        <f t="shared" ref="M46:M51" si="106">N46+O46</f>
        <v>0</v>
      </c>
      <c r="N46" s="418"/>
      <c r="O46" s="418"/>
      <c r="P46" s="68">
        <f t="shared" ref="P46:P51" si="107">ROUND(J46*33.8%,0)</f>
        <v>1235325</v>
      </c>
      <c r="Q46" s="68">
        <f t="shared" ref="Q46:Q51" si="108">ROUND(J46*1%,0)</f>
        <v>36548</v>
      </c>
      <c r="R46" s="418">
        <v>17889</v>
      </c>
      <c r="S46" s="419">
        <f t="shared" ref="S46:S51" si="109">T46+U46</f>
        <v>6.8001000000000005</v>
      </c>
      <c r="T46" s="420">
        <v>6</v>
      </c>
      <c r="U46" s="527">
        <v>0.80010000000000003</v>
      </c>
      <c r="V46" s="427">
        <f t="shared" ref="V46:W51" si="110">AI46*-1</f>
        <v>0</v>
      </c>
      <c r="W46" s="421">
        <f t="shared" si="110"/>
        <v>0</v>
      </c>
      <c r="X46" s="421">
        <v>0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 t="shared" ref="AF46:AF51" si="111">V46+X46+Y46+AA46+AB46+AD46</f>
        <v>0</v>
      </c>
      <c r="AG46" s="421">
        <f t="shared" ref="AG46:AG51" si="112">W46+Z46+AC46+AE46</f>
        <v>0</v>
      </c>
      <c r="AH46" s="421">
        <f t="shared" ref="AH46:AH51" si="113">SUM(AF46:AG46)</f>
        <v>0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ref="AO46:AO51" si="114">AI46+AK46+AL46+AM46</f>
        <v>0</v>
      </c>
      <c r="AP46" s="421">
        <f t="shared" ref="AP46:AP51" si="115">AJ46+AN46</f>
        <v>0</v>
      </c>
      <c r="AQ46" s="421">
        <f t="shared" ref="AQ46:AQ51" si="116">SUM(AO46:AP46)</f>
        <v>0</v>
      </c>
      <c r="AR46" s="421">
        <f t="shared" ref="AR46:AS51" si="117">AF46+AO46</f>
        <v>0</v>
      </c>
      <c r="AS46" s="421">
        <f t="shared" si="117"/>
        <v>0</v>
      </c>
      <c r="AT46" s="421">
        <f t="shared" ref="AT46:AT51" si="118">SUM(AR46:AS46)</f>
        <v>0</v>
      </c>
      <c r="AU46" s="68">
        <f t="shared" ref="AU46:AU51" si="119">ROUND((AH46+AI46+AJ46+AK46+AL46)*33.8%,0)</f>
        <v>0</v>
      </c>
      <c r="AV46" s="68">
        <f t="shared" ref="AV46:AV51" si="120">ROUND(AH46*1%,0)</f>
        <v>0</v>
      </c>
      <c r="AW46" s="421">
        <v>0</v>
      </c>
      <c r="AX46" s="421">
        <v>0</v>
      </c>
      <c r="AY46" s="421">
        <f t="shared" ref="AY46:AY51" si="121">AW46+AX46</f>
        <v>0</v>
      </c>
      <c r="AZ46" s="421">
        <f t="shared" ref="AZ46:AZ51" si="122">AT46+AU46+AV46+AY46</f>
        <v>0</v>
      </c>
      <c r="BA46" s="422">
        <v>0</v>
      </c>
      <c r="BB46" s="422">
        <v>0</v>
      </c>
      <c r="BC46" s="422">
        <v>0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 t="shared" ref="BK46:BK51" si="123">BA46+BC46+BD46+BF46+BH46+BI46</f>
        <v>0</v>
      </c>
      <c r="BL46" s="422">
        <f t="shared" ref="BL46:BL51" si="124">BB46+BE46+BG46+BJ46</f>
        <v>0</v>
      </c>
      <c r="BM46" s="611">
        <f t="shared" ref="BM46:BM51" si="125">SUM(BK46:BL46)</f>
        <v>0</v>
      </c>
      <c r="BN46" s="428">
        <f t="shared" ref="BN46:BN51" si="126">I46+AZ46</f>
        <v>4944569</v>
      </c>
      <c r="BO46" s="421">
        <f t="shared" ref="BO46:BO51" si="127">J46+AH46</f>
        <v>3654807</v>
      </c>
      <c r="BP46" s="421">
        <f t="shared" ref="BP46:BQ51" si="128">K46+AF46</f>
        <v>3455103</v>
      </c>
      <c r="BQ46" s="421">
        <f t="shared" si="128"/>
        <v>199704</v>
      </c>
      <c r="BR46" s="421">
        <f t="shared" ref="BR46:BR51" si="129">M46+AQ46</f>
        <v>0</v>
      </c>
      <c r="BS46" s="421">
        <f t="shared" ref="BS46:BT51" si="130">N46+AO46</f>
        <v>0</v>
      </c>
      <c r="BT46" s="421">
        <f t="shared" si="130"/>
        <v>0</v>
      </c>
      <c r="BU46" s="421">
        <f t="shared" ref="BU46:BV51" si="131">P46+AU46</f>
        <v>1235325</v>
      </c>
      <c r="BV46" s="421">
        <f t="shared" si="131"/>
        <v>36548</v>
      </c>
      <c r="BW46" s="421">
        <f t="shared" ref="BW46:BW51" si="132">R46+AY46</f>
        <v>17889</v>
      </c>
      <c r="BX46" s="422">
        <f t="shared" ref="BX46:BX51" si="133">S46+BM46</f>
        <v>6.8001000000000005</v>
      </c>
      <c r="BY46" s="422">
        <f t="shared" ref="BY46:BZ51" si="134">T46+BK46</f>
        <v>6</v>
      </c>
      <c r="BZ46" s="611">
        <f t="shared" si="134"/>
        <v>0.80010000000000003</v>
      </c>
      <c r="CA46" s="423"/>
      <c r="CB46" s="418"/>
      <c r="CC46" s="418"/>
      <c r="CD46" s="418"/>
      <c r="CE46" s="418"/>
      <c r="CF46" s="527"/>
    </row>
    <row r="47" spans="1:84" s="222" customFormat="1" x14ac:dyDescent="0.2">
      <c r="A47" s="210">
        <v>10</v>
      </c>
      <c r="B47" s="211">
        <v>4439</v>
      </c>
      <c r="C47" s="211">
        <v>600074951</v>
      </c>
      <c r="D47" s="211">
        <v>48283088</v>
      </c>
      <c r="E47" s="209" t="s">
        <v>164</v>
      </c>
      <c r="F47" s="211">
        <v>3113</v>
      </c>
      <c r="G47" s="165" t="s">
        <v>294</v>
      </c>
      <c r="H47" s="699" t="s">
        <v>271</v>
      </c>
      <c r="I47" s="528">
        <f t="shared" si="104"/>
        <v>24112897</v>
      </c>
      <c r="J47" s="418">
        <f t="shared" si="105"/>
        <v>17640073</v>
      </c>
      <c r="K47" s="418">
        <v>16177270</v>
      </c>
      <c r="L47" s="418">
        <v>1462803</v>
      </c>
      <c r="M47" s="418">
        <f t="shared" si="106"/>
        <v>0</v>
      </c>
      <c r="N47" s="418"/>
      <c r="O47" s="418"/>
      <c r="P47" s="68">
        <f>ROUND(J47*33.8%,0)-1</f>
        <v>5962344</v>
      </c>
      <c r="Q47" s="68">
        <f>ROUND(J47*1%,0)-1</f>
        <v>176400</v>
      </c>
      <c r="R47" s="418">
        <v>334080</v>
      </c>
      <c r="S47" s="419">
        <f t="shared" si="109"/>
        <v>29.071800000000003</v>
      </c>
      <c r="T47" s="420">
        <v>24.772400000000001</v>
      </c>
      <c r="U47" s="527">
        <v>4.2994000000000003</v>
      </c>
      <c r="V47" s="427">
        <f t="shared" si="110"/>
        <v>-19200</v>
      </c>
      <c r="W47" s="421">
        <f t="shared" si="110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 t="shared" si="111"/>
        <v>-19200</v>
      </c>
      <c r="AG47" s="421">
        <f t="shared" si="112"/>
        <v>0</v>
      </c>
      <c r="AH47" s="421">
        <f t="shared" si="113"/>
        <v>-19200</v>
      </c>
      <c r="AI47" s="421">
        <v>19200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14"/>
        <v>19200</v>
      </c>
      <c r="AP47" s="421">
        <f t="shared" si="115"/>
        <v>0</v>
      </c>
      <c r="AQ47" s="421">
        <f t="shared" si="116"/>
        <v>19200</v>
      </c>
      <c r="AR47" s="421">
        <f t="shared" si="117"/>
        <v>0</v>
      </c>
      <c r="AS47" s="421">
        <f t="shared" si="117"/>
        <v>0</v>
      </c>
      <c r="AT47" s="421">
        <f t="shared" si="118"/>
        <v>0</v>
      </c>
      <c r="AU47" s="68">
        <f t="shared" si="119"/>
        <v>0</v>
      </c>
      <c r="AV47" s="68">
        <f t="shared" si="120"/>
        <v>-192</v>
      </c>
      <c r="AW47" s="421">
        <v>0</v>
      </c>
      <c r="AX47" s="421">
        <v>0</v>
      </c>
      <c r="AY47" s="421">
        <f t="shared" si="121"/>
        <v>0</v>
      </c>
      <c r="AZ47" s="421">
        <f t="shared" si="122"/>
        <v>-192</v>
      </c>
      <c r="BA47" s="422">
        <v>-0.03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 t="shared" si="123"/>
        <v>-0.03</v>
      </c>
      <c r="BL47" s="422">
        <f t="shared" si="124"/>
        <v>0</v>
      </c>
      <c r="BM47" s="611">
        <f t="shared" si="125"/>
        <v>-0.03</v>
      </c>
      <c r="BN47" s="428">
        <f t="shared" si="126"/>
        <v>24112705</v>
      </c>
      <c r="BO47" s="421">
        <f t="shared" si="127"/>
        <v>17620873</v>
      </c>
      <c r="BP47" s="421">
        <f t="shared" si="128"/>
        <v>16158070</v>
      </c>
      <c r="BQ47" s="421">
        <f t="shared" si="128"/>
        <v>1462803</v>
      </c>
      <c r="BR47" s="421">
        <f t="shared" si="129"/>
        <v>19200</v>
      </c>
      <c r="BS47" s="421">
        <f t="shared" si="130"/>
        <v>19200</v>
      </c>
      <c r="BT47" s="421">
        <f t="shared" si="130"/>
        <v>0</v>
      </c>
      <c r="BU47" s="421">
        <f t="shared" si="131"/>
        <v>5962344</v>
      </c>
      <c r="BV47" s="421">
        <f t="shared" si="131"/>
        <v>176208</v>
      </c>
      <c r="BW47" s="421">
        <f t="shared" si="132"/>
        <v>334080</v>
      </c>
      <c r="BX47" s="422">
        <f t="shared" si="133"/>
        <v>29.041800000000002</v>
      </c>
      <c r="BY47" s="422">
        <f t="shared" si="134"/>
        <v>24.7424</v>
      </c>
      <c r="BZ47" s="611">
        <f t="shared" si="134"/>
        <v>4.2994000000000003</v>
      </c>
      <c r="CA47" s="423"/>
      <c r="CB47" s="418"/>
      <c r="CC47" s="418"/>
      <c r="CD47" s="418"/>
      <c r="CE47" s="418"/>
      <c r="CF47" s="527"/>
    </row>
    <row r="48" spans="1:84" s="222" customFormat="1" x14ac:dyDescent="0.2">
      <c r="A48" s="210">
        <v>10</v>
      </c>
      <c r="B48" s="211">
        <v>4439</v>
      </c>
      <c r="C48" s="211">
        <v>600074951</v>
      </c>
      <c r="D48" s="211">
        <v>48283088</v>
      </c>
      <c r="E48" s="209" t="s">
        <v>164</v>
      </c>
      <c r="F48" s="211">
        <v>3113</v>
      </c>
      <c r="G48" s="165" t="s">
        <v>292</v>
      </c>
      <c r="H48" s="699" t="s">
        <v>272</v>
      </c>
      <c r="I48" s="528">
        <f t="shared" si="104"/>
        <v>0</v>
      </c>
      <c r="J48" s="418">
        <f t="shared" si="105"/>
        <v>0</v>
      </c>
      <c r="K48" s="418">
        <v>0</v>
      </c>
      <c r="L48" s="418">
        <v>0</v>
      </c>
      <c r="M48" s="418">
        <f t="shared" si="106"/>
        <v>0</v>
      </c>
      <c r="N48" s="418"/>
      <c r="O48" s="418"/>
      <c r="P48" s="68">
        <f t="shared" si="107"/>
        <v>0</v>
      </c>
      <c r="Q48" s="68">
        <f t="shared" si="108"/>
        <v>0</v>
      </c>
      <c r="R48" s="418">
        <v>0</v>
      </c>
      <c r="S48" s="419">
        <f t="shared" si="109"/>
        <v>0</v>
      </c>
      <c r="T48" s="420">
        <v>0</v>
      </c>
      <c r="U48" s="527">
        <v>0</v>
      </c>
      <c r="V48" s="427">
        <f t="shared" si="110"/>
        <v>0</v>
      </c>
      <c r="W48" s="421">
        <f t="shared" si="110"/>
        <v>0</v>
      </c>
      <c r="X48" s="421">
        <v>2853132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 t="shared" si="111"/>
        <v>2853132</v>
      </c>
      <c r="AG48" s="421">
        <f t="shared" si="112"/>
        <v>0</v>
      </c>
      <c r="AH48" s="421">
        <f t="shared" si="113"/>
        <v>2853132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114"/>
        <v>0</v>
      </c>
      <c r="AP48" s="421">
        <f t="shared" si="115"/>
        <v>0</v>
      </c>
      <c r="AQ48" s="421">
        <f t="shared" si="116"/>
        <v>0</v>
      </c>
      <c r="AR48" s="421">
        <f t="shared" si="117"/>
        <v>2853132</v>
      </c>
      <c r="AS48" s="421">
        <f t="shared" si="117"/>
        <v>0</v>
      </c>
      <c r="AT48" s="421">
        <f t="shared" si="118"/>
        <v>2853132</v>
      </c>
      <c r="AU48" s="68">
        <f t="shared" si="119"/>
        <v>964359</v>
      </c>
      <c r="AV48" s="68">
        <f t="shared" si="120"/>
        <v>28531</v>
      </c>
      <c r="AW48" s="421">
        <v>0</v>
      </c>
      <c r="AX48" s="421">
        <v>0</v>
      </c>
      <c r="AY48" s="421">
        <f t="shared" si="121"/>
        <v>0</v>
      </c>
      <c r="AZ48" s="421">
        <f t="shared" si="122"/>
        <v>3846022</v>
      </c>
      <c r="BA48" s="422">
        <v>0</v>
      </c>
      <c r="BB48" s="422">
        <v>0</v>
      </c>
      <c r="BC48" s="422">
        <v>7.7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 t="shared" si="123"/>
        <v>7.7</v>
      </c>
      <c r="BL48" s="422">
        <f t="shared" si="124"/>
        <v>0</v>
      </c>
      <c r="BM48" s="611">
        <f t="shared" si="125"/>
        <v>7.7</v>
      </c>
      <c r="BN48" s="428">
        <f t="shared" si="126"/>
        <v>3846022</v>
      </c>
      <c r="BO48" s="421">
        <f t="shared" si="127"/>
        <v>2853132</v>
      </c>
      <c r="BP48" s="421">
        <f t="shared" si="128"/>
        <v>2853132</v>
      </c>
      <c r="BQ48" s="421">
        <f t="shared" si="128"/>
        <v>0</v>
      </c>
      <c r="BR48" s="421">
        <f t="shared" si="129"/>
        <v>0</v>
      </c>
      <c r="BS48" s="421">
        <f t="shared" si="130"/>
        <v>0</v>
      </c>
      <c r="BT48" s="421">
        <f t="shared" si="130"/>
        <v>0</v>
      </c>
      <c r="BU48" s="421">
        <f t="shared" si="131"/>
        <v>964359</v>
      </c>
      <c r="BV48" s="421">
        <f t="shared" si="131"/>
        <v>28531</v>
      </c>
      <c r="BW48" s="421">
        <f t="shared" si="132"/>
        <v>0</v>
      </c>
      <c r="BX48" s="422">
        <f t="shared" si="133"/>
        <v>7.7</v>
      </c>
      <c r="BY48" s="422">
        <f t="shared" si="134"/>
        <v>7.7</v>
      </c>
      <c r="BZ48" s="611">
        <f t="shared" si="134"/>
        <v>0</v>
      </c>
      <c r="CA48" s="423"/>
      <c r="CB48" s="418"/>
      <c r="CC48" s="418"/>
      <c r="CD48" s="418"/>
      <c r="CE48" s="418"/>
      <c r="CF48" s="527"/>
    </row>
    <row r="49" spans="1:84" s="222" customFormat="1" x14ac:dyDescent="0.2">
      <c r="A49" s="210">
        <v>10</v>
      </c>
      <c r="B49" s="211">
        <v>4439</v>
      </c>
      <c r="C49" s="211">
        <v>600074951</v>
      </c>
      <c r="D49" s="211">
        <v>48283088</v>
      </c>
      <c r="E49" s="209" t="s">
        <v>164</v>
      </c>
      <c r="F49" s="211">
        <v>3141</v>
      </c>
      <c r="G49" s="165" t="s">
        <v>295</v>
      </c>
      <c r="H49" s="699" t="s">
        <v>272</v>
      </c>
      <c r="I49" s="528">
        <f t="shared" si="104"/>
        <v>1770104</v>
      </c>
      <c r="J49" s="418">
        <f t="shared" si="105"/>
        <v>1305007</v>
      </c>
      <c r="K49" s="418">
        <v>0</v>
      </c>
      <c r="L49" s="418">
        <v>1305007</v>
      </c>
      <c r="M49" s="418">
        <f t="shared" si="106"/>
        <v>0</v>
      </c>
      <c r="N49" s="418"/>
      <c r="O49" s="418"/>
      <c r="P49" s="68">
        <f t="shared" si="107"/>
        <v>441092</v>
      </c>
      <c r="Q49" s="68">
        <f t="shared" si="108"/>
        <v>13050</v>
      </c>
      <c r="R49" s="418">
        <v>10955</v>
      </c>
      <c r="S49" s="419">
        <f t="shared" si="109"/>
        <v>3.91</v>
      </c>
      <c r="T49" s="420">
        <v>0</v>
      </c>
      <c r="U49" s="527">
        <v>3.91</v>
      </c>
      <c r="V49" s="427">
        <f t="shared" si="110"/>
        <v>0</v>
      </c>
      <c r="W49" s="421">
        <f t="shared" si="110"/>
        <v>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 t="shared" si="111"/>
        <v>0</v>
      </c>
      <c r="AG49" s="421">
        <f t="shared" si="112"/>
        <v>0</v>
      </c>
      <c r="AH49" s="421">
        <f t="shared" si="113"/>
        <v>0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114"/>
        <v>0</v>
      </c>
      <c r="AP49" s="421">
        <f t="shared" si="115"/>
        <v>0</v>
      </c>
      <c r="AQ49" s="421">
        <f t="shared" si="116"/>
        <v>0</v>
      </c>
      <c r="AR49" s="421">
        <f t="shared" si="117"/>
        <v>0</v>
      </c>
      <c r="AS49" s="421">
        <f t="shared" si="117"/>
        <v>0</v>
      </c>
      <c r="AT49" s="421">
        <f t="shared" si="118"/>
        <v>0</v>
      </c>
      <c r="AU49" s="68">
        <f t="shared" si="119"/>
        <v>0</v>
      </c>
      <c r="AV49" s="68">
        <f t="shared" si="120"/>
        <v>0</v>
      </c>
      <c r="AW49" s="421">
        <v>0</v>
      </c>
      <c r="AX49" s="421">
        <v>0</v>
      </c>
      <c r="AY49" s="421">
        <f t="shared" si="121"/>
        <v>0</v>
      </c>
      <c r="AZ49" s="421">
        <f t="shared" si="122"/>
        <v>0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 t="shared" si="123"/>
        <v>0</v>
      </c>
      <c r="BL49" s="422">
        <f t="shared" si="124"/>
        <v>0</v>
      </c>
      <c r="BM49" s="611">
        <f t="shared" si="125"/>
        <v>0</v>
      </c>
      <c r="BN49" s="428">
        <f t="shared" si="126"/>
        <v>1770104</v>
      </c>
      <c r="BO49" s="421">
        <f t="shared" si="127"/>
        <v>1305007</v>
      </c>
      <c r="BP49" s="421">
        <f t="shared" si="128"/>
        <v>0</v>
      </c>
      <c r="BQ49" s="421">
        <f t="shared" si="128"/>
        <v>1305007</v>
      </c>
      <c r="BR49" s="421">
        <f t="shared" si="129"/>
        <v>0</v>
      </c>
      <c r="BS49" s="421">
        <f t="shared" si="130"/>
        <v>0</v>
      </c>
      <c r="BT49" s="421">
        <f t="shared" si="130"/>
        <v>0</v>
      </c>
      <c r="BU49" s="421">
        <f t="shared" si="131"/>
        <v>441092</v>
      </c>
      <c r="BV49" s="421">
        <f t="shared" si="131"/>
        <v>13050</v>
      </c>
      <c r="BW49" s="421">
        <f t="shared" si="132"/>
        <v>10955</v>
      </c>
      <c r="BX49" s="422">
        <f t="shared" si="133"/>
        <v>3.91</v>
      </c>
      <c r="BY49" s="422">
        <f t="shared" si="134"/>
        <v>0</v>
      </c>
      <c r="BZ49" s="611">
        <f t="shared" si="134"/>
        <v>3.91</v>
      </c>
      <c r="CA49" s="423"/>
      <c r="CB49" s="418"/>
      <c r="CC49" s="418"/>
      <c r="CD49" s="418"/>
      <c r="CE49" s="418"/>
      <c r="CF49" s="527"/>
    </row>
    <row r="50" spans="1:84" s="222" customFormat="1" x14ac:dyDescent="0.2">
      <c r="A50" s="210">
        <v>10</v>
      </c>
      <c r="B50" s="211">
        <v>4439</v>
      </c>
      <c r="C50" s="211">
        <v>600074951</v>
      </c>
      <c r="D50" s="211">
        <v>48283088</v>
      </c>
      <c r="E50" s="209" t="s">
        <v>164</v>
      </c>
      <c r="F50" s="211">
        <v>3143</v>
      </c>
      <c r="G50" s="165" t="s">
        <v>596</v>
      </c>
      <c r="H50" s="686" t="s">
        <v>271</v>
      </c>
      <c r="I50" s="528">
        <f t="shared" si="104"/>
        <v>2453587</v>
      </c>
      <c r="J50" s="418">
        <f t="shared" si="105"/>
        <v>1820168</v>
      </c>
      <c r="K50" s="418">
        <v>1820168</v>
      </c>
      <c r="L50" s="418">
        <v>0</v>
      </c>
      <c r="M50" s="418">
        <f t="shared" si="106"/>
        <v>0</v>
      </c>
      <c r="N50" s="418"/>
      <c r="O50" s="418"/>
      <c r="P50" s="68">
        <f t="shared" si="107"/>
        <v>615217</v>
      </c>
      <c r="Q50" s="68">
        <f t="shared" si="108"/>
        <v>18202</v>
      </c>
      <c r="R50" s="418">
        <v>0</v>
      </c>
      <c r="S50" s="419">
        <f t="shared" si="109"/>
        <v>3.6785000000000001</v>
      </c>
      <c r="T50" s="420">
        <v>3.6785000000000001</v>
      </c>
      <c r="U50" s="527">
        <v>0</v>
      </c>
      <c r="V50" s="427">
        <f t="shared" si="110"/>
        <v>0</v>
      </c>
      <c r="W50" s="421">
        <f t="shared" si="110"/>
        <v>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 t="shared" si="111"/>
        <v>0</v>
      </c>
      <c r="AG50" s="421">
        <f t="shared" si="112"/>
        <v>0</v>
      </c>
      <c r="AH50" s="421">
        <f t="shared" si="113"/>
        <v>0</v>
      </c>
      <c r="AI50" s="421">
        <v>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14"/>
        <v>0</v>
      </c>
      <c r="AP50" s="421">
        <f t="shared" si="115"/>
        <v>0</v>
      </c>
      <c r="AQ50" s="421">
        <f t="shared" si="116"/>
        <v>0</v>
      </c>
      <c r="AR50" s="421">
        <f t="shared" si="117"/>
        <v>0</v>
      </c>
      <c r="AS50" s="421">
        <f t="shared" si="117"/>
        <v>0</v>
      </c>
      <c r="AT50" s="421">
        <f t="shared" si="118"/>
        <v>0</v>
      </c>
      <c r="AU50" s="68">
        <f t="shared" si="119"/>
        <v>0</v>
      </c>
      <c r="AV50" s="68">
        <f t="shared" si="120"/>
        <v>0</v>
      </c>
      <c r="AW50" s="421">
        <v>0</v>
      </c>
      <c r="AX50" s="421">
        <v>0</v>
      </c>
      <c r="AY50" s="421">
        <f t="shared" si="121"/>
        <v>0</v>
      </c>
      <c r="AZ50" s="421">
        <f t="shared" si="122"/>
        <v>0</v>
      </c>
      <c r="BA50" s="422">
        <v>0</v>
      </c>
      <c r="BB50" s="422">
        <v>0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 t="shared" si="123"/>
        <v>0</v>
      </c>
      <c r="BL50" s="422">
        <f t="shared" si="124"/>
        <v>0</v>
      </c>
      <c r="BM50" s="611">
        <f t="shared" si="125"/>
        <v>0</v>
      </c>
      <c r="BN50" s="428">
        <f t="shared" si="126"/>
        <v>2453587</v>
      </c>
      <c r="BO50" s="421">
        <f t="shared" si="127"/>
        <v>1820168</v>
      </c>
      <c r="BP50" s="421">
        <f t="shared" si="128"/>
        <v>1820168</v>
      </c>
      <c r="BQ50" s="421">
        <f t="shared" si="128"/>
        <v>0</v>
      </c>
      <c r="BR50" s="421">
        <f t="shared" si="129"/>
        <v>0</v>
      </c>
      <c r="BS50" s="421">
        <f t="shared" si="130"/>
        <v>0</v>
      </c>
      <c r="BT50" s="421">
        <f t="shared" si="130"/>
        <v>0</v>
      </c>
      <c r="BU50" s="421">
        <f t="shared" si="131"/>
        <v>615217</v>
      </c>
      <c r="BV50" s="421">
        <f t="shared" si="131"/>
        <v>18202</v>
      </c>
      <c r="BW50" s="421">
        <f t="shared" si="132"/>
        <v>0</v>
      </c>
      <c r="BX50" s="422">
        <f t="shared" si="133"/>
        <v>3.6785000000000001</v>
      </c>
      <c r="BY50" s="422">
        <f t="shared" si="134"/>
        <v>3.6785000000000001</v>
      </c>
      <c r="BZ50" s="611">
        <f t="shared" si="134"/>
        <v>0</v>
      </c>
      <c r="CA50" s="423"/>
      <c r="CB50" s="418"/>
      <c r="CC50" s="418"/>
      <c r="CD50" s="418"/>
      <c r="CE50" s="418"/>
      <c r="CF50" s="527"/>
    </row>
    <row r="51" spans="1:84" s="222" customFormat="1" x14ac:dyDescent="0.2">
      <c r="A51" s="210">
        <v>10</v>
      </c>
      <c r="B51" s="211">
        <v>4439</v>
      </c>
      <c r="C51" s="211">
        <v>600074951</v>
      </c>
      <c r="D51" s="211">
        <v>48283088</v>
      </c>
      <c r="E51" s="209" t="s">
        <v>164</v>
      </c>
      <c r="F51" s="211">
        <v>3143</v>
      </c>
      <c r="G51" s="165" t="s">
        <v>597</v>
      </c>
      <c r="H51" s="686" t="s">
        <v>272</v>
      </c>
      <c r="I51" s="528">
        <f t="shared" si="104"/>
        <v>54808</v>
      </c>
      <c r="J51" s="418">
        <f t="shared" si="105"/>
        <v>39230</v>
      </c>
      <c r="K51" s="418">
        <v>0</v>
      </c>
      <c r="L51" s="418">
        <v>39230</v>
      </c>
      <c r="M51" s="418">
        <f t="shared" si="106"/>
        <v>0</v>
      </c>
      <c r="N51" s="418"/>
      <c r="O51" s="418"/>
      <c r="P51" s="68">
        <f t="shared" si="107"/>
        <v>13260</v>
      </c>
      <c r="Q51" s="68">
        <f t="shared" si="108"/>
        <v>392</v>
      </c>
      <c r="R51" s="418">
        <v>1926</v>
      </c>
      <c r="S51" s="419">
        <f t="shared" si="109"/>
        <v>0.15</v>
      </c>
      <c r="T51" s="420">
        <v>0</v>
      </c>
      <c r="U51" s="527">
        <v>0.15</v>
      </c>
      <c r="V51" s="427">
        <f t="shared" si="110"/>
        <v>0</v>
      </c>
      <c r="W51" s="421">
        <f t="shared" si="110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0</v>
      </c>
      <c r="AC51" s="421">
        <v>0</v>
      </c>
      <c r="AD51" s="421">
        <v>0</v>
      </c>
      <c r="AE51" s="421">
        <v>0</v>
      </c>
      <c r="AF51" s="421">
        <f t="shared" si="111"/>
        <v>0</v>
      </c>
      <c r="AG51" s="421">
        <f t="shared" si="112"/>
        <v>0</v>
      </c>
      <c r="AH51" s="421">
        <f t="shared" si="113"/>
        <v>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si="114"/>
        <v>0</v>
      </c>
      <c r="AP51" s="421">
        <f t="shared" si="115"/>
        <v>0</v>
      </c>
      <c r="AQ51" s="421">
        <f t="shared" si="116"/>
        <v>0</v>
      </c>
      <c r="AR51" s="421">
        <f t="shared" si="117"/>
        <v>0</v>
      </c>
      <c r="AS51" s="421">
        <f t="shared" si="117"/>
        <v>0</v>
      </c>
      <c r="AT51" s="421">
        <f t="shared" si="118"/>
        <v>0</v>
      </c>
      <c r="AU51" s="68">
        <f t="shared" si="119"/>
        <v>0</v>
      </c>
      <c r="AV51" s="68">
        <f t="shared" si="120"/>
        <v>0</v>
      </c>
      <c r="AW51" s="421">
        <v>0</v>
      </c>
      <c r="AX51" s="421">
        <v>0</v>
      </c>
      <c r="AY51" s="421">
        <f t="shared" si="121"/>
        <v>0</v>
      </c>
      <c r="AZ51" s="421">
        <f t="shared" si="122"/>
        <v>0</v>
      </c>
      <c r="BA51" s="422">
        <v>0</v>
      </c>
      <c r="BB51" s="422">
        <v>0</v>
      </c>
      <c r="BC51" s="422">
        <v>0</v>
      </c>
      <c r="BD51" s="422">
        <v>0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 t="shared" si="123"/>
        <v>0</v>
      </c>
      <c r="BL51" s="422">
        <f t="shared" si="124"/>
        <v>0</v>
      </c>
      <c r="BM51" s="611">
        <f t="shared" si="125"/>
        <v>0</v>
      </c>
      <c r="BN51" s="428">
        <f t="shared" si="126"/>
        <v>54808</v>
      </c>
      <c r="BO51" s="421">
        <f t="shared" si="127"/>
        <v>39230</v>
      </c>
      <c r="BP51" s="421">
        <f t="shared" si="128"/>
        <v>0</v>
      </c>
      <c r="BQ51" s="421">
        <f t="shared" si="128"/>
        <v>39230</v>
      </c>
      <c r="BR51" s="421">
        <f t="shared" si="129"/>
        <v>0</v>
      </c>
      <c r="BS51" s="421">
        <f t="shared" si="130"/>
        <v>0</v>
      </c>
      <c r="BT51" s="421">
        <f t="shared" si="130"/>
        <v>0</v>
      </c>
      <c r="BU51" s="421">
        <f t="shared" si="131"/>
        <v>13260</v>
      </c>
      <c r="BV51" s="421">
        <f t="shared" si="131"/>
        <v>392</v>
      </c>
      <c r="BW51" s="421">
        <f t="shared" si="132"/>
        <v>1926</v>
      </c>
      <c r="BX51" s="422">
        <f t="shared" si="133"/>
        <v>0.15</v>
      </c>
      <c r="BY51" s="422">
        <f t="shared" si="134"/>
        <v>0</v>
      </c>
      <c r="BZ51" s="611">
        <f t="shared" si="134"/>
        <v>0.15</v>
      </c>
      <c r="CA51" s="423"/>
      <c r="CB51" s="418"/>
      <c r="CC51" s="418"/>
      <c r="CD51" s="418"/>
      <c r="CE51" s="418"/>
      <c r="CF51" s="527"/>
    </row>
    <row r="52" spans="1:84" s="222" customFormat="1" x14ac:dyDescent="0.2">
      <c r="A52" s="155">
        <v>10</v>
      </c>
      <c r="B52" s="18">
        <v>4439</v>
      </c>
      <c r="C52" s="18">
        <v>600074951</v>
      </c>
      <c r="D52" s="18">
        <v>48283088</v>
      </c>
      <c r="E52" s="164" t="s">
        <v>165</v>
      </c>
      <c r="F52" s="18"/>
      <c r="G52" s="154"/>
      <c r="H52" s="685"/>
      <c r="I52" s="458">
        <f t="shared" ref="I52:BT52" si="135">SUM(I46:I51)</f>
        <v>33335965</v>
      </c>
      <c r="J52" s="451">
        <f t="shared" si="135"/>
        <v>24459285</v>
      </c>
      <c r="K52" s="451">
        <f t="shared" si="135"/>
        <v>21452541</v>
      </c>
      <c r="L52" s="451">
        <f t="shared" si="135"/>
        <v>3006744</v>
      </c>
      <c r="M52" s="451">
        <f t="shared" si="135"/>
        <v>0</v>
      </c>
      <c r="N52" s="451">
        <f t="shared" si="135"/>
        <v>0</v>
      </c>
      <c r="O52" s="451">
        <f t="shared" si="135"/>
        <v>0</v>
      </c>
      <c r="P52" s="451">
        <f t="shared" si="135"/>
        <v>8267238</v>
      </c>
      <c r="Q52" s="451">
        <f t="shared" si="135"/>
        <v>244592</v>
      </c>
      <c r="R52" s="451">
        <f t="shared" si="135"/>
        <v>364850</v>
      </c>
      <c r="S52" s="452">
        <f t="shared" si="135"/>
        <v>43.610400000000006</v>
      </c>
      <c r="T52" s="452">
        <f t="shared" si="135"/>
        <v>34.450900000000004</v>
      </c>
      <c r="U52" s="39">
        <f t="shared" si="135"/>
        <v>9.1595000000000013</v>
      </c>
      <c r="V52" s="458">
        <f t="shared" si="135"/>
        <v>-19200</v>
      </c>
      <c r="W52" s="451">
        <f t="shared" si="135"/>
        <v>0</v>
      </c>
      <c r="X52" s="451">
        <f t="shared" si="135"/>
        <v>2853132</v>
      </c>
      <c r="Y52" s="451">
        <f t="shared" si="135"/>
        <v>0</v>
      </c>
      <c r="Z52" s="451">
        <f t="shared" si="135"/>
        <v>0</v>
      </c>
      <c r="AA52" s="451">
        <f t="shared" si="135"/>
        <v>0</v>
      </c>
      <c r="AB52" s="451">
        <f t="shared" si="135"/>
        <v>0</v>
      </c>
      <c r="AC52" s="451">
        <f t="shared" si="135"/>
        <v>0</v>
      </c>
      <c r="AD52" s="451">
        <f t="shared" si="135"/>
        <v>0</v>
      </c>
      <c r="AE52" s="451">
        <f t="shared" si="135"/>
        <v>0</v>
      </c>
      <c r="AF52" s="451">
        <f t="shared" si="135"/>
        <v>2833932</v>
      </c>
      <c r="AG52" s="451">
        <f t="shared" si="135"/>
        <v>0</v>
      </c>
      <c r="AH52" s="451">
        <f t="shared" si="135"/>
        <v>2833932</v>
      </c>
      <c r="AI52" s="451">
        <f t="shared" si="135"/>
        <v>19200</v>
      </c>
      <c r="AJ52" s="451">
        <f t="shared" si="135"/>
        <v>0</v>
      </c>
      <c r="AK52" s="451">
        <f t="shared" ref="AK52" si="136">SUM(AK46:AK51)</f>
        <v>0</v>
      </c>
      <c r="AL52" s="451">
        <f t="shared" si="135"/>
        <v>0</v>
      </c>
      <c r="AM52" s="451">
        <f t="shared" si="135"/>
        <v>0</v>
      </c>
      <c r="AN52" s="451">
        <f t="shared" si="135"/>
        <v>0</v>
      </c>
      <c r="AO52" s="451">
        <f t="shared" si="135"/>
        <v>19200</v>
      </c>
      <c r="AP52" s="451">
        <f t="shared" si="135"/>
        <v>0</v>
      </c>
      <c r="AQ52" s="451">
        <f t="shared" si="135"/>
        <v>19200</v>
      </c>
      <c r="AR52" s="451">
        <f t="shared" si="135"/>
        <v>2853132</v>
      </c>
      <c r="AS52" s="451">
        <f t="shared" si="135"/>
        <v>0</v>
      </c>
      <c r="AT52" s="451">
        <f t="shared" si="135"/>
        <v>2853132</v>
      </c>
      <c r="AU52" s="451">
        <f t="shared" si="135"/>
        <v>964359</v>
      </c>
      <c r="AV52" s="451">
        <f t="shared" si="135"/>
        <v>28339</v>
      </c>
      <c r="AW52" s="451">
        <f t="shared" si="135"/>
        <v>0</v>
      </c>
      <c r="AX52" s="451">
        <f t="shared" si="135"/>
        <v>0</v>
      </c>
      <c r="AY52" s="451">
        <f t="shared" si="135"/>
        <v>0</v>
      </c>
      <c r="AZ52" s="451">
        <f t="shared" si="135"/>
        <v>3845830</v>
      </c>
      <c r="BA52" s="452">
        <f t="shared" si="135"/>
        <v>-0.03</v>
      </c>
      <c r="BB52" s="452">
        <f t="shared" si="135"/>
        <v>0</v>
      </c>
      <c r="BC52" s="452">
        <f t="shared" si="135"/>
        <v>7.7</v>
      </c>
      <c r="BD52" s="452">
        <f t="shared" si="135"/>
        <v>0</v>
      </c>
      <c r="BE52" s="452">
        <f t="shared" si="135"/>
        <v>0</v>
      </c>
      <c r="BF52" s="452">
        <f t="shared" si="135"/>
        <v>0</v>
      </c>
      <c r="BG52" s="452">
        <f t="shared" si="135"/>
        <v>0</v>
      </c>
      <c r="BH52" s="452">
        <f t="shared" si="135"/>
        <v>0</v>
      </c>
      <c r="BI52" s="452">
        <f t="shared" si="135"/>
        <v>0</v>
      </c>
      <c r="BJ52" s="452">
        <f t="shared" si="135"/>
        <v>0</v>
      </c>
      <c r="BK52" s="452">
        <f t="shared" si="135"/>
        <v>7.67</v>
      </c>
      <c r="BL52" s="452">
        <f t="shared" si="135"/>
        <v>0</v>
      </c>
      <c r="BM52" s="456">
        <f t="shared" si="135"/>
        <v>7.67</v>
      </c>
      <c r="BN52" s="454">
        <f t="shared" si="135"/>
        <v>37181795</v>
      </c>
      <c r="BO52" s="451">
        <f t="shared" si="135"/>
        <v>27293217</v>
      </c>
      <c r="BP52" s="451">
        <f t="shared" si="135"/>
        <v>24286473</v>
      </c>
      <c r="BQ52" s="451">
        <f t="shared" si="135"/>
        <v>3006744</v>
      </c>
      <c r="BR52" s="451">
        <f t="shared" si="135"/>
        <v>19200</v>
      </c>
      <c r="BS52" s="451">
        <f t="shared" si="135"/>
        <v>19200</v>
      </c>
      <c r="BT52" s="451">
        <f t="shared" si="135"/>
        <v>0</v>
      </c>
      <c r="BU52" s="451">
        <f t="shared" ref="BU52:CF52" si="137">SUM(BU46:BU51)</f>
        <v>9231597</v>
      </c>
      <c r="BV52" s="451">
        <f t="shared" si="137"/>
        <v>272931</v>
      </c>
      <c r="BW52" s="451">
        <f t="shared" si="137"/>
        <v>364850</v>
      </c>
      <c r="BX52" s="452">
        <f t="shared" si="137"/>
        <v>51.280400000000007</v>
      </c>
      <c r="BY52" s="452">
        <f t="shared" si="137"/>
        <v>42.120899999999999</v>
      </c>
      <c r="BZ52" s="456">
        <f t="shared" si="137"/>
        <v>9.1595000000000013</v>
      </c>
      <c r="CA52" s="854">
        <f t="shared" si="137"/>
        <v>0</v>
      </c>
      <c r="CB52" s="852">
        <f t="shared" si="137"/>
        <v>0</v>
      </c>
      <c r="CC52" s="852">
        <f t="shared" si="137"/>
        <v>0</v>
      </c>
      <c r="CD52" s="852">
        <f t="shared" si="137"/>
        <v>0</v>
      </c>
      <c r="CE52" s="852">
        <f t="shared" si="137"/>
        <v>0</v>
      </c>
      <c r="CF52" s="848">
        <f t="shared" si="137"/>
        <v>0</v>
      </c>
    </row>
    <row r="53" spans="1:84" s="222" customFormat="1" x14ac:dyDescent="0.2">
      <c r="A53" s="210">
        <v>11</v>
      </c>
      <c r="B53" s="211">
        <v>4443</v>
      </c>
      <c r="C53" s="211">
        <v>600074994</v>
      </c>
      <c r="D53" s="211">
        <v>46750045</v>
      </c>
      <c r="E53" s="209" t="s">
        <v>166</v>
      </c>
      <c r="F53" s="211">
        <v>3113</v>
      </c>
      <c r="G53" s="165" t="s">
        <v>294</v>
      </c>
      <c r="H53" s="699" t="s">
        <v>271</v>
      </c>
      <c r="I53" s="528">
        <f t="shared" ref="I53:I57" si="138">J53+P53+Q53+R53</f>
        <v>55619549</v>
      </c>
      <c r="J53" s="418">
        <f>K53+L53</f>
        <v>40673335</v>
      </c>
      <c r="K53" s="418">
        <v>38214440</v>
      </c>
      <c r="L53" s="418">
        <v>2458895</v>
      </c>
      <c r="M53" s="418">
        <f>N53+O53</f>
        <v>0</v>
      </c>
      <c r="N53" s="418"/>
      <c r="O53" s="418"/>
      <c r="P53" s="68">
        <f t="shared" ref="P53:P57" si="139">ROUND(J53*33.8%,0)</f>
        <v>13747587</v>
      </c>
      <c r="Q53" s="68">
        <f t="shared" ref="Q53:Q57" si="140">ROUND(J53*1%,0)</f>
        <v>406733</v>
      </c>
      <c r="R53" s="418">
        <v>791894</v>
      </c>
      <c r="S53" s="419">
        <f>T53+U53</f>
        <v>61.483900000000006</v>
      </c>
      <c r="T53" s="420">
        <v>53.911900000000003</v>
      </c>
      <c r="U53" s="527">
        <v>7.572000000000001</v>
      </c>
      <c r="V53" s="427">
        <f t="shared" ref="V53:W57" si="141">AI53*-1</f>
        <v>-110720</v>
      </c>
      <c r="W53" s="421">
        <f t="shared" si="141"/>
        <v>0</v>
      </c>
      <c r="X53" s="421">
        <v>0</v>
      </c>
      <c r="Y53" s="421">
        <v>0</v>
      </c>
      <c r="Z53" s="421">
        <v>0</v>
      </c>
      <c r="AA53" s="421">
        <v>266786</v>
      </c>
      <c r="AB53" s="421">
        <v>282000</v>
      </c>
      <c r="AC53" s="421">
        <v>0</v>
      </c>
      <c r="AD53" s="421">
        <v>0</v>
      </c>
      <c r="AE53" s="421">
        <v>0</v>
      </c>
      <c r="AF53" s="421">
        <f>V53+X53+Y53+AA53+AB53+AD53</f>
        <v>438066</v>
      </c>
      <c r="AG53" s="421">
        <f>W53+Z53+AC53+AE53</f>
        <v>0</v>
      </c>
      <c r="AH53" s="421">
        <f>SUM(AF53:AG53)</f>
        <v>438066</v>
      </c>
      <c r="AI53" s="421">
        <v>110720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ref="AO53:AO57" si="142">AI53+AK53+AL53+AM53</f>
        <v>110720</v>
      </c>
      <c r="AP53" s="421">
        <f>AJ53+AN53</f>
        <v>0</v>
      </c>
      <c r="AQ53" s="421">
        <f>SUM(AO53:AP53)</f>
        <v>110720</v>
      </c>
      <c r="AR53" s="421">
        <f t="shared" ref="AR53:AS57" si="143">AF53+AO53</f>
        <v>548786</v>
      </c>
      <c r="AS53" s="421">
        <f t="shared" si="143"/>
        <v>0</v>
      </c>
      <c r="AT53" s="421">
        <f>SUM(AR53:AS53)</f>
        <v>548786</v>
      </c>
      <c r="AU53" s="68">
        <f t="shared" ref="AU53:AU57" si="144">ROUND((AH53+AI53+AJ53+AK53+AL53)*33.8%,0)</f>
        <v>185490</v>
      </c>
      <c r="AV53" s="68">
        <f>ROUND(AH53*1%,0)</f>
        <v>4381</v>
      </c>
      <c r="AW53" s="421">
        <v>0</v>
      </c>
      <c r="AX53" s="421">
        <v>0</v>
      </c>
      <c r="AY53" s="421">
        <f>AW53+AX53</f>
        <v>0</v>
      </c>
      <c r="AZ53" s="421">
        <f>AT53+AU53+AV53+AY53</f>
        <v>738657</v>
      </c>
      <c r="BA53" s="422">
        <v>-0.14000000000000001</v>
      </c>
      <c r="BB53" s="422">
        <v>0</v>
      </c>
      <c r="BC53" s="422">
        <v>0</v>
      </c>
      <c r="BD53" s="422">
        <v>0.5</v>
      </c>
      <c r="BE53" s="422">
        <v>0</v>
      </c>
      <c r="BF53" s="422">
        <v>0</v>
      </c>
      <c r="BG53" s="422">
        <v>0</v>
      </c>
      <c r="BH53" s="422">
        <v>0.38</v>
      </c>
      <c r="BI53" s="422">
        <v>0</v>
      </c>
      <c r="BJ53" s="422">
        <v>0</v>
      </c>
      <c r="BK53" s="422">
        <f>BA53+BC53+BD53+BF53+BH53+BI53</f>
        <v>0.74</v>
      </c>
      <c r="BL53" s="422">
        <f>BB53+BE53+BG53+BJ53</f>
        <v>0</v>
      </c>
      <c r="BM53" s="611">
        <f>SUM(BK53:BL53)</f>
        <v>0.74</v>
      </c>
      <c r="BN53" s="428">
        <f>I53+AZ53</f>
        <v>56358206</v>
      </c>
      <c r="BO53" s="421">
        <f>J53+AH53</f>
        <v>41111401</v>
      </c>
      <c r="BP53" s="421">
        <f t="shared" ref="BP53:BQ57" si="145">K53+AF53</f>
        <v>38652506</v>
      </c>
      <c r="BQ53" s="421">
        <f t="shared" si="145"/>
        <v>2458895</v>
      </c>
      <c r="BR53" s="421">
        <f>M53+AQ53</f>
        <v>110720</v>
      </c>
      <c r="BS53" s="421">
        <f t="shared" ref="BS53:BT57" si="146">N53+AO53</f>
        <v>110720</v>
      </c>
      <c r="BT53" s="421">
        <f t="shared" si="146"/>
        <v>0</v>
      </c>
      <c r="BU53" s="421">
        <f t="shared" ref="BU53:BV57" si="147">P53+AU53</f>
        <v>13933077</v>
      </c>
      <c r="BV53" s="421">
        <f t="shared" si="147"/>
        <v>411114</v>
      </c>
      <c r="BW53" s="421">
        <f>R53+AY53</f>
        <v>791894</v>
      </c>
      <c r="BX53" s="422">
        <f>S53+BM53</f>
        <v>62.223900000000008</v>
      </c>
      <c r="BY53" s="422">
        <f t="shared" ref="BY53:BZ57" si="148">T53+BK53</f>
        <v>54.651900000000005</v>
      </c>
      <c r="BZ53" s="611">
        <f t="shared" si="148"/>
        <v>7.572000000000001</v>
      </c>
      <c r="CA53" s="423">
        <v>380136</v>
      </c>
      <c r="CB53" s="418">
        <v>282000</v>
      </c>
      <c r="CC53" s="418">
        <v>0</v>
      </c>
      <c r="CD53" s="418">
        <v>95316</v>
      </c>
      <c r="CE53" s="418">
        <v>2820</v>
      </c>
      <c r="CF53" s="527">
        <v>0.5</v>
      </c>
    </row>
    <row r="54" spans="1:84" s="222" customFormat="1" x14ac:dyDescent="0.2">
      <c r="A54" s="210">
        <v>11</v>
      </c>
      <c r="B54" s="211">
        <v>4443</v>
      </c>
      <c r="C54" s="211">
        <v>600074994</v>
      </c>
      <c r="D54" s="211">
        <v>46750045</v>
      </c>
      <c r="E54" s="209" t="s">
        <v>166</v>
      </c>
      <c r="F54" s="211">
        <v>3113</v>
      </c>
      <c r="G54" s="165" t="s">
        <v>292</v>
      </c>
      <c r="H54" s="699" t="s">
        <v>272</v>
      </c>
      <c r="I54" s="528">
        <f t="shared" si="138"/>
        <v>0</v>
      </c>
      <c r="J54" s="418">
        <f>K54+L54</f>
        <v>0</v>
      </c>
      <c r="K54" s="418">
        <v>0</v>
      </c>
      <c r="L54" s="418">
        <v>0</v>
      </c>
      <c r="M54" s="418">
        <f>N54+O54</f>
        <v>0</v>
      </c>
      <c r="N54" s="418"/>
      <c r="O54" s="418"/>
      <c r="P54" s="68">
        <f t="shared" si="139"/>
        <v>0</v>
      </c>
      <c r="Q54" s="68">
        <f t="shared" si="140"/>
        <v>0</v>
      </c>
      <c r="R54" s="418">
        <v>0</v>
      </c>
      <c r="S54" s="419">
        <f>T54+U54</f>
        <v>0</v>
      </c>
      <c r="T54" s="420">
        <v>0</v>
      </c>
      <c r="U54" s="527">
        <v>0</v>
      </c>
      <c r="V54" s="427">
        <f t="shared" si="141"/>
        <v>0</v>
      </c>
      <c r="W54" s="421">
        <f t="shared" si="141"/>
        <v>0</v>
      </c>
      <c r="X54" s="421">
        <f>6035832+339902</f>
        <v>6375734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>V54+X54+Y54+AA54+AB54+AD54</f>
        <v>6375734</v>
      </c>
      <c r="AG54" s="421">
        <f>W54+Z54+AC54+AE54</f>
        <v>0</v>
      </c>
      <c r="AH54" s="421">
        <f>SUM(AF54:AG54)</f>
        <v>6375734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42"/>
        <v>0</v>
      </c>
      <c r="AP54" s="421">
        <f>AJ54+AN54</f>
        <v>0</v>
      </c>
      <c r="AQ54" s="421">
        <f>SUM(AO54:AP54)</f>
        <v>0</v>
      </c>
      <c r="AR54" s="421">
        <f t="shared" si="143"/>
        <v>6375734</v>
      </c>
      <c r="AS54" s="421">
        <f t="shared" si="143"/>
        <v>0</v>
      </c>
      <c r="AT54" s="421">
        <f>SUM(AR54:AS54)</f>
        <v>6375734</v>
      </c>
      <c r="AU54" s="68">
        <f t="shared" si="144"/>
        <v>2154998</v>
      </c>
      <c r="AV54" s="68">
        <f>ROUND(AH54*1%,0)</f>
        <v>63757</v>
      </c>
      <c r="AW54" s="421">
        <v>11500</v>
      </c>
      <c r="AX54" s="421">
        <v>0</v>
      </c>
      <c r="AY54" s="421">
        <f>AW54+AX54</f>
        <v>11500</v>
      </c>
      <c r="AZ54" s="421">
        <f>AT54+AU54+AV54+AY54</f>
        <v>8605989</v>
      </c>
      <c r="BA54" s="422">
        <v>0</v>
      </c>
      <c r="BB54" s="422">
        <v>0</v>
      </c>
      <c r="BC54" s="422">
        <f>16.28+0.92</f>
        <v>17.200000000000003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17.200000000000003</v>
      </c>
      <c r="BL54" s="422">
        <f>BB54+BE54+BG54+BJ54</f>
        <v>0</v>
      </c>
      <c r="BM54" s="611">
        <f>SUM(BK54:BL54)</f>
        <v>17.200000000000003</v>
      </c>
      <c r="BN54" s="428">
        <f>I54+AZ54</f>
        <v>8605989</v>
      </c>
      <c r="BO54" s="421">
        <f>J54+AH54</f>
        <v>6375734</v>
      </c>
      <c r="BP54" s="421">
        <f t="shared" si="145"/>
        <v>6375734</v>
      </c>
      <c r="BQ54" s="421">
        <f t="shared" si="145"/>
        <v>0</v>
      </c>
      <c r="BR54" s="421">
        <f>M54+AQ54</f>
        <v>0</v>
      </c>
      <c r="BS54" s="421">
        <f t="shared" si="146"/>
        <v>0</v>
      </c>
      <c r="BT54" s="421">
        <f t="shared" si="146"/>
        <v>0</v>
      </c>
      <c r="BU54" s="421">
        <f t="shared" si="147"/>
        <v>2154998</v>
      </c>
      <c r="BV54" s="421">
        <f t="shared" si="147"/>
        <v>63757</v>
      </c>
      <c r="BW54" s="421">
        <f>R54+AY54</f>
        <v>11500</v>
      </c>
      <c r="BX54" s="422">
        <f>S54+BM54</f>
        <v>17.200000000000003</v>
      </c>
      <c r="BY54" s="422">
        <f t="shared" si="148"/>
        <v>17.200000000000003</v>
      </c>
      <c r="BZ54" s="611">
        <f t="shared" si="148"/>
        <v>0</v>
      </c>
      <c r="CA54" s="423"/>
      <c r="CB54" s="418"/>
      <c r="CC54" s="418"/>
      <c r="CD54" s="418"/>
      <c r="CE54" s="418"/>
      <c r="CF54" s="527"/>
    </row>
    <row r="55" spans="1:84" s="222" customFormat="1" x14ac:dyDescent="0.2">
      <c r="A55" s="210">
        <v>11</v>
      </c>
      <c r="B55" s="211">
        <v>4443</v>
      </c>
      <c r="C55" s="211">
        <v>600074994</v>
      </c>
      <c r="D55" s="211">
        <v>46750045</v>
      </c>
      <c r="E55" s="209" t="s">
        <v>166</v>
      </c>
      <c r="F55" s="211">
        <v>3143</v>
      </c>
      <c r="G55" s="165" t="s">
        <v>596</v>
      </c>
      <c r="H55" s="686" t="s">
        <v>271</v>
      </c>
      <c r="I55" s="528">
        <f t="shared" si="138"/>
        <v>5046641</v>
      </c>
      <c r="J55" s="418">
        <f>K55+L55</f>
        <v>3743799</v>
      </c>
      <c r="K55" s="418">
        <v>3743799</v>
      </c>
      <c r="L55" s="418">
        <v>0</v>
      </c>
      <c r="M55" s="418">
        <f>N55+O55</f>
        <v>0</v>
      </c>
      <c r="N55" s="418"/>
      <c r="O55" s="418"/>
      <c r="P55" s="68">
        <f t="shared" si="139"/>
        <v>1265404</v>
      </c>
      <c r="Q55" s="68">
        <f t="shared" si="140"/>
        <v>37438</v>
      </c>
      <c r="R55" s="418">
        <v>0</v>
      </c>
      <c r="S55" s="419">
        <f>T55+U55</f>
        <v>7.2092000000000001</v>
      </c>
      <c r="T55" s="420">
        <v>7.2092000000000001</v>
      </c>
      <c r="U55" s="527">
        <v>0</v>
      </c>
      <c r="V55" s="427">
        <f t="shared" si="141"/>
        <v>-36480</v>
      </c>
      <c r="W55" s="421">
        <f t="shared" si="141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>V55+X55+Y55+AA55+AB55+AD55</f>
        <v>-36480</v>
      </c>
      <c r="AG55" s="421">
        <f>W55+Z55+AC55+AE55</f>
        <v>0</v>
      </c>
      <c r="AH55" s="421">
        <f>SUM(AF55:AG55)</f>
        <v>-36480</v>
      </c>
      <c r="AI55" s="421">
        <v>36480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42"/>
        <v>36480</v>
      </c>
      <c r="AP55" s="421">
        <f>AJ55+AN55</f>
        <v>0</v>
      </c>
      <c r="AQ55" s="421">
        <f>SUM(AO55:AP55)</f>
        <v>36480</v>
      </c>
      <c r="AR55" s="421">
        <f t="shared" si="143"/>
        <v>0</v>
      </c>
      <c r="AS55" s="421">
        <f t="shared" si="143"/>
        <v>0</v>
      </c>
      <c r="AT55" s="421">
        <f>SUM(AR55:AS55)</f>
        <v>0</v>
      </c>
      <c r="AU55" s="68">
        <f t="shared" si="144"/>
        <v>0</v>
      </c>
      <c r="AV55" s="68">
        <f>ROUND(AH55*1%,0)</f>
        <v>-365</v>
      </c>
      <c r="AW55" s="421">
        <v>0</v>
      </c>
      <c r="AX55" s="421">
        <v>0</v>
      </c>
      <c r="AY55" s="421">
        <f>AW55+AX55</f>
        <v>0</v>
      </c>
      <c r="AZ55" s="421">
        <f>AT55+AU55+AV55+AY55</f>
        <v>-365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>BA55+BC55+BD55+BF55+BH55+BI55</f>
        <v>0</v>
      </c>
      <c r="BL55" s="422">
        <f>BB55+BE55+BG55+BJ55</f>
        <v>0</v>
      </c>
      <c r="BM55" s="611">
        <f>SUM(BK55:BL55)</f>
        <v>0</v>
      </c>
      <c r="BN55" s="428">
        <f>I55+AZ55</f>
        <v>5046276</v>
      </c>
      <c r="BO55" s="421">
        <f>J55+AH55</f>
        <v>3707319</v>
      </c>
      <c r="BP55" s="421">
        <f t="shared" si="145"/>
        <v>3707319</v>
      </c>
      <c r="BQ55" s="421">
        <f t="shared" si="145"/>
        <v>0</v>
      </c>
      <c r="BR55" s="421">
        <f>M55+AQ55</f>
        <v>36480</v>
      </c>
      <c r="BS55" s="421">
        <f t="shared" si="146"/>
        <v>36480</v>
      </c>
      <c r="BT55" s="421">
        <f t="shared" si="146"/>
        <v>0</v>
      </c>
      <c r="BU55" s="421">
        <f t="shared" si="147"/>
        <v>1265404</v>
      </c>
      <c r="BV55" s="421">
        <f t="shared" si="147"/>
        <v>37073</v>
      </c>
      <c r="BW55" s="421">
        <f>R55+AY55</f>
        <v>0</v>
      </c>
      <c r="BX55" s="422">
        <f>S55+BM55</f>
        <v>7.2092000000000001</v>
      </c>
      <c r="BY55" s="422">
        <f t="shared" si="148"/>
        <v>7.2092000000000001</v>
      </c>
      <c r="BZ55" s="611">
        <f t="shared" si="148"/>
        <v>0</v>
      </c>
      <c r="CA55" s="423"/>
      <c r="CB55" s="418"/>
      <c r="CC55" s="418"/>
      <c r="CD55" s="418"/>
      <c r="CE55" s="418"/>
      <c r="CF55" s="527"/>
    </row>
    <row r="56" spans="1:84" s="222" customFormat="1" x14ac:dyDescent="0.2">
      <c r="A56" s="210">
        <v>11</v>
      </c>
      <c r="B56" s="211">
        <v>4443</v>
      </c>
      <c r="C56" s="211">
        <v>600074994</v>
      </c>
      <c r="D56" s="211">
        <v>46750045</v>
      </c>
      <c r="E56" s="209" t="s">
        <v>166</v>
      </c>
      <c r="F56" s="211">
        <v>3143</v>
      </c>
      <c r="G56" s="165" t="s">
        <v>597</v>
      </c>
      <c r="H56" s="686" t="s">
        <v>272</v>
      </c>
      <c r="I56" s="528">
        <f t="shared" si="138"/>
        <v>110133</v>
      </c>
      <c r="J56" s="418">
        <f>K56+L56</f>
        <v>78830</v>
      </c>
      <c r="K56" s="418">
        <v>0</v>
      </c>
      <c r="L56" s="418">
        <v>78830</v>
      </c>
      <c r="M56" s="418">
        <f>N56+O56</f>
        <v>0</v>
      </c>
      <c r="N56" s="418"/>
      <c r="O56" s="418"/>
      <c r="P56" s="68">
        <f t="shared" si="139"/>
        <v>26645</v>
      </c>
      <c r="Q56" s="68">
        <f t="shared" si="140"/>
        <v>788</v>
      </c>
      <c r="R56" s="418">
        <v>3870</v>
      </c>
      <c r="S56" s="419">
        <f>T56+U56</f>
        <v>0.3</v>
      </c>
      <c r="T56" s="420">
        <v>0</v>
      </c>
      <c r="U56" s="527">
        <v>0.3</v>
      </c>
      <c r="V56" s="427">
        <f t="shared" si="141"/>
        <v>0</v>
      </c>
      <c r="W56" s="421">
        <f t="shared" si="141"/>
        <v>0</v>
      </c>
      <c r="X56" s="421">
        <v>0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>V56+X56+Y56+AA56+AB56+AD56</f>
        <v>0</v>
      </c>
      <c r="AG56" s="421">
        <f>W56+Z56+AC56+AE56</f>
        <v>0</v>
      </c>
      <c r="AH56" s="421">
        <f>SUM(AF56:AG56)</f>
        <v>0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42"/>
        <v>0</v>
      </c>
      <c r="AP56" s="421">
        <f>AJ56+AN56</f>
        <v>0</v>
      </c>
      <c r="AQ56" s="421">
        <f>SUM(AO56:AP56)</f>
        <v>0</v>
      </c>
      <c r="AR56" s="421">
        <f t="shared" si="143"/>
        <v>0</v>
      </c>
      <c r="AS56" s="421">
        <f t="shared" si="143"/>
        <v>0</v>
      </c>
      <c r="AT56" s="421">
        <f>SUM(AR56:AS56)</f>
        <v>0</v>
      </c>
      <c r="AU56" s="68">
        <f t="shared" si="144"/>
        <v>0</v>
      </c>
      <c r="AV56" s="68">
        <f>ROUND(AH56*1%,0)</f>
        <v>0</v>
      </c>
      <c r="AW56" s="421">
        <v>0</v>
      </c>
      <c r="AX56" s="421">
        <v>0</v>
      </c>
      <c r="AY56" s="421">
        <f>AW56+AX56</f>
        <v>0</v>
      </c>
      <c r="AZ56" s="421">
        <f>AT56+AU56+AV56+AY56</f>
        <v>0</v>
      </c>
      <c r="BA56" s="422">
        <v>0</v>
      </c>
      <c r="BB56" s="422">
        <v>0</v>
      </c>
      <c r="BC56" s="422">
        <v>0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>BA56+BC56+BD56+BF56+BH56+BI56</f>
        <v>0</v>
      </c>
      <c r="BL56" s="422">
        <f>BB56+BE56+BG56+BJ56</f>
        <v>0</v>
      </c>
      <c r="BM56" s="611">
        <f>SUM(BK56:BL56)</f>
        <v>0</v>
      </c>
      <c r="BN56" s="428">
        <f>I56+AZ56</f>
        <v>110133</v>
      </c>
      <c r="BO56" s="421">
        <f>J56+AH56</f>
        <v>78830</v>
      </c>
      <c r="BP56" s="421">
        <f t="shared" si="145"/>
        <v>0</v>
      </c>
      <c r="BQ56" s="421">
        <f t="shared" si="145"/>
        <v>78830</v>
      </c>
      <c r="BR56" s="421">
        <f>M56+AQ56</f>
        <v>0</v>
      </c>
      <c r="BS56" s="421">
        <f t="shared" si="146"/>
        <v>0</v>
      </c>
      <c r="BT56" s="421">
        <f t="shared" si="146"/>
        <v>0</v>
      </c>
      <c r="BU56" s="421">
        <f t="shared" si="147"/>
        <v>26645</v>
      </c>
      <c r="BV56" s="421">
        <f t="shared" si="147"/>
        <v>788</v>
      </c>
      <c r="BW56" s="421">
        <f>R56+AY56</f>
        <v>3870</v>
      </c>
      <c r="BX56" s="422">
        <f>S56+BM56</f>
        <v>0.3</v>
      </c>
      <c r="BY56" s="422">
        <f t="shared" si="148"/>
        <v>0</v>
      </c>
      <c r="BZ56" s="611">
        <f t="shared" si="148"/>
        <v>0.3</v>
      </c>
      <c r="CA56" s="423"/>
      <c r="CB56" s="418"/>
      <c r="CC56" s="418"/>
      <c r="CD56" s="418"/>
      <c r="CE56" s="418"/>
      <c r="CF56" s="527"/>
    </row>
    <row r="57" spans="1:84" s="222" customFormat="1" x14ac:dyDescent="0.2">
      <c r="A57" s="210">
        <v>11</v>
      </c>
      <c r="B57" s="211">
        <v>4443</v>
      </c>
      <c r="C57" s="211">
        <v>600074994</v>
      </c>
      <c r="D57" s="211">
        <v>46750045</v>
      </c>
      <c r="E57" s="209" t="s">
        <v>166</v>
      </c>
      <c r="F57" s="211">
        <v>3143</v>
      </c>
      <c r="G57" s="165" t="s">
        <v>297</v>
      </c>
      <c r="H57" s="686" t="s">
        <v>272</v>
      </c>
      <c r="I57" s="528">
        <f t="shared" si="138"/>
        <v>396017</v>
      </c>
      <c r="J57" s="418">
        <f>K57+L57</f>
        <v>293514</v>
      </c>
      <c r="K57" s="418">
        <v>282505</v>
      </c>
      <c r="L57" s="418">
        <v>11009</v>
      </c>
      <c r="M57" s="418">
        <f>N57+O57</f>
        <v>0</v>
      </c>
      <c r="N57" s="418"/>
      <c r="O57" s="418"/>
      <c r="P57" s="68">
        <f t="shared" si="139"/>
        <v>99208</v>
      </c>
      <c r="Q57" s="68">
        <f t="shared" si="140"/>
        <v>2935</v>
      </c>
      <c r="R57" s="418">
        <v>360</v>
      </c>
      <c r="S57" s="419">
        <f>T57+U57</f>
        <v>0.60000000000000009</v>
      </c>
      <c r="T57" s="420">
        <v>0.56000000000000005</v>
      </c>
      <c r="U57" s="527">
        <v>0.04</v>
      </c>
      <c r="V57" s="427">
        <f t="shared" si="141"/>
        <v>0</v>
      </c>
      <c r="W57" s="421">
        <f t="shared" si="141"/>
        <v>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>V57+X57+Y57+AA57+AB57+AD57</f>
        <v>0</v>
      </c>
      <c r="AG57" s="421">
        <f>W57+Z57+AC57+AE57</f>
        <v>0</v>
      </c>
      <c r="AH57" s="421">
        <f>SUM(AF57:AG57)</f>
        <v>0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42"/>
        <v>0</v>
      </c>
      <c r="AP57" s="421">
        <f>AJ57+AN57</f>
        <v>0</v>
      </c>
      <c r="AQ57" s="421">
        <f>SUM(AO57:AP57)</f>
        <v>0</v>
      </c>
      <c r="AR57" s="421">
        <f t="shared" si="143"/>
        <v>0</v>
      </c>
      <c r="AS57" s="421">
        <f t="shared" si="143"/>
        <v>0</v>
      </c>
      <c r="AT57" s="421">
        <f>SUM(AR57:AS57)</f>
        <v>0</v>
      </c>
      <c r="AU57" s="68">
        <f t="shared" si="144"/>
        <v>0</v>
      </c>
      <c r="AV57" s="68">
        <f>ROUND(AH57*1%,0)</f>
        <v>0</v>
      </c>
      <c r="AW57" s="421">
        <v>0</v>
      </c>
      <c r="AX57" s="421">
        <v>0</v>
      </c>
      <c r="AY57" s="421">
        <f>AW57+AX57</f>
        <v>0</v>
      </c>
      <c r="AZ57" s="421">
        <f>AT57+AU57+AV57+AY57</f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>BA57+BC57+BD57+BF57+BH57+BI57</f>
        <v>0</v>
      </c>
      <c r="BL57" s="422">
        <f>BB57+BE57+BG57+BJ57</f>
        <v>0</v>
      </c>
      <c r="BM57" s="611">
        <f>SUM(BK57:BL57)</f>
        <v>0</v>
      </c>
      <c r="BN57" s="428">
        <f>I57+AZ57</f>
        <v>396017</v>
      </c>
      <c r="BO57" s="421">
        <f>J57+AH57</f>
        <v>293514</v>
      </c>
      <c r="BP57" s="421">
        <f t="shared" si="145"/>
        <v>282505</v>
      </c>
      <c r="BQ57" s="421">
        <f t="shared" si="145"/>
        <v>11009</v>
      </c>
      <c r="BR57" s="421">
        <f>M57+AQ57</f>
        <v>0</v>
      </c>
      <c r="BS57" s="421">
        <f t="shared" si="146"/>
        <v>0</v>
      </c>
      <c r="BT57" s="421">
        <f t="shared" si="146"/>
        <v>0</v>
      </c>
      <c r="BU57" s="421">
        <f t="shared" si="147"/>
        <v>99208</v>
      </c>
      <c r="BV57" s="421">
        <f t="shared" si="147"/>
        <v>2935</v>
      </c>
      <c r="BW57" s="421">
        <f>R57+AY57</f>
        <v>360</v>
      </c>
      <c r="BX57" s="422">
        <f>S57+BM57</f>
        <v>0.60000000000000009</v>
      </c>
      <c r="BY57" s="422">
        <f t="shared" si="148"/>
        <v>0.56000000000000005</v>
      </c>
      <c r="BZ57" s="611">
        <f t="shared" si="148"/>
        <v>0.04</v>
      </c>
      <c r="CA57" s="423"/>
      <c r="CB57" s="418"/>
      <c r="CC57" s="418"/>
      <c r="CD57" s="418"/>
      <c r="CE57" s="418"/>
      <c r="CF57" s="527"/>
    </row>
    <row r="58" spans="1:84" s="222" customFormat="1" x14ac:dyDescent="0.2">
      <c r="A58" s="155">
        <v>11</v>
      </c>
      <c r="B58" s="18">
        <v>4443</v>
      </c>
      <c r="C58" s="18">
        <v>600074994</v>
      </c>
      <c r="D58" s="18">
        <v>46750045</v>
      </c>
      <c r="E58" s="164" t="s">
        <v>167</v>
      </c>
      <c r="F58" s="18"/>
      <c r="G58" s="154"/>
      <c r="H58" s="685"/>
      <c r="I58" s="458">
        <f t="shared" ref="I58:BU58" si="149">SUM(I53:I57)</f>
        <v>61172340</v>
      </c>
      <c r="J58" s="451">
        <f t="shared" si="149"/>
        <v>44789478</v>
      </c>
      <c r="K58" s="451">
        <f t="shared" si="149"/>
        <v>42240744</v>
      </c>
      <c r="L58" s="451">
        <f t="shared" si="149"/>
        <v>2548734</v>
      </c>
      <c r="M58" s="451">
        <f t="shared" si="149"/>
        <v>0</v>
      </c>
      <c r="N58" s="451">
        <f t="shared" si="149"/>
        <v>0</v>
      </c>
      <c r="O58" s="451">
        <f t="shared" si="149"/>
        <v>0</v>
      </c>
      <c r="P58" s="451">
        <f t="shared" si="149"/>
        <v>15138844</v>
      </c>
      <c r="Q58" s="451">
        <f t="shared" si="149"/>
        <v>447894</v>
      </c>
      <c r="R58" s="451">
        <f t="shared" si="149"/>
        <v>796124</v>
      </c>
      <c r="S58" s="452">
        <f t="shared" si="149"/>
        <v>69.593099999999993</v>
      </c>
      <c r="T58" s="452">
        <f t="shared" si="149"/>
        <v>61.681100000000008</v>
      </c>
      <c r="U58" s="39">
        <f t="shared" si="149"/>
        <v>7.9120000000000008</v>
      </c>
      <c r="V58" s="458">
        <f t="shared" si="149"/>
        <v>-147200</v>
      </c>
      <c r="W58" s="451">
        <f t="shared" si="149"/>
        <v>0</v>
      </c>
      <c r="X58" s="451">
        <f t="shared" si="149"/>
        <v>6375734</v>
      </c>
      <c r="Y58" s="451">
        <f t="shared" si="149"/>
        <v>0</v>
      </c>
      <c r="Z58" s="451">
        <f t="shared" si="149"/>
        <v>0</v>
      </c>
      <c r="AA58" s="451">
        <f t="shared" si="149"/>
        <v>266786</v>
      </c>
      <c r="AB58" s="451">
        <f t="shared" si="149"/>
        <v>282000</v>
      </c>
      <c r="AC58" s="451">
        <f t="shared" si="149"/>
        <v>0</v>
      </c>
      <c r="AD58" s="451">
        <f t="shared" si="149"/>
        <v>0</v>
      </c>
      <c r="AE58" s="451">
        <f t="shared" si="149"/>
        <v>0</v>
      </c>
      <c r="AF58" s="451">
        <f t="shared" si="149"/>
        <v>6777320</v>
      </c>
      <c r="AG58" s="451">
        <f t="shared" si="149"/>
        <v>0</v>
      </c>
      <c r="AH58" s="451">
        <f t="shared" si="149"/>
        <v>6777320</v>
      </c>
      <c r="AI58" s="451">
        <f t="shared" si="149"/>
        <v>147200</v>
      </c>
      <c r="AJ58" s="451">
        <f t="shared" si="149"/>
        <v>0</v>
      </c>
      <c r="AK58" s="451">
        <f t="shared" ref="AK58" si="150">SUM(AK53:AK57)</f>
        <v>0</v>
      </c>
      <c r="AL58" s="451">
        <f t="shared" si="149"/>
        <v>0</v>
      </c>
      <c r="AM58" s="451">
        <f t="shared" si="149"/>
        <v>0</v>
      </c>
      <c r="AN58" s="451">
        <f t="shared" si="149"/>
        <v>0</v>
      </c>
      <c r="AO58" s="451">
        <f t="shared" si="149"/>
        <v>147200</v>
      </c>
      <c r="AP58" s="451">
        <f t="shared" si="149"/>
        <v>0</v>
      </c>
      <c r="AQ58" s="451">
        <f t="shared" si="149"/>
        <v>147200</v>
      </c>
      <c r="AR58" s="451">
        <f t="shared" si="149"/>
        <v>6924520</v>
      </c>
      <c r="AS58" s="451">
        <f t="shared" si="149"/>
        <v>0</v>
      </c>
      <c r="AT58" s="451">
        <f t="shared" si="149"/>
        <v>6924520</v>
      </c>
      <c r="AU58" s="451">
        <f t="shared" si="149"/>
        <v>2340488</v>
      </c>
      <c r="AV58" s="451">
        <f t="shared" si="149"/>
        <v>67773</v>
      </c>
      <c r="AW58" s="451">
        <f t="shared" si="149"/>
        <v>11500</v>
      </c>
      <c r="AX58" s="451">
        <f t="shared" si="149"/>
        <v>0</v>
      </c>
      <c r="AY58" s="451">
        <f t="shared" si="149"/>
        <v>11500</v>
      </c>
      <c r="AZ58" s="451">
        <f t="shared" si="149"/>
        <v>9344281</v>
      </c>
      <c r="BA58" s="452">
        <f t="shared" si="149"/>
        <v>-0.14000000000000001</v>
      </c>
      <c r="BB58" s="452">
        <f t="shared" si="149"/>
        <v>0</v>
      </c>
      <c r="BC58" s="452">
        <f t="shared" si="149"/>
        <v>17.200000000000003</v>
      </c>
      <c r="BD58" s="452">
        <f t="shared" si="149"/>
        <v>0.5</v>
      </c>
      <c r="BE58" s="452">
        <f t="shared" si="149"/>
        <v>0</v>
      </c>
      <c r="BF58" s="452">
        <f t="shared" si="149"/>
        <v>0</v>
      </c>
      <c r="BG58" s="452">
        <f t="shared" si="149"/>
        <v>0</v>
      </c>
      <c r="BH58" s="452">
        <f t="shared" si="149"/>
        <v>0.38</v>
      </c>
      <c r="BI58" s="452">
        <f t="shared" si="149"/>
        <v>0</v>
      </c>
      <c r="BJ58" s="452">
        <f t="shared" si="149"/>
        <v>0</v>
      </c>
      <c r="BK58" s="452">
        <f t="shared" si="149"/>
        <v>17.940000000000001</v>
      </c>
      <c r="BL58" s="452">
        <f t="shared" si="149"/>
        <v>0</v>
      </c>
      <c r="BM58" s="456">
        <f t="shared" si="149"/>
        <v>17.940000000000001</v>
      </c>
      <c r="BN58" s="454">
        <f t="shared" si="149"/>
        <v>70516621</v>
      </c>
      <c r="BO58" s="451">
        <f t="shared" si="149"/>
        <v>51566798</v>
      </c>
      <c r="BP58" s="451">
        <f t="shared" si="149"/>
        <v>49018064</v>
      </c>
      <c r="BQ58" s="451">
        <f t="shared" si="149"/>
        <v>2548734</v>
      </c>
      <c r="BR58" s="451">
        <f t="shared" si="149"/>
        <v>147200</v>
      </c>
      <c r="BS58" s="451">
        <f t="shared" si="149"/>
        <v>147200</v>
      </c>
      <c r="BT58" s="451">
        <f t="shared" si="149"/>
        <v>0</v>
      </c>
      <c r="BU58" s="451">
        <f t="shared" si="149"/>
        <v>17479332</v>
      </c>
      <c r="BV58" s="451">
        <f t="shared" ref="BV58:CF58" si="151">SUM(BV53:BV57)</f>
        <v>515667</v>
      </c>
      <c r="BW58" s="451">
        <f t="shared" si="151"/>
        <v>807624</v>
      </c>
      <c r="BX58" s="452">
        <f t="shared" si="151"/>
        <v>87.53309999999999</v>
      </c>
      <c r="BY58" s="452">
        <f t="shared" si="151"/>
        <v>79.621099999999998</v>
      </c>
      <c r="BZ58" s="456">
        <f t="shared" si="151"/>
        <v>7.9120000000000008</v>
      </c>
      <c r="CA58" s="854">
        <f t="shared" si="151"/>
        <v>380136</v>
      </c>
      <c r="CB58" s="852">
        <f t="shared" si="151"/>
        <v>282000</v>
      </c>
      <c r="CC58" s="852">
        <f t="shared" si="151"/>
        <v>0</v>
      </c>
      <c r="CD58" s="852">
        <f t="shared" si="151"/>
        <v>95316</v>
      </c>
      <c r="CE58" s="852">
        <f t="shared" si="151"/>
        <v>2820</v>
      </c>
      <c r="CF58" s="848">
        <f t="shared" si="151"/>
        <v>0.5</v>
      </c>
    </row>
    <row r="59" spans="1:84" s="222" customFormat="1" x14ac:dyDescent="0.2">
      <c r="A59" s="210">
        <v>12</v>
      </c>
      <c r="B59" s="211">
        <v>4438</v>
      </c>
      <c r="C59" s="211">
        <v>600074871</v>
      </c>
      <c r="D59" s="211">
        <v>49864599</v>
      </c>
      <c r="E59" s="209" t="s">
        <v>168</v>
      </c>
      <c r="F59" s="211">
        <v>3113</v>
      </c>
      <c r="G59" s="165" t="s">
        <v>294</v>
      </c>
      <c r="H59" s="699" t="s">
        <v>271</v>
      </c>
      <c r="I59" s="528">
        <f t="shared" ref="I59:I64" si="152">J59+P59+Q59+R59</f>
        <v>39601388</v>
      </c>
      <c r="J59" s="418">
        <f t="shared" ref="J59:J64" si="153">K59+L59</f>
        <v>28972475</v>
      </c>
      <c r="K59" s="418">
        <v>27123493</v>
      </c>
      <c r="L59" s="418">
        <v>1848982</v>
      </c>
      <c r="M59" s="418">
        <f t="shared" ref="M59:M64" si="154">N59+O59</f>
        <v>0</v>
      </c>
      <c r="N59" s="418"/>
      <c r="O59" s="418"/>
      <c r="P59" s="68">
        <f>ROUND(J59*33.8%,0)-1</f>
        <v>9792696</v>
      </c>
      <c r="Q59" s="68">
        <f>ROUND(J59*1%,0)-1</f>
        <v>289724</v>
      </c>
      <c r="R59" s="418">
        <v>546493</v>
      </c>
      <c r="S59" s="419">
        <f t="shared" ref="S59:S64" si="155">T59+U59</f>
        <v>44.785400000000003</v>
      </c>
      <c r="T59" s="420">
        <v>39.226300000000002</v>
      </c>
      <c r="U59" s="527">
        <v>5.5591000000000008</v>
      </c>
      <c r="V59" s="427">
        <f t="shared" ref="V59:W64" si="156">AI59*-1</f>
        <v>-57600</v>
      </c>
      <c r="W59" s="421">
        <f t="shared" si="156"/>
        <v>-12800</v>
      </c>
      <c r="X59" s="421">
        <v>0</v>
      </c>
      <c r="Y59" s="421">
        <v>0</v>
      </c>
      <c r="Z59" s="421">
        <v>0</v>
      </c>
      <c r="AA59" s="421">
        <v>139020</v>
      </c>
      <c r="AB59" s="421">
        <v>564000</v>
      </c>
      <c r="AC59" s="421">
        <v>0</v>
      </c>
      <c r="AD59" s="421">
        <v>0</v>
      </c>
      <c r="AE59" s="421">
        <v>0</v>
      </c>
      <c r="AF59" s="421">
        <f t="shared" ref="AF59:AF64" si="157">V59+X59+Y59+AA59+AB59+AD59</f>
        <v>645420</v>
      </c>
      <c r="AG59" s="421">
        <f t="shared" ref="AG59:AG64" si="158">W59+Z59+AC59+AE59</f>
        <v>-12800</v>
      </c>
      <c r="AH59" s="421">
        <f t="shared" ref="AH59:AH64" si="159">SUM(AF59:AG59)</f>
        <v>632620</v>
      </c>
      <c r="AI59" s="421">
        <v>57600</v>
      </c>
      <c r="AJ59" s="421">
        <v>12800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ref="AO59:AO64" si="160">AI59+AK59+AL59+AM59</f>
        <v>57600</v>
      </c>
      <c r="AP59" s="421">
        <f t="shared" ref="AP59:AP64" si="161">AJ59+AN59</f>
        <v>12800</v>
      </c>
      <c r="AQ59" s="421">
        <f t="shared" ref="AQ59:AQ64" si="162">SUM(AO59:AP59)</f>
        <v>70400</v>
      </c>
      <c r="AR59" s="421">
        <f t="shared" ref="AR59:AS64" si="163">AF59+AO59</f>
        <v>703020</v>
      </c>
      <c r="AS59" s="421">
        <f t="shared" si="163"/>
        <v>0</v>
      </c>
      <c r="AT59" s="421">
        <f t="shared" ref="AT59:AT64" si="164">SUM(AR59:AS59)</f>
        <v>703020</v>
      </c>
      <c r="AU59" s="68">
        <f t="shared" ref="AU59:AU64" si="165">ROUND((AH59+AI59+AJ59+AK59+AL59)*33.8%,0)</f>
        <v>237621</v>
      </c>
      <c r="AV59" s="68">
        <f t="shared" ref="AV59:AV64" si="166">ROUND(AH59*1%,0)</f>
        <v>6326</v>
      </c>
      <c r="AW59" s="421">
        <v>0</v>
      </c>
      <c r="AX59" s="421">
        <v>0</v>
      </c>
      <c r="AY59" s="421">
        <f t="shared" ref="AY59:AY64" si="167">AW59+AX59</f>
        <v>0</v>
      </c>
      <c r="AZ59" s="421">
        <f t="shared" ref="AZ59:AZ64" si="168">AT59+AU59+AV59+AY59</f>
        <v>946967</v>
      </c>
      <c r="BA59" s="422">
        <v>-0.1</v>
      </c>
      <c r="BB59" s="422">
        <v>-0.05</v>
      </c>
      <c r="BC59" s="422">
        <v>0</v>
      </c>
      <c r="BD59" s="422">
        <v>1</v>
      </c>
      <c r="BE59" s="422">
        <v>0</v>
      </c>
      <c r="BF59" s="422">
        <v>0</v>
      </c>
      <c r="BG59" s="422">
        <v>0</v>
      </c>
      <c r="BH59" s="422">
        <v>0.2</v>
      </c>
      <c r="BI59" s="422">
        <v>0</v>
      </c>
      <c r="BJ59" s="422">
        <v>0</v>
      </c>
      <c r="BK59" s="422">
        <f t="shared" ref="BK59:BK64" si="169">BA59+BC59+BD59+BF59+BH59+BI59</f>
        <v>1.1000000000000001</v>
      </c>
      <c r="BL59" s="422">
        <f t="shared" ref="BL59:BL64" si="170">BB59+BE59+BG59+BJ59</f>
        <v>-0.05</v>
      </c>
      <c r="BM59" s="611">
        <f t="shared" ref="BM59:BM64" si="171">SUM(BK59:BL59)</f>
        <v>1.05</v>
      </c>
      <c r="BN59" s="428">
        <f t="shared" ref="BN59:BN64" si="172">I59+AZ59</f>
        <v>40548355</v>
      </c>
      <c r="BO59" s="421">
        <f t="shared" ref="BO59:BO64" si="173">J59+AH59</f>
        <v>29605095</v>
      </c>
      <c r="BP59" s="421">
        <f t="shared" ref="BP59:BQ64" si="174">K59+AF59</f>
        <v>27768913</v>
      </c>
      <c r="BQ59" s="421">
        <f t="shared" si="174"/>
        <v>1836182</v>
      </c>
      <c r="BR59" s="421">
        <f t="shared" ref="BR59:BR64" si="175">M59+AQ59</f>
        <v>70400</v>
      </c>
      <c r="BS59" s="421">
        <f t="shared" ref="BS59:BT64" si="176">N59+AO59</f>
        <v>57600</v>
      </c>
      <c r="BT59" s="421">
        <f t="shared" si="176"/>
        <v>12800</v>
      </c>
      <c r="BU59" s="421">
        <f t="shared" ref="BU59:BV64" si="177">P59+AU59</f>
        <v>10030317</v>
      </c>
      <c r="BV59" s="421">
        <f t="shared" si="177"/>
        <v>296050</v>
      </c>
      <c r="BW59" s="421">
        <f t="shared" ref="BW59:BW64" si="178">R59+AY59</f>
        <v>546493</v>
      </c>
      <c r="BX59" s="422">
        <f t="shared" ref="BX59:BX64" si="179">S59+BM59</f>
        <v>45.8354</v>
      </c>
      <c r="BY59" s="422">
        <f t="shared" ref="BY59:BZ64" si="180">T59+BK59</f>
        <v>40.326300000000003</v>
      </c>
      <c r="BZ59" s="611">
        <f t="shared" si="180"/>
        <v>5.509100000000001</v>
      </c>
      <c r="CA59" s="423">
        <v>760272</v>
      </c>
      <c r="CB59" s="418">
        <v>564000</v>
      </c>
      <c r="CC59" s="418">
        <v>0</v>
      </c>
      <c r="CD59" s="418">
        <v>190632</v>
      </c>
      <c r="CE59" s="418">
        <v>5640</v>
      </c>
      <c r="CF59" s="527">
        <v>1</v>
      </c>
    </row>
    <row r="60" spans="1:84" s="222" customFormat="1" x14ac:dyDescent="0.2">
      <c r="A60" s="210">
        <v>12</v>
      </c>
      <c r="B60" s="211">
        <v>4438</v>
      </c>
      <c r="C60" s="211">
        <v>600074871</v>
      </c>
      <c r="D60" s="211">
        <v>49864599</v>
      </c>
      <c r="E60" s="209" t="s">
        <v>168</v>
      </c>
      <c r="F60" s="211">
        <v>3113</v>
      </c>
      <c r="G60" s="165" t="s">
        <v>292</v>
      </c>
      <c r="H60" s="699" t="s">
        <v>272</v>
      </c>
      <c r="I60" s="528">
        <f t="shared" si="152"/>
        <v>0</v>
      </c>
      <c r="J60" s="418">
        <f t="shared" si="153"/>
        <v>0</v>
      </c>
      <c r="K60" s="418">
        <v>0</v>
      </c>
      <c r="L60" s="418">
        <v>0</v>
      </c>
      <c r="M60" s="418">
        <f t="shared" si="154"/>
        <v>0</v>
      </c>
      <c r="N60" s="418"/>
      <c r="O60" s="418"/>
      <c r="P60" s="68">
        <f t="shared" ref="P60:P64" si="181">ROUND(J60*33.8%,0)</f>
        <v>0</v>
      </c>
      <c r="Q60" s="68">
        <f t="shared" ref="Q60:Q64" si="182">ROUND(J60*1%,0)</f>
        <v>0</v>
      </c>
      <c r="R60" s="418">
        <v>0</v>
      </c>
      <c r="S60" s="419">
        <f t="shared" si="155"/>
        <v>0</v>
      </c>
      <c r="T60" s="420">
        <v>0</v>
      </c>
      <c r="U60" s="527">
        <v>0</v>
      </c>
      <c r="V60" s="427">
        <f t="shared" si="156"/>
        <v>0</v>
      </c>
      <c r="W60" s="421">
        <f t="shared" si="156"/>
        <v>0</v>
      </c>
      <c r="X60" s="421">
        <v>5397310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157"/>
        <v>5397310</v>
      </c>
      <c r="AG60" s="421">
        <f t="shared" si="158"/>
        <v>0</v>
      </c>
      <c r="AH60" s="421">
        <f t="shared" si="159"/>
        <v>5397310</v>
      </c>
      <c r="AI60" s="421">
        <v>0</v>
      </c>
      <c r="AJ60" s="421">
        <v>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60"/>
        <v>0</v>
      </c>
      <c r="AP60" s="421">
        <f t="shared" si="161"/>
        <v>0</v>
      </c>
      <c r="AQ60" s="421">
        <f t="shared" si="162"/>
        <v>0</v>
      </c>
      <c r="AR60" s="421">
        <f t="shared" si="163"/>
        <v>5397310</v>
      </c>
      <c r="AS60" s="421">
        <f t="shared" si="163"/>
        <v>0</v>
      </c>
      <c r="AT60" s="421">
        <f t="shared" si="164"/>
        <v>5397310</v>
      </c>
      <c r="AU60" s="68">
        <f t="shared" si="165"/>
        <v>1824291</v>
      </c>
      <c r="AV60" s="68">
        <f t="shared" si="166"/>
        <v>53973</v>
      </c>
      <c r="AW60" s="421">
        <v>7700</v>
      </c>
      <c r="AX60" s="421">
        <v>0</v>
      </c>
      <c r="AY60" s="421">
        <f t="shared" si="167"/>
        <v>7700</v>
      </c>
      <c r="AZ60" s="421">
        <f t="shared" si="168"/>
        <v>7283274</v>
      </c>
      <c r="BA60" s="422">
        <v>0</v>
      </c>
      <c r="BB60" s="422">
        <v>0</v>
      </c>
      <c r="BC60" s="422">
        <v>14.66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 t="shared" si="169"/>
        <v>14.66</v>
      </c>
      <c r="BL60" s="422">
        <f t="shared" si="170"/>
        <v>0</v>
      </c>
      <c r="BM60" s="611">
        <f t="shared" si="171"/>
        <v>14.66</v>
      </c>
      <c r="BN60" s="428">
        <f t="shared" si="172"/>
        <v>7283274</v>
      </c>
      <c r="BO60" s="421">
        <f t="shared" si="173"/>
        <v>5397310</v>
      </c>
      <c r="BP60" s="421">
        <f t="shared" si="174"/>
        <v>5397310</v>
      </c>
      <c r="BQ60" s="421">
        <f t="shared" si="174"/>
        <v>0</v>
      </c>
      <c r="BR60" s="421">
        <f t="shared" si="175"/>
        <v>0</v>
      </c>
      <c r="BS60" s="421">
        <f t="shared" si="176"/>
        <v>0</v>
      </c>
      <c r="BT60" s="421">
        <f t="shared" si="176"/>
        <v>0</v>
      </c>
      <c r="BU60" s="421">
        <f t="shared" si="177"/>
        <v>1824291</v>
      </c>
      <c r="BV60" s="421">
        <f t="shared" si="177"/>
        <v>53973</v>
      </c>
      <c r="BW60" s="421">
        <f t="shared" si="178"/>
        <v>7700</v>
      </c>
      <c r="BX60" s="422">
        <f t="shared" si="179"/>
        <v>14.66</v>
      </c>
      <c r="BY60" s="422">
        <f t="shared" si="180"/>
        <v>14.66</v>
      </c>
      <c r="BZ60" s="611">
        <f t="shared" si="180"/>
        <v>0</v>
      </c>
      <c r="CA60" s="423"/>
      <c r="CB60" s="418"/>
      <c r="CC60" s="418"/>
      <c r="CD60" s="418"/>
      <c r="CE60" s="418"/>
      <c r="CF60" s="527"/>
    </row>
    <row r="61" spans="1:84" s="222" customFormat="1" x14ac:dyDescent="0.2">
      <c r="A61" s="210">
        <v>12</v>
      </c>
      <c r="B61" s="211">
        <v>4438</v>
      </c>
      <c r="C61" s="211">
        <v>600074871</v>
      </c>
      <c r="D61" s="211">
        <v>49864599</v>
      </c>
      <c r="E61" s="209" t="s">
        <v>168</v>
      </c>
      <c r="F61" s="211">
        <v>3141</v>
      </c>
      <c r="G61" s="165" t="s">
        <v>295</v>
      </c>
      <c r="H61" s="699" t="s">
        <v>272</v>
      </c>
      <c r="I61" s="528">
        <f t="shared" si="152"/>
        <v>2149836</v>
      </c>
      <c r="J61" s="418">
        <f t="shared" si="153"/>
        <v>1582930</v>
      </c>
      <c r="K61" s="418">
        <v>0</v>
      </c>
      <c r="L61" s="418">
        <v>1582930</v>
      </c>
      <c r="M61" s="418">
        <f t="shared" si="154"/>
        <v>0</v>
      </c>
      <c r="N61" s="418"/>
      <c r="O61" s="418"/>
      <c r="P61" s="68">
        <f t="shared" si="181"/>
        <v>535030</v>
      </c>
      <c r="Q61" s="68">
        <f t="shared" si="182"/>
        <v>15829</v>
      </c>
      <c r="R61" s="418">
        <v>16047</v>
      </c>
      <c r="S61" s="419">
        <f t="shared" si="155"/>
        <v>4.75</v>
      </c>
      <c r="T61" s="420">
        <v>0</v>
      </c>
      <c r="U61" s="527">
        <v>4.75</v>
      </c>
      <c r="V61" s="427">
        <f t="shared" si="156"/>
        <v>0</v>
      </c>
      <c r="W61" s="421">
        <f t="shared" si="156"/>
        <v>-6400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si="157"/>
        <v>0</v>
      </c>
      <c r="AG61" s="421">
        <f t="shared" si="158"/>
        <v>-6400</v>
      </c>
      <c r="AH61" s="421">
        <f t="shared" si="159"/>
        <v>-6400</v>
      </c>
      <c r="AI61" s="421">
        <v>0</v>
      </c>
      <c r="AJ61" s="421">
        <v>6400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60"/>
        <v>0</v>
      </c>
      <c r="AP61" s="421">
        <f t="shared" si="161"/>
        <v>6400</v>
      </c>
      <c r="AQ61" s="421">
        <f t="shared" si="162"/>
        <v>6400</v>
      </c>
      <c r="AR61" s="421">
        <f t="shared" si="163"/>
        <v>0</v>
      </c>
      <c r="AS61" s="421">
        <f t="shared" si="163"/>
        <v>0</v>
      </c>
      <c r="AT61" s="421">
        <f t="shared" si="164"/>
        <v>0</v>
      </c>
      <c r="AU61" s="68">
        <f t="shared" si="165"/>
        <v>0</v>
      </c>
      <c r="AV61" s="68">
        <f t="shared" si="166"/>
        <v>-64</v>
      </c>
      <c r="AW61" s="421">
        <v>0</v>
      </c>
      <c r="AX61" s="421">
        <v>0</v>
      </c>
      <c r="AY61" s="421">
        <f t="shared" si="167"/>
        <v>0</v>
      </c>
      <c r="AZ61" s="421">
        <f t="shared" si="168"/>
        <v>-64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 t="shared" si="169"/>
        <v>0</v>
      </c>
      <c r="BL61" s="422">
        <f t="shared" si="170"/>
        <v>0</v>
      </c>
      <c r="BM61" s="611">
        <f t="shared" si="171"/>
        <v>0</v>
      </c>
      <c r="BN61" s="428">
        <f t="shared" si="172"/>
        <v>2149772</v>
      </c>
      <c r="BO61" s="421">
        <f t="shared" si="173"/>
        <v>1576530</v>
      </c>
      <c r="BP61" s="421">
        <f t="shared" si="174"/>
        <v>0</v>
      </c>
      <c r="BQ61" s="421">
        <f t="shared" si="174"/>
        <v>1576530</v>
      </c>
      <c r="BR61" s="421">
        <f t="shared" si="175"/>
        <v>6400</v>
      </c>
      <c r="BS61" s="421">
        <f t="shared" si="176"/>
        <v>0</v>
      </c>
      <c r="BT61" s="421">
        <f t="shared" si="176"/>
        <v>6400</v>
      </c>
      <c r="BU61" s="421">
        <f t="shared" si="177"/>
        <v>535030</v>
      </c>
      <c r="BV61" s="421">
        <f t="shared" si="177"/>
        <v>15765</v>
      </c>
      <c r="BW61" s="421">
        <f t="shared" si="178"/>
        <v>16047</v>
      </c>
      <c r="BX61" s="422">
        <f t="shared" si="179"/>
        <v>4.75</v>
      </c>
      <c r="BY61" s="422">
        <f t="shared" si="180"/>
        <v>0</v>
      </c>
      <c r="BZ61" s="611">
        <f t="shared" si="180"/>
        <v>4.75</v>
      </c>
      <c r="CA61" s="423"/>
      <c r="CB61" s="418"/>
      <c r="CC61" s="418"/>
      <c r="CD61" s="418"/>
      <c r="CE61" s="418"/>
      <c r="CF61" s="527"/>
    </row>
    <row r="62" spans="1:84" s="222" customFormat="1" x14ac:dyDescent="0.2">
      <c r="A62" s="210">
        <v>12</v>
      </c>
      <c r="B62" s="211">
        <v>4438</v>
      </c>
      <c r="C62" s="211">
        <v>600074871</v>
      </c>
      <c r="D62" s="211">
        <v>49864599</v>
      </c>
      <c r="E62" s="209" t="s">
        <v>168</v>
      </c>
      <c r="F62" s="211">
        <v>3143</v>
      </c>
      <c r="G62" s="165" t="s">
        <v>596</v>
      </c>
      <c r="H62" s="686" t="s">
        <v>271</v>
      </c>
      <c r="I62" s="528">
        <f t="shared" si="152"/>
        <v>3865736</v>
      </c>
      <c r="J62" s="418">
        <f t="shared" si="153"/>
        <v>2867756</v>
      </c>
      <c r="K62" s="418">
        <v>2867756</v>
      </c>
      <c r="L62" s="418">
        <v>0</v>
      </c>
      <c r="M62" s="418">
        <f t="shared" si="154"/>
        <v>0</v>
      </c>
      <c r="N62" s="418"/>
      <c r="O62" s="418"/>
      <c r="P62" s="68">
        <f t="shared" si="181"/>
        <v>969302</v>
      </c>
      <c r="Q62" s="68">
        <f t="shared" si="182"/>
        <v>28678</v>
      </c>
      <c r="R62" s="418">
        <v>0</v>
      </c>
      <c r="S62" s="419">
        <f t="shared" si="155"/>
        <v>5.8541999999999996</v>
      </c>
      <c r="T62" s="420">
        <v>5.8541999999999996</v>
      </c>
      <c r="U62" s="527">
        <v>0</v>
      </c>
      <c r="V62" s="427">
        <f t="shared" si="156"/>
        <v>0</v>
      </c>
      <c r="W62" s="421">
        <f t="shared" si="156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157"/>
        <v>0</v>
      </c>
      <c r="AG62" s="421">
        <f t="shared" si="158"/>
        <v>0</v>
      </c>
      <c r="AH62" s="421">
        <f t="shared" si="159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60"/>
        <v>0</v>
      </c>
      <c r="AP62" s="421">
        <f t="shared" si="161"/>
        <v>0</v>
      </c>
      <c r="AQ62" s="421">
        <f t="shared" si="162"/>
        <v>0</v>
      </c>
      <c r="AR62" s="421">
        <f t="shared" si="163"/>
        <v>0</v>
      </c>
      <c r="AS62" s="421">
        <f t="shared" si="163"/>
        <v>0</v>
      </c>
      <c r="AT62" s="421">
        <f t="shared" si="164"/>
        <v>0</v>
      </c>
      <c r="AU62" s="68">
        <f t="shared" si="165"/>
        <v>0</v>
      </c>
      <c r="AV62" s="68">
        <f t="shared" si="166"/>
        <v>0</v>
      </c>
      <c r="AW62" s="421">
        <v>0</v>
      </c>
      <c r="AX62" s="421">
        <v>0</v>
      </c>
      <c r="AY62" s="421">
        <f t="shared" si="167"/>
        <v>0</v>
      </c>
      <c r="AZ62" s="421">
        <f t="shared" si="168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 t="shared" si="169"/>
        <v>0</v>
      </c>
      <c r="BL62" s="422">
        <f t="shared" si="170"/>
        <v>0</v>
      </c>
      <c r="BM62" s="611">
        <f t="shared" si="171"/>
        <v>0</v>
      </c>
      <c r="BN62" s="428">
        <f t="shared" si="172"/>
        <v>3865736</v>
      </c>
      <c r="BO62" s="421">
        <f t="shared" si="173"/>
        <v>2867756</v>
      </c>
      <c r="BP62" s="421">
        <f t="shared" si="174"/>
        <v>2867756</v>
      </c>
      <c r="BQ62" s="421">
        <f t="shared" si="174"/>
        <v>0</v>
      </c>
      <c r="BR62" s="421">
        <f t="shared" si="175"/>
        <v>0</v>
      </c>
      <c r="BS62" s="421">
        <f t="shared" si="176"/>
        <v>0</v>
      </c>
      <c r="BT62" s="421">
        <f t="shared" si="176"/>
        <v>0</v>
      </c>
      <c r="BU62" s="421">
        <f t="shared" si="177"/>
        <v>969302</v>
      </c>
      <c r="BV62" s="421">
        <f t="shared" si="177"/>
        <v>28678</v>
      </c>
      <c r="BW62" s="421">
        <f t="shared" si="178"/>
        <v>0</v>
      </c>
      <c r="BX62" s="422">
        <f t="shared" si="179"/>
        <v>5.8541999999999996</v>
      </c>
      <c r="BY62" s="422">
        <f t="shared" si="180"/>
        <v>5.8541999999999996</v>
      </c>
      <c r="BZ62" s="611">
        <f t="shared" si="180"/>
        <v>0</v>
      </c>
      <c r="CA62" s="423"/>
      <c r="CB62" s="418"/>
      <c r="CC62" s="418"/>
      <c r="CD62" s="418"/>
      <c r="CE62" s="418"/>
      <c r="CF62" s="527"/>
    </row>
    <row r="63" spans="1:84" s="222" customFormat="1" x14ac:dyDescent="0.2">
      <c r="A63" s="210">
        <v>12</v>
      </c>
      <c r="B63" s="211">
        <v>4438</v>
      </c>
      <c r="C63" s="211">
        <v>600074871</v>
      </c>
      <c r="D63" s="211">
        <v>49864599</v>
      </c>
      <c r="E63" s="209" t="s">
        <v>168</v>
      </c>
      <c r="F63" s="211">
        <v>3143</v>
      </c>
      <c r="G63" s="165" t="s">
        <v>597</v>
      </c>
      <c r="H63" s="686" t="s">
        <v>272</v>
      </c>
      <c r="I63" s="528">
        <f t="shared" si="152"/>
        <v>93205</v>
      </c>
      <c r="J63" s="418">
        <f t="shared" si="153"/>
        <v>66713</v>
      </c>
      <c r="K63" s="418">
        <v>0</v>
      </c>
      <c r="L63" s="418">
        <v>66713</v>
      </c>
      <c r="M63" s="418">
        <f t="shared" si="154"/>
        <v>0</v>
      </c>
      <c r="N63" s="418"/>
      <c r="O63" s="418"/>
      <c r="P63" s="68">
        <f t="shared" si="181"/>
        <v>22549</v>
      </c>
      <c r="Q63" s="68">
        <f t="shared" si="182"/>
        <v>667</v>
      </c>
      <c r="R63" s="418">
        <v>3276</v>
      </c>
      <c r="S63" s="419">
        <f t="shared" si="155"/>
        <v>0.25</v>
      </c>
      <c r="T63" s="420">
        <v>0</v>
      </c>
      <c r="U63" s="527">
        <v>0.25</v>
      </c>
      <c r="V63" s="427">
        <f t="shared" si="156"/>
        <v>0</v>
      </c>
      <c r="W63" s="421">
        <f t="shared" si="156"/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 t="shared" si="157"/>
        <v>0</v>
      </c>
      <c r="AG63" s="421">
        <f t="shared" si="158"/>
        <v>0</v>
      </c>
      <c r="AH63" s="421">
        <f t="shared" si="159"/>
        <v>0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60"/>
        <v>0</v>
      </c>
      <c r="AP63" s="421">
        <f t="shared" si="161"/>
        <v>0</v>
      </c>
      <c r="AQ63" s="421">
        <f t="shared" si="162"/>
        <v>0</v>
      </c>
      <c r="AR63" s="421">
        <f t="shared" si="163"/>
        <v>0</v>
      </c>
      <c r="AS63" s="421">
        <f t="shared" si="163"/>
        <v>0</v>
      </c>
      <c r="AT63" s="421">
        <f t="shared" si="164"/>
        <v>0</v>
      </c>
      <c r="AU63" s="68">
        <f t="shared" si="165"/>
        <v>0</v>
      </c>
      <c r="AV63" s="68">
        <f t="shared" si="166"/>
        <v>0</v>
      </c>
      <c r="AW63" s="421">
        <v>0</v>
      </c>
      <c r="AX63" s="421">
        <v>0</v>
      </c>
      <c r="AY63" s="421">
        <f t="shared" si="167"/>
        <v>0</v>
      </c>
      <c r="AZ63" s="421">
        <f t="shared" si="168"/>
        <v>0</v>
      </c>
      <c r="BA63" s="422">
        <v>0</v>
      </c>
      <c r="BB63" s="422">
        <v>0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 t="shared" si="169"/>
        <v>0</v>
      </c>
      <c r="BL63" s="422">
        <f t="shared" si="170"/>
        <v>0</v>
      </c>
      <c r="BM63" s="611">
        <f t="shared" si="171"/>
        <v>0</v>
      </c>
      <c r="BN63" s="428">
        <f t="shared" si="172"/>
        <v>93205</v>
      </c>
      <c r="BO63" s="421">
        <f t="shared" si="173"/>
        <v>66713</v>
      </c>
      <c r="BP63" s="421">
        <f t="shared" si="174"/>
        <v>0</v>
      </c>
      <c r="BQ63" s="421">
        <f t="shared" si="174"/>
        <v>66713</v>
      </c>
      <c r="BR63" s="421">
        <f t="shared" si="175"/>
        <v>0</v>
      </c>
      <c r="BS63" s="421">
        <f t="shared" si="176"/>
        <v>0</v>
      </c>
      <c r="BT63" s="421">
        <f t="shared" si="176"/>
        <v>0</v>
      </c>
      <c r="BU63" s="421">
        <f t="shared" si="177"/>
        <v>22549</v>
      </c>
      <c r="BV63" s="421">
        <f t="shared" si="177"/>
        <v>667</v>
      </c>
      <c r="BW63" s="421">
        <f t="shared" si="178"/>
        <v>3276</v>
      </c>
      <c r="BX63" s="422">
        <f t="shared" si="179"/>
        <v>0.25</v>
      </c>
      <c r="BY63" s="422">
        <f t="shared" si="180"/>
        <v>0</v>
      </c>
      <c r="BZ63" s="611">
        <f t="shared" si="180"/>
        <v>0.25</v>
      </c>
      <c r="CA63" s="423"/>
      <c r="CB63" s="418"/>
      <c r="CC63" s="418"/>
      <c r="CD63" s="418"/>
      <c r="CE63" s="418"/>
      <c r="CF63" s="527"/>
    </row>
    <row r="64" spans="1:84" s="222" customFormat="1" x14ac:dyDescent="0.2">
      <c r="A64" s="210">
        <v>12</v>
      </c>
      <c r="B64" s="211">
        <v>4438</v>
      </c>
      <c r="C64" s="211">
        <v>600074871</v>
      </c>
      <c r="D64" s="211">
        <v>49864599</v>
      </c>
      <c r="E64" s="209" t="s">
        <v>168</v>
      </c>
      <c r="F64" s="211">
        <v>3143</v>
      </c>
      <c r="G64" s="165" t="s">
        <v>297</v>
      </c>
      <c r="H64" s="686" t="s">
        <v>272</v>
      </c>
      <c r="I64" s="528">
        <f t="shared" si="152"/>
        <v>411702</v>
      </c>
      <c r="J64" s="418">
        <f t="shared" si="153"/>
        <v>305123</v>
      </c>
      <c r="K64" s="418">
        <v>293032</v>
      </c>
      <c r="L64" s="418">
        <v>12091</v>
      </c>
      <c r="M64" s="418">
        <f t="shared" si="154"/>
        <v>0</v>
      </c>
      <c r="N64" s="418"/>
      <c r="O64" s="418"/>
      <c r="P64" s="68">
        <f t="shared" si="181"/>
        <v>103132</v>
      </c>
      <c r="Q64" s="68">
        <f t="shared" si="182"/>
        <v>3051</v>
      </c>
      <c r="R64" s="418">
        <v>396</v>
      </c>
      <c r="S64" s="419">
        <f t="shared" si="155"/>
        <v>0.63</v>
      </c>
      <c r="T64" s="420">
        <v>0.57999999999999996</v>
      </c>
      <c r="U64" s="527">
        <v>0.05</v>
      </c>
      <c r="V64" s="427">
        <f t="shared" si="156"/>
        <v>0</v>
      </c>
      <c r="W64" s="421">
        <f t="shared" si="156"/>
        <v>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 t="shared" si="157"/>
        <v>0</v>
      </c>
      <c r="AG64" s="421">
        <f t="shared" si="158"/>
        <v>0</v>
      </c>
      <c r="AH64" s="421">
        <f t="shared" si="159"/>
        <v>0</v>
      </c>
      <c r="AI64" s="421">
        <v>0</v>
      </c>
      <c r="AJ64" s="421">
        <v>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60"/>
        <v>0</v>
      </c>
      <c r="AP64" s="421">
        <f t="shared" si="161"/>
        <v>0</v>
      </c>
      <c r="AQ64" s="421">
        <f t="shared" si="162"/>
        <v>0</v>
      </c>
      <c r="AR64" s="421">
        <f t="shared" si="163"/>
        <v>0</v>
      </c>
      <c r="AS64" s="421">
        <f t="shared" si="163"/>
        <v>0</v>
      </c>
      <c r="AT64" s="421">
        <f t="shared" si="164"/>
        <v>0</v>
      </c>
      <c r="AU64" s="68">
        <f t="shared" si="165"/>
        <v>0</v>
      </c>
      <c r="AV64" s="68">
        <f t="shared" si="166"/>
        <v>0</v>
      </c>
      <c r="AW64" s="421">
        <v>0</v>
      </c>
      <c r="AX64" s="421">
        <v>0</v>
      </c>
      <c r="AY64" s="421">
        <f t="shared" si="167"/>
        <v>0</v>
      </c>
      <c r="AZ64" s="421">
        <f t="shared" si="168"/>
        <v>0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 t="shared" si="169"/>
        <v>0</v>
      </c>
      <c r="BL64" s="422">
        <f t="shared" si="170"/>
        <v>0</v>
      </c>
      <c r="BM64" s="611">
        <f t="shared" si="171"/>
        <v>0</v>
      </c>
      <c r="BN64" s="428">
        <f t="shared" si="172"/>
        <v>411702</v>
      </c>
      <c r="BO64" s="421">
        <f t="shared" si="173"/>
        <v>305123</v>
      </c>
      <c r="BP64" s="421">
        <f t="shared" si="174"/>
        <v>293032</v>
      </c>
      <c r="BQ64" s="421">
        <f t="shared" si="174"/>
        <v>12091</v>
      </c>
      <c r="BR64" s="421">
        <f t="shared" si="175"/>
        <v>0</v>
      </c>
      <c r="BS64" s="421">
        <f t="shared" si="176"/>
        <v>0</v>
      </c>
      <c r="BT64" s="421">
        <f t="shared" si="176"/>
        <v>0</v>
      </c>
      <c r="BU64" s="421">
        <f t="shared" si="177"/>
        <v>103132</v>
      </c>
      <c r="BV64" s="421">
        <f t="shared" si="177"/>
        <v>3051</v>
      </c>
      <c r="BW64" s="421">
        <f t="shared" si="178"/>
        <v>396</v>
      </c>
      <c r="BX64" s="422">
        <f t="shared" si="179"/>
        <v>0.63</v>
      </c>
      <c r="BY64" s="422">
        <f t="shared" si="180"/>
        <v>0.57999999999999996</v>
      </c>
      <c r="BZ64" s="611">
        <f t="shared" si="180"/>
        <v>0.05</v>
      </c>
      <c r="CA64" s="423"/>
      <c r="CB64" s="418"/>
      <c r="CC64" s="418"/>
      <c r="CD64" s="418"/>
      <c r="CE64" s="418"/>
      <c r="CF64" s="527"/>
    </row>
    <row r="65" spans="1:84" s="222" customFormat="1" x14ac:dyDescent="0.2">
      <c r="A65" s="155">
        <v>12</v>
      </c>
      <c r="B65" s="18">
        <v>4438</v>
      </c>
      <c r="C65" s="18">
        <v>600074871</v>
      </c>
      <c r="D65" s="18">
        <v>49864599</v>
      </c>
      <c r="E65" s="164" t="s">
        <v>169</v>
      </c>
      <c r="F65" s="18"/>
      <c r="G65" s="154"/>
      <c r="H65" s="685"/>
      <c r="I65" s="458">
        <f t="shared" ref="I65:BT65" si="183">SUM(I59:I64)</f>
        <v>46121867</v>
      </c>
      <c r="J65" s="451">
        <f t="shared" si="183"/>
        <v>33794997</v>
      </c>
      <c r="K65" s="451">
        <f t="shared" si="183"/>
        <v>30284281</v>
      </c>
      <c r="L65" s="451">
        <f t="shared" si="183"/>
        <v>3510716</v>
      </c>
      <c r="M65" s="451">
        <f t="shared" si="183"/>
        <v>0</v>
      </c>
      <c r="N65" s="451">
        <f t="shared" si="183"/>
        <v>0</v>
      </c>
      <c r="O65" s="451">
        <f t="shared" si="183"/>
        <v>0</v>
      </c>
      <c r="P65" s="451">
        <f t="shared" si="183"/>
        <v>11422709</v>
      </c>
      <c r="Q65" s="451">
        <f t="shared" si="183"/>
        <v>337949</v>
      </c>
      <c r="R65" s="451">
        <f t="shared" si="183"/>
        <v>566212</v>
      </c>
      <c r="S65" s="452">
        <f t="shared" si="183"/>
        <v>56.269600000000004</v>
      </c>
      <c r="T65" s="452">
        <f t="shared" si="183"/>
        <v>45.660499999999999</v>
      </c>
      <c r="U65" s="39">
        <f t="shared" si="183"/>
        <v>10.609100000000002</v>
      </c>
      <c r="V65" s="458">
        <f t="shared" si="183"/>
        <v>-57600</v>
      </c>
      <c r="W65" s="451">
        <f t="shared" si="183"/>
        <v>-19200</v>
      </c>
      <c r="X65" s="451">
        <f t="shared" si="183"/>
        <v>5397310</v>
      </c>
      <c r="Y65" s="451">
        <f t="shared" si="183"/>
        <v>0</v>
      </c>
      <c r="Z65" s="451">
        <f t="shared" si="183"/>
        <v>0</v>
      </c>
      <c r="AA65" s="451">
        <f t="shared" si="183"/>
        <v>139020</v>
      </c>
      <c r="AB65" s="451">
        <f t="shared" si="183"/>
        <v>564000</v>
      </c>
      <c r="AC65" s="451">
        <f t="shared" si="183"/>
        <v>0</v>
      </c>
      <c r="AD65" s="451">
        <f t="shared" si="183"/>
        <v>0</v>
      </c>
      <c r="AE65" s="451">
        <f t="shared" si="183"/>
        <v>0</v>
      </c>
      <c r="AF65" s="451">
        <f t="shared" si="183"/>
        <v>6042730</v>
      </c>
      <c r="AG65" s="451">
        <f t="shared" si="183"/>
        <v>-19200</v>
      </c>
      <c r="AH65" s="451">
        <f t="shared" si="183"/>
        <v>6023530</v>
      </c>
      <c r="AI65" s="451">
        <f t="shared" si="183"/>
        <v>57600</v>
      </c>
      <c r="AJ65" s="451">
        <f t="shared" si="183"/>
        <v>19200</v>
      </c>
      <c r="AK65" s="451">
        <f t="shared" ref="AK65" si="184">SUM(AK59:AK64)</f>
        <v>0</v>
      </c>
      <c r="AL65" s="451">
        <f t="shared" si="183"/>
        <v>0</v>
      </c>
      <c r="AM65" s="451">
        <f t="shared" si="183"/>
        <v>0</v>
      </c>
      <c r="AN65" s="451">
        <f t="shared" si="183"/>
        <v>0</v>
      </c>
      <c r="AO65" s="451">
        <f t="shared" si="183"/>
        <v>57600</v>
      </c>
      <c r="AP65" s="451">
        <f t="shared" si="183"/>
        <v>19200</v>
      </c>
      <c r="AQ65" s="451">
        <f t="shared" si="183"/>
        <v>76800</v>
      </c>
      <c r="AR65" s="451">
        <f t="shared" si="183"/>
        <v>6100330</v>
      </c>
      <c r="AS65" s="451">
        <f t="shared" si="183"/>
        <v>0</v>
      </c>
      <c r="AT65" s="451">
        <f t="shared" si="183"/>
        <v>6100330</v>
      </c>
      <c r="AU65" s="451">
        <f t="shared" si="183"/>
        <v>2061912</v>
      </c>
      <c r="AV65" s="451">
        <f t="shared" si="183"/>
        <v>60235</v>
      </c>
      <c r="AW65" s="451">
        <f t="shared" si="183"/>
        <v>7700</v>
      </c>
      <c r="AX65" s="451">
        <f t="shared" si="183"/>
        <v>0</v>
      </c>
      <c r="AY65" s="451">
        <f t="shared" si="183"/>
        <v>7700</v>
      </c>
      <c r="AZ65" s="451">
        <f t="shared" si="183"/>
        <v>8230177</v>
      </c>
      <c r="BA65" s="452">
        <f t="shared" si="183"/>
        <v>-0.1</v>
      </c>
      <c r="BB65" s="452">
        <f t="shared" si="183"/>
        <v>-0.05</v>
      </c>
      <c r="BC65" s="452">
        <f t="shared" si="183"/>
        <v>14.66</v>
      </c>
      <c r="BD65" s="452">
        <f t="shared" si="183"/>
        <v>1</v>
      </c>
      <c r="BE65" s="452">
        <f t="shared" si="183"/>
        <v>0</v>
      </c>
      <c r="BF65" s="452">
        <f t="shared" si="183"/>
        <v>0</v>
      </c>
      <c r="BG65" s="452">
        <f t="shared" si="183"/>
        <v>0</v>
      </c>
      <c r="BH65" s="452">
        <f t="shared" si="183"/>
        <v>0.2</v>
      </c>
      <c r="BI65" s="452">
        <f t="shared" si="183"/>
        <v>0</v>
      </c>
      <c r="BJ65" s="452">
        <f t="shared" si="183"/>
        <v>0</v>
      </c>
      <c r="BK65" s="452">
        <f t="shared" si="183"/>
        <v>15.76</v>
      </c>
      <c r="BL65" s="452">
        <f t="shared" si="183"/>
        <v>-0.05</v>
      </c>
      <c r="BM65" s="456">
        <f t="shared" si="183"/>
        <v>15.71</v>
      </c>
      <c r="BN65" s="454">
        <f t="shared" si="183"/>
        <v>54352044</v>
      </c>
      <c r="BO65" s="451">
        <f t="shared" si="183"/>
        <v>39818527</v>
      </c>
      <c r="BP65" s="451">
        <f t="shared" si="183"/>
        <v>36327011</v>
      </c>
      <c r="BQ65" s="451">
        <f t="shared" si="183"/>
        <v>3491516</v>
      </c>
      <c r="BR65" s="451">
        <f t="shared" si="183"/>
        <v>76800</v>
      </c>
      <c r="BS65" s="451">
        <f t="shared" si="183"/>
        <v>57600</v>
      </c>
      <c r="BT65" s="451">
        <f t="shared" si="183"/>
        <v>19200</v>
      </c>
      <c r="BU65" s="451">
        <f t="shared" ref="BU65:CF65" si="185">SUM(BU59:BU64)</f>
        <v>13484621</v>
      </c>
      <c r="BV65" s="451">
        <f t="shared" si="185"/>
        <v>398184</v>
      </c>
      <c r="BW65" s="451">
        <f t="shared" si="185"/>
        <v>573912</v>
      </c>
      <c r="BX65" s="452">
        <f t="shared" si="185"/>
        <v>71.979600000000005</v>
      </c>
      <c r="BY65" s="452">
        <f t="shared" si="185"/>
        <v>61.420499999999997</v>
      </c>
      <c r="BZ65" s="456">
        <f t="shared" si="185"/>
        <v>10.559100000000001</v>
      </c>
      <c r="CA65" s="854">
        <f t="shared" si="185"/>
        <v>760272</v>
      </c>
      <c r="CB65" s="852">
        <f t="shared" si="185"/>
        <v>564000</v>
      </c>
      <c r="CC65" s="852">
        <f t="shared" si="185"/>
        <v>0</v>
      </c>
      <c r="CD65" s="852">
        <f t="shared" si="185"/>
        <v>190632</v>
      </c>
      <c r="CE65" s="852">
        <f t="shared" si="185"/>
        <v>5640</v>
      </c>
      <c r="CF65" s="848">
        <f t="shared" si="185"/>
        <v>1</v>
      </c>
    </row>
    <row r="66" spans="1:84" s="222" customFormat="1" x14ac:dyDescent="0.2">
      <c r="A66" s="210">
        <v>13</v>
      </c>
      <c r="B66" s="211">
        <v>4455</v>
      </c>
      <c r="C66" s="211">
        <v>600074889</v>
      </c>
      <c r="D66" s="211">
        <v>49864611</v>
      </c>
      <c r="E66" s="209" t="s">
        <v>170</v>
      </c>
      <c r="F66" s="211">
        <v>3113</v>
      </c>
      <c r="G66" s="165" t="s">
        <v>294</v>
      </c>
      <c r="H66" s="699" t="s">
        <v>271</v>
      </c>
      <c r="I66" s="528">
        <f t="shared" ref="I66:I70" si="186">J66+P66+Q66+R66</f>
        <v>42068309</v>
      </c>
      <c r="J66" s="418">
        <f t="shared" ref="J66:J70" si="187">K66+L66</f>
        <v>30798741</v>
      </c>
      <c r="K66" s="418">
        <v>28900725</v>
      </c>
      <c r="L66" s="418">
        <v>1898016</v>
      </c>
      <c r="M66" s="418">
        <f t="shared" ref="M66:M70" si="188">N66+O66</f>
        <v>0</v>
      </c>
      <c r="N66" s="418"/>
      <c r="O66" s="418"/>
      <c r="P66" s="68">
        <f>ROUND(J66*33.8%,0)+1</f>
        <v>10409975</v>
      </c>
      <c r="Q66" s="68">
        <f t="shared" ref="Q66:Q70" si="189">ROUND(J66*1%,0)</f>
        <v>307987</v>
      </c>
      <c r="R66" s="418">
        <v>551606</v>
      </c>
      <c r="S66" s="419">
        <f t="shared" ref="S66:S70" si="190">T66+U66</f>
        <v>46.1736</v>
      </c>
      <c r="T66" s="420">
        <v>40.454500000000003</v>
      </c>
      <c r="U66" s="527">
        <v>5.7191000000000001</v>
      </c>
      <c r="V66" s="427">
        <f t="shared" ref="V66:W70" si="191">AI66*-1</f>
        <v>-19200</v>
      </c>
      <c r="W66" s="421">
        <f t="shared" si="191"/>
        <v>-38400</v>
      </c>
      <c r="X66" s="421">
        <v>0</v>
      </c>
      <c r="Y66" s="421">
        <v>0</v>
      </c>
      <c r="Z66" s="421">
        <v>0</v>
      </c>
      <c r="AA66" s="421">
        <v>152922</v>
      </c>
      <c r="AB66" s="421">
        <v>0</v>
      </c>
      <c r="AC66" s="421">
        <v>0</v>
      </c>
      <c r="AD66" s="421">
        <v>0</v>
      </c>
      <c r="AE66" s="421">
        <v>0</v>
      </c>
      <c r="AF66" s="421">
        <f t="shared" ref="AF66:AF70" si="192">V66+X66+Y66+AA66+AB66+AD66</f>
        <v>133722</v>
      </c>
      <c r="AG66" s="421">
        <f t="shared" ref="AG66:AG70" si="193">W66+Z66+AC66+AE66</f>
        <v>-38400</v>
      </c>
      <c r="AH66" s="421">
        <f t="shared" ref="AH66:AH70" si="194">SUM(AF66:AG66)</f>
        <v>95322</v>
      </c>
      <c r="AI66" s="421">
        <v>19200</v>
      </c>
      <c r="AJ66" s="421">
        <v>38400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ref="AO66:AO70" si="195">AI66+AK66+AL66+AM66</f>
        <v>19200</v>
      </c>
      <c r="AP66" s="421">
        <f t="shared" ref="AP66:AP70" si="196">AJ66+AN66</f>
        <v>38400</v>
      </c>
      <c r="AQ66" s="421">
        <f t="shared" ref="AQ66:AQ70" si="197">SUM(AO66:AP66)</f>
        <v>57600</v>
      </c>
      <c r="AR66" s="421">
        <f t="shared" ref="AR66:AS70" si="198">AF66+AO66</f>
        <v>152922</v>
      </c>
      <c r="AS66" s="421">
        <f t="shared" si="198"/>
        <v>0</v>
      </c>
      <c r="AT66" s="421">
        <f t="shared" ref="AT66:AT70" si="199">SUM(AR66:AS66)</f>
        <v>152922</v>
      </c>
      <c r="AU66" s="68">
        <f t="shared" ref="AU66:AU70" si="200">ROUND((AH66+AI66+AJ66+AK66+AL66)*33.8%,0)</f>
        <v>51688</v>
      </c>
      <c r="AV66" s="68">
        <f t="shared" ref="AV66:AV70" si="201">ROUND(AH66*1%,0)</f>
        <v>953</v>
      </c>
      <c r="AW66" s="421">
        <v>0</v>
      </c>
      <c r="AX66" s="421">
        <v>0</v>
      </c>
      <c r="AY66" s="421">
        <f t="shared" ref="AY66:AY70" si="202">AW66+AX66</f>
        <v>0</v>
      </c>
      <c r="AZ66" s="421">
        <f t="shared" ref="AZ66:AZ70" si="203">AT66+AU66+AV66+AY66</f>
        <v>205563</v>
      </c>
      <c r="BA66" s="422">
        <v>-0.02</v>
      </c>
      <c r="BB66" s="422">
        <v>-0.14000000000000001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0.22</v>
      </c>
      <c r="BI66" s="422">
        <v>0</v>
      </c>
      <c r="BJ66" s="422">
        <v>0</v>
      </c>
      <c r="BK66" s="422">
        <f t="shared" ref="BK66:BK70" si="204">BA66+BC66+BD66+BF66+BH66+BI66</f>
        <v>0.2</v>
      </c>
      <c r="BL66" s="422">
        <f t="shared" ref="BL66:BL70" si="205">BB66+BE66+BG66+BJ66</f>
        <v>-0.14000000000000001</v>
      </c>
      <c r="BM66" s="611">
        <f t="shared" ref="BM66:BM70" si="206">SUM(BK66:BL66)</f>
        <v>0.06</v>
      </c>
      <c r="BN66" s="428">
        <f t="shared" ref="BN66:BN70" si="207">I66+AZ66</f>
        <v>42273872</v>
      </c>
      <c r="BO66" s="421">
        <f t="shared" ref="BO66:BO70" si="208">J66+AH66</f>
        <v>30894063</v>
      </c>
      <c r="BP66" s="421">
        <f t="shared" ref="BP66:BQ70" si="209">K66+AF66</f>
        <v>29034447</v>
      </c>
      <c r="BQ66" s="421">
        <f t="shared" si="209"/>
        <v>1859616</v>
      </c>
      <c r="BR66" s="421">
        <f>M66+AQ66</f>
        <v>57600</v>
      </c>
      <c r="BS66" s="421">
        <f t="shared" ref="BS66:BT70" si="210">N66+AO66</f>
        <v>19200</v>
      </c>
      <c r="BT66" s="421">
        <f t="shared" si="210"/>
        <v>38400</v>
      </c>
      <c r="BU66" s="421">
        <f t="shared" ref="BU66:BV70" si="211">P66+AU66</f>
        <v>10461663</v>
      </c>
      <c r="BV66" s="421">
        <f t="shared" si="211"/>
        <v>308940</v>
      </c>
      <c r="BW66" s="421">
        <f>R66+AY66</f>
        <v>551606</v>
      </c>
      <c r="BX66" s="422">
        <f>S66+BM66</f>
        <v>46.233600000000003</v>
      </c>
      <c r="BY66" s="422">
        <f t="shared" ref="BY66:BZ70" si="212">T66+BK66</f>
        <v>40.654500000000006</v>
      </c>
      <c r="BZ66" s="611">
        <f t="shared" si="212"/>
        <v>5.5791000000000004</v>
      </c>
      <c r="CA66" s="423"/>
      <c r="CB66" s="418"/>
      <c r="CC66" s="418"/>
      <c r="CD66" s="418"/>
      <c r="CE66" s="418"/>
      <c r="CF66" s="527"/>
    </row>
    <row r="67" spans="1:84" s="222" customFormat="1" x14ac:dyDescent="0.2">
      <c r="A67" s="210">
        <v>13</v>
      </c>
      <c r="B67" s="211">
        <v>4455</v>
      </c>
      <c r="C67" s="211">
        <v>600074889</v>
      </c>
      <c r="D67" s="211">
        <v>49864611</v>
      </c>
      <c r="E67" s="209" t="s">
        <v>170</v>
      </c>
      <c r="F67" s="211">
        <v>3113</v>
      </c>
      <c r="G67" s="165" t="s">
        <v>292</v>
      </c>
      <c r="H67" s="699" t="s">
        <v>272</v>
      </c>
      <c r="I67" s="528">
        <f t="shared" si="186"/>
        <v>0</v>
      </c>
      <c r="J67" s="418">
        <f t="shared" si="187"/>
        <v>0</v>
      </c>
      <c r="K67" s="418">
        <v>0</v>
      </c>
      <c r="L67" s="418">
        <v>0</v>
      </c>
      <c r="M67" s="418">
        <f t="shared" si="188"/>
        <v>0</v>
      </c>
      <c r="N67" s="418"/>
      <c r="O67" s="418"/>
      <c r="P67" s="68">
        <f t="shared" ref="P67:P70" si="213">ROUND(J67*33.8%,0)</f>
        <v>0</v>
      </c>
      <c r="Q67" s="68">
        <f t="shared" si="189"/>
        <v>0</v>
      </c>
      <c r="R67" s="418">
        <v>0</v>
      </c>
      <c r="S67" s="419">
        <f t="shared" si="190"/>
        <v>0</v>
      </c>
      <c r="T67" s="420">
        <v>0</v>
      </c>
      <c r="U67" s="527">
        <v>0</v>
      </c>
      <c r="V67" s="427">
        <f t="shared" si="191"/>
        <v>0</v>
      </c>
      <c r="W67" s="421">
        <f t="shared" si="191"/>
        <v>0</v>
      </c>
      <c r="X67" s="421">
        <v>1957017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 t="shared" si="192"/>
        <v>1957017</v>
      </c>
      <c r="AG67" s="421">
        <f t="shared" si="193"/>
        <v>0</v>
      </c>
      <c r="AH67" s="421">
        <f t="shared" si="194"/>
        <v>1957017</v>
      </c>
      <c r="AI67" s="421">
        <v>0</v>
      </c>
      <c r="AJ67" s="421">
        <v>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195"/>
        <v>0</v>
      </c>
      <c r="AP67" s="421">
        <f t="shared" si="196"/>
        <v>0</v>
      </c>
      <c r="AQ67" s="421">
        <f t="shared" si="197"/>
        <v>0</v>
      </c>
      <c r="AR67" s="421">
        <f t="shared" si="198"/>
        <v>1957017</v>
      </c>
      <c r="AS67" s="421">
        <f t="shared" si="198"/>
        <v>0</v>
      </c>
      <c r="AT67" s="421">
        <f t="shared" si="199"/>
        <v>1957017</v>
      </c>
      <c r="AU67" s="68">
        <f t="shared" si="200"/>
        <v>661472</v>
      </c>
      <c r="AV67" s="68">
        <f t="shared" si="201"/>
        <v>19570</v>
      </c>
      <c r="AW67" s="421">
        <v>2500</v>
      </c>
      <c r="AX67" s="421">
        <v>0</v>
      </c>
      <c r="AY67" s="421">
        <f t="shared" si="202"/>
        <v>2500</v>
      </c>
      <c r="AZ67" s="421">
        <f t="shared" si="203"/>
        <v>2640559</v>
      </c>
      <c r="BA67" s="422">
        <v>0</v>
      </c>
      <c r="BB67" s="422">
        <v>0</v>
      </c>
      <c r="BC67" s="422">
        <v>5.28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 t="shared" si="204"/>
        <v>5.28</v>
      </c>
      <c r="BL67" s="422">
        <f t="shared" si="205"/>
        <v>0</v>
      </c>
      <c r="BM67" s="611">
        <f t="shared" si="206"/>
        <v>5.28</v>
      </c>
      <c r="BN67" s="428">
        <f t="shared" si="207"/>
        <v>2640559</v>
      </c>
      <c r="BO67" s="421">
        <f t="shared" si="208"/>
        <v>1957017</v>
      </c>
      <c r="BP67" s="421">
        <f t="shared" si="209"/>
        <v>1957017</v>
      </c>
      <c r="BQ67" s="421">
        <f t="shared" si="209"/>
        <v>0</v>
      </c>
      <c r="BR67" s="421">
        <f>M67+AQ67</f>
        <v>0</v>
      </c>
      <c r="BS67" s="421">
        <f t="shared" si="210"/>
        <v>0</v>
      </c>
      <c r="BT67" s="421">
        <f t="shared" si="210"/>
        <v>0</v>
      </c>
      <c r="BU67" s="421">
        <f t="shared" si="211"/>
        <v>661472</v>
      </c>
      <c r="BV67" s="421">
        <f t="shared" si="211"/>
        <v>19570</v>
      </c>
      <c r="BW67" s="421">
        <f>R67+AY67</f>
        <v>2500</v>
      </c>
      <c r="BX67" s="422">
        <f>S67+BM67</f>
        <v>5.28</v>
      </c>
      <c r="BY67" s="422">
        <f t="shared" si="212"/>
        <v>5.28</v>
      </c>
      <c r="BZ67" s="611">
        <f t="shared" si="212"/>
        <v>0</v>
      </c>
      <c r="CA67" s="423"/>
      <c r="CB67" s="418"/>
      <c r="CC67" s="418"/>
      <c r="CD67" s="418"/>
      <c r="CE67" s="418"/>
      <c r="CF67" s="527"/>
    </row>
    <row r="68" spans="1:84" s="222" customFormat="1" x14ac:dyDescent="0.2">
      <c r="A68" s="210">
        <v>13</v>
      </c>
      <c r="B68" s="211">
        <v>4455</v>
      </c>
      <c r="C68" s="211">
        <v>600074889</v>
      </c>
      <c r="D68" s="211">
        <v>49864611</v>
      </c>
      <c r="E68" s="209" t="s">
        <v>170</v>
      </c>
      <c r="F68" s="211">
        <v>3141</v>
      </c>
      <c r="G68" s="165" t="s">
        <v>295</v>
      </c>
      <c r="H68" s="699" t="s">
        <v>272</v>
      </c>
      <c r="I68" s="528">
        <f t="shared" si="186"/>
        <v>2041030</v>
      </c>
      <c r="J68" s="418">
        <f t="shared" si="187"/>
        <v>1502894</v>
      </c>
      <c r="K68" s="418">
        <v>0</v>
      </c>
      <c r="L68" s="418">
        <v>1502894</v>
      </c>
      <c r="M68" s="418">
        <f t="shared" si="188"/>
        <v>0</v>
      </c>
      <c r="N68" s="418"/>
      <c r="O68" s="418"/>
      <c r="P68" s="68">
        <f t="shared" si="213"/>
        <v>507978</v>
      </c>
      <c r="Q68" s="68">
        <f t="shared" si="189"/>
        <v>15029</v>
      </c>
      <c r="R68" s="418">
        <v>15129</v>
      </c>
      <c r="S68" s="419">
        <f t="shared" si="190"/>
        <v>4.51</v>
      </c>
      <c r="T68" s="420">
        <v>0</v>
      </c>
      <c r="U68" s="527">
        <v>4.51</v>
      </c>
      <c r="V68" s="427">
        <f t="shared" si="191"/>
        <v>0</v>
      </c>
      <c r="W68" s="421">
        <f t="shared" si="191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si="192"/>
        <v>0</v>
      </c>
      <c r="AG68" s="421">
        <f t="shared" si="193"/>
        <v>0</v>
      </c>
      <c r="AH68" s="421">
        <f t="shared" si="194"/>
        <v>0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95"/>
        <v>0</v>
      </c>
      <c r="AP68" s="421">
        <f t="shared" si="196"/>
        <v>0</v>
      </c>
      <c r="AQ68" s="421">
        <f t="shared" si="197"/>
        <v>0</v>
      </c>
      <c r="AR68" s="421">
        <f t="shared" si="198"/>
        <v>0</v>
      </c>
      <c r="AS68" s="421">
        <f t="shared" si="198"/>
        <v>0</v>
      </c>
      <c r="AT68" s="421">
        <f t="shared" si="199"/>
        <v>0</v>
      </c>
      <c r="AU68" s="68">
        <f t="shared" si="200"/>
        <v>0</v>
      </c>
      <c r="AV68" s="68">
        <f t="shared" si="201"/>
        <v>0</v>
      </c>
      <c r="AW68" s="421">
        <v>0</v>
      </c>
      <c r="AX68" s="421">
        <v>0</v>
      </c>
      <c r="AY68" s="421">
        <f t="shared" si="202"/>
        <v>0</v>
      </c>
      <c r="AZ68" s="421">
        <f t="shared" si="203"/>
        <v>0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 t="shared" si="204"/>
        <v>0</v>
      </c>
      <c r="BL68" s="422">
        <f t="shared" si="205"/>
        <v>0</v>
      </c>
      <c r="BM68" s="611">
        <f t="shared" si="206"/>
        <v>0</v>
      </c>
      <c r="BN68" s="428">
        <f t="shared" si="207"/>
        <v>2041030</v>
      </c>
      <c r="BO68" s="421">
        <f t="shared" si="208"/>
        <v>1502894</v>
      </c>
      <c r="BP68" s="421">
        <f t="shared" si="209"/>
        <v>0</v>
      </c>
      <c r="BQ68" s="421">
        <f t="shared" si="209"/>
        <v>1502894</v>
      </c>
      <c r="BR68" s="421">
        <f>M68+AQ68</f>
        <v>0</v>
      </c>
      <c r="BS68" s="421">
        <f t="shared" si="210"/>
        <v>0</v>
      </c>
      <c r="BT68" s="421">
        <f t="shared" si="210"/>
        <v>0</v>
      </c>
      <c r="BU68" s="421">
        <f t="shared" si="211"/>
        <v>507978</v>
      </c>
      <c r="BV68" s="421">
        <f t="shared" si="211"/>
        <v>15029</v>
      </c>
      <c r="BW68" s="421">
        <f>R68+AY68</f>
        <v>15129</v>
      </c>
      <c r="BX68" s="422">
        <f>S68+BM68</f>
        <v>4.51</v>
      </c>
      <c r="BY68" s="422">
        <f t="shared" si="212"/>
        <v>0</v>
      </c>
      <c r="BZ68" s="611">
        <f t="shared" si="212"/>
        <v>4.51</v>
      </c>
      <c r="CA68" s="423"/>
      <c r="CB68" s="418"/>
      <c r="CC68" s="418"/>
      <c r="CD68" s="418"/>
      <c r="CE68" s="418"/>
      <c r="CF68" s="527"/>
    </row>
    <row r="69" spans="1:84" s="222" customFormat="1" x14ac:dyDescent="0.2">
      <c r="A69" s="210">
        <v>13</v>
      </c>
      <c r="B69" s="211">
        <v>4455</v>
      </c>
      <c r="C69" s="211">
        <v>600074889</v>
      </c>
      <c r="D69" s="211">
        <v>49864611</v>
      </c>
      <c r="E69" s="209" t="s">
        <v>170</v>
      </c>
      <c r="F69" s="211">
        <v>3143</v>
      </c>
      <c r="G69" s="165" t="s">
        <v>596</v>
      </c>
      <c r="H69" s="686" t="s">
        <v>271</v>
      </c>
      <c r="I69" s="528">
        <f t="shared" si="186"/>
        <v>3961322</v>
      </c>
      <c r="J69" s="418">
        <f t="shared" si="187"/>
        <v>2938666</v>
      </c>
      <c r="K69" s="418">
        <v>2938666</v>
      </c>
      <c r="L69" s="418">
        <v>0</v>
      </c>
      <c r="M69" s="418">
        <f t="shared" si="188"/>
        <v>0</v>
      </c>
      <c r="N69" s="418"/>
      <c r="O69" s="418"/>
      <c r="P69" s="68">
        <f t="shared" si="213"/>
        <v>993269</v>
      </c>
      <c r="Q69" s="68">
        <f t="shared" si="189"/>
        <v>29387</v>
      </c>
      <c r="R69" s="418">
        <v>0</v>
      </c>
      <c r="S69" s="419">
        <f t="shared" si="190"/>
        <v>5.6429999999999998</v>
      </c>
      <c r="T69" s="420">
        <v>5.6429999999999998</v>
      </c>
      <c r="U69" s="527">
        <v>0</v>
      </c>
      <c r="V69" s="427">
        <f t="shared" si="191"/>
        <v>0</v>
      </c>
      <c r="W69" s="421">
        <f t="shared" si="191"/>
        <v>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 t="shared" si="192"/>
        <v>0</v>
      </c>
      <c r="AG69" s="421">
        <f t="shared" si="193"/>
        <v>0</v>
      </c>
      <c r="AH69" s="421">
        <f t="shared" si="194"/>
        <v>0</v>
      </c>
      <c r="AI69" s="421">
        <v>0</v>
      </c>
      <c r="AJ69" s="421">
        <v>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95"/>
        <v>0</v>
      </c>
      <c r="AP69" s="421">
        <f t="shared" si="196"/>
        <v>0</v>
      </c>
      <c r="AQ69" s="421">
        <f t="shared" si="197"/>
        <v>0</v>
      </c>
      <c r="AR69" s="421">
        <f t="shared" si="198"/>
        <v>0</v>
      </c>
      <c r="AS69" s="421">
        <f t="shared" si="198"/>
        <v>0</v>
      </c>
      <c r="AT69" s="421">
        <f t="shared" si="199"/>
        <v>0</v>
      </c>
      <c r="AU69" s="68">
        <f t="shared" si="200"/>
        <v>0</v>
      </c>
      <c r="AV69" s="68">
        <f t="shared" si="201"/>
        <v>0</v>
      </c>
      <c r="AW69" s="421">
        <v>0</v>
      </c>
      <c r="AX69" s="421">
        <v>0</v>
      </c>
      <c r="AY69" s="421">
        <f t="shared" si="202"/>
        <v>0</v>
      </c>
      <c r="AZ69" s="421">
        <f t="shared" si="203"/>
        <v>0</v>
      </c>
      <c r="BA69" s="422">
        <v>0</v>
      </c>
      <c r="BB69" s="422">
        <v>0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 t="shared" si="204"/>
        <v>0</v>
      </c>
      <c r="BL69" s="422">
        <f t="shared" si="205"/>
        <v>0</v>
      </c>
      <c r="BM69" s="611">
        <f t="shared" si="206"/>
        <v>0</v>
      </c>
      <c r="BN69" s="428">
        <f t="shared" si="207"/>
        <v>3961322</v>
      </c>
      <c r="BO69" s="421">
        <f t="shared" si="208"/>
        <v>2938666</v>
      </c>
      <c r="BP69" s="421">
        <f t="shared" si="209"/>
        <v>2938666</v>
      </c>
      <c r="BQ69" s="421">
        <f t="shared" si="209"/>
        <v>0</v>
      </c>
      <c r="BR69" s="421">
        <f>M69+AQ69</f>
        <v>0</v>
      </c>
      <c r="BS69" s="421">
        <f t="shared" si="210"/>
        <v>0</v>
      </c>
      <c r="BT69" s="421">
        <f t="shared" si="210"/>
        <v>0</v>
      </c>
      <c r="BU69" s="421">
        <f t="shared" si="211"/>
        <v>993269</v>
      </c>
      <c r="BV69" s="421">
        <f t="shared" si="211"/>
        <v>29387</v>
      </c>
      <c r="BW69" s="421">
        <f>R69+AY69</f>
        <v>0</v>
      </c>
      <c r="BX69" s="422">
        <f>S69+BM69</f>
        <v>5.6429999999999998</v>
      </c>
      <c r="BY69" s="422">
        <f t="shared" si="212"/>
        <v>5.6429999999999998</v>
      </c>
      <c r="BZ69" s="611">
        <f t="shared" si="212"/>
        <v>0</v>
      </c>
      <c r="CA69" s="423"/>
      <c r="CB69" s="418"/>
      <c r="CC69" s="418"/>
      <c r="CD69" s="418"/>
      <c r="CE69" s="418"/>
      <c r="CF69" s="527"/>
    </row>
    <row r="70" spans="1:84" s="222" customFormat="1" x14ac:dyDescent="0.2">
      <c r="A70" s="210">
        <v>13</v>
      </c>
      <c r="B70" s="211">
        <v>4455</v>
      </c>
      <c r="C70" s="211">
        <v>600074889</v>
      </c>
      <c r="D70" s="211">
        <v>49864611</v>
      </c>
      <c r="E70" s="209" t="s">
        <v>170</v>
      </c>
      <c r="F70" s="211">
        <v>3143</v>
      </c>
      <c r="G70" s="165" t="s">
        <v>597</v>
      </c>
      <c r="H70" s="686" t="s">
        <v>272</v>
      </c>
      <c r="I70" s="528">
        <f t="shared" si="186"/>
        <v>79409</v>
      </c>
      <c r="J70" s="418">
        <f t="shared" si="187"/>
        <v>56839</v>
      </c>
      <c r="K70" s="418">
        <v>0</v>
      </c>
      <c r="L70" s="418">
        <v>56839</v>
      </c>
      <c r="M70" s="418">
        <f t="shared" si="188"/>
        <v>0</v>
      </c>
      <c r="N70" s="418"/>
      <c r="O70" s="418"/>
      <c r="P70" s="68">
        <f t="shared" si="213"/>
        <v>19212</v>
      </c>
      <c r="Q70" s="68">
        <f t="shared" si="189"/>
        <v>568</v>
      </c>
      <c r="R70" s="418">
        <v>2790</v>
      </c>
      <c r="S70" s="419">
        <f t="shared" si="190"/>
        <v>0.22</v>
      </c>
      <c r="T70" s="420">
        <v>0</v>
      </c>
      <c r="U70" s="527">
        <v>0.22</v>
      </c>
      <c r="V70" s="427">
        <f t="shared" si="191"/>
        <v>0</v>
      </c>
      <c r="W70" s="421">
        <f t="shared" si="191"/>
        <v>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 t="shared" si="192"/>
        <v>0</v>
      </c>
      <c r="AG70" s="421">
        <f t="shared" si="193"/>
        <v>0</v>
      </c>
      <c r="AH70" s="421">
        <f t="shared" si="194"/>
        <v>0</v>
      </c>
      <c r="AI70" s="421">
        <v>0</v>
      </c>
      <c r="AJ70" s="421">
        <v>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195"/>
        <v>0</v>
      </c>
      <c r="AP70" s="421">
        <f t="shared" si="196"/>
        <v>0</v>
      </c>
      <c r="AQ70" s="421">
        <f t="shared" si="197"/>
        <v>0</v>
      </c>
      <c r="AR70" s="421">
        <f t="shared" si="198"/>
        <v>0</v>
      </c>
      <c r="AS70" s="421">
        <f t="shared" si="198"/>
        <v>0</v>
      </c>
      <c r="AT70" s="421">
        <f t="shared" si="199"/>
        <v>0</v>
      </c>
      <c r="AU70" s="68">
        <f t="shared" si="200"/>
        <v>0</v>
      </c>
      <c r="AV70" s="68">
        <f t="shared" si="201"/>
        <v>0</v>
      </c>
      <c r="AW70" s="421">
        <v>0</v>
      </c>
      <c r="AX70" s="421">
        <v>0</v>
      </c>
      <c r="AY70" s="421">
        <f t="shared" si="202"/>
        <v>0</v>
      </c>
      <c r="AZ70" s="421">
        <f t="shared" si="203"/>
        <v>0</v>
      </c>
      <c r="BA70" s="422">
        <v>0</v>
      </c>
      <c r="BB70" s="422">
        <v>0</v>
      </c>
      <c r="BC70" s="422">
        <v>0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 t="shared" si="204"/>
        <v>0</v>
      </c>
      <c r="BL70" s="422">
        <f t="shared" si="205"/>
        <v>0</v>
      </c>
      <c r="BM70" s="611">
        <f t="shared" si="206"/>
        <v>0</v>
      </c>
      <c r="BN70" s="428">
        <f t="shared" si="207"/>
        <v>79409</v>
      </c>
      <c r="BO70" s="421">
        <f t="shared" si="208"/>
        <v>56839</v>
      </c>
      <c r="BP70" s="421">
        <f t="shared" si="209"/>
        <v>0</v>
      </c>
      <c r="BQ70" s="421">
        <f t="shared" si="209"/>
        <v>56839</v>
      </c>
      <c r="BR70" s="421">
        <f>M70+AQ70</f>
        <v>0</v>
      </c>
      <c r="BS70" s="421">
        <f t="shared" si="210"/>
        <v>0</v>
      </c>
      <c r="BT70" s="421">
        <f t="shared" si="210"/>
        <v>0</v>
      </c>
      <c r="BU70" s="421">
        <f t="shared" si="211"/>
        <v>19212</v>
      </c>
      <c r="BV70" s="421">
        <f t="shared" si="211"/>
        <v>568</v>
      </c>
      <c r="BW70" s="421">
        <f>R70+AY70</f>
        <v>2790</v>
      </c>
      <c r="BX70" s="422">
        <f>S70+BM70</f>
        <v>0.22</v>
      </c>
      <c r="BY70" s="422">
        <f t="shared" si="212"/>
        <v>0</v>
      </c>
      <c r="BZ70" s="611">
        <f t="shared" si="212"/>
        <v>0.22</v>
      </c>
      <c r="CA70" s="423"/>
      <c r="CB70" s="418"/>
      <c r="CC70" s="418"/>
      <c r="CD70" s="418"/>
      <c r="CE70" s="418"/>
      <c r="CF70" s="527"/>
    </row>
    <row r="71" spans="1:84" s="222" customFormat="1" x14ac:dyDescent="0.2">
      <c r="A71" s="155">
        <v>13</v>
      </c>
      <c r="B71" s="18">
        <v>4455</v>
      </c>
      <c r="C71" s="18">
        <v>600074889</v>
      </c>
      <c r="D71" s="18">
        <v>49864611</v>
      </c>
      <c r="E71" s="164" t="s">
        <v>171</v>
      </c>
      <c r="F71" s="18"/>
      <c r="G71" s="154"/>
      <c r="H71" s="685"/>
      <c r="I71" s="458">
        <f t="shared" ref="I71:BU71" si="214">SUM(I66:I70)</f>
        <v>48150070</v>
      </c>
      <c r="J71" s="451">
        <f t="shared" si="214"/>
        <v>35297140</v>
      </c>
      <c r="K71" s="451">
        <f t="shared" si="214"/>
        <v>31839391</v>
      </c>
      <c r="L71" s="451">
        <f t="shared" si="214"/>
        <v>3457749</v>
      </c>
      <c r="M71" s="451">
        <f t="shared" si="214"/>
        <v>0</v>
      </c>
      <c r="N71" s="451">
        <f t="shared" si="214"/>
        <v>0</v>
      </c>
      <c r="O71" s="451">
        <f t="shared" si="214"/>
        <v>0</v>
      </c>
      <c r="P71" s="451">
        <f t="shared" si="214"/>
        <v>11930434</v>
      </c>
      <c r="Q71" s="451">
        <f t="shared" si="214"/>
        <v>352971</v>
      </c>
      <c r="R71" s="451">
        <f t="shared" si="214"/>
        <v>569525</v>
      </c>
      <c r="S71" s="452">
        <f t="shared" si="214"/>
        <v>56.546599999999998</v>
      </c>
      <c r="T71" s="452">
        <f t="shared" si="214"/>
        <v>46.097500000000004</v>
      </c>
      <c r="U71" s="39">
        <f t="shared" si="214"/>
        <v>10.4491</v>
      </c>
      <c r="V71" s="458">
        <f t="shared" si="214"/>
        <v>-19200</v>
      </c>
      <c r="W71" s="451">
        <f t="shared" si="214"/>
        <v>-38400</v>
      </c>
      <c r="X71" s="451">
        <f t="shared" si="214"/>
        <v>1957017</v>
      </c>
      <c r="Y71" s="451">
        <f t="shared" si="214"/>
        <v>0</v>
      </c>
      <c r="Z71" s="451">
        <f t="shared" si="214"/>
        <v>0</v>
      </c>
      <c r="AA71" s="451">
        <f t="shared" si="214"/>
        <v>152922</v>
      </c>
      <c r="AB71" s="451">
        <f t="shared" si="214"/>
        <v>0</v>
      </c>
      <c r="AC71" s="451">
        <f t="shared" si="214"/>
        <v>0</v>
      </c>
      <c r="AD71" s="451">
        <f t="shared" si="214"/>
        <v>0</v>
      </c>
      <c r="AE71" s="451">
        <f t="shared" si="214"/>
        <v>0</v>
      </c>
      <c r="AF71" s="451">
        <f t="shared" si="214"/>
        <v>2090739</v>
      </c>
      <c r="AG71" s="451">
        <f t="shared" si="214"/>
        <v>-38400</v>
      </c>
      <c r="AH71" s="451">
        <f t="shared" si="214"/>
        <v>2052339</v>
      </c>
      <c r="AI71" s="451">
        <f t="shared" si="214"/>
        <v>19200</v>
      </c>
      <c r="AJ71" s="451">
        <f t="shared" si="214"/>
        <v>38400</v>
      </c>
      <c r="AK71" s="451">
        <f t="shared" ref="AK71" si="215">SUM(AK66:AK70)</f>
        <v>0</v>
      </c>
      <c r="AL71" s="451">
        <f t="shared" si="214"/>
        <v>0</v>
      </c>
      <c r="AM71" s="451">
        <f t="shared" si="214"/>
        <v>0</v>
      </c>
      <c r="AN71" s="451">
        <f t="shared" si="214"/>
        <v>0</v>
      </c>
      <c r="AO71" s="451">
        <f t="shared" si="214"/>
        <v>19200</v>
      </c>
      <c r="AP71" s="451">
        <f t="shared" si="214"/>
        <v>38400</v>
      </c>
      <c r="AQ71" s="451">
        <f t="shared" si="214"/>
        <v>57600</v>
      </c>
      <c r="AR71" s="451">
        <f t="shared" si="214"/>
        <v>2109939</v>
      </c>
      <c r="AS71" s="451">
        <f t="shared" si="214"/>
        <v>0</v>
      </c>
      <c r="AT71" s="451">
        <f t="shared" si="214"/>
        <v>2109939</v>
      </c>
      <c r="AU71" s="451">
        <f t="shared" si="214"/>
        <v>713160</v>
      </c>
      <c r="AV71" s="451">
        <f t="shared" si="214"/>
        <v>20523</v>
      </c>
      <c r="AW71" s="451">
        <f t="shared" si="214"/>
        <v>2500</v>
      </c>
      <c r="AX71" s="451">
        <f t="shared" si="214"/>
        <v>0</v>
      </c>
      <c r="AY71" s="451">
        <f t="shared" si="214"/>
        <v>2500</v>
      </c>
      <c r="AZ71" s="451">
        <f t="shared" si="214"/>
        <v>2846122</v>
      </c>
      <c r="BA71" s="452">
        <f t="shared" si="214"/>
        <v>-0.02</v>
      </c>
      <c r="BB71" s="452">
        <f t="shared" si="214"/>
        <v>-0.14000000000000001</v>
      </c>
      <c r="BC71" s="452">
        <f t="shared" si="214"/>
        <v>5.28</v>
      </c>
      <c r="BD71" s="452">
        <f t="shared" si="214"/>
        <v>0</v>
      </c>
      <c r="BE71" s="452">
        <f t="shared" si="214"/>
        <v>0</v>
      </c>
      <c r="BF71" s="452">
        <f t="shared" si="214"/>
        <v>0</v>
      </c>
      <c r="BG71" s="452">
        <f t="shared" si="214"/>
        <v>0</v>
      </c>
      <c r="BH71" s="452">
        <f t="shared" si="214"/>
        <v>0.22</v>
      </c>
      <c r="BI71" s="452">
        <f t="shared" si="214"/>
        <v>0</v>
      </c>
      <c r="BJ71" s="452">
        <f t="shared" si="214"/>
        <v>0</v>
      </c>
      <c r="BK71" s="452">
        <f t="shared" si="214"/>
        <v>5.48</v>
      </c>
      <c r="BL71" s="452">
        <f t="shared" si="214"/>
        <v>-0.14000000000000001</v>
      </c>
      <c r="BM71" s="456">
        <f t="shared" si="214"/>
        <v>5.34</v>
      </c>
      <c r="BN71" s="454">
        <f t="shared" si="214"/>
        <v>50996192</v>
      </c>
      <c r="BO71" s="451">
        <f t="shared" si="214"/>
        <v>37349479</v>
      </c>
      <c r="BP71" s="451">
        <f t="shared" si="214"/>
        <v>33930130</v>
      </c>
      <c r="BQ71" s="451">
        <f t="shared" si="214"/>
        <v>3419349</v>
      </c>
      <c r="BR71" s="451">
        <f t="shared" si="214"/>
        <v>57600</v>
      </c>
      <c r="BS71" s="451">
        <f t="shared" si="214"/>
        <v>19200</v>
      </c>
      <c r="BT71" s="451">
        <f t="shared" si="214"/>
        <v>38400</v>
      </c>
      <c r="BU71" s="451">
        <f t="shared" si="214"/>
        <v>12643594</v>
      </c>
      <c r="BV71" s="451">
        <f t="shared" ref="BV71:CF71" si="216">SUM(BV66:BV70)</f>
        <v>373494</v>
      </c>
      <c r="BW71" s="451">
        <f t="shared" si="216"/>
        <v>572025</v>
      </c>
      <c r="BX71" s="452">
        <f t="shared" si="216"/>
        <v>61.886600000000001</v>
      </c>
      <c r="BY71" s="452">
        <f t="shared" si="216"/>
        <v>51.577500000000008</v>
      </c>
      <c r="BZ71" s="456">
        <f t="shared" si="216"/>
        <v>10.309100000000001</v>
      </c>
      <c r="CA71" s="854">
        <f t="shared" si="216"/>
        <v>0</v>
      </c>
      <c r="CB71" s="852">
        <f t="shared" si="216"/>
        <v>0</v>
      </c>
      <c r="CC71" s="852">
        <f t="shared" si="216"/>
        <v>0</v>
      </c>
      <c r="CD71" s="852">
        <f t="shared" si="216"/>
        <v>0</v>
      </c>
      <c r="CE71" s="852">
        <f t="shared" si="216"/>
        <v>0</v>
      </c>
      <c r="CF71" s="848">
        <f t="shared" si="216"/>
        <v>0</v>
      </c>
    </row>
    <row r="72" spans="1:84" s="222" customFormat="1" x14ac:dyDescent="0.2">
      <c r="A72" s="210">
        <v>14</v>
      </c>
      <c r="B72" s="211">
        <v>4440</v>
      </c>
      <c r="C72" s="211">
        <v>600074897</v>
      </c>
      <c r="D72" s="211">
        <v>48283029</v>
      </c>
      <c r="E72" s="209" t="s">
        <v>172</v>
      </c>
      <c r="F72" s="211">
        <v>3113</v>
      </c>
      <c r="G72" s="165" t="s">
        <v>294</v>
      </c>
      <c r="H72" s="699" t="s">
        <v>271</v>
      </c>
      <c r="I72" s="528">
        <f t="shared" ref="I72:I76" si="217">J72+P72+Q72+R72</f>
        <v>29149959</v>
      </c>
      <c r="J72" s="418">
        <f>K72+L72</f>
        <v>21324642</v>
      </c>
      <c r="K72" s="418">
        <v>19892431</v>
      </c>
      <c r="L72" s="418">
        <v>1432211</v>
      </c>
      <c r="M72" s="418">
        <f>N72+O72</f>
        <v>0</v>
      </c>
      <c r="N72" s="418"/>
      <c r="O72" s="418"/>
      <c r="P72" s="68">
        <f t="shared" ref="P72:P76" si="218">ROUND(J72*33.8%,0)</f>
        <v>7207729</v>
      </c>
      <c r="Q72" s="68">
        <f>ROUND(J72*1%,0)+1</f>
        <v>213247</v>
      </c>
      <c r="R72" s="418">
        <v>404341</v>
      </c>
      <c r="S72" s="419">
        <f>T72+U72</f>
        <v>32.492000000000004</v>
      </c>
      <c r="T72" s="420">
        <v>28.272600000000001</v>
      </c>
      <c r="U72" s="527">
        <v>4.2194000000000003</v>
      </c>
      <c r="V72" s="427">
        <f t="shared" ref="V72:W76" si="219">AI72*-1</f>
        <v>-112000</v>
      </c>
      <c r="W72" s="421">
        <f t="shared" si="219"/>
        <v>-12800</v>
      </c>
      <c r="X72" s="421">
        <v>0</v>
      </c>
      <c r="Y72" s="421">
        <v>0</v>
      </c>
      <c r="Z72" s="421">
        <v>0</v>
      </c>
      <c r="AA72" s="421">
        <v>0</v>
      </c>
      <c r="AB72" s="421">
        <v>564000</v>
      </c>
      <c r="AC72" s="421">
        <v>0</v>
      </c>
      <c r="AD72" s="421">
        <v>0</v>
      </c>
      <c r="AE72" s="421">
        <v>0</v>
      </c>
      <c r="AF72" s="421">
        <f>V72+X72+Y72+AA72+AB72+AD72</f>
        <v>452000</v>
      </c>
      <c r="AG72" s="421">
        <f>W72+Z72+AC72+AE72</f>
        <v>-12800</v>
      </c>
      <c r="AH72" s="421">
        <f>SUM(AF72:AG72)</f>
        <v>439200</v>
      </c>
      <c r="AI72" s="421">
        <v>112000</v>
      </c>
      <c r="AJ72" s="421">
        <v>12800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ref="AO72:AO76" si="220">AI72+AK72+AL72+AM72</f>
        <v>112000</v>
      </c>
      <c r="AP72" s="421">
        <f>AJ72+AN72</f>
        <v>12800</v>
      </c>
      <c r="AQ72" s="421">
        <f>SUM(AO72:AP72)</f>
        <v>124800</v>
      </c>
      <c r="AR72" s="421">
        <f t="shared" ref="AR72:AS76" si="221">AF72+AO72</f>
        <v>564000</v>
      </c>
      <c r="AS72" s="421">
        <f t="shared" si="221"/>
        <v>0</v>
      </c>
      <c r="AT72" s="421">
        <f>SUM(AR72:AS72)</f>
        <v>564000</v>
      </c>
      <c r="AU72" s="68">
        <f t="shared" ref="AU72:AU76" si="222">ROUND((AH72+AI72+AJ72+AK72+AL72)*33.8%,0)</f>
        <v>190632</v>
      </c>
      <c r="AV72" s="68">
        <f>ROUND(AH72*1%,0)</f>
        <v>4392</v>
      </c>
      <c r="AW72" s="421">
        <v>0</v>
      </c>
      <c r="AX72" s="421">
        <v>0</v>
      </c>
      <c r="AY72" s="421">
        <f>AW72+AX72</f>
        <v>0</v>
      </c>
      <c r="AZ72" s="421">
        <f>AT72+AU72+AV72+AY72</f>
        <v>759024</v>
      </c>
      <c r="BA72" s="422">
        <v>-0.18</v>
      </c>
      <c r="BB72" s="422">
        <v>-0.01</v>
      </c>
      <c r="BC72" s="422">
        <v>0</v>
      </c>
      <c r="BD72" s="422">
        <v>1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>BA72+BC72+BD72+BF72+BH72+BI72</f>
        <v>0.82000000000000006</v>
      </c>
      <c r="BL72" s="422">
        <f>BB72+BE72+BG72+BJ72</f>
        <v>-0.01</v>
      </c>
      <c r="BM72" s="611">
        <f>SUM(BK72:BL72)</f>
        <v>0.81</v>
      </c>
      <c r="BN72" s="428">
        <f>I72+AZ72</f>
        <v>29908983</v>
      </c>
      <c r="BO72" s="421">
        <f>J72+AH72</f>
        <v>21763842</v>
      </c>
      <c r="BP72" s="421">
        <f t="shared" ref="BP72:BQ76" si="223">K72+AF72</f>
        <v>20344431</v>
      </c>
      <c r="BQ72" s="421">
        <f t="shared" si="223"/>
        <v>1419411</v>
      </c>
      <c r="BR72" s="421">
        <f>M72+AQ72</f>
        <v>124800</v>
      </c>
      <c r="BS72" s="421">
        <f t="shared" ref="BS72:BT76" si="224">N72+AO72</f>
        <v>112000</v>
      </c>
      <c r="BT72" s="421">
        <f t="shared" si="224"/>
        <v>12800</v>
      </c>
      <c r="BU72" s="421">
        <f t="shared" ref="BU72:BV76" si="225">P72+AU72</f>
        <v>7398361</v>
      </c>
      <c r="BV72" s="421">
        <f t="shared" si="225"/>
        <v>217639</v>
      </c>
      <c r="BW72" s="421">
        <f>R72+AY72</f>
        <v>404341</v>
      </c>
      <c r="BX72" s="422">
        <f>S72+BM72</f>
        <v>33.302000000000007</v>
      </c>
      <c r="BY72" s="422">
        <f t="shared" ref="BY72:BZ76" si="226">T72+BK72</f>
        <v>29.092600000000001</v>
      </c>
      <c r="BZ72" s="611">
        <f t="shared" si="226"/>
        <v>4.2094000000000005</v>
      </c>
      <c r="CA72" s="423">
        <v>760272</v>
      </c>
      <c r="CB72" s="418">
        <v>564000</v>
      </c>
      <c r="CC72" s="418">
        <v>0</v>
      </c>
      <c r="CD72" s="418">
        <v>190632</v>
      </c>
      <c r="CE72" s="418">
        <v>5640</v>
      </c>
      <c r="CF72" s="527">
        <v>1</v>
      </c>
    </row>
    <row r="73" spans="1:84" s="222" customFormat="1" x14ac:dyDescent="0.2">
      <c r="A73" s="210">
        <v>14</v>
      </c>
      <c r="B73" s="211">
        <v>4440</v>
      </c>
      <c r="C73" s="211">
        <v>600074897</v>
      </c>
      <c r="D73" s="211">
        <v>48283029</v>
      </c>
      <c r="E73" s="209" t="s">
        <v>172</v>
      </c>
      <c r="F73" s="211">
        <v>3113</v>
      </c>
      <c r="G73" s="165" t="s">
        <v>292</v>
      </c>
      <c r="H73" s="699" t="s">
        <v>272</v>
      </c>
      <c r="I73" s="528">
        <f t="shared" si="217"/>
        <v>0</v>
      </c>
      <c r="J73" s="418">
        <f>K73+L73</f>
        <v>0</v>
      </c>
      <c r="K73" s="418">
        <v>0</v>
      </c>
      <c r="L73" s="418">
        <v>0</v>
      </c>
      <c r="M73" s="418">
        <f>N73+O73</f>
        <v>0</v>
      </c>
      <c r="N73" s="418"/>
      <c r="O73" s="418"/>
      <c r="P73" s="68">
        <f t="shared" si="218"/>
        <v>0</v>
      </c>
      <c r="Q73" s="68">
        <f t="shared" ref="Q73:Q76" si="227">ROUND(J73*1%,0)</f>
        <v>0</v>
      </c>
      <c r="R73" s="418">
        <v>0</v>
      </c>
      <c r="S73" s="419">
        <f>T73+U73</f>
        <v>0</v>
      </c>
      <c r="T73" s="420">
        <v>0</v>
      </c>
      <c r="U73" s="527">
        <v>0</v>
      </c>
      <c r="V73" s="427">
        <f t="shared" si="219"/>
        <v>0</v>
      </c>
      <c r="W73" s="421">
        <f t="shared" si="219"/>
        <v>0</v>
      </c>
      <c r="X73" s="421">
        <f>1627411+77250</f>
        <v>1704661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>V73+X73+Y73+AA73+AB73+AD73</f>
        <v>1704661</v>
      </c>
      <c r="AG73" s="421">
        <f>W73+Z73+AC73+AE73</f>
        <v>0</v>
      </c>
      <c r="AH73" s="421">
        <f>SUM(AF73:AG73)</f>
        <v>1704661</v>
      </c>
      <c r="AI73" s="421">
        <v>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si="220"/>
        <v>0</v>
      </c>
      <c r="AP73" s="421">
        <f>AJ73+AN73</f>
        <v>0</v>
      </c>
      <c r="AQ73" s="421">
        <f>SUM(AO73:AP73)</f>
        <v>0</v>
      </c>
      <c r="AR73" s="421">
        <f t="shared" si="221"/>
        <v>1704661</v>
      </c>
      <c r="AS73" s="421">
        <f t="shared" si="221"/>
        <v>0</v>
      </c>
      <c r="AT73" s="421">
        <f>SUM(AR73:AS73)</f>
        <v>1704661</v>
      </c>
      <c r="AU73" s="68">
        <f t="shared" si="222"/>
        <v>576175</v>
      </c>
      <c r="AV73" s="68">
        <f>ROUND(AH73*1%,0)</f>
        <v>17047</v>
      </c>
      <c r="AW73" s="421">
        <v>0</v>
      </c>
      <c r="AX73" s="421">
        <v>0</v>
      </c>
      <c r="AY73" s="421">
        <f>AW73+AX73</f>
        <v>0</v>
      </c>
      <c r="AZ73" s="421">
        <f>AT73+AU73+AV73+AY73</f>
        <v>2297883</v>
      </c>
      <c r="BA73" s="422">
        <v>0</v>
      </c>
      <c r="BB73" s="422">
        <v>0</v>
      </c>
      <c r="BC73" s="422">
        <f>4.39+0.21</f>
        <v>4.5999999999999996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>BA73+BC73+BD73+BF73+BH73+BI73</f>
        <v>4.5999999999999996</v>
      </c>
      <c r="BL73" s="422">
        <f>BB73+BE73+BG73+BJ73</f>
        <v>0</v>
      </c>
      <c r="BM73" s="611">
        <f>SUM(BK73:BL73)</f>
        <v>4.5999999999999996</v>
      </c>
      <c r="BN73" s="428">
        <f>I73+AZ73</f>
        <v>2297883</v>
      </c>
      <c r="BO73" s="421">
        <f>J73+AH73</f>
        <v>1704661</v>
      </c>
      <c r="BP73" s="421">
        <f t="shared" si="223"/>
        <v>1704661</v>
      </c>
      <c r="BQ73" s="421">
        <f t="shared" si="223"/>
        <v>0</v>
      </c>
      <c r="BR73" s="421">
        <f>M73+AQ73</f>
        <v>0</v>
      </c>
      <c r="BS73" s="421">
        <f t="shared" si="224"/>
        <v>0</v>
      </c>
      <c r="BT73" s="421">
        <f t="shared" si="224"/>
        <v>0</v>
      </c>
      <c r="BU73" s="421">
        <f t="shared" si="225"/>
        <v>576175</v>
      </c>
      <c r="BV73" s="421">
        <f t="shared" si="225"/>
        <v>17047</v>
      </c>
      <c r="BW73" s="421">
        <f>R73+AY73</f>
        <v>0</v>
      </c>
      <c r="BX73" s="422">
        <f>S73+BM73</f>
        <v>4.5999999999999996</v>
      </c>
      <c r="BY73" s="422">
        <f t="shared" si="226"/>
        <v>4.5999999999999996</v>
      </c>
      <c r="BZ73" s="611">
        <f t="shared" si="226"/>
        <v>0</v>
      </c>
      <c r="CA73" s="423"/>
      <c r="CB73" s="418"/>
      <c r="CC73" s="418"/>
      <c r="CD73" s="418"/>
      <c r="CE73" s="418"/>
      <c r="CF73" s="527"/>
    </row>
    <row r="74" spans="1:84" s="222" customFormat="1" x14ac:dyDescent="0.2">
      <c r="A74" s="210">
        <v>14</v>
      </c>
      <c r="B74" s="211">
        <v>4440</v>
      </c>
      <c r="C74" s="211">
        <v>600074897</v>
      </c>
      <c r="D74" s="211">
        <v>48283029</v>
      </c>
      <c r="E74" s="209" t="s">
        <v>172</v>
      </c>
      <c r="F74" s="211">
        <v>3141</v>
      </c>
      <c r="G74" s="165" t="s">
        <v>295</v>
      </c>
      <c r="H74" s="699" t="s">
        <v>272</v>
      </c>
      <c r="I74" s="528">
        <f t="shared" si="217"/>
        <v>2040994</v>
      </c>
      <c r="J74" s="418">
        <f>K74+L74</f>
        <v>1502894</v>
      </c>
      <c r="K74" s="418">
        <v>0</v>
      </c>
      <c r="L74" s="418">
        <v>1502894</v>
      </c>
      <c r="M74" s="418">
        <f>N74+O74</f>
        <v>0</v>
      </c>
      <c r="N74" s="418"/>
      <c r="O74" s="418"/>
      <c r="P74" s="68">
        <f t="shared" si="218"/>
        <v>507978</v>
      </c>
      <c r="Q74" s="68">
        <f t="shared" si="227"/>
        <v>15029</v>
      </c>
      <c r="R74" s="418">
        <v>15093</v>
      </c>
      <c r="S74" s="419">
        <f>T74+U74</f>
        <v>4.51</v>
      </c>
      <c r="T74" s="420">
        <v>0</v>
      </c>
      <c r="U74" s="527">
        <v>4.51</v>
      </c>
      <c r="V74" s="427">
        <f t="shared" si="219"/>
        <v>0</v>
      </c>
      <c r="W74" s="421">
        <f t="shared" si="219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>V74+X74+Y74+AA74+AB74+AD74</f>
        <v>0</v>
      </c>
      <c r="AG74" s="421">
        <f>W74+Z74+AC74+AE74</f>
        <v>0</v>
      </c>
      <c r="AH74" s="421">
        <f>SUM(AF74:AG74)</f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220"/>
        <v>0</v>
      </c>
      <c r="AP74" s="421">
        <f>AJ74+AN74</f>
        <v>0</v>
      </c>
      <c r="AQ74" s="421">
        <f>SUM(AO74:AP74)</f>
        <v>0</v>
      </c>
      <c r="AR74" s="421">
        <f t="shared" si="221"/>
        <v>0</v>
      </c>
      <c r="AS74" s="421">
        <f t="shared" si="221"/>
        <v>0</v>
      </c>
      <c r="AT74" s="421">
        <f>SUM(AR74:AS74)</f>
        <v>0</v>
      </c>
      <c r="AU74" s="68">
        <f t="shared" si="222"/>
        <v>0</v>
      </c>
      <c r="AV74" s="68">
        <f>ROUND(AH74*1%,0)</f>
        <v>0</v>
      </c>
      <c r="AW74" s="421">
        <v>0</v>
      </c>
      <c r="AX74" s="421">
        <v>0</v>
      </c>
      <c r="AY74" s="421">
        <f>AW74+AX74</f>
        <v>0</v>
      </c>
      <c r="AZ74" s="421">
        <f>AT74+AU74+AV74+AY74</f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>BA74+BC74+BD74+BF74+BH74+BI74</f>
        <v>0</v>
      </c>
      <c r="BL74" s="422">
        <f>BB74+BE74+BG74+BJ74</f>
        <v>0</v>
      </c>
      <c r="BM74" s="611">
        <f>SUM(BK74:BL74)</f>
        <v>0</v>
      </c>
      <c r="BN74" s="428">
        <f>I74+AZ74</f>
        <v>2040994</v>
      </c>
      <c r="BO74" s="421">
        <f>J74+AH74</f>
        <v>1502894</v>
      </c>
      <c r="BP74" s="421">
        <f t="shared" si="223"/>
        <v>0</v>
      </c>
      <c r="BQ74" s="421">
        <f t="shared" si="223"/>
        <v>1502894</v>
      </c>
      <c r="BR74" s="421">
        <f>M74+AQ74</f>
        <v>0</v>
      </c>
      <c r="BS74" s="421">
        <f t="shared" si="224"/>
        <v>0</v>
      </c>
      <c r="BT74" s="421">
        <f t="shared" si="224"/>
        <v>0</v>
      </c>
      <c r="BU74" s="421">
        <f t="shared" si="225"/>
        <v>507978</v>
      </c>
      <c r="BV74" s="421">
        <f t="shared" si="225"/>
        <v>15029</v>
      </c>
      <c r="BW74" s="421">
        <f>R74+AY74</f>
        <v>15093</v>
      </c>
      <c r="BX74" s="422">
        <f>S74+BM74</f>
        <v>4.51</v>
      </c>
      <c r="BY74" s="422">
        <f t="shared" si="226"/>
        <v>0</v>
      </c>
      <c r="BZ74" s="611">
        <f t="shared" si="226"/>
        <v>4.51</v>
      </c>
      <c r="CA74" s="423"/>
      <c r="CB74" s="418"/>
      <c r="CC74" s="418"/>
      <c r="CD74" s="418"/>
      <c r="CE74" s="418"/>
      <c r="CF74" s="527"/>
    </row>
    <row r="75" spans="1:84" s="222" customFormat="1" x14ac:dyDescent="0.2">
      <c r="A75" s="210">
        <v>14</v>
      </c>
      <c r="B75" s="211">
        <v>4440</v>
      </c>
      <c r="C75" s="211">
        <v>600074897</v>
      </c>
      <c r="D75" s="211">
        <v>48283029</v>
      </c>
      <c r="E75" s="209" t="s">
        <v>172</v>
      </c>
      <c r="F75" s="211">
        <v>3143</v>
      </c>
      <c r="G75" s="165" t="s">
        <v>596</v>
      </c>
      <c r="H75" s="686" t="s">
        <v>271</v>
      </c>
      <c r="I75" s="528">
        <f t="shared" si="217"/>
        <v>2574844</v>
      </c>
      <c r="J75" s="418">
        <f>K75+L75</f>
        <v>1910122</v>
      </c>
      <c r="K75" s="418">
        <v>1910122</v>
      </c>
      <c r="L75" s="418">
        <v>0</v>
      </c>
      <c r="M75" s="418">
        <f>N75+O75</f>
        <v>0</v>
      </c>
      <c r="N75" s="418"/>
      <c r="O75" s="418"/>
      <c r="P75" s="68">
        <f t="shared" si="218"/>
        <v>645621</v>
      </c>
      <c r="Q75" s="68">
        <f t="shared" si="227"/>
        <v>19101</v>
      </c>
      <c r="R75" s="418">
        <v>0</v>
      </c>
      <c r="S75" s="419">
        <f>T75+U75</f>
        <v>4.1071999999999997</v>
      </c>
      <c r="T75" s="420">
        <v>4.1071999999999997</v>
      </c>
      <c r="U75" s="527">
        <v>0</v>
      </c>
      <c r="V75" s="427">
        <f t="shared" si="219"/>
        <v>-3200</v>
      </c>
      <c r="W75" s="421">
        <f t="shared" si="219"/>
        <v>0</v>
      </c>
      <c r="X75" s="421">
        <v>0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>V75+X75+Y75+AA75+AB75+AD75</f>
        <v>-3200</v>
      </c>
      <c r="AG75" s="421">
        <f>W75+Z75+AC75+AE75</f>
        <v>0</v>
      </c>
      <c r="AH75" s="421">
        <f>SUM(AF75:AG75)</f>
        <v>-3200</v>
      </c>
      <c r="AI75" s="421">
        <v>3200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si="220"/>
        <v>3200</v>
      </c>
      <c r="AP75" s="421">
        <f>AJ75+AN75</f>
        <v>0</v>
      </c>
      <c r="AQ75" s="421">
        <f>SUM(AO75:AP75)</f>
        <v>3200</v>
      </c>
      <c r="AR75" s="421">
        <f t="shared" si="221"/>
        <v>0</v>
      </c>
      <c r="AS75" s="421">
        <f t="shared" si="221"/>
        <v>0</v>
      </c>
      <c r="AT75" s="421">
        <f>SUM(AR75:AS75)</f>
        <v>0</v>
      </c>
      <c r="AU75" s="68">
        <f t="shared" si="222"/>
        <v>0</v>
      </c>
      <c r="AV75" s="68">
        <f>ROUND(AH75*1%,0)</f>
        <v>-32</v>
      </c>
      <c r="AW75" s="421">
        <v>0</v>
      </c>
      <c r="AX75" s="421">
        <v>0</v>
      </c>
      <c r="AY75" s="421">
        <f>AW75+AX75</f>
        <v>0</v>
      </c>
      <c r="AZ75" s="421">
        <f>AT75+AU75+AV75+AY75</f>
        <v>-32</v>
      </c>
      <c r="BA75" s="422">
        <v>0</v>
      </c>
      <c r="BB75" s="422">
        <v>0</v>
      </c>
      <c r="BC75" s="422">
        <v>0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>BA75+BC75+BD75+BF75+BH75+BI75</f>
        <v>0</v>
      </c>
      <c r="BL75" s="422">
        <f>BB75+BE75+BG75+BJ75</f>
        <v>0</v>
      </c>
      <c r="BM75" s="611">
        <f>SUM(BK75:BL75)</f>
        <v>0</v>
      </c>
      <c r="BN75" s="428">
        <f>I75+AZ75</f>
        <v>2574812</v>
      </c>
      <c r="BO75" s="421">
        <f>J75+AH75</f>
        <v>1906922</v>
      </c>
      <c r="BP75" s="421">
        <f t="shared" si="223"/>
        <v>1906922</v>
      </c>
      <c r="BQ75" s="421">
        <f t="shared" si="223"/>
        <v>0</v>
      </c>
      <c r="BR75" s="421">
        <f>M75+AQ75</f>
        <v>3200</v>
      </c>
      <c r="BS75" s="421">
        <f t="shared" si="224"/>
        <v>3200</v>
      </c>
      <c r="BT75" s="421">
        <f t="shared" si="224"/>
        <v>0</v>
      </c>
      <c r="BU75" s="421">
        <f t="shared" si="225"/>
        <v>645621</v>
      </c>
      <c r="BV75" s="421">
        <f t="shared" si="225"/>
        <v>19069</v>
      </c>
      <c r="BW75" s="421">
        <f>R75+AY75</f>
        <v>0</v>
      </c>
      <c r="BX75" s="422">
        <f>S75+BM75</f>
        <v>4.1071999999999997</v>
      </c>
      <c r="BY75" s="422">
        <f t="shared" si="226"/>
        <v>4.1071999999999997</v>
      </c>
      <c r="BZ75" s="611">
        <f t="shared" si="226"/>
        <v>0</v>
      </c>
      <c r="CA75" s="423"/>
      <c r="CB75" s="418"/>
      <c r="CC75" s="418"/>
      <c r="CD75" s="418"/>
      <c r="CE75" s="418"/>
      <c r="CF75" s="527"/>
    </row>
    <row r="76" spans="1:84" s="222" customFormat="1" x14ac:dyDescent="0.2">
      <c r="A76" s="210">
        <v>14</v>
      </c>
      <c r="B76" s="211">
        <v>4440</v>
      </c>
      <c r="C76" s="211">
        <v>600074897</v>
      </c>
      <c r="D76" s="211">
        <v>48283029</v>
      </c>
      <c r="E76" s="209" t="s">
        <v>172</v>
      </c>
      <c r="F76" s="211">
        <v>3143</v>
      </c>
      <c r="G76" s="165" t="s">
        <v>597</v>
      </c>
      <c r="H76" s="686" t="s">
        <v>272</v>
      </c>
      <c r="I76" s="528">
        <f t="shared" si="217"/>
        <v>65577</v>
      </c>
      <c r="J76" s="418">
        <f>K76+L76</f>
        <v>46939</v>
      </c>
      <c r="K76" s="418">
        <v>0</v>
      </c>
      <c r="L76" s="418">
        <v>46939</v>
      </c>
      <c r="M76" s="418">
        <f>N76+O76</f>
        <v>0</v>
      </c>
      <c r="N76" s="418"/>
      <c r="O76" s="418"/>
      <c r="P76" s="68">
        <f t="shared" si="218"/>
        <v>15865</v>
      </c>
      <c r="Q76" s="68">
        <f t="shared" si="227"/>
        <v>469</v>
      </c>
      <c r="R76" s="418">
        <v>2304</v>
      </c>
      <c r="S76" s="419">
        <f>T76+U76</f>
        <v>0.18</v>
      </c>
      <c r="T76" s="420">
        <v>0</v>
      </c>
      <c r="U76" s="527">
        <v>0.18</v>
      </c>
      <c r="V76" s="427">
        <f t="shared" si="219"/>
        <v>0</v>
      </c>
      <c r="W76" s="421">
        <f t="shared" si="219"/>
        <v>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>V76+X76+Y76+AA76+AB76+AD76</f>
        <v>0</v>
      </c>
      <c r="AG76" s="421">
        <f>W76+Z76+AC76+AE76</f>
        <v>0</v>
      </c>
      <c r="AH76" s="421">
        <f>SUM(AF76:AG76)</f>
        <v>0</v>
      </c>
      <c r="AI76" s="421">
        <v>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220"/>
        <v>0</v>
      </c>
      <c r="AP76" s="421">
        <f>AJ76+AN76</f>
        <v>0</v>
      </c>
      <c r="AQ76" s="421">
        <f>SUM(AO76:AP76)</f>
        <v>0</v>
      </c>
      <c r="AR76" s="421">
        <f t="shared" si="221"/>
        <v>0</v>
      </c>
      <c r="AS76" s="421">
        <f t="shared" si="221"/>
        <v>0</v>
      </c>
      <c r="AT76" s="421">
        <f>SUM(AR76:AS76)</f>
        <v>0</v>
      </c>
      <c r="AU76" s="68">
        <f t="shared" si="222"/>
        <v>0</v>
      </c>
      <c r="AV76" s="68">
        <f>ROUND(AH76*1%,0)</f>
        <v>0</v>
      </c>
      <c r="AW76" s="421">
        <v>0</v>
      </c>
      <c r="AX76" s="421">
        <v>0</v>
      </c>
      <c r="AY76" s="421">
        <f>AW76+AX76</f>
        <v>0</v>
      </c>
      <c r="AZ76" s="421">
        <f>AT76+AU76+AV76+AY76</f>
        <v>0</v>
      </c>
      <c r="BA76" s="422">
        <v>0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>BA76+BC76+BD76+BF76+BH76+BI76</f>
        <v>0</v>
      </c>
      <c r="BL76" s="422">
        <f>BB76+BE76+BG76+BJ76</f>
        <v>0</v>
      </c>
      <c r="BM76" s="611">
        <f>SUM(BK76:BL76)</f>
        <v>0</v>
      </c>
      <c r="BN76" s="428">
        <f>I76+AZ76</f>
        <v>65577</v>
      </c>
      <c r="BO76" s="421">
        <f>J76+AH76</f>
        <v>46939</v>
      </c>
      <c r="BP76" s="421">
        <f t="shared" si="223"/>
        <v>0</v>
      </c>
      <c r="BQ76" s="421">
        <f t="shared" si="223"/>
        <v>46939</v>
      </c>
      <c r="BR76" s="421">
        <f>M76+AQ76</f>
        <v>0</v>
      </c>
      <c r="BS76" s="421">
        <f t="shared" si="224"/>
        <v>0</v>
      </c>
      <c r="BT76" s="421">
        <f t="shared" si="224"/>
        <v>0</v>
      </c>
      <c r="BU76" s="421">
        <f t="shared" si="225"/>
        <v>15865</v>
      </c>
      <c r="BV76" s="421">
        <f t="shared" si="225"/>
        <v>469</v>
      </c>
      <c r="BW76" s="421">
        <f>R76+AY76</f>
        <v>2304</v>
      </c>
      <c r="BX76" s="422">
        <f>S76+BM76</f>
        <v>0.18</v>
      </c>
      <c r="BY76" s="422">
        <f t="shared" si="226"/>
        <v>0</v>
      </c>
      <c r="BZ76" s="611">
        <f t="shared" si="226"/>
        <v>0.18</v>
      </c>
      <c r="CA76" s="423"/>
      <c r="CB76" s="418"/>
      <c r="CC76" s="418"/>
      <c r="CD76" s="418"/>
      <c r="CE76" s="418"/>
      <c r="CF76" s="527"/>
    </row>
    <row r="77" spans="1:84" s="222" customFormat="1" x14ac:dyDescent="0.2">
      <c r="A77" s="155">
        <v>14</v>
      </c>
      <c r="B77" s="18">
        <v>4440</v>
      </c>
      <c r="C77" s="18">
        <v>600074897</v>
      </c>
      <c r="D77" s="18">
        <v>48283029</v>
      </c>
      <c r="E77" s="164" t="s">
        <v>173</v>
      </c>
      <c r="F77" s="18"/>
      <c r="G77" s="154"/>
      <c r="H77" s="685"/>
      <c r="I77" s="458">
        <f t="shared" ref="I77:BU77" si="228">SUM(I72:I76)</f>
        <v>33831374</v>
      </c>
      <c r="J77" s="451">
        <f t="shared" si="228"/>
        <v>24784597</v>
      </c>
      <c r="K77" s="451">
        <f t="shared" si="228"/>
        <v>21802553</v>
      </c>
      <c r="L77" s="451">
        <f t="shared" si="228"/>
        <v>2982044</v>
      </c>
      <c r="M77" s="451">
        <f t="shared" si="228"/>
        <v>0</v>
      </c>
      <c r="N77" s="451">
        <f t="shared" si="228"/>
        <v>0</v>
      </c>
      <c r="O77" s="451">
        <f t="shared" si="228"/>
        <v>0</v>
      </c>
      <c r="P77" s="451">
        <f t="shared" si="228"/>
        <v>8377193</v>
      </c>
      <c r="Q77" s="451">
        <f t="shared" si="228"/>
        <v>247846</v>
      </c>
      <c r="R77" s="451">
        <f t="shared" si="228"/>
        <v>421738</v>
      </c>
      <c r="S77" s="452">
        <f t="shared" si="228"/>
        <v>41.289200000000001</v>
      </c>
      <c r="T77" s="452">
        <f t="shared" si="228"/>
        <v>32.379800000000003</v>
      </c>
      <c r="U77" s="39">
        <f t="shared" si="228"/>
        <v>8.9093999999999998</v>
      </c>
      <c r="V77" s="458">
        <f t="shared" si="228"/>
        <v>-115200</v>
      </c>
      <c r="W77" s="451">
        <f t="shared" si="228"/>
        <v>-12800</v>
      </c>
      <c r="X77" s="451">
        <f t="shared" si="228"/>
        <v>1704661</v>
      </c>
      <c r="Y77" s="451">
        <f t="shared" si="228"/>
        <v>0</v>
      </c>
      <c r="Z77" s="451">
        <f t="shared" si="228"/>
        <v>0</v>
      </c>
      <c r="AA77" s="451">
        <f t="shared" si="228"/>
        <v>0</v>
      </c>
      <c r="AB77" s="451">
        <f t="shared" si="228"/>
        <v>564000</v>
      </c>
      <c r="AC77" s="451">
        <f t="shared" si="228"/>
        <v>0</v>
      </c>
      <c r="AD77" s="451">
        <f t="shared" si="228"/>
        <v>0</v>
      </c>
      <c r="AE77" s="451">
        <f t="shared" si="228"/>
        <v>0</v>
      </c>
      <c r="AF77" s="451">
        <f t="shared" si="228"/>
        <v>2153461</v>
      </c>
      <c r="AG77" s="451">
        <f t="shared" si="228"/>
        <v>-12800</v>
      </c>
      <c r="AH77" s="451">
        <f t="shared" si="228"/>
        <v>2140661</v>
      </c>
      <c r="AI77" s="451">
        <f t="shared" si="228"/>
        <v>115200</v>
      </c>
      <c r="AJ77" s="451">
        <f t="shared" si="228"/>
        <v>12800</v>
      </c>
      <c r="AK77" s="451">
        <f t="shared" ref="AK77" si="229">SUM(AK72:AK76)</f>
        <v>0</v>
      </c>
      <c r="AL77" s="451">
        <f t="shared" si="228"/>
        <v>0</v>
      </c>
      <c r="AM77" s="451">
        <f t="shared" si="228"/>
        <v>0</v>
      </c>
      <c r="AN77" s="451">
        <f t="shared" si="228"/>
        <v>0</v>
      </c>
      <c r="AO77" s="451">
        <f t="shared" si="228"/>
        <v>115200</v>
      </c>
      <c r="AP77" s="451">
        <f t="shared" si="228"/>
        <v>12800</v>
      </c>
      <c r="AQ77" s="451">
        <f t="shared" si="228"/>
        <v>128000</v>
      </c>
      <c r="AR77" s="451">
        <f t="shared" si="228"/>
        <v>2268661</v>
      </c>
      <c r="AS77" s="451">
        <f t="shared" si="228"/>
        <v>0</v>
      </c>
      <c r="AT77" s="451">
        <f t="shared" si="228"/>
        <v>2268661</v>
      </c>
      <c r="AU77" s="451">
        <f t="shared" si="228"/>
        <v>766807</v>
      </c>
      <c r="AV77" s="451">
        <f t="shared" si="228"/>
        <v>21407</v>
      </c>
      <c r="AW77" s="451">
        <f t="shared" si="228"/>
        <v>0</v>
      </c>
      <c r="AX77" s="451">
        <f t="shared" si="228"/>
        <v>0</v>
      </c>
      <c r="AY77" s="451">
        <f t="shared" si="228"/>
        <v>0</v>
      </c>
      <c r="AZ77" s="451">
        <f t="shared" si="228"/>
        <v>3056875</v>
      </c>
      <c r="BA77" s="452">
        <f t="shared" si="228"/>
        <v>-0.18</v>
      </c>
      <c r="BB77" s="452">
        <f t="shared" si="228"/>
        <v>-0.01</v>
      </c>
      <c r="BC77" s="452">
        <f t="shared" si="228"/>
        <v>4.5999999999999996</v>
      </c>
      <c r="BD77" s="452">
        <f t="shared" si="228"/>
        <v>1</v>
      </c>
      <c r="BE77" s="452">
        <f t="shared" si="228"/>
        <v>0</v>
      </c>
      <c r="BF77" s="452">
        <f t="shared" si="228"/>
        <v>0</v>
      </c>
      <c r="BG77" s="452">
        <f t="shared" si="228"/>
        <v>0</v>
      </c>
      <c r="BH77" s="452">
        <f t="shared" si="228"/>
        <v>0</v>
      </c>
      <c r="BI77" s="452">
        <f t="shared" si="228"/>
        <v>0</v>
      </c>
      <c r="BJ77" s="452">
        <f t="shared" si="228"/>
        <v>0</v>
      </c>
      <c r="BK77" s="452">
        <f t="shared" si="228"/>
        <v>5.42</v>
      </c>
      <c r="BL77" s="452">
        <f t="shared" si="228"/>
        <v>-0.01</v>
      </c>
      <c r="BM77" s="456">
        <f t="shared" si="228"/>
        <v>5.41</v>
      </c>
      <c r="BN77" s="454">
        <f t="shared" si="228"/>
        <v>36888249</v>
      </c>
      <c r="BO77" s="451">
        <f t="shared" si="228"/>
        <v>26925258</v>
      </c>
      <c r="BP77" s="451">
        <f t="shared" si="228"/>
        <v>23956014</v>
      </c>
      <c r="BQ77" s="451">
        <f t="shared" si="228"/>
        <v>2969244</v>
      </c>
      <c r="BR77" s="451">
        <f t="shared" si="228"/>
        <v>128000</v>
      </c>
      <c r="BS77" s="451">
        <f t="shared" si="228"/>
        <v>115200</v>
      </c>
      <c r="BT77" s="451">
        <f t="shared" si="228"/>
        <v>12800</v>
      </c>
      <c r="BU77" s="451">
        <f t="shared" si="228"/>
        <v>9144000</v>
      </c>
      <c r="BV77" s="451">
        <f t="shared" ref="BV77:CF77" si="230">SUM(BV72:BV76)</f>
        <v>269253</v>
      </c>
      <c r="BW77" s="451">
        <f t="shared" si="230"/>
        <v>421738</v>
      </c>
      <c r="BX77" s="452">
        <f t="shared" si="230"/>
        <v>46.699200000000005</v>
      </c>
      <c r="BY77" s="452">
        <f t="shared" si="230"/>
        <v>37.799799999999998</v>
      </c>
      <c r="BZ77" s="456">
        <f t="shared" si="230"/>
        <v>8.8994</v>
      </c>
      <c r="CA77" s="854">
        <f t="shared" si="230"/>
        <v>760272</v>
      </c>
      <c r="CB77" s="852">
        <f t="shared" si="230"/>
        <v>564000</v>
      </c>
      <c r="CC77" s="852">
        <f t="shared" si="230"/>
        <v>0</v>
      </c>
      <c r="CD77" s="852">
        <f t="shared" si="230"/>
        <v>190632</v>
      </c>
      <c r="CE77" s="852">
        <f t="shared" si="230"/>
        <v>5640</v>
      </c>
      <c r="CF77" s="848">
        <f t="shared" si="230"/>
        <v>1</v>
      </c>
    </row>
    <row r="78" spans="1:84" s="222" customFormat="1" x14ac:dyDescent="0.2">
      <c r="A78" s="210">
        <v>15</v>
      </c>
      <c r="B78" s="211">
        <v>4442</v>
      </c>
      <c r="C78" s="211">
        <v>600074901</v>
      </c>
      <c r="D78" s="211">
        <v>48283061</v>
      </c>
      <c r="E78" s="209" t="s">
        <v>174</v>
      </c>
      <c r="F78" s="211">
        <v>3113</v>
      </c>
      <c r="G78" s="165" t="s">
        <v>294</v>
      </c>
      <c r="H78" s="699" t="s">
        <v>271</v>
      </c>
      <c r="I78" s="528">
        <f t="shared" ref="I78:I83" si="231">J78+P78+Q78+R78</f>
        <v>20066735</v>
      </c>
      <c r="J78" s="418">
        <f t="shared" ref="J78:J83" si="232">K78+L78</f>
        <v>14692049</v>
      </c>
      <c r="K78" s="418">
        <v>13616865</v>
      </c>
      <c r="L78" s="418">
        <v>1075184</v>
      </c>
      <c r="M78" s="418">
        <f t="shared" ref="M78:M83" si="233">N78+O78</f>
        <v>0</v>
      </c>
      <c r="N78" s="418"/>
      <c r="O78" s="418"/>
      <c r="P78" s="68">
        <f>ROUND(J78*33.8%,0)-1</f>
        <v>4965912</v>
      </c>
      <c r="Q78" s="68">
        <f>ROUND(J78*1%,0)+1</f>
        <v>146921</v>
      </c>
      <c r="R78" s="418">
        <v>261853</v>
      </c>
      <c r="S78" s="419">
        <f t="shared" ref="S78:S83" si="234">T78+U78</f>
        <v>21.376300000000001</v>
      </c>
      <c r="T78" s="420">
        <v>18.27</v>
      </c>
      <c r="U78" s="527">
        <v>3.1063000000000001</v>
      </c>
      <c r="V78" s="427">
        <f t="shared" ref="V78:W83" si="235">AI78*-1</f>
        <v>-22400</v>
      </c>
      <c r="W78" s="421">
        <f t="shared" si="235"/>
        <v>-9600</v>
      </c>
      <c r="X78" s="421">
        <v>0</v>
      </c>
      <c r="Y78" s="421">
        <v>0</v>
      </c>
      <c r="Z78" s="421">
        <v>0</v>
      </c>
      <c r="AA78" s="421">
        <v>66200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ref="AF78:AF83" si="236">V78+X78+Y78+AA78+AB78+AD78</f>
        <v>43800</v>
      </c>
      <c r="AG78" s="421">
        <f t="shared" ref="AG78:AG83" si="237">W78+Z78+AC78+AE78</f>
        <v>-9600</v>
      </c>
      <c r="AH78" s="421">
        <f t="shared" ref="AH78:AH83" si="238">SUM(AF78:AG78)</f>
        <v>34200</v>
      </c>
      <c r="AI78" s="421">
        <v>22400</v>
      </c>
      <c r="AJ78" s="421">
        <v>9600</v>
      </c>
      <c r="AK78" s="421">
        <v>112800</v>
      </c>
      <c r="AL78" s="421">
        <v>0</v>
      </c>
      <c r="AM78" s="421">
        <v>0</v>
      </c>
      <c r="AN78" s="421">
        <v>0</v>
      </c>
      <c r="AO78" s="421">
        <f t="shared" ref="AO78:AO83" si="239">AI78+AK78+AL78+AM78</f>
        <v>135200</v>
      </c>
      <c r="AP78" s="421">
        <f t="shared" ref="AP78:AP83" si="240">AJ78+AN78</f>
        <v>9600</v>
      </c>
      <c r="AQ78" s="421">
        <f t="shared" ref="AQ78:AQ83" si="241">SUM(AO78:AP78)</f>
        <v>144800</v>
      </c>
      <c r="AR78" s="421">
        <f t="shared" ref="AR78:AS83" si="242">AF78+AO78</f>
        <v>179000</v>
      </c>
      <c r="AS78" s="421">
        <f t="shared" si="242"/>
        <v>0</v>
      </c>
      <c r="AT78" s="421">
        <f t="shared" ref="AT78:AT83" si="243">SUM(AR78:AS78)</f>
        <v>179000</v>
      </c>
      <c r="AU78" s="68">
        <f t="shared" ref="AU78:AU83" si="244">ROUND((AH78+AI78+AJ78+AK78+AL78)*33.8%,0)</f>
        <v>60502</v>
      </c>
      <c r="AV78" s="68">
        <f t="shared" ref="AV78:AV83" si="245">ROUND(AH78*1%,0)</f>
        <v>342</v>
      </c>
      <c r="AW78" s="421">
        <v>0</v>
      </c>
      <c r="AX78" s="421">
        <v>0</v>
      </c>
      <c r="AY78" s="421">
        <f t="shared" ref="AY78:AY83" si="246">AW78+AX78</f>
        <v>0</v>
      </c>
      <c r="AZ78" s="421">
        <f t="shared" ref="AZ78:AZ83" si="247">AT78+AU78+AV78+AY78</f>
        <v>239844</v>
      </c>
      <c r="BA78" s="422">
        <v>-0.04</v>
      </c>
      <c r="BB78" s="422">
        <v>-0.03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0.09</v>
      </c>
      <c r="BI78" s="422">
        <v>0</v>
      </c>
      <c r="BJ78" s="422">
        <v>0</v>
      </c>
      <c r="BK78" s="422">
        <f t="shared" ref="BK78:BK83" si="248">BA78+BC78+BD78+BF78+BH78+BI78</f>
        <v>4.9999999999999996E-2</v>
      </c>
      <c r="BL78" s="422">
        <f t="shared" ref="BL78:BL83" si="249">BB78+BE78+BG78+BJ78</f>
        <v>-0.03</v>
      </c>
      <c r="BM78" s="611">
        <f t="shared" ref="BM78:BM83" si="250">SUM(BK78:BL78)</f>
        <v>1.9999999999999997E-2</v>
      </c>
      <c r="BN78" s="428">
        <f t="shared" ref="BN78:BN83" si="251">I78+AZ78</f>
        <v>20306579</v>
      </c>
      <c r="BO78" s="421">
        <f t="shared" ref="BO78:BO83" si="252">J78+AH78</f>
        <v>14726249</v>
      </c>
      <c r="BP78" s="421">
        <f t="shared" ref="BP78:BQ83" si="253">K78+AF78</f>
        <v>13660665</v>
      </c>
      <c r="BQ78" s="421">
        <f t="shared" si="253"/>
        <v>1065584</v>
      </c>
      <c r="BR78" s="421">
        <f t="shared" ref="BR78:BR83" si="254">M78+AQ78</f>
        <v>144800</v>
      </c>
      <c r="BS78" s="421">
        <f t="shared" ref="BS78:BT83" si="255">N78+AO78</f>
        <v>135200</v>
      </c>
      <c r="BT78" s="421">
        <f t="shared" si="255"/>
        <v>9600</v>
      </c>
      <c r="BU78" s="421">
        <f t="shared" ref="BU78:BV83" si="256">P78+AU78</f>
        <v>5026414</v>
      </c>
      <c r="BV78" s="421">
        <f t="shared" si="256"/>
        <v>147263</v>
      </c>
      <c r="BW78" s="421">
        <f t="shared" ref="BW78:BW83" si="257">R78+AY78</f>
        <v>261853</v>
      </c>
      <c r="BX78" s="422">
        <f t="shared" ref="BX78:BX83" si="258">S78+BM78</f>
        <v>21.3963</v>
      </c>
      <c r="BY78" s="422">
        <f t="shared" ref="BY78:BZ83" si="259">T78+BK78</f>
        <v>18.32</v>
      </c>
      <c r="BZ78" s="611">
        <f t="shared" si="259"/>
        <v>3.0763000000000003</v>
      </c>
      <c r="CA78" s="423">
        <v>150926</v>
      </c>
      <c r="CB78" s="418">
        <v>0</v>
      </c>
      <c r="CC78" s="418">
        <v>112800</v>
      </c>
      <c r="CD78" s="418">
        <v>38126</v>
      </c>
      <c r="CE78" s="418">
        <v>0</v>
      </c>
      <c r="CF78" s="527">
        <v>0</v>
      </c>
    </row>
    <row r="79" spans="1:84" s="222" customFormat="1" x14ac:dyDescent="0.2">
      <c r="A79" s="210">
        <v>15</v>
      </c>
      <c r="B79" s="211">
        <v>4442</v>
      </c>
      <c r="C79" s="211">
        <v>600074901</v>
      </c>
      <c r="D79" s="211">
        <v>48283061</v>
      </c>
      <c r="E79" s="209" t="s">
        <v>174</v>
      </c>
      <c r="F79" s="211">
        <v>3113</v>
      </c>
      <c r="G79" s="165" t="s">
        <v>292</v>
      </c>
      <c r="H79" s="699" t="s">
        <v>272</v>
      </c>
      <c r="I79" s="528">
        <f t="shared" si="231"/>
        <v>0</v>
      </c>
      <c r="J79" s="418">
        <f t="shared" si="232"/>
        <v>0</v>
      </c>
      <c r="K79" s="418">
        <v>0</v>
      </c>
      <c r="L79" s="418">
        <v>0</v>
      </c>
      <c r="M79" s="418">
        <f t="shared" si="233"/>
        <v>0</v>
      </c>
      <c r="N79" s="418"/>
      <c r="O79" s="418"/>
      <c r="P79" s="68">
        <f t="shared" ref="P79:P83" si="260">ROUND(J79*33.8%,0)</f>
        <v>0</v>
      </c>
      <c r="Q79" s="68">
        <f t="shared" ref="Q79:Q83" si="261">ROUND(J79*1%,0)</f>
        <v>0</v>
      </c>
      <c r="R79" s="418">
        <v>0</v>
      </c>
      <c r="S79" s="419">
        <f t="shared" si="234"/>
        <v>0</v>
      </c>
      <c r="T79" s="420">
        <v>0</v>
      </c>
      <c r="U79" s="527">
        <v>0</v>
      </c>
      <c r="V79" s="427">
        <f t="shared" si="235"/>
        <v>0</v>
      </c>
      <c r="W79" s="421">
        <f t="shared" si="235"/>
        <v>0</v>
      </c>
      <c r="X79" s="421">
        <v>1122713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 t="shared" si="236"/>
        <v>1122713</v>
      </c>
      <c r="AG79" s="421">
        <f t="shared" si="237"/>
        <v>0</v>
      </c>
      <c r="AH79" s="421">
        <f t="shared" si="238"/>
        <v>1122713</v>
      </c>
      <c r="AI79" s="421">
        <v>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si="239"/>
        <v>0</v>
      </c>
      <c r="AP79" s="421">
        <f t="shared" si="240"/>
        <v>0</v>
      </c>
      <c r="AQ79" s="421">
        <f t="shared" si="241"/>
        <v>0</v>
      </c>
      <c r="AR79" s="421">
        <f t="shared" si="242"/>
        <v>1122713</v>
      </c>
      <c r="AS79" s="421">
        <f t="shared" si="242"/>
        <v>0</v>
      </c>
      <c r="AT79" s="421">
        <f t="shared" si="243"/>
        <v>1122713</v>
      </c>
      <c r="AU79" s="68">
        <f t="shared" si="244"/>
        <v>379477</v>
      </c>
      <c r="AV79" s="68">
        <f t="shared" si="245"/>
        <v>11227</v>
      </c>
      <c r="AW79" s="421">
        <v>0</v>
      </c>
      <c r="AX79" s="421">
        <v>0</v>
      </c>
      <c r="AY79" s="421">
        <f t="shared" si="246"/>
        <v>0</v>
      </c>
      <c r="AZ79" s="421">
        <f t="shared" si="247"/>
        <v>1513417</v>
      </c>
      <c r="BA79" s="422">
        <v>0</v>
      </c>
      <c r="BB79" s="422">
        <v>0</v>
      </c>
      <c r="BC79" s="422">
        <v>3.03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 t="shared" si="248"/>
        <v>3.03</v>
      </c>
      <c r="BL79" s="422">
        <f t="shared" si="249"/>
        <v>0</v>
      </c>
      <c r="BM79" s="611">
        <f t="shared" si="250"/>
        <v>3.03</v>
      </c>
      <c r="BN79" s="428">
        <f t="shared" si="251"/>
        <v>1513417</v>
      </c>
      <c r="BO79" s="421">
        <f t="shared" si="252"/>
        <v>1122713</v>
      </c>
      <c r="BP79" s="421">
        <f t="shared" si="253"/>
        <v>1122713</v>
      </c>
      <c r="BQ79" s="421">
        <f t="shared" si="253"/>
        <v>0</v>
      </c>
      <c r="BR79" s="421">
        <f t="shared" si="254"/>
        <v>0</v>
      </c>
      <c r="BS79" s="421">
        <f t="shared" si="255"/>
        <v>0</v>
      </c>
      <c r="BT79" s="421">
        <f t="shared" si="255"/>
        <v>0</v>
      </c>
      <c r="BU79" s="421">
        <f t="shared" si="256"/>
        <v>379477</v>
      </c>
      <c r="BV79" s="421">
        <f t="shared" si="256"/>
        <v>11227</v>
      </c>
      <c r="BW79" s="421">
        <f t="shared" si="257"/>
        <v>0</v>
      </c>
      <c r="BX79" s="422">
        <f t="shared" si="258"/>
        <v>3.03</v>
      </c>
      <c r="BY79" s="422">
        <f t="shared" si="259"/>
        <v>3.03</v>
      </c>
      <c r="BZ79" s="611">
        <f t="shared" si="259"/>
        <v>0</v>
      </c>
      <c r="CA79" s="423"/>
      <c r="CB79" s="418"/>
      <c r="CC79" s="418"/>
      <c r="CD79" s="418"/>
      <c r="CE79" s="418"/>
      <c r="CF79" s="527"/>
    </row>
    <row r="80" spans="1:84" s="222" customFormat="1" x14ac:dyDescent="0.2">
      <c r="A80" s="210">
        <v>15</v>
      </c>
      <c r="B80" s="211">
        <v>4442</v>
      </c>
      <c r="C80" s="211">
        <v>600074901</v>
      </c>
      <c r="D80" s="211">
        <v>48283061</v>
      </c>
      <c r="E80" s="209" t="s">
        <v>174</v>
      </c>
      <c r="F80" s="211">
        <v>3141</v>
      </c>
      <c r="G80" s="165" t="s">
        <v>295</v>
      </c>
      <c r="H80" s="699" t="s">
        <v>272</v>
      </c>
      <c r="I80" s="528">
        <f t="shared" si="231"/>
        <v>1080421</v>
      </c>
      <c r="J80" s="418">
        <f t="shared" si="232"/>
        <v>795917</v>
      </c>
      <c r="K80" s="418">
        <v>0</v>
      </c>
      <c r="L80" s="418">
        <v>795917</v>
      </c>
      <c r="M80" s="418">
        <f t="shared" si="233"/>
        <v>0</v>
      </c>
      <c r="N80" s="418"/>
      <c r="O80" s="418"/>
      <c r="P80" s="68">
        <f t="shared" si="260"/>
        <v>269020</v>
      </c>
      <c r="Q80" s="68">
        <f t="shared" si="261"/>
        <v>7959</v>
      </c>
      <c r="R80" s="418">
        <v>7525</v>
      </c>
      <c r="S80" s="419">
        <f t="shared" si="234"/>
        <v>2.39</v>
      </c>
      <c r="T80" s="420">
        <v>0</v>
      </c>
      <c r="U80" s="527">
        <v>2.39</v>
      </c>
      <c r="V80" s="427">
        <f t="shared" si="235"/>
        <v>0</v>
      </c>
      <c r="W80" s="421">
        <f t="shared" si="235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 t="shared" si="236"/>
        <v>0</v>
      </c>
      <c r="AG80" s="421">
        <f t="shared" si="237"/>
        <v>0</v>
      </c>
      <c r="AH80" s="421">
        <f t="shared" si="238"/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239"/>
        <v>0</v>
      </c>
      <c r="AP80" s="421">
        <f t="shared" si="240"/>
        <v>0</v>
      </c>
      <c r="AQ80" s="421">
        <f t="shared" si="241"/>
        <v>0</v>
      </c>
      <c r="AR80" s="421">
        <f t="shared" si="242"/>
        <v>0</v>
      </c>
      <c r="AS80" s="421">
        <f t="shared" si="242"/>
        <v>0</v>
      </c>
      <c r="AT80" s="421">
        <f t="shared" si="243"/>
        <v>0</v>
      </c>
      <c r="AU80" s="68">
        <f t="shared" si="244"/>
        <v>0</v>
      </c>
      <c r="AV80" s="68">
        <f t="shared" si="245"/>
        <v>0</v>
      </c>
      <c r="AW80" s="421">
        <v>0</v>
      </c>
      <c r="AX80" s="421">
        <v>0</v>
      </c>
      <c r="AY80" s="421">
        <f t="shared" si="246"/>
        <v>0</v>
      </c>
      <c r="AZ80" s="421">
        <f t="shared" si="247"/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 t="shared" si="248"/>
        <v>0</v>
      </c>
      <c r="BL80" s="422">
        <f t="shared" si="249"/>
        <v>0</v>
      </c>
      <c r="BM80" s="611">
        <f t="shared" si="250"/>
        <v>0</v>
      </c>
      <c r="BN80" s="428">
        <f t="shared" si="251"/>
        <v>1080421</v>
      </c>
      <c r="BO80" s="421">
        <f t="shared" si="252"/>
        <v>795917</v>
      </c>
      <c r="BP80" s="421">
        <f t="shared" si="253"/>
        <v>0</v>
      </c>
      <c r="BQ80" s="421">
        <f t="shared" si="253"/>
        <v>795917</v>
      </c>
      <c r="BR80" s="421">
        <f t="shared" si="254"/>
        <v>0</v>
      </c>
      <c r="BS80" s="421">
        <f t="shared" si="255"/>
        <v>0</v>
      </c>
      <c r="BT80" s="421">
        <f t="shared" si="255"/>
        <v>0</v>
      </c>
      <c r="BU80" s="421">
        <f t="shared" si="256"/>
        <v>269020</v>
      </c>
      <c r="BV80" s="421">
        <f t="shared" si="256"/>
        <v>7959</v>
      </c>
      <c r="BW80" s="421">
        <f t="shared" si="257"/>
        <v>7525</v>
      </c>
      <c r="BX80" s="422">
        <f t="shared" si="258"/>
        <v>2.39</v>
      </c>
      <c r="BY80" s="422">
        <f t="shared" si="259"/>
        <v>0</v>
      </c>
      <c r="BZ80" s="611">
        <f t="shared" si="259"/>
        <v>2.39</v>
      </c>
      <c r="CA80" s="423"/>
      <c r="CB80" s="418"/>
      <c r="CC80" s="418"/>
      <c r="CD80" s="418"/>
      <c r="CE80" s="418"/>
      <c r="CF80" s="527"/>
    </row>
    <row r="81" spans="1:84" s="222" customFormat="1" x14ac:dyDescent="0.2">
      <c r="A81" s="210">
        <v>15</v>
      </c>
      <c r="B81" s="211">
        <v>4442</v>
      </c>
      <c r="C81" s="211">
        <v>600074901</v>
      </c>
      <c r="D81" s="211">
        <v>48283061</v>
      </c>
      <c r="E81" s="205" t="s">
        <v>174</v>
      </c>
      <c r="F81" s="211">
        <v>3143</v>
      </c>
      <c r="G81" s="165" t="s">
        <v>596</v>
      </c>
      <c r="H81" s="686" t="s">
        <v>271</v>
      </c>
      <c r="I81" s="528">
        <f t="shared" si="231"/>
        <v>1960836</v>
      </c>
      <c r="J81" s="418">
        <f t="shared" si="232"/>
        <v>1454626</v>
      </c>
      <c r="K81" s="418">
        <v>1454626</v>
      </c>
      <c r="L81" s="418">
        <v>0</v>
      </c>
      <c r="M81" s="418">
        <f t="shared" si="233"/>
        <v>0</v>
      </c>
      <c r="N81" s="418"/>
      <c r="O81" s="418"/>
      <c r="P81" s="68">
        <f t="shared" si="260"/>
        <v>491664</v>
      </c>
      <c r="Q81" s="68">
        <f t="shared" si="261"/>
        <v>14546</v>
      </c>
      <c r="R81" s="418">
        <v>0</v>
      </c>
      <c r="S81" s="419">
        <f t="shared" si="234"/>
        <v>2.6553</v>
      </c>
      <c r="T81" s="420">
        <v>2.6553</v>
      </c>
      <c r="U81" s="527">
        <v>0</v>
      </c>
      <c r="V81" s="427">
        <f t="shared" si="235"/>
        <v>-6400</v>
      </c>
      <c r="W81" s="421">
        <f t="shared" si="235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 t="shared" si="236"/>
        <v>-6400</v>
      </c>
      <c r="AG81" s="421">
        <f t="shared" si="237"/>
        <v>0</v>
      </c>
      <c r="AH81" s="421">
        <f t="shared" si="238"/>
        <v>-6400</v>
      </c>
      <c r="AI81" s="421">
        <v>6400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239"/>
        <v>6400</v>
      </c>
      <c r="AP81" s="421">
        <f t="shared" si="240"/>
        <v>0</v>
      </c>
      <c r="AQ81" s="421">
        <f t="shared" si="241"/>
        <v>6400</v>
      </c>
      <c r="AR81" s="421">
        <f t="shared" si="242"/>
        <v>0</v>
      </c>
      <c r="AS81" s="421">
        <f t="shared" si="242"/>
        <v>0</v>
      </c>
      <c r="AT81" s="421">
        <f t="shared" si="243"/>
        <v>0</v>
      </c>
      <c r="AU81" s="68">
        <f t="shared" si="244"/>
        <v>0</v>
      </c>
      <c r="AV81" s="68">
        <f t="shared" si="245"/>
        <v>-64</v>
      </c>
      <c r="AW81" s="421">
        <v>0</v>
      </c>
      <c r="AX81" s="421">
        <v>0</v>
      </c>
      <c r="AY81" s="421">
        <f t="shared" si="246"/>
        <v>0</v>
      </c>
      <c r="AZ81" s="421">
        <f t="shared" si="247"/>
        <v>-64</v>
      </c>
      <c r="BA81" s="422">
        <v>-0.02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 t="shared" si="248"/>
        <v>-0.02</v>
      </c>
      <c r="BL81" s="422">
        <f t="shared" si="249"/>
        <v>0</v>
      </c>
      <c r="BM81" s="611">
        <f t="shared" si="250"/>
        <v>-0.02</v>
      </c>
      <c r="BN81" s="428">
        <f t="shared" si="251"/>
        <v>1960772</v>
      </c>
      <c r="BO81" s="421">
        <f t="shared" si="252"/>
        <v>1448226</v>
      </c>
      <c r="BP81" s="421">
        <f t="shared" si="253"/>
        <v>1448226</v>
      </c>
      <c r="BQ81" s="421">
        <f t="shared" si="253"/>
        <v>0</v>
      </c>
      <c r="BR81" s="421">
        <f t="shared" si="254"/>
        <v>6400</v>
      </c>
      <c r="BS81" s="421">
        <f t="shared" si="255"/>
        <v>6400</v>
      </c>
      <c r="BT81" s="421">
        <f t="shared" si="255"/>
        <v>0</v>
      </c>
      <c r="BU81" s="421">
        <f t="shared" si="256"/>
        <v>491664</v>
      </c>
      <c r="BV81" s="421">
        <f t="shared" si="256"/>
        <v>14482</v>
      </c>
      <c r="BW81" s="421">
        <f t="shared" si="257"/>
        <v>0</v>
      </c>
      <c r="BX81" s="422">
        <f t="shared" si="258"/>
        <v>2.6353</v>
      </c>
      <c r="BY81" s="422">
        <f t="shared" si="259"/>
        <v>2.6353</v>
      </c>
      <c r="BZ81" s="611">
        <f t="shared" si="259"/>
        <v>0</v>
      </c>
      <c r="CA81" s="423"/>
      <c r="CB81" s="418"/>
      <c r="CC81" s="418"/>
      <c r="CD81" s="418"/>
      <c r="CE81" s="418"/>
      <c r="CF81" s="527"/>
    </row>
    <row r="82" spans="1:84" s="222" customFormat="1" x14ac:dyDescent="0.2">
      <c r="A82" s="210">
        <v>15</v>
      </c>
      <c r="B82" s="211">
        <v>4442</v>
      </c>
      <c r="C82" s="211">
        <v>600074901</v>
      </c>
      <c r="D82" s="211">
        <v>48283061</v>
      </c>
      <c r="E82" s="205" t="s">
        <v>174</v>
      </c>
      <c r="F82" s="211">
        <v>3143</v>
      </c>
      <c r="G82" s="165" t="s">
        <v>597</v>
      </c>
      <c r="H82" s="686" t="s">
        <v>272</v>
      </c>
      <c r="I82" s="528">
        <f t="shared" si="231"/>
        <v>46104</v>
      </c>
      <c r="J82" s="418">
        <f t="shared" si="232"/>
        <v>33000</v>
      </c>
      <c r="K82" s="418">
        <v>0</v>
      </c>
      <c r="L82" s="418">
        <v>33000</v>
      </c>
      <c r="M82" s="418">
        <f t="shared" si="233"/>
        <v>0</v>
      </c>
      <c r="N82" s="418"/>
      <c r="O82" s="418"/>
      <c r="P82" s="68">
        <f t="shared" si="260"/>
        <v>11154</v>
      </c>
      <c r="Q82" s="68">
        <f t="shared" si="261"/>
        <v>330</v>
      </c>
      <c r="R82" s="418">
        <v>1620</v>
      </c>
      <c r="S82" s="419">
        <f t="shared" si="234"/>
        <v>0.13</v>
      </c>
      <c r="T82" s="420">
        <v>0</v>
      </c>
      <c r="U82" s="527">
        <v>0.13</v>
      </c>
      <c r="V82" s="427">
        <f t="shared" si="235"/>
        <v>0</v>
      </c>
      <c r="W82" s="421">
        <f t="shared" si="235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 t="shared" si="236"/>
        <v>0</v>
      </c>
      <c r="AG82" s="421">
        <f t="shared" si="237"/>
        <v>0</v>
      </c>
      <c r="AH82" s="421">
        <f t="shared" si="238"/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239"/>
        <v>0</v>
      </c>
      <c r="AP82" s="421">
        <f t="shared" si="240"/>
        <v>0</v>
      </c>
      <c r="AQ82" s="421">
        <f t="shared" si="241"/>
        <v>0</v>
      </c>
      <c r="AR82" s="421">
        <f t="shared" si="242"/>
        <v>0</v>
      </c>
      <c r="AS82" s="421">
        <f t="shared" si="242"/>
        <v>0</v>
      </c>
      <c r="AT82" s="421">
        <f t="shared" si="243"/>
        <v>0</v>
      </c>
      <c r="AU82" s="68">
        <f t="shared" si="244"/>
        <v>0</v>
      </c>
      <c r="AV82" s="68">
        <f t="shared" si="245"/>
        <v>0</v>
      </c>
      <c r="AW82" s="421">
        <v>0</v>
      </c>
      <c r="AX82" s="421">
        <v>0</v>
      </c>
      <c r="AY82" s="421">
        <f t="shared" si="246"/>
        <v>0</v>
      </c>
      <c r="AZ82" s="421">
        <f t="shared" si="247"/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 t="shared" si="248"/>
        <v>0</v>
      </c>
      <c r="BL82" s="422">
        <f t="shared" si="249"/>
        <v>0</v>
      </c>
      <c r="BM82" s="611">
        <f t="shared" si="250"/>
        <v>0</v>
      </c>
      <c r="BN82" s="428">
        <f t="shared" si="251"/>
        <v>46104</v>
      </c>
      <c r="BO82" s="421">
        <f t="shared" si="252"/>
        <v>33000</v>
      </c>
      <c r="BP82" s="421">
        <f t="shared" si="253"/>
        <v>0</v>
      </c>
      <c r="BQ82" s="421">
        <f t="shared" si="253"/>
        <v>33000</v>
      </c>
      <c r="BR82" s="421">
        <f t="shared" si="254"/>
        <v>0</v>
      </c>
      <c r="BS82" s="421">
        <f t="shared" si="255"/>
        <v>0</v>
      </c>
      <c r="BT82" s="421">
        <f t="shared" si="255"/>
        <v>0</v>
      </c>
      <c r="BU82" s="421">
        <f t="shared" si="256"/>
        <v>11154</v>
      </c>
      <c r="BV82" s="421">
        <f t="shared" si="256"/>
        <v>330</v>
      </c>
      <c r="BW82" s="421">
        <f t="shared" si="257"/>
        <v>1620</v>
      </c>
      <c r="BX82" s="422">
        <f t="shared" si="258"/>
        <v>0.13</v>
      </c>
      <c r="BY82" s="422">
        <f t="shared" si="259"/>
        <v>0</v>
      </c>
      <c r="BZ82" s="611">
        <f t="shared" si="259"/>
        <v>0.13</v>
      </c>
      <c r="CA82" s="423"/>
      <c r="CB82" s="418"/>
      <c r="CC82" s="418"/>
      <c r="CD82" s="418"/>
      <c r="CE82" s="418"/>
      <c r="CF82" s="527"/>
    </row>
    <row r="83" spans="1:84" s="222" customFormat="1" x14ac:dyDescent="0.2">
      <c r="A83" s="210">
        <v>15</v>
      </c>
      <c r="B83" s="211">
        <v>4442</v>
      </c>
      <c r="C83" s="211">
        <v>600074901</v>
      </c>
      <c r="D83" s="211">
        <v>48283061</v>
      </c>
      <c r="E83" s="205" t="s">
        <v>174</v>
      </c>
      <c r="F83" s="211">
        <v>3143</v>
      </c>
      <c r="G83" s="165" t="s">
        <v>297</v>
      </c>
      <c r="H83" s="686" t="s">
        <v>272</v>
      </c>
      <c r="I83" s="528">
        <f t="shared" si="231"/>
        <v>316792</v>
      </c>
      <c r="J83" s="418">
        <f t="shared" si="232"/>
        <v>234795</v>
      </c>
      <c r="K83" s="418">
        <v>226004</v>
      </c>
      <c r="L83" s="418">
        <v>8791</v>
      </c>
      <c r="M83" s="418">
        <f t="shared" si="233"/>
        <v>0</v>
      </c>
      <c r="N83" s="418"/>
      <c r="O83" s="418"/>
      <c r="P83" s="68">
        <f t="shared" si="260"/>
        <v>79361</v>
      </c>
      <c r="Q83" s="68">
        <f t="shared" si="261"/>
        <v>2348</v>
      </c>
      <c r="R83" s="418">
        <v>288</v>
      </c>
      <c r="S83" s="419">
        <f t="shared" si="234"/>
        <v>0.48</v>
      </c>
      <c r="T83" s="420">
        <v>0.45</v>
      </c>
      <c r="U83" s="527">
        <v>0.03</v>
      </c>
      <c r="V83" s="427">
        <f t="shared" si="235"/>
        <v>0</v>
      </c>
      <c r="W83" s="421">
        <f t="shared" si="235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236"/>
        <v>0</v>
      </c>
      <c r="AG83" s="421">
        <f t="shared" si="237"/>
        <v>0</v>
      </c>
      <c r="AH83" s="421">
        <f t="shared" si="238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239"/>
        <v>0</v>
      </c>
      <c r="AP83" s="421">
        <f t="shared" si="240"/>
        <v>0</v>
      </c>
      <c r="AQ83" s="421">
        <f t="shared" si="241"/>
        <v>0</v>
      </c>
      <c r="AR83" s="421">
        <f t="shared" si="242"/>
        <v>0</v>
      </c>
      <c r="AS83" s="421">
        <f t="shared" si="242"/>
        <v>0</v>
      </c>
      <c r="AT83" s="421">
        <f t="shared" si="243"/>
        <v>0</v>
      </c>
      <c r="AU83" s="68">
        <f t="shared" si="244"/>
        <v>0</v>
      </c>
      <c r="AV83" s="68">
        <f t="shared" si="245"/>
        <v>0</v>
      </c>
      <c r="AW83" s="421">
        <v>0</v>
      </c>
      <c r="AX83" s="421">
        <v>0</v>
      </c>
      <c r="AY83" s="421">
        <f t="shared" si="246"/>
        <v>0</v>
      </c>
      <c r="AZ83" s="421">
        <f t="shared" si="247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 t="shared" si="248"/>
        <v>0</v>
      </c>
      <c r="BL83" s="422">
        <f t="shared" si="249"/>
        <v>0</v>
      </c>
      <c r="BM83" s="611">
        <f t="shared" si="250"/>
        <v>0</v>
      </c>
      <c r="BN83" s="428">
        <f t="shared" si="251"/>
        <v>316792</v>
      </c>
      <c r="BO83" s="421">
        <f t="shared" si="252"/>
        <v>234795</v>
      </c>
      <c r="BP83" s="421">
        <f t="shared" si="253"/>
        <v>226004</v>
      </c>
      <c r="BQ83" s="421">
        <f t="shared" si="253"/>
        <v>8791</v>
      </c>
      <c r="BR83" s="421">
        <f t="shared" si="254"/>
        <v>0</v>
      </c>
      <c r="BS83" s="421">
        <f t="shared" si="255"/>
        <v>0</v>
      </c>
      <c r="BT83" s="421">
        <f t="shared" si="255"/>
        <v>0</v>
      </c>
      <c r="BU83" s="421">
        <f t="shared" si="256"/>
        <v>79361</v>
      </c>
      <c r="BV83" s="421">
        <f t="shared" si="256"/>
        <v>2348</v>
      </c>
      <c r="BW83" s="421">
        <f t="shared" si="257"/>
        <v>288</v>
      </c>
      <c r="BX83" s="422">
        <f t="shared" si="258"/>
        <v>0.48</v>
      </c>
      <c r="BY83" s="422">
        <f t="shared" si="259"/>
        <v>0.45</v>
      </c>
      <c r="BZ83" s="611">
        <f t="shared" si="259"/>
        <v>0.03</v>
      </c>
      <c r="CA83" s="423"/>
      <c r="CB83" s="418"/>
      <c r="CC83" s="418"/>
      <c r="CD83" s="418"/>
      <c r="CE83" s="418"/>
      <c r="CF83" s="527"/>
    </row>
    <row r="84" spans="1:84" s="222" customFormat="1" x14ac:dyDescent="0.2">
      <c r="A84" s="155">
        <v>15</v>
      </c>
      <c r="B84" s="18">
        <v>4442</v>
      </c>
      <c r="C84" s="18">
        <v>600074901</v>
      </c>
      <c r="D84" s="18">
        <v>48283061</v>
      </c>
      <c r="E84" s="164" t="s">
        <v>175</v>
      </c>
      <c r="F84" s="18"/>
      <c r="G84" s="154"/>
      <c r="H84" s="685"/>
      <c r="I84" s="458">
        <f t="shared" ref="I84:BT84" si="262">SUM(I78:I83)</f>
        <v>23470888</v>
      </c>
      <c r="J84" s="451">
        <f t="shared" si="262"/>
        <v>17210387</v>
      </c>
      <c r="K84" s="451">
        <f t="shared" si="262"/>
        <v>15297495</v>
      </c>
      <c r="L84" s="451">
        <f t="shared" si="262"/>
        <v>1912892</v>
      </c>
      <c r="M84" s="451">
        <f t="shared" si="262"/>
        <v>0</v>
      </c>
      <c r="N84" s="451">
        <f t="shared" si="262"/>
        <v>0</v>
      </c>
      <c r="O84" s="451">
        <f t="shared" si="262"/>
        <v>0</v>
      </c>
      <c r="P84" s="451">
        <f t="shared" si="262"/>
        <v>5817111</v>
      </c>
      <c r="Q84" s="451">
        <f t="shared" si="262"/>
        <v>172104</v>
      </c>
      <c r="R84" s="451">
        <f t="shared" si="262"/>
        <v>271286</v>
      </c>
      <c r="S84" s="452">
        <f t="shared" si="262"/>
        <v>27.031600000000001</v>
      </c>
      <c r="T84" s="452">
        <f t="shared" si="262"/>
        <v>21.375299999999999</v>
      </c>
      <c r="U84" s="39">
        <f t="shared" si="262"/>
        <v>5.6562999999999999</v>
      </c>
      <c r="V84" s="458">
        <f t="shared" si="262"/>
        <v>-28800</v>
      </c>
      <c r="W84" s="451">
        <f t="shared" si="262"/>
        <v>-9600</v>
      </c>
      <c r="X84" s="451">
        <f t="shared" si="262"/>
        <v>1122713</v>
      </c>
      <c r="Y84" s="451">
        <f t="shared" si="262"/>
        <v>0</v>
      </c>
      <c r="Z84" s="451">
        <f t="shared" si="262"/>
        <v>0</v>
      </c>
      <c r="AA84" s="451">
        <f t="shared" si="262"/>
        <v>66200</v>
      </c>
      <c r="AB84" s="451">
        <f t="shared" si="262"/>
        <v>0</v>
      </c>
      <c r="AC84" s="451">
        <f t="shared" si="262"/>
        <v>0</v>
      </c>
      <c r="AD84" s="451">
        <f t="shared" si="262"/>
        <v>0</v>
      </c>
      <c r="AE84" s="451">
        <f t="shared" si="262"/>
        <v>0</v>
      </c>
      <c r="AF84" s="451">
        <f t="shared" si="262"/>
        <v>1160113</v>
      </c>
      <c r="AG84" s="451">
        <f t="shared" si="262"/>
        <v>-9600</v>
      </c>
      <c r="AH84" s="451">
        <f t="shared" si="262"/>
        <v>1150513</v>
      </c>
      <c r="AI84" s="451">
        <f t="shared" si="262"/>
        <v>28800</v>
      </c>
      <c r="AJ84" s="451">
        <f t="shared" si="262"/>
        <v>9600</v>
      </c>
      <c r="AK84" s="451">
        <f t="shared" ref="AK84" si="263">SUM(AK78:AK83)</f>
        <v>112800</v>
      </c>
      <c r="AL84" s="451">
        <f t="shared" si="262"/>
        <v>0</v>
      </c>
      <c r="AM84" s="451">
        <f t="shared" si="262"/>
        <v>0</v>
      </c>
      <c r="AN84" s="451">
        <f t="shared" si="262"/>
        <v>0</v>
      </c>
      <c r="AO84" s="451">
        <f t="shared" si="262"/>
        <v>141600</v>
      </c>
      <c r="AP84" s="451">
        <f t="shared" si="262"/>
        <v>9600</v>
      </c>
      <c r="AQ84" s="451">
        <f t="shared" si="262"/>
        <v>151200</v>
      </c>
      <c r="AR84" s="451">
        <f t="shared" si="262"/>
        <v>1301713</v>
      </c>
      <c r="AS84" s="451">
        <f t="shared" si="262"/>
        <v>0</v>
      </c>
      <c r="AT84" s="451">
        <f t="shared" si="262"/>
        <v>1301713</v>
      </c>
      <c r="AU84" s="451">
        <f t="shared" si="262"/>
        <v>439979</v>
      </c>
      <c r="AV84" s="451">
        <f t="shared" si="262"/>
        <v>11505</v>
      </c>
      <c r="AW84" s="451">
        <f t="shared" si="262"/>
        <v>0</v>
      </c>
      <c r="AX84" s="451">
        <f t="shared" si="262"/>
        <v>0</v>
      </c>
      <c r="AY84" s="451">
        <f t="shared" si="262"/>
        <v>0</v>
      </c>
      <c r="AZ84" s="451">
        <f t="shared" si="262"/>
        <v>1753197</v>
      </c>
      <c r="BA84" s="452">
        <f t="shared" si="262"/>
        <v>-0.06</v>
      </c>
      <c r="BB84" s="452">
        <f t="shared" si="262"/>
        <v>-0.03</v>
      </c>
      <c r="BC84" s="452">
        <f t="shared" si="262"/>
        <v>3.03</v>
      </c>
      <c r="BD84" s="452">
        <f t="shared" si="262"/>
        <v>0</v>
      </c>
      <c r="BE84" s="452">
        <f t="shared" si="262"/>
        <v>0</v>
      </c>
      <c r="BF84" s="452">
        <f t="shared" si="262"/>
        <v>0</v>
      </c>
      <c r="BG84" s="452">
        <f t="shared" si="262"/>
        <v>0</v>
      </c>
      <c r="BH84" s="452">
        <f t="shared" si="262"/>
        <v>0.09</v>
      </c>
      <c r="BI84" s="452">
        <f t="shared" si="262"/>
        <v>0</v>
      </c>
      <c r="BJ84" s="452">
        <f t="shared" si="262"/>
        <v>0</v>
      </c>
      <c r="BK84" s="452">
        <f t="shared" si="262"/>
        <v>3.0599999999999996</v>
      </c>
      <c r="BL84" s="452">
        <f t="shared" si="262"/>
        <v>-0.03</v>
      </c>
      <c r="BM84" s="456">
        <f t="shared" si="262"/>
        <v>3.03</v>
      </c>
      <c r="BN84" s="454">
        <f t="shared" si="262"/>
        <v>25224085</v>
      </c>
      <c r="BO84" s="451">
        <f t="shared" si="262"/>
        <v>18360900</v>
      </c>
      <c r="BP84" s="451">
        <f t="shared" si="262"/>
        <v>16457608</v>
      </c>
      <c r="BQ84" s="451">
        <f t="shared" si="262"/>
        <v>1903292</v>
      </c>
      <c r="BR84" s="451">
        <f t="shared" si="262"/>
        <v>151200</v>
      </c>
      <c r="BS84" s="451">
        <f t="shared" si="262"/>
        <v>141600</v>
      </c>
      <c r="BT84" s="451">
        <f t="shared" si="262"/>
        <v>9600</v>
      </c>
      <c r="BU84" s="451">
        <f t="shared" ref="BU84:CF84" si="264">SUM(BU78:BU83)</f>
        <v>6257090</v>
      </c>
      <c r="BV84" s="451">
        <f t="shared" si="264"/>
        <v>183609</v>
      </c>
      <c r="BW84" s="451">
        <f t="shared" si="264"/>
        <v>271286</v>
      </c>
      <c r="BX84" s="452">
        <f t="shared" si="264"/>
        <v>30.061600000000002</v>
      </c>
      <c r="BY84" s="452">
        <f t="shared" si="264"/>
        <v>24.435300000000002</v>
      </c>
      <c r="BZ84" s="456">
        <f t="shared" si="264"/>
        <v>5.6263000000000005</v>
      </c>
      <c r="CA84" s="854">
        <f t="shared" si="264"/>
        <v>150926</v>
      </c>
      <c r="CB84" s="852">
        <f t="shared" si="264"/>
        <v>0</v>
      </c>
      <c r="CC84" s="852">
        <f t="shared" si="264"/>
        <v>112800</v>
      </c>
      <c r="CD84" s="852">
        <f t="shared" si="264"/>
        <v>38126</v>
      </c>
      <c r="CE84" s="852">
        <f t="shared" si="264"/>
        <v>0</v>
      </c>
      <c r="CF84" s="848">
        <f t="shared" si="264"/>
        <v>0</v>
      </c>
    </row>
    <row r="85" spans="1:84" s="222" customFormat="1" x14ac:dyDescent="0.2">
      <c r="A85" s="210">
        <v>16</v>
      </c>
      <c r="B85" s="211">
        <v>4436</v>
      </c>
      <c r="C85" s="211">
        <v>600074986</v>
      </c>
      <c r="D85" s="211">
        <v>70982198</v>
      </c>
      <c r="E85" s="209" t="s">
        <v>176</v>
      </c>
      <c r="F85" s="211">
        <v>3113</v>
      </c>
      <c r="G85" s="165" t="s">
        <v>294</v>
      </c>
      <c r="H85" s="699" t="s">
        <v>271</v>
      </c>
      <c r="I85" s="528">
        <f t="shared" ref="I85:I89" si="265">J85+P85+Q85+R85</f>
        <v>30327933</v>
      </c>
      <c r="J85" s="418">
        <f>K85+L85</f>
        <v>22208021</v>
      </c>
      <c r="K85" s="418">
        <v>20666827</v>
      </c>
      <c r="L85" s="418">
        <v>1541194</v>
      </c>
      <c r="M85" s="418">
        <f>N85+O85</f>
        <v>0</v>
      </c>
      <c r="N85" s="418"/>
      <c r="O85" s="418"/>
      <c r="P85" s="68">
        <f t="shared" ref="P85:P89" si="266">ROUND(J85*33.8%,0)</f>
        <v>7506311</v>
      </c>
      <c r="Q85" s="68">
        <f t="shared" ref="Q85:Q89" si="267">ROUND(J85*1%,0)</f>
        <v>222080</v>
      </c>
      <c r="R85" s="418">
        <v>391521</v>
      </c>
      <c r="S85" s="419">
        <f>T85+U85</f>
        <v>34.520400000000002</v>
      </c>
      <c r="T85" s="420">
        <v>29.9544</v>
      </c>
      <c r="U85" s="527">
        <v>4.5659999999999998</v>
      </c>
      <c r="V85" s="427">
        <f t="shared" ref="V85:W89" si="268">AI85*-1</f>
        <v>-9600</v>
      </c>
      <c r="W85" s="421">
        <f t="shared" si="268"/>
        <v>0</v>
      </c>
      <c r="X85" s="421">
        <v>0</v>
      </c>
      <c r="Y85" s="421">
        <v>0</v>
      </c>
      <c r="Z85" s="421">
        <v>0</v>
      </c>
      <c r="AA85" s="421">
        <v>78778</v>
      </c>
      <c r="AB85" s="421">
        <v>0</v>
      </c>
      <c r="AC85" s="421">
        <v>0</v>
      </c>
      <c r="AD85" s="421">
        <v>0</v>
      </c>
      <c r="AE85" s="421">
        <v>0</v>
      </c>
      <c r="AF85" s="421">
        <f>V85+X85+Y85+AA85+AB85+AD85</f>
        <v>69178</v>
      </c>
      <c r="AG85" s="421">
        <f>W85+Z85+AC85+AE85</f>
        <v>0</v>
      </c>
      <c r="AH85" s="421">
        <f>SUM(AF85:AG85)</f>
        <v>69178</v>
      </c>
      <c r="AI85" s="421">
        <v>9600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ref="AO85:AO89" si="269">AI85+AK85+AL85+AM85</f>
        <v>9600</v>
      </c>
      <c r="AP85" s="421">
        <f>AJ85+AN85</f>
        <v>0</v>
      </c>
      <c r="AQ85" s="421">
        <f>SUM(AO85:AP85)</f>
        <v>9600</v>
      </c>
      <c r="AR85" s="421">
        <f t="shared" ref="AR85:AS89" si="270">AF85+AO85</f>
        <v>78778</v>
      </c>
      <c r="AS85" s="421">
        <f t="shared" si="270"/>
        <v>0</v>
      </c>
      <c r="AT85" s="421">
        <f>SUM(AR85:AS85)</f>
        <v>78778</v>
      </c>
      <c r="AU85" s="68">
        <f t="shared" ref="AU85:AU89" si="271">ROUND((AH85+AI85+AJ85+AK85+AL85)*33.8%,0)</f>
        <v>26627</v>
      </c>
      <c r="AV85" s="68">
        <f>ROUND(AH85*1%,0)</f>
        <v>692</v>
      </c>
      <c r="AW85" s="421">
        <v>0</v>
      </c>
      <c r="AX85" s="421">
        <v>0</v>
      </c>
      <c r="AY85" s="421">
        <f>AW85+AX85</f>
        <v>0</v>
      </c>
      <c r="AZ85" s="421">
        <f>AT85+AU85+AV85+AY85</f>
        <v>106097</v>
      </c>
      <c r="BA85" s="422">
        <v>-0.02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0.11</v>
      </c>
      <c r="BI85" s="422">
        <v>0</v>
      </c>
      <c r="BJ85" s="422">
        <v>0</v>
      </c>
      <c r="BK85" s="422">
        <f>BA85+BC85+BD85+BF85+BH85+BI85</f>
        <v>0.09</v>
      </c>
      <c r="BL85" s="422">
        <f>BB85+BE85+BG85+BJ85</f>
        <v>0</v>
      </c>
      <c r="BM85" s="611">
        <f>SUM(BK85:BL85)</f>
        <v>0.09</v>
      </c>
      <c r="BN85" s="428">
        <f>I85+AZ85</f>
        <v>30434030</v>
      </c>
      <c r="BO85" s="421">
        <f>J85+AH85</f>
        <v>22277199</v>
      </c>
      <c r="BP85" s="421">
        <f t="shared" ref="BP85:BQ89" si="272">K85+AF85</f>
        <v>20736005</v>
      </c>
      <c r="BQ85" s="421">
        <f t="shared" si="272"/>
        <v>1541194</v>
      </c>
      <c r="BR85" s="421">
        <f>M85+AQ85</f>
        <v>9600</v>
      </c>
      <c r="BS85" s="421">
        <f t="shared" ref="BS85:BT89" si="273">N85+AO85</f>
        <v>9600</v>
      </c>
      <c r="BT85" s="421">
        <f t="shared" si="273"/>
        <v>0</v>
      </c>
      <c r="BU85" s="421">
        <f t="shared" ref="BU85:BV89" si="274">P85+AU85</f>
        <v>7532938</v>
      </c>
      <c r="BV85" s="421">
        <f t="shared" si="274"/>
        <v>222772</v>
      </c>
      <c r="BW85" s="421">
        <f>R85+AY85</f>
        <v>391521</v>
      </c>
      <c r="BX85" s="422">
        <f>S85+BM85</f>
        <v>34.610400000000006</v>
      </c>
      <c r="BY85" s="422">
        <f t="shared" ref="BY85:BZ89" si="275">T85+BK85</f>
        <v>30.0444</v>
      </c>
      <c r="BZ85" s="611">
        <f t="shared" si="275"/>
        <v>4.5659999999999998</v>
      </c>
      <c r="CA85" s="423"/>
      <c r="CB85" s="418"/>
      <c r="CC85" s="418"/>
      <c r="CD85" s="418"/>
      <c r="CE85" s="418"/>
      <c r="CF85" s="527"/>
    </row>
    <row r="86" spans="1:84" s="222" customFormat="1" x14ac:dyDescent="0.2">
      <c r="A86" s="210">
        <v>16</v>
      </c>
      <c r="B86" s="211">
        <v>4436</v>
      </c>
      <c r="C86" s="211">
        <v>600074986</v>
      </c>
      <c r="D86" s="211">
        <v>70982198</v>
      </c>
      <c r="E86" s="209" t="s">
        <v>176</v>
      </c>
      <c r="F86" s="211">
        <v>3113</v>
      </c>
      <c r="G86" s="165" t="s">
        <v>292</v>
      </c>
      <c r="H86" s="699" t="s">
        <v>272</v>
      </c>
      <c r="I86" s="528">
        <f t="shared" si="265"/>
        <v>0</v>
      </c>
      <c r="J86" s="418">
        <f>K86+L86</f>
        <v>0</v>
      </c>
      <c r="K86" s="418">
        <v>0</v>
      </c>
      <c r="L86" s="418">
        <v>0</v>
      </c>
      <c r="M86" s="418">
        <f>N86+O86</f>
        <v>0</v>
      </c>
      <c r="N86" s="418"/>
      <c r="O86" s="418"/>
      <c r="P86" s="68">
        <f t="shared" si="266"/>
        <v>0</v>
      </c>
      <c r="Q86" s="68">
        <f t="shared" si="267"/>
        <v>0</v>
      </c>
      <c r="R86" s="418">
        <v>0</v>
      </c>
      <c r="S86" s="419">
        <f>T86+U86</f>
        <v>0</v>
      </c>
      <c r="T86" s="420">
        <v>0</v>
      </c>
      <c r="U86" s="527">
        <v>0</v>
      </c>
      <c r="V86" s="427">
        <f t="shared" si="268"/>
        <v>0</v>
      </c>
      <c r="W86" s="421">
        <f t="shared" si="268"/>
        <v>0</v>
      </c>
      <c r="X86" s="421">
        <f>1400814+169951</f>
        <v>1570765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>V86+X86+Y86+AA86+AB86+AD86</f>
        <v>1570765</v>
      </c>
      <c r="AG86" s="421">
        <f>W86+Z86+AC86+AE86</f>
        <v>0</v>
      </c>
      <c r="AH86" s="421">
        <f>SUM(AF86:AG86)</f>
        <v>1570765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si="269"/>
        <v>0</v>
      </c>
      <c r="AP86" s="421">
        <f>AJ86+AN86</f>
        <v>0</v>
      </c>
      <c r="AQ86" s="421">
        <f>SUM(AO86:AP86)</f>
        <v>0</v>
      </c>
      <c r="AR86" s="421">
        <f t="shared" si="270"/>
        <v>1570765</v>
      </c>
      <c r="AS86" s="421">
        <f t="shared" si="270"/>
        <v>0</v>
      </c>
      <c r="AT86" s="421">
        <f>SUM(AR86:AS86)</f>
        <v>1570765</v>
      </c>
      <c r="AU86" s="68">
        <f t="shared" si="271"/>
        <v>530919</v>
      </c>
      <c r="AV86" s="68">
        <f>ROUND(AH86*1%,0)</f>
        <v>15708</v>
      </c>
      <c r="AW86" s="421">
        <f>4000+2500+2000</f>
        <v>8500</v>
      </c>
      <c r="AX86" s="421">
        <v>0</v>
      </c>
      <c r="AY86" s="421">
        <f>AW86+AX86</f>
        <v>8500</v>
      </c>
      <c r="AZ86" s="421">
        <f>AT86+AU86+AV86+AY86</f>
        <v>2125892</v>
      </c>
      <c r="BA86" s="422">
        <v>0</v>
      </c>
      <c r="BB86" s="422">
        <v>0</v>
      </c>
      <c r="BC86" s="422">
        <f>3.78+0.46</f>
        <v>4.24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>BA86+BC86+BD86+BF86+BH86+BI86</f>
        <v>4.24</v>
      </c>
      <c r="BL86" s="422">
        <f>BB86+BE86+BG86+BJ86</f>
        <v>0</v>
      </c>
      <c r="BM86" s="611">
        <f>SUM(BK86:BL86)</f>
        <v>4.24</v>
      </c>
      <c r="BN86" s="428">
        <f>I86+AZ86</f>
        <v>2125892</v>
      </c>
      <c r="BO86" s="421">
        <f>J86+AH86</f>
        <v>1570765</v>
      </c>
      <c r="BP86" s="421">
        <f t="shared" si="272"/>
        <v>1570765</v>
      </c>
      <c r="BQ86" s="421">
        <f t="shared" si="272"/>
        <v>0</v>
      </c>
      <c r="BR86" s="421">
        <f>M86+AQ86</f>
        <v>0</v>
      </c>
      <c r="BS86" s="421">
        <f t="shared" si="273"/>
        <v>0</v>
      </c>
      <c r="BT86" s="421">
        <f t="shared" si="273"/>
        <v>0</v>
      </c>
      <c r="BU86" s="421">
        <f t="shared" si="274"/>
        <v>530919</v>
      </c>
      <c r="BV86" s="421">
        <f t="shared" si="274"/>
        <v>15708</v>
      </c>
      <c r="BW86" s="421">
        <f>R86+AY86</f>
        <v>8500</v>
      </c>
      <c r="BX86" s="422">
        <f>S86+BM86</f>
        <v>4.24</v>
      </c>
      <c r="BY86" s="422">
        <f t="shared" si="275"/>
        <v>4.24</v>
      </c>
      <c r="BZ86" s="611">
        <f t="shared" si="275"/>
        <v>0</v>
      </c>
      <c r="CA86" s="423"/>
      <c r="CB86" s="418"/>
      <c r="CC86" s="418"/>
      <c r="CD86" s="418"/>
      <c r="CE86" s="418"/>
      <c r="CF86" s="527"/>
    </row>
    <row r="87" spans="1:84" s="222" customFormat="1" x14ac:dyDescent="0.2">
      <c r="A87" s="210">
        <v>16</v>
      </c>
      <c r="B87" s="211">
        <v>4436</v>
      </c>
      <c r="C87" s="211">
        <v>600074986</v>
      </c>
      <c r="D87" s="211">
        <v>70982198</v>
      </c>
      <c r="E87" s="209" t="s">
        <v>176</v>
      </c>
      <c r="F87" s="211">
        <v>3141</v>
      </c>
      <c r="G87" s="165" t="s">
        <v>295</v>
      </c>
      <c r="H87" s="699" t="s">
        <v>272</v>
      </c>
      <c r="I87" s="528">
        <f t="shared" si="265"/>
        <v>1497064</v>
      </c>
      <c r="J87" s="418">
        <f>K87+L87</f>
        <v>1102718</v>
      </c>
      <c r="K87" s="418">
        <v>0</v>
      </c>
      <c r="L87" s="418">
        <v>1102718</v>
      </c>
      <c r="M87" s="418">
        <f>N87+O87</f>
        <v>0</v>
      </c>
      <c r="N87" s="418"/>
      <c r="O87" s="418"/>
      <c r="P87" s="68">
        <f t="shared" si="266"/>
        <v>372719</v>
      </c>
      <c r="Q87" s="68">
        <f t="shared" si="267"/>
        <v>11027</v>
      </c>
      <c r="R87" s="418">
        <v>10600</v>
      </c>
      <c r="S87" s="419">
        <f>T87+U87</f>
        <v>3.31</v>
      </c>
      <c r="T87" s="420">
        <v>0</v>
      </c>
      <c r="U87" s="527">
        <v>3.31</v>
      </c>
      <c r="V87" s="427">
        <f t="shared" si="268"/>
        <v>0</v>
      </c>
      <c r="W87" s="421">
        <f t="shared" si="268"/>
        <v>-9600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>V87+X87+Y87+AA87+AB87+AD87</f>
        <v>0</v>
      </c>
      <c r="AG87" s="421">
        <f>W87+Z87+AC87+AE87</f>
        <v>-9600</v>
      </c>
      <c r="AH87" s="421">
        <f>SUM(AF87:AG87)</f>
        <v>-9600</v>
      </c>
      <c r="AI87" s="421">
        <v>0</v>
      </c>
      <c r="AJ87" s="421">
        <v>9600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69"/>
        <v>0</v>
      </c>
      <c r="AP87" s="421">
        <f>AJ87+AN87</f>
        <v>9600</v>
      </c>
      <c r="AQ87" s="421">
        <f>SUM(AO87:AP87)</f>
        <v>9600</v>
      </c>
      <c r="AR87" s="421">
        <f t="shared" si="270"/>
        <v>0</v>
      </c>
      <c r="AS87" s="421">
        <f t="shared" si="270"/>
        <v>0</v>
      </c>
      <c r="AT87" s="421">
        <f>SUM(AR87:AS87)</f>
        <v>0</v>
      </c>
      <c r="AU87" s="68">
        <f t="shared" si="271"/>
        <v>0</v>
      </c>
      <c r="AV87" s="68">
        <f>ROUND(AH87*1%,0)</f>
        <v>-96</v>
      </c>
      <c r="AW87" s="421">
        <v>0</v>
      </c>
      <c r="AX87" s="421">
        <v>0</v>
      </c>
      <c r="AY87" s="421">
        <f>AW87+AX87</f>
        <v>0</v>
      </c>
      <c r="AZ87" s="421">
        <f>AT87+AU87+AV87+AY87</f>
        <v>-96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>BA87+BC87+BD87+BF87+BH87+BI87</f>
        <v>0</v>
      </c>
      <c r="BL87" s="422">
        <f>BB87+BE87+BG87+BJ87</f>
        <v>0</v>
      </c>
      <c r="BM87" s="611">
        <f>SUM(BK87:BL87)</f>
        <v>0</v>
      </c>
      <c r="BN87" s="428">
        <f>I87+AZ87</f>
        <v>1496968</v>
      </c>
      <c r="BO87" s="421">
        <f>J87+AH87</f>
        <v>1093118</v>
      </c>
      <c r="BP87" s="421">
        <f t="shared" si="272"/>
        <v>0</v>
      </c>
      <c r="BQ87" s="421">
        <f t="shared" si="272"/>
        <v>1093118</v>
      </c>
      <c r="BR87" s="421">
        <f>M87+AQ87</f>
        <v>9600</v>
      </c>
      <c r="BS87" s="421">
        <f t="shared" si="273"/>
        <v>0</v>
      </c>
      <c r="BT87" s="421">
        <f t="shared" si="273"/>
        <v>9600</v>
      </c>
      <c r="BU87" s="421">
        <f t="shared" si="274"/>
        <v>372719</v>
      </c>
      <c r="BV87" s="421">
        <f t="shared" si="274"/>
        <v>10931</v>
      </c>
      <c r="BW87" s="421">
        <f>R87+AY87</f>
        <v>10600</v>
      </c>
      <c r="BX87" s="422">
        <f>S87+BM87</f>
        <v>3.31</v>
      </c>
      <c r="BY87" s="422">
        <f t="shared" si="275"/>
        <v>0</v>
      </c>
      <c r="BZ87" s="611">
        <f t="shared" si="275"/>
        <v>3.31</v>
      </c>
      <c r="CA87" s="423"/>
      <c r="CB87" s="418"/>
      <c r="CC87" s="418"/>
      <c r="CD87" s="418"/>
      <c r="CE87" s="418"/>
      <c r="CF87" s="527"/>
    </row>
    <row r="88" spans="1:84" s="222" customFormat="1" x14ac:dyDescent="0.2">
      <c r="A88" s="210">
        <v>16</v>
      </c>
      <c r="B88" s="211">
        <v>4436</v>
      </c>
      <c r="C88" s="211">
        <v>600074986</v>
      </c>
      <c r="D88" s="211">
        <v>70982198</v>
      </c>
      <c r="E88" s="205" t="s">
        <v>176</v>
      </c>
      <c r="F88" s="211">
        <v>3143</v>
      </c>
      <c r="G88" s="165" t="s">
        <v>596</v>
      </c>
      <c r="H88" s="686" t="s">
        <v>271</v>
      </c>
      <c r="I88" s="528">
        <f t="shared" si="265"/>
        <v>2521698</v>
      </c>
      <c r="J88" s="418">
        <f>K88+L88</f>
        <v>1870696</v>
      </c>
      <c r="K88" s="418">
        <v>1870696</v>
      </c>
      <c r="L88" s="418">
        <v>0</v>
      </c>
      <c r="M88" s="418">
        <f>N88+O88</f>
        <v>0</v>
      </c>
      <c r="N88" s="418"/>
      <c r="O88" s="418"/>
      <c r="P88" s="68">
        <f t="shared" si="266"/>
        <v>632295</v>
      </c>
      <c r="Q88" s="68">
        <f t="shared" si="267"/>
        <v>18707</v>
      </c>
      <c r="R88" s="418">
        <v>0</v>
      </c>
      <c r="S88" s="419">
        <f>T88+U88</f>
        <v>3.6606999999999998</v>
      </c>
      <c r="T88" s="420">
        <v>3.6606999999999998</v>
      </c>
      <c r="U88" s="527">
        <v>0</v>
      </c>
      <c r="V88" s="427">
        <f t="shared" si="268"/>
        <v>-3200</v>
      </c>
      <c r="W88" s="421">
        <f t="shared" si="268"/>
        <v>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>V88+X88+Y88+AA88+AB88+AD88</f>
        <v>-3200</v>
      </c>
      <c r="AG88" s="421">
        <f>W88+Z88+AC88+AE88</f>
        <v>0</v>
      </c>
      <c r="AH88" s="421">
        <f>SUM(AF88:AG88)</f>
        <v>-3200</v>
      </c>
      <c r="AI88" s="421">
        <v>3200</v>
      </c>
      <c r="AJ88" s="421">
        <v>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269"/>
        <v>3200</v>
      </c>
      <c r="AP88" s="421">
        <f>AJ88+AN88</f>
        <v>0</v>
      </c>
      <c r="AQ88" s="421">
        <f>SUM(AO88:AP88)</f>
        <v>3200</v>
      </c>
      <c r="AR88" s="421">
        <f t="shared" si="270"/>
        <v>0</v>
      </c>
      <c r="AS88" s="421">
        <f t="shared" si="270"/>
        <v>0</v>
      </c>
      <c r="AT88" s="421">
        <f>SUM(AR88:AS88)</f>
        <v>0</v>
      </c>
      <c r="AU88" s="68">
        <f t="shared" si="271"/>
        <v>0</v>
      </c>
      <c r="AV88" s="68">
        <f>ROUND(AH88*1%,0)</f>
        <v>-32</v>
      </c>
      <c r="AW88" s="421">
        <v>0</v>
      </c>
      <c r="AX88" s="421">
        <v>0</v>
      </c>
      <c r="AY88" s="421">
        <f>AW88+AX88</f>
        <v>0</v>
      </c>
      <c r="AZ88" s="421">
        <f>AT88+AU88+AV88+AY88</f>
        <v>-32</v>
      </c>
      <c r="BA88" s="422">
        <v>0</v>
      </c>
      <c r="BB88" s="422">
        <v>0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>BA88+BC88+BD88+BF88+BH88+BI88</f>
        <v>0</v>
      </c>
      <c r="BL88" s="422">
        <f>BB88+BE88+BG88+BJ88</f>
        <v>0</v>
      </c>
      <c r="BM88" s="611">
        <f>SUM(BK88:BL88)</f>
        <v>0</v>
      </c>
      <c r="BN88" s="428">
        <f>I88+AZ88</f>
        <v>2521666</v>
      </c>
      <c r="BO88" s="421">
        <f>J88+AH88</f>
        <v>1867496</v>
      </c>
      <c r="BP88" s="421">
        <f t="shared" si="272"/>
        <v>1867496</v>
      </c>
      <c r="BQ88" s="421">
        <f t="shared" si="272"/>
        <v>0</v>
      </c>
      <c r="BR88" s="421">
        <f>M88+AQ88</f>
        <v>3200</v>
      </c>
      <c r="BS88" s="421">
        <f t="shared" si="273"/>
        <v>3200</v>
      </c>
      <c r="BT88" s="421">
        <f t="shared" si="273"/>
        <v>0</v>
      </c>
      <c r="BU88" s="421">
        <f t="shared" si="274"/>
        <v>632295</v>
      </c>
      <c r="BV88" s="421">
        <f t="shared" si="274"/>
        <v>18675</v>
      </c>
      <c r="BW88" s="421">
        <f>R88+AY88</f>
        <v>0</v>
      </c>
      <c r="BX88" s="422">
        <f>S88+BM88</f>
        <v>3.6606999999999998</v>
      </c>
      <c r="BY88" s="422">
        <f t="shared" si="275"/>
        <v>3.6606999999999998</v>
      </c>
      <c r="BZ88" s="611">
        <f t="shared" si="275"/>
        <v>0</v>
      </c>
      <c r="CA88" s="423"/>
      <c r="CB88" s="418"/>
      <c r="CC88" s="418"/>
      <c r="CD88" s="418"/>
      <c r="CE88" s="418"/>
      <c r="CF88" s="527"/>
    </row>
    <row r="89" spans="1:84" s="222" customFormat="1" x14ac:dyDescent="0.2">
      <c r="A89" s="210">
        <v>16</v>
      </c>
      <c r="B89" s="211">
        <v>4436</v>
      </c>
      <c r="C89" s="211">
        <v>600074986</v>
      </c>
      <c r="D89" s="211">
        <v>70982198</v>
      </c>
      <c r="E89" s="205" t="s">
        <v>176</v>
      </c>
      <c r="F89" s="211">
        <v>3143</v>
      </c>
      <c r="G89" s="165" t="s">
        <v>597</v>
      </c>
      <c r="H89" s="686" t="s">
        <v>272</v>
      </c>
      <c r="I89" s="528">
        <f t="shared" si="265"/>
        <v>51746</v>
      </c>
      <c r="J89" s="418">
        <f>K89+L89</f>
        <v>37039</v>
      </c>
      <c r="K89" s="418">
        <v>0</v>
      </c>
      <c r="L89" s="418">
        <v>37039</v>
      </c>
      <c r="M89" s="418">
        <f>N89+O89</f>
        <v>0</v>
      </c>
      <c r="N89" s="418"/>
      <c r="O89" s="418"/>
      <c r="P89" s="68">
        <f t="shared" si="266"/>
        <v>12519</v>
      </c>
      <c r="Q89" s="68">
        <f t="shared" si="267"/>
        <v>370</v>
      </c>
      <c r="R89" s="418">
        <v>1818</v>
      </c>
      <c r="S89" s="419">
        <f>T89+U89</f>
        <v>0.14000000000000001</v>
      </c>
      <c r="T89" s="420">
        <v>0</v>
      </c>
      <c r="U89" s="527">
        <v>0.14000000000000001</v>
      </c>
      <c r="V89" s="427">
        <f t="shared" si="268"/>
        <v>0</v>
      </c>
      <c r="W89" s="421">
        <f t="shared" si="268"/>
        <v>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>V89+X89+Y89+AA89+AB89+AD89</f>
        <v>0</v>
      </c>
      <c r="AG89" s="421">
        <f>W89+Z89+AC89+AE89</f>
        <v>0</v>
      </c>
      <c r="AH89" s="421">
        <f>SUM(AF89:AG89)</f>
        <v>0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si="269"/>
        <v>0</v>
      </c>
      <c r="AP89" s="421">
        <f>AJ89+AN89</f>
        <v>0</v>
      </c>
      <c r="AQ89" s="421">
        <f>SUM(AO89:AP89)</f>
        <v>0</v>
      </c>
      <c r="AR89" s="421">
        <f t="shared" si="270"/>
        <v>0</v>
      </c>
      <c r="AS89" s="421">
        <f t="shared" si="270"/>
        <v>0</v>
      </c>
      <c r="AT89" s="421">
        <f>SUM(AR89:AS89)</f>
        <v>0</v>
      </c>
      <c r="AU89" s="68">
        <f t="shared" si="271"/>
        <v>0</v>
      </c>
      <c r="AV89" s="68">
        <f>ROUND(AH89*1%,0)</f>
        <v>0</v>
      </c>
      <c r="AW89" s="421">
        <v>0</v>
      </c>
      <c r="AX89" s="421">
        <v>0</v>
      </c>
      <c r="AY89" s="421">
        <f>AW89+AX89</f>
        <v>0</v>
      </c>
      <c r="AZ89" s="421">
        <f>AT89+AU89+AV89+AY89</f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>BA89+BC89+BD89+BF89+BH89+BI89</f>
        <v>0</v>
      </c>
      <c r="BL89" s="422">
        <f>BB89+BE89+BG89+BJ89</f>
        <v>0</v>
      </c>
      <c r="BM89" s="611">
        <f>SUM(BK89:BL89)</f>
        <v>0</v>
      </c>
      <c r="BN89" s="428">
        <f>I89+AZ89</f>
        <v>51746</v>
      </c>
      <c r="BO89" s="421">
        <f>J89+AH89</f>
        <v>37039</v>
      </c>
      <c r="BP89" s="421">
        <f t="shared" si="272"/>
        <v>0</v>
      </c>
      <c r="BQ89" s="421">
        <f t="shared" si="272"/>
        <v>37039</v>
      </c>
      <c r="BR89" s="421">
        <f>M89+AQ89</f>
        <v>0</v>
      </c>
      <c r="BS89" s="421">
        <f t="shared" si="273"/>
        <v>0</v>
      </c>
      <c r="BT89" s="421">
        <f t="shared" si="273"/>
        <v>0</v>
      </c>
      <c r="BU89" s="421">
        <f t="shared" si="274"/>
        <v>12519</v>
      </c>
      <c r="BV89" s="421">
        <f t="shared" si="274"/>
        <v>370</v>
      </c>
      <c r="BW89" s="421">
        <f>R89+AY89</f>
        <v>1818</v>
      </c>
      <c r="BX89" s="422">
        <f>S89+BM89</f>
        <v>0.14000000000000001</v>
      </c>
      <c r="BY89" s="422">
        <f t="shared" si="275"/>
        <v>0</v>
      </c>
      <c r="BZ89" s="611">
        <f t="shared" si="275"/>
        <v>0.14000000000000001</v>
      </c>
      <c r="CA89" s="423"/>
      <c r="CB89" s="418"/>
      <c r="CC89" s="418"/>
      <c r="CD89" s="418"/>
      <c r="CE89" s="418"/>
      <c r="CF89" s="527"/>
    </row>
    <row r="90" spans="1:84" s="222" customFormat="1" x14ac:dyDescent="0.2">
      <c r="A90" s="155">
        <v>16</v>
      </c>
      <c r="B90" s="18">
        <v>4436</v>
      </c>
      <c r="C90" s="18">
        <v>600074986</v>
      </c>
      <c r="D90" s="18">
        <v>70982198</v>
      </c>
      <c r="E90" s="164" t="s">
        <v>177</v>
      </c>
      <c r="F90" s="18"/>
      <c r="G90" s="154"/>
      <c r="H90" s="685"/>
      <c r="I90" s="458">
        <f t="shared" ref="I90:BU90" si="276">SUM(I85:I89)</f>
        <v>34398441</v>
      </c>
      <c r="J90" s="451">
        <f t="shared" si="276"/>
        <v>25218474</v>
      </c>
      <c r="K90" s="451">
        <f t="shared" si="276"/>
        <v>22537523</v>
      </c>
      <c r="L90" s="451">
        <f t="shared" si="276"/>
        <v>2680951</v>
      </c>
      <c r="M90" s="451">
        <f t="shared" si="276"/>
        <v>0</v>
      </c>
      <c r="N90" s="451">
        <f t="shared" si="276"/>
        <v>0</v>
      </c>
      <c r="O90" s="451">
        <f t="shared" si="276"/>
        <v>0</v>
      </c>
      <c r="P90" s="451">
        <f t="shared" si="276"/>
        <v>8523844</v>
      </c>
      <c r="Q90" s="451">
        <f t="shared" si="276"/>
        <v>252184</v>
      </c>
      <c r="R90" s="451">
        <f t="shared" si="276"/>
        <v>403939</v>
      </c>
      <c r="S90" s="452">
        <f t="shared" si="276"/>
        <v>41.631100000000004</v>
      </c>
      <c r="T90" s="452">
        <f t="shared" si="276"/>
        <v>33.615099999999998</v>
      </c>
      <c r="U90" s="39">
        <f t="shared" si="276"/>
        <v>8.016</v>
      </c>
      <c r="V90" s="458">
        <f t="shared" si="276"/>
        <v>-12800</v>
      </c>
      <c r="W90" s="451">
        <f t="shared" si="276"/>
        <v>-9600</v>
      </c>
      <c r="X90" s="451">
        <f t="shared" si="276"/>
        <v>1570765</v>
      </c>
      <c r="Y90" s="451">
        <f t="shared" si="276"/>
        <v>0</v>
      </c>
      <c r="Z90" s="451">
        <f t="shared" si="276"/>
        <v>0</v>
      </c>
      <c r="AA90" s="451">
        <f t="shared" si="276"/>
        <v>78778</v>
      </c>
      <c r="AB90" s="451">
        <f t="shared" si="276"/>
        <v>0</v>
      </c>
      <c r="AC90" s="451">
        <f t="shared" si="276"/>
        <v>0</v>
      </c>
      <c r="AD90" s="451">
        <f t="shared" si="276"/>
        <v>0</v>
      </c>
      <c r="AE90" s="451">
        <f t="shared" si="276"/>
        <v>0</v>
      </c>
      <c r="AF90" s="451">
        <f t="shared" si="276"/>
        <v>1636743</v>
      </c>
      <c r="AG90" s="451">
        <f t="shared" si="276"/>
        <v>-9600</v>
      </c>
      <c r="AH90" s="451">
        <f t="shared" si="276"/>
        <v>1627143</v>
      </c>
      <c r="AI90" s="451">
        <f t="shared" si="276"/>
        <v>12800</v>
      </c>
      <c r="AJ90" s="451">
        <f t="shared" si="276"/>
        <v>9600</v>
      </c>
      <c r="AK90" s="451">
        <f t="shared" ref="AK90" si="277">SUM(AK85:AK89)</f>
        <v>0</v>
      </c>
      <c r="AL90" s="451">
        <f t="shared" si="276"/>
        <v>0</v>
      </c>
      <c r="AM90" s="451">
        <f t="shared" si="276"/>
        <v>0</v>
      </c>
      <c r="AN90" s="451">
        <f t="shared" si="276"/>
        <v>0</v>
      </c>
      <c r="AO90" s="451">
        <f t="shared" si="276"/>
        <v>12800</v>
      </c>
      <c r="AP90" s="451">
        <f t="shared" si="276"/>
        <v>9600</v>
      </c>
      <c r="AQ90" s="451">
        <f t="shared" si="276"/>
        <v>22400</v>
      </c>
      <c r="AR90" s="451">
        <f t="shared" si="276"/>
        <v>1649543</v>
      </c>
      <c r="AS90" s="451">
        <f t="shared" si="276"/>
        <v>0</v>
      </c>
      <c r="AT90" s="451">
        <f t="shared" si="276"/>
        <v>1649543</v>
      </c>
      <c r="AU90" s="451">
        <f t="shared" si="276"/>
        <v>557546</v>
      </c>
      <c r="AV90" s="451">
        <f t="shared" si="276"/>
        <v>16272</v>
      </c>
      <c r="AW90" s="451">
        <f t="shared" si="276"/>
        <v>8500</v>
      </c>
      <c r="AX90" s="451">
        <f t="shared" si="276"/>
        <v>0</v>
      </c>
      <c r="AY90" s="451">
        <f t="shared" si="276"/>
        <v>8500</v>
      </c>
      <c r="AZ90" s="451">
        <f t="shared" si="276"/>
        <v>2231861</v>
      </c>
      <c r="BA90" s="452">
        <f t="shared" si="276"/>
        <v>-0.02</v>
      </c>
      <c r="BB90" s="452">
        <f t="shared" si="276"/>
        <v>0</v>
      </c>
      <c r="BC90" s="452">
        <f t="shared" si="276"/>
        <v>4.24</v>
      </c>
      <c r="BD90" s="452">
        <f t="shared" si="276"/>
        <v>0</v>
      </c>
      <c r="BE90" s="452">
        <f t="shared" si="276"/>
        <v>0</v>
      </c>
      <c r="BF90" s="452">
        <f t="shared" si="276"/>
        <v>0</v>
      </c>
      <c r="BG90" s="452">
        <f t="shared" si="276"/>
        <v>0</v>
      </c>
      <c r="BH90" s="452">
        <f t="shared" si="276"/>
        <v>0.11</v>
      </c>
      <c r="BI90" s="452">
        <f t="shared" si="276"/>
        <v>0</v>
      </c>
      <c r="BJ90" s="452">
        <f t="shared" si="276"/>
        <v>0</v>
      </c>
      <c r="BK90" s="452">
        <f t="shared" si="276"/>
        <v>4.33</v>
      </c>
      <c r="BL90" s="452">
        <f t="shared" si="276"/>
        <v>0</v>
      </c>
      <c r="BM90" s="456">
        <f t="shared" si="276"/>
        <v>4.33</v>
      </c>
      <c r="BN90" s="454">
        <f t="shared" si="276"/>
        <v>36630302</v>
      </c>
      <c r="BO90" s="451">
        <f t="shared" si="276"/>
        <v>26845617</v>
      </c>
      <c r="BP90" s="451">
        <f t="shared" si="276"/>
        <v>24174266</v>
      </c>
      <c r="BQ90" s="451">
        <f t="shared" si="276"/>
        <v>2671351</v>
      </c>
      <c r="BR90" s="451">
        <f t="shared" si="276"/>
        <v>22400</v>
      </c>
      <c r="BS90" s="451">
        <f t="shared" si="276"/>
        <v>12800</v>
      </c>
      <c r="BT90" s="451">
        <f t="shared" si="276"/>
        <v>9600</v>
      </c>
      <c r="BU90" s="451">
        <f t="shared" si="276"/>
        <v>9081390</v>
      </c>
      <c r="BV90" s="451">
        <f t="shared" ref="BV90:CF90" si="278">SUM(BV85:BV89)</f>
        <v>268456</v>
      </c>
      <c r="BW90" s="451">
        <f t="shared" si="278"/>
        <v>412439</v>
      </c>
      <c r="BX90" s="452">
        <f t="shared" si="278"/>
        <v>45.961100000000009</v>
      </c>
      <c r="BY90" s="452">
        <f t="shared" si="278"/>
        <v>37.945099999999996</v>
      </c>
      <c r="BZ90" s="456">
        <f t="shared" si="278"/>
        <v>8.016</v>
      </c>
      <c r="CA90" s="854">
        <f t="shared" si="278"/>
        <v>0</v>
      </c>
      <c r="CB90" s="852">
        <f t="shared" si="278"/>
        <v>0</v>
      </c>
      <c r="CC90" s="852">
        <f t="shared" si="278"/>
        <v>0</v>
      </c>
      <c r="CD90" s="852">
        <f t="shared" si="278"/>
        <v>0</v>
      </c>
      <c r="CE90" s="852">
        <f t="shared" si="278"/>
        <v>0</v>
      </c>
      <c r="CF90" s="848">
        <f t="shared" si="278"/>
        <v>0</v>
      </c>
    </row>
    <row r="91" spans="1:84" s="222" customFormat="1" x14ac:dyDescent="0.2">
      <c r="A91" s="210">
        <v>17</v>
      </c>
      <c r="B91" s="211">
        <v>4454</v>
      </c>
      <c r="C91" s="211">
        <v>600074811</v>
      </c>
      <c r="D91" s="211">
        <v>48283070</v>
      </c>
      <c r="E91" s="209" t="s">
        <v>178</v>
      </c>
      <c r="F91" s="211">
        <v>3113</v>
      </c>
      <c r="G91" s="165" t="s">
        <v>294</v>
      </c>
      <c r="H91" s="699" t="s">
        <v>271</v>
      </c>
      <c r="I91" s="528">
        <f t="shared" ref="I91:I95" si="279">J91+P91+Q91+R91</f>
        <v>32772741</v>
      </c>
      <c r="J91" s="418">
        <f>K91+L91</f>
        <v>23964980</v>
      </c>
      <c r="K91" s="418">
        <v>22290045</v>
      </c>
      <c r="L91" s="418">
        <v>1674935</v>
      </c>
      <c r="M91" s="418">
        <f>N91+O91</f>
        <v>0</v>
      </c>
      <c r="N91" s="418"/>
      <c r="O91" s="418"/>
      <c r="P91" s="68">
        <f t="shared" ref="P91:P95" si="280">ROUND(J91*33.8%,0)</f>
        <v>8100163</v>
      </c>
      <c r="Q91" s="68">
        <f>ROUND(J91*1%,0)-1</f>
        <v>239649</v>
      </c>
      <c r="R91" s="418">
        <v>467949</v>
      </c>
      <c r="S91" s="419">
        <f>T91+U91</f>
        <v>35.0276</v>
      </c>
      <c r="T91" s="420">
        <v>29.9543</v>
      </c>
      <c r="U91" s="527">
        <v>5.0732999999999997</v>
      </c>
      <c r="V91" s="427">
        <f t="shared" ref="V91:W95" si="281">AI91*-1</f>
        <v>-39731</v>
      </c>
      <c r="W91" s="421">
        <f t="shared" si="281"/>
        <v>0</v>
      </c>
      <c r="X91" s="421">
        <v>0</v>
      </c>
      <c r="Y91" s="421">
        <v>0</v>
      </c>
      <c r="Z91" s="421">
        <v>0</v>
      </c>
      <c r="AA91" s="421">
        <v>79440</v>
      </c>
      <c r="AB91" s="421">
        <v>0</v>
      </c>
      <c r="AC91" s="421">
        <v>0</v>
      </c>
      <c r="AD91" s="421">
        <v>0</v>
      </c>
      <c r="AE91" s="421">
        <v>0</v>
      </c>
      <c r="AF91" s="421">
        <f>V91+X91+Y91+AA91+AB91+AD91</f>
        <v>39709</v>
      </c>
      <c r="AG91" s="421">
        <f>W91+Z91+AC91+AE91</f>
        <v>0</v>
      </c>
      <c r="AH91" s="421">
        <f>SUM(AF91:AG91)</f>
        <v>39709</v>
      </c>
      <c r="AI91" s="421">
        <v>39731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ref="AO91:AO95" si="282">AI91+AK91+AL91+AM91</f>
        <v>39731</v>
      </c>
      <c r="AP91" s="421">
        <f>AJ91+AN91</f>
        <v>0</v>
      </c>
      <c r="AQ91" s="421">
        <f>SUM(AO91:AP91)</f>
        <v>39731</v>
      </c>
      <c r="AR91" s="421">
        <f t="shared" ref="AR91:AS95" si="283">AF91+AO91</f>
        <v>79440</v>
      </c>
      <c r="AS91" s="421">
        <f t="shared" si="283"/>
        <v>0</v>
      </c>
      <c r="AT91" s="421">
        <f>SUM(AR91:AS91)</f>
        <v>79440</v>
      </c>
      <c r="AU91" s="68">
        <f t="shared" ref="AU91:AU95" si="284">ROUND((AH91+AI91+AJ91+AK91+AL91)*33.8%,0)</f>
        <v>26851</v>
      </c>
      <c r="AV91" s="68">
        <f>ROUND(AH91*1%,0)</f>
        <v>397</v>
      </c>
      <c r="AW91" s="421">
        <v>0</v>
      </c>
      <c r="AX91" s="421">
        <v>0</v>
      </c>
      <c r="AY91" s="421">
        <f>AW91+AX91</f>
        <v>0</v>
      </c>
      <c r="AZ91" s="421">
        <f>AT91+AU91+AV91+AY91</f>
        <v>106688</v>
      </c>
      <c r="BA91" s="422">
        <v>-7.0000000000000007E-2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0.11</v>
      </c>
      <c r="BI91" s="422">
        <v>0</v>
      </c>
      <c r="BJ91" s="422">
        <v>0</v>
      </c>
      <c r="BK91" s="422">
        <f>BA91+BC91+BD91+BF91+BH91+BI91</f>
        <v>3.9999999999999994E-2</v>
      </c>
      <c r="BL91" s="422">
        <f>BB91+BE91+BG91+BJ91</f>
        <v>0</v>
      </c>
      <c r="BM91" s="611">
        <f>SUM(BK91:BL91)</f>
        <v>3.9999999999999994E-2</v>
      </c>
      <c r="BN91" s="428">
        <f>I91+AZ91</f>
        <v>32879429</v>
      </c>
      <c r="BO91" s="421">
        <f>J91+AH91</f>
        <v>24004689</v>
      </c>
      <c r="BP91" s="421">
        <f t="shared" ref="BP91:BQ95" si="285">K91+AF91</f>
        <v>22329754</v>
      </c>
      <c r="BQ91" s="421">
        <f t="shared" si="285"/>
        <v>1674935</v>
      </c>
      <c r="BR91" s="421">
        <f>M91+AQ91</f>
        <v>39731</v>
      </c>
      <c r="BS91" s="421">
        <f t="shared" ref="BS91:BT95" si="286">N91+AO91</f>
        <v>39731</v>
      </c>
      <c r="BT91" s="421">
        <f t="shared" si="286"/>
        <v>0</v>
      </c>
      <c r="BU91" s="421">
        <f t="shared" ref="BU91:BV95" si="287">P91+AU91</f>
        <v>8127014</v>
      </c>
      <c r="BV91" s="421">
        <f t="shared" si="287"/>
        <v>240046</v>
      </c>
      <c r="BW91" s="421">
        <f>R91+AY91</f>
        <v>467949</v>
      </c>
      <c r="BX91" s="422">
        <f>S91+BM91</f>
        <v>35.067599999999999</v>
      </c>
      <c r="BY91" s="422">
        <f t="shared" ref="BY91:BZ95" si="288">T91+BK91</f>
        <v>29.994299999999999</v>
      </c>
      <c r="BZ91" s="611">
        <f t="shared" si="288"/>
        <v>5.0732999999999997</v>
      </c>
      <c r="CA91" s="423"/>
      <c r="CB91" s="418"/>
      <c r="CC91" s="418"/>
      <c r="CD91" s="418"/>
      <c r="CE91" s="418"/>
      <c r="CF91" s="527"/>
    </row>
    <row r="92" spans="1:84" s="222" customFormat="1" x14ac:dyDescent="0.2">
      <c r="A92" s="210">
        <v>17</v>
      </c>
      <c r="B92" s="211">
        <v>4454</v>
      </c>
      <c r="C92" s="211">
        <v>600074811</v>
      </c>
      <c r="D92" s="211">
        <v>48283070</v>
      </c>
      <c r="E92" s="209" t="s">
        <v>178</v>
      </c>
      <c r="F92" s="211">
        <v>3113</v>
      </c>
      <c r="G92" s="165" t="s">
        <v>292</v>
      </c>
      <c r="H92" s="699" t="s">
        <v>272</v>
      </c>
      <c r="I92" s="528">
        <f t="shared" si="279"/>
        <v>0</v>
      </c>
      <c r="J92" s="418">
        <f>K92+L92</f>
        <v>0</v>
      </c>
      <c r="K92" s="418">
        <v>0</v>
      </c>
      <c r="L92" s="418">
        <v>0</v>
      </c>
      <c r="M92" s="418">
        <f>N92+O92</f>
        <v>0</v>
      </c>
      <c r="N92" s="418"/>
      <c r="O92" s="418"/>
      <c r="P92" s="68">
        <f t="shared" si="280"/>
        <v>0</v>
      </c>
      <c r="Q92" s="68">
        <f t="shared" ref="Q92:Q95" si="289">ROUND(J92*1%,0)</f>
        <v>0</v>
      </c>
      <c r="R92" s="418">
        <v>0</v>
      </c>
      <c r="S92" s="419">
        <f>T92+U92</f>
        <v>0</v>
      </c>
      <c r="T92" s="420">
        <v>0</v>
      </c>
      <c r="U92" s="527">
        <v>0</v>
      </c>
      <c r="V92" s="427">
        <f t="shared" si="281"/>
        <v>0</v>
      </c>
      <c r="W92" s="421">
        <f t="shared" si="281"/>
        <v>0</v>
      </c>
      <c r="X92" s="421">
        <f>3040685-77250</f>
        <v>2963435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f>V92+X92+Y92+AA92+AB92+AD92</f>
        <v>2963435</v>
      </c>
      <c r="AG92" s="421">
        <f>W92+Z92+AC92+AE92</f>
        <v>0</v>
      </c>
      <c r="AH92" s="421">
        <f>SUM(AF92:AG92)</f>
        <v>2963435</v>
      </c>
      <c r="AI92" s="421">
        <v>0</v>
      </c>
      <c r="AJ92" s="421">
        <v>0</v>
      </c>
      <c r="AK92" s="421">
        <v>0</v>
      </c>
      <c r="AL92" s="421">
        <v>0</v>
      </c>
      <c r="AM92" s="421">
        <v>0</v>
      </c>
      <c r="AN92" s="421">
        <v>0</v>
      </c>
      <c r="AO92" s="421">
        <f t="shared" si="282"/>
        <v>0</v>
      </c>
      <c r="AP92" s="421">
        <f>AJ92+AN92</f>
        <v>0</v>
      </c>
      <c r="AQ92" s="421">
        <f>SUM(AO92:AP92)</f>
        <v>0</v>
      </c>
      <c r="AR92" s="421">
        <f t="shared" si="283"/>
        <v>2963435</v>
      </c>
      <c r="AS92" s="421">
        <f t="shared" si="283"/>
        <v>0</v>
      </c>
      <c r="AT92" s="421">
        <f>SUM(AR92:AS92)</f>
        <v>2963435</v>
      </c>
      <c r="AU92" s="68">
        <f t="shared" si="284"/>
        <v>1001641</v>
      </c>
      <c r="AV92" s="68">
        <f>ROUND(AH92*1%,0)</f>
        <v>29634</v>
      </c>
      <c r="AW92" s="421">
        <v>0</v>
      </c>
      <c r="AX92" s="421">
        <v>0</v>
      </c>
      <c r="AY92" s="421">
        <f>AW92+AX92</f>
        <v>0</v>
      </c>
      <c r="AZ92" s="421">
        <f>AT92+AU92+AV92+AY92</f>
        <v>3994710</v>
      </c>
      <c r="BA92" s="422">
        <v>0</v>
      </c>
      <c r="BB92" s="422">
        <v>0</v>
      </c>
      <c r="BC92" s="422">
        <f>8.15-0.21</f>
        <v>7.94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>BA92+BC92+BD92+BF92+BH92+BI92</f>
        <v>7.94</v>
      </c>
      <c r="BL92" s="422">
        <f>BB92+BE92+BG92+BJ92</f>
        <v>0</v>
      </c>
      <c r="BM92" s="611">
        <f>SUM(BK92:BL92)</f>
        <v>7.94</v>
      </c>
      <c r="BN92" s="428">
        <f>I92+AZ92</f>
        <v>3994710</v>
      </c>
      <c r="BO92" s="421">
        <f>J92+AH92</f>
        <v>2963435</v>
      </c>
      <c r="BP92" s="421">
        <f t="shared" si="285"/>
        <v>2963435</v>
      </c>
      <c r="BQ92" s="421">
        <f t="shared" si="285"/>
        <v>0</v>
      </c>
      <c r="BR92" s="421">
        <f>M92+AQ92</f>
        <v>0</v>
      </c>
      <c r="BS92" s="421">
        <f t="shared" si="286"/>
        <v>0</v>
      </c>
      <c r="BT92" s="421">
        <f t="shared" si="286"/>
        <v>0</v>
      </c>
      <c r="BU92" s="421">
        <f t="shared" si="287"/>
        <v>1001641</v>
      </c>
      <c r="BV92" s="421">
        <f t="shared" si="287"/>
        <v>29634</v>
      </c>
      <c r="BW92" s="421">
        <f>R92+AY92</f>
        <v>0</v>
      </c>
      <c r="BX92" s="422">
        <f>S92+BM92</f>
        <v>7.94</v>
      </c>
      <c r="BY92" s="422">
        <f t="shared" si="288"/>
        <v>7.94</v>
      </c>
      <c r="BZ92" s="611">
        <f t="shared" si="288"/>
        <v>0</v>
      </c>
      <c r="CA92" s="423"/>
      <c r="CB92" s="418"/>
      <c r="CC92" s="418"/>
      <c r="CD92" s="418"/>
      <c r="CE92" s="418"/>
      <c r="CF92" s="527"/>
    </row>
    <row r="93" spans="1:84" s="222" customFormat="1" x14ac:dyDescent="0.2">
      <c r="A93" s="210">
        <v>17</v>
      </c>
      <c r="B93" s="211">
        <v>4454</v>
      </c>
      <c r="C93" s="211">
        <v>600074811</v>
      </c>
      <c r="D93" s="211">
        <v>48283070</v>
      </c>
      <c r="E93" s="209" t="s">
        <v>178</v>
      </c>
      <c r="F93" s="211">
        <v>3141</v>
      </c>
      <c r="G93" s="165" t="s">
        <v>295</v>
      </c>
      <c r="H93" s="699" t="s">
        <v>272</v>
      </c>
      <c r="I93" s="528">
        <f t="shared" si="279"/>
        <v>2212121</v>
      </c>
      <c r="J93" s="418">
        <f>K93+L93</f>
        <v>1627382</v>
      </c>
      <c r="K93" s="418">
        <v>0</v>
      </c>
      <c r="L93" s="418">
        <v>1627382</v>
      </c>
      <c r="M93" s="418">
        <f>N93+O93</f>
        <v>0</v>
      </c>
      <c r="N93" s="418"/>
      <c r="O93" s="418"/>
      <c r="P93" s="68">
        <f t="shared" si="280"/>
        <v>550055</v>
      </c>
      <c r="Q93" s="68">
        <f t="shared" si="289"/>
        <v>16274</v>
      </c>
      <c r="R93" s="418">
        <v>18410</v>
      </c>
      <c r="S93" s="419">
        <f>T93+U93</f>
        <v>4.88</v>
      </c>
      <c r="T93" s="420">
        <v>0</v>
      </c>
      <c r="U93" s="527">
        <v>4.88</v>
      </c>
      <c r="V93" s="427">
        <f t="shared" si="281"/>
        <v>0</v>
      </c>
      <c r="W93" s="421">
        <f t="shared" si="281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>V93+X93+Y93+AA93+AB93+AD93</f>
        <v>0</v>
      </c>
      <c r="AG93" s="421">
        <f>W93+Z93+AC93+AE93</f>
        <v>0</v>
      </c>
      <c r="AH93" s="421">
        <f>SUM(AF93:AG93)</f>
        <v>0</v>
      </c>
      <c r="AI93" s="421">
        <v>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si="282"/>
        <v>0</v>
      </c>
      <c r="AP93" s="421">
        <f>AJ93+AN93</f>
        <v>0</v>
      </c>
      <c r="AQ93" s="421">
        <f>SUM(AO93:AP93)</f>
        <v>0</v>
      </c>
      <c r="AR93" s="421">
        <f t="shared" si="283"/>
        <v>0</v>
      </c>
      <c r="AS93" s="421">
        <f t="shared" si="283"/>
        <v>0</v>
      </c>
      <c r="AT93" s="421">
        <f>SUM(AR93:AS93)</f>
        <v>0</v>
      </c>
      <c r="AU93" s="68">
        <f t="shared" si="284"/>
        <v>0</v>
      </c>
      <c r="AV93" s="68">
        <f>ROUND(AH93*1%,0)</f>
        <v>0</v>
      </c>
      <c r="AW93" s="421">
        <v>0</v>
      </c>
      <c r="AX93" s="421">
        <v>0</v>
      </c>
      <c r="AY93" s="421">
        <f>AW93+AX93</f>
        <v>0</v>
      </c>
      <c r="AZ93" s="421">
        <f>AT93+AU93+AV93+AY93</f>
        <v>0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611">
        <f>SUM(BK93:BL93)</f>
        <v>0</v>
      </c>
      <c r="BN93" s="428">
        <f>I93+AZ93</f>
        <v>2212121</v>
      </c>
      <c r="BO93" s="421">
        <f>J93+AH93</f>
        <v>1627382</v>
      </c>
      <c r="BP93" s="421">
        <f t="shared" si="285"/>
        <v>0</v>
      </c>
      <c r="BQ93" s="421">
        <f t="shared" si="285"/>
        <v>1627382</v>
      </c>
      <c r="BR93" s="421">
        <f>M93+AQ93</f>
        <v>0</v>
      </c>
      <c r="BS93" s="421">
        <f t="shared" si="286"/>
        <v>0</v>
      </c>
      <c r="BT93" s="421">
        <f t="shared" si="286"/>
        <v>0</v>
      </c>
      <c r="BU93" s="421">
        <f t="shared" si="287"/>
        <v>550055</v>
      </c>
      <c r="BV93" s="421">
        <f t="shared" si="287"/>
        <v>16274</v>
      </c>
      <c r="BW93" s="421">
        <f>R93+AY93</f>
        <v>18410</v>
      </c>
      <c r="BX93" s="422">
        <f>S93+BM93</f>
        <v>4.88</v>
      </c>
      <c r="BY93" s="422">
        <f t="shared" si="288"/>
        <v>0</v>
      </c>
      <c r="BZ93" s="611">
        <f t="shared" si="288"/>
        <v>4.88</v>
      </c>
      <c r="CA93" s="423"/>
      <c r="CB93" s="418"/>
      <c r="CC93" s="418"/>
      <c r="CD93" s="418"/>
      <c r="CE93" s="418"/>
      <c r="CF93" s="527"/>
    </row>
    <row r="94" spans="1:84" s="222" customFormat="1" x14ac:dyDescent="0.2">
      <c r="A94" s="210">
        <v>17</v>
      </c>
      <c r="B94" s="211">
        <v>4454</v>
      </c>
      <c r="C94" s="211">
        <v>600074811</v>
      </c>
      <c r="D94" s="211">
        <v>48283070</v>
      </c>
      <c r="E94" s="205" t="s">
        <v>178</v>
      </c>
      <c r="F94" s="211">
        <v>3143</v>
      </c>
      <c r="G94" s="165" t="s">
        <v>596</v>
      </c>
      <c r="H94" s="686" t="s">
        <v>271</v>
      </c>
      <c r="I94" s="528">
        <f t="shared" si="279"/>
        <v>3362530</v>
      </c>
      <c r="J94" s="418">
        <f>K94+L94</f>
        <v>2494458</v>
      </c>
      <c r="K94" s="418">
        <v>2494458</v>
      </c>
      <c r="L94" s="418">
        <v>0</v>
      </c>
      <c r="M94" s="418">
        <f>N94+O94</f>
        <v>0</v>
      </c>
      <c r="N94" s="418"/>
      <c r="O94" s="418"/>
      <c r="P94" s="68">
        <f t="shared" si="280"/>
        <v>843127</v>
      </c>
      <c r="Q94" s="68">
        <f t="shared" si="289"/>
        <v>24945</v>
      </c>
      <c r="R94" s="418">
        <v>0</v>
      </c>
      <c r="S94" s="419">
        <f>T94+U94</f>
        <v>4.7140000000000004</v>
      </c>
      <c r="T94" s="420">
        <v>4.7140000000000004</v>
      </c>
      <c r="U94" s="527">
        <v>0</v>
      </c>
      <c r="V94" s="427">
        <f t="shared" si="281"/>
        <v>-12800</v>
      </c>
      <c r="W94" s="421">
        <f t="shared" si="281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>V94+X94+Y94+AA94+AB94+AD94</f>
        <v>-12800</v>
      </c>
      <c r="AG94" s="421">
        <f>W94+Z94+AC94+AE94</f>
        <v>0</v>
      </c>
      <c r="AH94" s="421">
        <f>SUM(AF94:AG94)</f>
        <v>-12800</v>
      </c>
      <c r="AI94" s="421">
        <v>12800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282"/>
        <v>12800</v>
      </c>
      <c r="AP94" s="421">
        <f>AJ94+AN94</f>
        <v>0</v>
      </c>
      <c r="AQ94" s="421">
        <f>SUM(AO94:AP94)</f>
        <v>12800</v>
      </c>
      <c r="AR94" s="421">
        <f t="shared" si="283"/>
        <v>0</v>
      </c>
      <c r="AS94" s="421">
        <f t="shared" si="283"/>
        <v>0</v>
      </c>
      <c r="AT94" s="421">
        <f>SUM(AR94:AS94)</f>
        <v>0</v>
      </c>
      <c r="AU94" s="68">
        <f t="shared" si="284"/>
        <v>0</v>
      </c>
      <c r="AV94" s="68">
        <f>ROUND(AH94*1%,0)</f>
        <v>-128</v>
      </c>
      <c r="AW94" s="421">
        <v>0</v>
      </c>
      <c r="AX94" s="421">
        <v>0</v>
      </c>
      <c r="AY94" s="421">
        <f>AW94+AX94</f>
        <v>0</v>
      </c>
      <c r="AZ94" s="421">
        <f>AT94+AU94+AV94+AY94</f>
        <v>-128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>BA94+BC94+BD94+BF94+BH94+BI94</f>
        <v>0</v>
      </c>
      <c r="BL94" s="422">
        <f>BB94+BE94+BG94+BJ94</f>
        <v>0</v>
      </c>
      <c r="BM94" s="611">
        <f>SUM(BK94:BL94)</f>
        <v>0</v>
      </c>
      <c r="BN94" s="428">
        <f>I94+AZ94</f>
        <v>3362402</v>
      </c>
      <c r="BO94" s="421">
        <f>J94+AH94</f>
        <v>2481658</v>
      </c>
      <c r="BP94" s="421">
        <f t="shared" si="285"/>
        <v>2481658</v>
      </c>
      <c r="BQ94" s="421">
        <f t="shared" si="285"/>
        <v>0</v>
      </c>
      <c r="BR94" s="421">
        <f>M94+AQ94</f>
        <v>12800</v>
      </c>
      <c r="BS94" s="421">
        <f t="shared" si="286"/>
        <v>12800</v>
      </c>
      <c r="BT94" s="421">
        <f t="shared" si="286"/>
        <v>0</v>
      </c>
      <c r="BU94" s="421">
        <f t="shared" si="287"/>
        <v>843127</v>
      </c>
      <c r="BV94" s="421">
        <f t="shared" si="287"/>
        <v>24817</v>
      </c>
      <c r="BW94" s="421">
        <f>R94+AY94</f>
        <v>0</v>
      </c>
      <c r="BX94" s="422">
        <f>S94+BM94</f>
        <v>4.7140000000000004</v>
      </c>
      <c r="BY94" s="422">
        <f t="shared" si="288"/>
        <v>4.7140000000000004</v>
      </c>
      <c r="BZ94" s="611">
        <f t="shared" si="288"/>
        <v>0</v>
      </c>
      <c r="CA94" s="423"/>
      <c r="CB94" s="418"/>
      <c r="CC94" s="418"/>
      <c r="CD94" s="418"/>
      <c r="CE94" s="418"/>
      <c r="CF94" s="527"/>
    </row>
    <row r="95" spans="1:84" s="222" customFormat="1" x14ac:dyDescent="0.2">
      <c r="A95" s="210">
        <v>17</v>
      </c>
      <c r="B95" s="211">
        <v>4454</v>
      </c>
      <c r="C95" s="211">
        <v>600074811</v>
      </c>
      <c r="D95" s="211">
        <v>48283070</v>
      </c>
      <c r="E95" s="205" t="s">
        <v>178</v>
      </c>
      <c r="F95" s="211">
        <v>3143</v>
      </c>
      <c r="G95" s="165" t="s">
        <v>597</v>
      </c>
      <c r="H95" s="686" t="s">
        <v>272</v>
      </c>
      <c r="I95" s="528">
        <f t="shared" si="279"/>
        <v>67091</v>
      </c>
      <c r="J95" s="418">
        <f>K95+L95</f>
        <v>48022</v>
      </c>
      <c r="K95" s="418">
        <v>0</v>
      </c>
      <c r="L95" s="418">
        <v>48022</v>
      </c>
      <c r="M95" s="418">
        <f>N95+O95</f>
        <v>0</v>
      </c>
      <c r="N95" s="418"/>
      <c r="O95" s="418"/>
      <c r="P95" s="68">
        <f t="shared" si="280"/>
        <v>16231</v>
      </c>
      <c r="Q95" s="68">
        <f t="shared" si="289"/>
        <v>480</v>
      </c>
      <c r="R95" s="418">
        <v>2358</v>
      </c>
      <c r="S95" s="419">
        <f>T95+U95</f>
        <v>0.18</v>
      </c>
      <c r="T95" s="420">
        <v>0</v>
      </c>
      <c r="U95" s="527">
        <v>0.18</v>
      </c>
      <c r="V95" s="427">
        <f t="shared" si="281"/>
        <v>0</v>
      </c>
      <c r="W95" s="421">
        <f t="shared" si="281"/>
        <v>0</v>
      </c>
      <c r="X95" s="421">
        <v>0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>V95+X95+Y95+AA95+AB95+AD95</f>
        <v>0</v>
      </c>
      <c r="AG95" s="421">
        <f>W95+Z95+AC95+AE95</f>
        <v>0</v>
      </c>
      <c r="AH95" s="421">
        <f>SUM(AF95:AG95)</f>
        <v>0</v>
      </c>
      <c r="AI95" s="421">
        <v>0</v>
      </c>
      <c r="AJ95" s="421">
        <v>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282"/>
        <v>0</v>
      </c>
      <c r="AP95" s="421">
        <f>AJ95+AN95</f>
        <v>0</v>
      </c>
      <c r="AQ95" s="421">
        <f>SUM(AO95:AP95)</f>
        <v>0</v>
      </c>
      <c r="AR95" s="421">
        <f t="shared" si="283"/>
        <v>0</v>
      </c>
      <c r="AS95" s="421">
        <f t="shared" si="283"/>
        <v>0</v>
      </c>
      <c r="AT95" s="421">
        <f>SUM(AR95:AS95)</f>
        <v>0</v>
      </c>
      <c r="AU95" s="68">
        <f t="shared" si="284"/>
        <v>0</v>
      </c>
      <c r="AV95" s="68">
        <f>ROUND(AH95*1%,0)</f>
        <v>0</v>
      </c>
      <c r="AW95" s="421">
        <v>0</v>
      </c>
      <c r="AX95" s="421">
        <v>0</v>
      </c>
      <c r="AY95" s="421">
        <f>AW95+AX95</f>
        <v>0</v>
      </c>
      <c r="AZ95" s="421">
        <f>AT95+AU95+AV95+AY95</f>
        <v>0</v>
      </c>
      <c r="BA95" s="422">
        <v>0</v>
      </c>
      <c r="BB95" s="422">
        <v>0</v>
      </c>
      <c r="BC95" s="422">
        <v>0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>BA95+BC95+BD95+BF95+BH95+BI95</f>
        <v>0</v>
      </c>
      <c r="BL95" s="422">
        <f>BB95+BE95+BG95+BJ95</f>
        <v>0</v>
      </c>
      <c r="BM95" s="611">
        <f>SUM(BK95:BL95)</f>
        <v>0</v>
      </c>
      <c r="BN95" s="428">
        <f>I95+AZ95</f>
        <v>67091</v>
      </c>
      <c r="BO95" s="421">
        <f>J95+AH95</f>
        <v>48022</v>
      </c>
      <c r="BP95" s="421">
        <f t="shared" si="285"/>
        <v>0</v>
      </c>
      <c r="BQ95" s="421">
        <f t="shared" si="285"/>
        <v>48022</v>
      </c>
      <c r="BR95" s="421">
        <f>M95+AQ95</f>
        <v>0</v>
      </c>
      <c r="BS95" s="421">
        <f t="shared" si="286"/>
        <v>0</v>
      </c>
      <c r="BT95" s="421">
        <f t="shared" si="286"/>
        <v>0</v>
      </c>
      <c r="BU95" s="421">
        <f t="shared" si="287"/>
        <v>16231</v>
      </c>
      <c r="BV95" s="421">
        <f t="shared" si="287"/>
        <v>480</v>
      </c>
      <c r="BW95" s="421">
        <f>R95+AY95</f>
        <v>2358</v>
      </c>
      <c r="BX95" s="422">
        <f>S95+BM95</f>
        <v>0.18</v>
      </c>
      <c r="BY95" s="422">
        <f t="shared" si="288"/>
        <v>0</v>
      </c>
      <c r="BZ95" s="611">
        <f t="shared" si="288"/>
        <v>0.18</v>
      </c>
      <c r="CA95" s="423"/>
      <c r="CB95" s="418"/>
      <c r="CC95" s="418"/>
      <c r="CD95" s="418"/>
      <c r="CE95" s="418"/>
      <c r="CF95" s="527"/>
    </row>
    <row r="96" spans="1:84" s="222" customFormat="1" x14ac:dyDescent="0.2">
      <c r="A96" s="155">
        <v>17</v>
      </c>
      <c r="B96" s="18">
        <v>4454</v>
      </c>
      <c r="C96" s="18">
        <v>600074811</v>
      </c>
      <c r="D96" s="18">
        <v>48283070</v>
      </c>
      <c r="E96" s="164" t="s">
        <v>179</v>
      </c>
      <c r="F96" s="18"/>
      <c r="G96" s="154"/>
      <c r="H96" s="685"/>
      <c r="I96" s="458">
        <f t="shared" ref="I96:BU96" si="290">SUM(I91:I95)</f>
        <v>38414483</v>
      </c>
      <c r="J96" s="451">
        <f t="shared" si="290"/>
        <v>28134842</v>
      </c>
      <c r="K96" s="451">
        <f t="shared" si="290"/>
        <v>24784503</v>
      </c>
      <c r="L96" s="451">
        <f t="shared" si="290"/>
        <v>3350339</v>
      </c>
      <c r="M96" s="451">
        <f t="shared" si="290"/>
        <v>0</v>
      </c>
      <c r="N96" s="451">
        <f t="shared" si="290"/>
        <v>0</v>
      </c>
      <c r="O96" s="451">
        <f t="shared" si="290"/>
        <v>0</v>
      </c>
      <c r="P96" s="451">
        <f t="shared" si="290"/>
        <v>9509576</v>
      </c>
      <c r="Q96" s="451">
        <f t="shared" si="290"/>
        <v>281348</v>
      </c>
      <c r="R96" s="451">
        <f t="shared" si="290"/>
        <v>488717</v>
      </c>
      <c r="S96" s="452">
        <f t="shared" si="290"/>
        <v>44.801600000000001</v>
      </c>
      <c r="T96" s="452">
        <f t="shared" si="290"/>
        <v>34.668300000000002</v>
      </c>
      <c r="U96" s="39">
        <f t="shared" si="290"/>
        <v>10.133299999999998</v>
      </c>
      <c r="V96" s="458">
        <f t="shared" si="290"/>
        <v>-52531</v>
      </c>
      <c r="W96" s="451">
        <f t="shared" si="290"/>
        <v>0</v>
      </c>
      <c r="X96" s="451">
        <f t="shared" si="290"/>
        <v>2963435</v>
      </c>
      <c r="Y96" s="451">
        <f t="shared" si="290"/>
        <v>0</v>
      </c>
      <c r="Z96" s="451">
        <f t="shared" si="290"/>
        <v>0</v>
      </c>
      <c r="AA96" s="451">
        <f t="shared" si="290"/>
        <v>79440</v>
      </c>
      <c r="AB96" s="451">
        <f t="shared" si="290"/>
        <v>0</v>
      </c>
      <c r="AC96" s="451">
        <f t="shared" si="290"/>
        <v>0</v>
      </c>
      <c r="AD96" s="451">
        <f t="shared" si="290"/>
        <v>0</v>
      </c>
      <c r="AE96" s="451">
        <f t="shared" si="290"/>
        <v>0</v>
      </c>
      <c r="AF96" s="451">
        <f t="shared" si="290"/>
        <v>2990344</v>
      </c>
      <c r="AG96" s="451">
        <f t="shared" si="290"/>
        <v>0</v>
      </c>
      <c r="AH96" s="451">
        <f t="shared" si="290"/>
        <v>2990344</v>
      </c>
      <c r="AI96" s="451">
        <f t="shared" si="290"/>
        <v>52531</v>
      </c>
      <c r="AJ96" s="451">
        <f t="shared" si="290"/>
        <v>0</v>
      </c>
      <c r="AK96" s="451">
        <f t="shared" ref="AK96" si="291">SUM(AK91:AK95)</f>
        <v>0</v>
      </c>
      <c r="AL96" s="451">
        <f t="shared" si="290"/>
        <v>0</v>
      </c>
      <c r="AM96" s="451">
        <f t="shared" si="290"/>
        <v>0</v>
      </c>
      <c r="AN96" s="451">
        <f t="shared" si="290"/>
        <v>0</v>
      </c>
      <c r="AO96" s="451">
        <f t="shared" si="290"/>
        <v>52531</v>
      </c>
      <c r="AP96" s="451">
        <f t="shared" si="290"/>
        <v>0</v>
      </c>
      <c r="AQ96" s="451">
        <f t="shared" si="290"/>
        <v>52531</v>
      </c>
      <c r="AR96" s="451">
        <f t="shared" si="290"/>
        <v>3042875</v>
      </c>
      <c r="AS96" s="451">
        <f t="shared" si="290"/>
        <v>0</v>
      </c>
      <c r="AT96" s="451">
        <f t="shared" si="290"/>
        <v>3042875</v>
      </c>
      <c r="AU96" s="451">
        <f t="shared" si="290"/>
        <v>1028492</v>
      </c>
      <c r="AV96" s="451">
        <f t="shared" si="290"/>
        <v>29903</v>
      </c>
      <c r="AW96" s="451">
        <f t="shared" si="290"/>
        <v>0</v>
      </c>
      <c r="AX96" s="451">
        <f t="shared" si="290"/>
        <v>0</v>
      </c>
      <c r="AY96" s="451">
        <f t="shared" si="290"/>
        <v>0</v>
      </c>
      <c r="AZ96" s="451">
        <f t="shared" si="290"/>
        <v>4101270</v>
      </c>
      <c r="BA96" s="452">
        <f t="shared" si="290"/>
        <v>-7.0000000000000007E-2</v>
      </c>
      <c r="BB96" s="452">
        <f t="shared" si="290"/>
        <v>0</v>
      </c>
      <c r="BC96" s="452">
        <f t="shared" si="290"/>
        <v>7.94</v>
      </c>
      <c r="BD96" s="452">
        <f t="shared" si="290"/>
        <v>0</v>
      </c>
      <c r="BE96" s="452">
        <f t="shared" si="290"/>
        <v>0</v>
      </c>
      <c r="BF96" s="452">
        <f t="shared" si="290"/>
        <v>0</v>
      </c>
      <c r="BG96" s="452">
        <f t="shared" si="290"/>
        <v>0</v>
      </c>
      <c r="BH96" s="452">
        <f t="shared" si="290"/>
        <v>0.11</v>
      </c>
      <c r="BI96" s="452">
        <f t="shared" si="290"/>
        <v>0</v>
      </c>
      <c r="BJ96" s="452">
        <f t="shared" si="290"/>
        <v>0</v>
      </c>
      <c r="BK96" s="452">
        <f t="shared" si="290"/>
        <v>7.98</v>
      </c>
      <c r="BL96" s="452">
        <f t="shared" si="290"/>
        <v>0</v>
      </c>
      <c r="BM96" s="456">
        <f t="shared" si="290"/>
        <v>7.98</v>
      </c>
      <c r="BN96" s="454">
        <f t="shared" si="290"/>
        <v>42515753</v>
      </c>
      <c r="BO96" s="451">
        <f t="shared" si="290"/>
        <v>31125186</v>
      </c>
      <c r="BP96" s="451">
        <f t="shared" si="290"/>
        <v>27774847</v>
      </c>
      <c r="BQ96" s="451">
        <f t="shared" si="290"/>
        <v>3350339</v>
      </c>
      <c r="BR96" s="451">
        <f t="shared" si="290"/>
        <v>52531</v>
      </c>
      <c r="BS96" s="451">
        <f t="shared" si="290"/>
        <v>52531</v>
      </c>
      <c r="BT96" s="451">
        <f t="shared" si="290"/>
        <v>0</v>
      </c>
      <c r="BU96" s="451">
        <f t="shared" si="290"/>
        <v>10538068</v>
      </c>
      <c r="BV96" s="451">
        <f t="shared" ref="BV96:CF96" si="292">SUM(BV91:BV95)</f>
        <v>311251</v>
      </c>
      <c r="BW96" s="451">
        <f t="shared" si="292"/>
        <v>488717</v>
      </c>
      <c r="BX96" s="452">
        <f t="shared" si="292"/>
        <v>52.781599999999997</v>
      </c>
      <c r="BY96" s="452">
        <f t="shared" si="292"/>
        <v>42.648299999999999</v>
      </c>
      <c r="BZ96" s="456">
        <f t="shared" si="292"/>
        <v>10.133299999999998</v>
      </c>
      <c r="CA96" s="854">
        <f t="shared" si="292"/>
        <v>0</v>
      </c>
      <c r="CB96" s="852">
        <f t="shared" si="292"/>
        <v>0</v>
      </c>
      <c r="CC96" s="852">
        <f t="shared" si="292"/>
        <v>0</v>
      </c>
      <c r="CD96" s="852">
        <f t="shared" si="292"/>
        <v>0</v>
      </c>
      <c r="CE96" s="852">
        <f t="shared" si="292"/>
        <v>0</v>
      </c>
      <c r="CF96" s="848">
        <f t="shared" si="292"/>
        <v>0</v>
      </c>
    </row>
    <row r="97" spans="1:84" s="222" customFormat="1" x14ac:dyDescent="0.2">
      <c r="A97" s="210">
        <v>18</v>
      </c>
      <c r="B97" s="211">
        <v>4479</v>
      </c>
      <c r="C97" s="211">
        <v>600075150</v>
      </c>
      <c r="D97" s="211">
        <v>70982228</v>
      </c>
      <c r="E97" s="209" t="s">
        <v>180</v>
      </c>
      <c r="F97" s="211">
        <v>3111</v>
      </c>
      <c r="G97" s="165" t="s">
        <v>291</v>
      </c>
      <c r="H97" s="699" t="s">
        <v>271</v>
      </c>
      <c r="I97" s="528">
        <f t="shared" ref="I97:I106" si="293">J97+P97+Q97+R97</f>
        <v>3395237</v>
      </c>
      <c r="J97" s="418">
        <f t="shared" ref="J97:J106" si="294">K97+L97</f>
        <v>2507253</v>
      </c>
      <c r="K97" s="418">
        <v>2367477</v>
      </c>
      <c r="L97" s="418">
        <v>139776</v>
      </c>
      <c r="M97" s="418">
        <f t="shared" ref="M97:M106" si="295">N97+O97</f>
        <v>0</v>
      </c>
      <c r="N97" s="418"/>
      <c r="O97" s="418"/>
      <c r="P97" s="68">
        <f t="shared" ref="P97:P106" si="296">ROUND(J97*33.8%,0)</f>
        <v>847452</v>
      </c>
      <c r="Q97" s="68">
        <f t="shared" ref="Q97:Q106" si="297">ROUND(J97*1%,0)</f>
        <v>25073</v>
      </c>
      <c r="R97" s="418">
        <v>15459</v>
      </c>
      <c r="S97" s="419">
        <f t="shared" ref="S97:S106" si="298">T97+U97</f>
        <v>4.5600000000000005</v>
      </c>
      <c r="T97" s="420">
        <v>4</v>
      </c>
      <c r="U97" s="527">
        <v>0.56000000000000005</v>
      </c>
      <c r="V97" s="427">
        <f t="shared" ref="V97:W106" si="299">AI97*-1</f>
        <v>0</v>
      </c>
      <c r="W97" s="421">
        <f t="shared" si="299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 t="shared" ref="AF97:AF106" si="300">V97+X97+Y97+AA97+AB97+AD97</f>
        <v>0</v>
      </c>
      <c r="AG97" s="421">
        <f t="shared" ref="AG97:AG106" si="301">W97+Z97+AC97+AE97</f>
        <v>0</v>
      </c>
      <c r="AH97" s="421">
        <f t="shared" ref="AH97:AH106" si="302">SUM(AF97:AG97)</f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ref="AO97:AO106" si="303">AI97+AK97+AL97+AM97</f>
        <v>0</v>
      </c>
      <c r="AP97" s="421">
        <f t="shared" ref="AP97:AP106" si="304">AJ97+AN97</f>
        <v>0</v>
      </c>
      <c r="AQ97" s="421">
        <f t="shared" ref="AQ97:AQ106" si="305">SUM(AO97:AP97)</f>
        <v>0</v>
      </c>
      <c r="AR97" s="421">
        <f t="shared" ref="AR97:AR106" si="306">AF97+AO97</f>
        <v>0</v>
      </c>
      <c r="AS97" s="421">
        <f t="shared" ref="AS97:AS106" si="307">AG97+AP97</f>
        <v>0</v>
      </c>
      <c r="AT97" s="421">
        <f t="shared" ref="AT97:AT106" si="308">SUM(AR97:AS97)</f>
        <v>0</v>
      </c>
      <c r="AU97" s="68">
        <f t="shared" ref="AU97:AU106" si="309">ROUND((AH97+AI97+AJ97+AK97+AL97)*33.8%,0)</f>
        <v>0</v>
      </c>
      <c r="AV97" s="68">
        <f t="shared" ref="AV97:AV106" si="310">ROUND(AH97*1%,0)</f>
        <v>0</v>
      </c>
      <c r="AW97" s="421">
        <v>0</v>
      </c>
      <c r="AX97" s="421">
        <v>0</v>
      </c>
      <c r="AY97" s="421">
        <f t="shared" ref="AY97:AY106" si="311">AW97+AX97</f>
        <v>0</v>
      </c>
      <c r="AZ97" s="421">
        <f t="shared" ref="AZ97:AZ106" si="312">AT97+AU97+AV97+AY97</f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 t="shared" ref="BK97:BK106" si="313">BA97+BC97+BD97+BF97+BH97+BI97</f>
        <v>0</v>
      </c>
      <c r="BL97" s="422">
        <f t="shared" ref="BL97:BL106" si="314">BB97+BE97+BG97+BJ97</f>
        <v>0</v>
      </c>
      <c r="BM97" s="611">
        <f t="shared" ref="BM97:BM106" si="315">SUM(BK97:BL97)</f>
        <v>0</v>
      </c>
      <c r="BN97" s="428">
        <f t="shared" ref="BN97:BN106" si="316">I97+AZ97</f>
        <v>3395237</v>
      </c>
      <c r="BO97" s="421">
        <f t="shared" ref="BO97:BO106" si="317">J97+AH97</f>
        <v>2507253</v>
      </c>
      <c r="BP97" s="421">
        <f t="shared" ref="BP97:BP106" si="318">K97+AF97</f>
        <v>2367477</v>
      </c>
      <c r="BQ97" s="421">
        <f t="shared" ref="BQ97:BQ106" si="319">L97+AG97</f>
        <v>139776</v>
      </c>
      <c r="BR97" s="421">
        <f t="shared" ref="BR97:BR106" si="320">M97+AQ97</f>
        <v>0</v>
      </c>
      <c r="BS97" s="421">
        <f t="shared" ref="BS97:BS106" si="321">N97+AO97</f>
        <v>0</v>
      </c>
      <c r="BT97" s="421">
        <f t="shared" ref="BT97:BT106" si="322">O97+AP97</f>
        <v>0</v>
      </c>
      <c r="BU97" s="421">
        <f t="shared" ref="BU97:BU106" si="323">P97+AU97</f>
        <v>847452</v>
      </c>
      <c r="BV97" s="421">
        <f t="shared" ref="BV97:BV106" si="324">Q97+AV97</f>
        <v>25073</v>
      </c>
      <c r="BW97" s="421">
        <f t="shared" ref="BW97:BW106" si="325">R97+AY97</f>
        <v>15459</v>
      </c>
      <c r="BX97" s="422">
        <f t="shared" ref="BX97:BX106" si="326">S97+BM97</f>
        <v>4.5600000000000005</v>
      </c>
      <c r="BY97" s="422">
        <f t="shared" ref="BY97:BY106" si="327">T97+BK97</f>
        <v>4</v>
      </c>
      <c r="BZ97" s="611">
        <f t="shared" ref="BZ97:BZ106" si="328">U97+BL97</f>
        <v>0.56000000000000005</v>
      </c>
      <c r="CA97" s="423"/>
      <c r="CB97" s="418"/>
      <c r="CC97" s="418"/>
      <c r="CD97" s="418"/>
      <c r="CE97" s="418"/>
      <c r="CF97" s="527"/>
    </row>
    <row r="98" spans="1:84" s="222" customFormat="1" x14ac:dyDescent="0.2">
      <c r="A98" s="210">
        <v>18</v>
      </c>
      <c r="B98" s="211">
        <v>4479</v>
      </c>
      <c r="C98" s="211">
        <v>600075150</v>
      </c>
      <c r="D98" s="211">
        <v>70982228</v>
      </c>
      <c r="E98" s="209" t="s">
        <v>180</v>
      </c>
      <c r="F98" s="211">
        <v>3111</v>
      </c>
      <c r="G98" s="165" t="s">
        <v>293</v>
      </c>
      <c r="H98" s="699" t="s">
        <v>271</v>
      </c>
      <c r="I98" s="528">
        <f t="shared" si="293"/>
        <v>547719</v>
      </c>
      <c r="J98" s="418">
        <f t="shared" si="294"/>
        <v>406320</v>
      </c>
      <c r="K98" s="418">
        <v>406320</v>
      </c>
      <c r="L98" s="418">
        <v>0</v>
      </c>
      <c r="M98" s="418">
        <f t="shared" si="295"/>
        <v>0</v>
      </c>
      <c r="N98" s="418"/>
      <c r="O98" s="418"/>
      <c r="P98" s="68">
        <f t="shared" si="296"/>
        <v>137336</v>
      </c>
      <c r="Q98" s="68">
        <f t="shared" si="297"/>
        <v>4063</v>
      </c>
      <c r="R98" s="418">
        <v>0</v>
      </c>
      <c r="S98" s="419">
        <f t="shared" si="298"/>
        <v>1</v>
      </c>
      <c r="T98" s="420">
        <v>1</v>
      </c>
      <c r="U98" s="527">
        <v>0</v>
      </c>
      <c r="V98" s="427">
        <f t="shared" si="299"/>
        <v>0</v>
      </c>
      <c r="W98" s="421">
        <f t="shared" si="299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 t="shared" si="300"/>
        <v>0</v>
      </c>
      <c r="AG98" s="421">
        <f t="shared" si="301"/>
        <v>0</v>
      </c>
      <c r="AH98" s="421">
        <f t="shared" si="302"/>
        <v>0</v>
      </c>
      <c r="AI98" s="421">
        <v>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si="303"/>
        <v>0</v>
      </c>
      <c r="AP98" s="421">
        <f t="shared" si="304"/>
        <v>0</v>
      </c>
      <c r="AQ98" s="421">
        <f t="shared" si="305"/>
        <v>0</v>
      </c>
      <c r="AR98" s="421">
        <f t="shared" si="306"/>
        <v>0</v>
      </c>
      <c r="AS98" s="421">
        <f t="shared" si="307"/>
        <v>0</v>
      </c>
      <c r="AT98" s="421">
        <f t="shared" si="308"/>
        <v>0</v>
      </c>
      <c r="AU98" s="68">
        <f t="shared" si="309"/>
        <v>0</v>
      </c>
      <c r="AV98" s="68">
        <f t="shared" si="310"/>
        <v>0</v>
      </c>
      <c r="AW98" s="421">
        <v>0</v>
      </c>
      <c r="AX98" s="421">
        <v>0</v>
      </c>
      <c r="AY98" s="421">
        <f t="shared" si="311"/>
        <v>0</v>
      </c>
      <c r="AZ98" s="421">
        <f t="shared" si="312"/>
        <v>0</v>
      </c>
      <c r="BA98" s="422">
        <v>0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 t="shared" si="313"/>
        <v>0</v>
      </c>
      <c r="BL98" s="422">
        <f t="shared" si="314"/>
        <v>0</v>
      </c>
      <c r="BM98" s="611">
        <f t="shared" si="315"/>
        <v>0</v>
      </c>
      <c r="BN98" s="428">
        <f t="shared" si="316"/>
        <v>547719</v>
      </c>
      <c r="BO98" s="421">
        <f t="shared" si="317"/>
        <v>406320</v>
      </c>
      <c r="BP98" s="421">
        <f t="shared" si="318"/>
        <v>406320</v>
      </c>
      <c r="BQ98" s="421">
        <f t="shared" si="319"/>
        <v>0</v>
      </c>
      <c r="BR98" s="421">
        <f t="shared" si="320"/>
        <v>0</v>
      </c>
      <c r="BS98" s="421">
        <f t="shared" si="321"/>
        <v>0</v>
      </c>
      <c r="BT98" s="421">
        <f t="shared" si="322"/>
        <v>0</v>
      </c>
      <c r="BU98" s="421">
        <f t="shared" si="323"/>
        <v>137336</v>
      </c>
      <c r="BV98" s="421">
        <f t="shared" si="324"/>
        <v>4063</v>
      </c>
      <c r="BW98" s="421">
        <f t="shared" si="325"/>
        <v>0</v>
      </c>
      <c r="BX98" s="422">
        <f t="shared" si="326"/>
        <v>1</v>
      </c>
      <c r="BY98" s="422">
        <f t="shared" si="327"/>
        <v>1</v>
      </c>
      <c r="BZ98" s="611">
        <f t="shared" si="328"/>
        <v>0</v>
      </c>
      <c r="CA98" s="423"/>
      <c r="CB98" s="418"/>
      <c r="CC98" s="418"/>
      <c r="CD98" s="418"/>
      <c r="CE98" s="418"/>
      <c r="CF98" s="527"/>
    </row>
    <row r="99" spans="1:84" s="222" customFormat="1" x14ac:dyDescent="0.2">
      <c r="A99" s="210">
        <v>18</v>
      </c>
      <c r="B99" s="211">
        <v>4479</v>
      </c>
      <c r="C99" s="211">
        <v>600075150</v>
      </c>
      <c r="D99" s="211">
        <v>70982228</v>
      </c>
      <c r="E99" s="209" t="s">
        <v>180</v>
      </c>
      <c r="F99" s="211">
        <v>3114</v>
      </c>
      <c r="G99" s="165" t="s">
        <v>526</v>
      </c>
      <c r="H99" s="699" t="s">
        <v>271</v>
      </c>
      <c r="I99" s="528">
        <f t="shared" si="293"/>
        <v>39431619</v>
      </c>
      <c r="J99" s="418">
        <f t="shared" si="294"/>
        <v>29021766</v>
      </c>
      <c r="K99" s="418">
        <v>26795678</v>
      </c>
      <c r="L99" s="418">
        <v>2226088</v>
      </c>
      <c r="M99" s="418">
        <f t="shared" si="295"/>
        <v>0</v>
      </c>
      <c r="N99" s="418"/>
      <c r="O99" s="418"/>
      <c r="P99" s="68">
        <f>ROUND(J99*33.8%,0)-1</f>
        <v>9809356</v>
      </c>
      <c r="Q99" s="68">
        <f>ROUND(J99*1%,0)+1</f>
        <v>290219</v>
      </c>
      <c r="R99" s="418">
        <v>310278</v>
      </c>
      <c r="S99" s="419">
        <f t="shared" si="298"/>
        <v>42.365399999999994</v>
      </c>
      <c r="T99" s="420">
        <v>35.545299999999997</v>
      </c>
      <c r="U99" s="527">
        <v>6.8201000000000001</v>
      </c>
      <c r="V99" s="427">
        <f t="shared" si="299"/>
        <v>0</v>
      </c>
      <c r="W99" s="421">
        <f t="shared" si="299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31438</v>
      </c>
      <c r="AE99" s="421">
        <v>0</v>
      </c>
      <c r="AF99" s="421">
        <f t="shared" si="300"/>
        <v>31438</v>
      </c>
      <c r="AG99" s="421">
        <f t="shared" si="301"/>
        <v>0</v>
      </c>
      <c r="AH99" s="421">
        <f t="shared" si="302"/>
        <v>31438</v>
      </c>
      <c r="AI99" s="421">
        <v>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si="303"/>
        <v>0</v>
      </c>
      <c r="AP99" s="421">
        <f t="shared" si="304"/>
        <v>0</v>
      </c>
      <c r="AQ99" s="421">
        <f t="shared" si="305"/>
        <v>0</v>
      </c>
      <c r="AR99" s="421">
        <f t="shared" si="306"/>
        <v>31438</v>
      </c>
      <c r="AS99" s="421">
        <f t="shared" si="307"/>
        <v>0</v>
      </c>
      <c r="AT99" s="421">
        <f t="shared" si="308"/>
        <v>31438</v>
      </c>
      <c r="AU99" s="68">
        <f t="shared" si="309"/>
        <v>10626</v>
      </c>
      <c r="AV99" s="68">
        <f t="shared" si="310"/>
        <v>314</v>
      </c>
      <c r="AW99" s="421">
        <v>0</v>
      </c>
      <c r="AX99" s="421">
        <v>0</v>
      </c>
      <c r="AY99" s="421">
        <f t="shared" si="311"/>
        <v>0</v>
      </c>
      <c r="AZ99" s="421">
        <f t="shared" si="312"/>
        <v>42378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0.05</v>
      </c>
      <c r="BJ99" s="422">
        <v>0</v>
      </c>
      <c r="BK99" s="422">
        <f t="shared" si="313"/>
        <v>0.05</v>
      </c>
      <c r="BL99" s="422">
        <f t="shared" si="314"/>
        <v>0</v>
      </c>
      <c r="BM99" s="611">
        <f t="shared" si="315"/>
        <v>0.05</v>
      </c>
      <c r="BN99" s="428">
        <f t="shared" si="316"/>
        <v>39473997</v>
      </c>
      <c r="BO99" s="421">
        <f t="shared" si="317"/>
        <v>29053204</v>
      </c>
      <c r="BP99" s="421">
        <f t="shared" si="318"/>
        <v>26827116</v>
      </c>
      <c r="BQ99" s="421">
        <f t="shared" si="319"/>
        <v>2226088</v>
      </c>
      <c r="BR99" s="421">
        <f t="shared" si="320"/>
        <v>0</v>
      </c>
      <c r="BS99" s="421">
        <f t="shared" si="321"/>
        <v>0</v>
      </c>
      <c r="BT99" s="421">
        <f t="shared" si="322"/>
        <v>0</v>
      </c>
      <c r="BU99" s="421">
        <f t="shared" si="323"/>
        <v>9819982</v>
      </c>
      <c r="BV99" s="421">
        <f t="shared" si="324"/>
        <v>290533</v>
      </c>
      <c r="BW99" s="421">
        <f t="shared" si="325"/>
        <v>310278</v>
      </c>
      <c r="BX99" s="422">
        <f t="shared" si="326"/>
        <v>42.415399999999991</v>
      </c>
      <c r="BY99" s="422">
        <f t="shared" si="327"/>
        <v>35.595299999999995</v>
      </c>
      <c r="BZ99" s="611">
        <f t="shared" si="328"/>
        <v>6.8201000000000001</v>
      </c>
      <c r="CA99" s="423"/>
      <c r="CB99" s="418"/>
      <c r="CC99" s="418"/>
      <c r="CD99" s="418"/>
      <c r="CE99" s="418"/>
      <c r="CF99" s="527"/>
    </row>
    <row r="100" spans="1:84" s="222" customFormat="1" x14ac:dyDescent="0.2">
      <c r="A100" s="210">
        <v>18</v>
      </c>
      <c r="B100" s="211">
        <v>4479</v>
      </c>
      <c r="C100" s="211">
        <v>600075150</v>
      </c>
      <c r="D100" s="211">
        <v>70982228</v>
      </c>
      <c r="E100" s="209" t="s">
        <v>180</v>
      </c>
      <c r="F100" s="211">
        <v>3114</v>
      </c>
      <c r="G100" s="165" t="s">
        <v>293</v>
      </c>
      <c r="H100" s="699" t="s">
        <v>271</v>
      </c>
      <c r="I100" s="528">
        <f t="shared" si="293"/>
        <v>10619878</v>
      </c>
      <c r="J100" s="418">
        <f t="shared" si="294"/>
        <v>7878248</v>
      </c>
      <c r="K100" s="418">
        <v>7878248</v>
      </c>
      <c r="L100" s="418">
        <v>0</v>
      </c>
      <c r="M100" s="418">
        <f t="shared" si="295"/>
        <v>0</v>
      </c>
      <c r="N100" s="418"/>
      <c r="O100" s="418"/>
      <c r="P100" s="68">
        <f t="shared" si="296"/>
        <v>2662848</v>
      </c>
      <c r="Q100" s="68">
        <f t="shared" si="297"/>
        <v>78782</v>
      </c>
      <c r="R100" s="418">
        <v>0</v>
      </c>
      <c r="S100" s="419">
        <f t="shared" si="298"/>
        <v>20.124600000000001</v>
      </c>
      <c r="T100" s="420">
        <v>20.124600000000001</v>
      </c>
      <c r="U100" s="527">
        <v>0</v>
      </c>
      <c r="V100" s="427">
        <f t="shared" si="299"/>
        <v>0</v>
      </c>
      <c r="W100" s="421">
        <f t="shared" si="299"/>
        <v>0</v>
      </c>
      <c r="X100" s="421">
        <v>0</v>
      </c>
      <c r="Y100" s="421">
        <v>0</v>
      </c>
      <c r="Z100" s="421">
        <v>0</v>
      </c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f t="shared" si="300"/>
        <v>0</v>
      </c>
      <c r="AG100" s="421">
        <f t="shared" si="301"/>
        <v>0</v>
      </c>
      <c r="AH100" s="421">
        <f t="shared" si="302"/>
        <v>0</v>
      </c>
      <c r="AI100" s="421">
        <v>0</v>
      </c>
      <c r="AJ100" s="421">
        <v>0</v>
      </c>
      <c r="AK100" s="421">
        <v>0</v>
      </c>
      <c r="AL100" s="421">
        <v>0</v>
      </c>
      <c r="AM100" s="421">
        <v>0</v>
      </c>
      <c r="AN100" s="421">
        <v>0</v>
      </c>
      <c r="AO100" s="421">
        <f t="shared" si="303"/>
        <v>0</v>
      </c>
      <c r="AP100" s="421">
        <f t="shared" si="304"/>
        <v>0</v>
      </c>
      <c r="AQ100" s="421">
        <f t="shared" si="305"/>
        <v>0</v>
      </c>
      <c r="AR100" s="421">
        <f t="shared" si="306"/>
        <v>0</v>
      </c>
      <c r="AS100" s="421">
        <f t="shared" si="307"/>
        <v>0</v>
      </c>
      <c r="AT100" s="421">
        <f t="shared" si="308"/>
        <v>0</v>
      </c>
      <c r="AU100" s="68">
        <f t="shared" si="309"/>
        <v>0</v>
      </c>
      <c r="AV100" s="68">
        <f t="shared" si="310"/>
        <v>0</v>
      </c>
      <c r="AW100" s="421">
        <v>0</v>
      </c>
      <c r="AX100" s="421">
        <v>0</v>
      </c>
      <c r="AY100" s="421">
        <f t="shared" si="311"/>
        <v>0</v>
      </c>
      <c r="AZ100" s="421">
        <f t="shared" si="312"/>
        <v>0</v>
      </c>
      <c r="BA100" s="422">
        <v>0</v>
      </c>
      <c r="BB100" s="422">
        <v>0</v>
      </c>
      <c r="BC100" s="422">
        <v>0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 t="shared" si="313"/>
        <v>0</v>
      </c>
      <c r="BL100" s="422">
        <f t="shared" si="314"/>
        <v>0</v>
      </c>
      <c r="BM100" s="611">
        <f t="shared" si="315"/>
        <v>0</v>
      </c>
      <c r="BN100" s="428">
        <f t="shared" si="316"/>
        <v>10619878</v>
      </c>
      <c r="BO100" s="421">
        <f t="shared" si="317"/>
        <v>7878248</v>
      </c>
      <c r="BP100" s="421">
        <f t="shared" si="318"/>
        <v>7878248</v>
      </c>
      <c r="BQ100" s="421">
        <f t="shared" si="319"/>
        <v>0</v>
      </c>
      <c r="BR100" s="421">
        <f t="shared" si="320"/>
        <v>0</v>
      </c>
      <c r="BS100" s="421">
        <f t="shared" si="321"/>
        <v>0</v>
      </c>
      <c r="BT100" s="421">
        <f t="shared" si="322"/>
        <v>0</v>
      </c>
      <c r="BU100" s="421">
        <f t="shared" si="323"/>
        <v>2662848</v>
      </c>
      <c r="BV100" s="421">
        <f t="shared" si="324"/>
        <v>78782</v>
      </c>
      <c r="BW100" s="421">
        <f t="shared" si="325"/>
        <v>0</v>
      </c>
      <c r="BX100" s="422">
        <f t="shared" si="326"/>
        <v>20.124600000000001</v>
      </c>
      <c r="BY100" s="422">
        <f t="shared" si="327"/>
        <v>20.124600000000001</v>
      </c>
      <c r="BZ100" s="611">
        <f t="shared" si="328"/>
        <v>0</v>
      </c>
      <c r="CA100" s="423"/>
      <c r="CB100" s="418"/>
      <c r="CC100" s="418"/>
      <c r="CD100" s="418"/>
      <c r="CE100" s="418"/>
      <c r="CF100" s="527"/>
    </row>
    <row r="101" spans="1:84" s="222" customFormat="1" x14ac:dyDescent="0.2">
      <c r="A101" s="210">
        <v>18</v>
      </c>
      <c r="B101" s="211">
        <v>4479</v>
      </c>
      <c r="C101" s="211">
        <v>600075150</v>
      </c>
      <c r="D101" s="211">
        <v>70982228</v>
      </c>
      <c r="E101" s="209" t="s">
        <v>180</v>
      </c>
      <c r="F101" s="211">
        <v>3124</v>
      </c>
      <c r="G101" s="165" t="s">
        <v>300</v>
      </c>
      <c r="H101" s="699" t="s">
        <v>271</v>
      </c>
      <c r="I101" s="528">
        <f t="shared" si="293"/>
        <v>3722836</v>
      </c>
      <c r="J101" s="418">
        <f t="shared" si="294"/>
        <v>2752542</v>
      </c>
      <c r="K101" s="418">
        <v>2650048</v>
      </c>
      <c r="L101" s="418">
        <v>102494</v>
      </c>
      <c r="M101" s="418">
        <f t="shared" si="295"/>
        <v>0</v>
      </c>
      <c r="N101" s="418"/>
      <c r="O101" s="418"/>
      <c r="P101" s="68">
        <f t="shared" si="296"/>
        <v>930359</v>
      </c>
      <c r="Q101" s="68">
        <f t="shared" si="297"/>
        <v>27525</v>
      </c>
      <c r="R101" s="418">
        <v>12410</v>
      </c>
      <c r="S101" s="419">
        <f t="shared" si="298"/>
        <v>3.7344999999999997</v>
      </c>
      <c r="T101" s="420">
        <v>3.4285999999999999</v>
      </c>
      <c r="U101" s="527">
        <v>0.30590000000000001</v>
      </c>
      <c r="V101" s="427">
        <f t="shared" si="299"/>
        <v>0</v>
      </c>
      <c r="W101" s="421">
        <f t="shared" si="299"/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 t="shared" si="300"/>
        <v>0</v>
      </c>
      <c r="AG101" s="421">
        <f t="shared" si="301"/>
        <v>0</v>
      </c>
      <c r="AH101" s="421">
        <f t="shared" si="302"/>
        <v>0</v>
      </c>
      <c r="AI101" s="421">
        <v>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303"/>
        <v>0</v>
      </c>
      <c r="AP101" s="421">
        <f t="shared" si="304"/>
        <v>0</v>
      </c>
      <c r="AQ101" s="421">
        <f t="shared" si="305"/>
        <v>0</v>
      </c>
      <c r="AR101" s="421">
        <f t="shared" si="306"/>
        <v>0</v>
      </c>
      <c r="AS101" s="421">
        <f t="shared" si="307"/>
        <v>0</v>
      </c>
      <c r="AT101" s="421">
        <f t="shared" si="308"/>
        <v>0</v>
      </c>
      <c r="AU101" s="68">
        <f t="shared" si="309"/>
        <v>0</v>
      </c>
      <c r="AV101" s="68">
        <f t="shared" si="310"/>
        <v>0</v>
      </c>
      <c r="AW101" s="421">
        <v>0</v>
      </c>
      <c r="AX101" s="421">
        <v>0</v>
      </c>
      <c r="AY101" s="421">
        <f t="shared" si="311"/>
        <v>0</v>
      </c>
      <c r="AZ101" s="421">
        <f t="shared" si="312"/>
        <v>0</v>
      </c>
      <c r="BA101" s="422">
        <v>0</v>
      </c>
      <c r="BB101" s="422">
        <v>0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 t="shared" si="313"/>
        <v>0</v>
      </c>
      <c r="BL101" s="422">
        <f t="shared" si="314"/>
        <v>0</v>
      </c>
      <c r="BM101" s="611">
        <f t="shared" si="315"/>
        <v>0</v>
      </c>
      <c r="BN101" s="428">
        <f t="shared" si="316"/>
        <v>3722836</v>
      </c>
      <c r="BO101" s="421">
        <f t="shared" si="317"/>
        <v>2752542</v>
      </c>
      <c r="BP101" s="421">
        <f t="shared" si="318"/>
        <v>2650048</v>
      </c>
      <c r="BQ101" s="421">
        <f t="shared" si="319"/>
        <v>102494</v>
      </c>
      <c r="BR101" s="421">
        <f t="shared" si="320"/>
        <v>0</v>
      </c>
      <c r="BS101" s="421">
        <f t="shared" si="321"/>
        <v>0</v>
      </c>
      <c r="BT101" s="421">
        <f t="shared" si="322"/>
        <v>0</v>
      </c>
      <c r="BU101" s="421">
        <f t="shared" si="323"/>
        <v>930359</v>
      </c>
      <c r="BV101" s="421">
        <f t="shared" si="324"/>
        <v>27525</v>
      </c>
      <c r="BW101" s="421">
        <f t="shared" si="325"/>
        <v>12410</v>
      </c>
      <c r="BX101" s="422">
        <f t="shared" si="326"/>
        <v>3.7344999999999997</v>
      </c>
      <c r="BY101" s="422">
        <f t="shared" si="327"/>
        <v>3.4285999999999999</v>
      </c>
      <c r="BZ101" s="611">
        <f t="shared" si="328"/>
        <v>0.30590000000000001</v>
      </c>
      <c r="CA101" s="423"/>
      <c r="CB101" s="418"/>
      <c r="CC101" s="418"/>
      <c r="CD101" s="418"/>
      <c r="CE101" s="418"/>
      <c r="CF101" s="527"/>
    </row>
    <row r="102" spans="1:84" s="222" customFormat="1" x14ac:dyDescent="0.2">
      <c r="A102" s="210">
        <v>18</v>
      </c>
      <c r="B102" s="211">
        <v>4479</v>
      </c>
      <c r="C102" s="211">
        <v>600075150</v>
      </c>
      <c r="D102" s="211">
        <v>70982228</v>
      </c>
      <c r="E102" s="209" t="s">
        <v>180</v>
      </c>
      <c r="F102" s="211">
        <v>3124</v>
      </c>
      <c r="G102" s="165" t="s">
        <v>301</v>
      </c>
      <c r="H102" s="699" t="s">
        <v>271</v>
      </c>
      <c r="I102" s="528">
        <f t="shared" si="293"/>
        <v>387271</v>
      </c>
      <c r="J102" s="418">
        <f t="shared" si="294"/>
        <v>287293</v>
      </c>
      <c r="K102" s="418">
        <v>287293</v>
      </c>
      <c r="L102" s="418">
        <v>0</v>
      </c>
      <c r="M102" s="418">
        <f t="shared" si="295"/>
        <v>0</v>
      </c>
      <c r="N102" s="418"/>
      <c r="O102" s="418"/>
      <c r="P102" s="68">
        <f t="shared" si="296"/>
        <v>97105</v>
      </c>
      <c r="Q102" s="68">
        <f t="shared" si="297"/>
        <v>2873</v>
      </c>
      <c r="R102" s="418">
        <v>0</v>
      </c>
      <c r="S102" s="419">
        <f t="shared" si="298"/>
        <v>0.88890000000000002</v>
      </c>
      <c r="T102" s="420">
        <v>0.88890000000000002</v>
      </c>
      <c r="U102" s="527">
        <v>0</v>
      </c>
      <c r="V102" s="427">
        <f t="shared" si="299"/>
        <v>0</v>
      </c>
      <c r="W102" s="421">
        <f t="shared" si="299"/>
        <v>0</v>
      </c>
      <c r="X102" s="421">
        <v>0</v>
      </c>
      <c r="Y102" s="421">
        <v>0</v>
      </c>
      <c r="Z102" s="421">
        <v>0</v>
      </c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f t="shared" si="300"/>
        <v>0</v>
      </c>
      <c r="AG102" s="421">
        <f t="shared" si="301"/>
        <v>0</v>
      </c>
      <c r="AH102" s="421">
        <f t="shared" si="302"/>
        <v>0</v>
      </c>
      <c r="AI102" s="421">
        <v>0</v>
      </c>
      <c r="AJ102" s="421">
        <v>0</v>
      </c>
      <c r="AK102" s="421">
        <v>0</v>
      </c>
      <c r="AL102" s="421">
        <v>0</v>
      </c>
      <c r="AM102" s="421">
        <v>0</v>
      </c>
      <c r="AN102" s="421">
        <v>0</v>
      </c>
      <c r="AO102" s="421">
        <f t="shared" si="303"/>
        <v>0</v>
      </c>
      <c r="AP102" s="421">
        <f t="shared" si="304"/>
        <v>0</v>
      </c>
      <c r="AQ102" s="421">
        <f t="shared" si="305"/>
        <v>0</v>
      </c>
      <c r="AR102" s="421">
        <f t="shared" si="306"/>
        <v>0</v>
      </c>
      <c r="AS102" s="421">
        <f t="shared" si="307"/>
        <v>0</v>
      </c>
      <c r="AT102" s="421">
        <f t="shared" si="308"/>
        <v>0</v>
      </c>
      <c r="AU102" s="68">
        <f t="shared" si="309"/>
        <v>0</v>
      </c>
      <c r="AV102" s="68">
        <f t="shared" si="310"/>
        <v>0</v>
      </c>
      <c r="AW102" s="421">
        <v>0</v>
      </c>
      <c r="AX102" s="421">
        <v>0</v>
      </c>
      <c r="AY102" s="421">
        <f t="shared" si="311"/>
        <v>0</v>
      </c>
      <c r="AZ102" s="421">
        <f t="shared" si="312"/>
        <v>0</v>
      </c>
      <c r="BA102" s="422">
        <v>0</v>
      </c>
      <c r="BB102" s="422">
        <v>0</v>
      </c>
      <c r="BC102" s="422">
        <v>0</v>
      </c>
      <c r="BD102" s="422">
        <v>0</v>
      </c>
      <c r="BE102" s="422">
        <v>0</v>
      </c>
      <c r="BF102" s="422">
        <v>0</v>
      </c>
      <c r="BG102" s="422">
        <v>0</v>
      </c>
      <c r="BH102" s="422">
        <v>0</v>
      </c>
      <c r="BI102" s="422">
        <v>0</v>
      </c>
      <c r="BJ102" s="422">
        <v>0</v>
      </c>
      <c r="BK102" s="422">
        <f t="shared" si="313"/>
        <v>0</v>
      </c>
      <c r="BL102" s="422">
        <f t="shared" si="314"/>
        <v>0</v>
      </c>
      <c r="BM102" s="611">
        <f t="shared" si="315"/>
        <v>0</v>
      </c>
      <c r="BN102" s="428">
        <f t="shared" si="316"/>
        <v>387271</v>
      </c>
      <c r="BO102" s="421">
        <f t="shared" si="317"/>
        <v>287293</v>
      </c>
      <c r="BP102" s="421">
        <f t="shared" si="318"/>
        <v>287293</v>
      </c>
      <c r="BQ102" s="421">
        <f t="shared" si="319"/>
        <v>0</v>
      </c>
      <c r="BR102" s="421">
        <f t="shared" si="320"/>
        <v>0</v>
      </c>
      <c r="BS102" s="421">
        <f t="shared" si="321"/>
        <v>0</v>
      </c>
      <c r="BT102" s="421">
        <f t="shared" si="322"/>
        <v>0</v>
      </c>
      <c r="BU102" s="421">
        <f t="shared" si="323"/>
        <v>97105</v>
      </c>
      <c r="BV102" s="421">
        <f t="shared" si="324"/>
        <v>2873</v>
      </c>
      <c r="BW102" s="421">
        <f t="shared" si="325"/>
        <v>0</v>
      </c>
      <c r="BX102" s="422">
        <f t="shared" si="326"/>
        <v>0.88890000000000002</v>
      </c>
      <c r="BY102" s="422">
        <f t="shared" si="327"/>
        <v>0.88890000000000002</v>
      </c>
      <c r="BZ102" s="611">
        <f t="shared" si="328"/>
        <v>0</v>
      </c>
      <c r="CA102" s="423"/>
      <c r="CB102" s="418"/>
      <c r="CC102" s="418"/>
      <c r="CD102" s="418"/>
      <c r="CE102" s="418"/>
      <c r="CF102" s="527"/>
    </row>
    <row r="103" spans="1:84" s="222" customFormat="1" x14ac:dyDescent="0.2">
      <c r="A103" s="210">
        <v>18</v>
      </c>
      <c r="B103" s="211">
        <v>4479</v>
      </c>
      <c r="C103" s="211">
        <v>600075150</v>
      </c>
      <c r="D103" s="211">
        <v>70982228</v>
      </c>
      <c r="E103" s="205" t="s">
        <v>180</v>
      </c>
      <c r="F103" s="211">
        <v>3141</v>
      </c>
      <c r="G103" s="165" t="s">
        <v>295</v>
      </c>
      <c r="H103" s="699" t="s">
        <v>272</v>
      </c>
      <c r="I103" s="528">
        <f t="shared" si="293"/>
        <v>1132545</v>
      </c>
      <c r="J103" s="418">
        <f t="shared" si="294"/>
        <v>835935</v>
      </c>
      <c r="K103" s="418">
        <v>0</v>
      </c>
      <c r="L103" s="418">
        <v>835935</v>
      </c>
      <c r="M103" s="418">
        <f t="shared" si="295"/>
        <v>0</v>
      </c>
      <c r="N103" s="418"/>
      <c r="O103" s="418"/>
      <c r="P103" s="68">
        <f t="shared" si="296"/>
        <v>282546</v>
      </c>
      <c r="Q103" s="68">
        <f t="shared" si="297"/>
        <v>8359</v>
      </c>
      <c r="R103" s="418">
        <v>5705</v>
      </c>
      <c r="S103" s="419">
        <f t="shared" si="298"/>
        <v>2.5099999999999998</v>
      </c>
      <c r="T103" s="420">
        <v>0</v>
      </c>
      <c r="U103" s="527">
        <v>2.5099999999999998</v>
      </c>
      <c r="V103" s="427">
        <f t="shared" si="299"/>
        <v>0</v>
      </c>
      <c r="W103" s="421">
        <f t="shared" si="299"/>
        <v>0</v>
      </c>
      <c r="X103" s="421">
        <v>0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 t="shared" si="300"/>
        <v>0</v>
      </c>
      <c r="AG103" s="421">
        <f t="shared" si="301"/>
        <v>0</v>
      </c>
      <c r="AH103" s="421">
        <f t="shared" si="302"/>
        <v>0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303"/>
        <v>0</v>
      </c>
      <c r="AP103" s="421">
        <f t="shared" si="304"/>
        <v>0</v>
      </c>
      <c r="AQ103" s="421">
        <f t="shared" si="305"/>
        <v>0</v>
      </c>
      <c r="AR103" s="421">
        <f t="shared" si="306"/>
        <v>0</v>
      </c>
      <c r="AS103" s="421">
        <f t="shared" si="307"/>
        <v>0</v>
      </c>
      <c r="AT103" s="421">
        <f t="shared" si="308"/>
        <v>0</v>
      </c>
      <c r="AU103" s="68">
        <f t="shared" si="309"/>
        <v>0</v>
      </c>
      <c r="AV103" s="68">
        <f t="shared" si="310"/>
        <v>0</v>
      </c>
      <c r="AW103" s="421">
        <v>0</v>
      </c>
      <c r="AX103" s="421">
        <v>0</v>
      </c>
      <c r="AY103" s="421">
        <f t="shared" si="311"/>
        <v>0</v>
      </c>
      <c r="AZ103" s="421">
        <f t="shared" si="312"/>
        <v>0</v>
      </c>
      <c r="BA103" s="422">
        <v>0</v>
      </c>
      <c r="BB103" s="422">
        <v>0</v>
      </c>
      <c r="BC103" s="422">
        <v>0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 t="shared" si="313"/>
        <v>0</v>
      </c>
      <c r="BL103" s="422">
        <f t="shared" si="314"/>
        <v>0</v>
      </c>
      <c r="BM103" s="611">
        <f t="shared" si="315"/>
        <v>0</v>
      </c>
      <c r="BN103" s="428">
        <f t="shared" si="316"/>
        <v>1132545</v>
      </c>
      <c r="BO103" s="421">
        <f t="shared" si="317"/>
        <v>835935</v>
      </c>
      <c r="BP103" s="421">
        <f t="shared" si="318"/>
        <v>0</v>
      </c>
      <c r="BQ103" s="421">
        <f t="shared" si="319"/>
        <v>835935</v>
      </c>
      <c r="BR103" s="421">
        <f t="shared" si="320"/>
        <v>0</v>
      </c>
      <c r="BS103" s="421">
        <f t="shared" si="321"/>
        <v>0</v>
      </c>
      <c r="BT103" s="421">
        <f t="shared" si="322"/>
        <v>0</v>
      </c>
      <c r="BU103" s="421">
        <f t="shared" si="323"/>
        <v>282546</v>
      </c>
      <c r="BV103" s="421">
        <f t="shared" si="324"/>
        <v>8359</v>
      </c>
      <c r="BW103" s="421">
        <f t="shared" si="325"/>
        <v>5705</v>
      </c>
      <c r="BX103" s="422">
        <f t="shared" si="326"/>
        <v>2.5099999999999998</v>
      </c>
      <c r="BY103" s="422">
        <f t="shared" si="327"/>
        <v>0</v>
      </c>
      <c r="BZ103" s="611">
        <f t="shared" si="328"/>
        <v>2.5099999999999998</v>
      </c>
      <c r="CA103" s="423"/>
      <c r="CB103" s="418"/>
      <c r="CC103" s="418"/>
      <c r="CD103" s="418"/>
      <c r="CE103" s="418"/>
      <c r="CF103" s="527"/>
    </row>
    <row r="104" spans="1:84" s="222" customFormat="1" x14ac:dyDescent="0.2">
      <c r="A104" s="210">
        <v>18</v>
      </c>
      <c r="B104" s="211">
        <v>4479</v>
      </c>
      <c r="C104" s="211">
        <v>600075150</v>
      </c>
      <c r="D104" s="211">
        <v>70982228</v>
      </c>
      <c r="E104" s="209" t="s">
        <v>180</v>
      </c>
      <c r="F104" s="211">
        <v>3143</v>
      </c>
      <c r="G104" s="165" t="s">
        <v>596</v>
      </c>
      <c r="H104" s="686" t="s">
        <v>271</v>
      </c>
      <c r="I104" s="528">
        <f t="shared" si="293"/>
        <v>2741336</v>
      </c>
      <c r="J104" s="418">
        <f t="shared" si="294"/>
        <v>2033632</v>
      </c>
      <c r="K104" s="418">
        <v>2033632</v>
      </c>
      <c r="L104" s="418">
        <v>0</v>
      </c>
      <c r="M104" s="418">
        <f t="shared" si="295"/>
        <v>0</v>
      </c>
      <c r="N104" s="418"/>
      <c r="O104" s="418"/>
      <c r="P104" s="68">
        <f t="shared" si="296"/>
        <v>687368</v>
      </c>
      <c r="Q104" s="68">
        <f t="shared" si="297"/>
        <v>20336</v>
      </c>
      <c r="R104" s="418">
        <v>0</v>
      </c>
      <c r="S104" s="419">
        <f t="shared" si="298"/>
        <v>4.0536000000000003</v>
      </c>
      <c r="T104" s="420">
        <v>4.0536000000000003</v>
      </c>
      <c r="U104" s="527">
        <v>0</v>
      </c>
      <c r="V104" s="427">
        <f t="shared" si="299"/>
        <v>0</v>
      </c>
      <c r="W104" s="421">
        <f t="shared" si="299"/>
        <v>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 t="shared" si="300"/>
        <v>0</v>
      </c>
      <c r="AG104" s="421">
        <f t="shared" si="301"/>
        <v>0</v>
      </c>
      <c r="AH104" s="421">
        <f t="shared" si="302"/>
        <v>0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303"/>
        <v>0</v>
      </c>
      <c r="AP104" s="421">
        <f t="shared" si="304"/>
        <v>0</v>
      </c>
      <c r="AQ104" s="421">
        <f t="shared" si="305"/>
        <v>0</v>
      </c>
      <c r="AR104" s="421">
        <f t="shared" si="306"/>
        <v>0</v>
      </c>
      <c r="AS104" s="421">
        <f t="shared" si="307"/>
        <v>0</v>
      </c>
      <c r="AT104" s="421">
        <f t="shared" si="308"/>
        <v>0</v>
      </c>
      <c r="AU104" s="68">
        <f t="shared" si="309"/>
        <v>0</v>
      </c>
      <c r="AV104" s="68">
        <f t="shared" si="310"/>
        <v>0</v>
      </c>
      <c r="AW104" s="421">
        <v>0</v>
      </c>
      <c r="AX104" s="421">
        <v>0</v>
      </c>
      <c r="AY104" s="421">
        <f t="shared" si="311"/>
        <v>0</v>
      </c>
      <c r="AZ104" s="421">
        <f t="shared" si="312"/>
        <v>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 t="shared" si="313"/>
        <v>0</v>
      </c>
      <c r="BL104" s="422">
        <f t="shared" si="314"/>
        <v>0</v>
      </c>
      <c r="BM104" s="611">
        <f t="shared" si="315"/>
        <v>0</v>
      </c>
      <c r="BN104" s="428">
        <f t="shared" si="316"/>
        <v>2741336</v>
      </c>
      <c r="BO104" s="421">
        <f t="shared" si="317"/>
        <v>2033632</v>
      </c>
      <c r="BP104" s="421">
        <f t="shared" si="318"/>
        <v>2033632</v>
      </c>
      <c r="BQ104" s="421">
        <f t="shared" si="319"/>
        <v>0</v>
      </c>
      <c r="BR104" s="421">
        <f t="shared" si="320"/>
        <v>0</v>
      </c>
      <c r="BS104" s="421">
        <f t="shared" si="321"/>
        <v>0</v>
      </c>
      <c r="BT104" s="421">
        <f t="shared" si="322"/>
        <v>0</v>
      </c>
      <c r="BU104" s="421">
        <f t="shared" si="323"/>
        <v>687368</v>
      </c>
      <c r="BV104" s="421">
        <f t="shared" si="324"/>
        <v>20336</v>
      </c>
      <c r="BW104" s="421">
        <f t="shared" si="325"/>
        <v>0</v>
      </c>
      <c r="BX104" s="422">
        <f t="shared" si="326"/>
        <v>4.0536000000000003</v>
      </c>
      <c r="BY104" s="422">
        <f t="shared" si="327"/>
        <v>4.0536000000000003</v>
      </c>
      <c r="BZ104" s="611">
        <f t="shared" si="328"/>
        <v>0</v>
      </c>
      <c r="CA104" s="423"/>
      <c r="CB104" s="418"/>
      <c r="CC104" s="418"/>
      <c r="CD104" s="418"/>
      <c r="CE104" s="418"/>
      <c r="CF104" s="527"/>
    </row>
    <row r="105" spans="1:84" s="222" customFormat="1" x14ac:dyDescent="0.2">
      <c r="A105" s="210">
        <v>18</v>
      </c>
      <c r="B105" s="211">
        <v>4479</v>
      </c>
      <c r="C105" s="211">
        <v>600075150</v>
      </c>
      <c r="D105" s="211">
        <v>70982228</v>
      </c>
      <c r="E105" s="209" t="s">
        <v>180</v>
      </c>
      <c r="F105" s="211">
        <v>3143</v>
      </c>
      <c r="G105" s="165" t="s">
        <v>597</v>
      </c>
      <c r="H105" s="686" t="s">
        <v>272</v>
      </c>
      <c r="I105" s="528">
        <f t="shared" si="293"/>
        <v>24049</v>
      </c>
      <c r="J105" s="418">
        <f t="shared" si="294"/>
        <v>17213</v>
      </c>
      <c r="K105" s="418">
        <v>0</v>
      </c>
      <c r="L105" s="418">
        <v>17213</v>
      </c>
      <c r="M105" s="418">
        <f t="shared" si="295"/>
        <v>0</v>
      </c>
      <c r="N105" s="418"/>
      <c r="O105" s="418"/>
      <c r="P105" s="68">
        <f t="shared" si="296"/>
        <v>5818</v>
      </c>
      <c r="Q105" s="68">
        <f t="shared" si="297"/>
        <v>172</v>
      </c>
      <c r="R105" s="418">
        <v>846</v>
      </c>
      <c r="S105" s="419">
        <f t="shared" si="298"/>
        <v>0.06</v>
      </c>
      <c r="T105" s="420">
        <v>0</v>
      </c>
      <c r="U105" s="527">
        <v>0.06</v>
      </c>
      <c r="V105" s="427">
        <f t="shared" si="299"/>
        <v>0</v>
      </c>
      <c r="W105" s="421">
        <f t="shared" si="299"/>
        <v>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f t="shared" si="300"/>
        <v>0</v>
      </c>
      <c r="AG105" s="421">
        <f t="shared" si="301"/>
        <v>0</v>
      </c>
      <c r="AH105" s="421">
        <f t="shared" si="302"/>
        <v>0</v>
      </c>
      <c r="AI105" s="421">
        <v>0</v>
      </c>
      <c r="AJ105" s="421">
        <v>0</v>
      </c>
      <c r="AK105" s="421">
        <v>0</v>
      </c>
      <c r="AL105" s="421">
        <v>0</v>
      </c>
      <c r="AM105" s="421">
        <v>0</v>
      </c>
      <c r="AN105" s="421">
        <v>0</v>
      </c>
      <c r="AO105" s="421">
        <f t="shared" si="303"/>
        <v>0</v>
      </c>
      <c r="AP105" s="421">
        <f t="shared" si="304"/>
        <v>0</v>
      </c>
      <c r="AQ105" s="421">
        <f t="shared" si="305"/>
        <v>0</v>
      </c>
      <c r="AR105" s="421">
        <f t="shared" si="306"/>
        <v>0</v>
      </c>
      <c r="AS105" s="421">
        <f t="shared" si="307"/>
        <v>0</v>
      </c>
      <c r="AT105" s="421">
        <f t="shared" si="308"/>
        <v>0</v>
      </c>
      <c r="AU105" s="68">
        <f t="shared" si="309"/>
        <v>0</v>
      </c>
      <c r="AV105" s="68">
        <f t="shared" si="310"/>
        <v>0</v>
      </c>
      <c r="AW105" s="421">
        <v>0</v>
      </c>
      <c r="AX105" s="421">
        <v>0</v>
      </c>
      <c r="AY105" s="421">
        <f t="shared" si="311"/>
        <v>0</v>
      </c>
      <c r="AZ105" s="421">
        <f t="shared" si="312"/>
        <v>0</v>
      </c>
      <c r="BA105" s="422">
        <v>0</v>
      </c>
      <c r="BB105" s="422">
        <v>0</v>
      </c>
      <c r="BC105" s="422">
        <v>0</v>
      </c>
      <c r="BD105" s="422">
        <v>0</v>
      </c>
      <c r="BE105" s="422">
        <v>0</v>
      </c>
      <c r="BF105" s="422">
        <v>0</v>
      </c>
      <c r="BG105" s="422">
        <v>0</v>
      </c>
      <c r="BH105" s="422">
        <v>0</v>
      </c>
      <c r="BI105" s="422">
        <v>0</v>
      </c>
      <c r="BJ105" s="422">
        <v>0</v>
      </c>
      <c r="BK105" s="422">
        <f t="shared" si="313"/>
        <v>0</v>
      </c>
      <c r="BL105" s="422">
        <f t="shared" si="314"/>
        <v>0</v>
      </c>
      <c r="BM105" s="611">
        <f t="shared" si="315"/>
        <v>0</v>
      </c>
      <c r="BN105" s="428">
        <f t="shared" si="316"/>
        <v>24049</v>
      </c>
      <c r="BO105" s="421">
        <f t="shared" si="317"/>
        <v>17213</v>
      </c>
      <c r="BP105" s="421">
        <f t="shared" si="318"/>
        <v>0</v>
      </c>
      <c r="BQ105" s="421">
        <f t="shared" si="319"/>
        <v>17213</v>
      </c>
      <c r="BR105" s="421">
        <f t="shared" si="320"/>
        <v>0</v>
      </c>
      <c r="BS105" s="421">
        <f t="shared" si="321"/>
        <v>0</v>
      </c>
      <c r="BT105" s="421">
        <f t="shared" si="322"/>
        <v>0</v>
      </c>
      <c r="BU105" s="421">
        <f t="shared" si="323"/>
        <v>5818</v>
      </c>
      <c r="BV105" s="421">
        <f t="shared" si="324"/>
        <v>172</v>
      </c>
      <c r="BW105" s="421">
        <f t="shared" si="325"/>
        <v>846</v>
      </c>
      <c r="BX105" s="422">
        <f t="shared" si="326"/>
        <v>0.06</v>
      </c>
      <c r="BY105" s="422">
        <f t="shared" si="327"/>
        <v>0</v>
      </c>
      <c r="BZ105" s="611">
        <f t="shared" si="328"/>
        <v>0.06</v>
      </c>
      <c r="CA105" s="423"/>
      <c r="CB105" s="418"/>
      <c r="CC105" s="418"/>
      <c r="CD105" s="418"/>
      <c r="CE105" s="418"/>
      <c r="CF105" s="527"/>
    </row>
    <row r="106" spans="1:84" s="222" customFormat="1" x14ac:dyDescent="0.2">
      <c r="A106" s="210">
        <v>18</v>
      </c>
      <c r="B106" s="211">
        <v>4479</v>
      </c>
      <c r="C106" s="211">
        <v>600075150</v>
      </c>
      <c r="D106" s="211">
        <v>70982228</v>
      </c>
      <c r="E106" s="209" t="s">
        <v>180</v>
      </c>
      <c r="F106" s="211">
        <v>3143</v>
      </c>
      <c r="G106" s="165" t="s">
        <v>297</v>
      </c>
      <c r="H106" s="686" t="s">
        <v>272</v>
      </c>
      <c r="I106" s="528">
        <f t="shared" si="293"/>
        <v>226721</v>
      </c>
      <c r="J106" s="418">
        <f t="shared" si="294"/>
        <v>168031</v>
      </c>
      <c r="K106" s="418">
        <v>161431</v>
      </c>
      <c r="L106" s="418">
        <v>6600</v>
      </c>
      <c r="M106" s="418">
        <f t="shared" si="295"/>
        <v>0</v>
      </c>
      <c r="N106" s="418"/>
      <c r="O106" s="418"/>
      <c r="P106" s="68">
        <f t="shared" si="296"/>
        <v>56794</v>
      </c>
      <c r="Q106" s="68">
        <f t="shared" si="297"/>
        <v>1680</v>
      </c>
      <c r="R106" s="418">
        <v>216</v>
      </c>
      <c r="S106" s="419">
        <f t="shared" si="298"/>
        <v>0.35</v>
      </c>
      <c r="T106" s="420">
        <v>0.32</v>
      </c>
      <c r="U106" s="527">
        <v>0.03</v>
      </c>
      <c r="V106" s="427">
        <f t="shared" si="299"/>
        <v>0</v>
      </c>
      <c r="W106" s="421">
        <f t="shared" si="299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si="300"/>
        <v>0</v>
      </c>
      <c r="AG106" s="421">
        <f t="shared" si="301"/>
        <v>0</v>
      </c>
      <c r="AH106" s="421">
        <f t="shared" si="302"/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303"/>
        <v>0</v>
      </c>
      <c r="AP106" s="421">
        <f t="shared" si="304"/>
        <v>0</v>
      </c>
      <c r="AQ106" s="421">
        <f t="shared" si="305"/>
        <v>0</v>
      </c>
      <c r="AR106" s="421">
        <f t="shared" si="306"/>
        <v>0</v>
      </c>
      <c r="AS106" s="421">
        <f t="shared" si="307"/>
        <v>0</v>
      </c>
      <c r="AT106" s="421">
        <f t="shared" si="308"/>
        <v>0</v>
      </c>
      <c r="AU106" s="68">
        <f t="shared" si="309"/>
        <v>0</v>
      </c>
      <c r="AV106" s="68">
        <f t="shared" si="310"/>
        <v>0</v>
      </c>
      <c r="AW106" s="421">
        <v>0</v>
      </c>
      <c r="AX106" s="421">
        <v>0</v>
      </c>
      <c r="AY106" s="421">
        <f t="shared" si="311"/>
        <v>0</v>
      </c>
      <c r="AZ106" s="421">
        <f t="shared" si="312"/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 t="shared" si="313"/>
        <v>0</v>
      </c>
      <c r="BL106" s="422">
        <f t="shared" si="314"/>
        <v>0</v>
      </c>
      <c r="BM106" s="611">
        <f t="shared" si="315"/>
        <v>0</v>
      </c>
      <c r="BN106" s="428">
        <f t="shared" si="316"/>
        <v>226721</v>
      </c>
      <c r="BO106" s="421">
        <f t="shared" si="317"/>
        <v>168031</v>
      </c>
      <c r="BP106" s="421">
        <f t="shared" si="318"/>
        <v>161431</v>
      </c>
      <c r="BQ106" s="421">
        <f t="shared" si="319"/>
        <v>6600</v>
      </c>
      <c r="BR106" s="421">
        <f t="shared" si="320"/>
        <v>0</v>
      </c>
      <c r="BS106" s="421">
        <f t="shared" si="321"/>
        <v>0</v>
      </c>
      <c r="BT106" s="421">
        <f t="shared" si="322"/>
        <v>0</v>
      </c>
      <c r="BU106" s="421">
        <f t="shared" si="323"/>
        <v>56794</v>
      </c>
      <c r="BV106" s="421">
        <f t="shared" si="324"/>
        <v>1680</v>
      </c>
      <c r="BW106" s="421">
        <f t="shared" si="325"/>
        <v>216</v>
      </c>
      <c r="BX106" s="422">
        <f t="shared" si="326"/>
        <v>0.35</v>
      </c>
      <c r="BY106" s="422">
        <f t="shared" si="327"/>
        <v>0.32</v>
      </c>
      <c r="BZ106" s="611">
        <f t="shared" si="328"/>
        <v>0.03</v>
      </c>
      <c r="CA106" s="423"/>
      <c r="CB106" s="418"/>
      <c r="CC106" s="418"/>
      <c r="CD106" s="418"/>
      <c r="CE106" s="418"/>
      <c r="CF106" s="527"/>
    </row>
    <row r="107" spans="1:84" s="222" customFormat="1" x14ac:dyDescent="0.2">
      <c r="A107" s="155">
        <v>18</v>
      </c>
      <c r="B107" s="18">
        <v>4479</v>
      </c>
      <c r="C107" s="18">
        <v>600075150</v>
      </c>
      <c r="D107" s="18">
        <v>70982228</v>
      </c>
      <c r="E107" s="164" t="s">
        <v>181</v>
      </c>
      <c r="F107" s="18"/>
      <c r="G107" s="154"/>
      <c r="H107" s="685"/>
      <c r="I107" s="458">
        <f t="shared" ref="I107:BT107" si="329">SUM(I97:I106)</f>
        <v>62229211</v>
      </c>
      <c r="J107" s="451">
        <f t="shared" si="329"/>
        <v>45908233</v>
      </c>
      <c r="K107" s="451">
        <f t="shared" si="329"/>
        <v>42580127</v>
      </c>
      <c r="L107" s="451">
        <f t="shared" si="329"/>
        <v>3328106</v>
      </c>
      <c r="M107" s="451">
        <f t="shared" si="329"/>
        <v>0</v>
      </c>
      <c r="N107" s="451">
        <f t="shared" si="329"/>
        <v>0</v>
      </c>
      <c r="O107" s="451">
        <f t="shared" si="329"/>
        <v>0</v>
      </c>
      <c r="P107" s="451">
        <f t="shared" si="329"/>
        <v>15516982</v>
      </c>
      <c r="Q107" s="451">
        <f t="shared" si="329"/>
        <v>459082</v>
      </c>
      <c r="R107" s="451">
        <f t="shared" si="329"/>
        <v>344914</v>
      </c>
      <c r="S107" s="452">
        <f t="shared" si="329"/>
        <v>79.647000000000006</v>
      </c>
      <c r="T107" s="452">
        <f t="shared" si="329"/>
        <v>69.361000000000004</v>
      </c>
      <c r="U107" s="39">
        <f t="shared" si="329"/>
        <v>10.286000000000001</v>
      </c>
      <c r="V107" s="458">
        <f t="shared" si="329"/>
        <v>0</v>
      </c>
      <c r="W107" s="451">
        <f t="shared" si="329"/>
        <v>0</v>
      </c>
      <c r="X107" s="451">
        <f t="shared" si="329"/>
        <v>0</v>
      </c>
      <c r="Y107" s="451">
        <f t="shared" si="329"/>
        <v>0</v>
      </c>
      <c r="Z107" s="451">
        <f t="shared" si="329"/>
        <v>0</v>
      </c>
      <c r="AA107" s="451">
        <f t="shared" si="329"/>
        <v>0</v>
      </c>
      <c r="AB107" s="451">
        <f t="shared" si="329"/>
        <v>0</v>
      </c>
      <c r="AC107" s="451">
        <f t="shared" si="329"/>
        <v>0</v>
      </c>
      <c r="AD107" s="451">
        <f t="shared" si="329"/>
        <v>31438</v>
      </c>
      <c r="AE107" s="451">
        <f t="shared" si="329"/>
        <v>0</v>
      </c>
      <c r="AF107" s="451">
        <f t="shared" si="329"/>
        <v>31438</v>
      </c>
      <c r="AG107" s="451">
        <f t="shared" si="329"/>
        <v>0</v>
      </c>
      <c r="AH107" s="451">
        <f t="shared" si="329"/>
        <v>31438</v>
      </c>
      <c r="AI107" s="451">
        <f t="shared" si="329"/>
        <v>0</v>
      </c>
      <c r="AJ107" s="451">
        <f t="shared" si="329"/>
        <v>0</v>
      </c>
      <c r="AK107" s="451">
        <f t="shared" ref="AK107" si="330">SUM(AK97:AK106)</f>
        <v>0</v>
      </c>
      <c r="AL107" s="451">
        <f t="shared" si="329"/>
        <v>0</v>
      </c>
      <c r="AM107" s="451">
        <f t="shared" si="329"/>
        <v>0</v>
      </c>
      <c r="AN107" s="451">
        <f t="shared" si="329"/>
        <v>0</v>
      </c>
      <c r="AO107" s="451">
        <f t="shared" si="329"/>
        <v>0</v>
      </c>
      <c r="AP107" s="451">
        <f t="shared" si="329"/>
        <v>0</v>
      </c>
      <c r="AQ107" s="451">
        <f t="shared" si="329"/>
        <v>0</v>
      </c>
      <c r="AR107" s="451">
        <f t="shared" si="329"/>
        <v>31438</v>
      </c>
      <c r="AS107" s="451">
        <f t="shared" si="329"/>
        <v>0</v>
      </c>
      <c r="AT107" s="451">
        <f t="shared" si="329"/>
        <v>31438</v>
      </c>
      <c r="AU107" s="451">
        <f t="shared" si="329"/>
        <v>10626</v>
      </c>
      <c r="AV107" s="451">
        <f t="shared" si="329"/>
        <v>314</v>
      </c>
      <c r="AW107" s="451">
        <f t="shared" si="329"/>
        <v>0</v>
      </c>
      <c r="AX107" s="451">
        <f t="shared" si="329"/>
        <v>0</v>
      </c>
      <c r="AY107" s="451">
        <f t="shared" si="329"/>
        <v>0</v>
      </c>
      <c r="AZ107" s="451">
        <f t="shared" si="329"/>
        <v>42378</v>
      </c>
      <c r="BA107" s="452">
        <f t="shared" si="329"/>
        <v>0</v>
      </c>
      <c r="BB107" s="452">
        <f t="shared" si="329"/>
        <v>0</v>
      </c>
      <c r="BC107" s="452">
        <f t="shared" si="329"/>
        <v>0</v>
      </c>
      <c r="BD107" s="452">
        <f t="shared" si="329"/>
        <v>0</v>
      </c>
      <c r="BE107" s="452">
        <f t="shared" si="329"/>
        <v>0</v>
      </c>
      <c r="BF107" s="452">
        <f t="shared" si="329"/>
        <v>0</v>
      </c>
      <c r="BG107" s="452">
        <f t="shared" si="329"/>
        <v>0</v>
      </c>
      <c r="BH107" s="452">
        <f t="shared" si="329"/>
        <v>0</v>
      </c>
      <c r="BI107" s="452">
        <f t="shared" si="329"/>
        <v>0.05</v>
      </c>
      <c r="BJ107" s="452">
        <f t="shared" si="329"/>
        <v>0</v>
      </c>
      <c r="BK107" s="452">
        <f t="shared" si="329"/>
        <v>0.05</v>
      </c>
      <c r="BL107" s="452">
        <f t="shared" si="329"/>
        <v>0</v>
      </c>
      <c r="BM107" s="456">
        <f t="shared" si="329"/>
        <v>0.05</v>
      </c>
      <c r="BN107" s="454">
        <f t="shared" si="329"/>
        <v>62271589</v>
      </c>
      <c r="BO107" s="451">
        <f t="shared" si="329"/>
        <v>45939671</v>
      </c>
      <c r="BP107" s="451">
        <f t="shared" si="329"/>
        <v>42611565</v>
      </c>
      <c r="BQ107" s="451">
        <f t="shared" si="329"/>
        <v>3328106</v>
      </c>
      <c r="BR107" s="451">
        <f t="shared" si="329"/>
        <v>0</v>
      </c>
      <c r="BS107" s="451">
        <f t="shared" si="329"/>
        <v>0</v>
      </c>
      <c r="BT107" s="451">
        <f t="shared" si="329"/>
        <v>0</v>
      </c>
      <c r="BU107" s="451">
        <f t="shared" ref="BU107:CF107" si="331">SUM(BU97:BU106)</f>
        <v>15527608</v>
      </c>
      <c r="BV107" s="451">
        <f t="shared" si="331"/>
        <v>459396</v>
      </c>
      <c r="BW107" s="451">
        <f t="shared" si="331"/>
        <v>344914</v>
      </c>
      <c r="BX107" s="452">
        <f t="shared" si="331"/>
        <v>79.697000000000003</v>
      </c>
      <c r="BY107" s="452">
        <f t="shared" si="331"/>
        <v>69.411000000000001</v>
      </c>
      <c r="BZ107" s="456">
        <f t="shared" si="331"/>
        <v>10.286000000000001</v>
      </c>
      <c r="CA107" s="854">
        <f t="shared" si="331"/>
        <v>0</v>
      </c>
      <c r="CB107" s="852">
        <f t="shared" si="331"/>
        <v>0</v>
      </c>
      <c r="CC107" s="852">
        <f t="shared" si="331"/>
        <v>0</v>
      </c>
      <c r="CD107" s="852">
        <f t="shared" si="331"/>
        <v>0</v>
      </c>
      <c r="CE107" s="852">
        <f t="shared" si="331"/>
        <v>0</v>
      </c>
      <c r="CF107" s="848">
        <f t="shared" si="331"/>
        <v>0</v>
      </c>
    </row>
    <row r="108" spans="1:84" s="222" customFormat="1" x14ac:dyDescent="0.2">
      <c r="A108" s="210">
        <v>19</v>
      </c>
      <c r="B108" s="211">
        <v>4473</v>
      </c>
      <c r="C108" s="211">
        <v>600075117</v>
      </c>
      <c r="D108" s="211">
        <v>62237021</v>
      </c>
      <c r="E108" s="209" t="s">
        <v>182</v>
      </c>
      <c r="F108" s="211">
        <v>3231</v>
      </c>
      <c r="G108" s="165" t="s">
        <v>296</v>
      </c>
      <c r="H108" s="699" t="s">
        <v>271</v>
      </c>
      <c r="I108" s="528">
        <f>J108+P108+Q108+R108</f>
        <v>32506866</v>
      </c>
      <c r="J108" s="418">
        <f>K108+L108</f>
        <v>24087092</v>
      </c>
      <c r="K108" s="418">
        <v>23201776</v>
      </c>
      <c r="L108" s="418">
        <v>885316</v>
      </c>
      <c r="M108" s="418">
        <f>N108+O108</f>
        <v>0</v>
      </c>
      <c r="N108" s="418"/>
      <c r="O108" s="418"/>
      <c r="P108" s="68">
        <f>ROUND(J108*33.8%,0)</f>
        <v>8141437</v>
      </c>
      <c r="Q108" s="68">
        <f>ROUND(J108*1%,0)</f>
        <v>240871</v>
      </c>
      <c r="R108" s="418">
        <v>37466</v>
      </c>
      <c r="S108" s="419">
        <f>T108+U108</f>
        <v>39.182299999999998</v>
      </c>
      <c r="T108" s="420">
        <v>36.698099999999997</v>
      </c>
      <c r="U108" s="527">
        <v>2.4842</v>
      </c>
      <c r="V108" s="427">
        <f>AI108*-1</f>
        <v>0</v>
      </c>
      <c r="W108" s="421">
        <f>AJ108*-1</f>
        <v>0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>V108+X108+Y108+AA108+AB108+AD108</f>
        <v>0</v>
      </c>
      <c r="AG108" s="421">
        <f>W108+Z108+AC108+AE108</f>
        <v>0</v>
      </c>
      <c r="AH108" s="421">
        <f>SUM(AF108:AG108)</f>
        <v>0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>AI108+AK108+AL108+AM108</f>
        <v>0</v>
      </c>
      <c r="AP108" s="421">
        <f>AJ108+AN108</f>
        <v>0</v>
      </c>
      <c r="AQ108" s="421">
        <f>SUM(AO108:AP108)</f>
        <v>0</v>
      </c>
      <c r="AR108" s="421">
        <f>AF108+AO108</f>
        <v>0</v>
      </c>
      <c r="AS108" s="421">
        <f>AG108+AP108</f>
        <v>0</v>
      </c>
      <c r="AT108" s="421">
        <f>SUM(AR108:AS108)</f>
        <v>0</v>
      </c>
      <c r="AU108" s="68">
        <f>ROUND((AH108+AI108+AJ108+AK108+AL108)*33.8%,0)</f>
        <v>0</v>
      </c>
      <c r="AV108" s="68">
        <f>ROUND(AH108*1%,0)</f>
        <v>0</v>
      </c>
      <c r="AW108" s="421">
        <v>0</v>
      </c>
      <c r="AX108" s="421">
        <v>0</v>
      </c>
      <c r="AY108" s="421">
        <f>AW108+AX108</f>
        <v>0</v>
      </c>
      <c r="AZ108" s="421">
        <f>AT108+AU108+AV108+AY108</f>
        <v>0</v>
      </c>
      <c r="BA108" s="422">
        <v>0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>BA108+BC108+BD108+BF108+BH108+BI108</f>
        <v>0</v>
      </c>
      <c r="BL108" s="422">
        <f>BB108+BE108+BG108+BJ108</f>
        <v>0</v>
      </c>
      <c r="BM108" s="611">
        <f>SUM(BK108:BL108)</f>
        <v>0</v>
      </c>
      <c r="BN108" s="428">
        <f>I108+AZ108</f>
        <v>32506866</v>
      </c>
      <c r="BO108" s="421">
        <f>J108+AH108</f>
        <v>24087092</v>
      </c>
      <c r="BP108" s="421">
        <f>K108+AF108</f>
        <v>23201776</v>
      </c>
      <c r="BQ108" s="421">
        <f>L108+AG108</f>
        <v>885316</v>
      </c>
      <c r="BR108" s="421">
        <f>M108+AQ108</f>
        <v>0</v>
      </c>
      <c r="BS108" s="421">
        <f>N108+AO108</f>
        <v>0</v>
      </c>
      <c r="BT108" s="421">
        <f>O108+AP108</f>
        <v>0</v>
      </c>
      <c r="BU108" s="421">
        <f>P108+AU108</f>
        <v>8141437</v>
      </c>
      <c r="BV108" s="421">
        <f>Q108+AV108</f>
        <v>240871</v>
      </c>
      <c r="BW108" s="421">
        <f>R108+AY108</f>
        <v>37466</v>
      </c>
      <c r="BX108" s="422">
        <f>S108+BM108</f>
        <v>39.182299999999998</v>
      </c>
      <c r="BY108" s="422">
        <f>T108+BK108</f>
        <v>36.698099999999997</v>
      </c>
      <c r="BZ108" s="611">
        <f>U108+BL108</f>
        <v>2.4842</v>
      </c>
      <c r="CA108" s="423"/>
      <c r="CB108" s="418"/>
      <c r="CC108" s="418"/>
      <c r="CD108" s="418"/>
      <c r="CE108" s="418"/>
      <c r="CF108" s="527"/>
    </row>
    <row r="109" spans="1:84" s="222" customFormat="1" x14ac:dyDescent="0.2">
      <c r="A109" s="155">
        <v>19</v>
      </c>
      <c r="B109" s="18">
        <v>4473</v>
      </c>
      <c r="C109" s="18">
        <v>600075117</v>
      </c>
      <c r="D109" s="18">
        <v>62237021</v>
      </c>
      <c r="E109" s="164" t="s">
        <v>183</v>
      </c>
      <c r="F109" s="18"/>
      <c r="G109" s="154"/>
      <c r="H109" s="685"/>
      <c r="I109" s="458">
        <f t="shared" ref="I109:BU109" si="332">SUM(I108)</f>
        <v>32506866</v>
      </c>
      <c r="J109" s="451">
        <f t="shared" si="332"/>
        <v>24087092</v>
      </c>
      <c r="K109" s="451">
        <f t="shared" si="332"/>
        <v>23201776</v>
      </c>
      <c r="L109" s="451">
        <f t="shared" si="332"/>
        <v>885316</v>
      </c>
      <c r="M109" s="451">
        <f t="shared" si="332"/>
        <v>0</v>
      </c>
      <c r="N109" s="451">
        <f t="shared" si="332"/>
        <v>0</v>
      </c>
      <c r="O109" s="451">
        <f t="shared" si="332"/>
        <v>0</v>
      </c>
      <c r="P109" s="451">
        <f t="shared" si="332"/>
        <v>8141437</v>
      </c>
      <c r="Q109" s="451">
        <f t="shared" si="332"/>
        <v>240871</v>
      </c>
      <c r="R109" s="451">
        <f t="shared" si="332"/>
        <v>37466</v>
      </c>
      <c r="S109" s="452">
        <f t="shared" si="332"/>
        <v>39.182299999999998</v>
      </c>
      <c r="T109" s="452">
        <f t="shared" si="332"/>
        <v>36.698099999999997</v>
      </c>
      <c r="U109" s="39">
        <f t="shared" si="332"/>
        <v>2.4842</v>
      </c>
      <c r="V109" s="458">
        <f t="shared" si="332"/>
        <v>0</v>
      </c>
      <c r="W109" s="451">
        <f t="shared" si="332"/>
        <v>0</v>
      </c>
      <c r="X109" s="451">
        <f t="shared" si="332"/>
        <v>0</v>
      </c>
      <c r="Y109" s="451">
        <f t="shared" si="332"/>
        <v>0</v>
      </c>
      <c r="Z109" s="451">
        <f t="shared" si="332"/>
        <v>0</v>
      </c>
      <c r="AA109" s="451">
        <f t="shared" si="332"/>
        <v>0</v>
      </c>
      <c r="AB109" s="451">
        <f t="shared" si="332"/>
        <v>0</v>
      </c>
      <c r="AC109" s="451">
        <f t="shared" si="332"/>
        <v>0</v>
      </c>
      <c r="AD109" s="451">
        <f t="shared" si="332"/>
        <v>0</v>
      </c>
      <c r="AE109" s="451">
        <f t="shared" si="332"/>
        <v>0</v>
      </c>
      <c r="AF109" s="451">
        <f t="shared" si="332"/>
        <v>0</v>
      </c>
      <c r="AG109" s="451">
        <f t="shared" si="332"/>
        <v>0</v>
      </c>
      <c r="AH109" s="451">
        <f t="shared" si="332"/>
        <v>0</v>
      </c>
      <c r="AI109" s="451">
        <f t="shared" si="332"/>
        <v>0</v>
      </c>
      <c r="AJ109" s="451">
        <f t="shared" si="332"/>
        <v>0</v>
      </c>
      <c r="AK109" s="451">
        <f t="shared" ref="AK109" si="333">SUM(AK108)</f>
        <v>0</v>
      </c>
      <c r="AL109" s="451">
        <f t="shared" si="332"/>
        <v>0</v>
      </c>
      <c r="AM109" s="451">
        <f t="shared" si="332"/>
        <v>0</v>
      </c>
      <c r="AN109" s="451">
        <f t="shared" si="332"/>
        <v>0</v>
      </c>
      <c r="AO109" s="451">
        <f t="shared" si="332"/>
        <v>0</v>
      </c>
      <c r="AP109" s="451">
        <f t="shared" si="332"/>
        <v>0</v>
      </c>
      <c r="AQ109" s="451">
        <f t="shared" si="332"/>
        <v>0</v>
      </c>
      <c r="AR109" s="451">
        <f t="shared" si="332"/>
        <v>0</v>
      </c>
      <c r="AS109" s="451">
        <f t="shared" si="332"/>
        <v>0</v>
      </c>
      <c r="AT109" s="451">
        <f t="shared" si="332"/>
        <v>0</v>
      </c>
      <c r="AU109" s="451">
        <f t="shared" si="332"/>
        <v>0</v>
      </c>
      <c r="AV109" s="451">
        <f t="shared" si="332"/>
        <v>0</v>
      </c>
      <c r="AW109" s="451">
        <f t="shared" si="332"/>
        <v>0</v>
      </c>
      <c r="AX109" s="451">
        <f t="shared" si="332"/>
        <v>0</v>
      </c>
      <c r="AY109" s="451">
        <f t="shared" si="332"/>
        <v>0</v>
      </c>
      <c r="AZ109" s="451">
        <f t="shared" si="332"/>
        <v>0</v>
      </c>
      <c r="BA109" s="452">
        <f t="shared" si="332"/>
        <v>0</v>
      </c>
      <c r="BB109" s="452">
        <f t="shared" si="332"/>
        <v>0</v>
      </c>
      <c r="BC109" s="452">
        <f t="shared" si="332"/>
        <v>0</v>
      </c>
      <c r="BD109" s="452">
        <f t="shared" si="332"/>
        <v>0</v>
      </c>
      <c r="BE109" s="452">
        <f t="shared" si="332"/>
        <v>0</v>
      </c>
      <c r="BF109" s="452">
        <f t="shared" si="332"/>
        <v>0</v>
      </c>
      <c r="BG109" s="452">
        <f t="shared" si="332"/>
        <v>0</v>
      </c>
      <c r="BH109" s="452">
        <f t="shared" si="332"/>
        <v>0</v>
      </c>
      <c r="BI109" s="452">
        <f t="shared" si="332"/>
        <v>0</v>
      </c>
      <c r="BJ109" s="452">
        <f t="shared" si="332"/>
        <v>0</v>
      </c>
      <c r="BK109" s="452">
        <f t="shared" si="332"/>
        <v>0</v>
      </c>
      <c r="BL109" s="452">
        <f t="shared" si="332"/>
        <v>0</v>
      </c>
      <c r="BM109" s="456">
        <f t="shared" si="332"/>
        <v>0</v>
      </c>
      <c r="BN109" s="454">
        <f t="shared" si="332"/>
        <v>32506866</v>
      </c>
      <c r="BO109" s="451">
        <f t="shared" si="332"/>
        <v>24087092</v>
      </c>
      <c r="BP109" s="451">
        <f t="shared" si="332"/>
        <v>23201776</v>
      </c>
      <c r="BQ109" s="451">
        <f t="shared" si="332"/>
        <v>885316</v>
      </c>
      <c r="BR109" s="451">
        <f t="shared" si="332"/>
        <v>0</v>
      </c>
      <c r="BS109" s="451">
        <f t="shared" si="332"/>
        <v>0</v>
      </c>
      <c r="BT109" s="451">
        <f t="shared" si="332"/>
        <v>0</v>
      </c>
      <c r="BU109" s="451">
        <f t="shared" si="332"/>
        <v>8141437</v>
      </c>
      <c r="BV109" s="451">
        <f t="shared" ref="BV109:CF109" si="334">SUM(BV108)</f>
        <v>240871</v>
      </c>
      <c r="BW109" s="451">
        <f t="shared" si="334"/>
        <v>37466</v>
      </c>
      <c r="BX109" s="452">
        <f t="shared" si="334"/>
        <v>39.182299999999998</v>
      </c>
      <c r="BY109" s="452">
        <f t="shared" si="334"/>
        <v>36.698099999999997</v>
      </c>
      <c r="BZ109" s="456">
        <f t="shared" si="334"/>
        <v>2.4842</v>
      </c>
      <c r="CA109" s="854">
        <f t="shared" si="334"/>
        <v>0</v>
      </c>
      <c r="CB109" s="852">
        <f t="shared" si="334"/>
        <v>0</v>
      </c>
      <c r="CC109" s="852">
        <f t="shared" si="334"/>
        <v>0</v>
      </c>
      <c r="CD109" s="852">
        <f t="shared" si="334"/>
        <v>0</v>
      </c>
      <c r="CE109" s="852">
        <f t="shared" si="334"/>
        <v>0</v>
      </c>
      <c r="CF109" s="848">
        <f t="shared" si="334"/>
        <v>0</v>
      </c>
    </row>
    <row r="110" spans="1:84" s="222" customFormat="1" x14ac:dyDescent="0.2">
      <c r="A110" s="210">
        <v>20</v>
      </c>
      <c r="B110" s="211">
        <v>4485</v>
      </c>
      <c r="C110" s="211">
        <v>600074102</v>
      </c>
      <c r="D110" s="211">
        <v>70695113</v>
      </c>
      <c r="E110" s="209" t="s">
        <v>184</v>
      </c>
      <c r="F110" s="211">
        <v>3111</v>
      </c>
      <c r="G110" s="165" t="s">
        <v>291</v>
      </c>
      <c r="H110" s="699" t="s">
        <v>271</v>
      </c>
      <c r="I110" s="528">
        <f t="shared" ref="I110:I112" si="335">J110+P110+Q110+R110</f>
        <v>3293249</v>
      </c>
      <c r="J110" s="418">
        <f>K110+L110</f>
        <v>2434499</v>
      </c>
      <c r="K110" s="418">
        <v>2212707</v>
      </c>
      <c r="L110" s="418">
        <v>221792</v>
      </c>
      <c r="M110" s="418">
        <f>N110+O110</f>
        <v>0</v>
      </c>
      <c r="N110" s="418"/>
      <c r="O110" s="418"/>
      <c r="P110" s="68">
        <f t="shared" ref="P110:P112" si="336">ROUND(J110*33.8%,0)</f>
        <v>822861</v>
      </c>
      <c r="Q110" s="68">
        <f t="shared" ref="Q110:Q112" si="337">ROUND(J110*1%,0)</f>
        <v>24345</v>
      </c>
      <c r="R110" s="418">
        <v>11544</v>
      </c>
      <c r="S110" s="419">
        <f>T110+U110</f>
        <v>4.7466999999999997</v>
      </c>
      <c r="T110" s="420">
        <v>4</v>
      </c>
      <c r="U110" s="527">
        <v>0.74669999999999992</v>
      </c>
      <c r="V110" s="427">
        <f t="shared" ref="V110:W112" si="338">AI110*-1</f>
        <v>0</v>
      </c>
      <c r="W110" s="421">
        <f t="shared" si="338"/>
        <v>-26880</v>
      </c>
      <c r="X110" s="421">
        <v>0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>V110+X110+Y110+AA110+AB110+AD110</f>
        <v>0</v>
      </c>
      <c r="AG110" s="421">
        <f>W110+Z110+AC110+AE110</f>
        <v>-26880</v>
      </c>
      <c r="AH110" s="421">
        <f>SUM(AF110:AG110)</f>
        <v>-26880</v>
      </c>
      <c r="AI110" s="421">
        <v>0</v>
      </c>
      <c r="AJ110" s="421">
        <v>26880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ref="AO110:AO112" si="339">AI110+AK110+AL110+AM110</f>
        <v>0</v>
      </c>
      <c r="AP110" s="421">
        <f>AJ110+AN110</f>
        <v>26880</v>
      </c>
      <c r="AQ110" s="421">
        <f>SUM(AO110:AP110)</f>
        <v>26880</v>
      </c>
      <c r="AR110" s="421">
        <f t="shared" ref="AR110:AS112" si="340">AF110+AO110</f>
        <v>0</v>
      </c>
      <c r="AS110" s="421">
        <f t="shared" si="340"/>
        <v>0</v>
      </c>
      <c r="AT110" s="421">
        <f>SUM(AR110:AS110)</f>
        <v>0</v>
      </c>
      <c r="AU110" s="68">
        <f t="shared" ref="AU110:AU112" si="341">ROUND((AH110+AI110+AJ110+AK110+AL110)*33.8%,0)</f>
        <v>0</v>
      </c>
      <c r="AV110" s="68">
        <f>ROUND(AH110*1%,0)</f>
        <v>-269</v>
      </c>
      <c r="AW110" s="421">
        <v>0</v>
      </c>
      <c r="AX110" s="421">
        <v>0</v>
      </c>
      <c r="AY110" s="421">
        <f>AW110+AX110</f>
        <v>0</v>
      </c>
      <c r="AZ110" s="421">
        <f>AT110+AU110+AV110+AY110</f>
        <v>-269</v>
      </c>
      <c r="BA110" s="422">
        <v>0</v>
      </c>
      <c r="BB110" s="422">
        <v>-0.11</v>
      </c>
      <c r="BC110" s="422">
        <v>0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>BA110+BC110+BD110+BF110+BH110+BI110</f>
        <v>0</v>
      </c>
      <c r="BL110" s="422">
        <f>BB110+BE110+BG110+BJ110</f>
        <v>-0.11</v>
      </c>
      <c r="BM110" s="611">
        <f>SUM(BK110:BL110)</f>
        <v>-0.11</v>
      </c>
      <c r="BN110" s="428">
        <f>I110+AZ110</f>
        <v>3292980</v>
      </c>
      <c r="BO110" s="421">
        <f>J110+AH110</f>
        <v>2407619</v>
      </c>
      <c r="BP110" s="421">
        <f t="shared" ref="BP110:BQ112" si="342">K110+AF110</f>
        <v>2212707</v>
      </c>
      <c r="BQ110" s="421">
        <f t="shared" si="342"/>
        <v>194912</v>
      </c>
      <c r="BR110" s="421">
        <f>M110+AQ110</f>
        <v>26880</v>
      </c>
      <c r="BS110" s="421">
        <f t="shared" ref="BS110:BT112" si="343">N110+AO110</f>
        <v>0</v>
      </c>
      <c r="BT110" s="421">
        <f t="shared" si="343"/>
        <v>26880</v>
      </c>
      <c r="BU110" s="421">
        <f t="shared" ref="BU110:BV112" si="344">P110+AU110</f>
        <v>822861</v>
      </c>
      <c r="BV110" s="421">
        <f t="shared" si="344"/>
        <v>24076</v>
      </c>
      <c r="BW110" s="421">
        <f>R110+AY110</f>
        <v>11544</v>
      </c>
      <c r="BX110" s="422">
        <f>S110+BM110</f>
        <v>4.6366999999999994</v>
      </c>
      <c r="BY110" s="422">
        <f t="shared" ref="BY110:BZ112" si="345">T110+BK110</f>
        <v>4</v>
      </c>
      <c r="BZ110" s="611">
        <f t="shared" si="345"/>
        <v>0.63669999999999993</v>
      </c>
      <c r="CA110" s="423"/>
      <c r="CB110" s="418"/>
      <c r="CC110" s="418"/>
      <c r="CD110" s="418"/>
      <c r="CE110" s="418"/>
      <c r="CF110" s="527"/>
    </row>
    <row r="111" spans="1:84" s="222" customFormat="1" x14ac:dyDescent="0.2">
      <c r="A111" s="210">
        <v>20</v>
      </c>
      <c r="B111" s="211">
        <v>4485</v>
      </c>
      <c r="C111" s="211">
        <v>600074102</v>
      </c>
      <c r="D111" s="211">
        <v>70695113</v>
      </c>
      <c r="E111" s="209" t="s">
        <v>184</v>
      </c>
      <c r="F111" s="211">
        <v>3111</v>
      </c>
      <c r="G111" s="165" t="s">
        <v>292</v>
      </c>
      <c r="H111" s="699" t="s">
        <v>272</v>
      </c>
      <c r="I111" s="528">
        <f t="shared" si="335"/>
        <v>0</v>
      </c>
      <c r="J111" s="418">
        <f>K111+L111</f>
        <v>0</v>
      </c>
      <c r="K111" s="418">
        <v>0</v>
      </c>
      <c r="L111" s="418">
        <v>0</v>
      </c>
      <c r="M111" s="418">
        <f>N111+O111</f>
        <v>0</v>
      </c>
      <c r="N111" s="418"/>
      <c r="O111" s="418"/>
      <c r="P111" s="68">
        <f t="shared" si="336"/>
        <v>0</v>
      </c>
      <c r="Q111" s="68">
        <f t="shared" si="337"/>
        <v>0</v>
      </c>
      <c r="R111" s="418">
        <v>0</v>
      </c>
      <c r="S111" s="419">
        <f>T111+U111</f>
        <v>0</v>
      </c>
      <c r="T111" s="420">
        <v>0</v>
      </c>
      <c r="U111" s="527">
        <v>0</v>
      </c>
      <c r="V111" s="427">
        <f t="shared" si="338"/>
        <v>0</v>
      </c>
      <c r="W111" s="421">
        <f t="shared" si="338"/>
        <v>0</v>
      </c>
      <c r="X111" s="421">
        <v>741602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>V111+X111+Y111+AA111+AB111+AD111</f>
        <v>741602</v>
      </c>
      <c r="AG111" s="421">
        <f>W111+Z111+AC111+AE111</f>
        <v>0</v>
      </c>
      <c r="AH111" s="421">
        <f>SUM(AF111:AG111)</f>
        <v>741602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339"/>
        <v>0</v>
      </c>
      <c r="AP111" s="421">
        <f>AJ111+AN111</f>
        <v>0</v>
      </c>
      <c r="AQ111" s="421">
        <f>SUM(AO111:AP111)</f>
        <v>0</v>
      </c>
      <c r="AR111" s="421">
        <f t="shared" si="340"/>
        <v>741602</v>
      </c>
      <c r="AS111" s="421">
        <f t="shared" si="340"/>
        <v>0</v>
      </c>
      <c r="AT111" s="421">
        <f>SUM(AR111:AS111)</f>
        <v>741602</v>
      </c>
      <c r="AU111" s="68">
        <f t="shared" si="341"/>
        <v>250661</v>
      </c>
      <c r="AV111" s="68">
        <f>ROUND(AH111*1%,0)</f>
        <v>7416</v>
      </c>
      <c r="AW111" s="421">
        <v>0</v>
      </c>
      <c r="AX111" s="421">
        <v>0</v>
      </c>
      <c r="AY111" s="421">
        <f>AW111+AX111</f>
        <v>0</v>
      </c>
      <c r="AZ111" s="421">
        <f>AT111+AU111+AV111+AY111</f>
        <v>999679</v>
      </c>
      <c r="BA111" s="422">
        <v>0</v>
      </c>
      <c r="BB111" s="422">
        <v>0</v>
      </c>
      <c r="BC111" s="422">
        <v>2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>BA111+BC111+BD111+BF111+BH111+BI111</f>
        <v>2</v>
      </c>
      <c r="BL111" s="422">
        <f>BB111+BE111+BG111+BJ111</f>
        <v>0</v>
      </c>
      <c r="BM111" s="611">
        <f>SUM(BK111:BL111)</f>
        <v>2</v>
      </c>
      <c r="BN111" s="428">
        <f>I111+AZ111</f>
        <v>999679</v>
      </c>
      <c r="BO111" s="421">
        <f>J111+AH111</f>
        <v>741602</v>
      </c>
      <c r="BP111" s="421">
        <f t="shared" si="342"/>
        <v>741602</v>
      </c>
      <c r="BQ111" s="421">
        <f t="shared" si="342"/>
        <v>0</v>
      </c>
      <c r="BR111" s="421">
        <f>M111+AQ111</f>
        <v>0</v>
      </c>
      <c r="BS111" s="421">
        <f t="shared" si="343"/>
        <v>0</v>
      </c>
      <c r="BT111" s="421">
        <f t="shared" si="343"/>
        <v>0</v>
      </c>
      <c r="BU111" s="421">
        <f t="shared" si="344"/>
        <v>250661</v>
      </c>
      <c r="BV111" s="421">
        <f t="shared" si="344"/>
        <v>7416</v>
      </c>
      <c r="BW111" s="421">
        <f>R111+AY111</f>
        <v>0</v>
      </c>
      <c r="BX111" s="422">
        <f>S111+BM111</f>
        <v>2</v>
      </c>
      <c r="BY111" s="422">
        <f t="shared" si="345"/>
        <v>2</v>
      </c>
      <c r="BZ111" s="611">
        <f t="shared" si="345"/>
        <v>0</v>
      </c>
      <c r="CA111" s="423"/>
      <c r="CB111" s="418"/>
      <c r="CC111" s="418"/>
      <c r="CD111" s="418"/>
      <c r="CE111" s="418"/>
      <c r="CF111" s="527"/>
    </row>
    <row r="112" spans="1:84" s="222" customFormat="1" x14ac:dyDescent="0.2">
      <c r="A112" s="210">
        <v>20</v>
      </c>
      <c r="B112" s="211">
        <v>4485</v>
      </c>
      <c r="C112" s="211">
        <v>600074102</v>
      </c>
      <c r="D112" s="211">
        <v>70695113</v>
      </c>
      <c r="E112" s="209" t="s">
        <v>184</v>
      </c>
      <c r="F112" s="211">
        <v>3141</v>
      </c>
      <c r="G112" s="165" t="s">
        <v>295</v>
      </c>
      <c r="H112" s="699" t="s">
        <v>272</v>
      </c>
      <c r="I112" s="528">
        <f t="shared" si="335"/>
        <v>604527</v>
      </c>
      <c r="J112" s="418">
        <f>K112+L112</f>
        <v>446863</v>
      </c>
      <c r="K112" s="418">
        <v>0</v>
      </c>
      <c r="L112" s="418">
        <v>446863</v>
      </c>
      <c r="M112" s="418">
        <f>N112+O112</f>
        <v>0</v>
      </c>
      <c r="N112" s="418"/>
      <c r="O112" s="418"/>
      <c r="P112" s="68">
        <f t="shared" si="336"/>
        <v>151040</v>
      </c>
      <c r="Q112" s="68">
        <f t="shared" si="337"/>
        <v>4469</v>
      </c>
      <c r="R112" s="418">
        <v>2155</v>
      </c>
      <c r="S112" s="419">
        <f>T112+U112</f>
        <v>1.34</v>
      </c>
      <c r="T112" s="420">
        <v>0</v>
      </c>
      <c r="U112" s="527">
        <v>1.34</v>
      </c>
      <c r="V112" s="427">
        <f t="shared" si="338"/>
        <v>0</v>
      </c>
      <c r="W112" s="421">
        <f t="shared" si="338"/>
        <v>0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f>V112+X112+Y112+AA112+AB112+AD112</f>
        <v>0</v>
      </c>
      <c r="AG112" s="421">
        <f>W112+Z112+AC112+AE112</f>
        <v>0</v>
      </c>
      <c r="AH112" s="421">
        <f>SUM(AF112:AG112)</f>
        <v>0</v>
      </c>
      <c r="AI112" s="421">
        <v>0</v>
      </c>
      <c r="AJ112" s="421">
        <v>0</v>
      </c>
      <c r="AK112" s="421">
        <v>0</v>
      </c>
      <c r="AL112" s="421">
        <v>0</v>
      </c>
      <c r="AM112" s="421">
        <v>0</v>
      </c>
      <c r="AN112" s="421">
        <v>0</v>
      </c>
      <c r="AO112" s="421">
        <f t="shared" si="339"/>
        <v>0</v>
      </c>
      <c r="AP112" s="421">
        <f>AJ112+AN112</f>
        <v>0</v>
      </c>
      <c r="AQ112" s="421">
        <f>SUM(AO112:AP112)</f>
        <v>0</v>
      </c>
      <c r="AR112" s="421">
        <f t="shared" si="340"/>
        <v>0</v>
      </c>
      <c r="AS112" s="421">
        <f t="shared" si="340"/>
        <v>0</v>
      </c>
      <c r="AT112" s="421">
        <f>SUM(AR112:AS112)</f>
        <v>0</v>
      </c>
      <c r="AU112" s="68">
        <f t="shared" si="341"/>
        <v>0</v>
      </c>
      <c r="AV112" s="68">
        <f>ROUND(AH112*1%,0)</f>
        <v>0</v>
      </c>
      <c r="AW112" s="421">
        <v>0</v>
      </c>
      <c r="AX112" s="421">
        <v>0</v>
      </c>
      <c r="AY112" s="421">
        <f>AW112+AX112</f>
        <v>0</v>
      </c>
      <c r="AZ112" s="421">
        <f>AT112+AU112+AV112+AY112</f>
        <v>0</v>
      </c>
      <c r="BA112" s="422">
        <v>0</v>
      </c>
      <c r="BB112" s="422">
        <v>0</v>
      </c>
      <c r="BC112" s="422">
        <v>0</v>
      </c>
      <c r="BD112" s="422">
        <v>0</v>
      </c>
      <c r="BE112" s="422">
        <v>0</v>
      </c>
      <c r="BF112" s="422">
        <v>0</v>
      </c>
      <c r="BG112" s="422">
        <v>0</v>
      </c>
      <c r="BH112" s="422">
        <v>0</v>
      </c>
      <c r="BI112" s="422">
        <v>0</v>
      </c>
      <c r="BJ112" s="422">
        <v>0</v>
      </c>
      <c r="BK112" s="422">
        <f>BA112+BC112+BD112+BF112+BH112+BI112</f>
        <v>0</v>
      </c>
      <c r="BL112" s="422">
        <f>BB112+BE112+BG112+BJ112</f>
        <v>0</v>
      </c>
      <c r="BM112" s="611">
        <f>SUM(BK112:BL112)</f>
        <v>0</v>
      </c>
      <c r="BN112" s="428">
        <f>I112+AZ112</f>
        <v>604527</v>
      </c>
      <c r="BO112" s="421">
        <f>J112+AH112</f>
        <v>446863</v>
      </c>
      <c r="BP112" s="421">
        <f t="shared" si="342"/>
        <v>0</v>
      </c>
      <c r="BQ112" s="421">
        <f t="shared" si="342"/>
        <v>446863</v>
      </c>
      <c r="BR112" s="421">
        <f>M112+AQ112</f>
        <v>0</v>
      </c>
      <c r="BS112" s="421">
        <f t="shared" si="343"/>
        <v>0</v>
      </c>
      <c r="BT112" s="421">
        <f t="shared" si="343"/>
        <v>0</v>
      </c>
      <c r="BU112" s="421">
        <f t="shared" si="344"/>
        <v>151040</v>
      </c>
      <c r="BV112" s="421">
        <f t="shared" si="344"/>
        <v>4469</v>
      </c>
      <c r="BW112" s="421">
        <f>R112+AY112</f>
        <v>2155</v>
      </c>
      <c r="BX112" s="422">
        <f>S112+BM112</f>
        <v>1.34</v>
      </c>
      <c r="BY112" s="422">
        <f t="shared" si="345"/>
        <v>0</v>
      </c>
      <c r="BZ112" s="611">
        <f t="shared" si="345"/>
        <v>1.34</v>
      </c>
      <c r="CA112" s="423"/>
      <c r="CB112" s="418"/>
      <c r="CC112" s="418"/>
      <c r="CD112" s="418"/>
      <c r="CE112" s="418"/>
      <c r="CF112" s="527"/>
    </row>
    <row r="113" spans="1:84" s="222" customFormat="1" x14ac:dyDescent="0.2">
      <c r="A113" s="155">
        <v>20</v>
      </c>
      <c r="B113" s="18">
        <v>4485</v>
      </c>
      <c r="C113" s="18">
        <v>600074102</v>
      </c>
      <c r="D113" s="18">
        <v>70695113</v>
      </c>
      <c r="E113" s="164" t="s">
        <v>185</v>
      </c>
      <c r="F113" s="18"/>
      <c r="G113" s="154"/>
      <c r="H113" s="685"/>
      <c r="I113" s="458">
        <f t="shared" ref="I113:BU113" si="346">SUM(I110:I112)</f>
        <v>3897776</v>
      </c>
      <c r="J113" s="451">
        <f t="shared" si="346"/>
        <v>2881362</v>
      </c>
      <c r="K113" s="451">
        <f t="shared" si="346"/>
        <v>2212707</v>
      </c>
      <c r="L113" s="451">
        <f t="shared" si="346"/>
        <v>668655</v>
      </c>
      <c r="M113" s="451">
        <f t="shared" si="346"/>
        <v>0</v>
      </c>
      <c r="N113" s="451">
        <f t="shared" si="346"/>
        <v>0</v>
      </c>
      <c r="O113" s="451">
        <f t="shared" si="346"/>
        <v>0</v>
      </c>
      <c r="P113" s="451">
        <f t="shared" si="346"/>
        <v>973901</v>
      </c>
      <c r="Q113" s="451">
        <f t="shared" si="346"/>
        <v>28814</v>
      </c>
      <c r="R113" s="451">
        <f t="shared" si="346"/>
        <v>13699</v>
      </c>
      <c r="S113" s="452">
        <f t="shared" si="346"/>
        <v>6.0866999999999996</v>
      </c>
      <c r="T113" s="452">
        <f t="shared" si="346"/>
        <v>4</v>
      </c>
      <c r="U113" s="39">
        <f t="shared" si="346"/>
        <v>2.0867</v>
      </c>
      <c r="V113" s="458">
        <f t="shared" si="346"/>
        <v>0</v>
      </c>
      <c r="W113" s="451">
        <f t="shared" si="346"/>
        <v>-26880</v>
      </c>
      <c r="X113" s="451">
        <f t="shared" si="346"/>
        <v>741602</v>
      </c>
      <c r="Y113" s="451">
        <f t="shared" si="346"/>
        <v>0</v>
      </c>
      <c r="Z113" s="451">
        <f t="shared" si="346"/>
        <v>0</v>
      </c>
      <c r="AA113" s="451">
        <f t="shared" si="346"/>
        <v>0</v>
      </c>
      <c r="AB113" s="451">
        <f t="shared" si="346"/>
        <v>0</v>
      </c>
      <c r="AC113" s="451">
        <f t="shared" si="346"/>
        <v>0</v>
      </c>
      <c r="AD113" s="451">
        <f t="shared" si="346"/>
        <v>0</v>
      </c>
      <c r="AE113" s="451">
        <f t="shared" si="346"/>
        <v>0</v>
      </c>
      <c r="AF113" s="451">
        <f t="shared" si="346"/>
        <v>741602</v>
      </c>
      <c r="AG113" s="451">
        <f t="shared" si="346"/>
        <v>-26880</v>
      </c>
      <c r="AH113" s="451">
        <f t="shared" si="346"/>
        <v>714722</v>
      </c>
      <c r="AI113" s="451">
        <f t="shared" si="346"/>
        <v>0</v>
      </c>
      <c r="AJ113" s="451">
        <f t="shared" si="346"/>
        <v>26880</v>
      </c>
      <c r="AK113" s="451">
        <f t="shared" ref="AK113" si="347">SUM(AK110:AK112)</f>
        <v>0</v>
      </c>
      <c r="AL113" s="451">
        <f t="shared" si="346"/>
        <v>0</v>
      </c>
      <c r="AM113" s="451">
        <f t="shared" si="346"/>
        <v>0</v>
      </c>
      <c r="AN113" s="451">
        <f t="shared" si="346"/>
        <v>0</v>
      </c>
      <c r="AO113" s="451">
        <f t="shared" si="346"/>
        <v>0</v>
      </c>
      <c r="AP113" s="451">
        <f t="shared" si="346"/>
        <v>26880</v>
      </c>
      <c r="AQ113" s="451">
        <f t="shared" si="346"/>
        <v>26880</v>
      </c>
      <c r="AR113" s="451">
        <f t="shared" si="346"/>
        <v>741602</v>
      </c>
      <c r="AS113" s="451">
        <f t="shared" si="346"/>
        <v>0</v>
      </c>
      <c r="AT113" s="451">
        <f t="shared" si="346"/>
        <v>741602</v>
      </c>
      <c r="AU113" s="451">
        <f t="shared" si="346"/>
        <v>250661</v>
      </c>
      <c r="AV113" s="451">
        <f t="shared" si="346"/>
        <v>7147</v>
      </c>
      <c r="AW113" s="451">
        <f t="shared" si="346"/>
        <v>0</v>
      </c>
      <c r="AX113" s="451">
        <f t="shared" si="346"/>
        <v>0</v>
      </c>
      <c r="AY113" s="451">
        <f t="shared" si="346"/>
        <v>0</v>
      </c>
      <c r="AZ113" s="451">
        <f t="shared" si="346"/>
        <v>999410</v>
      </c>
      <c r="BA113" s="452">
        <f t="shared" si="346"/>
        <v>0</v>
      </c>
      <c r="BB113" s="452">
        <f t="shared" si="346"/>
        <v>-0.11</v>
      </c>
      <c r="BC113" s="452">
        <f t="shared" si="346"/>
        <v>2</v>
      </c>
      <c r="BD113" s="452">
        <f t="shared" si="346"/>
        <v>0</v>
      </c>
      <c r="BE113" s="452">
        <f t="shared" si="346"/>
        <v>0</v>
      </c>
      <c r="BF113" s="452">
        <f t="shared" si="346"/>
        <v>0</v>
      </c>
      <c r="BG113" s="452">
        <f t="shared" si="346"/>
        <v>0</v>
      </c>
      <c r="BH113" s="452">
        <f t="shared" si="346"/>
        <v>0</v>
      </c>
      <c r="BI113" s="452">
        <f t="shared" si="346"/>
        <v>0</v>
      </c>
      <c r="BJ113" s="452">
        <f t="shared" si="346"/>
        <v>0</v>
      </c>
      <c r="BK113" s="452">
        <f t="shared" si="346"/>
        <v>2</v>
      </c>
      <c r="BL113" s="452">
        <f t="shared" si="346"/>
        <v>-0.11</v>
      </c>
      <c r="BM113" s="456">
        <f t="shared" si="346"/>
        <v>1.89</v>
      </c>
      <c r="BN113" s="454">
        <f t="shared" si="346"/>
        <v>4897186</v>
      </c>
      <c r="BO113" s="451">
        <f t="shared" si="346"/>
        <v>3596084</v>
      </c>
      <c r="BP113" s="451">
        <f t="shared" si="346"/>
        <v>2954309</v>
      </c>
      <c r="BQ113" s="451">
        <f t="shared" si="346"/>
        <v>641775</v>
      </c>
      <c r="BR113" s="451">
        <f t="shared" si="346"/>
        <v>26880</v>
      </c>
      <c r="BS113" s="451">
        <f t="shared" si="346"/>
        <v>0</v>
      </c>
      <c r="BT113" s="451">
        <f t="shared" si="346"/>
        <v>26880</v>
      </c>
      <c r="BU113" s="451">
        <f t="shared" si="346"/>
        <v>1224562</v>
      </c>
      <c r="BV113" s="451">
        <f t="shared" ref="BV113:CF113" si="348">SUM(BV110:BV112)</f>
        <v>35961</v>
      </c>
      <c r="BW113" s="451">
        <f t="shared" si="348"/>
        <v>13699</v>
      </c>
      <c r="BX113" s="452">
        <f t="shared" si="348"/>
        <v>7.9766999999999992</v>
      </c>
      <c r="BY113" s="452">
        <f t="shared" si="348"/>
        <v>6</v>
      </c>
      <c r="BZ113" s="456">
        <f t="shared" si="348"/>
        <v>1.9767000000000001</v>
      </c>
      <c r="CA113" s="854">
        <f t="shared" si="348"/>
        <v>0</v>
      </c>
      <c r="CB113" s="852">
        <f t="shared" si="348"/>
        <v>0</v>
      </c>
      <c r="CC113" s="852">
        <f t="shared" si="348"/>
        <v>0</v>
      </c>
      <c r="CD113" s="852">
        <f t="shared" si="348"/>
        <v>0</v>
      </c>
      <c r="CE113" s="852">
        <f t="shared" si="348"/>
        <v>0</v>
      </c>
      <c r="CF113" s="848">
        <f t="shared" si="348"/>
        <v>0</v>
      </c>
    </row>
    <row r="114" spans="1:84" s="222" customFormat="1" x14ac:dyDescent="0.2">
      <c r="A114" s="210">
        <v>21</v>
      </c>
      <c r="B114" s="211">
        <v>4435</v>
      </c>
      <c r="C114" s="211">
        <v>650034295</v>
      </c>
      <c r="D114" s="211">
        <v>72744669</v>
      </c>
      <c r="E114" s="209" t="s">
        <v>186</v>
      </c>
      <c r="F114" s="211">
        <v>3111</v>
      </c>
      <c r="G114" s="165" t="s">
        <v>291</v>
      </c>
      <c r="H114" s="699" t="s">
        <v>271</v>
      </c>
      <c r="I114" s="528">
        <f t="shared" ref="I114:I119" si="349">J114+P114+Q114+R114</f>
        <v>3328910</v>
      </c>
      <c r="J114" s="418">
        <f t="shared" ref="J114:J119" si="350">K114+L114</f>
        <v>2460803</v>
      </c>
      <c r="K114" s="418">
        <v>2327667</v>
      </c>
      <c r="L114" s="418">
        <v>133136</v>
      </c>
      <c r="M114" s="418">
        <f t="shared" ref="M114:M119" si="351">N114+O114</f>
        <v>0</v>
      </c>
      <c r="N114" s="418"/>
      <c r="O114" s="418"/>
      <c r="P114" s="68">
        <f t="shared" ref="P114:P119" si="352">ROUND(J114*33.8%,0)</f>
        <v>831751</v>
      </c>
      <c r="Q114" s="68">
        <f t="shared" ref="Q114:Q119" si="353">ROUND(J114*1%,0)</f>
        <v>24608</v>
      </c>
      <c r="R114" s="418">
        <v>11748</v>
      </c>
      <c r="S114" s="419">
        <f t="shared" ref="S114:S119" si="354">T114+U114</f>
        <v>4.5334000000000003</v>
      </c>
      <c r="T114" s="420">
        <v>4</v>
      </c>
      <c r="U114" s="527">
        <v>0.53339999999999999</v>
      </c>
      <c r="V114" s="427">
        <f t="shared" ref="V114:W119" si="355">AI114*-1</f>
        <v>-12800</v>
      </c>
      <c r="W114" s="421">
        <f t="shared" si="355"/>
        <v>-6400</v>
      </c>
      <c r="X114" s="421">
        <v>0</v>
      </c>
      <c r="Y114" s="421">
        <v>0</v>
      </c>
      <c r="Z114" s="421">
        <v>0</v>
      </c>
      <c r="AA114" s="421">
        <v>0</v>
      </c>
      <c r="AB114" s="421">
        <v>0</v>
      </c>
      <c r="AC114" s="421">
        <v>0</v>
      </c>
      <c r="AD114" s="421">
        <v>0</v>
      </c>
      <c r="AE114" s="421">
        <v>0</v>
      </c>
      <c r="AF114" s="421">
        <f t="shared" ref="AF114:AF119" si="356">V114+X114+Y114+AA114+AB114+AD114</f>
        <v>-12800</v>
      </c>
      <c r="AG114" s="421">
        <f t="shared" ref="AG114:AG119" si="357">W114+Z114+AC114+AE114</f>
        <v>-6400</v>
      </c>
      <c r="AH114" s="421">
        <f t="shared" ref="AH114:AH119" si="358">SUM(AF114:AG114)</f>
        <v>-19200</v>
      </c>
      <c r="AI114" s="421">
        <v>12800</v>
      </c>
      <c r="AJ114" s="421">
        <v>6400</v>
      </c>
      <c r="AK114" s="421">
        <v>0</v>
      </c>
      <c r="AL114" s="421">
        <v>0</v>
      </c>
      <c r="AM114" s="421">
        <v>0</v>
      </c>
      <c r="AN114" s="421">
        <v>0</v>
      </c>
      <c r="AO114" s="421">
        <f t="shared" ref="AO114:AO119" si="359">AI114+AK114+AL114+AM114</f>
        <v>12800</v>
      </c>
      <c r="AP114" s="421">
        <f t="shared" ref="AP114:AP119" si="360">AJ114+AN114</f>
        <v>6400</v>
      </c>
      <c r="AQ114" s="421">
        <f t="shared" ref="AQ114:AQ119" si="361">SUM(AO114:AP114)</f>
        <v>19200</v>
      </c>
      <c r="AR114" s="421">
        <f t="shared" ref="AR114:AS119" si="362">AF114+AO114</f>
        <v>0</v>
      </c>
      <c r="AS114" s="421">
        <f t="shared" si="362"/>
        <v>0</v>
      </c>
      <c r="AT114" s="421">
        <f t="shared" ref="AT114:AT119" si="363">SUM(AR114:AS114)</f>
        <v>0</v>
      </c>
      <c r="AU114" s="68">
        <f t="shared" ref="AU114:AU119" si="364">ROUND((AH114+AI114+AJ114+AK114+AL114)*33.8%,0)</f>
        <v>0</v>
      </c>
      <c r="AV114" s="68">
        <f t="shared" ref="AV114:AV119" si="365">ROUND(AH114*1%,0)</f>
        <v>-192</v>
      </c>
      <c r="AW114" s="421">
        <v>0</v>
      </c>
      <c r="AX114" s="421">
        <v>0</v>
      </c>
      <c r="AY114" s="421">
        <f t="shared" ref="AY114:AY119" si="366">AW114+AX114</f>
        <v>0</v>
      </c>
      <c r="AZ114" s="421">
        <f t="shared" ref="AZ114:AZ119" si="367">AT114+AU114+AV114+AY114</f>
        <v>-192</v>
      </c>
      <c r="BA114" s="422">
        <v>0</v>
      </c>
      <c r="BB114" s="422">
        <v>0</v>
      </c>
      <c r="BC114" s="422">
        <v>0</v>
      </c>
      <c r="BD114" s="422">
        <v>0</v>
      </c>
      <c r="BE114" s="422">
        <v>0</v>
      </c>
      <c r="BF114" s="422">
        <v>0</v>
      </c>
      <c r="BG114" s="422">
        <v>0</v>
      </c>
      <c r="BH114" s="422">
        <v>0</v>
      </c>
      <c r="BI114" s="422">
        <v>0</v>
      </c>
      <c r="BJ114" s="422">
        <v>0</v>
      </c>
      <c r="BK114" s="422">
        <f t="shared" ref="BK114:BK119" si="368">BA114+BC114+BD114+BF114+BH114+BI114</f>
        <v>0</v>
      </c>
      <c r="BL114" s="422">
        <f t="shared" ref="BL114:BL119" si="369">BB114+BE114+BG114+BJ114</f>
        <v>0</v>
      </c>
      <c r="BM114" s="611">
        <f t="shared" ref="BM114:BM119" si="370">SUM(BK114:BL114)</f>
        <v>0</v>
      </c>
      <c r="BN114" s="428">
        <f t="shared" ref="BN114:BN119" si="371">I114+AZ114</f>
        <v>3328718</v>
      </c>
      <c r="BO114" s="421">
        <f t="shared" ref="BO114:BO119" si="372">J114+AH114</f>
        <v>2441603</v>
      </c>
      <c r="BP114" s="421">
        <f t="shared" ref="BP114:BQ119" si="373">K114+AF114</f>
        <v>2314867</v>
      </c>
      <c r="BQ114" s="421">
        <f t="shared" si="373"/>
        <v>126736</v>
      </c>
      <c r="BR114" s="421">
        <f t="shared" ref="BR114:BR119" si="374">M114+AQ114</f>
        <v>19200</v>
      </c>
      <c r="BS114" s="421">
        <f t="shared" ref="BS114:BT119" si="375">N114+AO114</f>
        <v>12800</v>
      </c>
      <c r="BT114" s="421">
        <f t="shared" si="375"/>
        <v>6400</v>
      </c>
      <c r="BU114" s="421">
        <f t="shared" ref="BU114:BV119" si="376">P114+AU114</f>
        <v>831751</v>
      </c>
      <c r="BV114" s="421">
        <f t="shared" si="376"/>
        <v>24416</v>
      </c>
      <c r="BW114" s="421">
        <f t="shared" ref="BW114:BW119" si="377">R114+AY114</f>
        <v>11748</v>
      </c>
      <c r="BX114" s="422">
        <f t="shared" ref="BX114:BX119" si="378">S114+BM114</f>
        <v>4.5334000000000003</v>
      </c>
      <c r="BY114" s="422">
        <f t="shared" ref="BY114:BZ119" si="379">T114+BK114</f>
        <v>4</v>
      </c>
      <c r="BZ114" s="611">
        <f t="shared" si="379"/>
        <v>0.53339999999999999</v>
      </c>
      <c r="CA114" s="423"/>
      <c r="CB114" s="418"/>
      <c r="CC114" s="418"/>
      <c r="CD114" s="418"/>
      <c r="CE114" s="418"/>
      <c r="CF114" s="527"/>
    </row>
    <row r="115" spans="1:84" s="222" customFormat="1" x14ac:dyDescent="0.2">
      <c r="A115" s="210">
        <v>21</v>
      </c>
      <c r="B115" s="211">
        <v>4435</v>
      </c>
      <c r="C115" s="211">
        <v>650034295</v>
      </c>
      <c r="D115" s="211">
        <v>72744669</v>
      </c>
      <c r="E115" s="209" t="s">
        <v>186</v>
      </c>
      <c r="F115" s="211">
        <v>3117</v>
      </c>
      <c r="G115" s="165" t="s">
        <v>294</v>
      </c>
      <c r="H115" s="699" t="s">
        <v>271</v>
      </c>
      <c r="I115" s="528">
        <f t="shared" si="349"/>
        <v>5511956</v>
      </c>
      <c r="J115" s="418">
        <f t="shared" si="350"/>
        <v>4035722</v>
      </c>
      <c r="K115" s="418">
        <v>3444737</v>
      </c>
      <c r="L115" s="418">
        <v>590985</v>
      </c>
      <c r="M115" s="418">
        <f t="shared" si="351"/>
        <v>0</v>
      </c>
      <c r="N115" s="418"/>
      <c r="O115" s="418"/>
      <c r="P115" s="68">
        <f t="shared" si="352"/>
        <v>1364074</v>
      </c>
      <c r="Q115" s="68">
        <f t="shared" si="353"/>
        <v>40357</v>
      </c>
      <c r="R115" s="418">
        <v>71803</v>
      </c>
      <c r="S115" s="419">
        <f t="shared" si="354"/>
        <v>6.9252000000000002</v>
      </c>
      <c r="T115" s="420">
        <v>5.2542</v>
      </c>
      <c r="U115" s="527">
        <v>1.671</v>
      </c>
      <c r="V115" s="427">
        <f t="shared" si="355"/>
        <v>-51200</v>
      </c>
      <c r="W115" s="421">
        <f t="shared" si="355"/>
        <v>-6400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 t="shared" si="356"/>
        <v>-51200</v>
      </c>
      <c r="AG115" s="421">
        <f t="shared" si="357"/>
        <v>-6400</v>
      </c>
      <c r="AH115" s="421">
        <f t="shared" si="358"/>
        <v>-57600</v>
      </c>
      <c r="AI115" s="421">
        <v>51200</v>
      </c>
      <c r="AJ115" s="421">
        <v>6400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si="359"/>
        <v>51200</v>
      </c>
      <c r="AP115" s="421">
        <f t="shared" si="360"/>
        <v>6400</v>
      </c>
      <c r="AQ115" s="421">
        <f t="shared" si="361"/>
        <v>57600</v>
      </c>
      <c r="AR115" s="421">
        <f t="shared" si="362"/>
        <v>0</v>
      </c>
      <c r="AS115" s="421">
        <f t="shared" si="362"/>
        <v>0</v>
      </c>
      <c r="AT115" s="421">
        <f t="shared" si="363"/>
        <v>0</v>
      </c>
      <c r="AU115" s="68">
        <f t="shared" si="364"/>
        <v>0</v>
      </c>
      <c r="AV115" s="68">
        <f t="shared" si="365"/>
        <v>-576</v>
      </c>
      <c r="AW115" s="421">
        <v>0</v>
      </c>
      <c r="AX115" s="421">
        <v>0</v>
      </c>
      <c r="AY115" s="421">
        <f t="shared" si="366"/>
        <v>0</v>
      </c>
      <c r="AZ115" s="421">
        <f t="shared" si="367"/>
        <v>-576</v>
      </c>
      <c r="BA115" s="422">
        <v>-0.05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 t="shared" si="368"/>
        <v>-0.05</v>
      </c>
      <c r="BL115" s="422">
        <f t="shared" si="369"/>
        <v>0</v>
      </c>
      <c r="BM115" s="611">
        <f t="shared" si="370"/>
        <v>-0.05</v>
      </c>
      <c r="BN115" s="428">
        <f t="shared" si="371"/>
        <v>5511380</v>
      </c>
      <c r="BO115" s="421">
        <f t="shared" si="372"/>
        <v>3978122</v>
      </c>
      <c r="BP115" s="421">
        <f t="shared" si="373"/>
        <v>3393537</v>
      </c>
      <c r="BQ115" s="421">
        <f t="shared" si="373"/>
        <v>584585</v>
      </c>
      <c r="BR115" s="421">
        <f t="shared" si="374"/>
        <v>57600</v>
      </c>
      <c r="BS115" s="421">
        <f t="shared" si="375"/>
        <v>51200</v>
      </c>
      <c r="BT115" s="421">
        <f t="shared" si="375"/>
        <v>6400</v>
      </c>
      <c r="BU115" s="421">
        <f t="shared" si="376"/>
        <v>1364074</v>
      </c>
      <c r="BV115" s="421">
        <f t="shared" si="376"/>
        <v>39781</v>
      </c>
      <c r="BW115" s="421">
        <f t="shared" si="377"/>
        <v>71803</v>
      </c>
      <c r="BX115" s="422">
        <f t="shared" si="378"/>
        <v>6.8752000000000004</v>
      </c>
      <c r="BY115" s="422">
        <f t="shared" si="379"/>
        <v>5.2042000000000002</v>
      </c>
      <c r="BZ115" s="611">
        <f t="shared" si="379"/>
        <v>1.671</v>
      </c>
      <c r="CA115" s="423"/>
      <c r="CB115" s="418"/>
      <c r="CC115" s="418"/>
      <c r="CD115" s="418"/>
      <c r="CE115" s="418"/>
      <c r="CF115" s="527"/>
    </row>
    <row r="116" spans="1:84" s="222" customFormat="1" x14ac:dyDescent="0.2">
      <c r="A116" s="210">
        <v>21</v>
      </c>
      <c r="B116" s="211">
        <v>4435</v>
      </c>
      <c r="C116" s="211">
        <v>650034295</v>
      </c>
      <c r="D116" s="211">
        <v>72744669</v>
      </c>
      <c r="E116" s="209" t="s">
        <v>186</v>
      </c>
      <c r="F116" s="211">
        <v>3117</v>
      </c>
      <c r="G116" s="165" t="s">
        <v>292</v>
      </c>
      <c r="H116" s="699" t="s">
        <v>272</v>
      </c>
      <c r="I116" s="528">
        <f t="shared" si="349"/>
        <v>0</v>
      </c>
      <c r="J116" s="418">
        <f t="shared" si="350"/>
        <v>0</v>
      </c>
      <c r="K116" s="418">
        <v>0</v>
      </c>
      <c r="L116" s="418">
        <v>0</v>
      </c>
      <c r="M116" s="418">
        <f t="shared" si="351"/>
        <v>0</v>
      </c>
      <c r="N116" s="418"/>
      <c r="O116" s="418"/>
      <c r="P116" s="68">
        <f t="shared" si="352"/>
        <v>0</v>
      </c>
      <c r="Q116" s="68">
        <f t="shared" si="353"/>
        <v>0</v>
      </c>
      <c r="R116" s="418">
        <v>0</v>
      </c>
      <c r="S116" s="419">
        <f t="shared" si="354"/>
        <v>0</v>
      </c>
      <c r="T116" s="420">
        <v>0</v>
      </c>
      <c r="U116" s="527">
        <v>0</v>
      </c>
      <c r="V116" s="427">
        <f t="shared" si="355"/>
        <v>0</v>
      </c>
      <c r="W116" s="421">
        <f t="shared" si="355"/>
        <v>0</v>
      </c>
      <c r="X116" s="421">
        <v>793107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 t="shared" si="356"/>
        <v>793107</v>
      </c>
      <c r="AG116" s="421">
        <f t="shared" si="357"/>
        <v>0</v>
      </c>
      <c r="AH116" s="421">
        <f t="shared" si="358"/>
        <v>793107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si="359"/>
        <v>0</v>
      </c>
      <c r="AP116" s="421">
        <f t="shared" si="360"/>
        <v>0</v>
      </c>
      <c r="AQ116" s="421">
        <f t="shared" si="361"/>
        <v>0</v>
      </c>
      <c r="AR116" s="421">
        <f t="shared" si="362"/>
        <v>793107</v>
      </c>
      <c r="AS116" s="421">
        <f t="shared" si="362"/>
        <v>0</v>
      </c>
      <c r="AT116" s="421">
        <f t="shared" si="363"/>
        <v>793107</v>
      </c>
      <c r="AU116" s="68">
        <f t="shared" si="364"/>
        <v>268070</v>
      </c>
      <c r="AV116" s="68">
        <f t="shared" si="365"/>
        <v>7931</v>
      </c>
      <c r="AW116" s="421">
        <v>0</v>
      </c>
      <c r="AX116" s="421">
        <v>0</v>
      </c>
      <c r="AY116" s="421">
        <f t="shared" si="366"/>
        <v>0</v>
      </c>
      <c r="AZ116" s="421">
        <f t="shared" si="367"/>
        <v>1069108</v>
      </c>
      <c r="BA116" s="422">
        <v>0</v>
      </c>
      <c r="BB116" s="422">
        <v>0</v>
      </c>
      <c r="BC116" s="422">
        <v>2.14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 t="shared" si="368"/>
        <v>2.14</v>
      </c>
      <c r="BL116" s="422">
        <f t="shared" si="369"/>
        <v>0</v>
      </c>
      <c r="BM116" s="611">
        <f t="shared" si="370"/>
        <v>2.14</v>
      </c>
      <c r="BN116" s="428">
        <f t="shared" si="371"/>
        <v>1069108</v>
      </c>
      <c r="BO116" s="421">
        <f t="shared" si="372"/>
        <v>793107</v>
      </c>
      <c r="BP116" s="421">
        <f t="shared" si="373"/>
        <v>793107</v>
      </c>
      <c r="BQ116" s="421">
        <f t="shared" si="373"/>
        <v>0</v>
      </c>
      <c r="BR116" s="421">
        <f t="shared" si="374"/>
        <v>0</v>
      </c>
      <c r="BS116" s="421">
        <f t="shared" si="375"/>
        <v>0</v>
      </c>
      <c r="BT116" s="421">
        <f t="shared" si="375"/>
        <v>0</v>
      </c>
      <c r="BU116" s="421">
        <f t="shared" si="376"/>
        <v>268070</v>
      </c>
      <c r="BV116" s="421">
        <f t="shared" si="376"/>
        <v>7931</v>
      </c>
      <c r="BW116" s="421">
        <f t="shared" si="377"/>
        <v>0</v>
      </c>
      <c r="BX116" s="422">
        <f t="shared" si="378"/>
        <v>2.14</v>
      </c>
      <c r="BY116" s="422">
        <f t="shared" si="379"/>
        <v>2.14</v>
      </c>
      <c r="BZ116" s="611">
        <f t="shared" si="379"/>
        <v>0</v>
      </c>
      <c r="CA116" s="423"/>
      <c r="CB116" s="418"/>
      <c r="CC116" s="418"/>
      <c r="CD116" s="418"/>
      <c r="CE116" s="418"/>
      <c r="CF116" s="527"/>
    </row>
    <row r="117" spans="1:84" s="222" customFormat="1" x14ac:dyDescent="0.2">
      <c r="A117" s="210">
        <v>21</v>
      </c>
      <c r="B117" s="211">
        <v>4435</v>
      </c>
      <c r="C117" s="211">
        <v>650034295</v>
      </c>
      <c r="D117" s="211">
        <v>72744669</v>
      </c>
      <c r="E117" s="205" t="s">
        <v>186</v>
      </c>
      <c r="F117" s="211">
        <v>3141</v>
      </c>
      <c r="G117" s="165" t="s">
        <v>295</v>
      </c>
      <c r="H117" s="699" t="s">
        <v>272</v>
      </c>
      <c r="I117" s="528">
        <f t="shared" si="349"/>
        <v>822353</v>
      </c>
      <c r="J117" s="418">
        <f t="shared" si="350"/>
        <v>606933</v>
      </c>
      <c r="K117" s="418">
        <v>0</v>
      </c>
      <c r="L117" s="418">
        <v>606933</v>
      </c>
      <c r="M117" s="418">
        <f t="shared" si="351"/>
        <v>0</v>
      </c>
      <c r="N117" s="418"/>
      <c r="O117" s="418"/>
      <c r="P117" s="68">
        <f t="shared" si="352"/>
        <v>205143</v>
      </c>
      <c r="Q117" s="68">
        <f t="shared" si="353"/>
        <v>6069</v>
      </c>
      <c r="R117" s="418">
        <v>4208</v>
      </c>
      <c r="S117" s="419">
        <f t="shared" si="354"/>
        <v>1.82</v>
      </c>
      <c r="T117" s="420">
        <v>0</v>
      </c>
      <c r="U117" s="527">
        <v>1.82</v>
      </c>
      <c r="V117" s="427">
        <f t="shared" si="355"/>
        <v>0</v>
      </c>
      <c r="W117" s="421">
        <f t="shared" si="355"/>
        <v>-3200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 t="shared" si="356"/>
        <v>0</v>
      </c>
      <c r="AG117" s="421">
        <f t="shared" si="357"/>
        <v>-3200</v>
      </c>
      <c r="AH117" s="421">
        <f t="shared" si="358"/>
        <v>-3200</v>
      </c>
      <c r="AI117" s="421">
        <v>0</v>
      </c>
      <c r="AJ117" s="421">
        <v>3200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359"/>
        <v>0</v>
      </c>
      <c r="AP117" s="421">
        <f t="shared" si="360"/>
        <v>3200</v>
      </c>
      <c r="AQ117" s="421">
        <f t="shared" si="361"/>
        <v>3200</v>
      </c>
      <c r="AR117" s="421">
        <f t="shared" si="362"/>
        <v>0</v>
      </c>
      <c r="AS117" s="421">
        <f t="shared" si="362"/>
        <v>0</v>
      </c>
      <c r="AT117" s="421">
        <f t="shared" si="363"/>
        <v>0</v>
      </c>
      <c r="AU117" s="68">
        <f t="shared" si="364"/>
        <v>0</v>
      </c>
      <c r="AV117" s="68">
        <f t="shared" si="365"/>
        <v>-32</v>
      </c>
      <c r="AW117" s="421">
        <v>0</v>
      </c>
      <c r="AX117" s="421">
        <v>0</v>
      </c>
      <c r="AY117" s="421">
        <f t="shared" si="366"/>
        <v>0</v>
      </c>
      <c r="AZ117" s="421">
        <f t="shared" si="367"/>
        <v>-32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 t="shared" si="368"/>
        <v>0</v>
      </c>
      <c r="BL117" s="422">
        <f t="shared" si="369"/>
        <v>0</v>
      </c>
      <c r="BM117" s="611">
        <f t="shared" si="370"/>
        <v>0</v>
      </c>
      <c r="BN117" s="428">
        <f t="shared" si="371"/>
        <v>822321</v>
      </c>
      <c r="BO117" s="421">
        <f t="shared" si="372"/>
        <v>603733</v>
      </c>
      <c r="BP117" s="421">
        <f t="shared" si="373"/>
        <v>0</v>
      </c>
      <c r="BQ117" s="421">
        <f t="shared" si="373"/>
        <v>603733</v>
      </c>
      <c r="BR117" s="421">
        <f t="shared" si="374"/>
        <v>3200</v>
      </c>
      <c r="BS117" s="421">
        <f t="shared" si="375"/>
        <v>0</v>
      </c>
      <c r="BT117" s="421">
        <f t="shared" si="375"/>
        <v>3200</v>
      </c>
      <c r="BU117" s="421">
        <f t="shared" si="376"/>
        <v>205143</v>
      </c>
      <c r="BV117" s="421">
        <f t="shared" si="376"/>
        <v>6037</v>
      </c>
      <c r="BW117" s="421">
        <f t="shared" si="377"/>
        <v>4208</v>
      </c>
      <c r="BX117" s="422">
        <f t="shared" si="378"/>
        <v>1.82</v>
      </c>
      <c r="BY117" s="422">
        <f t="shared" si="379"/>
        <v>0</v>
      </c>
      <c r="BZ117" s="611">
        <f t="shared" si="379"/>
        <v>1.82</v>
      </c>
      <c r="CA117" s="423"/>
      <c r="CB117" s="418"/>
      <c r="CC117" s="418"/>
      <c r="CD117" s="418"/>
      <c r="CE117" s="418"/>
      <c r="CF117" s="527"/>
    </row>
    <row r="118" spans="1:84" s="222" customFormat="1" x14ac:dyDescent="0.2">
      <c r="A118" s="210">
        <v>21</v>
      </c>
      <c r="B118" s="211">
        <v>4435</v>
      </c>
      <c r="C118" s="211">
        <v>650034295</v>
      </c>
      <c r="D118" s="211">
        <v>72744669</v>
      </c>
      <c r="E118" s="209" t="s">
        <v>186</v>
      </c>
      <c r="F118" s="211">
        <v>3143</v>
      </c>
      <c r="G118" s="165" t="s">
        <v>596</v>
      </c>
      <c r="H118" s="686" t="s">
        <v>271</v>
      </c>
      <c r="I118" s="528">
        <f t="shared" si="349"/>
        <v>687894</v>
      </c>
      <c r="J118" s="418">
        <f t="shared" si="350"/>
        <v>510307</v>
      </c>
      <c r="K118" s="418">
        <v>510307</v>
      </c>
      <c r="L118" s="418">
        <v>0</v>
      </c>
      <c r="M118" s="418">
        <f t="shared" si="351"/>
        <v>0</v>
      </c>
      <c r="N118" s="418"/>
      <c r="O118" s="418"/>
      <c r="P118" s="68">
        <f t="shared" si="352"/>
        <v>172484</v>
      </c>
      <c r="Q118" s="68">
        <f t="shared" si="353"/>
        <v>5103</v>
      </c>
      <c r="R118" s="418">
        <v>0</v>
      </c>
      <c r="S118" s="419">
        <f t="shared" si="354"/>
        <v>0.9375</v>
      </c>
      <c r="T118" s="420">
        <v>0.9375</v>
      </c>
      <c r="U118" s="527">
        <v>0</v>
      </c>
      <c r="V118" s="427">
        <f t="shared" si="355"/>
        <v>-3200</v>
      </c>
      <c r="W118" s="421">
        <f t="shared" si="355"/>
        <v>0</v>
      </c>
      <c r="X118" s="421">
        <v>0</v>
      </c>
      <c r="Y118" s="421">
        <v>0</v>
      </c>
      <c r="Z118" s="421">
        <v>0</v>
      </c>
      <c r="AA118" s="421">
        <v>0</v>
      </c>
      <c r="AB118" s="421">
        <v>0</v>
      </c>
      <c r="AC118" s="421">
        <v>0</v>
      </c>
      <c r="AD118" s="421">
        <v>0</v>
      </c>
      <c r="AE118" s="421">
        <v>0</v>
      </c>
      <c r="AF118" s="421">
        <f t="shared" si="356"/>
        <v>-3200</v>
      </c>
      <c r="AG118" s="421">
        <f t="shared" si="357"/>
        <v>0</v>
      </c>
      <c r="AH118" s="421">
        <f t="shared" si="358"/>
        <v>-3200</v>
      </c>
      <c r="AI118" s="421">
        <v>3200</v>
      </c>
      <c r="AJ118" s="421">
        <v>0</v>
      </c>
      <c r="AK118" s="421">
        <v>0</v>
      </c>
      <c r="AL118" s="421">
        <v>0</v>
      </c>
      <c r="AM118" s="421">
        <v>0</v>
      </c>
      <c r="AN118" s="421">
        <v>0</v>
      </c>
      <c r="AO118" s="421">
        <f t="shared" si="359"/>
        <v>3200</v>
      </c>
      <c r="AP118" s="421">
        <f t="shared" si="360"/>
        <v>0</v>
      </c>
      <c r="AQ118" s="421">
        <f t="shared" si="361"/>
        <v>3200</v>
      </c>
      <c r="AR118" s="421">
        <f t="shared" si="362"/>
        <v>0</v>
      </c>
      <c r="AS118" s="421">
        <f t="shared" si="362"/>
        <v>0</v>
      </c>
      <c r="AT118" s="421">
        <f t="shared" si="363"/>
        <v>0</v>
      </c>
      <c r="AU118" s="68">
        <f t="shared" si="364"/>
        <v>0</v>
      </c>
      <c r="AV118" s="68">
        <f t="shared" si="365"/>
        <v>-32</v>
      </c>
      <c r="AW118" s="421">
        <v>0</v>
      </c>
      <c r="AX118" s="421">
        <v>0</v>
      </c>
      <c r="AY118" s="421">
        <f t="shared" si="366"/>
        <v>0</v>
      </c>
      <c r="AZ118" s="421">
        <f t="shared" si="367"/>
        <v>-32</v>
      </c>
      <c r="BA118" s="422">
        <v>0</v>
      </c>
      <c r="BB118" s="422">
        <v>0</v>
      </c>
      <c r="BC118" s="422">
        <v>0</v>
      </c>
      <c r="BD118" s="422">
        <v>0</v>
      </c>
      <c r="BE118" s="422">
        <v>0</v>
      </c>
      <c r="BF118" s="422">
        <v>0</v>
      </c>
      <c r="BG118" s="422">
        <v>0</v>
      </c>
      <c r="BH118" s="422">
        <v>0</v>
      </c>
      <c r="BI118" s="422">
        <v>0</v>
      </c>
      <c r="BJ118" s="422">
        <v>0</v>
      </c>
      <c r="BK118" s="422">
        <f t="shared" si="368"/>
        <v>0</v>
      </c>
      <c r="BL118" s="422">
        <f t="shared" si="369"/>
        <v>0</v>
      </c>
      <c r="BM118" s="611">
        <f t="shared" si="370"/>
        <v>0</v>
      </c>
      <c r="BN118" s="428">
        <f t="shared" si="371"/>
        <v>687862</v>
      </c>
      <c r="BO118" s="421">
        <f t="shared" si="372"/>
        <v>507107</v>
      </c>
      <c r="BP118" s="421">
        <f t="shared" si="373"/>
        <v>507107</v>
      </c>
      <c r="BQ118" s="421">
        <f t="shared" si="373"/>
        <v>0</v>
      </c>
      <c r="BR118" s="421">
        <f t="shared" si="374"/>
        <v>3200</v>
      </c>
      <c r="BS118" s="421">
        <f t="shared" si="375"/>
        <v>3200</v>
      </c>
      <c r="BT118" s="421">
        <f t="shared" si="375"/>
        <v>0</v>
      </c>
      <c r="BU118" s="421">
        <f t="shared" si="376"/>
        <v>172484</v>
      </c>
      <c r="BV118" s="421">
        <f t="shared" si="376"/>
        <v>5071</v>
      </c>
      <c r="BW118" s="421">
        <f t="shared" si="377"/>
        <v>0</v>
      </c>
      <c r="BX118" s="422">
        <f t="shared" si="378"/>
        <v>0.9375</v>
      </c>
      <c r="BY118" s="422">
        <f t="shared" si="379"/>
        <v>0.9375</v>
      </c>
      <c r="BZ118" s="611">
        <f t="shared" si="379"/>
        <v>0</v>
      </c>
      <c r="CA118" s="423"/>
      <c r="CB118" s="418"/>
      <c r="CC118" s="418"/>
      <c r="CD118" s="418"/>
      <c r="CE118" s="418"/>
      <c r="CF118" s="527"/>
    </row>
    <row r="119" spans="1:84" s="222" customFormat="1" x14ac:dyDescent="0.2">
      <c r="A119" s="210">
        <v>21</v>
      </c>
      <c r="B119" s="211">
        <v>4435</v>
      </c>
      <c r="C119" s="211">
        <v>650034295</v>
      </c>
      <c r="D119" s="211">
        <v>72744669</v>
      </c>
      <c r="E119" s="209" t="s">
        <v>186</v>
      </c>
      <c r="F119" s="211">
        <v>3143</v>
      </c>
      <c r="G119" s="165" t="s">
        <v>597</v>
      </c>
      <c r="H119" s="686" t="s">
        <v>272</v>
      </c>
      <c r="I119" s="528">
        <f t="shared" si="349"/>
        <v>15380</v>
      </c>
      <c r="J119" s="418">
        <f t="shared" si="350"/>
        <v>11009</v>
      </c>
      <c r="K119" s="418">
        <v>0</v>
      </c>
      <c r="L119" s="418">
        <v>11009</v>
      </c>
      <c r="M119" s="418">
        <f t="shared" si="351"/>
        <v>0</v>
      </c>
      <c r="N119" s="418"/>
      <c r="O119" s="418"/>
      <c r="P119" s="68">
        <f t="shared" si="352"/>
        <v>3721</v>
      </c>
      <c r="Q119" s="68">
        <f t="shared" si="353"/>
        <v>110</v>
      </c>
      <c r="R119" s="418">
        <v>540</v>
      </c>
      <c r="S119" s="419">
        <f t="shared" si="354"/>
        <v>0.04</v>
      </c>
      <c r="T119" s="420">
        <v>0</v>
      </c>
      <c r="U119" s="527">
        <v>0.04</v>
      </c>
      <c r="V119" s="427">
        <f t="shared" si="355"/>
        <v>0</v>
      </c>
      <c r="W119" s="421">
        <f t="shared" si="355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 t="shared" si="356"/>
        <v>0</v>
      </c>
      <c r="AG119" s="421">
        <f t="shared" si="357"/>
        <v>0</v>
      </c>
      <c r="AH119" s="421">
        <f t="shared" si="358"/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si="359"/>
        <v>0</v>
      </c>
      <c r="AP119" s="421">
        <f t="shared" si="360"/>
        <v>0</v>
      </c>
      <c r="AQ119" s="421">
        <f t="shared" si="361"/>
        <v>0</v>
      </c>
      <c r="AR119" s="421">
        <f t="shared" si="362"/>
        <v>0</v>
      </c>
      <c r="AS119" s="421">
        <f t="shared" si="362"/>
        <v>0</v>
      </c>
      <c r="AT119" s="421">
        <f t="shared" si="363"/>
        <v>0</v>
      </c>
      <c r="AU119" s="68">
        <f t="shared" si="364"/>
        <v>0</v>
      </c>
      <c r="AV119" s="68">
        <f t="shared" si="365"/>
        <v>0</v>
      </c>
      <c r="AW119" s="421">
        <v>0</v>
      </c>
      <c r="AX119" s="421">
        <v>0</v>
      </c>
      <c r="AY119" s="421">
        <f t="shared" si="366"/>
        <v>0</v>
      </c>
      <c r="AZ119" s="421">
        <f t="shared" si="367"/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 t="shared" si="368"/>
        <v>0</v>
      </c>
      <c r="BL119" s="422">
        <f t="shared" si="369"/>
        <v>0</v>
      </c>
      <c r="BM119" s="611">
        <f t="shared" si="370"/>
        <v>0</v>
      </c>
      <c r="BN119" s="428">
        <f t="shared" si="371"/>
        <v>15380</v>
      </c>
      <c r="BO119" s="421">
        <f t="shared" si="372"/>
        <v>11009</v>
      </c>
      <c r="BP119" s="421">
        <f t="shared" si="373"/>
        <v>0</v>
      </c>
      <c r="BQ119" s="421">
        <f t="shared" si="373"/>
        <v>11009</v>
      </c>
      <c r="BR119" s="421">
        <f t="shared" si="374"/>
        <v>0</v>
      </c>
      <c r="BS119" s="421">
        <f t="shared" si="375"/>
        <v>0</v>
      </c>
      <c r="BT119" s="421">
        <f t="shared" si="375"/>
        <v>0</v>
      </c>
      <c r="BU119" s="421">
        <f t="shared" si="376"/>
        <v>3721</v>
      </c>
      <c r="BV119" s="421">
        <f t="shared" si="376"/>
        <v>110</v>
      </c>
      <c r="BW119" s="421">
        <f t="shared" si="377"/>
        <v>540</v>
      </c>
      <c r="BX119" s="422">
        <f t="shared" si="378"/>
        <v>0.04</v>
      </c>
      <c r="BY119" s="422">
        <f t="shared" si="379"/>
        <v>0</v>
      </c>
      <c r="BZ119" s="611">
        <f t="shared" si="379"/>
        <v>0.04</v>
      </c>
      <c r="CA119" s="423"/>
      <c r="CB119" s="418"/>
      <c r="CC119" s="418"/>
      <c r="CD119" s="418"/>
      <c r="CE119" s="418"/>
      <c r="CF119" s="527"/>
    </row>
    <row r="120" spans="1:84" s="222" customFormat="1" x14ac:dyDescent="0.2">
      <c r="A120" s="155">
        <v>21</v>
      </c>
      <c r="B120" s="18">
        <v>4435</v>
      </c>
      <c r="C120" s="18">
        <v>650034295</v>
      </c>
      <c r="D120" s="18">
        <v>72744669</v>
      </c>
      <c r="E120" s="164" t="s">
        <v>187</v>
      </c>
      <c r="F120" s="18"/>
      <c r="G120" s="154"/>
      <c r="H120" s="685"/>
      <c r="I120" s="458">
        <f t="shared" ref="I120:BU120" si="380">SUM(I114:I119)</f>
        <v>10366493</v>
      </c>
      <c r="J120" s="451">
        <f t="shared" si="380"/>
        <v>7624774</v>
      </c>
      <c r="K120" s="451">
        <f t="shared" si="380"/>
        <v>6282711</v>
      </c>
      <c r="L120" s="451">
        <f t="shared" si="380"/>
        <v>1342063</v>
      </c>
      <c r="M120" s="451">
        <f t="shared" si="380"/>
        <v>0</v>
      </c>
      <c r="N120" s="451">
        <f t="shared" si="380"/>
        <v>0</v>
      </c>
      <c r="O120" s="451">
        <f t="shared" si="380"/>
        <v>0</v>
      </c>
      <c r="P120" s="451">
        <f t="shared" si="380"/>
        <v>2577173</v>
      </c>
      <c r="Q120" s="451">
        <f t="shared" si="380"/>
        <v>76247</v>
      </c>
      <c r="R120" s="451">
        <f t="shared" si="380"/>
        <v>88299</v>
      </c>
      <c r="S120" s="452">
        <f t="shared" si="380"/>
        <v>14.2561</v>
      </c>
      <c r="T120" s="452">
        <f t="shared" si="380"/>
        <v>10.191700000000001</v>
      </c>
      <c r="U120" s="39">
        <f t="shared" si="380"/>
        <v>4.0644</v>
      </c>
      <c r="V120" s="458">
        <f t="shared" si="380"/>
        <v>-67200</v>
      </c>
      <c r="W120" s="451">
        <f t="shared" si="380"/>
        <v>-16000</v>
      </c>
      <c r="X120" s="451">
        <f t="shared" si="380"/>
        <v>793107</v>
      </c>
      <c r="Y120" s="451">
        <f t="shared" si="380"/>
        <v>0</v>
      </c>
      <c r="Z120" s="451">
        <f t="shared" si="380"/>
        <v>0</v>
      </c>
      <c r="AA120" s="451">
        <f t="shared" si="380"/>
        <v>0</v>
      </c>
      <c r="AB120" s="451">
        <f t="shared" si="380"/>
        <v>0</v>
      </c>
      <c r="AC120" s="451">
        <f t="shared" si="380"/>
        <v>0</v>
      </c>
      <c r="AD120" s="451">
        <f t="shared" si="380"/>
        <v>0</v>
      </c>
      <c r="AE120" s="451">
        <f t="shared" si="380"/>
        <v>0</v>
      </c>
      <c r="AF120" s="451">
        <f t="shared" si="380"/>
        <v>725907</v>
      </c>
      <c r="AG120" s="451">
        <f t="shared" si="380"/>
        <v>-16000</v>
      </c>
      <c r="AH120" s="451">
        <f t="shared" si="380"/>
        <v>709907</v>
      </c>
      <c r="AI120" s="451">
        <f t="shared" si="380"/>
        <v>67200</v>
      </c>
      <c r="AJ120" s="451">
        <f t="shared" si="380"/>
        <v>16000</v>
      </c>
      <c r="AK120" s="451">
        <f t="shared" ref="AK120" si="381">SUM(AK114:AK119)</f>
        <v>0</v>
      </c>
      <c r="AL120" s="451">
        <f t="shared" si="380"/>
        <v>0</v>
      </c>
      <c r="AM120" s="451">
        <f t="shared" si="380"/>
        <v>0</v>
      </c>
      <c r="AN120" s="451">
        <f t="shared" si="380"/>
        <v>0</v>
      </c>
      <c r="AO120" s="451">
        <f t="shared" si="380"/>
        <v>67200</v>
      </c>
      <c r="AP120" s="451">
        <f t="shared" si="380"/>
        <v>16000</v>
      </c>
      <c r="AQ120" s="451">
        <f t="shared" si="380"/>
        <v>83200</v>
      </c>
      <c r="AR120" s="451">
        <f t="shared" si="380"/>
        <v>793107</v>
      </c>
      <c r="AS120" s="451">
        <f t="shared" si="380"/>
        <v>0</v>
      </c>
      <c r="AT120" s="451">
        <f t="shared" si="380"/>
        <v>793107</v>
      </c>
      <c r="AU120" s="451">
        <f t="shared" si="380"/>
        <v>268070</v>
      </c>
      <c r="AV120" s="451">
        <f t="shared" si="380"/>
        <v>7099</v>
      </c>
      <c r="AW120" s="451">
        <f t="shared" si="380"/>
        <v>0</v>
      </c>
      <c r="AX120" s="451">
        <f t="shared" si="380"/>
        <v>0</v>
      </c>
      <c r="AY120" s="451">
        <f t="shared" si="380"/>
        <v>0</v>
      </c>
      <c r="AZ120" s="451">
        <f t="shared" si="380"/>
        <v>1068276</v>
      </c>
      <c r="BA120" s="452">
        <f t="shared" si="380"/>
        <v>-0.05</v>
      </c>
      <c r="BB120" s="452">
        <f t="shared" si="380"/>
        <v>0</v>
      </c>
      <c r="BC120" s="452">
        <f t="shared" si="380"/>
        <v>2.14</v>
      </c>
      <c r="BD120" s="452">
        <f t="shared" si="380"/>
        <v>0</v>
      </c>
      <c r="BE120" s="452">
        <f t="shared" si="380"/>
        <v>0</v>
      </c>
      <c r="BF120" s="452">
        <f t="shared" si="380"/>
        <v>0</v>
      </c>
      <c r="BG120" s="452">
        <f t="shared" si="380"/>
        <v>0</v>
      </c>
      <c r="BH120" s="452">
        <f t="shared" si="380"/>
        <v>0</v>
      </c>
      <c r="BI120" s="452">
        <f t="shared" si="380"/>
        <v>0</v>
      </c>
      <c r="BJ120" s="452">
        <f t="shared" si="380"/>
        <v>0</v>
      </c>
      <c r="BK120" s="452">
        <f t="shared" si="380"/>
        <v>2.0900000000000003</v>
      </c>
      <c r="BL120" s="452">
        <f t="shared" si="380"/>
        <v>0</v>
      </c>
      <c r="BM120" s="456">
        <f t="shared" si="380"/>
        <v>2.0900000000000003</v>
      </c>
      <c r="BN120" s="454">
        <f t="shared" si="380"/>
        <v>11434769</v>
      </c>
      <c r="BO120" s="451">
        <f t="shared" si="380"/>
        <v>8334681</v>
      </c>
      <c r="BP120" s="451">
        <f t="shared" si="380"/>
        <v>7008618</v>
      </c>
      <c r="BQ120" s="451">
        <f t="shared" si="380"/>
        <v>1326063</v>
      </c>
      <c r="BR120" s="451">
        <f t="shared" si="380"/>
        <v>83200</v>
      </c>
      <c r="BS120" s="451">
        <f t="shared" si="380"/>
        <v>67200</v>
      </c>
      <c r="BT120" s="451">
        <f t="shared" si="380"/>
        <v>16000</v>
      </c>
      <c r="BU120" s="451">
        <f t="shared" si="380"/>
        <v>2845243</v>
      </c>
      <c r="BV120" s="451">
        <f t="shared" ref="BV120:CF120" si="382">SUM(BV114:BV119)</f>
        <v>83346</v>
      </c>
      <c r="BW120" s="451">
        <f t="shared" si="382"/>
        <v>88299</v>
      </c>
      <c r="BX120" s="452">
        <f t="shared" si="382"/>
        <v>16.3461</v>
      </c>
      <c r="BY120" s="452">
        <f t="shared" si="382"/>
        <v>12.281700000000001</v>
      </c>
      <c r="BZ120" s="456">
        <f t="shared" si="382"/>
        <v>4.0644</v>
      </c>
      <c r="CA120" s="854">
        <f t="shared" si="382"/>
        <v>0</v>
      </c>
      <c r="CB120" s="852">
        <f t="shared" si="382"/>
        <v>0</v>
      </c>
      <c r="CC120" s="852">
        <f t="shared" si="382"/>
        <v>0</v>
      </c>
      <c r="CD120" s="852">
        <f t="shared" si="382"/>
        <v>0</v>
      </c>
      <c r="CE120" s="852">
        <f t="shared" si="382"/>
        <v>0</v>
      </c>
      <c r="CF120" s="848">
        <f t="shared" si="382"/>
        <v>0</v>
      </c>
    </row>
    <row r="121" spans="1:84" s="222" customFormat="1" x14ac:dyDescent="0.2">
      <c r="A121" s="210">
        <v>22</v>
      </c>
      <c r="B121" s="211">
        <v>4412</v>
      </c>
      <c r="C121" s="211">
        <v>600074447</v>
      </c>
      <c r="D121" s="211">
        <v>70698554</v>
      </c>
      <c r="E121" s="209" t="s">
        <v>188</v>
      </c>
      <c r="F121" s="211">
        <v>3111</v>
      </c>
      <c r="G121" s="165" t="s">
        <v>291</v>
      </c>
      <c r="H121" s="699" t="s">
        <v>271</v>
      </c>
      <c r="I121" s="528">
        <f t="shared" ref="I121:I123" si="383">J121+P121+Q121+R121</f>
        <v>3565280</v>
      </c>
      <c r="J121" s="418">
        <f>K121+L121</f>
        <v>2636746</v>
      </c>
      <c r="K121" s="418">
        <v>2414954</v>
      </c>
      <c r="L121" s="418">
        <v>221792</v>
      </c>
      <c r="M121" s="418">
        <f>N121+O121</f>
        <v>0</v>
      </c>
      <c r="N121" s="418"/>
      <c r="O121" s="418"/>
      <c r="P121" s="68">
        <f t="shared" ref="P121:P123" si="384">ROUND(J121*33.8%,0)</f>
        <v>891220</v>
      </c>
      <c r="Q121" s="68">
        <f t="shared" ref="Q121:Q123" si="385">ROUND(J121*1%,0)</f>
        <v>26367</v>
      </c>
      <c r="R121" s="418">
        <v>10947</v>
      </c>
      <c r="S121" s="419">
        <f>T121+U121</f>
        <v>4.7466999999999997</v>
      </c>
      <c r="T121" s="420">
        <v>4</v>
      </c>
      <c r="U121" s="527">
        <v>0.74669999999999992</v>
      </c>
      <c r="V121" s="427">
        <f t="shared" ref="V121:W123" si="386">AI121*-1</f>
        <v>0</v>
      </c>
      <c r="W121" s="421">
        <f t="shared" si="386"/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>V121+X121+Y121+AA121+AB121+AD121</f>
        <v>0</v>
      </c>
      <c r="AG121" s="421">
        <f>W121+Z121+AC121+AE121</f>
        <v>0</v>
      </c>
      <c r="AH121" s="421">
        <f>SUM(AF121:AG121)</f>
        <v>0</v>
      </c>
      <c r="AI121" s="421">
        <v>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ref="AO121:AO123" si="387">AI121+AK121+AL121+AM121</f>
        <v>0</v>
      </c>
      <c r="AP121" s="421">
        <f>AJ121+AN121</f>
        <v>0</v>
      </c>
      <c r="AQ121" s="421">
        <f>SUM(AO121:AP121)</f>
        <v>0</v>
      </c>
      <c r="AR121" s="421">
        <f t="shared" ref="AR121:AS123" si="388">AF121+AO121</f>
        <v>0</v>
      </c>
      <c r="AS121" s="421">
        <f t="shared" si="388"/>
        <v>0</v>
      </c>
      <c r="AT121" s="421">
        <f>SUM(AR121:AS121)</f>
        <v>0</v>
      </c>
      <c r="AU121" s="68">
        <f t="shared" ref="AU121:AU123" si="389">ROUND((AH121+AI121+AJ121+AK121+AL121)*33.8%,0)</f>
        <v>0</v>
      </c>
      <c r="AV121" s="68">
        <f>ROUND(AH121*1%,0)</f>
        <v>0</v>
      </c>
      <c r="AW121" s="421">
        <v>0</v>
      </c>
      <c r="AX121" s="421">
        <v>0</v>
      </c>
      <c r="AY121" s="421">
        <f>AW121+AX121</f>
        <v>0</v>
      </c>
      <c r="AZ121" s="421">
        <f>AT121+AU121+AV121+AY121</f>
        <v>0</v>
      </c>
      <c r="BA121" s="422">
        <v>0</v>
      </c>
      <c r="BB121" s="422">
        <v>0</v>
      </c>
      <c r="BC121" s="422">
        <v>0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0</v>
      </c>
      <c r="BL121" s="422">
        <f>BB121+BE121+BG121+BJ121</f>
        <v>0</v>
      </c>
      <c r="BM121" s="611">
        <f>SUM(BK121:BL121)</f>
        <v>0</v>
      </c>
      <c r="BN121" s="428">
        <f>I121+AZ121</f>
        <v>3565280</v>
      </c>
      <c r="BO121" s="421">
        <f>J121+AH121</f>
        <v>2636746</v>
      </c>
      <c r="BP121" s="421">
        <f t="shared" ref="BP121:BQ123" si="390">K121+AF121</f>
        <v>2414954</v>
      </c>
      <c r="BQ121" s="421">
        <f t="shared" si="390"/>
        <v>221792</v>
      </c>
      <c r="BR121" s="421">
        <f>M121+AQ121</f>
        <v>0</v>
      </c>
      <c r="BS121" s="421">
        <f t="shared" ref="BS121:BT123" si="391">N121+AO121</f>
        <v>0</v>
      </c>
      <c r="BT121" s="421">
        <f t="shared" si="391"/>
        <v>0</v>
      </c>
      <c r="BU121" s="421">
        <f t="shared" ref="BU121:BV123" si="392">P121+AU121</f>
        <v>891220</v>
      </c>
      <c r="BV121" s="421">
        <f t="shared" si="392"/>
        <v>26367</v>
      </c>
      <c r="BW121" s="421">
        <f>R121+AY121</f>
        <v>10947</v>
      </c>
      <c r="BX121" s="422">
        <f>S121+BM121</f>
        <v>4.7466999999999997</v>
      </c>
      <c r="BY121" s="422">
        <f t="shared" ref="BY121:BZ123" si="393">T121+BK121</f>
        <v>4</v>
      </c>
      <c r="BZ121" s="611">
        <f t="shared" si="393"/>
        <v>0.74669999999999992</v>
      </c>
      <c r="CA121" s="423"/>
      <c r="CB121" s="418"/>
      <c r="CC121" s="418"/>
      <c r="CD121" s="418"/>
      <c r="CE121" s="418"/>
      <c r="CF121" s="527"/>
    </row>
    <row r="122" spans="1:84" s="222" customFormat="1" x14ac:dyDescent="0.2">
      <c r="A122" s="210">
        <v>22</v>
      </c>
      <c r="B122" s="211">
        <v>4412</v>
      </c>
      <c r="C122" s="211">
        <v>600074447</v>
      </c>
      <c r="D122" s="211">
        <v>70698554</v>
      </c>
      <c r="E122" s="209" t="s">
        <v>188</v>
      </c>
      <c r="F122" s="211">
        <v>3111</v>
      </c>
      <c r="G122" s="165" t="s">
        <v>292</v>
      </c>
      <c r="H122" s="699" t="s">
        <v>272</v>
      </c>
      <c r="I122" s="528">
        <f t="shared" si="383"/>
        <v>0</v>
      </c>
      <c r="J122" s="418">
        <f>K122+L122</f>
        <v>0</v>
      </c>
      <c r="K122" s="418">
        <v>0</v>
      </c>
      <c r="L122" s="418">
        <v>0</v>
      </c>
      <c r="M122" s="418">
        <f>N122+O122</f>
        <v>0</v>
      </c>
      <c r="N122" s="418"/>
      <c r="O122" s="418"/>
      <c r="P122" s="68">
        <f t="shared" si="384"/>
        <v>0</v>
      </c>
      <c r="Q122" s="68">
        <f t="shared" si="385"/>
        <v>0</v>
      </c>
      <c r="R122" s="418">
        <v>0</v>
      </c>
      <c r="S122" s="419">
        <f>T122+U122</f>
        <v>0</v>
      </c>
      <c r="T122" s="420">
        <v>0</v>
      </c>
      <c r="U122" s="527">
        <v>0</v>
      </c>
      <c r="V122" s="427">
        <f t="shared" si="386"/>
        <v>0</v>
      </c>
      <c r="W122" s="421">
        <f t="shared" si="386"/>
        <v>0</v>
      </c>
      <c r="X122" s="421">
        <v>648902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648902</v>
      </c>
      <c r="AG122" s="421">
        <f>W122+Z122+AC122+AE122</f>
        <v>0</v>
      </c>
      <c r="AH122" s="421">
        <f>SUM(AF122:AG122)</f>
        <v>648902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387"/>
        <v>0</v>
      </c>
      <c r="AP122" s="421">
        <f>AJ122+AN122</f>
        <v>0</v>
      </c>
      <c r="AQ122" s="421">
        <f>SUM(AO122:AP122)</f>
        <v>0</v>
      </c>
      <c r="AR122" s="421">
        <f t="shared" si="388"/>
        <v>648902</v>
      </c>
      <c r="AS122" s="421">
        <f t="shared" si="388"/>
        <v>0</v>
      </c>
      <c r="AT122" s="421">
        <f>SUM(AR122:AS122)</f>
        <v>648902</v>
      </c>
      <c r="AU122" s="68">
        <f t="shared" si="389"/>
        <v>219329</v>
      </c>
      <c r="AV122" s="68">
        <f>ROUND(AH122*1%,0)</f>
        <v>6489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874720</v>
      </c>
      <c r="BA122" s="422">
        <v>0</v>
      </c>
      <c r="BB122" s="422">
        <v>0</v>
      </c>
      <c r="BC122" s="422">
        <v>1.75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1.75</v>
      </c>
      <c r="BL122" s="422">
        <f>BB122+BE122+BG122+BJ122</f>
        <v>0</v>
      </c>
      <c r="BM122" s="611">
        <f>SUM(BK122:BL122)</f>
        <v>1.75</v>
      </c>
      <c r="BN122" s="428">
        <f>I122+AZ122</f>
        <v>874720</v>
      </c>
      <c r="BO122" s="421">
        <f>J122+AH122</f>
        <v>648902</v>
      </c>
      <c r="BP122" s="421">
        <f t="shared" si="390"/>
        <v>648902</v>
      </c>
      <c r="BQ122" s="421">
        <f t="shared" si="390"/>
        <v>0</v>
      </c>
      <c r="BR122" s="421">
        <f>M122+AQ122</f>
        <v>0</v>
      </c>
      <c r="BS122" s="421">
        <f t="shared" si="391"/>
        <v>0</v>
      </c>
      <c r="BT122" s="421">
        <f t="shared" si="391"/>
        <v>0</v>
      </c>
      <c r="BU122" s="421">
        <f t="shared" si="392"/>
        <v>219329</v>
      </c>
      <c r="BV122" s="421">
        <f t="shared" si="392"/>
        <v>6489</v>
      </c>
      <c r="BW122" s="421">
        <f>R122+AY122</f>
        <v>0</v>
      </c>
      <c r="BX122" s="422">
        <f>S122+BM122</f>
        <v>1.75</v>
      </c>
      <c r="BY122" s="422">
        <f t="shared" si="393"/>
        <v>1.75</v>
      </c>
      <c r="BZ122" s="611">
        <f t="shared" si="393"/>
        <v>0</v>
      </c>
      <c r="CA122" s="423"/>
      <c r="CB122" s="418"/>
      <c r="CC122" s="418"/>
      <c r="CD122" s="418"/>
      <c r="CE122" s="418"/>
      <c r="CF122" s="527"/>
    </row>
    <row r="123" spans="1:84" s="222" customFormat="1" x14ac:dyDescent="0.2">
      <c r="A123" s="210">
        <v>22</v>
      </c>
      <c r="B123" s="211">
        <v>4412</v>
      </c>
      <c r="C123" s="211">
        <v>600074447</v>
      </c>
      <c r="D123" s="211">
        <v>70698554</v>
      </c>
      <c r="E123" s="205" t="s">
        <v>188</v>
      </c>
      <c r="F123" s="211">
        <v>3141</v>
      </c>
      <c r="G123" s="165" t="s">
        <v>295</v>
      </c>
      <c r="H123" s="699" t="s">
        <v>272</v>
      </c>
      <c r="I123" s="528">
        <f t="shared" si="383"/>
        <v>403002</v>
      </c>
      <c r="J123" s="418">
        <f>K123+L123</f>
        <v>297898</v>
      </c>
      <c r="K123" s="418">
        <v>0</v>
      </c>
      <c r="L123" s="418">
        <v>297898</v>
      </c>
      <c r="M123" s="418">
        <f>N123+O123</f>
        <v>0</v>
      </c>
      <c r="N123" s="418"/>
      <c r="O123" s="418"/>
      <c r="P123" s="68">
        <f t="shared" si="384"/>
        <v>100690</v>
      </c>
      <c r="Q123" s="68">
        <f t="shared" si="385"/>
        <v>2979</v>
      </c>
      <c r="R123" s="418">
        <v>1435</v>
      </c>
      <c r="S123" s="419">
        <f>T123+U123</f>
        <v>0.89</v>
      </c>
      <c r="T123" s="420">
        <v>0</v>
      </c>
      <c r="U123" s="527">
        <v>0.89</v>
      </c>
      <c r="V123" s="427">
        <f t="shared" si="386"/>
        <v>0</v>
      </c>
      <c r="W123" s="421">
        <f t="shared" si="386"/>
        <v>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f>V123+X123+Y123+AA123+AB123+AD123</f>
        <v>0</v>
      </c>
      <c r="AG123" s="421">
        <f>W123+Z123+AC123+AE123</f>
        <v>0</v>
      </c>
      <c r="AH123" s="421">
        <f>SUM(AF123:AG123)</f>
        <v>0</v>
      </c>
      <c r="AI123" s="421">
        <v>0</v>
      </c>
      <c r="AJ123" s="421">
        <v>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387"/>
        <v>0</v>
      </c>
      <c r="AP123" s="421">
        <f>AJ123+AN123</f>
        <v>0</v>
      </c>
      <c r="AQ123" s="421">
        <f>SUM(AO123:AP123)</f>
        <v>0</v>
      </c>
      <c r="AR123" s="421">
        <f t="shared" si="388"/>
        <v>0</v>
      </c>
      <c r="AS123" s="421">
        <f t="shared" si="388"/>
        <v>0</v>
      </c>
      <c r="AT123" s="421">
        <f>SUM(AR123:AS123)</f>
        <v>0</v>
      </c>
      <c r="AU123" s="68">
        <f t="shared" si="389"/>
        <v>0</v>
      </c>
      <c r="AV123" s="68">
        <f>ROUND(AH123*1%,0)</f>
        <v>0</v>
      </c>
      <c r="AW123" s="421">
        <v>0</v>
      </c>
      <c r="AX123" s="421">
        <v>0</v>
      </c>
      <c r="AY123" s="421">
        <f>AW123+AX123</f>
        <v>0</v>
      </c>
      <c r="AZ123" s="421">
        <f>AT123+AU123+AV123+AY123</f>
        <v>0</v>
      </c>
      <c r="BA123" s="422">
        <v>0</v>
      </c>
      <c r="BB123" s="422">
        <v>0</v>
      </c>
      <c r="BC123" s="422">
        <v>0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>BA123+BC123+BD123+BF123+BH123+BI123</f>
        <v>0</v>
      </c>
      <c r="BL123" s="422">
        <f>BB123+BE123+BG123+BJ123</f>
        <v>0</v>
      </c>
      <c r="BM123" s="611">
        <f>SUM(BK123:BL123)</f>
        <v>0</v>
      </c>
      <c r="BN123" s="428">
        <f>I123+AZ123</f>
        <v>403002</v>
      </c>
      <c r="BO123" s="421">
        <f>J123+AH123</f>
        <v>297898</v>
      </c>
      <c r="BP123" s="421">
        <f t="shared" si="390"/>
        <v>0</v>
      </c>
      <c r="BQ123" s="421">
        <f t="shared" si="390"/>
        <v>297898</v>
      </c>
      <c r="BR123" s="421">
        <f>M123+AQ123</f>
        <v>0</v>
      </c>
      <c r="BS123" s="421">
        <f t="shared" si="391"/>
        <v>0</v>
      </c>
      <c r="BT123" s="421">
        <f t="shared" si="391"/>
        <v>0</v>
      </c>
      <c r="BU123" s="421">
        <f t="shared" si="392"/>
        <v>100690</v>
      </c>
      <c r="BV123" s="421">
        <f t="shared" si="392"/>
        <v>2979</v>
      </c>
      <c r="BW123" s="421">
        <f>R123+AY123</f>
        <v>1435</v>
      </c>
      <c r="BX123" s="422">
        <f>S123+BM123</f>
        <v>0.89</v>
      </c>
      <c r="BY123" s="422">
        <f t="shared" si="393"/>
        <v>0</v>
      </c>
      <c r="BZ123" s="611">
        <f t="shared" si="393"/>
        <v>0.89</v>
      </c>
      <c r="CA123" s="423"/>
      <c r="CB123" s="418"/>
      <c r="CC123" s="418"/>
      <c r="CD123" s="418"/>
      <c r="CE123" s="418"/>
      <c r="CF123" s="527"/>
    </row>
    <row r="124" spans="1:84" s="222" customFormat="1" x14ac:dyDescent="0.2">
      <c r="A124" s="155">
        <v>22</v>
      </c>
      <c r="B124" s="18">
        <v>4412</v>
      </c>
      <c r="C124" s="18">
        <v>600074447</v>
      </c>
      <c r="D124" s="18">
        <v>70698554</v>
      </c>
      <c r="E124" s="164" t="s">
        <v>189</v>
      </c>
      <c r="F124" s="18"/>
      <c r="G124" s="154"/>
      <c r="H124" s="685"/>
      <c r="I124" s="458">
        <f t="shared" ref="I124:BU124" si="394">SUM(I121:I123)</f>
        <v>3968282</v>
      </c>
      <c r="J124" s="451">
        <f t="shared" si="394"/>
        <v>2934644</v>
      </c>
      <c r="K124" s="451">
        <f t="shared" si="394"/>
        <v>2414954</v>
      </c>
      <c r="L124" s="451">
        <f t="shared" si="394"/>
        <v>519690</v>
      </c>
      <c r="M124" s="451">
        <f t="shared" si="394"/>
        <v>0</v>
      </c>
      <c r="N124" s="451">
        <f t="shared" si="394"/>
        <v>0</v>
      </c>
      <c r="O124" s="451">
        <f t="shared" si="394"/>
        <v>0</v>
      </c>
      <c r="P124" s="451">
        <f t="shared" si="394"/>
        <v>991910</v>
      </c>
      <c r="Q124" s="451">
        <f t="shared" si="394"/>
        <v>29346</v>
      </c>
      <c r="R124" s="451">
        <f t="shared" si="394"/>
        <v>12382</v>
      </c>
      <c r="S124" s="452">
        <f t="shared" si="394"/>
        <v>5.6366999999999994</v>
      </c>
      <c r="T124" s="452">
        <f t="shared" si="394"/>
        <v>4</v>
      </c>
      <c r="U124" s="39">
        <f t="shared" si="394"/>
        <v>1.6366999999999998</v>
      </c>
      <c r="V124" s="458">
        <f t="shared" si="394"/>
        <v>0</v>
      </c>
      <c r="W124" s="451">
        <f t="shared" si="394"/>
        <v>0</v>
      </c>
      <c r="X124" s="451">
        <f t="shared" si="394"/>
        <v>648902</v>
      </c>
      <c r="Y124" s="451">
        <f t="shared" si="394"/>
        <v>0</v>
      </c>
      <c r="Z124" s="451">
        <f t="shared" si="394"/>
        <v>0</v>
      </c>
      <c r="AA124" s="451">
        <f t="shared" si="394"/>
        <v>0</v>
      </c>
      <c r="AB124" s="451">
        <f t="shared" si="394"/>
        <v>0</v>
      </c>
      <c r="AC124" s="451">
        <f t="shared" si="394"/>
        <v>0</v>
      </c>
      <c r="AD124" s="451">
        <f t="shared" si="394"/>
        <v>0</v>
      </c>
      <c r="AE124" s="451">
        <f t="shared" si="394"/>
        <v>0</v>
      </c>
      <c r="AF124" s="451">
        <f t="shared" si="394"/>
        <v>648902</v>
      </c>
      <c r="AG124" s="451">
        <f t="shared" si="394"/>
        <v>0</v>
      </c>
      <c r="AH124" s="451">
        <f t="shared" si="394"/>
        <v>648902</v>
      </c>
      <c r="AI124" s="451">
        <f t="shared" si="394"/>
        <v>0</v>
      </c>
      <c r="AJ124" s="451">
        <f t="shared" si="394"/>
        <v>0</v>
      </c>
      <c r="AK124" s="451">
        <f t="shared" ref="AK124" si="395">SUM(AK121:AK123)</f>
        <v>0</v>
      </c>
      <c r="AL124" s="451">
        <f t="shared" si="394"/>
        <v>0</v>
      </c>
      <c r="AM124" s="451">
        <f t="shared" si="394"/>
        <v>0</v>
      </c>
      <c r="AN124" s="451">
        <f t="shared" si="394"/>
        <v>0</v>
      </c>
      <c r="AO124" s="451">
        <f t="shared" si="394"/>
        <v>0</v>
      </c>
      <c r="AP124" s="451">
        <f t="shared" si="394"/>
        <v>0</v>
      </c>
      <c r="AQ124" s="451">
        <f t="shared" si="394"/>
        <v>0</v>
      </c>
      <c r="AR124" s="451">
        <f t="shared" si="394"/>
        <v>648902</v>
      </c>
      <c r="AS124" s="451">
        <f t="shared" si="394"/>
        <v>0</v>
      </c>
      <c r="AT124" s="451">
        <f t="shared" si="394"/>
        <v>648902</v>
      </c>
      <c r="AU124" s="451">
        <f t="shared" si="394"/>
        <v>219329</v>
      </c>
      <c r="AV124" s="451">
        <f t="shared" si="394"/>
        <v>6489</v>
      </c>
      <c r="AW124" s="451">
        <f t="shared" si="394"/>
        <v>0</v>
      </c>
      <c r="AX124" s="451">
        <f t="shared" si="394"/>
        <v>0</v>
      </c>
      <c r="AY124" s="451">
        <f t="shared" si="394"/>
        <v>0</v>
      </c>
      <c r="AZ124" s="451">
        <f t="shared" si="394"/>
        <v>874720</v>
      </c>
      <c r="BA124" s="452">
        <f t="shared" si="394"/>
        <v>0</v>
      </c>
      <c r="BB124" s="452">
        <f t="shared" si="394"/>
        <v>0</v>
      </c>
      <c r="BC124" s="452">
        <f t="shared" si="394"/>
        <v>1.75</v>
      </c>
      <c r="BD124" s="452">
        <f t="shared" si="394"/>
        <v>0</v>
      </c>
      <c r="BE124" s="452">
        <f t="shared" si="394"/>
        <v>0</v>
      </c>
      <c r="BF124" s="452">
        <f t="shared" si="394"/>
        <v>0</v>
      </c>
      <c r="BG124" s="452">
        <f t="shared" si="394"/>
        <v>0</v>
      </c>
      <c r="BH124" s="452">
        <f t="shared" si="394"/>
        <v>0</v>
      </c>
      <c r="BI124" s="452">
        <f t="shared" si="394"/>
        <v>0</v>
      </c>
      <c r="BJ124" s="452">
        <f t="shared" si="394"/>
        <v>0</v>
      </c>
      <c r="BK124" s="452">
        <f t="shared" si="394"/>
        <v>1.75</v>
      </c>
      <c r="BL124" s="452">
        <f t="shared" si="394"/>
        <v>0</v>
      </c>
      <c r="BM124" s="456">
        <f t="shared" si="394"/>
        <v>1.75</v>
      </c>
      <c r="BN124" s="454">
        <f t="shared" si="394"/>
        <v>4843002</v>
      </c>
      <c r="BO124" s="451">
        <f t="shared" si="394"/>
        <v>3583546</v>
      </c>
      <c r="BP124" s="451">
        <f t="shared" si="394"/>
        <v>3063856</v>
      </c>
      <c r="BQ124" s="451">
        <f t="shared" si="394"/>
        <v>519690</v>
      </c>
      <c r="BR124" s="451">
        <f t="shared" si="394"/>
        <v>0</v>
      </c>
      <c r="BS124" s="451">
        <f t="shared" si="394"/>
        <v>0</v>
      </c>
      <c r="BT124" s="451">
        <f t="shared" si="394"/>
        <v>0</v>
      </c>
      <c r="BU124" s="451">
        <f t="shared" si="394"/>
        <v>1211239</v>
      </c>
      <c r="BV124" s="451">
        <f t="shared" ref="BV124:CF124" si="396">SUM(BV121:BV123)</f>
        <v>35835</v>
      </c>
      <c r="BW124" s="451">
        <f t="shared" si="396"/>
        <v>12382</v>
      </c>
      <c r="BX124" s="452">
        <f t="shared" si="396"/>
        <v>7.3866999999999994</v>
      </c>
      <c r="BY124" s="452">
        <f t="shared" si="396"/>
        <v>5.75</v>
      </c>
      <c r="BZ124" s="456">
        <f t="shared" si="396"/>
        <v>1.6366999999999998</v>
      </c>
      <c r="CA124" s="854">
        <f t="shared" si="396"/>
        <v>0</v>
      </c>
      <c r="CB124" s="852">
        <f t="shared" si="396"/>
        <v>0</v>
      </c>
      <c r="CC124" s="852">
        <f t="shared" si="396"/>
        <v>0</v>
      </c>
      <c r="CD124" s="852">
        <f t="shared" si="396"/>
        <v>0</v>
      </c>
      <c r="CE124" s="852">
        <f t="shared" si="396"/>
        <v>0</v>
      </c>
      <c r="CF124" s="848">
        <f t="shared" si="396"/>
        <v>0</v>
      </c>
    </row>
    <row r="125" spans="1:84" s="222" customFormat="1" x14ac:dyDescent="0.2">
      <c r="A125" s="210">
        <v>23</v>
      </c>
      <c r="B125" s="211">
        <v>4413</v>
      </c>
      <c r="C125" s="211">
        <v>600074455</v>
      </c>
      <c r="D125" s="211">
        <v>70695369</v>
      </c>
      <c r="E125" s="209" t="s">
        <v>190</v>
      </c>
      <c r="F125" s="211">
        <v>3111</v>
      </c>
      <c r="G125" s="165" t="s">
        <v>291</v>
      </c>
      <c r="H125" s="699" t="s">
        <v>271</v>
      </c>
      <c r="I125" s="528">
        <f t="shared" ref="I125:I129" si="397">J125+P125+Q125+R125</f>
        <v>9644530</v>
      </c>
      <c r="J125" s="418">
        <f>K125+L125</f>
        <v>7130729</v>
      </c>
      <c r="K125" s="418">
        <v>6545510</v>
      </c>
      <c r="L125" s="418">
        <v>585219</v>
      </c>
      <c r="M125" s="418">
        <f>N125+O125</f>
        <v>0</v>
      </c>
      <c r="N125" s="418"/>
      <c r="O125" s="418"/>
      <c r="P125" s="68">
        <f>ROUND(J125*33.8%,0)+1</f>
        <v>2410187</v>
      </c>
      <c r="Q125" s="68">
        <f t="shared" ref="Q125:Q129" si="398">ROUND(J125*1%,0)</f>
        <v>71307</v>
      </c>
      <c r="R125" s="418">
        <v>32307</v>
      </c>
      <c r="S125" s="419">
        <f>T125+U125</f>
        <v>12.993500000000001</v>
      </c>
      <c r="T125" s="420">
        <v>11</v>
      </c>
      <c r="U125" s="527">
        <v>1.9935</v>
      </c>
      <c r="V125" s="427">
        <f t="shared" ref="V125:W129" si="399">AI125*-1</f>
        <v>0</v>
      </c>
      <c r="W125" s="421">
        <f t="shared" si="399"/>
        <v>0</v>
      </c>
      <c r="X125" s="421">
        <v>0</v>
      </c>
      <c r="Y125" s="421">
        <v>0</v>
      </c>
      <c r="Z125" s="421">
        <v>0</v>
      </c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f>V125+X125+Y125+AA125+AB125+AD125</f>
        <v>0</v>
      </c>
      <c r="AG125" s="421">
        <f>W125+Z125+AC125+AE125</f>
        <v>0</v>
      </c>
      <c r="AH125" s="421">
        <f>SUM(AF125:AG125)</f>
        <v>0</v>
      </c>
      <c r="AI125" s="421">
        <v>0</v>
      </c>
      <c r="AJ125" s="421">
        <v>0</v>
      </c>
      <c r="AK125" s="421">
        <v>0</v>
      </c>
      <c r="AL125" s="421">
        <v>0</v>
      </c>
      <c r="AM125" s="421">
        <v>0</v>
      </c>
      <c r="AN125" s="421">
        <v>0</v>
      </c>
      <c r="AO125" s="421">
        <f t="shared" ref="AO125:AO129" si="400">AI125+AK125+AL125+AM125</f>
        <v>0</v>
      </c>
      <c r="AP125" s="421">
        <f>AJ125+AN125</f>
        <v>0</v>
      </c>
      <c r="AQ125" s="421">
        <f>SUM(AO125:AP125)</f>
        <v>0</v>
      </c>
      <c r="AR125" s="421">
        <f t="shared" ref="AR125:AS129" si="401">AF125+AO125</f>
        <v>0</v>
      </c>
      <c r="AS125" s="421">
        <f t="shared" si="401"/>
        <v>0</v>
      </c>
      <c r="AT125" s="421">
        <f>SUM(AR125:AS125)</f>
        <v>0</v>
      </c>
      <c r="AU125" s="68">
        <f t="shared" ref="AU125:AU129" si="402">ROUND((AH125+AI125+AJ125+AK125+AL125)*33.8%,0)</f>
        <v>0</v>
      </c>
      <c r="AV125" s="68">
        <f>ROUND(AH125*1%,0)</f>
        <v>0</v>
      </c>
      <c r="AW125" s="421">
        <v>0</v>
      </c>
      <c r="AX125" s="421">
        <v>0</v>
      </c>
      <c r="AY125" s="421">
        <f>AW125+AX125</f>
        <v>0</v>
      </c>
      <c r="AZ125" s="421">
        <f>AT125+AU125+AV125+AY125</f>
        <v>0</v>
      </c>
      <c r="BA125" s="422">
        <v>0</v>
      </c>
      <c r="BB125" s="422">
        <v>0</v>
      </c>
      <c r="BC125" s="422">
        <v>0</v>
      </c>
      <c r="BD125" s="422">
        <v>0</v>
      </c>
      <c r="BE125" s="422">
        <v>0</v>
      </c>
      <c r="BF125" s="422">
        <v>0</v>
      </c>
      <c r="BG125" s="422">
        <v>0</v>
      </c>
      <c r="BH125" s="422">
        <v>0</v>
      </c>
      <c r="BI125" s="422">
        <v>0</v>
      </c>
      <c r="BJ125" s="422">
        <v>0</v>
      </c>
      <c r="BK125" s="422">
        <f>BA125+BC125+BD125+BF125+BH125+BI125</f>
        <v>0</v>
      </c>
      <c r="BL125" s="422">
        <f>BB125+BE125+BG125+BJ125</f>
        <v>0</v>
      </c>
      <c r="BM125" s="611">
        <f>SUM(BK125:BL125)</f>
        <v>0</v>
      </c>
      <c r="BN125" s="428">
        <f>I125+AZ125</f>
        <v>9644530</v>
      </c>
      <c r="BO125" s="421">
        <f>J125+AH125</f>
        <v>7130729</v>
      </c>
      <c r="BP125" s="421">
        <f t="shared" ref="BP125:BQ129" si="403">K125+AF125</f>
        <v>6545510</v>
      </c>
      <c r="BQ125" s="421">
        <f t="shared" si="403"/>
        <v>585219</v>
      </c>
      <c r="BR125" s="421">
        <f>M125+AQ125</f>
        <v>0</v>
      </c>
      <c r="BS125" s="421">
        <f t="shared" ref="BS125:BT129" si="404">N125+AO125</f>
        <v>0</v>
      </c>
      <c r="BT125" s="421">
        <f t="shared" si="404"/>
        <v>0</v>
      </c>
      <c r="BU125" s="421">
        <f t="shared" ref="BU125:BV129" si="405">P125+AU125</f>
        <v>2410187</v>
      </c>
      <c r="BV125" s="421">
        <f t="shared" si="405"/>
        <v>71307</v>
      </c>
      <c r="BW125" s="421">
        <f>R125+AY125</f>
        <v>32307</v>
      </c>
      <c r="BX125" s="422">
        <f>S125+BM125</f>
        <v>12.993500000000001</v>
      </c>
      <c r="BY125" s="422">
        <f t="shared" ref="BY125:BZ129" si="406">T125+BK125</f>
        <v>11</v>
      </c>
      <c r="BZ125" s="611">
        <f t="shared" si="406"/>
        <v>1.9935</v>
      </c>
      <c r="CA125" s="423"/>
      <c r="CB125" s="418"/>
      <c r="CC125" s="418"/>
      <c r="CD125" s="418"/>
      <c r="CE125" s="418"/>
      <c r="CF125" s="527"/>
    </row>
    <row r="126" spans="1:84" s="222" customFormat="1" x14ac:dyDescent="0.2">
      <c r="A126" s="210">
        <v>23</v>
      </c>
      <c r="B126" s="211">
        <v>4413</v>
      </c>
      <c r="C126" s="211">
        <v>600074455</v>
      </c>
      <c r="D126" s="211">
        <v>70695369</v>
      </c>
      <c r="E126" s="209" t="s">
        <v>190</v>
      </c>
      <c r="F126" s="211">
        <v>3111</v>
      </c>
      <c r="G126" s="165" t="s">
        <v>292</v>
      </c>
      <c r="H126" s="699" t="s">
        <v>272</v>
      </c>
      <c r="I126" s="528">
        <f t="shared" si="397"/>
        <v>0</v>
      </c>
      <c r="J126" s="418">
        <f>K126+L126</f>
        <v>0</v>
      </c>
      <c r="K126" s="418">
        <v>0</v>
      </c>
      <c r="L126" s="418">
        <v>0</v>
      </c>
      <c r="M126" s="418">
        <f>N126+O126</f>
        <v>0</v>
      </c>
      <c r="N126" s="418"/>
      <c r="O126" s="418"/>
      <c r="P126" s="68">
        <f t="shared" ref="P126:P129" si="407">ROUND(J126*33.8%,0)</f>
        <v>0</v>
      </c>
      <c r="Q126" s="68">
        <f t="shared" si="398"/>
        <v>0</v>
      </c>
      <c r="R126" s="418">
        <v>0</v>
      </c>
      <c r="S126" s="419">
        <f>T126+U126</f>
        <v>0</v>
      </c>
      <c r="T126" s="420">
        <v>0</v>
      </c>
      <c r="U126" s="527">
        <v>0</v>
      </c>
      <c r="V126" s="427">
        <f t="shared" si="399"/>
        <v>0</v>
      </c>
      <c r="W126" s="421">
        <f t="shared" si="399"/>
        <v>0</v>
      </c>
      <c r="X126" s="421">
        <v>1668605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>V126+X126+Y126+AA126+AB126+AD126</f>
        <v>1668605</v>
      </c>
      <c r="AG126" s="421">
        <f>W126+Z126+AC126+AE126</f>
        <v>0</v>
      </c>
      <c r="AH126" s="421">
        <f>SUM(AF126:AG126)</f>
        <v>1668605</v>
      </c>
      <c r="AI126" s="421">
        <v>0</v>
      </c>
      <c r="AJ126" s="421">
        <v>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si="400"/>
        <v>0</v>
      </c>
      <c r="AP126" s="421">
        <f>AJ126+AN126</f>
        <v>0</v>
      </c>
      <c r="AQ126" s="421">
        <f>SUM(AO126:AP126)</f>
        <v>0</v>
      </c>
      <c r="AR126" s="421">
        <f t="shared" si="401"/>
        <v>1668605</v>
      </c>
      <c r="AS126" s="421">
        <f t="shared" si="401"/>
        <v>0</v>
      </c>
      <c r="AT126" s="421">
        <f>SUM(AR126:AS126)</f>
        <v>1668605</v>
      </c>
      <c r="AU126" s="68">
        <f t="shared" si="402"/>
        <v>563988</v>
      </c>
      <c r="AV126" s="68">
        <f>ROUND(AH126*1%,0)</f>
        <v>16686</v>
      </c>
      <c r="AW126" s="421">
        <v>0</v>
      </c>
      <c r="AX126" s="421">
        <v>0</v>
      </c>
      <c r="AY126" s="421">
        <f>AW126+AX126</f>
        <v>0</v>
      </c>
      <c r="AZ126" s="421">
        <f>AT126+AU126+AV126+AY126</f>
        <v>2249279</v>
      </c>
      <c r="BA126" s="422">
        <v>0</v>
      </c>
      <c r="BB126" s="422">
        <v>0</v>
      </c>
      <c r="BC126" s="422">
        <v>4.5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>BA126+BC126+BD126+BF126+BH126+BI126</f>
        <v>4.5</v>
      </c>
      <c r="BL126" s="422">
        <f>BB126+BE126+BG126+BJ126</f>
        <v>0</v>
      </c>
      <c r="BM126" s="611">
        <f>SUM(BK126:BL126)</f>
        <v>4.5</v>
      </c>
      <c r="BN126" s="428">
        <f>I126+AZ126</f>
        <v>2249279</v>
      </c>
      <c r="BO126" s="421">
        <f>J126+AH126</f>
        <v>1668605</v>
      </c>
      <c r="BP126" s="421">
        <f t="shared" si="403"/>
        <v>1668605</v>
      </c>
      <c r="BQ126" s="421">
        <f t="shared" si="403"/>
        <v>0</v>
      </c>
      <c r="BR126" s="421">
        <f>M126+AQ126</f>
        <v>0</v>
      </c>
      <c r="BS126" s="421">
        <f t="shared" si="404"/>
        <v>0</v>
      </c>
      <c r="BT126" s="421">
        <f t="shared" si="404"/>
        <v>0</v>
      </c>
      <c r="BU126" s="421">
        <f t="shared" si="405"/>
        <v>563988</v>
      </c>
      <c r="BV126" s="421">
        <f t="shared" si="405"/>
        <v>16686</v>
      </c>
      <c r="BW126" s="421">
        <f>R126+AY126</f>
        <v>0</v>
      </c>
      <c r="BX126" s="422">
        <f>S126+BM126</f>
        <v>4.5</v>
      </c>
      <c r="BY126" s="422">
        <f t="shared" si="406"/>
        <v>4.5</v>
      </c>
      <c r="BZ126" s="611">
        <f t="shared" si="406"/>
        <v>0</v>
      </c>
      <c r="CA126" s="423"/>
      <c r="CB126" s="418"/>
      <c r="CC126" s="418"/>
      <c r="CD126" s="418"/>
      <c r="CE126" s="418"/>
      <c r="CF126" s="527"/>
    </row>
    <row r="127" spans="1:84" s="222" customFormat="1" x14ac:dyDescent="0.2">
      <c r="A127" s="210">
        <v>23</v>
      </c>
      <c r="B127" s="211">
        <v>4413</v>
      </c>
      <c r="C127" s="211">
        <v>600074455</v>
      </c>
      <c r="D127" s="211">
        <v>70695369</v>
      </c>
      <c r="E127" s="209" t="s">
        <v>190</v>
      </c>
      <c r="F127" s="211">
        <v>3141</v>
      </c>
      <c r="G127" s="165" t="s">
        <v>295</v>
      </c>
      <c r="H127" s="699" t="s">
        <v>272</v>
      </c>
      <c r="I127" s="528">
        <f t="shared" si="397"/>
        <v>867370</v>
      </c>
      <c r="J127" s="418">
        <f>K127+L127</f>
        <v>640282</v>
      </c>
      <c r="K127" s="418">
        <v>0</v>
      </c>
      <c r="L127" s="418">
        <v>640282</v>
      </c>
      <c r="M127" s="418">
        <f>N127+O127</f>
        <v>0</v>
      </c>
      <c r="N127" s="418"/>
      <c r="O127" s="418"/>
      <c r="P127" s="68">
        <f t="shared" si="407"/>
        <v>216415</v>
      </c>
      <c r="Q127" s="68">
        <f t="shared" si="398"/>
        <v>6403</v>
      </c>
      <c r="R127" s="418">
        <v>4270</v>
      </c>
      <c r="S127" s="419">
        <f>T127+U127</f>
        <v>1.92</v>
      </c>
      <c r="T127" s="420">
        <v>0</v>
      </c>
      <c r="U127" s="527">
        <v>1.92</v>
      </c>
      <c r="V127" s="427">
        <f t="shared" si="399"/>
        <v>0</v>
      </c>
      <c r="W127" s="421">
        <f t="shared" si="399"/>
        <v>0</v>
      </c>
      <c r="X127" s="421">
        <v>0</v>
      </c>
      <c r="Y127" s="421">
        <v>0</v>
      </c>
      <c r="Z127" s="421">
        <v>0</v>
      </c>
      <c r="AA127" s="421">
        <v>0</v>
      </c>
      <c r="AB127" s="421">
        <v>0</v>
      </c>
      <c r="AC127" s="421">
        <v>0</v>
      </c>
      <c r="AD127" s="421">
        <v>0</v>
      </c>
      <c r="AE127" s="421">
        <v>0</v>
      </c>
      <c r="AF127" s="421">
        <f>V127+X127+Y127+AA127+AB127+AD127</f>
        <v>0</v>
      </c>
      <c r="AG127" s="421">
        <f>W127+Z127+AC127+AE127</f>
        <v>0</v>
      </c>
      <c r="AH127" s="421">
        <f>SUM(AF127:AG127)</f>
        <v>0</v>
      </c>
      <c r="AI127" s="421">
        <v>0</v>
      </c>
      <c r="AJ127" s="421">
        <v>0</v>
      </c>
      <c r="AK127" s="421">
        <v>0</v>
      </c>
      <c r="AL127" s="421">
        <v>0</v>
      </c>
      <c r="AM127" s="421">
        <v>0</v>
      </c>
      <c r="AN127" s="421">
        <v>0</v>
      </c>
      <c r="AO127" s="421">
        <f t="shared" si="400"/>
        <v>0</v>
      </c>
      <c r="AP127" s="421">
        <f>AJ127+AN127</f>
        <v>0</v>
      </c>
      <c r="AQ127" s="421">
        <f>SUM(AO127:AP127)</f>
        <v>0</v>
      </c>
      <c r="AR127" s="421">
        <f t="shared" si="401"/>
        <v>0</v>
      </c>
      <c r="AS127" s="421">
        <f t="shared" si="401"/>
        <v>0</v>
      </c>
      <c r="AT127" s="421">
        <f>SUM(AR127:AS127)</f>
        <v>0</v>
      </c>
      <c r="AU127" s="68">
        <f t="shared" si="402"/>
        <v>0</v>
      </c>
      <c r="AV127" s="68">
        <f>ROUND(AH127*1%,0)</f>
        <v>0</v>
      </c>
      <c r="AW127" s="421">
        <v>0</v>
      </c>
      <c r="AX127" s="421">
        <v>0</v>
      </c>
      <c r="AY127" s="421">
        <f>AW127+AX127</f>
        <v>0</v>
      </c>
      <c r="AZ127" s="421">
        <f>AT127+AU127+AV127+AY127</f>
        <v>0</v>
      </c>
      <c r="BA127" s="422">
        <v>0</v>
      </c>
      <c r="BB127" s="422">
        <v>0</v>
      </c>
      <c r="BC127" s="422">
        <v>0</v>
      </c>
      <c r="BD127" s="422">
        <v>0</v>
      </c>
      <c r="BE127" s="422">
        <v>0</v>
      </c>
      <c r="BF127" s="422">
        <v>0</v>
      </c>
      <c r="BG127" s="422">
        <v>0</v>
      </c>
      <c r="BH127" s="422">
        <v>0</v>
      </c>
      <c r="BI127" s="422">
        <v>0</v>
      </c>
      <c r="BJ127" s="422">
        <v>0</v>
      </c>
      <c r="BK127" s="422">
        <f>BA127+BC127+BD127+BF127+BH127+BI127</f>
        <v>0</v>
      </c>
      <c r="BL127" s="422">
        <f>BB127+BE127+BG127+BJ127</f>
        <v>0</v>
      </c>
      <c r="BM127" s="611">
        <f>SUM(BK127:BL127)</f>
        <v>0</v>
      </c>
      <c r="BN127" s="428">
        <f>I127+AZ127</f>
        <v>867370</v>
      </c>
      <c r="BO127" s="421">
        <f>J127+AH127</f>
        <v>640282</v>
      </c>
      <c r="BP127" s="421">
        <f t="shared" si="403"/>
        <v>0</v>
      </c>
      <c r="BQ127" s="421">
        <f t="shared" si="403"/>
        <v>640282</v>
      </c>
      <c r="BR127" s="421">
        <f>M127+AQ127</f>
        <v>0</v>
      </c>
      <c r="BS127" s="421">
        <f t="shared" si="404"/>
        <v>0</v>
      </c>
      <c r="BT127" s="421">
        <f t="shared" si="404"/>
        <v>0</v>
      </c>
      <c r="BU127" s="421">
        <f t="shared" si="405"/>
        <v>216415</v>
      </c>
      <c r="BV127" s="421">
        <f t="shared" si="405"/>
        <v>6403</v>
      </c>
      <c r="BW127" s="421">
        <f>R127+AY127</f>
        <v>4270</v>
      </c>
      <c r="BX127" s="422">
        <f>S127+BM127</f>
        <v>1.92</v>
      </c>
      <c r="BY127" s="422">
        <f t="shared" si="406"/>
        <v>0</v>
      </c>
      <c r="BZ127" s="611">
        <f t="shared" si="406"/>
        <v>1.92</v>
      </c>
      <c r="CA127" s="423"/>
      <c r="CB127" s="418"/>
      <c r="CC127" s="418"/>
      <c r="CD127" s="418"/>
      <c r="CE127" s="418"/>
      <c r="CF127" s="527"/>
    </row>
    <row r="128" spans="1:84" s="222" customFormat="1" x14ac:dyDescent="0.2">
      <c r="A128" s="210">
        <v>23</v>
      </c>
      <c r="B128" s="211">
        <v>4413</v>
      </c>
      <c r="C128" s="211">
        <v>600074455</v>
      </c>
      <c r="D128" s="211">
        <v>70695369</v>
      </c>
      <c r="E128" s="209" t="s">
        <v>190</v>
      </c>
      <c r="F128" s="211">
        <v>3143</v>
      </c>
      <c r="G128" s="165" t="s">
        <v>596</v>
      </c>
      <c r="H128" s="686" t="s">
        <v>271</v>
      </c>
      <c r="I128" s="528">
        <f t="shared" si="397"/>
        <v>1292678</v>
      </c>
      <c r="J128" s="418">
        <f>K128+L128</f>
        <v>958960</v>
      </c>
      <c r="K128" s="418">
        <v>958960</v>
      </c>
      <c r="L128" s="418">
        <v>0</v>
      </c>
      <c r="M128" s="418">
        <f>N128+O128</f>
        <v>0</v>
      </c>
      <c r="N128" s="418"/>
      <c r="O128" s="418"/>
      <c r="P128" s="68">
        <f t="shared" si="407"/>
        <v>324128</v>
      </c>
      <c r="Q128" s="68">
        <f t="shared" si="398"/>
        <v>9590</v>
      </c>
      <c r="R128" s="418">
        <v>0</v>
      </c>
      <c r="S128" s="419">
        <f>T128+U128</f>
        <v>2</v>
      </c>
      <c r="T128" s="420">
        <v>2</v>
      </c>
      <c r="U128" s="527">
        <v>0</v>
      </c>
      <c r="V128" s="427">
        <f t="shared" si="399"/>
        <v>0</v>
      </c>
      <c r="W128" s="421">
        <f t="shared" si="399"/>
        <v>0</v>
      </c>
      <c r="X128" s="421">
        <v>0</v>
      </c>
      <c r="Y128" s="421">
        <v>0</v>
      </c>
      <c r="Z128" s="421">
        <v>0</v>
      </c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f>V128+X128+Y128+AA128+AB128+AD128</f>
        <v>0</v>
      </c>
      <c r="AG128" s="421">
        <f>W128+Z128+AC128+AE128</f>
        <v>0</v>
      </c>
      <c r="AH128" s="421">
        <f>SUM(AF128:AG128)</f>
        <v>0</v>
      </c>
      <c r="AI128" s="421">
        <v>0</v>
      </c>
      <c r="AJ128" s="421">
        <v>0</v>
      </c>
      <c r="AK128" s="421">
        <v>0</v>
      </c>
      <c r="AL128" s="421">
        <v>0</v>
      </c>
      <c r="AM128" s="421">
        <v>0</v>
      </c>
      <c r="AN128" s="421">
        <v>0</v>
      </c>
      <c r="AO128" s="421">
        <f t="shared" si="400"/>
        <v>0</v>
      </c>
      <c r="AP128" s="421">
        <f>AJ128+AN128</f>
        <v>0</v>
      </c>
      <c r="AQ128" s="421">
        <f>SUM(AO128:AP128)</f>
        <v>0</v>
      </c>
      <c r="AR128" s="421">
        <f t="shared" si="401"/>
        <v>0</v>
      </c>
      <c r="AS128" s="421">
        <f t="shared" si="401"/>
        <v>0</v>
      </c>
      <c r="AT128" s="421">
        <f>SUM(AR128:AS128)</f>
        <v>0</v>
      </c>
      <c r="AU128" s="68">
        <f t="shared" si="402"/>
        <v>0</v>
      </c>
      <c r="AV128" s="68">
        <f>ROUND(AH128*1%,0)</f>
        <v>0</v>
      </c>
      <c r="AW128" s="421">
        <v>0</v>
      </c>
      <c r="AX128" s="421">
        <v>0</v>
      </c>
      <c r="AY128" s="421">
        <f>AW128+AX128</f>
        <v>0</v>
      </c>
      <c r="AZ128" s="421">
        <f>AT128+AU128+AV128+AY128</f>
        <v>0</v>
      </c>
      <c r="BA128" s="422">
        <v>0</v>
      </c>
      <c r="BB128" s="422">
        <v>0</v>
      </c>
      <c r="BC128" s="422">
        <v>0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>BA128+BC128+BD128+BF128+BH128+BI128</f>
        <v>0</v>
      </c>
      <c r="BL128" s="422">
        <f>BB128+BE128+BG128+BJ128</f>
        <v>0</v>
      </c>
      <c r="BM128" s="611">
        <f>SUM(BK128:BL128)</f>
        <v>0</v>
      </c>
      <c r="BN128" s="428">
        <f>I128+AZ128</f>
        <v>1292678</v>
      </c>
      <c r="BO128" s="421">
        <f>J128+AH128</f>
        <v>958960</v>
      </c>
      <c r="BP128" s="421">
        <f t="shared" si="403"/>
        <v>958960</v>
      </c>
      <c r="BQ128" s="421">
        <f t="shared" si="403"/>
        <v>0</v>
      </c>
      <c r="BR128" s="421">
        <f>M128+AQ128</f>
        <v>0</v>
      </c>
      <c r="BS128" s="421">
        <f t="shared" si="404"/>
        <v>0</v>
      </c>
      <c r="BT128" s="421">
        <f t="shared" si="404"/>
        <v>0</v>
      </c>
      <c r="BU128" s="421">
        <f t="shared" si="405"/>
        <v>324128</v>
      </c>
      <c r="BV128" s="421">
        <f t="shared" si="405"/>
        <v>9590</v>
      </c>
      <c r="BW128" s="421">
        <f>R128+AY128</f>
        <v>0</v>
      </c>
      <c r="BX128" s="422">
        <f>S128+BM128</f>
        <v>2</v>
      </c>
      <c r="BY128" s="422">
        <f t="shared" si="406"/>
        <v>2</v>
      </c>
      <c r="BZ128" s="611">
        <f t="shared" si="406"/>
        <v>0</v>
      </c>
      <c r="CA128" s="423"/>
      <c r="CB128" s="418"/>
      <c r="CC128" s="418"/>
      <c r="CD128" s="418"/>
      <c r="CE128" s="418"/>
      <c r="CF128" s="527"/>
    </row>
    <row r="129" spans="1:84" s="222" customFormat="1" x14ac:dyDescent="0.2">
      <c r="A129" s="210">
        <v>23</v>
      </c>
      <c r="B129" s="211">
        <v>4413</v>
      </c>
      <c r="C129" s="211">
        <v>600074455</v>
      </c>
      <c r="D129" s="211">
        <v>70695369</v>
      </c>
      <c r="E129" s="209" t="s">
        <v>190</v>
      </c>
      <c r="F129" s="211">
        <v>3143</v>
      </c>
      <c r="G129" s="165" t="s">
        <v>597</v>
      </c>
      <c r="H129" s="686" t="s">
        <v>272</v>
      </c>
      <c r="I129" s="528">
        <f t="shared" si="397"/>
        <v>17925</v>
      </c>
      <c r="J129" s="418">
        <f>K129+L129</f>
        <v>12830</v>
      </c>
      <c r="K129" s="418">
        <v>0</v>
      </c>
      <c r="L129" s="418">
        <v>12830</v>
      </c>
      <c r="M129" s="418">
        <f>N129+O129</f>
        <v>0</v>
      </c>
      <c r="N129" s="418"/>
      <c r="O129" s="418"/>
      <c r="P129" s="68">
        <f t="shared" si="407"/>
        <v>4337</v>
      </c>
      <c r="Q129" s="68">
        <f t="shared" si="398"/>
        <v>128</v>
      </c>
      <c r="R129" s="418">
        <v>630</v>
      </c>
      <c r="S129" s="419">
        <f>T129+U129</f>
        <v>0.05</v>
      </c>
      <c r="T129" s="420">
        <v>0</v>
      </c>
      <c r="U129" s="527">
        <v>0.05</v>
      </c>
      <c r="V129" s="427">
        <f t="shared" si="399"/>
        <v>0</v>
      </c>
      <c r="W129" s="421">
        <f t="shared" si="399"/>
        <v>0</v>
      </c>
      <c r="X129" s="421">
        <v>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f>V129+X129+Y129+AA129+AB129+AD129</f>
        <v>0</v>
      </c>
      <c r="AG129" s="421">
        <f>W129+Z129+AC129+AE129</f>
        <v>0</v>
      </c>
      <c r="AH129" s="421">
        <f>SUM(AF129:AG129)</f>
        <v>0</v>
      </c>
      <c r="AI129" s="421">
        <v>0</v>
      </c>
      <c r="AJ129" s="421">
        <v>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400"/>
        <v>0</v>
      </c>
      <c r="AP129" s="421">
        <f>AJ129+AN129</f>
        <v>0</v>
      </c>
      <c r="AQ129" s="421">
        <f>SUM(AO129:AP129)</f>
        <v>0</v>
      </c>
      <c r="AR129" s="421">
        <f t="shared" si="401"/>
        <v>0</v>
      </c>
      <c r="AS129" s="421">
        <f t="shared" si="401"/>
        <v>0</v>
      </c>
      <c r="AT129" s="421">
        <f>SUM(AR129:AS129)</f>
        <v>0</v>
      </c>
      <c r="AU129" s="68">
        <f t="shared" si="402"/>
        <v>0</v>
      </c>
      <c r="AV129" s="68">
        <f>ROUND(AH129*1%,0)</f>
        <v>0</v>
      </c>
      <c r="AW129" s="421">
        <v>0</v>
      </c>
      <c r="AX129" s="421">
        <v>0</v>
      </c>
      <c r="AY129" s="421">
        <f>AW129+AX129</f>
        <v>0</v>
      </c>
      <c r="AZ129" s="421">
        <f>AT129+AU129+AV129+AY129</f>
        <v>0</v>
      </c>
      <c r="BA129" s="422">
        <v>0</v>
      </c>
      <c r="BB129" s="422">
        <v>0</v>
      </c>
      <c r="BC129" s="422">
        <v>0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</v>
      </c>
      <c r="BK129" s="422">
        <f>BA129+BC129+BD129+BF129+BH129+BI129</f>
        <v>0</v>
      </c>
      <c r="BL129" s="422">
        <f>BB129+BE129+BG129+BJ129</f>
        <v>0</v>
      </c>
      <c r="BM129" s="611">
        <f>SUM(BK129:BL129)</f>
        <v>0</v>
      </c>
      <c r="BN129" s="428">
        <f>I129+AZ129</f>
        <v>17925</v>
      </c>
      <c r="BO129" s="421">
        <f>J129+AH129</f>
        <v>12830</v>
      </c>
      <c r="BP129" s="421">
        <f t="shared" si="403"/>
        <v>0</v>
      </c>
      <c r="BQ129" s="421">
        <f t="shared" si="403"/>
        <v>12830</v>
      </c>
      <c r="BR129" s="421">
        <f>M129+AQ129</f>
        <v>0</v>
      </c>
      <c r="BS129" s="421">
        <f t="shared" si="404"/>
        <v>0</v>
      </c>
      <c r="BT129" s="421">
        <f t="shared" si="404"/>
        <v>0</v>
      </c>
      <c r="BU129" s="421">
        <f t="shared" si="405"/>
        <v>4337</v>
      </c>
      <c r="BV129" s="421">
        <f t="shared" si="405"/>
        <v>128</v>
      </c>
      <c r="BW129" s="421">
        <f>R129+AY129</f>
        <v>630</v>
      </c>
      <c r="BX129" s="422">
        <f>S129+BM129</f>
        <v>0.05</v>
      </c>
      <c r="BY129" s="422">
        <f t="shared" si="406"/>
        <v>0</v>
      </c>
      <c r="BZ129" s="611">
        <f t="shared" si="406"/>
        <v>0.05</v>
      </c>
      <c r="CA129" s="423"/>
      <c r="CB129" s="418"/>
      <c r="CC129" s="418"/>
      <c r="CD129" s="418"/>
      <c r="CE129" s="418"/>
      <c r="CF129" s="527"/>
    </row>
    <row r="130" spans="1:84" s="222" customFormat="1" x14ac:dyDescent="0.2">
      <c r="A130" s="155">
        <v>23</v>
      </c>
      <c r="B130" s="18">
        <v>4413</v>
      </c>
      <c r="C130" s="18">
        <v>600074455</v>
      </c>
      <c r="D130" s="18">
        <v>70695369</v>
      </c>
      <c r="E130" s="164" t="s">
        <v>191</v>
      </c>
      <c r="F130" s="18"/>
      <c r="G130" s="154"/>
      <c r="H130" s="685"/>
      <c r="I130" s="458">
        <f t="shared" ref="I130:BU130" si="408">SUM(I125:I129)</f>
        <v>11822503</v>
      </c>
      <c r="J130" s="451">
        <f t="shared" si="408"/>
        <v>8742801</v>
      </c>
      <c r="K130" s="451">
        <f t="shared" si="408"/>
        <v>7504470</v>
      </c>
      <c r="L130" s="451">
        <f t="shared" si="408"/>
        <v>1238331</v>
      </c>
      <c r="M130" s="451">
        <f t="shared" si="408"/>
        <v>0</v>
      </c>
      <c r="N130" s="451">
        <f t="shared" si="408"/>
        <v>0</v>
      </c>
      <c r="O130" s="451">
        <f t="shared" si="408"/>
        <v>0</v>
      </c>
      <c r="P130" s="451">
        <f t="shared" si="408"/>
        <v>2955067</v>
      </c>
      <c r="Q130" s="451">
        <f t="shared" si="408"/>
        <v>87428</v>
      </c>
      <c r="R130" s="451">
        <f t="shared" si="408"/>
        <v>37207</v>
      </c>
      <c r="S130" s="452">
        <f t="shared" si="408"/>
        <v>16.9635</v>
      </c>
      <c r="T130" s="452">
        <f t="shared" si="408"/>
        <v>13</v>
      </c>
      <c r="U130" s="39">
        <f t="shared" si="408"/>
        <v>3.9634999999999998</v>
      </c>
      <c r="V130" s="458">
        <f t="shared" si="408"/>
        <v>0</v>
      </c>
      <c r="W130" s="451">
        <f t="shared" si="408"/>
        <v>0</v>
      </c>
      <c r="X130" s="451">
        <f t="shared" si="408"/>
        <v>1668605</v>
      </c>
      <c r="Y130" s="451">
        <f t="shared" si="408"/>
        <v>0</v>
      </c>
      <c r="Z130" s="451">
        <f t="shared" si="408"/>
        <v>0</v>
      </c>
      <c r="AA130" s="451">
        <f t="shared" si="408"/>
        <v>0</v>
      </c>
      <c r="AB130" s="451">
        <f t="shared" si="408"/>
        <v>0</v>
      </c>
      <c r="AC130" s="451">
        <f t="shared" si="408"/>
        <v>0</v>
      </c>
      <c r="AD130" s="451">
        <f t="shared" si="408"/>
        <v>0</v>
      </c>
      <c r="AE130" s="451">
        <f t="shared" si="408"/>
        <v>0</v>
      </c>
      <c r="AF130" s="451">
        <f t="shared" si="408"/>
        <v>1668605</v>
      </c>
      <c r="AG130" s="451">
        <f t="shared" si="408"/>
        <v>0</v>
      </c>
      <c r="AH130" s="451">
        <f t="shared" si="408"/>
        <v>1668605</v>
      </c>
      <c r="AI130" s="451">
        <f t="shared" si="408"/>
        <v>0</v>
      </c>
      <c r="AJ130" s="451">
        <f t="shared" si="408"/>
        <v>0</v>
      </c>
      <c r="AK130" s="451">
        <f t="shared" ref="AK130" si="409">SUM(AK125:AK129)</f>
        <v>0</v>
      </c>
      <c r="AL130" s="451">
        <f t="shared" si="408"/>
        <v>0</v>
      </c>
      <c r="AM130" s="451">
        <f t="shared" si="408"/>
        <v>0</v>
      </c>
      <c r="AN130" s="451">
        <f t="shared" si="408"/>
        <v>0</v>
      </c>
      <c r="AO130" s="451">
        <f t="shared" si="408"/>
        <v>0</v>
      </c>
      <c r="AP130" s="451">
        <f t="shared" si="408"/>
        <v>0</v>
      </c>
      <c r="AQ130" s="451">
        <f t="shared" si="408"/>
        <v>0</v>
      </c>
      <c r="AR130" s="451">
        <f t="shared" si="408"/>
        <v>1668605</v>
      </c>
      <c r="AS130" s="451">
        <f t="shared" si="408"/>
        <v>0</v>
      </c>
      <c r="AT130" s="451">
        <f t="shared" si="408"/>
        <v>1668605</v>
      </c>
      <c r="AU130" s="451">
        <f t="shared" si="408"/>
        <v>563988</v>
      </c>
      <c r="AV130" s="451">
        <f t="shared" si="408"/>
        <v>16686</v>
      </c>
      <c r="AW130" s="451">
        <f t="shared" si="408"/>
        <v>0</v>
      </c>
      <c r="AX130" s="451">
        <f t="shared" si="408"/>
        <v>0</v>
      </c>
      <c r="AY130" s="451">
        <f t="shared" si="408"/>
        <v>0</v>
      </c>
      <c r="AZ130" s="451">
        <f t="shared" si="408"/>
        <v>2249279</v>
      </c>
      <c r="BA130" s="452">
        <f t="shared" si="408"/>
        <v>0</v>
      </c>
      <c r="BB130" s="452">
        <f t="shared" si="408"/>
        <v>0</v>
      </c>
      <c r="BC130" s="452">
        <f t="shared" si="408"/>
        <v>4.5</v>
      </c>
      <c r="BD130" s="452">
        <f t="shared" si="408"/>
        <v>0</v>
      </c>
      <c r="BE130" s="452">
        <f t="shared" si="408"/>
        <v>0</v>
      </c>
      <c r="BF130" s="452">
        <f t="shared" si="408"/>
        <v>0</v>
      </c>
      <c r="BG130" s="452">
        <f t="shared" si="408"/>
        <v>0</v>
      </c>
      <c r="BH130" s="452">
        <f t="shared" si="408"/>
        <v>0</v>
      </c>
      <c r="BI130" s="452">
        <f t="shared" si="408"/>
        <v>0</v>
      </c>
      <c r="BJ130" s="452">
        <f t="shared" si="408"/>
        <v>0</v>
      </c>
      <c r="BK130" s="452">
        <f t="shared" si="408"/>
        <v>4.5</v>
      </c>
      <c r="BL130" s="452">
        <f t="shared" si="408"/>
        <v>0</v>
      </c>
      <c r="BM130" s="456">
        <f t="shared" si="408"/>
        <v>4.5</v>
      </c>
      <c r="BN130" s="454">
        <f t="shared" si="408"/>
        <v>14071782</v>
      </c>
      <c r="BO130" s="451">
        <f t="shared" si="408"/>
        <v>10411406</v>
      </c>
      <c r="BP130" s="451">
        <f t="shared" si="408"/>
        <v>9173075</v>
      </c>
      <c r="BQ130" s="451">
        <f t="shared" si="408"/>
        <v>1238331</v>
      </c>
      <c r="BR130" s="451">
        <f t="shared" si="408"/>
        <v>0</v>
      </c>
      <c r="BS130" s="451">
        <f t="shared" si="408"/>
        <v>0</v>
      </c>
      <c r="BT130" s="451">
        <f t="shared" si="408"/>
        <v>0</v>
      </c>
      <c r="BU130" s="451">
        <f t="shared" si="408"/>
        <v>3519055</v>
      </c>
      <c r="BV130" s="451">
        <f t="shared" ref="BV130:CF130" si="410">SUM(BV125:BV129)</f>
        <v>104114</v>
      </c>
      <c r="BW130" s="451">
        <f t="shared" si="410"/>
        <v>37207</v>
      </c>
      <c r="BX130" s="452">
        <f t="shared" si="410"/>
        <v>21.4635</v>
      </c>
      <c r="BY130" s="452">
        <f t="shared" si="410"/>
        <v>17.5</v>
      </c>
      <c r="BZ130" s="456">
        <f t="shared" si="410"/>
        <v>3.9634999999999998</v>
      </c>
      <c r="CA130" s="854">
        <f t="shared" si="410"/>
        <v>0</v>
      </c>
      <c r="CB130" s="852">
        <f t="shared" si="410"/>
        <v>0</v>
      </c>
      <c r="CC130" s="852">
        <f t="shared" si="410"/>
        <v>0</v>
      </c>
      <c r="CD130" s="852">
        <f t="shared" si="410"/>
        <v>0</v>
      </c>
      <c r="CE130" s="852">
        <f t="shared" si="410"/>
        <v>0</v>
      </c>
      <c r="CF130" s="848">
        <f t="shared" si="410"/>
        <v>0</v>
      </c>
    </row>
    <row r="131" spans="1:84" s="222" customFormat="1" x14ac:dyDescent="0.2">
      <c r="A131" s="210">
        <v>24</v>
      </c>
      <c r="B131" s="211">
        <v>4429</v>
      </c>
      <c r="C131" s="211">
        <v>600074595</v>
      </c>
      <c r="D131" s="211">
        <v>70698520</v>
      </c>
      <c r="E131" s="209" t="s">
        <v>192</v>
      </c>
      <c r="F131" s="211">
        <v>3111</v>
      </c>
      <c r="G131" s="165" t="s">
        <v>291</v>
      </c>
      <c r="H131" s="699" t="s">
        <v>271</v>
      </c>
      <c r="I131" s="528">
        <f t="shared" ref="I131:I136" si="411">J131+P131+Q131+R131</f>
        <v>1478109</v>
      </c>
      <c r="J131" s="418">
        <f t="shared" ref="J131:J136" si="412">K131+L131</f>
        <v>1092558</v>
      </c>
      <c r="K131" s="418">
        <v>1032654</v>
      </c>
      <c r="L131" s="418">
        <v>59904</v>
      </c>
      <c r="M131" s="418">
        <f t="shared" ref="M131:M136" si="413">N131+O131</f>
        <v>0</v>
      </c>
      <c r="N131" s="418"/>
      <c r="O131" s="418"/>
      <c r="P131" s="68">
        <f t="shared" ref="P131:P136" si="414">ROUND(J131*33.8%,0)</f>
        <v>369285</v>
      </c>
      <c r="Q131" s="68">
        <f t="shared" ref="Q131:Q136" si="415">ROUND(J131*1%,0)</f>
        <v>10926</v>
      </c>
      <c r="R131" s="418">
        <v>5340</v>
      </c>
      <c r="S131" s="419">
        <f t="shared" ref="S131:S136" si="416">T131+U131</f>
        <v>2.2400000000000002</v>
      </c>
      <c r="T131" s="420">
        <v>2</v>
      </c>
      <c r="U131" s="419">
        <v>0.24</v>
      </c>
      <c r="V131" s="427">
        <f t="shared" ref="V131:W136" si="417">AI131*-1</f>
        <v>-7680</v>
      </c>
      <c r="W131" s="421">
        <f t="shared" si="417"/>
        <v>0</v>
      </c>
      <c r="X131" s="421">
        <v>0</v>
      </c>
      <c r="Y131" s="421">
        <v>0</v>
      </c>
      <c r="Z131" s="421">
        <v>0</v>
      </c>
      <c r="AA131" s="421">
        <v>0</v>
      </c>
      <c r="AB131" s="421">
        <v>0</v>
      </c>
      <c r="AC131" s="421">
        <v>0</v>
      </c>
      <c r="AD131" s="421">
        <v>0</v>
      </c>
      <c r="AE131" s="421">
        <v>0</v>
      </c>
      <c r="AF131" s="421">
        <f t="shared" ref="AF131:AF136" si="418">V131+X131+Y131+AA131+AB131+AD131</f>
        <v>-7680</v>
      </c>
      <c r="AG131" s="421">
        <f t="shared" ref="AG131:AG136" si="419">W131+Z131+AC131+AE131</f>
        <v>0</v>
      </c>
      <c r="AH131" s="421">
        <f t="shared" ref="AH131:AH136" si="420">SUM(AF131:AG131)</f>
        <v>-7680</v>
      </c>
      <c r="AI131" s="421">
        <v>7680</v>
      </c>
      <c r="AJ131" s="421">
        <v>0</v>
      </c>
      <c r="AK131" s="421">
        <v>0</v>
      </c>
      <c r="AL131" s="421">
        <v>0</v>
      </c>
      <c r="AM131" s="421">
        <v>0</v>
      </c>
      <c r="AN131" s="421">
        <v>0</v>
      </c>
      <c r="AO131" s="421">
        <f t="shared" ref="AO131:AO136" si="421">AI131+AK131+AL131+AM131</f>
        <v>7680</v>
      </c>
      <c r="AP131" s="421">
        <f t="shared" ref="AP131:AP136" si="422">AJ131+AN131</f>
        <v>0</v>
      </c>
      <c r="AQ131" s="421">
        <f t="shared" ref="AQ131:AQ136" si="423">SUM(AO131:AP131)</f>
        <v>7680</v>
      </c>
      <c r="AR131" s="421">
        <f t="shared" ref="AR131:AS136" si="424">AF131+AO131</f>
        <v>0</v>
      </c>
      <c r="AS131" s="421">
        <f t="shared" si="424"/>
        <v>0</v>
      </c>
      <c r="AT131" s="421">
        <f t="shared" ref="AT131:AT136" si="425">SUM(AR131:AS131)</f>
        <v>0</v>
      </c>
      <c r="AU131" s="68">
        <f t="shared" ref="AU131:AU136" si="426">ROUND((AH131+AI131+AJ131+AK131+AL131)*33.8%,0)</f>
        <v>0</v>
      </c>
      <c r="AV131" s="68">
        <f t="shared" ref="AV131:AV136" si="427">ROUND(AH131*1%,0)</f>
        <v>-77</v>
      </c>
      <c r="AW131" s="421">
        <v>0</v>
      </c>
      <c r="AX131" s="421">
        <v>0</v>
      </c>
      <c r="AY131" s="421">
        <f t="shared" ref="AY131:AY136" si="428">AW131+AX131</f>
        <v>0</v>
      </c>
      <c r="AZ131" s="421">
        <f t="shared" ref="AZ131:AZ136" si="429">AT131+AU131+AV131+AY131</f>
        <v>-77</v>
      </c>
      <c r="BA131" s="422">
        <v>0</v>
      </c>
      <c r="BB131" s="422">
        <v>0</v>
      </c>
      <c r="BC131" s="422">
        <v>0</v>
      </c>
      <c r="BD131" s="422">
        <v>0</v>
      </c>
      <c r="BE131" s="422">
        <v>0</v>
      </c>
      <c r="BF131" s="422">
        <v>0</v>
      </c>
      <c r="BG131" s="422">
        <v>0</v>
      </c>
      <c r="BH131" s="422">
        <v>0</v>
      </c>
      <c r="BI131" s="422">
        <v>0</v>
      </c>
      <c r="BJ131" s="422">
        <v>0</v>
      </c>
      <c r="BK131" s="422">
        <f t="shared" ref="BK131:BK136" si="430">BA131+BC131+BD131+BF131+BH131+BI131</f>
        <v>0</v>
      </c>
      <c r="BL131" s="422">
        <f t="shared" ref="BL131:BL136" si="431">BB131+BE131+BG131+BJ131</f>
        <v>0</v>
      </c>
      <c r="BM131" s="611">
        <f t="shared" ref="BM131:BM136" si="432">SUM(BK131:BL131)</f>
        <v>0</v>
      </c>
      <c r="BN131" s="428">
        <f t="shared" ref="BN131:BN136" si="433">I131+AZ131</f>
        <v>1478032</v>
      </c>
      <c r="BO131" s="421">
        <f t="shared" ref="BO131:BO136" si="434">J131+AH131</f>
        <v>1084878</v>
      </c>
      <c r="BP131" s="421">
        <f t="shared" ref="BP131:BQ136" si="435">K131+AF131</f>
        <v>1024974</v>
      </c>
      <c r="BQ131" s="421">
        <f t="shared" si="435"/>
        <v>59904</v>
      </c>
      <c r="BR131" s="421">
        <f t="shared" ref="BR131:BR136" si="436">M131+AQ131</f>
        <v>7680</v>
      </c>
      <c r="BS131" s="421">
        <f t="shared" ref="BS131:BT136" si="437">N131+AO131</f>
        <v>7680</v>
      </c>
      <c r="BT131" s="421">
        <f t="shared" si="437"/>
        <v>0</v>
      </c>
      <c r="BU131" s="421">
        <f t="shared" ref="BU131:BV136" si="438">P131+AU131</f>
        <v>369285</v>
      </c>
      <c r="BV131" s="421">
        <f t="shared" si="438"/>
        <v>10849</v>
      </c>
      <c r="BW131" s="421">
        <f t="shared" ref="BW131:BW136" si="439">R131+AY131</f>
        <v>5340</v>
      </c>
      <c r="BX131" s="422">
        <f t="shared" ref="BX131:BX136" si="440">S131+BM131</f>
        <v>2.2400000000000002</v>
      </c>
      <c r="BY131" s="422">
        <f t="shared" ref="BY131:BZ136" si="441">T131+BK131</f>
        <v>2</v>
      </c>
      <c r="BZ131" s="611">
        <f t="shared" si="441"/>
        <v>0.24</v>
      </c>
      <c r="CA131" s="831">
        <f>SUM(CB132:CE132)</f>
        <v>0</v>
      </c>
      <c r="CB131" s="782"/>
      <c r="CC131" s="782"/>
      <c r="CD131" s="782"/>
      <c r="CE131" s="782"/>
      <c r="CF131" s="832"/>
    </row>
    <row r="132" spans="1:84" s="222" customFormat="1" x14ac:dyDescent="0.2">
      <c r="A132" s="210">
        <v>24</v>
      </c>
      <c r="B132" s="211">
        <v>4429</v>
      </c>
      <c r="C132" s="211">
        <v>600074595</v>
      </c>
      <c r="D132" s="211">
        <v>70698520</v>
      </c>
      <c r="E132" s="209" t="s">
        <v>192</v>
      </c>
      <c r="F132" s="211">
        <v>3117</v>
      </c>
      <c r="G132" s="165" t="s">
        <v>294</v>
      </c>
      <c r="H132" s="699" t="s">
        <v>271</v>
      </c>
      <c r="I132" s="528">
        <f t="shared" si="411"/>
        <v>3169375</v>
      </c>
      <c r="J132" s="418">
        <f t="shared" si="412"/>
        <v>2319570</v>
      </c>
      <c r="K132" s="418">
        <v>2046500</v>
      </c>
      <c r="L132" s="418">
        <v>273070</v>
      </c>
      <c r="M132" s="418">
        <f t="shared" si="413"/>
        <v>0</v>
      </c>
      <c r="N132" s="418"/>
      <c r="O132" s="418"/>
      <c r="P132" s="68">
        <f>ROUND(J132*33.8%,0)-1</f>
        <v>784014</v>
      </c>
      <c r="Q132" s="68">
        <f t="shared" si="415"/>
        <v>23196</v>
      </c>
      <c r="R132" s="418">
        <v>42595</v>
      </c>
      <c r="S132" s="419">
        <f t="shared" si="416"/>
        <v>4.1524999999999999</v>
      </c>
      <c r="T132" s="420">
        <v>3.4550000000000001</v>
      </c>
      <c r="U132" s="419">
        <v>0.69750000000000001</v>
      </c>
      <c r="V132" s="427">
        <f t="shared" si="417"/>
        <v>-6400</v>
      </c>
      <c r="W132" s="421">
        <f t="shared" si="417"/>
        <v>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f t="shared" si="418"/>
        <v>-6400</v>
      </c>
      <c r="AG132" s="421">
        <f t="shared" si="419"/>
        <v>0</v>
      </c>
      <c r="AH132" s="421">
        <f t="shared" si="420"/>
        <v>-6400</v>
      </c>
      <c r="AI132" s="421">
        <v>6400</v>
      </c>
      <c r="AJ132" s="421">
        <v>0</v>
      </c>
      <c r="AK132" s="421">
        <v>0</v>
      </c>
      <c r="AL132" s="421">
        <v>0</v>
      </c>
      <c r="AM132" s="421">
        <v>0</v>
      </c>
      <c r="AN132" s="421">
        <v>0</v>
      </c>
      <c r="AO132" s="421">
        <f t="shared" si="421"/>
        <v>6400</v>
      </c>
      <c r="AP132" s="421">
        <f t="shared" si="422"/>
        <v>0</v>
      </c>
      <c r="AQ132" s="421">
        <f t="shared" si="423"/>
        <v>6400</v>
      </c>
      <c r="AR132" s="421">
        <f t="shared" si="424"/>
        <v>0</v>
      </c>
      <c r="AS132" s="421">
        <f t="shared" si="424"/>
        <v>0</v>
      </c>
      <c r="AT132" s="421">
        <f t="shared" si="425"/>
        <v>0</v>
      </c>
      <c r="AU132" s="68">
        <f t="shared" si="426"/>
        <v>0</v>
      </c>
      <c r="AV132" s="68">
        <f t="shared" si="427"/>
        <v>-64</v>
      </c>
      <c r="AW132" s="421">
        <v>0</v>
      </c>
      <c r="AX132" s="421">
        <v>0</v>
      </c>
      <c r="AY132" s="421">
        <f t="shared" si="428"/>
        <v>0</v>
      </c>
      <c r="AZ132" s="421">
        <f t="shared" si="429"/>
        <v>-64</v>
      </c>
      <c r="BA132" s="422">
        <v>0</v>
      </c>
      <c r="BB132" s="422">
        <v>0</v>
      </c>
      <c r="BC132" s="422">
        <v>0</v>
      </c>
      <c r="BD132" s="422">
        <v>0</v>
      </c>
      <c r="BE132" s="422">
        <v>0</v>
      </c>
      <c r="BF132" s="422">
        <v>0</v>
      </c>
      <c r="BG132" s="422">
        <v>0</v>
      </c>
      <c r="BH132" s="422">
        <v>0</v>
      </c>
      <c r="BI132" s="422">
        <v>0</v>
      </c>
      <c r="BJ132" s="422">
        <v>0</v>
      </c>
      <c r="BK132" s="422">
        <f t="shared" si="430"/>
        <v>0</v>
      </c>
      <c r="BL132" s="422">
        <f t="shared" si="431"/>
        <v>0</v>
      </c>
      <c r="BM132" s="611">
        <f t="shared" si="432"/>
        <v>0</v>
      </c>
      <c r="BN132" s="428">
        <f t="shared" si="433"/>
        <v>3169311</v>
      </c>
      <c r="BO132" s="421">
        <f t="shared" si="434"/>
        <v>2313170</v>
      </c>
      <c r="BP132" s="421">
        <f t="shared" si="435"/>
        <v>2040100</v>
      </c>
      <c r="BQ132" s="421">
        <f t="shared" si="435"/>
        <v>273070</v>
      </c>
      <c r="BR132" s="421">
        <f t="shared" si="436"/>
        <v>6400</v>
      </c>
      <c r="BS132" s="421">
        <f t="shared" si="437"/>
        <v>6400</v>
      </c>
      <c r="BT132" s="421">
        <f t="shared" si="437"/>
        <v>0</v>
      </c>
      <c r="BU132" s="421">
        <f t="shared" si="438"/>
        <v>784014</v>
      </c>
      <c r="BV132" s="421">
        <f t="shared" si="438"/>
        <v>23132</v>
      </c>
      <c r="BW132" s="421">
        <f t="shared" si="439"/>
        <v>42595</v>
      </c>
      <c r="BX132" s="422">
        <f t="shared" si="440"/>
        <v>4.1524999999999999</v>
      </c>
      <c r="BY132" s="422">
        <f t="shared" si="441"/>
        <v>3.4550000000000001</v>
      </c>
      <c r="BZ132" s="611">
        <f t="shared" si="441"/>
        <v>0.69750000000000001</v>
      </c>
      <c r="CA132" s="423"/>
      <c r="CB132" s="418"/>
      <c r="CC132" s="418"/>
      <c r="CD132" s="418"/>
      <c r="CE132" s="418"/>
      <c r="CF132" s="527"/>
    </row>
    <row r="133" spans="1:84" s="222" customFormat="1" x14ac:dyDescent="0.2">
      <c r="A133" s="210">
        <v>24</v>
      </c>
      <c r="B133" s="211">
        <v>4429</v>
      </c>
      <c r="C133" s="211">
        <v>600074595</v>
      </c>
      <c r="D133" s="211">
        <v>70698520</v>
      </c>
      <c r="E133" s="209" t="s">
        <v>192</v>
      </c>
      <c r="F133" s="211">
        <v>3117</v>
      </c>
      <c r="G133" s="165" t="s">
        <v>292</v>
      </c>
      <c r="H133" s="699" t="s">
        <v>272</v>
      </c>
      <c r="I133" s="528">
        <f t="shared" si="411"/>
        <v>0</v>
      </c>
      <c r="J133" s="418">
        <f t="shared" si="412"/>
        <v>0</v>
      </c>
      <c r="K133" s="418">
        <v>0</v>
      </c>
      <c r="L133" s="418">
        <v>0</v>
      </c>
      <c r="M133" s="418">
        <f t="shared" si="413"/>
        <v>0</v>
      </c>
      <c r="N133" s="418"/>
      <c r="O133" s="418"/>
      <c r="P133" s="68">
        <f t="shared" si="414"/>
        <v>0</v>
      </c>
      <c r="Q133" s="68">
        <f t="shared" si="415"/>
        <v>0</v>
      </c>
      <c r="R133" s="418">
        <v>0</v>
      </c>
      <c r="S133" s="419">
        <f t="shared" si="416"/>
        <v>0</v>
      </c>
      <c r="T133" s="420">
        <v>0</v>
      </c>
      <c r="U133" s="419">
        <v>0</v>
      </c>
      <c r="V133" s="427">
        <f t="shared" si="417"/>
        <v>0</v>
      </c>
      <c r="W133" s="421">
        <f t="shared" si="417"/>
        <v>0</v>
      </c>
      <c r="X133" s="421">
        <v>859060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f t="shared" si="418"/>
        <v>859060</v>
      </c>
      <c r="AG133" s="421">
        <f t="shared" si="419"/>
        <v>0</v>
      </c>
      <c r="AH133" s="421">
        <f t="shared" si="420"/>
        <v>859060</v>
      </c>
      <c r="AI133" s="421">
        <v>0</v>
      </c>
      <c r="AJ133" s="421">
        <v>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421"/>
        <v>0</v>
      </c>
      <c r="AP133" s="421">
        <f t="shared" si="422"/>
        <v>0</v>
      </c>
      <c r="AQ133" s="421">
        <f t="shared" si="423"/>
        <v>0</v>
      </c>
      <c r="AR133" s="421">
        <f t="shared" si="424"/>
        <v>859060</v>
      </c>
      <c r="AS133" s="421">
        <f t="shared" si="424"/>
        <v>0</v>
      </c>
      <c r="AT133" s="421">
        <f t="shared" si="425"/>
        <v>859060</v>
      </c>
      <c r="AU133" s="68">
        <f t="shared" si="426"/>
        <v>290362</v>
      </c>
      <c r="AV133" s="68">
        <f t="shared" si="427"/>
        <v>8591</v>
      </c>
      <c r="AW133" s="421">
        <v>0</v>
      </c>
      <c r="AX133" s="421">
        <v>0</v>
      </c>
      <c r="AY133" s="421">
        <f t="shared" si="428"/>
        <v>0</v>
      </c>
      <c r="AZ133" s="421">
        <f t="shared" si="429"/>
        <v>1158013</v>
      </c>
      <c r="BA133" s="422">
        <v>0</v>
      </c>
      <c r="BB133" s="422">
        <v>0</v>
      </c>
      <c r="BC133" s="422">
        <v>2.2999999999999998</v>
      </c>
      <c r="BD133" s="422">
        <v>0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 t="shared" si="430"/>
        <v>2.2999999999999998</v>
      </c>
      <c r="BL133" s="422">
        <f t="shared" si="431"/>
        <v>0</v>
      </c>
      <c r="BM133" s="611">
        <f t="shared" si="432"/>
        <v>2.2999999999999998</v>
      </c>
      <c r="BN133" s="428">
        <f t="shared" si="433"/>
        <v>1158013</v>
      </c>
      <c r="BO133" s="421">
        <f t="shared" si="434"/>
        <v>859060</v>
      </c>
      <c r="BP133" s="421">
        <f t="shared" si="435"/>
        <v>859060</v>
      </c>
      <c r="BQ133" s="421">
        <f t="shared" si="435"/>
        <v>0</v>
      </c>
      <c r="BR133" s="421">
        <f t="shared" si="436"/>
        <v>0</v>
      </c>
      <c r="BS133" s="421">
        <f t="shared" si="437"/>
        <v>0</v>
      </c>
      <c r="BT133" s="421">
        <f t="shared" si="437"/>
        <v>0</v>
      </c>
      <c r="BU133" s="421">
        <f t="shared" si="438"/>
        <v>290362</v>
      </c>
      <c r="BV133" s="421">
        <f t="shared" si="438"/>
        <v>8591</v>
      </c>
      <c r="BW133" s="421">
        <f t="shared" si="439"/>
        <v>0</v>
      </c>
      <c r="BX133" s="422">
        <f t="shared" si="440"/>
        <v>2.2999999999999998</v>
      </c>
      <c r="BY133" s="422">
        <f t="shared" si="441"/>
        <v>2.2999999999999998</v>
      </c>
      <c r="BZ133" s="611">
        <f t="shared" si="441"/>
        <v>0</v>
      </c>
      <c r="CA133" s="423"/>
      <c r="CB133" s="418"/>
      <c r="CC133" s="418"/>
      <c r="CD133" s="418"/>
      <c r="CE133" s="418"/>
      <c r="CF133" s="527"/>
    </row>
    <row r="134" spans="1:84" s="222" customFormat="1" x14ac:dyDescent="0.2">
      <c r="A134" s="210">
        <v>24</v>
      </c>
      <c r="B134" s="211">
        <v>4429</v>
      </c>
      <c r="C134" s="211">
        <v>600074595</v>
      </c>
      <c r="D134" s="211">
        <v>70698520</v>
      </c>
      <c r="E134" s="209" t="s">
        <v>192</v>
      </c>
      <c r="F134" s="211">
        <v>3141</v>
      </c>
      <c r="G134" s="165" t="s">
        <v>295</v>
      </c>
      <c r="H134" s="699" t="s">
        <v>272</v>
      </c>
      <c r="I134" s="528">
        <f t="shared" si="411"/>
        <v>439104</v>
      </c>
      <c r="J134" s="418">
        <f t="shared" si="412"/>
        <v>324576</v>
      </c>
      <c r="K134" s="418">
        <v>0</v>
      </c>
      <c r="L134" s="418">
        <v>324576</v>
      </c>
      <c r="M134" s="418">
        <f t="shared" si="413"/>
        <v>0</v>
      </c>
      <c r="N134" s="418"/>
      <c r="O134" s="418"/>
      <c r="P134" s="68">
        <f t="shared" si="414"/>
        <v>109707</v>
      </c>
      <c r="Q134" s="68">
        <f t="shared" si="415"/>
        <v>3246</v>
      </c>
      <c r="R134" s="418">
        <v>1575</v>
      </c>
      <c r="S134" s="419">
        <f t="shared" si="416"/>
        <v>0.97</v>
      </c>
      <c r="T134" s="420">
        <v>0</v>
      </c>
      <c r="U134" s="419">
        <v>0.97</v>
      </c>
      <c r="V134" s="427">
        <f t="shared" si="417"/>
        <v>0</v>
      </c>
      <c r="W134" s="421">
        <f t="shared" si="417"/>
        <v>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f t="shared" si="418"/>
        <v>0</v>
      </c>
      <c r="AG134" s="421">
        <f t="shared" si="419"/>
        <v>0</v>
      </c>
      <c r="AH134" s="421">
        <f t="shared" si="420"/>
        <v>0</v>
      </c>
      <c r="AI134" s="421">
        <v>0</v>
      </c>
      <c r="AJ134" s="421">
        <v>0</v>
      </c>
      <c r="AK134" s="421">
        <v>0</v>
      </c>
      <c r="AL134" s="421">
        <v>0</v>
      </c>
      <c r="AM134" s="421">
        <v>0</v>
      </c>
      <c r="AN134" s="421">
        <v>0</v>
      </c>
      <c r="AO134" s="421">
        <f t="shared" si="421"/>
        <v>0</v>
      </c>
      <c r="AP134" s="421">
        <f t="shared" si="422"/>
        <v>0</v>
      </c>
      <c r="AQ134" s="421">
        <f t="shared" si="423"/>
        <v>0</v>
      </c>
      <c r="AR134" s="421">
        <f t="shared" si="424"/>
        <v>0</v>
      </c>
      <c r="AS134" s="421">
        <f t="shared" si="424"/>
        <v>0</v>
      </c>
      <c r="AT134" s="421">
        <f t="shared" si="425"/>
        <v>0</v>
      </c>
      <c r="AU134" s="68">
        <f t="shared" si="426"/>
        <v>0</v>
      </c>
      <c r="AV134" s="68">
        <f t="shared" si="427"/>
        <v>0</v>
      </c>
      <c r="AW134" s="421">
        <v>0</v>
      </c>
      <c r="AX134" s="421">
        <v>0</v>
      </c>
      <c r="AY134" s="421">
        <f t="shared" si="428"/>
        <v>0</v>
      </c>
      <c r="AZ134" s="421">
        <f t="shared" si="429"/>
        <v>0</v>
      </c>
      <c r="BA134" s="422">
        <v>0</v>
      </c>
      <c r="BB134" s="422">
        <v>0</v>
      </c>
      <c r="BC134" s="422">
        <v>0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 t="shared" si="430"/>
        <v>0</v>
      </c>
      <c r="BL134" s="422">
        <f t="shared" si="431"/>
        <v>0</v>
      </c>
      <c r="BM134" s="611">
        <f t="shared" si="432"/>
        <v>0</v>
      </c>
      <c r="BN134" s="428">
        <f t="shared" si="433"/>
        <v>439104</v>
      </c>
      <c r="BO134" s="421">
        <f t="shared" si="434"/>
        <v>324576</v>
      </c>
      <c r="BP134" s="421">
        <f t="shared" si="435"/>
        <v>0</v>
      </c>
      <c r="BQ134" s="421">
        <f t="shared" si="435"/>
        <v>324576</v>
      </c>
      <c r="BR134" s="421">
        <f t="shared" si="436"/>
        <v>0</v>
      </c>
      <c r="BS134" s="421">
        <f t="shared" si="437"/>
        <v>0</v>
      </c>
      <c r="BT134" s="421">
        <f t="shared" si="437"/>
        <v>0</v>
      </c>
      <c r="BU134" s="421">
        <f t="shared" si="438"/>
        <v>109707</v>
      </c>
      <c r="BV134" s="421">
        <f t="shared" si="438"/>
        <v>3246</v>
      </c>
      <c r="BW134" s="421">
        <f t="shared" si="439"/>
        <v>1575</v>
      </c>
      <c r="BX134" s="422">
        <f t="shared" si="440"/>
        <v>0.97</v>
      </c>
      <c r="BY134" s="422">
        <f t="shared" si="441"/>
        <v>0</v>
      </c>
      <c r="BZ134" s="611">
        <f t="shared" si="441"/>
        <v>0.97</v>
      </c>
      <c r="CA134" s="423"/>
      <c r="CB134" s="418"/>
      <c r="CC134" s="418"/>
      <c r="CD134" s="418"/>
      <c r="CE134" s="418"/>
      <c r="CF134" s="527"/>
    </row>
    <row r="135" spans="1:84" s="222" customFormat="1" x14ac:dyDescent="0.2">
      <c r="A135" s="210">
        <v>24</v>
      </c>
      <c r="B135" s="211">
        <v>4429</v>
      </c>
      <c r="C135" s="211">
        <v>600074595</v>
      </c>
      <c r="D135" s="211">
        <v>70698520</v>
      </c>
      <c r="E135" s="209" t="s">
        <v>192</v>
      </c>
      <c r="F135" s="211">
        <v>3143</v>
      </c>
      <c r="G135" s="165" t="s">
        <v>596</v>
      </c>
      <c r="H135" s="686" t="s">
        <v>271</v>
      </c>
      <c r="I135" s="528">
        <f t="shared" si="411"/>
        <v>803855</v>
      </c>
      <c r="J135" s="418">
        <f t="shared" si="412"/>
        <v>596332</v>
      </c>
      <c r="K135" s="418">
        <v>596332</v>
      </c>
      <c r="L135" s="418">
        <v>0</v>
      </c>
      <c r="M135" s="418">
        <f t="shared" si="413"/>
        <v>0</v>
      </c>
      <c r="N135" s="418"/>
      <c r="O135" s="418"/>
      <c r="P135" s="68">
        <f t="shared" si="414"/>
        <v>201560</v>
      </c>
      <c r="Q135" s="68">
        <f t="shared" si="415"/>
        <v>5963</v>
      </c>
      <c r="R135" s="418">
        <v>0</v>
      </c>
      <c r="S135" s="419">
        <f t="shared" si="416"/>
        <v>1.1607000000000001</v>
      </c>
      <c r="T135" s="420">
        <v>1.1607000000000001</v>
      </c>
      <c r="U135" s="527">
        <v>0</v>
      </c>
      <c r="V135" s="427">
        <f t="shared" si="417"/>
        <v>0</v>
      </c>
      <c r="W135" s="421">
        <f t="shared" si="417"/>
        <v>0</v>
      </c>
      <c r="X135" s="421">
        <v>0</v>
      </c>
      <c r="Y135" s="421">
        <v>0</v>
      </c>
      <c r="Z135" s="421">
        <v>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f t="shared" si="418"/>
        <v>0</v>
      </c>
      <c r="AG135" s="421">
        <f t="shared" si="419"/>
        <v>0</v>
      </c>
      <c r="AH135" s="421">
        <f t="shared" si="420"/>
        <v>0</v>
      </c>
      <c r="AI135" s="421">
        <v>0</v>
      </c>
      <c r="AJ135" s="421">
        <v>0</v>
      </c>
      <c r="AK135" s="421">
        <v>0</v>
      </c>
      <c r="AL135" s="421">
        <v>0</v>
      </c>
      <c r="AM135" s="421">
        <v>0</v>
      </c>
      <c r="AN135" s="421">
        <v>0</v>
      </c>
      <c r="AO135" s="421">
        <f t="shared" si="421"/>
        <v>0</v>
      </c>
      <c r="AP135" s="421">
        <f t="shared" si="422"/>
        <v>0</v>
      </c>
      <c r="AQ135" s="421">
        <f t="shared" si="423"/>
        <v>0</v>
      </c>
      <c r="AR135" s="421">
        <f t="shared" si="424"/>
        <v>0</v>
      </c>
      <c r="AS135" s="421">
        <f t="shared" si="424"/>
        <v>0</v>
      </c>
      <c r="AT135" s="421">
        <f t="shared" si="425"/>
        <v>0</v>
      </c>
      <c r="AU135" s="68">
        <f t="shared" si="426"/>
        <v>0</v>
      </c>
      <c r="AV135" s="68">
        <f t="shared" si="427"/>
        <v>0</v>
      </c>
      <c r="AW135" s="421">
        <v>0</v>
      </c>
      <c r="AX135" s="421">
        <v>0</v>
      </c>
      <c r="AY135" s="421">
        <f t="shared" si="428"/>
        <v>0</v>
      </c>
      <c r="AZ135" s="421">
        <f t="shared" si="429"/>
        <v>0</v>
      </c>
      <c r="BA135" s="422">
        <v>0</v>
      </c>
      <c r="BB135" s="422">
        <v>0</v>
      </c>
      <c r="BC135" s="422">
        <v>0</v>
      </c>
      <c r="BD135" s="422">
        <v>0</v>
      </c>
      <c r="BE135" s="422">
        <v>0</v>
      </c>
      <c r="BF135" s="422">
        <v>0</v>
      </c>
      <c r="BG135" s="422">
        <v>0</v>
      </c>
      <c r="BH135" s="422">
        <v>0</v>
      </c>
      <c r="BI135" s="422">
        <v>0</v>
      </c>
      <c r="BJ135" s="422">
        <v>0</v>
      </c>
      <c r="BK135" s="422">
        <f t="shared" si="430"/>
        <v>0</v>
      </c>
      <c r="BL135" s="422">
        <f t="shared" si="431"/>
        <v>0</v>
      </c>
      <c r="BM135" s="611">
        <f t="shared" si="432"/>
        <v>0</v>
      </c>
      <c r="BN135" s="428">
        <f t="shared" si="433"/>
        <v>803855</v>
      </c>
      <c r="BO135" s="421">
        <f t="shared" si="434"/>
        <v>596332</v>
      </c>
      <c r="BP135" s="421">
        <f t="shared" si="435"/>
        <v>596332</v>
      </c>
      <c r="BQ135" s="421">
        <f t="shared" si="435"/>
        <v>0</v>
      </c>
      <c r="BR135" s="421">
        <f t="shared" si="436"/>
        <v>0</v>
      </c>
      <c r="BS135" s="421">
        <f t="shared" si="437"/>
        <v>0</v>
      </c>
      <c r="BT135" s="421">
        <f t="shared" si="437"/>
        <v>0</v>
      </c>
      <c r="BU135" s="421">
        <f t="shared" si="438"/>
        <v>201560</v>
      </c>
      <c r="BV135" s="421">
        <f t="shared" si="438"/>
        <v>5963</v>
      </c>
      <c r="BW135" s="421">
        <f t="shared" si="439"/>
        <v>0</v>
      </c>
      <c r="BX135" s="422">
        <f t="shared" si="440"/>
        <v>1.1607000000000001</v>
      </c>
      <c r="BY135" s="422">
        <f t="shared" si="441"/>
        <v>1.1607000000000001</v>
      </c>
      <c r="BZ135" s="611">
        <f t="shared" si="441"/>
        <v>0</v>
      </c>
      <c r="CA135" s="423"/>
      <c r="CB135" s="418"/>
      <c r="CC135" s="418"/>
      <c r="CD135" s="418"/>
      <c r="CE135" s="418"/>
      <c r="CF135" s="527"/>
    </row>
    <row r="136" spans="1:84" s="222" customFormat="1" x14ac:dyDescent="0.2">
      <c r="A136" s="210">
        <v>24</v>
      </c>
      <c r="B136" s="211">
        <v>4429</v>
      </c>
      <c r="C136" s="211">
        <v>600074595</v>
      </c>
      <c r="D136" s="211">
        <v>70698520</v>
      </c>
      <c r="E136" s="209" t="s">
        <v>192</v>
      </c>
      <c r="F136" s="211">
        <v>3143</v>
      </c>
      <c r="G136" s="165" t="s">
        <v>597</v>
      </c>
      <c r="H136" s="686" t="s">
        <v>272</v>
      </c>
      <c r="I136" s="528">
        <f t="shared" si="411"/>
        <v>13314</v>
      </c>
      <c r="J136" s="418">
        <f t="shared" si="412"/>
        <v>9530</v>
      </c>
      <c r="K136" s="418">
        <v>0</v>
      </c>
      <c r="L136" s="418">
        <v>9530</v>
      </c>
      <c r="M136" s="418">
        <f t="shared" si="413"/>
        <v>0</v>
      </c>
      <c r="N136" s="418"/>
      <c r="O136" s="418"/>
      <c r="P136" s="68">
        <f t="shared" si="414"/>
        <v>3221</v>
      </c>
      <c r="Q136" s="68">
        <f t="shared" si="415"/>
        <v>95</v>
      </c>
      <c r="R136" s="418">
        <v>468</v>
      </c>
      <c r="S136" s="419">
        <f t="shared" si="416"/>
        <v>0.04</v>
      </c>
      <c r="T136" s="420">
        <v>0</v>
      </c>
      <c r="U136" s="527">
        <v>0.04</v>
      </c>
      <c r="V136" s="427">
        <f t="shared" si="417"/>
        <v>0</v>
      </c>
      <c r="W136" s="421">
        <f t="shared" si="417"/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 t="shared" si="418"/>
        <v>0</v>
      </c>
      <c r="AG136" s="421">
        <f t="shared" si="419"/>
        <v>0</v>
      </c>
      <c r="AH136" s="421">
        <f t="shared" si="420"/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si="421"/>
        <v>0</v>
      </c>
      <c r="AP136" s="421">
        <f t="shared" si="422"/>
        <v>0</v>
      </c>
      <c r="AQ136" s="421">
        <f t="shared" si="423"/>
        <v>0</v>
      </c>
      <c r="AR136" s="421">
        <f t="shared" si="424"/>
        <v>0</v>
      </c>
      <c r="AS136" s="421">
        <f t="shared" si="424"/>
        <v>0</v>
      </c>
      <c r="AT136" s="421">
        <f t="shared" si="425"/>
        <v>0</v>
      </c>
      <c r="AU136" s="68">
        <f t="shared" si="426"/>
        <v>0</v>
      </c>
      <c r="AV136" s="68">
        <f t="shared" si="427"/>
        <v>0</v>
      </c>
      <c r="AW136" s="421">
        <v>0</v>
      </c>
      <c r="AX136" s="421">
        <v>0</v>
      </c>
      <c r="AY136" s="421">
        <f t="shared" si="428"/>
        <v>0</v>
      </c>
      <c r="AZ136" s="421">
        <f t="shared" si="429"/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 t="shared" si="430"/>
        <v>0</v>
      </c>
      <c r="BL136" s="422">
        <f t="shared" si="431"/>
        <v>0</v>
      </c>
      <c r="BM136" s="611">
        <f t="shared" si="432"/>
        <v>0</v>
      </c>
      <c r="BN136" s="428">
        <f t="shared" si="433"/>
        <v>13314</v>
      </c>
      <c r="BO136" s="421">
        <f t="shared" si="434"/>
        <v>9530</v>
      </c>
      <c r="BP136" s="421">
        <f t="shared" si="435"/>
        <v>0</v>
      </c>
      <c r="BQ136" s="421">
        <f t="shared" si="435"/>
        <v>9530</v>
      </c>
      <c r="BR136" s="421">
        <f t="shared" si="436"/>
        <v>0</v>
      </c>
      <c r="BS136" s="421">
        <f t="shared" si="437"/>
        <v>0</v>
      </c>
      <c r="BT136" s="421">
        <f t="shared" si="437"/>
        <v>0</v>
      </c>
      <c r="BU136" s="421">
        <f t="shared" si="438"/>
        <v>3221</v>
      </c>
      <c r="BV136" s="421">
        <f t="shared" si="438"/>
        <v>95</v>
      </c>
      <c r="BW136" s="421">
        <f t="shared" si="439"/>
        <v>468</v>
      </c>
      <c r="BX136" s="422">
        <f t="shared" si="440"/>
        <v>0.04</v>
      </c>
      <c r="BY136" s="422">
        <f t="shared" si="441"/>
        <v>0</v>
      </c>
      <c r="BZ136" s="611">
        <f t="shared" si="441"/>
        <v>0.04</v>
      </c>
      <c r="CA136" s="423"/>
      <c r="CB136" s="418"/>
      <c r="CC136" s="418"/>
      <c r="CD136" s="418"/>
      <c r="CE136" s="418"/>
      <c r="CF136" s="527"/>
    </row>
    <row r="137" spans="1:84" s="222" customFormat="1" x14ac:dyDescent="0.2">
      <c r="A137" s="155">
        <v>24</v>
      </c>
      <c r="B137" s="18">
        <v>4429</v>
      </c>
      <c r="C137" s="18">
        <v>600074595</v>
      </c>
      <c r="D137" s="18">
        <v>70698520</v>
      </c>
      <c r="E137" s="164" t="s">
        <v>193</v>
      </c>
      <c r="F137" s="18"/>
      <c r="G137" s="154"/>
      <c r="H137" s="685"/>
      <c r="I137" s="458">
        <f t="shared" ref="I137:BT137" si="442">SUM(I131:I136)</f>
        <v>5903757</v>
      </c>
      <c r="J137" s="451">
        <f t="shared" si="442"/>
        <v>4342566</v>
      </c>
      <c r="K137" s="451">
        <f t="shared" si="442"/>
        <v>3675486</v>
      </c>
      <c r="L137" s="451">
        <f t="shared" si="442"/>
        <v>667080</v>
      </c>
      <c r="M137" s="451">
        <f t="shared" si="442"/>
        <v>0</v>
      </c>
      <c r="N137" s="451">
        <f t="shared" si="442"/>
        <v>0</v>
      </c>
      <c r="O137" s="451">
        <f t="shared" si="442"/>
        <v>0</v>
      </c>
      <c r="P137" s="451">
        <f t="shared" si="442"/>
        <v>1467787</v>
      </c>
      <c r="Q137" s="451">
        <f t="shared" si="442"/>
        <v>43426</v>
      </c>
      <c r="R137" s="451">
        <f t="shared" si="442"/>
        <v>49978</v>
      </c>
      <c r="S137" s="452">
        <f t="shared" si="442"/>
        <v>8.5631999999999984</v>
      </c>
      <c r="T137" s="452">
        <f t="shared" si="442"/>
        <v>6.6157000000000004</v>
      </c>
      <c r="U137" s="39">
        <f t="shared" si="442"/>
        <v>1.9475</v>
      </c>
      <c r="V137" s="458">
        <f t="shared" si="442"/>
        <v>-14080</v>
      </c>
      <c r="W137" s="451">
        <f t="shared" si="442"/>
        <v>0</v>
      </c>
      <c r="X137" s="451">
        <f t="shared" si="442"/>
        <v>859060</v>
      </c>
      <c r="Y137" s="451">
        <f t="shared" si="442"/>
        <v>0</v>
      </c>
      <c r="Z137" s="451">
        <f t="shared" si="442"/>
        <v>0</v>
      </c>
      <c r="AA137" s="451">
        <f t="shared" si="442"/>
        <v>0</v>
      </c>
      <c r="AB137" s="451">
        <f t="shared" si="442"/>
        <v>0</v>
      </c>
      <c r="AC137" s="451">
        <f t="shared" si="442"/>
        <v>0</v>
      </c>
      <c r="AD137" s="451">
        <f t="shared" si="442"/>
        <v>0</v>
      </c>
      <c r="AE137" s="451">
        <f t="shared" si="442"/>
        <v>0</v>
      </c>
      <c r="AF137" s="451">
        <f t="shared" si="442"/>
        <v>844980</v>
      </c>
      <c r="AG137" s="451">
        <f t="shared" si="442"/>
        <v>0</v>
      </c>
      <c r="AH137" s="451">
        <f t="shared" si="442"/>
        <v>844980</v>
      </c>
      <c r="AI137" s="451">
        <f t="shared" si="442"/>
        <v>14080</v>
      </c>
      <c r="AJ137" s="451">
        <f t="shared" si="442"/>
        <v>0</v>
      </c>
      <c r="AK137" s="451">
        <f t="shared" ref="AK137" si="443">SUM(AK131:AK136)</f>
        <v>0</v>
      </c>
      <c r="AL137" s="451">
        <f t="shared" si="442"/>
        <v>0</v>
      </c>
      <c r="AM137" s="451">
        <f t="shared" si="442"/>
        <v>0</v>
      </c>
      <c r="AN137" s="451">
        <f t="shared" si="442"/>
        <v>0</v>
      </c>
      <c r="AO137" s="451">
        <f t="shared" si="442"/>
        <v>14080</v>
      </c>
      <c r="AP137" s="451">
        <f t="shared" si="442"/>
        <v>0</v>
      </c>
      <c r="AQ137" s="451">
        <f t="shared" si="442"/>
        <v>14080</v>
      </c>
      <c r="AR137" s="451">
        <f t="shared" si="442"/>
        <v>859060</v>
      </c>
      <c r="AS137" s="451">
        <f t="shared" si="442"/>
        <v>0</v>
      </c>
      <c r="AT137" s="451">
        <f t="shared" si="442"/>
        <v>859060</v>
      </c>
      <c r="AU137" s="451">
        <f t="shared" si="442"/>
        <v>290362</v>
      </c>
      <c r="AV137" s="451">
        <f t="shared" si="442"/>
        <v>8450</v>
      </c>
      <c r="AW137" s="451">
        <f t="shared" si="442"/>
        <v>0</v>
      </c>
      <c r="AX137" s="451">
        <f t="shared" si="442"/>
        <v>0</v>
      </c>
      <c r="AY137" s="451">
        <f t="shared" si="442"/>
        <v>0</v>
      </c>
      <c r="AZ137" s="451">
        <f t="shared" si="442"/>
        <v>1157872</v>
      </c>
      <c r="BA137" s="452">
        <f t="shared" si="442"/>
        <v>0</v>
      </c>
      <c r="BB137" s="452">
        <f t="shared" si="442"/>
        <v>0</v>
      </c>
      <c r="BC137" s="452">
        <f t="shared" si="442"/>
        <v>2.2999999999999998</v>
      </c>
      <c r="BD137" s="452">
        <f t="shared" si="442"/>
        <v>0</v>
      </c>
      <c r="BE137" s="452">
        <f t="shared" si="442"/>
        <v>0</v>
      </c>
      <c r="BF137" s="452">
        <f t="shared" si="442"/>
        <v>0</v>
      </c>
      <c r="BG137" s="452">
        <f t="shared" si="442"/>
        <v>0</v>
      </c>
      <c r="BH137" s="452">
        <f t="shared" si="442"/>
        <v>0</v>
      </c>
      <c r="BI137" s="452">
        <f t="shared" si="442"/>
        <v>0</v>
      </c>
      <c r="BJ137" s="452">
        <f t="shared" si="442"/>
        <v>0</v>
      </c>
      <c r="BK137" s="452">
        <f t="shared" si="442"/>
        <v>2.2999999999999998</v>
      </c>
      <c r="BL137" s="452">
        <f t="shared" si="442"/>
        <v>0</v>
      </c>
      <c r="BM137" s="456">
        <f t="shared" si="442"/>
        <v>2.2999999999999998</v>
      </c>
      <c r="BN137" s="454">
        <f t="shared" si="442"/>
        <v>7061629</v>
      </c>
      <c r="BO137" s="451">
        <f t="shared" si="442"/>
        <v>5187546</v>
      </c>
      <c r="BP137" s="451">
        <f t="shared" si="442"/>
        <v>4520466</v>
      </c>
      <c r="BQ137" s="451">
        <f t="shared" si="442"/>
        <v>667080</v>
      </c>
      <c r="BR137" s="451">
        <f t="shared" si="442"/>
        <v>14080</v>
      </c>
      <c r="BS137" s="451">
        <f t="shared" si="442"/>
        <v>14080</v>
      </c>
      <c r="BT137" s="451">
        <f t="shared" si="442"/>
        <v>0</v>
      </c>
      <c r="BU137" s="451">
        <f t="shared" ref="BU137:CF137" si="444">SUM(BU131:BU136)</f>
        <v>1758149</v>
      </c>
      <c r="BV137" s="451">
        <f t="shared" si="444"/>
        <v>51876</v>
      </c>
      <c r="BW137" s="451">
        <f t="shared" si="444"/>
        <v>49978</v>
      </c>
      <c r="BX137" s="452">
        <f t="shared" si="444"/>
        <v>10.863199999999999</v>
      </c>
      <c r="BY137" s="452">
        <f t="shared" si="444"/>
        <v>8.9156999999999993</v>
      </c>
      <c r="BZ137" s="456">
        <f t="shared" si="444"/>
        <v>1.9475</v>
      </c>
      <c r="CA137" s="854">
        <f t="shared" si="444"/>
        <v>0</v>
      </c>
      <c r="CB137" s="852">
        <f t="shared" si="444"/>
        <v>0</v>
      </c>
      <c r="CC137" s="852">
        <f t="shared" si="444"/>
        <v>0</v>
      </c>
      <c r="CD137" s="852">
        <f t="shared" si="444"/>
        <v>0</v>
      </c>
      <c r="CE137" s="852">
        <f t="shared" si="444"/>
        <v>0</v>
      </c>
      <c r="CF137" s="848">
        <f t="shared" si="444"/>
        <v>0</v>
      </c>
    </row>
    <row r="138" spans="1:84" s="222" customFormat="1" x14ac:dyDescent="0.2">
      <c r="A138" s="210">
        <v>25</v>
      </c>
      <c r="B138" s="211">
        <v>4452</v>
      </c>
      <c r="C138" s="211">
        <v>600074919</v>
      </c>
      <c r="D138" s="211">
        <v>70698511</v>
      </c>
      <c r="E138" s="209" t="s">
        <v>194</v>
      </c>
      <c r="F138" s="211">
        <v>3113</v>
      </c>
      <c r="G138" s="165" t="s">
        <v>294</v>
      </c>
      <c r="H138" s="699" t="s">
        <v>271</v>
      </c>
      <c r="I138" s="528">
        <f t="shared" ref="I138:I143" si="445">J138+P138+Q138+R138</f>
        <v>31211365</v>
      </c>
      <c r="J138" s="418">
        <f t="shared" ref="J138:J143" si="446">K138+L138</f>
        <v>22835290</v>
      </c>
      <c r="K138" s="418">
        <v>21276484</v>
      </c>
      <c r="L138" s="418">
        <v>1558806</v>
      </c>
      <c r="M138" s="418">
        <f t="shared" ref="M138:M143" si="447">N138+O138</f>
        <v>0</v>
      </c>
      <c r="N138" s="418"/>
      <c r="O138" s="418"/>
      <c r="P138" s="68">
        <f t="shared" ref="P138:P143" si="448">ROUND(J138*33.8%,0)</f>
        <v>7718328</v>
      </c>
      <c r="Q138" s="68">
        <f>ROUND(J138*1%,0)-1</f>
        <v>228352</v>
      </c>
      <c r="R138" s="418">
        <v>429395</v>
      </c>
      <c r="S138" s="419">
        <f t="shared" ref="S138:S143" si="449">T138+U138</f>
        <v>33.632800000000003</v>
      </c>
      <c r="T138" s="420">
        <v>29</v>
      </c>
      <c r="U138" s="527">
        <v>4.6327999999999996</v>
      </c>
      <c r="V138" s="427">
        <f t="shared" ref="V138:W143" si="450">AI138*-1</f>
        <v>0</v>
      </c>
      <c r="W138" s="421">
        <f t="shared" si="450"/>
        <v>0</v>
      </c>
      <c r="X138" s="421">
        <v>0</v>
      </c>
      <c r="Y138" s="421">
        <v>0</v>
      </c>
      <c r="Z138" s="421">
        <v>0</v>
      </c>
      <c r="AA138" s="421">
        <v>59580</v>
      </c>
      <c r="AB138" s="421">
        <v>0</v>
      </c>
      <c r="AC138" s="421">
        <v>0</v>
      </c>
      <c r="AD138" s="421">
        <v>0</v>
      </c>
      <c r="AE138" s="421">
        <v>0</v>
      </c>
      <c r="AF138" s="421">
        <f t="shared" ref="AF138:AF143" si="451">V138+X138+Y138+AA138+AB138+AD138</f>
        <v>59580</v>
      </c>
      <c r="AG138" s="421">
        <f t="shared" ref="AG138:AG143" si="452">W138+Z138+AC138+AE138</f>
        <v>0</v>
      </c>
      <c r="AH138" s="421">
        <f t="shared" ref="AH138:AH143" si="453">SUM(AF138:AG138)</f>
        <v>59580</v>
      </c>
      <c r="AI138" s="421">
        <v>0</v>
      </c>
      <c r="AJ138" s="421">
        <v>0</v>
      </c>
      <c r="AK138" s="421">
        <v>0</v>
      </c>
      <c r="AL138" s="421">
        <v>0</v>
      </c>
      <c r="AM138" s="421">
        <v>0</v>
      </c>
      <c r="AN138" s="421">
        <v>0</v>
      </c>
      <c r="AO138" s="421">
        <f t="shared" ref="AO138:AO143" si="454">AI138+AK138+AL138+AM138</f>
        <v>0</v>
      </c>
      <c r="AP138" s="421">
        <f t="shared" ref="AP138:AP143" si="455">AJ138+AN138</f>
        <v>0</v>
      </c>
      <c r="AQ138" s="421">
        <f t="shared" ref="AQ138:AQ143" si="456">SUM(AO138:AP138)</f>
        <v>0</v>
      </c>
      <c r="AR138" s="421">
        <f t="shared" ref="AR138:AS143" si="457">AF138+AO138</f>
        <v>59580</v>
      </c>
      <c r="AS138" s="421">
        <f t="shared" si="457"/>
        <v>0</v>
      </c>
      <c r="AT138" s="421">
        <f t="shared" ref="AT138:AT143" si="458">SUM(AR138:AS138)</f>
        <v>59580</v>
      </c>
      <c r="AU138" s="68">
        <f t="shared" ref="AU138:AU143" si="459">ROUND((AH138+AI138+AJ138+AK138+AL138)*33.8%,0)</f>
        <v>20138</v>
      </c>
      <c r="AV138" s="68">
        <f t="shared" ref="AV138:AV143" si="460">ROUND(AH138*1%,0)</f>
        <v>596</v>
      </c>
      <c r="AW138" s="421">
        <v>0</v>
      </c>
      <c r="AX138" s="421">
        <v>0</v>
      </c>
      <c r="AY138" s="421">
        <f t="shared" ref="AY138:AY143" si="461">AW138+AX138</f>
        <v>0</v>
      </c>
      <c r="AZ138" s="421">
        <f t="shared" ref="AZ138:AZ143" si="462">AT138+AU138+AV138+AY138</f>
        <v>80314</v>
      </c>
      <c r="BA138" s="422">
        <v>0</v>
      </c>
      <c r="BB138" s="422">
        <v>0</v>
      </c>
      <c r="BC138" s="422">
        <v>0</v>
      </c>
      <c r="BD138" s="422">
        <v>0</v>
      </c>
      <c r="BE138" s="422">
        <v>0</v>
      </c>
      <c r="BF138" s="422">
        <v>0</v>
      </c>
      <c r="BG138" s="422">
        <v>0</v>
      </c>
      <c r="BH138" s="422">
        <v>0.09</v>
      </c>
      <c r="BI138" s="422">
        <v>0</v>
      </c>
      <c r="BJ138" s="422">
        <v>0</v>
      </c>
      <c r="BK138" s="422">
        <f t="shared" ref="BK138:BK143" si="463">BA138+BC138+BD138+BF138+BH138+BI138</f>
        <v>0.09</v>
      </c>
      <c r="BL138" s="422">
        <f t="shared" ref="BL138:BL143" si="464">BB138+BE138+BG138+BJ138</f>
        <v>0</v>
      </c>
      <c r="BM138" s="611">
        <f t="shared" ref="BM138:BM143" si="465">SUM(BK138:BL138)</f>
        <v>0.09</v>
      </c>
      <c r="BN138" s="428">
        <f t="shared" ref="BN138:BN143" si="466">I138+AZ138</f>
        <v>31291679</v>
      </c>
      <c r="BO138" s="421">
        <f t="shared" ref="BO138:BO143" si="467">J138+AH138</f>
        <v>22894870</v>
      </c>
      <c r="BP138" s="421">
        <f t="shared" ref="BP138:BQ143" si="468">K138+AF138</f>
        <v>21336064</v>
      </c>
      <c r="BQ138" s="421">
        <f t="shared" si="468"/>
        <v>1558806</v>
      </c>
      <c r="BR138" s="421">
        <f t="shared" ref="BR138:BR143" si="469">M138+AQ138</f>
        <v>0</v>
      </c>
      <c r="BS138" s="421">
        <f t="shared" ref="BS138:BT143" si="470">N138+AO138</f>
        <v>0</v>
      </c>
      <c r="BT138" s="421">
        <f t="shared" si="470"/>
        <v>0</v>
      </c>
      <c r="BU138" s="421">
        <f t="shared" ref="BU138:BV143" si="471">P138+AU138</f>
        <v>7738466</v>
      </c>
      <c r="BV138" s="421">
        <f t="shared" si="471"/>
        <v>228948</v>
      </c>
      <c r="BW138" s="421">
        <f t="shared" ref="BW138:BW143" si="472">R138+AY138</f>
        <v>429395</v>
      </c>
      <c r="BX138" s="422">
        <f t="shared" ref="BX138:BX143" si="473">S138+BM138</f>
        <v>33.722800000000007</v>
      </c>
      <c r="BY138" s="422">
        <f t="shared" ref="BY138:BZ143" si="474">T138+BK138</f>
        <v>29.09</v>
      </c>
      <c r="BZ138" s="611">
        <f t="shared" si="474"/>
        <v>4.6327999999999996</v>
      </c>
      <c r="CA138" s="423"/>
      <c r="CB138" s="418"/>
      <c r="CC138" s="418"/>
      <c r="CD138" s="418"/>
      <c r="CE138" s="418"/>
      <c r="CF138" s="527"/>
    </row>
    <row r="139" spans="1:84" s="222" customFormat="1" x14ac:dyDescent="0.2">
      <c r="A139" s="210">
        <v>25</v>
      </c>
      <c r="B139" s="211">
        <v>4452</v>
      </c>
      <c r="C139" s="211">
        <v>600074919</v>
      </c>
      <c r="D139" s="211">
        <v>70698511</v>
      </c>
      <c r="E139" s="209" t="s">
        <v>194</v>
      </c>
      <c r="F139" s="211">
        <v>3113</v>
      </c>
      <c r="G139" s="165" t="s">
        <v>293</v>
      </c>
      <c r="H139" s="699" t="s">
        <v>271</v>
      </c>
      <c r="I139" s="528">
        <f t="shared" si="445"/>
        <v>711329</v>
      </c>
      <c r="J139" s="418">
        <f t="shared" si="446"/>
        <v>527692</v>
      </c>
      <c r="K139" s="418">
        <v>527692</v>
      </c>
      <c r="L139" s="418">
        <v>0</v>
      </c>
      <c r="M139" s="418">
        <f t="shared" si="447"/>
        <v>0</v>
      </c>
      <c r="N139" s="418"/>
      <c r="O139" s="418"/>
      <c r="P139" s="68">
        <f t="shared" si="448"/>
        <v>178360</v>
      </c>
      <c r="Q139" s="68">
        <f t="shared" ref="Q139:Q143" si="475">ROUND(J139*1%,0)</f>
        <v>5277</v>
      </c>
      <c r="R139" s="418">
        <v>0</v>
      </c>
      <c r="S139" s="419">
        <f t="shared" si="449"/>
        <v>1.28</v>
      </c>
      <c r="T139" s="420">
        <v>1.28</v>
      </c>
      <c r="U139" s="527">
        <v>0</v>
      </c>
      <c r="V139" s="427">
        <f t="shared" si="450"/>
        <v>0</v>
      </c>
      <c r="W139" s="421">
        <f t="shared" si="450"/>
        <v>0</v>
      </c>
      <c r="X139" s="421">
        <v>0</v>
      </c>
      <c r="Y139" s="421">
        <v>0</v>
      </c>
      <c r="Z139" s="421">
        <v>0</v>
      </c>
      <c r="AA139" s="421">
        <v>0</v>
      </c>
      <c r="AB139" s="421">
        <v>0</v>
      </c>
      <c r="AC139" s="421">
        <v>0</v>
      </c>
      <c r="AD139" s="421">
        <v>0</v>
      </c>
      <c r="AE139" s="421">
        <v>0</v>
      </c>
      <c r="AF139" s="421">
        <f t="shared" si="451"/>
        <v>0</v>
      </c>
      <c r="AG139" s="421">
        <f t="shared" si="452"/>
        <v>0</v>
      </c>
      <c r="AH139" s="421">
        <f t="shared" si="453"/>
        <v>0</v>
      </c>
      <c r="AI139" s="421">
        <v>0</v>
      </c>
      <c r="AJ139" s="421">
        <v>0</v>
      </c>
      <c r="AK139" s="421">
        <v>0</v>
      </c>
      <c r="AL139" s="421">
        <v>0</v>
      </c>
      <c r="AM139" s="421">
        <v>0</v>
      </c>
      <c r="AN139" s="421">
        <v>0</v>
      </c>
      <c r="AO139" s="421">
        <f t="shared" si="454"/>
        <v>0</v>
      </c>
      <c r="AP139" s="421">
        <f t="shared" si="455"/>
        <v>0</v>
      </c>
      <c r="AQ139" s="421">
        <f t="shared" si="456"/>
        <v>0</v>
      </c>
      <c r="AR139" s="421">
        <f t="shared" si="457"/>
        <v>0</v>
      </c>
      <c r="AS139" s="421">
        <f t="shared" si="457"/>
        <v>0</v>
      </c>
      <c r="AT139" s="421">
        <f t="shared" si="458"/>
        <v>0</v>
      </c>
      <c r="AU139" s="68">
        <f t="shared" si="459"/>
        <v>0</v>
      </c>
      <c r="AV139" s="68">
        <f t="shared" si="460"/>
        <v>0</v>
      </c>
      <c r="AW139" s="421">
        <v>0</v>
      </c>
      <c r="AX139" s="421">
        <v>0</v>
      </c>
      <c r="AY139" s="421">
        <f t="shared" si="461"/>
        <v>0</v>
      </c>
      <c r="AZ139" s="421">
        <f t="shared" si="462"/>
        <v>0</v>
      </c>
      <c r="BA139" s="422">
        <v>0</v>
      </c>
      <c r="BB139" s="422">
        <v>0</v>
      </c>
      <c r="BC139" s="422">
        <v>0</v>
      </c>
      <c r="BD139" s="422">
        <v>0</v>
      </c>
      <c r="BE139" s="422">
        <v>0</v>
      </c>
      <c r="BF139" s="422">
        <v>0</v>
      </c>
      <c r="BG139" s="422">
        <v>0</v>
      </c>
      <c r="BH139" s="422">
        <v>0</v>
      </c>
      <c r="BI139" s="422">
        <v>0</v>
      </c>
      <c r="BJ139" s="422">
        <v>0</v>
      </c>
      <c r="BK139" s="422">
        <f t="shared" si="463"/>
        <v>0</v>
      </c>
      <c r="BL139" s="422">
        <f t="shared" si="464"/>
        <v>0</v>
      </c>
      <c r="BM139" s="611">
        <f t="shared" si="465"/>
        <v>0</v>
      </c>
      <c r="BN139" s="428">
        <f t="shared" si="466"/>
        <v>711329</v>
      </c>
      <c r="BO139" s="421">
        <f t="shared" si="467"/>
        <v>527692</v>
      </c>
      <c r="BP139" s="421">
        <f t="shared" si="468"/>
        <v>527692</v>
      </c>
      <c r="BQ139" s="421">
        <f t="shared" si="468"/>
        <v>0</v>
      </c>
      <c r="BR139" s="421">
        <f t="shared" si="469"/>
        <v>0</v>
      </c>
      <c r="BS139" s="421">
        <f t="shared" si="470"/>
        <v>0</v>
      </c>
      <c r="BT139" s="421">
        <f t="shared" si="470"/>
        <v>0</v>
      </c>
      <c r="BU139" s="421">
        <f t="shared" si="471"/>
        <v>178360</v>
      </c>
      <c r="BV139" s="421">
        <f t="shared" si="471"/>
        <v>5277</v>
      </c>
      <c r="BW139" s="421">
        <f t="shared" si="472"/>
        <v>0</v>
      </c>
      <c r="BX139" s="422">
        <f t="shared" si="473"/>
        <v>1.28</v>
      </c>
      <c r="BY139" s="422">
        <f t="shared" si="474"/>
        <v>1.28</v>
      </c>
      <c r="BZ139" s="611">
        <f t="shared" si="474"/>
        <v>0</v>
      </c>
      <c r="CA139" s="423"/>
      <c r="CB139" s="418"/>
      <c r="CC139" s="418"/>
      <c r="CD139" s="418"/>
      <c r="CE139" s="418"/>
      <c r="CF139" s="527"/>
    </row>
    <row r="140" spans="1:84" s="222" customFormat="1" x14ac:dyDescent="0.2">
      <c r="A140" s="210">
        <v>25</v>
      </c>
      <c r="B140" s="211">
        <v>4452</v>
      </c>
      <c r="C140" s="211">
        <v>600074919</v>
      </c>
      <c r="D140" s="211">
        <v>70698511</v>
      </c>
      <c r="E140" s="209" t="s">
        <v>194</v>
      </c>
      <c r="F140" s="211">
        <v>3113</v>
      </c>
      <c r="G140" s="165" t="s">
        <v>292</v>
      </c>
      <c r="H140" s="699" t="s">
        <v>272</v>
      </c>
      <c r="I140" s="528">
        <f t="shared" si="445"/>
        <v>0</v>
      </c>
      <c r="J140" s="418">
        <f t="shared" si="446"/>
        <v>0</v>
      </c>
      <c r="K140" s="418">
        <v>0</v>
      </c>
      <c r="L140" s="418">
        <v>0</v>
      </c>
      <c r="M140" s="418">
        <f t="shared" si="447"/>
        <v>0</v>
      </c>
      <c r="N140" s="418"/>
      <c r="O140" s="418"/>
      <c r="P140" s="68">
        <f t="shared" si="448"/>
        <v>0</v>
      </c>
      <c r="Q140" s="68">
        <f t="shared" si="475"/>
        <v>0</v>
      </c>
      <c r="R140" s="418">
        <v>0</v>
      </c>
      <c r="S140" s="419">
        <f t="shared" si="449"/>
        <v>0</v>
      </c>
      <c r="T140" s="420">
        <v>0</v>
      </c>
      <c r="U140" s="527">
        <v>0</v>
      </c>
      <c r="V140" s="427">
        <f t="shared" si="450"/>
        <v>0</v>
      </c>
      <c r="W140" s="421">
        <f t="shared" si="450"/>
        <v>0</v>
      </c>
      <c r="X140" s="421">
        <v>1289684</v>
      </c>
      <c r="Y140" s="421">
        <v>0</v>
      </c>
      <c r="Z140" s="421">
        <v>0</v>
      </c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f t="shared" si="451"/>
        <v>1289684</v>
      </c>
      <c r="AG140" s="421">
        <f t="shared" si="452"/>
        <v>0</v>
      </c>
      <c r="AH140" s="421">
        <f t="shared" si="453"/>
        <v>1289684</v>
      </c>
      <c r="AI140" s="421">
        <v>0</v>
      </c>
      <c r="AJ140" s="421">
        <v>0</v>
      </c>
      <c r="AK140" s="421">
        <v>0</v>
      </c>
      <c r="AL140" s="421">
        <v>0</v>
      </c>
      <c r="AM140" s="421">
        <v>0</v>
      </c>
      <c r="AN140" s="421">
        <v>0</v>
      </c>
      <c r="AO140" s="421">
        <f t="shared" si="454"/>
        <v>0</v>
      </c>
      <c r="AP140" s="421">
        <f t="shared" si="455"/>
        <v>0</v>
      </c>
      <c r="AQ140" s="421">
        <f t="shared" si="456"/>
        <v>0</v>
      </c>
      <c r="AR140" s="421">
        <f t="shared" si="457"/>
        <v>1289684</v>
      </c>
      <c r="AS140" s="421">
        <f t="shared" si="457"/>
        <v>0</v>
      </c>
      <c r="AT140" s="421">
        <f t="shared" si="458"/>
        <v>1289684</v>
      </c>
      <c r="AU140" s="68">
        <f t="shared" si="459"/>
        <v>435913</v>
      </c>
      <c r="AV140" s="68">
        <f t="shared" si="460"/>
        <v>12897</v>
      </c>
      <c r="AW140" s="421">
        <f>3500+3000</f>
        <v>6500</v>
      </c>
      <c r="AX140" s="421">
        <v>0</v>
      </c>
      <c r="AY140" s="421">
        <f t="shared" si="461"/>
        <v>6500</v>
      </c>
      <c r="AZ140" s="421">
        <f t="shared" si="462"/>
        <v>1744994</v>
      </c>
      <c r="BA140" s="422">
        <v>0</v>
      </c>
      <c r="BB140" s="422">
        <v>0</v>
      </c>
      <c r="BC140" s="422">
        <v>3.43</v>
      </c>
      <c r="BD140" s="422">
        <v>0</v>
      </c>
      <c r="BE140" s="422">
        <v>0</v>
      </c>
      <c r="BF140" s="422">
        <v>0</v>
      </c>
      <c r="BG140" s="422">
        <v>0</v>
      </c>
      <c r="BH140" s="422">
        <v>0</v>
      </c>
      <c r="BI140" s="422">
        <v>0</v>
      </c>
      <c r="BJ140" s="422">
        <v>0</v>
      </c>
      <c r="BK140" s="422">
        <f t="shared" si="463"/>
        <v>3.43</v>
      </c>
      <c r="BL140" s="422">
        <f t="shared" si="464"/>
        <v>0</v>
      </c>
      <c r="BM140" s="611">
        <f t="shared" si="465"/>
        <v>3.43</v>
      </c>
      <c r="BN140" s="428">
        <f t="shared" si="466"/>
        <v>1744994</v>
      </c>
      <c r="BO140" s="421">
        <f t="shared" si="467"/>
        <v>1289684</v>
      </c>
      <c r="BP140" s="421">
        <f t="shared" si="468"/>
        <v>1289684</v>
      </c>
      <c r="BQ140" s="421">
        <f t="shared" si="468"/>
        <v>0</v>
      </c>
      <c r="BR140" s="421">
        <f t="shared" si="469"/>
        <v>0</v>
      </c>
      <c r="BS140" s="421">
        <f t="shared" si="470"/>
        <v>0</v>
      </c>
      <c r="BT140" s="421">
        <f t="shared" si="470"/>
        <v>0</v>
      </c>
      <c r="BU140" s="421">
        <f t="shared" si="471"/>
        <v>435913</v>
      </c>
      <c r="BV140" s="421">
        <f t="shared" si="471"/>
        <v>12897</v>
      </c>
      <c r="BW140" s="421">
        <f t="shared" si="472"/>
        <v>6500</v>
      </c>
      <c r="BX140" s="422">
        <f t="shared" si="473"/>
        <v>3.43</v>
      </c>
      <c r="BY140" s="422">
        <f t="shared" si="474"/>
        <v>3.43</v>
      </c>
      <c r="BZ140" s="611">
        <f t="shared" si="474"/>
        <v>0</v>
      </c>
      <c r="CA140" s="423"/>
      <c r="CB140" s="418"/>
      <c r="CC140" s="418"/>
      <c r="CD140" s="418"/>
      <c r="CE140" s="418"/>
      <c r="CF140" s="527"/>
    </row>
    <row r="141" spans="1:84" s="222" customFormat="1" x14ac:dyDescent="0.2">
      <c r="A141" s="210">
        <v>25</v>
      </c>
      <c r="B141" s="211">
        <v>4452</v>
      </c>
      <c r="C141" s="211">
        <v>600074919</v>
      </c>
      <c r="D141" s="211">
        <v>70698511</v>
      </c>
      <c r="E141" s="209" t="s">
        <v>194</v>
      </c>
      <c r="F141" s="211">
        <v>3141</v>
      </c>
      <c r="G141" s="165" t="s">
        <v>295</v>
      </c>
      <c r="H141" s="699" t="s">
        <v>272</v>
      </c>
      <c r="I141" s="528">
        <f t="shared" si="445"/>
        <v>1446338</v>
      </c>
      <c r="J141" s="418">
        <f t="shared" si="446"/>
        <v>1064902</v>
      </c>
      <c r="K141" s="418">
        <v>0</v>
      </c>
      <c r="L141" s="418">
        <v>1064902</v>
      </c>
      <c r="M141" s="418">
        <f t="shared" si="447"/>
        <v>0</v>
      </c>
      <c r="N141" s="418"/>
      <c r="O141" s="418"/>
      <c r="P141" s="68">
        <f t="shared" si="448"/>
        <v>359937</v>
      </c>
      <c r="Q141" s="68">
        <f t="shared" si="475"/>
        <v>10649</v>
      </c>
      <c r="R141" s="418">
        <v>10850</v>
      </c>
      <c r="S141" s="419">
        <f t="shared" si="449"/>
        <v>3.19</v>
      </c>
      <c r="T141" s="420">
        <v>0</v>
      </c>
      <c r="U141" s="527">
        <v>3.19</v>
      </c>
      <c r="V141" s="427">
        <f t="shared" si="450"/>
        <v>0</v>
      </c>
      <c r="W141" s="421">
        <f t="shared" si="450"/>
        <v>0</v>
      </c>
      <c r="X141" s="421">
        <v>0</v>
      </c>
      <c r="Y141" s="421">
        <v>0</v>
      </c>
      <c r="Z141" s="421">
        <v>0</v>
      </c>
      <c r="AA141" s="421">
        <v>0</v>
      </c>
      <c r="AB141" s="421">
        <v>0</v>
      </c>
      <c r="AC141" s="421">
        <v>0</v>
      </c>
      <c r="AD141" s="421">
        <v>0</v>
      </c>
      <c r="AE141" s="421">
        <v>0</v>
      </c>
      <c r="AF141" s="421">
        <f t="shared" si="451"/>
        <v>0</v>
      </c>
      <c r="AG141" s="421">
        <f t="shared" si="452"/>
        <v>0</v>
      </c>
      <c r="AH141" s="421">
        <f t="shared" si="453"/>
        <v>0</v>
      </c>
      <c r="AI141" s="421">
        <v>0</v>
      </c>
      <c r="AJ141" s="421">
        <v>0</v>
      </c>
      <c r="AK141" s="421">
        <v>0</v>
      </c>
      <c r="AL141" s="421">
        <v>0</v>
      </c>
      <c r="AM141" s="421">
        <v>0</v>
      </c>
      <c r="AN141" s="421">
        <v>0</v>
      </c>
      <c r="AO141" s="421">
        <f t="shared" si="454"/>
        <v>0</v>
      </c>
      <c r="AP141" s="421">
        <f t="shared" si="455"/>
        <v>0</v>
      </c>
      <c r="AQ141" s="421">
        <f t="shared" si="456"/>
        <v>0</v>
      </c>
      <c r="AR141" s="421">
        <f t="shared" si="457"/>
        <v>0</v>
      </c>
      <c r="AS141" s="421">
        <f t="shared" si="457"/>
        <v>0</v>
      </c>
      <c r="AT141" s="421">
        <f t="shared" si="458"/>
        <v>0</v>
      </c>
      <c r="AU141" s="68">
        <f t="shared" si="459"/>
        <v>0</v>
      </c>
      <c r="AV141" s="68">
        <f t="shared" si="460"/>
        <v>0</v>
      </c>
      <c r="AW141" s="421">
        <v>0</v>
      </c>
      <c r="AX141" s="421">
        <v>0</v>
      </c>
      <c r="AY141" s="421">
        <f t="shared" si="461"/>
        <v>0</v>
      </c>
      <c r="AZ141" s="421">
        <f t="shared" si="462"/>
        <v>0</v>
      </c>
      <c r="BA141" s="422">
        <v>0</v>
      </c>
      <c r="BB141" s="422">
        <v>0</v>
      </c>
      <c r="BC141" s="422">
        <v>0</v>
      </c>
      <c r="BD141" s="422">
        <v>0</v>
      </c>
      <c r="BE141" s="422">
        <v>0</v>
      </c>
      <c r="BF141" s="422">
        <v>0</v>
      </c>
      <c r="BG141" s="422">
        <v>0</v>
      </c>
      <c r="BH141" s="422">
        <v>0</v>
      </c>
      <c r="BI141" s="422">
        <v>0</v>
      </c>
      <c r="BJ141" s="422">
        <v>0</v>
      </c>
      <c r="BK141" s="422">
        <f t="shared" si="463"/>
        <v>0</v>
      </c>
      <c r="BL141" s="422">
        <f t="shared" si="464"/>
        <v>0</v>
      </c>
      <c r="BM141" s="611">
        <f t="shared" si="465"/>
        <v>0</v>
      </c>
      <c r="BN141" s="428">
        <f t="shared" si="466"/>
        <v>1446338</v>
      </c>
      <c r="BO141" s="421">
        <f t="shared" si="467"/>
        <v>1064902</v>
      </c>
      <c r="BP141" s="421">
        <f t="shared" si="468"/>
        <v>0</v>
      </c>
      <c r="BQ141" s="421">
        <f t="shared" si="468"/>
        <v>1064902</v>
      </c>
      <c r="BR141" s="421">
        <f t="shared" si="469"/>
        <v>0</v>
      </c>
      <c r="BS141" s="421">
        <f t="shared" si="470"/>
        <v>0</v>
      </c>
      <c r="BT141" s="421">
        <f t="shared" si="470"/>
        <v>0</v>
      </c>
      <c r="BU141" s="421">
        <f t="shared" si="471"/>
        <v>359937</v>
      </c>
      <c r="BV141" s="421">
        <f t="shared" si="471"/>
        <v>10649</v>
      </c>
      <c r="BW141" s="421">
        <f t="shared" si="472"/>
        <v>10850</v>
      </c>
      <c r="BX141" s="422">
        <f t="shared" si="473"/>
        <v>3.19</v>
      </c>
      <c r="BY141" s="422">
        <f t="shared" si="474"/>
        <v>0</v>
      </c>
      <c r="BZ141" s="611">
        <f t="shared" si="474"/>
        <v>3.19</v>
      </c>
      <c r="CA141" s="423"/>
      <c r="CB141" s="418"/>
      <c r="CC141" s="418"/>
      <c r="CD141" s="418"/>
      <c r="CE141" s="418"/>
      <c r="CF141" s="527"/>
    </row>
    <row r="142" spans="1:84" s="222" customFormat="1" x14ac:dyDescent="0.2">
      <c r="A142" s="210">
        <v>25</v>
      </c>
      <c r="B142" s="211">
        <v>4452</v>
      </c>
      <c r="C142" s="211">
        <v>600074919</v>
      </c>
      <c r="D142" s="211">
        <v>70698511</v>
      </c>
      <c r="E142" s="205" t="s">
        <v>194</v>
      </c>
      <c r="F142" s="211">
        <v>3143</v>
      </c>
      <c r="G142" s="165" t="s">
        <v>596</v>
      </c>
      <c r="H142" s="686" t="s">
        <v>271</v>
      </c>
      <c r="I142" s="528">
        <f t="shared" si="445"/>
        <v>1578984</v>
      </c>
      <c r="J142" s="418">
        <f t="shared" si="446"/>
        <v>1171353</v>
      </c>
      <c r="K142" s="418">
        <v>1171353</v>
      </c>
      <c r="L142" s="418">
        <v>0</v>
      </c>
      <c r="M142" s="418">
        <f t="shared" si="447"/>
        <v>0</v>
      </c>
      <c r="N142" s="418"/>
      <c r="O142" s="418"/>
      <c r="P142" s="68">
        <f t="shared" si="448"/>
        <v>395917</v>
      </c>
      <c r="Q142" s="68">
        <f t="shared" si="475"/>
        <v>11714</v>
      </c>
      <c r="R142" s="418">
        <v>0</v>
      </c>
      <c r="S142" s="419">
        <f t="shared" si="449"/>
        <v>2.2679999999999998</v>
      </c>
      <c r="T142" s="420">
        <v>2.2679999999999998</v>
      </c>
      <c r="U142" s="527">
        <v>0</v>
      </c>
      <c r="V142" s="427">
        <f t="shared" si="450"/>
        <v>0</v>
      </c>
      <c r="W142" s="421">
        <f t="shared" si="450"/>
        <v>0</v>
      </c>
      <c r="X142" s="421">
        <v>0</v>
      </c>
      <c r="Y142" s="421">
        <v>0</v>
      </c>
      <c r="Z142" s="421">
        <v>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f t="shared" si="451"/>
        <v>0</v>
      </c>
      <c r="AG142" s="421">
        <f t="shared" si="452"/>
        <v>0</v>
      </c>
      <c r="AH142" s="421">
        <f t="shared" si="453"/>
        <v>0</v>
      </c>
      <c r="AI142" s="421">
        <v>0</v>
      </c>
      <c r="AJ142" s="421">
        <v>0</v>
      </c>
      <c r="AK142" s="421">
        <v>0</v>
      </c>
      <c r="AL142" s="421">
        <v>0</v>
      </c>
      <c r="AM142" s="421">
        <v>0</v>
      </c>
      <c r="AN142" s="421">
        <v>0</v>
      </c>
      <c r="AO142" s="421">
        <f t="shared" si="454"/>
        <v>0</v>
      </c>
      <c r="AP142" s="421">
        <f t="shared" si="455"/>
        <v>0</v>
      </c>
      <c r="AQ142" s="421">
        <f t="shared" si="456"/>
        <v>0</v>
      </c>
      <c r="AR142" s="421">
        <f t="shared" si="457"/>
        <v>0</v>
      </c>
      <c r="AS142" s="421">
        <f t="shared" si="457"/>
        <v>0</v>
      </c>
      <c r="AT142" s="421">
        <f t="shared" si="458"/>
        <v>0</v>
      </c>
      <c r="AU142" s="68">
        <f t="shared" si="459"/>
        <v>0</v>
      </c>
      <c r="AV142" s="68">
        <f t="shared" si="460"/>
        <v>0</v>
      </c>
      <c r="AW142" s="421">
        <v>0</v>
      </c>
      <c r="AX142" s="421">
        <v>0</v>
      </c>
      <c r="AY142" s="421">
        <f t="shared" si="461"/>
        <v>0</v>
      </c>
      <c r="AZ142" s="421">
        <f t="shared" si="462"/>
        <v>0</v>
      </c>
      <c r="BA142" s="422">
        <v>0</v>
      </c>
      <c r="BB142" s="422">
        <v>0</v>
      </c>
      <c r="BC142" s="422">
        <v>0</v>
      </c>
      <c r="BD142" s="422">
        <v>0</v>
      </c>
      <c r="BE142" s="422">
        <v>0</v>
      </c>
      <c r="BF142" s="422">
        <v>0</v>
      </c>
      <c r="BG142" s="422">
        <v>0</v>
      </c>
      <c r="BH142" s="422">
        <v>0</v>
      </c>
      <c r="BI142" s="422">
        <v>0</v>
      </c>
      <c r="BJ142" s="422">
        <v>0</v>
      </c>
      <c r="BK142" s="422">
        <f t="shared" si="463"/>
        <v>0</v>
      </c>
      <c r="BL142" s="422">
        <f t="shared" si="464"/>
        <v>0</v>
      </c>
      <c r="BM142" s="611">
        <f t="shared" si="465"/>
        <v>0</v>
      </c>
      <c r="BN142" s="428">
        <f t="shared" si="466"/>
        <v>1578984</v>
      </c>
      <c r="BO142" s="421">
        <f t="shared" si="467"/>
        <v>1171353</v>
      </c>
      <c r="BP142" s="421">
        <f t="shared" si="468"/>
        <v>1171353</v>
      </c>
      <c r="BQ142" s="421">
        <f t="shared" si="468"/>
        <v>0</v>
      </c>
      <c r="BR142" s="421">
        <f t="shared" si="469"/>
        <v>0</v>
      </c>
      <c r="BS142" s="421">
        <f t="shared" si="470"/>
        <v>0</v>
      </c>
      <c r="BT142" s="421">
        <f t="shared" si="470"/>
        <v>0</v>
      </c>
      <c r="BU142" s="421">
        <f t="shared" si="471"/>
        <v>395917</v>
      </c>
      <c r="BV142" s="421">
        <f t="shared" si="471"/>
        <v>11714</v>
      </c>
      <c r="BW142" s="421">
        <f t="shared" si="472"/>
        <v>0</v>
      </c>
      <c r="BX142" s="422">
        <f t="shared" si="473"/>
        <v>2.2679999999999998</v>
      </c>
      <c r="BY142" s="422">
        <f t="shared" si="474"/>
        <v>2.2679999999999998</v>
      </c>
      <c r="BZ142" s="611">
        <f t="shared" si="474"/>
        <v>0</v>
      </c>
      <c r="CA142" s="423"/>
      <c r="CB142" s="418"/>
      <c r="CC142" s="418"/>
      <c r="CD142" s="418"/>
      <c r="CE142" s="418"/>
      <c r="CF142" s="527"/>
    </row>
    <row r="143" spans="1:84" s="222" customFormat="1" x14ac:dyDescent="0.2">
      <c r="A143" s="210">
        <v>25</v>
      </c>
      <c r="B143" s="211">
        <v>4452</v>
      </c>
      <c r="C143" s="211">
        <v>600074919</v>
      </c>
      <c r="D143" s="211">
        <v>70698511</v>
      </c>
      <c r="E143" s="205" t="s">
        <v>194</v>
      </c>
      <c r="F143" s="211">
        <v>3143</v>
      </c>
      <c r="G143" s="165" t="s">
        <v>597</v>
      </c>
      <c r="H143" s="686" t="s">
        <v>272</v>
      </c>
      <c r="I143" s="528">
        <f t="shared" si="445"/>
        <v>45072</v>
      </c>
      <c r="J143" s="418">
        <f t="shared" si="446"/>
        <v>32261</v>
      </c>
      <c r="K143" s="418">
        <v>0</v>
      </c>
      <c r="L143" s="418">
        <v>32261</v>
      </c>
      <c r="M143" s="418">
        <f t="shared" si="447"/>
        <v>0</v>
      </c>
      <c r="N143" s="418"/>
      <c r="O143" s="418"/>
      <c r="P143" s="68">
        <f t="shared" si="448"/>
        <v>10904</v>
      </c>
      <c r="Q143" s="68">
        <f t="shared" si="475"/>
        <v>323</v>
      </c>
      <c r="R143" s="418">
        <v>1584</v>
      </c>
      <c r="S143" s="419">
        <f t="shared" si="449"/>
        <v>0.12</v>
      </c>
      <c r="T143" s="420">
        <v>0</v>
      </c>
      <c r="U143" s="527">
        <v>0.12</v>
      </c>
      <c r="V143" s="427">
        <f t="shared" si="450"/>
        <v>0</v>
      </c>
      <c r="W143" s="421">
        <f t="shared" si="450"/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f t="shared" si="451"/>
        <v>0</v>
      </c>
      <c r="AG143" s="421">
        <f t="shared" si="452"/>
        <v>0</v>
      </c>
      <c r="AH143" s="421">
        <f t="shared" si="453"/>
        <v>0</v>
      </c>
      <c r="AI143" s="421">
        <v>0</v>
      </c>
      <c r="AJ143" s="421">
        <v>0</v>
      </c>
      <c r="AK143" s="421">
        <v>0</v>
      </c>
      <c r="AL143" s="421">
        <v>0</v>
      </c>
      <c r="AM143" s="421">
        <v>0</v>
      </c>
      <c r="AN143" s="421">
        <v>0</v>
      </c>
      <c r="AO143" s="421">
        <f t="shared" si="454"/>
        <v>0</v>
      </c>
      <c r="AP143" s="421">
        <f t="shared" si="455"/>
        <v>0</v>
      </c>
      <c r="AQ143" s="421">
        <f t="shared" si="456"/>
        <v>0</v>
      </c>
      <c r="AR143" s="421">
        <f t="shared" si="457"/>
        <v>0</v>
      </c>
      <c r="AS143" s="421">
        <f t="shared" si="457"/>
        <v>0</v>
      </c>
      <c r="AT143" s="421">
        <f t="shared" si="458"/>
        <v>0</v>
      </c>
      <c r="AU143" s="68">
        <f t="shared" si="459"/>
        <v>0</v>
      </c>
      <c r="AV143" s="68">
        <f t="shared" si="460"/>
        <v>0</v>
      </c>
      <c r="AW143" s="421">
        <v>0</v>
      </c>
      <c r="AX143" s="421">
        <v>0</v>
      </c>
      <c r="AY143" s="421">
        <f t="shared" si="461"/>
        <v>0</v>
      </c>
      <c r="AZ143" s="421">
        <f t="shared" si="462"/>
        <v>0</v>
      </c>
      <c r="BA143" s="422">
        <v>0</v>
      </c>
      <c r="BB143" s="422">
        <v>0</v>
      </c>
      <c r="BC143" s="422">
        <v>0</v>
      </c>
      <c r="BD143" s="422">
        <v>0</v>
      </c>
      <c r="BE143" s="422">
        <v>0</v>
      </c>
      <c r="BF143" s="422">
        <v>0</v>
      </c>
      <c r="BG143" s="422">
        <v>0</v>
      </c>
      <c r="BH143" s="422">
        <v>0</v>
      </c>
      <c r="BI143" s="422">
        <v>0</v>
      </c>
      <c r="BJ143" s="422">
        <v>0</v>
      </c>
      <c r="BK143" s="422">
        <f t="shared" si="463"/>
        <v>0</v>
      </c>
      <c r="BL143" s="422">
        <f t="shared" si="464"/>
        <v>0</v>
      </c>
      <c r="BM143" s="611">
        <f t="shared" si="465"/>
        <v>0</v>
      </c>
      <c r="BN143" s="428">
        <f t="shared" si="466"/>
        <v>45072</v>
      </c>
      <c r="BO143" s="421">
        <f t="shared" si="467"/>
        <v>32261</v>
      </c>
      <c r="BP143" s="421">
        <f t="shared" si="468"/>
        <v>0</v>
      </c>
      <c r="BQ143" s="421">
        <f t="shared" si="468"/>
        <v>32261</v>
      </c>
      <c r="BR143" s="421">
        <f t="shared" si="469"/>
        <v>0</v>
      </c>
      <c r="BS143" s="421">
        <f t="shared" si="470"/>
        <v>0</v>
      </c>
      <c r="BT143" s="421">
        <f t="shared" si="470"/>
        <v>0</v>
      </c>
      <c r="BU143" s="421">
        <f t="shared" si="471"/>
        <v>10904</v>
      </c>
      <c r="BV143" s="421">
        <f t="shared" si="471"/>
        <v>323</v>
      </c>
      <c r="BW143" s="421">
        <f t="shared" si="472"/>
        <v>1584</v>
      </c>
      <c r="BX143" s="422">
        <f t="shared" si="473"/>
        <v>0.12</v>
      </c>
      <c r="BY143" s="422">
        <f t="shared" si="474"/>
        <v>0</v>
      </c>
      <c r="BZ143" s="611">
        <f t="shared" si="474"/>
        <v>0.12</v>
      </c>
      <c r="CA143" s="423"/>
      <c r="CB143" s="418"/>
      <c r="CC143" s="418"/>
      <c r="CD143" s="418"/>
      <c r="CE143" s="418"/>
      <c r="CF143" s="527"/>
    </row>
    <row r="144" spans="1:84" s="222" customFormat="1" x14ac:dyDescent="0.2">
      <c r="A144" s="155">
        <v>25</v>
      </c>
      <c r="B144" s="18">
        <v>4452</v>
      </c>
      <c r="C144" s="18">
        <v>600074919</v>
      </c>
      <c r="D144" s="18">
        <v>70698511</v>
      </c>
      <c r="E144" s="164" t="s">
        <v>195</v>
      </c>
      <c r="F144" s="18"/>
      <c r="G144" s="154"/>
      <c r="H144" s="685"/>
      <c r="I144" s="458">
        <f t="shared" ref="I144:BT144" si="476">SUM(I138:I143)</f>
        <v>34993088</v>
      </c>
      <c r="J144" s="451">
        <f t="shared" si="476"/>
        <v>25631498</v>
      </c>
      <c r="K144" s="451">
        <f t="shared" si="476"/>
        <v>22975529</v>
      </c>
      <c r="L144" s="451">
        <f t="shared" si="476"/>
        <v>2655969</v>
      </c>
      <c r="M144" s="451">
        <f t="shared" si="476"/>
        <v>0</v>
      </c>
      <c r="N144" s="451">
        <f t="shared" si="476"/>
        <v>0</v>
      </c>
      <c r="O144" s="451">
        <f t="shared" si="476"/>
        <v>0</v>
      </c>
      <c r="P144" s="451">
        <f t="shared" si="476"/>
        <v>8663446</v>
      </c>
      <c r="Q144" s="451">
        <f t="shared" si="476"/>
        <v>256315</v>
      </c>
      <c r="R144" s="451">
        <f t="shared" si="476"/>
        <v>441829</v>
      </c>
      <c r="S144" s="452">
        <f t="shared" si="476"/>
        <v>40.4908</v>
      </c>
      <c r="T144" s="452">
        <f t="shared" si="476"/>
        <v>32.548000000000002</v>
      </c>
      <c r="U144" s="39">
        <f t="shared" si="476"/>
        <v>7.9427999999999992</v>
      </c>
      <c r="V144" s="458">
        <f t="shared" si="476"/>
        <v>0</v>
      </c>
      <c r="W144" s="451">
        <f t="shared" si="476"/>
        <v>0</v>
      </c>
      <c r="X144" s="451">
        <f t="shared" si="476"/>
        <v>1289684</v>
      </c>
      <c r="Y144" s="451">
        <f t="shared" si="476"/>
        <v>0</v>
      </c>
      <c r="Z144" s="451">
        <f t="shared" si="476"/>
        <v>0</v>
      </c>
      <c r="AA144" s="451">
        <f t="shared" si="476"/>
        <v>59580</v>
      </c>
      <c r="AB144" s="451">
        <f t="shared" si="476"/>
        <v>0</v>
      </c>
      <c r="AC144" s="451">
        <f t="shared" si="476"/>
        <v>0</v>
      </c>
      <c r="AD144" s="451">
        <f t="shared" si="476"/>
        <v>0</v>
      </c>
      <c r="AE144" s="451">
        <f t="shared" si="476"/>
        <v>0</v>
      </c>
      <c r="AF144" s="451">
        <f t="shared" si="476"/>
        <v>1349264</v>
      </c>
      <c r="AG144" s="451">
        <f t="shared" si="476"/>
        <v>0</v>
      </c>
      <c r="AH144" s="451">
        <f t="shared" si="476"/>
        <v>1349264</v>
      </c>
      <c r="AI144" s="451">
        <f t="shared" si="476"/>
        <v>0</v>
      </c>
      <c r="AJ144" s="451">
        <f t="shared" si="476"/>
        <v>0</v>
      </c>
      <c r="AK144" s="451">
        <f t="shared" ref="AK144" si="477">SUM(AK138:AK143)</f>
        <v>0</v>
      </c>
      <c r="AL144" s="451">
        <f t="shared" si="476"/>
        <v>0</v>
      </c>
      <c r="AM144" s="451">
        <f t="shared" si="476"/>
        <v>0</v>
      </c>
      <c r="AN144" s="451">
        <f t="shared" si="476"/>
        <v>0</v>
      </c>
      <c r="AO144" s="451">
        <f t="shared" si="476"/>
        <v>0</v>
      </c>
      <c r="AP144" s="451">
        <f t="shared" si="476"/>
        <v>0</v>
      </c>
      <c r="AQ144" s="451">
        <f t="shared" si="476"/>
        <v>0</v>
      </c>
      <c r="AR144" s="451">
        <f t="shared" si="476"/>
        <v>1349264</v>
      </c>
      <c r="AS144" s="451">
        <f t="shared" si="476"/>
        <v>0</v>
      </c>
      <c r="AT144" s="451">
        <f t="shared" si="476"/>
        <v>1349264</v>
      </c>
      <c r="AU144" s="451">
        <f t="shared" si="476"/>
        <v>456051</v>
      </c>
      <c r="AV144" s="451">
        <f t="shared" si="476"/>
        <v>13493</v>
      </c>
      <c r="AW144" s="451">
        <f t="shared" si="476"/>
        <v>6500</v>
      </c>
      <c r="AX144" s="451">
        <f t="shared" si="476"/>
        <v>0</v>
      </c>
      <c r="AY144" s="451">
        <f t="shared" si="476"/>
        <v>6500</v>
      </c>
      <c r="AZ144" s="451">
        <f t="shared" si="476"/>
        <v>1825308</v>
      </c>
      <c r="BA144" s="452">
        <f t="shared" si="476"/>
        <v>0</v>
      </c>
      <c r="BB144" s="452">
        <f t="shared" si="476"/>
        <v>0</v>
      </c>
      <c r="BC144" s="452">
        <f t="shared" si="476"/>
        <v>3.43</v>
      </c>
      <c r="BD144" s="452">
        <f t="shared" si="476"/>
        <v>0</v>
      </c>
      <c r="BE144" s="452">
        <f t="shared" si="476"/>
        <v>0</v>
      </c>
      <c r="BF144" s="452">
        <f t="shared" si="476"/>
        <v>0</v>
      </c>
      <c r="BG144" s="452">
        <f t="shared" si="476"/>
        <v>0</v>
      </c>
      <c r="BH144" s="452">
        <f t="shared" si="476"/>
        <v>0.09</v>
      </c>
      <c r="BI144" s="452">
        <f t="shared" si="476"/>
        <v>0</v>
      </c>
      <c r="BJ144" s="452">
        <f t="shared" si="476"/>
        <v>0</v>
      </c>
      <c r="BK144" s="452">
        <f t="shared" si="476"/>
        <v>3.52</v>
      </c>
      <c r="BL144" s="452">
        <f t="shared" si="476"/>
        <v>0</v>
      </c>
      <c r="BM144" s="456">
        <f t="shared" si="476"/>
        <v>3.52</v>
      </c>
      <c r="BN144" s="454">
        <f t="shared" si="476"/>
        <v>36818396</v>
      </c>
      <c r="BO144" s="451">
        <f t="shared" si="476"/>
        <v>26980762</v>
      </c>
      <c r="BP144" s="451">
        <f t="shared" si="476"/>
        <v>24324793</v>
      </c>
      <c r="BQ144" s="451">
        <f t="shared" si="476"/>
        <v>2655969</v>
      </c>
      <c r="BR144" s="451">
        <f t="shared" si="476"/>
        <v>0</v>
      </c>
      <c r="BS144" s="451">
        <f t="shared" si="476"/>
        <v>0</v>
      </c>
      <c r="BT144" s="451">
        <f t="shared" si="476"/>
        <v>0</v>
      </c>
      <c r="BU144" s="451">
        <f t="shared" ref="BU144:CF144" si="478">SUM(BU138:BU143)</f>
        <v>9119497</v>
      </c>
      <c r="BV144" s="451">
        <f t="shared" si="478"/>
        <v>269808</v>
      </c>
      <c r="BW144" s="451">
        <f t="shared" si="478"/>
        <v>448329</v>
      </c>
      <c r="BX144" s="452">
        <f t="shared" si="478"/>
        <v>44.010800000000003</v>
      </c>
      <c r="BY144" s="452">
        <f t="shared" si="478"/>
        <v>36.068000000000005</v>
      </c>
      <c r="BZ144" s="456">
        <f t="shared" si="478"/>
        <v>7.9427999999999992</v>
      </c>
      <c r="CA144" s="854">
        <f t="shared" si="478"/>
        <v>0</v>
      </c>
      <c r="CB144" s="852">
        <f t="shared" si="478"/>
        <v>0</v>
      </c>
      <c r="CC144" s="852">
        <f t="shared" si="478"/>
        <v>0</v>
      </c>
      <c r="CD144" s="852">
        <f t="shared" si="478"/>
        <v>0</v>
      </c>
      <c r="CE144" s="852">
        <f t="shared" si="478"/>
        <v>0</v>
      </c>
      <c r="CF144" s="848">
        <f t="shared" si="478"/>
        <v>0</v>
      </c>
    </row>
    <row r="145" spans="1:84" s="222" customFormat="1" x14ac:dyDescent="0.2">
      <c r="A145" s="210">
        <v>26</v>
      </c>
      <c r="B145" s="211">
        <v>4468</v>
      </c>
      <c r="C145" s="211">
        <v>600075052</v>
      </c>
      <c r="D145" s="211">
        <v>70698546</v>
      </c>
      <c r="E145" s="209" t="s">
        <v>196</v>
      </c>
      <c r="F145" s="211">
        <v>3231</v>
      </c>
      <c r="G145" s="165" t="s">
        <v>296</v>
      </c>
      <c r="H145" s="699" t="s">
        <v>271</v>
      </c>
      <c r="I145" s="528">
        <f>J145+P145+Q145+R145</f>
        <v>8283844</v>
      </c>
      <c r="J145" s="418">
        <f>K145+L145</f>
        <v>6137860</v>
      </c>
      <c r="K145" s="418">
        <v>5905035</v>
      </c>
      <c r="L145" s="418">
        <v>232825</v>
      </c>
      <c r="M145" s="418">
        <f>N145+O145</f>
        <v>0</v>
      </c>
      <c r="N145" s="418"/>
      <c r="O145" s="418"/>
      <c r="P145" s="68">
        <f>ROUND(J145*33.8%,0)</f>
        <v>2074597</v>
      </c>
      <c r="Q145" s="68">
        <f>ROUND(J145*1%,0)</f>
        <v>61379</v>
      </c>
      <c r="R145" s="418">
        <v>10008</v>
      </c>
      <c r="S145" s="419">
        <f>T145+U145</f>
        <v>9.9935999999999989</v>
      </c>
      <c r="T145" s="420">
        <v>9.3402999999999992</v>
      </c>
      <c r="U145" s="527">
        <v>0.65329999999999999</v>
      </c>
      <c r="V145" s="427">
        <f>AI145*-1</f>
        <v>0</v>
      </c>
      <c r="W145" s="421">
        <f>AJ145*-1</f>
        <v>-9792</v>
      </c>
      <c r="X145" s="421">
        <v>0</v>
      </c>
      <c r="Y145" s="421">
        <v>0</v>
      </c>
      <c r="Z145" s="421">
        <v>0</v>
      </c>
      <c r="AA145" s="421">
        <v>0</v>
      </c>
      <c r="AB145" s="421">
        <v>0</v>
      </c>
      <c r="AC145" s="421">
        <v>0</v>
      </c>
      <c r="AD145" s="421">
        <v>0</v>
      </c>
      <c r="AE145" s="421">
        <v>0</v>
      </c>
      <c r="AF145" s="421">
        <f>V145+X145+Y145+AA145+AB145+AD145</f>
        <v>0</v>
      </c>
      <c r="AG145" s="421">
        <f>W145+Z145+AC145+AE145</f>
        <v>-9792</v>
      </c>
      <c r="AH145" s="421">
        <f>SUM(AF145:AG145)</f>
        <v>-9792</v>
      </c>
      <c r="AI145" s="421">
        <v>0</v>
      </c>
      <c r="AJ145" s="421">
        <v>9792</v>
      </c>
      <c r="AK145" s="421">
        <v>0</v>
      </c>
      <c r="AL145" s="421">
        <v>0</v>
      </c>
      <c r="AM145" s="421">
        <v>0</v>
      </c>
      <c r="AN145" s="421">
        <v>0</v>
      </c>
      <c r="AO145" s="421">
        <f>AI145+AK145+AL145+AM145</f>
        <v>0</v>
      </c>
      <c r="AP145" s="421">
        <f>AJ145+AN145</f>
        <v>9792</v>
      </c>
      <c r="AQ145" s="421">
        <f>SUM(AO145:AP145)</f>
        <v>9792</v>
      </c>
      <c r="AR145" s="421">
        <f>AF145+AO145</f>
        <v>0</v>
      </c>
      <c r="AS145" s="421">
        <f>AG145+AP145</f>
        <v>0</v>
      </c>
      <c r="AT145" s="421">
        <f>SUM(AR145:AS145)</f>
        <v>0</v>
      </c>
      <c r="AU145" s="68">
        <f>ROUND((AH145+AI145+AJ145+AK145+AL145)*33.8%,0)</f>
        <v>0</v>
      </c>
      <c r="AV145" s="68">
        <f>ROUND(AH145*1%,0)</f>
        <v>-98</v>
      </c>
      <c r="AW145" s="421">
        <v>0</v>
      </c>
      <c r="AX145" s="421">
        <v>0</v>
      </c>
      <c r="AY145" s="421">
        <f>AW145+AX145</f>
        <v>0</v>
      </c>
      <c r="AZ145" s="421">
        <f>AT145+AU145+AV145+AY145</f>
        <v>-98</v>
      </c>
      <c r="BA145" s="422">
        <v>0</v>
      </c>
      <c r="BB145" s="422">
        <v>-0.03</v>
      </c>
      <c r="BC145" s="422">
        <v>0</v>
      </c>
      <c r="BD145" s="422">
        <v>0</v>
      </c>
      <c r="BE145" s="422">
        <v>0</v>
      </c>
      <c r="BF145" s="422">
        <v>0</v>
      </c>
      <c r="BG145" s="422">
        <v>0</v>
      </c>
      <c r="BH145" s="422">
        <v>0</v>
      </c>
      <c r="BI145" s="422">
        <v>0</v>
      </c>
      <c r="BJ145" s="422">
        <v>0</v>
      </c>
      <c r="BK145" s="422">
        <f>BA145+BC145+BD145+BF145+BH145+BI145</f>
        <v>0</v>
      </c>
      <c r="BL145" s="422">
        <f>BB145+BE145+BG145+BJ145</f>
        <v>-0.03</v>
      </c>
      <c r="BM145" s="611">
        <f>SUM(BK145:BL145)</f>
        <v>-0.03</v>
      </c>
      <c r="BN145" s="428">
        <f>I145+AZ145</f>
        <v>8283746</v>
      </c>
      <c r="BO145" s="421">
        <f>J145+AH145</f>
        <v>6128068</v>
      </c>
      <c r="BP145" s="421">
        <f>K145+AF145</f>
        <v>5905035</v>
      </c>
      <c r="BQ145" s="421">
        <f>L145+AG145</f>
        <v>223033</v>
      </c>
      <c r="BR145" s="421">
        <f>M145+AQ145</f>
        <v>9792</v>
      </c>
      <c r="BS145" s="421">
        <f>N145+AO145</f>
        <v>0</v>
      </c>
      <c r="BT145" s="421">
        <f>O145+AP145</f>
        <v>9792</v>
      </c>
      <c r="BU145" s="421">
        <f>P145+AU145</f>
        <v>2074597</v>
      </c>
      <c r="BV145" s="421">
        <f>Q145+AV145</f>
        <v>61281</v>
      </c>
      <c r="BW145" s="421">
        <f>R145+AY145</f>
        <v>10008</v>
      </c>
      <c r="BX145" s="422">
        <f>S145+BM145</f>
        <v>9.9635999999999996</v>
      </c>
      <c r="BY145" s="422">
        <f>T145+BK145</f>
        <v>9.3402999999999992</v>
      </c>
      <c r="BZ145" s="611">
        <f>U145+BL145</f>
        <v>0.62329999999999997</v>
      </c>
      <c r="CA145" s="423"/>
      <c r="CB145" s="418"/>
      <c r="CC145" s="418"/>
      <c r="CD145" s="418"/>
      <c r="CE145" s="418"/>
      <c r="CF145" s="527"/>
    </row>
    <row r="146" spans="1:84" s="222" customFormat="1" x14ac:dyDescent="0.2">
      <c r="A146" s="155">
        <v>26</v>
      </c>
      <c r="B146" s="18">
        <v>4468</v>
      </c>
      <c r="C146" s="18">
        <v>600075052</v>
      </c>
      <c r="D146" s="18">
        <v>70698546</v>
      </c>
      <c r="E146" s="164" t="s">
        <v>197</v>
      </c>
      <c r="F146" s="18"/>
      <c r="G146" s="154"/>
      <c r="H146" s="685"/>
      <c r="I146" s="458">
        <f t="shared" ref="I146:BU146" si="479">SUM(I145)</f>
        <v>8283844</v>
      </c>
      <c r="J146" s="451">
        <f t="shared" si="479"/>
        <v>6137860</v>
      </c>
      <c r="K146" s="451">
        <f t="shared" si="479"/>
        <v>5905035</v>
      </c>
      <c r="L146" s="451">
        <f t="shared" si="479"/>
        <v>232825</v>
      </c>
      <c r="M146" s="451">
        <f t="shared" si="479"/>
        <v>0</v>
      </c>
      <c r="N146" s="451">
        <f t="shared" si="479"/>
        <v>0</v>
      </c>
      <c r="O146" s="451">
        <f t="shared" si="479"/>
        <v>0</v>
      </c>
      <c r="P146" s="451">
        <f t="shared" si="479"/>
        <v>2074597</v>
      </c>
      <c r="Q146" s="451">
        <f t="shared" si="479"/>
        <v>61379</v>
      </c>
      <c r="R146" s="451">
        <f t="shared" si="479"/>
        <v>10008</v>
      </c>
      <c r="S146" s="452">
        <f>SUM(S145)</f>
        <v>9.9935999999999989</v>
      </c>
      <c r="T146" s="452">
        <f t="shared" si="479"/>
        <v>9.3402999999999992</v>
      </c>
      <c r="U146" s="39">
        <f t="shared" si="479"/>
        <v>0.65329999999999999</v>
      </c>
      <c r="V146" s="458">
        <f t="shared" si="479"/>
        <v>0</v>
      </c>
      <c r="W146" s="451">
        <f t="shared" si="479"/>
        <v>-9792</v>
      </c>
      <c r="X146" s="451">
        <f t="shared" si="479"/>
        <v>0</v>
      </c>
      <c r="Y146" s="451">
        <f t="shared" si="479"/>
        <v>0</v>
      </c>
      <c r="Z146" s="451">
        <f t="shared" si="479"/>
        <v>0</v>
      </c>
      <c r="AA146" s="451">
        <f t="shared" si="479"/>
        <v>0</v>
      </c>
      <c r="AB146" s="451">
        <f t="shared" si="479"/>
        <v>0</v>
      </c>
      <c r="AC146" s="451">
        <f t="shared" si="479"/>
        <v>0</v>
      </c>
      <c r="AD146" s="451">
        <f t="shared" si="479"/>
        <v>0</v>
      </c>
      <c r="AE146" s="451">
        <f t="shared" si="479"/>
        <v>0</v>
      </c>
      <c r="AF146" s="451">
        <f t="shared" si="479"/>
        <v>0</v>
      </c>
      <c r="AG146" s="451">
        <f t="shared" si="479"/>
        <v>-9792</v>
      </c>
      <c r="AH146" s="451">
        <f t="shared" si="479"/>
        <v>-9792</v>
      </c>
      <c r="AI146" s="451">
        <f t="shared" si="479"/>
        <v>0</v>
      </c>
      <c r="AJ146" s="451">
        <f t="shared" si="479"/>
        <v>9792</v>
      </c>
      <c r="AK146" s="451">
        <f t="shared" ref="AK146" si="480">SUM(AK145)</f>
        <v>0</v>
      </c>
      <c r="AL146" s="451">
        <f t="shared" si="479"/>
        <v>0</v>
      </c>
      <c r="AM146" s="451">
        <f t="shared" si="479"/>
        <v>0</v>
      </c>
      <c r="AN146" s="451">
        <f t="shared" si="479"/>
        <v>0</v>
      </c>
      <c r="AO146" s="451">
        <f t="shared" si="479"/>
        <v>0</v>
      </c>
      <c r="AP146" s="451">
        <f t="shared" si="479"/>
        <v>9792</v>
      </c>
      <c r="AQ146" s="451">
        <f t="shared" si="479"/>
        <v>9792</v>
      </c>
      <c r="AR146" s="451">
        <f t="shared" si="479"/>
        <v>0</v>
      </c>
      <c r="AS146" s="451">
        <f t="shared" si="479"/>
        <v>0</v>
      </c>
      <c r="AT146" s="451">
        <f t="shared" si="479"/>
        <v>0</v>
      </c>
      <c r="AU146" s="451">
        <f t="shared" si="479"/>
        <v>0</v>
      </c>
      <c r="AV146" s="451">
        <f t="shared" si="479"/>
        <v>-98</v>
      </c>
      <c r="AW146" s="451">
        <f t="shared" si="479"/>
        <v>0</v>
      </c>
      <c r="AX146" s="451">
        <f t="shared" si="479"/>
        <v>0</v>
      </c>
      <c r="AY146" s="451">
        <f t="shared" si="479"/>
        <v>0</v>
      </c>
      <c r="AZ146" s="451">
        <f t="shared" si="479"/>
        <v>-98</v>
      </c>
      <c r="BA146" s="452">
        <f t="shared" si="479"/>
        <v>0</v>
      </c>
      <c r="BB146" s="452">
        <f t="shared" si="479"/>
        <v>-0.03</v>
      </c>
      <c r="BC146" s="452">
        <f t="shared" si="479"/>
        <v>0</v>
      </c>
      <c r="BD146" s="452">
        <f t="shared" si="479"/>
        <v>0</v>
      </c>
      <c r="BE146" s="452">
        <f t="shared" si="479"/>
        <v>0</v>
      </c>
      <c r="BF146" s="452">
        <f t="shared" si="479"/>
        <v>0</v>
      </c>
      <c r="BG146" s="452">
        <f t="shared" si="479"/>
        <v>0</v>
      </c>
      <c r="BH146" s="452">
        <f t="shared" si="479"/>
        <v>0</v>
      </c>
      <c r="BI146" s="452">
        <f t="shared" si="479"/>
        <v>0</v>
      </c>
      <c r="BJ146" s="452">
        <f t="shared" si="479"/>
        <v>0</v>
      </c>
      <c r="BK146" s="452">
        <f t="shared" si="479"/>
        <v>0</v>
      </c>
      <c r="BL146" s="452">
        <f t="shared" si="479"/>
        <v>-0.03</v>
      </c>
      <c r="BM146" s="456">
        <f t="shared" si="479"/>
        <v>-0.03</v>
      </c>
      <c r="BN146" s="454">
        <f t="shared" si="479"/>
        <v>8283746</v>
      </c>
      <c r="BO146" s="451">
        <f t="shared" si="479"/>
        <v>6128068</v>
      </c>
      <c r="BP146" s="451">
        <f t="shared" si="479"/>
        <v>5905035</v>
      </c>
      <c r="BQ146" s="451">
        <f t="shared" si="479"/>
        <v>223033</v>
      </c>
      <c r="BR146" s="451">
        <f t="shared" si="479"/>
        <v>9792</v>
      </c>
      <c r="BS146" s="451">
        <f t="shared" si="479"/>
        <v>0</v>
      </c>
      <c r="BT146" s="451">
        <f t="shared" si="479"/>
        <v>9792</v>
      </c>
      <c r="BU146" s="451">
        <f t="shared" si="479"/>
        <v>2074597</v>
      </c>
      <c r="BV146" s="451">
        <f t="shared" ref="BV146:CF146" si="481">SUM(BV145)</f>
        <v>61281</v>
      </c>
      <c r="BW146" s="451">
        <f t="shared" si="481"/>
        <v>10008</v>
      </c>
      <c r="BX146" s="452">
        <f t="shared" si="481"/>
        <v>9.9635999999999996</v>
      </c>
      <c r="BY146" s="452">
        <f t="shared" si="481"/>
        <v>9.3402999999999992</v>
      </c>
      <c r="BZ146" s="456">
        <f t="shared" si="481"/>
        <v>0.62329999999999997</v>
      </c>
      <c r="CA146" s="854">
        <f t="shared" si="481"/>
        <v>0</v>
      </c>
      <c r="CB146" s="852">
        <f t="shared" si="481"/>
        <v>0</v>
      </c>
      <c r="CC146" s="852">
        <f t="shared" si="481"/>
        <v>0</v>
      </c>
      <c r="CD146" s="852">
        <f t="shared" si="481"/>
        <v>0</v>
      </c>
      <c r="CE146" s="852">
        <f t="shared" si="481"/>
        <v>0</v>
      </c>
      <c r="CF146" s="848">
        <f t="shared" si="481"/>
        <v>0</v>
      </c>
    </row>
    <row r="147" spans="1:84" s="222" customFormat="1" x14ac:dyDescent="0.2">
      <c r="A147" s="210">
        <v>27</v>
      </c>
      <c r="B147" s="211">
        <v>4414</v>
      </c>
      <c r="C147" s="211">
        <v>600074307</v>
      </c>
      <c r="D147" s="211">
        <v>70695831</v>
      </c>
      <c r="E147" s="209" t="s">
        <v>198</v>
      </c>
      <c r="F147" s="211">
        <v>3111</v>
      </c>
      <c r="G147" s="165" t="s">
        <v>291</v>
      </c>
      <c r="H147" s="699" t="s">
        <v>271</v>
      </c>
      <c r="I147" s="528">
        <f t="shared" ref="I147:I149" si="482">J147+P147+Q147+R147</f>
        <v>5659627</v>
      </c>
      <c r="J147" s="418">
        <f>K147+L147</f>
        <v>4183285</v>
      </c>
      <c r="K147" s="418">
        <v>3830624</v>
      </c>
      <c r="L147" s="418">
        <v>352661</v>
      </c>
      <c r="M147" s="418">
        <f>N147+O147</f>
        <v>0</v>
      </c>
      <c r="N147" s="418"/>
      <c r="O147" s="418"/>
      <c r="P147" s="68">
        <f t="shared" ref="P147:P149" si="483">ROUND(J147*33.8%,0)</f>
        <v>1413950</v>
      </c>
      <c r="Q147" s="68">
        <f t="shared" ref="Q147:Q149" si="484">ROUND(J147*1%,0)</f>
        <v>41833</v>
      </c>
      <c r="R147" s="418">
        <v>20559</v>
      </c>
      <c r="S147" s="419">
        <f>T147+U147</f>
        <v>7.4063999999999997</v>
      </c>
      <c r="T147" s="420">
        <v>6.2062999999999997</v>
      </c>
      <c r="U147" s="527">
        <v>1.2000999999999999</v>
      </c>
      <c r="V147" s="427">
        <f t="shared" ref="V147:W149" si="485">AI147*-1</f>
        <v>0</v>
      </c>
      <c r="W147" s="421">
        <f t="shared" si="485"/>
        <v>0</v>
      </c>
      <c r="X147" s="421">
        <v>0</v>
      </c>
      <c r="Y147" s="421">
        <v>0</v>
      </c>
      <c r="Z147" s="421">
        <v>0</v>
      </c>
      <c r="AA147" s="421">
        <v>0</v>
      </c>
      <c r="AB147" s="421">
        <v>0</v>
      </c>
      <c r="AC147" s="421">
        <v>0</v>
      </c>
      <c r="AD147" s="421">
        <v>0</v>
      </c>
      <c r="AE147" s="421">
        <v>0</v>
      </c>
      <c r="AF147" s="421">
        <f>V147+X147+Y147+AA147+AB147+AD147</f>
        <v>0</v>
      </c>
      <c r="AG147" s="421">
        <f>W147+Z147+AC147+AE147</f>
        <v>0</v>
      </c>
      <c r="AH147" s="421">
        <f>SUM(AF147:AG147)</f>
        <v>0</v>
      </c>
      <c r="AI147" s="421">
        <v>0</v>
      </c>
      <c r="AJ147" s="421">
        <v>0</v>
      </c>
      <c r="AK147" s="421">
        <v>0</v>
      </c>
      <c r="AL147" s="421">
        <v>0</v>
      </c>
      <c r="AM147" s="421">
        <v>0</v>
      </c>
      <c r="AN147" s="421">
        <v>0</v>
      </c>
      <c r="AO147" s="421">
        <f t="shared" ref="AO147:AO149" si="486">AI147+AK147+AL147+AM147</f>
        <v>0</v>
      </c>
      <c r="AP147" s="421">
        <f>AJ147+AN147</f>
        <v>0</v>
      </c>
      <c r="AQ147" s="421">
        <f>SUM(AO147:AP147)</f>
        <v>0</v>
      </c>
      <c r="AR147" s="421">
        <f t="shared" ref="AR147:AS149" si="487">AF147+AO147</f>
        <v>0</v>
      </c>
      <c r="AS147" s="421">
        <f t="shared" si="487"/>
        <v>0</v>
      </c>
      <c r="AT147" s="421">
        <f>SUM(AR147:AS147)</f>
        <v>0</v>
      </c>
      <c r="AU147" s="68">
        <f t="shared" ref="AU147:AU149" si="488">ROUND((AH147+AI147+AJ147+AK147+AL147)*33.8%,0)</f>
        <v>0</v>
      </c>
      <c r="AV147" s="68">
        <f>ROUND(AH147*1%,0)</f>
        <v>0</v>
      </c>
      <c r="AW147" s="421">
        <v>0</v>
      </c>
      <c r="AX147" s="421">
        <v>0</v>
      </c>
      <c r="AY147" s="421">
        <f>AW147+AX147</f>
        <v>0</v>
      </c>
      <c r="AZ147" s="421">
        <f>AT147+AU147+AV147+AY147</f>
        <v>0</v>
      </c>
      <c r="BA147" s="422">
        <v>0</v>
      </c>
      <c r="BB147" s="422">
        <v>0</v>
      </c>
      <c r="BC147" s="422">
        <v>0</v>
      </c>
      <c r="BD147" s="422">
        <v>0</v>
      </c>
      <c r="BE147" s="422">
        <v>0</v>
      </c>
      <c r="BF147" s="422">
        <v>0</v>
      </c>
      <c r="BG147" s="422">
        <v>0</v>
      </c>
      <c r="BH147" s="422">
        <v>0</v>
      </c>
      <c r="BI147" s="422">
        <v>0</v>
      </c>
      <c r="BJ147" s="422">
        <v>0</v>
      </c>
      <c r="BK147" s="422">
        <f>BA147+BC147+BD147+BF147+BH147+BI147</f>
        <v>0</v>
      </c>
      <c r="BL147" s="422">
        <f>BB147+BE147+BG147+BJ147</f>
        <v>0</v>
      </c>
      <c r="BM147" s="611">
        <f>SUM(BK147:BL147)</f>
        <v>0</v>
      </c>
      <c r="BN147" s="428">
        <f>I147+AZ147</f>
        <v>5659627</v>
      </c>
      <c r="BO147" s="421">
        <f>J147+AH147</f>
        <v>4183285</v>
      </c>
      <c r="BP147" s="421">
        <f t="shared" ref="BP147:BQ149" si="489">K147+AF147</f>
        <v>3830624</v>
      </c>
      <c r="BQ147" s="421">
        <f t="shared" si="489"/>
        <v>352661</v>
      </c>
      <c r="BR147" s="421">
        <f>M147+AQ147</f>
        <v>0</v>
      </c>
      <c r="BS147" s="421">
        <f t="shared" ref="BS147:BT149" si="490">N147+AO147</f>
        <v>0</v>
      </c>
      <c r="BT147" s="421">
        <f t="shared" si="490"/>
        <v>0</v>
      </c>
      <c r="BU147" s="421">
        <f t="shared" ref="BU147:BV149" si="491">P147+AU147</f>
        <v>1413950</v>
      </c>
      <c r="BV147" s="421">
        <f t="shared" si="491"/>
        <v>41833</v>
      </c>
      <c r="BW147" s="421">
        <f>R147+AY147</f>
        <v>20559</v>
      </c>
      <c r="BX147" s="422">
        <f>S147+BM147</f>
        <v>7.4063999999999997</v>
      </c>
      <c r="BY147" s="422">
        <f t="shared" ref="BY147:BZ149" si="492">T147+BK147</f>
        <v>6.2062999999999997</v>
      </c>
      <c r="BZ147" s="611">
        <f t="shared" si="492"/>
        <v>1.2000999999999999</v>
      </c>
      <c r="CA147" s="423"/>
      <c r="CB147" s="418"/>
      <c r="CC147" s="418"/>
      <c r="CD147" s="418"/>
      <c r="CE147" s="418"/>
      <c r="CF147" s="527"/>
    </row>
    <row r="148" spans="1:84" s="222" customFormat="1" x14ac:dyDescent="0.2">
      <c r="A148" s="210">
        <v>27</v>
      </c>
      <c r="B148" s="211">
        <v>4414</v>
      </c>
      <c r="C148" s="211">
        <v>600074307</v>
      </c>
      <c r="D148" s="211">
        <v>70695831</v>
      </c>
      <c r="E148" s="209" t="s">
        <v>198</v>
      </c>
      <c r="F148" s="211">
        <v>3111</v>
      </c>
      <c r="G148" s="165" t="s">
        <v>292</v>
      </c>
      <c r="H148" s="699" t="s">
        <v>272</v>
      </c>
      <c r="I148" s="528">
        <f t="shared" si="482"/>
        <v>0</v>
      </c>
      <c r="J148" s="418">
        <f>K148+L148</f>
        <v>0</v>
      </c>
      <c r="K148" s="418">
        <v>0</v>
      </c>
      <c r="L148" s="418">
        <v>0</v>
      </c>
      <c r="M148" s="418">
        <f>N148+O148</f>
        <v>0</v>
      </c>
      <c r="N148" s="418"/>
      <c r="O148" s="418"/>
      <c r="P148" s="68">
        <f t="shared" si="483"/>
        <v>0</v>
      </c>
      <c r="Q148" s="68">
        <f t="shared" si="484"/>
        <v>0</v>
      </c>
      <c r="R148" s="418">
        <v>0</v>
      </c>
      <c r="S148" s="419">
        <f>T148+U148</f>
        <v>0</v>
      </c>
      <c r="T148" s="420">
        <v>0</v>
      </c>
      <c r="U148" s="527">
        <v>0</v>
      </c>
      <c r="V148" s="427">
        <f t="shared" si="485"/>
        <v>0</v>
      </c>
      <c r="W148" s="421">
        <f t="shared" si="485"/>
        <v>0</v>
      </c>
      <c r="X148" s="421">
        <v>741603</v>
      </c>
      <c r="Y148" s="421">
        <v>0</v>
      </c>
      <c r="Z148" s="421">
        <v>0</v>
      </c>
      <c r="AA148" s="421">
        <v>0</v>
      </c>
      <c r="AB148" s="421">
        <v>0</v>
      </c>
      <c r="AC148" s="421">
        <v>0</v>
      </c>
      <c r="AD148" s="421">
        <v>0</v>
      </c>
      <c r="AE148" s="421">
        <v>0</v>
      </c>
      <c r="AF148" s="421">
        <f>V148+X148+Y148+AA148+AB148+AD148</f>
        <v>741603</v>
      </c>
      <c r="AG148" s="421">
        <f>W148+Z148+AC148+AE148</f>
        <v>0</v>
      </c>
      <c r="AH148" s="421">
        <f>SUM(AF148:AG148)</f>
        <v>741603</v>
      </c>
      <c r="AI148" s="421">
        <v>0</v>
      </c>
      <c r="AJ148" s="421">
        <v>0</v>
      </c>
      <c r="AK148" s="421">
        <v>0</v>
      </c>
      <c r="AL148" s="421">
        <v>0</v>
      </c>
      <c r="AM148" s="421">
        <v>0</v>
      </c>
      <c r="AN148" s="421">
        <v>0</v>
      </c>
      <c r="AO148" s="421">
        <f t="shared" si="486"/>
        <v>0</v>
      </c>
      <c r="AP148" s="421">
        <f>AJ148+AN148</f>
        <v>0</v>
      </c>
      <c r="AQ148" s="421">
        <f>SUM(AO148:AP148)</f>
        <v>0</v>
      </c>
      <c r="AR148" s="421">
        <f t="shared" si="487"/>
        <v>741603</v>
      </c>
      <c r="AS148" s="421">
        <f t="shared" si="487"/>
        <v>0</v>
      </c>
      <c r="AT148" s="421">
        <f>SUM(AR148:AS148)</f>
        <v>741603</v>
      </c>
      <c r="AU148" s="68">
        <f t="shared" si="488"/>
        <v>250662</v>
      </c>
      <c r="AV148" s="68">
        <f>ROUND(AH148*1%,0)</f>
        <v>7416</v>
      </c>
      <c r="AW148" s="421">
        <v>0</v>
      </c>
      <c r="AX148" s="421">
        <v>0</v>
      </c>
      <c r="AY148" s="421">
        <f>AW148+AX148</f>
        <v>0</v>
      </c>
      <c r="AZ148" s="421">
        <f>AT148+AU148+AV148+AY148</f>
        <v>999681</v>
      </c>
      <c r="BA148" s="422">
        <v>0</v>
      </c>
      <c r="BB148" s="422">
        <v>0</v>
      </c>
      <c r="BC148" s="422">
        <v>2</v>
      </c>
      <c r="BD148" s="422">
        <v>0</v>
      </c>
      <c r="BE148" s="422">
        <v>0</v>
      </c>
      <c r="BF148" s="422">
        <v>0</v>
      </c>
      <c r="BG148" s="422">
        <v>0</v>
      </c>
      <c r="BH148" s="422">
        <v>0</v>
      </c>
      <c r="BI148" s="422">
        <v>0</v>
      </c>
      <c r="BJ148" s="422">
        <v>0</v>
      </c>
      <c r="BK148" s="422">
        <f>BA148+BC148+BD148+BF148+BH148+BI148</f>
        <v>2</v>
      </c>
      <c r="BL148" s="422">
        <f>BB148+BE148+BG148+BJ148</f>
        <v>0</v>
      </c>
      <c r="BM148" s="611">
        <f>SUM(BK148:BL148)</f>
        <v>2</v>
      </c>
      <c r="BN148" s="428">
        <f>I148+AZ148</f>
        <v>999681</v>
      </c>
      <c r="BO148" s="421">
        <f>J148+AH148</f>
        <v>741603</v>
      </c>
      <c r="BP148" s="421">
        <f t="shared" si="489"/>
        <v>741603</v>
      </c>
      <c r="BQ148" s="421">
        <f t="shared" si="489"/>
        <v>0</v>
      </c>
      <c r="BR148" s="421">
        <f>M148+AQ148</f>
        <v>0</v>
      </c>
      <c r="BS148" s="421">
        <f t="shared" si="490"/>
        <v>0</v>
      </c>
      <c r="BT148" s="421">
        <f t="shared" si="490"/>
        <v>0</v>
      </c>
      <c r="BU148" s="421">
        <f t="shared" si="491"/>
        <v>250662</v>
      </c>
      <c r="BV148" s="421">
        <f t="shared" si="491"/>
        <v>7416</v>
      </c>
      <c r="BW148" s="421">
        <f>R148+AY148</f>
        <v>0</v>
      </c>
      <c r="BX148" s="422">
        <f>S148+BM148</f>
        <v>2</v>
      </c>
      <c r="BY148" s="422">
        <f t="shared" si="492"/>
        <v>2</v>
      </c>
      <c r="BZ148" s="611">
        <f t="shared" si="492"/>
        <v>0</v>
      </c>
      <c r="CA148" s="423"/>
      <c r="CB148" s="418"/>
      <c r="CC148" s="418"/>
      <c r="CD148" s="418"/>
      <c r="CE148" s="418"/>
      <c r="CF148" s="527"/>
    </row>
    <row r="149" spans="1:84" s="222" customFormat="1" x14ac:dyDescent="0.2">
      <c r="A149" s="210">
        <v>27</v>
      </c>
      <c r="B149" s="211">
        <v>4414</v>
      </c>
      <c r="C149" s="211">
        <v>600074307</v>
      </c>
      <c r="D149" s="211">
        <v>70695831</v>
      </c>
      <c r="E149" s="205" t="s">
        <v>845</v>
      </c>
      <c r="F149" s="211">
        <v>3141</v>
      </c>
      <c r="G149" s="165" t="s">
        <v>295</v>
      </c>
      <c r="H149" s="699" t="s">
        <v>272</v>
      </c>
      <c r="I149" s="528">
        <f t="shared" si="482"/>
        <v>0</v>
      </c>
      <c r="J149" s="418">
        <f>K149+L149</f>
        <v>0</v>
      </c>
      <c r="K149" s="418">
        <v>0</v>
      </c>
      <c r="L149" s="418">
        <v>0</v>
      </c>
      <c r="M149" s="418">
        <f>N149+O149</f>
        <v>0</v>
      </c>
      <c r="N149" s="418"/>
      <c r="O149" s="418"/>
      <c r="P149" s="68">
        <f t="shared" si="483"/>
        <v>0</v>
      </c>
      <c r="Q149" s="68">
        <f t="shared" si="484"/>
        <v>0</v>
      </c>
      <c r="R149" s="418">
        <v>0</v>
      </c>
      <c r="S149" s="419">
        <f>T149+U149</f>
        <v>0</v>
      </c>
      <c r="T149" s="420">
        <v>0</v>
      </c>
      <c r="U149" s="527">
        <v>0</v>
      </c>
      <c r="V149" s="427">
        <f t="shared" si="485"/>
        <v>0</v>
      </c>
      <c r="W149" s="421">
        <f t="shared" si="485"/>
        <v>0</v>
      </c>
      <c r="X149" s="421">
        <v>0</v>
      </c>
      <c r="Y149" s="421">
        <v>0</v>
      </c>
      <c r="Z149" s="421">
        <v>0</v>
      </c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f>V149+X149+Y149+AA149+AB149+AD149</f>
        <v>0</v>
      </c>
      <c r="AG149" s="421">
        <f>W149+Z149+AC149+AE149</f>
        <v>0</v>
      </c>
      <c r="AH149" s="421">
        <f>SUM(AF149:AG149)</f>
        <v>0</v>
      </c>
      <c r="AI149" s="421">
        <v>0</v>
      </c>
      <c r="AJ149" s="421">
        <v>0</v>
      </c>
      <c r="AK149" s="421">
        <v>0</v>
      </c>
      <c r="AL149" s="421">
        <v>0</v>
      </c>
      <c r="AM149" s="421">
        <v>0</v>
      </c>
      <c r="AN149" s="421">
        <v>0</v>
      </c>
      <c r="AO149" s="421">
        <f t="shared" si="486"/>
        <v>0</v>
      </c>
      <c r="AP149" s="421">
        <f>AJ149+AN149</f>
        <v>0</v>
      </c>
      <c r="AQ149" s="421">
        <f>SUM(AO149:AP149)</f>
        <v>0</v>
      </c>
      <c r="AR149" s="421">
        <f t="shared" si="487"/>
        <v>0</v>
      </c>
      <c r="AS149" s="421">
        <f t="shared" si="487"/>
        <v>0</v>
      </c>
      <c r="AT149" s="421">
        <f>SUM(AR149:AS149)</f>
        <v>0</v>
      </c>
      <c r="AU149" s="68">
        <f t="shared" si="488"/>
        <v>0</v>
      </c>
      <c r="AV149" s="68">
        <f>ROUND(AH149*1%,0)</f>
        <v>0</v>
      </c>
      <c r="AW149" s="421">
        <v>0</v>
      </c>
      <c r="AX149" s="421">
        <v>0</v>
      </c>
      <c r="AY149" s="421">
        <f>AW149+AX149</f>
        <v>0</v>
      </c>
      <c r="AZ149" s="421">
        <f>AT149+AU149+AV149+AY149</f>
        <v>0</v>
      </c>
      <c r="BA149" s="422">
        <v>0</v>
      </c>
      <c r="BB149" s="422">
        <v>0</v>
      </c>
      <c r="BC149" s="422">
        <v>0</v>
      </c>
      <c r="BD149" s="422">
        <v>0</v>
      </c>
      <c r="BE149" s="422">
        <v>0</v>
      </c>
      <c r="BF149" s="422">
        <v>0</v>
      </c>
      <c r="BG149" s="422">
        <v>0</v>
      </c>
      <c r="BH149" s="422">
        <v>0</v>
      </c>
      <c r="BI149" s="422">
        <v>0</v>
      </c>
      <c r="BJ149" s="422">
        <v>0</v>
      </c>
      <c r="BK149" s="422">
        <f>BA149+BC149+BD149+BF149+BH149+BI149</f>
        <v>0</v>
      </c>
      <c r="BL149" s="422">
        <f>BB149+BE149+BG149+BJ149</f>
        <v>0</v>
      </c>
      <c r="BM149" s="611">
        <f>SUM(BK149:BL149)</f>
        <v>0</v>
      </c>
      <c r="BN149" s="428">
        <f>I149+AZ149</f>
        <v>0</v>
      </c>
      <c r="BO149" s="421">
        <f>J149+AH149</f>
        <v>0</v>
      </c>
      <c r="BP149" s="421">
        <f t="shared" si="489"/>
        <v>0</v>
      </c>
      <c r="BQ149" s="421">
        <f t="shared" si="489"/>
        <v>0</v>
      </c>
      <c r="BR149" s="421">
        <f>M149+AQ149</f>
        <v>0</v>
      </c>
      <c r="BS149" s="421">
        <f t="shared" si="490"/>
        <v>0</v>
      </c>
      <c r="BT149" s="421">
        <f t="shared" si="490"/>
        <v>0</v>
      </c>
      <c r="BU149" s="421">
        <f t="shared" si="491"/>
        <v>0</v>
      </c>
      <c r="BV149" s="421">
        <f t="shared" si="491"/>
        <v>0</v>
      </c>
      <c r="BW149" s="421">
        <f>R149+AY149</f>
        <v>0</v>
      </c>
      <c r="BX149" s="422">
        <f>S149+BM149</f>
        <v>0</v>
      </c>
      <c r="BY149" s="422">
        <f t="shared" si="492"/>
        <v>0</v>
      </c>
      <c r="BZ149" s="611">
        <f t="shared" si="492"/>
        <v>0</v>
      </c>
      <c r="CA149" s="423"/>
      <c r="CB149" s="418"/>
      <c r="CC149" s="418"/>
      <c r="CD149" s="418"/>
      <c r="CE149" s="418"/>
      <c r="CF149" s="527"/>
    </row>
    <row r="150" spans="1:84" s="222" customFormat="1" x14ac:dyDescent="0.2">
      <c r="A150" s="155">
        <v>27</v>
      </c>
      <c r="B150" s="18">
        <v>4414</v>
      </c>
      <c r="C150" s="18">
        <v>600074307</v>
      </c>
      <c r="D150" s="18">
        <v>70695831</v>
      </c>
      <c r="E150" s="164" t="s">
        <v>199</v>
      </c>
      <c r="F150" s="18"/>
      <c r="G150" s="154"/>
      <c r="H150" s="685"/>
      <c r="I150" s="458">
        <f t="shared" ref="I150:BU150" si="493">SUM(I147:I149)</f>
        <v>5659627</v>
      </c>
      <c r="J150" s="451">
        <f t="shared" si="493"/>
        <v>4183285</v>
      </c>
      <c r="K150" s="451">
        <f t="shared" si="493"/>
        <v>3830624</v>
      </c>
      <c r="L150" s="451">
        <f t="shared" si="493"/>
        <v>352661</v>
      </c>
      <c r="M150" s="451">
        <f t="shared" si="493"/>
        <v>0</v>
      </c>
      <c r="N150" s="451">
        <f t="shared" si="493"/>
        <v>0</v>
      </c>
      <c r="O150" s="451">
        <f t="shared" si="493"/>
        <v>0</v>
      </c>
      <c r="P150" s="451">
        <f t="shared" si="493"/>
        <v>1413950</v>
      </c>
      <c r="Q150" s="451">
        <f t="shared" si="493"/>
        <v>41833</v>
      </c>
      <c r="R150" s="451">
        <f t="shared" si="493"/>
        <v>20559</v>
      </c>
      <c r="S150" s="452">
        <f t="shared" si="493"/>
        <v>7.4063999999999997</v>
      </c>
      <c r="T150" s="452">
        <f t="shared" si="493"/>
        <v>6.2062999999999997</v>
      </c>
      <c r="U150" s="39">
        <f t="shared" si="493"/>
        <v>1.2000999999999999</v>
      </c>
      <c r="V150" s="458">
        <f t="shared" si="493"/>
        <v>0</v>
      </c>
      <c r="W150" s="451">
        <f t="shared" si="493"/>
        <v>0</v>
      </c>
      <c r="X150" s="451">
        <f t="shared" si="493"/>
        <v>741603</v>
      </c>
      <c r="Y150" s="451">
        <f t="shared" si="493"/>
        <v>0</v>
      </c>
      <c r="Z150" s="451">
        <f t="shared" si="493"/>
        <v>0</v>
      </c>
      <c r="AA150" s="451">
        <f t="shared" si="493"/>
        <v>0</v>
      </c>
      <c r="AB150" s="451">
        <f t="shared" si="493"/>
        <v>0</v>
      </c>
      <c r="AC150" s="451">
        <f t="shared" si="493"/>
        <v>0</v>
      </c>
      <c r="AD150" s="451">
        <f t="shared" si="493"/>
        <v>0</v>
      </c>
      <c r="AE150" s="451">
        <f t="shared" si="493"/>
        <v>0</v>
      </c>
      <c r="AF150" s="451">
        <f t="shared" si="493"/>
        <v>741603</v>
      </c>
      <c r="AG150" s="451">
        <f t="shared" si="493"/>
        <v>0</v>
      </c>
      <c r="AH150" s="451">
        <f t="shared" si="493"/>
        <v>741603</v>
      </c>
      <c r="AI150" s="451">
        <f t="shared" si="493"/>
        <v>0</v>
      </c>
      <c r="AJ150" s="451">
        <f t="shared" si="493"/>
        <v>0</v>
      </c>
      <c r="AK150" s="451">
        <f t="shared" ref="AK150" si="494">SUM(AK147:AK149)</f>
        <v>0</v>
      </c>
      <c r="AL150" s="451">
        <f t="shared" si="493"/>
        <v>0</v>
      </c>
      <c r="AM150" s="451">
        <f t="shared" si="493"/>
        <v>0</v>
      </c>
      <c r="AN150" s="451">
        <f t="shared" si="493"/>
        <v>0</v>
      </c>
      <c r="AO150" s="451">
        <f t="shared" si="493"/>
        <v>0</v>
      </c>
      <c r="AP150" s="451">
        <f t="shared" si="493"/>
        <v>0</v>
      </c>
      <c r="AQ150" s="451">
        <f t="shared" si="493"/>
        <v>0</v>
      </c>
      <c r="AR150" s="451">
        <f t="shared" si="493"/>
        <v>741603</v>
      </c>
      <c r="AS150" s="451">
        <f t="shared" si="493"/>
        <v>0</v>
      </c>
      <c r="AT150" s="451">
        <f t="shared" si="493"/>
        <v>741603</v>
      </c>
      <c r="AU150" s="451">
        <f t="shared" si="493"/>
        <v>250662</v>
      </c>
      <c r="AV150" s="451">
        <f t="shared" si="493"/>
        <v>7416</v>
      </c>
      <c r="AW150" s="451">
        <f t="shared" si="493"/>
        <v>0</v>
      </c>
      <c r="AX150" s="451">
        <f t="shared" si="493"/>
        <v>0</v>
      </c>
      <c r="AY150" s="451">
        <f t="shared" si="493"/>
        <v>0</v>
      </c>
      <c r="AZ150" s="451">
        <f t="shared" si="493"/>
        <v>999681</v>
      </c>
      <c r="BA150" s="452">
        <f t="shared" si="493"/>
        <v>0</v>
      </c>
      <c r="BB150" s="452">
        <f t="shared" si="493"/>
        <v>0</v>
      </c>
      <c r="BC150" s="452">
        <f t="shared" si="493"/>
        <v>2</v>
      </c>
      <c r="BD150" s="452">
        <f t="shared" si="493"/>
        <v>0</v>
      </c>
      <c r="BE150" s="452">
        <f t="shared" si="493"/>
        <v>0</v>
      </c>
      <c r="BF150" s="452">
        <f t="shared" si="493"/>
        <v>0</v>
      </c>
      <c r="BG150" s="452">
        <f t="shared" si="493"/>
        <v>0</v>
      </c>
      <c r="BH150" s="452">
        <f t="shared" si="493"/>
        <v>0</v>
      </c>
      <c r="BI150" s="452">
        <f t="shared" si="493"/>
        <v>0</v>
      </c>
      <c r="BJ150" s="452">
        <f t="shared" si="493"/>
        <v>0</v>
      </c>
      <c r="BK150" s="452">
        <f t="shared" si="493"/>
        <v>2</v>
      </c>
      <c r="BL150" s="452">
        <f t="shared" si="493"/>
        <v>0</v>
      </c>
      <c r="BM150" s="456">
        <f t="shared" si="493"/>
        <v>2</v>
      </c>
      <c r="BN150" s="454">
        <f t="shared" si="493"/>
        <v>6659308</v>
      </c>
      <c r="BO150" s="451">
        <f t="shared" si="493"/>
        <v>4924888</v>
      </c>
      <c r="BP150" s="451">
        <f t="shared" si="493"/>
        <v>4572227</v>
      </c>
      <c r="BQ150" s="451">
        <f t="shared" si="493"/>
        <v>352661</v>
      </c>
      <c r="BR150" s="451">
        <f t="shared" si="493"/>
        <v>0</v>
      </c>
      <c r="BS150" s="451">
        <f t="shared" si="493"/>
        <v>0</v>
      </c>
      <c r="BT150" s="451">
        <f t="shared" si="493"/>
        <v>0</v>
      </c>
      <c r="BU150" s="451">
        <f t="shared" si="493"/>
        <v>1664612</v>
      </c>
      <c r="BV150" s="451">
        <f t="shared" ref="BV150:CF150" si="495">SUM(BV147:BV149)</f>
        <v>49249</v>
      </c>
      <c r="BW150" s="451">
        <f t="shared" si="495"/>
        <v>20559</v>
      </c>
      <c r="BX150" s="452">
        <f t="shared" si="495"/>
        <v>9.4063999999999997</v>
      </c>
      <c r="BY150" s="452">
        <f t="shared" si="495"/>
        <v>8.2062999999999988</v>
      </c>
      <c r="BZ150" s="456">
        <f t="shared" si="495"/>
        <v>1.2000999999999999</v>
      </c>
      <c r="CA150" s="854">
        <f t="shared" si="495"/>
        <v>0</v>
      </c>
      <c r="CB150" s="852">
        <f t="shared" si="495"/>
        <v>0</v>
      </c>
      <c r="CC150" s="852">
        <f t="shared" si="495"/>
        <v>0</v>
      </c>
      <c r="CD150" s="852">
        <f t="shared" si="495"/>
        <v>0</v>
      </c>
      <c r="CE150" s="852">
        <f t="shared" si="495"/>
        <v>0</v>
      </c>
      <c r="CF150" s="848">
        <f t="shared" si="495"/>
        <v>0</v>
      </c>
    </row>
    <row r="151" spans="1:84" s="222" customFormat="1" x14ac:dyDescent="0.2">
      <c r="A151" s="210">
        <v>28</v>
      </c>
      <c r="B151" s="211">
        <v>4444</v>
      </c>
      <c r="C151" s="211">
        <v>600074731</v>
      </c>
      <c r="D151" s="211">
        <v>48282979</v>
      </c>
      <c r="E151" s="209" t="s">
        <v>200</v>
      </c>
      <c r="F151" s="211">
        <v>3113</v>
      </c>
      <c r="G151" s="165" t="s">
        <v>294</v>
      </c>
      <c r="H151" s="699" t="s">
        <v>271</v>
      </c>
      <c r="I151" s="528">
        <f t="shared" ref="I151:I156" si="496">J151+P151+Q151+R151</f>
        <v>14186031</v>
      </c>
      <c r="J151" s="418">
        <f t="shared" ref="J151:J156" si="497">K151+L151</f>
        <v>10381189</v>
      </c>
      <c r="K151" s="418">
        <v>9516011</v>
      </c>
      <c r="L151" s="418">
        <v>865178</v>
      </c>
      <c r="M151" s="418">
        <f t="shared" ref="M151:M156" si="498">N151+O151</f>
        <v>0</v>
      </c>
      <c r="N151" s="418"/>
      <c r="O151" s="418"/>
      <c r="P151" s="68">
        <f t="shared" ref="P151:P156" si="499">ROUND(J151*33.8%,0)</f>
        <v>3508842</v>
      </c>
      <c r="Q151" s="68">
        <f t="shared" ref="Q151:Q156" si="500">ROUND(J151*1%,0)</f>
        <v>103812</v>
      </c>
      <c r="R151" s="418">
        <v>192188</v>
      </c>
      <c r="S151" s="419">
        <f t="shared" ref="S151:S156" si="501">T151+U151</f>
        <v>15.972999999999999</v>
      </c>
      <c r="T151" s="420">
        <v>13.5</v>
      </c>
      <c r="U151" s="527">
        <v>2.4729999999999999</v>
      </c>
      <c r="V151" s="427">
        <f t="shared" ref="V151:W156" si="502">AI151*-1</f>
        <v>0</v>
      </c>
      <c r="W151" s="421">
        <f t="shared" si="502"/>
        <v>-19200</v>
      </c>
      <c r="X151" s="421">
        <v>0</v>
      </c>
      <c r="Y151" s="421">
        <v>0</v>
      </c>
      <c r="Z151" s="421">
        <v>0</v>
      </c>
      <c r="AA151" s="421">
        <v>0</v>
      </c>
      <c r="AB151" s="421">
        <v>0</v>
      </c>
      <c r="AC151" s="421">
        <v>0</v>
      </c>
      <c r="AD151" s="421">
        <v>0</v>
      </c>
      <c r="AE151" s="421">
        <v>0</v>
      </c>
      <c r="AF151" s="421">
        <f t="shared" ref="AF151:AF156" si="503">V151+X151+Y151+AA151+AB151+AD151</f>
        <v>0</v>
      </c>
      <c r="AG151" s="421">
        <f t="shared" ref="AG151:AG156" si="504">W151+Z151+AC151+AE151</f>
        <v>-19200</v>
      </c>
      <c r="AH151" s="421">
        <f t="shared" ref="AH151:AH156" si="505">SUM(AF151:AG151)</f>
        <v>-19200</v>
      </c>
      <c r="AI151" s="421">
        <v>0</v>
      </c>
      <c r="AJ151" s="421">
        <v>19200</v>
      </c>
      <c r="AK151" s="421">
        <v>0</v>
      </c>
      <c r="AL151" s="421">
        <v>0</v>
      </c>
      <c r="AM151" s="421">
        <v>0</v>
      </c>
      <c r="AN151" s="421">
        <v>0</v>
      </c>
      <c r="AO151" s="421">
        <f t="shared" ref="AO151:AO156" si="506">AI151+AK151+AL151+AM151</f>
        <v>0</v>
      </c>
      <c r="AP151" s="421">
        <f t="shared" ref="AP151:AP156" si="507">AJ151+AN151</f>
        <v>19200</v>
      </c>
      <c r="AQ151" s="421">
        <f t="shared" ref="AQ151:AQ156" si="508">SUM(AO151:AP151)</f>
        <v>19200</v>
      </c>
      <c r="AR151" s="421">
        <f t="shared" ref="AR151:AS156" si="509">AF151+AO151</f>
        <v>0</v>
      </c>
      <c r="AS151" s="421">
        <f t="shared" si="509"/>
        <v>0</v>
      </c>
      <c r="AT151" s="421">
        <f t="shared" ref="AT151:AT156" si="510">SUM(AR151:AS151)</f>
        <v>0</v>
      </c>
      <c r="AU151" s="68">
        <f t="shared" ref="AU151:AU156" si="511">ROUND((AH151+AI151+AJ151+AK151+AL151)*33.8%,0)</f>
        <v>0</v>
      </c>
      <c r="AV151" s="68">
        <f t="shared" ref="AV151:AV156" si="512">ROUND(AH151*1%,0)</f>
        <v>-192</v>
      </c>
      <c r="AW151" s="421">
        <v>0</v>
      </c>
      <c r="AX151" s="421">
        <v>0</v>
      </c>
      <c r="AY151" s="421">
        <f t="shared" ref="AY151:AY156" si="513">AW151+AX151</f>
        <v>0</v>
      </c>
      <c r="AZ151" s="421">
        <f t="shared" ref="AZ151:AZ156" si="514">AT151+AU151+AV151+AY151</f>
        <v>-192</v>
      </c>
      <c r="BA151" s="422">
        <v>0</v>
      </c>
      <c r="BB151" s="422">
        <v>-7.0000000000000007E-2</v>
      </c>
      <c r="BC151" s="422">
        <v>0</v>
      </c>
      <c r="BD151" s="422">
        <v>0</v>
      </c>
      <c r="BE151" s="422">
        <v>0</v>
      </c>
      <c r="BF151" s="422">
        <v>0</v>
      </c>
      <c r="BG151" s="422">
        <v>0</v>
      </c>
      <c r="BH151" s="422">
        <v>0</v>
      </c>
      <c r="BI151" s="422">
        <v>0</v>
      </c>
      <c r="BJ151" s="422">
        <v>0</v>
      </c>
      <c r="BK151" s="422">
        <f t="shared" ref="BK151:BK156" si="515">BA151+BC151+BD151+BF151+BH151+BI151</f>
        <v>0</v>
      </c>
      <c r="BL151" s="422">
        <f t="shared" ref="BL151:BL156" si="516">BB151+BE151+BG151+BJ151</f>
        <v>-7.0000000000000007E-2</v>
      </c>
      <c r="BM151" s="611">
        <f t="shared" ref="BM151:BM156" si="517">SUM(BK151:BL151)</f>
        <v>-7.0000000000000007E-2</v>
      </c>
      <c r="BN151" s="428">
        <f t="shared" ref="BN151:BN156" si="518">I151+AZ151</f>
        <v>14185839</v>
      </c>
      <c r="BO151" s="421">
        <f t="shared" ref="BO151:BO156" si="519">J151+AH151</f>
        <v>10361989</v>
      </c>
      <c r="BP151" s="421">
        <f t="shared" ref="BP151:BQ156" si="520">K151+AF151</f>
        <v>9516011</v>
      </c>
      <c r="BQ151" s="421">
        <f t="shared" si="520"/>
        <v>845978</v>
      </c>
      <c r="BR151" s="421">
        <f t="shared" ref="BR151:BR156" si="521">M151+AQ151</f>
        <v>19200</v>
      </c>
      <c r="BS151" s="421">
        <f t="shared" ref="BS151:BT156" si="522">N151+AO151</f>
        <v>0</v>
      </c>
      <c r="BT151" s="421">
        <f t="shared" si="522"/>
        <v>19200</v>
      </c>
      <c r="BU151" s="421">
        <f t="shared" ref="BU151:BV156" si="523">P151+AU151</f>
        <v>3508842</v>
      </c>
      <c r="BV151" s="421">
        <f t="shared" si="523"/>
        <v>103620</v>
      </c>
      <c r="BW151" s="421">
        <f t="shared" ref="BW151:BW156" si="524">R151+AY151</f>
        <v>192188</v>
      </c>
      <c r="BX151" s="422">
        <f t="shared" ref="BX151:BX156" si="525">S151+BM151</f>
        <v>15.902999999999999</v>
      </c>
      <c r="BY151" s="422">
        <f t="shared" ref="BY151:BZ156" si="526">T151+BK151</f>
        <v>13.5</v>
      </c>
      <c r="BZ151" s="611">
        <f t="shared" si="526"/>
        <v>2.403</v>
      </c>
      <c r="CA151" s="423"/>
      <c r="CB151" s="418"/>
      <c r="CC151" s="418"/>
      <c r="CD151" s="418"/>
      <c r="CE151" s="418"/>
      <c r="CF151" s="527"/>
    </row>
    <row r="152" spans="1:84" s="222" customFormat="1" x14ac:dyDescent="0.2">
      <c r="A152" s="210">
        <v>28</v>
      </c>
      <c r="B152" s="211">
        <v>4444</v>
      </c>
      <c r="C152" s="211">
        <v>600074731</v>
      </c>
      <c r="D152" s="211">
        <v>48282979</v>
      </c>
      <c r="E152" s="209" t="s">
        <v>200</v>
      </c>
      <c r="F152" s="211">
        <v>3113</v>
      </c>
      <c r="G152" s="165" t="s">
        <v>299</v>
      </c>
      <c r="H152" s="699" t="s">
        <v>272</v>
      </c>
      <c r="I152" s="528">
        <f t="shared" si="496"/>
        <v>0</v>
      </c>
      <c r="J152" s="418">
        <f t="shared" si="497"/>
        <v>0</v>
      </c>
      <c r="K152" s="418">
        <v>0</v>
      </c>
      <c r="L152" s="418">
        <v>0</v>
      </c>
      <c r="M152" s="418">
        <f t="shared" si="498"/>
        <v>0</v>
      </c>
      <c r="N152" s="418"/>
      <c r="O152" s="418"/>
      <c r="P152" s="68">
        <f t="shared" si="499"/>
        <v>0</v>
      </c>
      <c r="Q152" s="68">
        <f t="shared" si="500"/>
        <v>0</v>
      </c>
      <c r="R152" s="418">
        <v>0</v>
      </c>
      <c r="S152" s="419">
        <f t="shared" si="501"/>
        <v>0</v>
      </c>
      <c r="T152" s="420">
        <v>0</v>
      </c>
      <c r="U152" s="527">
        <v>0</v>
      </c>
      <c r="V152" s="427">
        <f t="shared" si="502"/>
        <v>0</v>
      </c>
      <c r="W152" s="421">
        <f t="shared" si="502"/>
        <v>0</v>
      </c>
      <c r="X152" s="421">
        <v>1905511</v>
      </c>
      <c r="Y152" s="421">
        <v>0</v>
      </c>
      <c r="Z152" s="421">
        <v>0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f t="shared" si="503"/>
        <v>1905511</v>
      </c>
      <c r="AG152" s="421">
        <f t="shared" si="504"/>
        <v>0</v>
      </c>
      <c r="AH152" s="421">
        <f t="shared" si="505"/>
        <v>1905511</v>
      </c>
      <c r="AI152" s="421">
        <v>0</v>
      </c>
      <c r="AJ152" s="421">
        <v>0</v>
      </c>
      <c r="AK152" s="421">
        <v>0</v>
      </c>
      <c r="AL152" s="421">
        <v>0</v>
      </c>
      <c r="AM152" s="421">
        <v>0</v>
      </c>
      <c r="AN152" s="421">
        <v>0</v>
      </c>
      <c r="AO152" s="421">
        <f t="shared" si="506"/>
        <v>0</v>
      </c>
      <c r="AP152" s="421">
        <f t="shared" si="507"/>
        <v>0</v>
      </c>
      <c r="AQ152" s="421">
        <f t="shared" si="508"/>
        <v>0</v>
      </c>
      <c r="AR152" s="421">
        <f t="shared" si="509"/>
        <v>1905511</v>
      </c>
      <c r="AS152" s="421">
        <f t="shared" si="509"/>
        <v>0</v>
      </c>
      <c r="AT152" s="421">
        <f t="shared" si="510"/>
        <v>1905511</v>
      </c>
      <c r="AU152" s="68">
        <f t="shared" si="511"/>
        <v>644063</v>
      </c>
      <c r="AV152" s="68">
        <f t="shared" si="512"/>
        <v>19055</v>
      </c>
      <c r="AW152" s="421">
        <v>2500</v>
      </c>
      <c r="AX152" s="421">
        <v>0</v>
      </c>
      <c r="AY152" s="421">
        <f t="shared" si="513"/>
        <v>2500</v>
      </c>
      <c r="AZ152" s="421">
        <f t="shared" si="514"/>
        <v>2571129</v>
      </c>
      <c r="BA152" s="422">
        <v>0</v>
      </c>
      <c r="BB152" s="422">
        <v>0</v>
      </c>
      <c r="BC152" s="422">
        <v>5.14</v>
      </c>
      <c r="BD152" s="422">
        <v>0</v>
      </c>
      <c r="BE152" s="422">
        <v>0</v>
      </c>
      <c r="BF152" s="422">
        <v>0</v>
      </c>
      <c r="BG152" s="422">
        <v>0</v>
      </c>
      <c r="BH152" s="422">
        <v>0</v>
      </c>
      <c r="BI152" s="422">
        <v>0</v>
      </c>
      <c r="BJ152" s="422">
        <v>0</v>
      </c>
      <c r="BK152" s="422">
        <f t="shared" si="515"/>
        <v>5.14</v>
      </c>
      <c r="BL152" s="422">
        <f t="shared" si="516"/>
        <v>0</v>
      </c>
      <c r="BM152" s="611">
        <f t="shared" si="517"/>
        <v>5.14</v>
      </c>
      <c r="BN152" s="428">
        <f t="shared" si="518"/>
        <v>2571129</v>
      </c>
      <c r="BO152" s="421">
        <f t="shared" si="519"/>
        <v>1905511</v>
      </c>
      <c r="BP152" s="421">
        <f t="shared" si="520"/>
        <v>1905511</v>
      </c>
      <c r="BQ152" s="421">
        <f t="shared" si="520"/>
        <v>0</v>
      </c>
      <c r="BR152" s="421">
        <f t="shared" si="521"/>
        <v>0</v>
      </c>
      <c r="BS152" s="421">
        <f t="shared" si="522"/>
        <v>0</v>
      </c>
      <c r="BT152" s="421">
        <f t="shared" si="522"/>
        <v>0</v>
      </c>
      <c r="BU152" s="421">
        <f t="shared" si="523"/>
        <v>644063</v>
      </c>
      <c r="BV152" s="421">
        <f t="shared" si="523"/>
        <v>19055</v>
      </c>
      <c r="BW152" s="421">
        <f t="shared" si="524"/>
        <v>2500</v>
      </c>
      <c r="BX152" s="422">
        <f t="shared" si="525"/>
        <v>5.14</v>
      </c>
      <c r="BY152" s="422">
        <f t="shared" si="526"/>
        <v>5.14</v>
      </c>
      <c r="BZ152" s="611">
        <f t="shared" si="526"/>
        <v>0</v>
      </c>
      <c r="CA152" s="423"/>
      <c r="CB152" s="418"/>
      <c r="CC152" s="418"/>
      <c r="CD152" s="418"/>
      <c r="CE152" s="418"/>
      <c r="CF152" s="527"/>
    </row>
    <row r="153" spans="1:84" s="222" customFormat="1" x14ac:dyDescent="0.2">
      <c r="A153" s="210">
        <v>28</v>
      </c>
      <c r="B153" s="211">
        <v>4444</v>
      </c>
      <c r="C153" s="211">
        <v>600074731</v>
      </c>
      <c r="D153" s="211">
        <v>48282979</v>
      </c>
      <c r="E153" s="209" t="s">
        <v>200</v>
      </c>
      <c r="F153" s="211">
        <v>3141</v>
      </c>
      <c r="G153" s="165" t="s">
        <v>295</v>
      </c>
      <c r="H153" s="699" t="s">
        <v>272</v>
      </c>
      <c r="I153" s="528">
        <f t="shared" si="496"/>
        <v>1829703</v>
      </c>
      <c r="J153" s="418">
        <f t="shared" si="497"/>
        <v>1349494</v>
      </c>
      <c r="K153" s="418">
        <v>0</v>
      </c>
      <c r="L153" s="418">
        <v>1349494</v>
      </c>
      <c r="M153" s="418">
        <f t="shared" si="498"/>
        <v>0</v>
      </c>
      <c r="N153" s="418"/>
      <c r="O153" s="418"/>
      <c r="P153" s="68">
        <f t="shared" si="499"/>
        <v>456129</v>
      </c>
      <c r="Q153" s="68">
        <f t="shared" si="500"/>
        <v>13495</v>
      </c>
      <c r="R153" s="418">
        <v>10585</v>
      </c>
      <c r="S153" s="419">
        <f t="shared" si="501"/>
        <v>4.05</v>
      </c>
      <c r="T153" s="420">
        <v>0</v>
      </c>
      <c r="U153" s="527">
        <v>4.05</v>
      </c>
      <c r="V153" s="427">
        <f t="shared" si="502"/>
        <v>0</v>
      </c>
      <c r="W153" s="421">
        <f t="shared" si="502"/>
        <v>-19200</v>
      </c>
      <c r="X153" s="421">
        <v>0</v>
      </c>
      <c r="Y153" s="421">
        <v>0</v>
      </c>
      <c r="Z153" s="421">
        <v>0</v>
      </c>
      <c r="AA153" s="421">
        <v>0</v>
      </c>
      <c r="AB153" s="421">
        <v>0</v>
      </c>
      <c r="AC153" s="421">
        <v>0</v>
      </c>
      <c r="AD153" s="421">
        <v>0</v>
      </c>
      <c r="AE153" s="421">
        <v>0</v>
      </c>
      <c r="AF153" s="421">
        <f t="shared" si="503"/>
        <v>0</v>
      </c>
      <c r="AG153" s="421">
        <f t="shared" si="504"/>
        <v>-19200</v>
      </c>
      <c r="AH153" s="421">
        <f t="shared" si="505"/>
        <v>-19200</v>
      </c>
      <c r="AI153" s="421">
        <v>0</v>
      </c>
      <c r="AJ153" s="421">
        <v>19200</v>
      </c>
      <c r="AK153" s="421">
        <v>0</v>
      </c>
      <c r="AL153" s="421">
        <v>0</v>
      </c>
      <c r="AM153" s="421">
        <v>0</v>
      </c>
      <c r="AN153" s="421">
        <v>0</v>
      </c>
      <c r="AO153" s="421">
        <f t="shared" si="506"/>
        <v>0</v>
      </c>
      <c r="AP153" s="421">
        <f t="shared" si="507"/>
        <v>19200</v>
      </c>
      <c r="AQ153" s="421">
        <f t="shared" si="508"/>
        <v>19200</v>
      </c>
      <c r="AR153" s="421">
        <f t="shared" si="509"/>
        <v>0</v>
      </c>
      <c r="AS153" s="421">
        <f t="shared" si="509"/>
        <v>0</v>
      </c>
      <c r="AT153" s="421">
        <f t="shared" si="510"/>
        <v>0</v>
      </c>
      <c r="AU153" s="68">
        <f t="shared" si="511"/>
        <v>0</v>
      </c>
      <c r="AV153" s="68">
        <f t="shared" si="512"/>
        <v>-192</v>
      </c>
      <c r="AW153" s="421">
        <v>0</v>
      </c>
      <c r="AX153" s="421">
        <v>0</v>
      </c>
      <c r="AY153" s="421">
        <f t="shared" si="513"/>
        <v>0</v>
      </c>
      <c r="AZ153" s="421">
        <f t="shared" si="514"/>
        <v>-192</v>
      </c>
      <c r="BA153" s="422">
        <v>0</v>
      </c>
      <c r="BB153" s="422">
        <v>-7.0000000000000007E-2</v>
      </c>
      <c r="BC153" s="422">
        <v>0</v>
      </c>
      <c r="BD153" s="422">
        <v>0</v>
      </c>
      <c r="BE153" s="422">
        <v>0</v>
      </c>
      <c r="BF153" s="422">
        <v>0</v>
      </c>
      <c r="BG153" s="422">
        <v>0</v>
      </c>
      <c r="BH153" s="422">
        <v>0</v>
      </c>
      <c r="BI153" s="422">
        <v>0</v>
      </c>
      <c r="BJ153" s="422">
        <v>0</v>
      </c>
      <c r="BK153" s="422">
        <f t="shared" si="515"/>
        <v>0</v>
      </c>
      <c r="BL153" s="422">
        <f t="shared" si="516"/>
        <v>-7.0000000000000007E-2</v>
      </c>
      <c r="BM153" s="611">
        <f t="shared" si="517"/>
        <v>-7.0000000000000007E-2</v>
      </c>
      <c r="BN153" s="428">
        <f t="shared" si="518"/>
        <v>1829511</v>
      </c>
      <c r="BO153" s="421">
        <f t="shared" si="519"/>
        <v>1330294</v>
      </c>
      <c r="BP153" s="421">
        <f t="shared" si="520"/>
        <v>0</v>
      </c>
      <c r="BQ153" s="421">
        <f t="shared" si="520"/>
        <v>1330294</v>
      </c>
      <c r="BR153" s="421">
        <f t="shared" si="521"/>
        <v>19200</v>
      </c>
      <c r="BS153" s="421">
        <f t="shared" si="522"/>
        <v>0</v>
      </c>
      <c r="BT153" s="421">
        <f t="shared" si="522"/>
        <v>19200</v>
      </c>
      <c r="BU153" s="421">
        <f t="shared" si="523"/>
        <v>456129</v>
      </c>
      <c r="BV153" s="421">
        <f t="shared" si="523"/>
        <v>13303</v>
      </c>
      <c r="BW153" s="421">
        <f t="shared" si="524"/>
        <v>10585</v>
      </c>
      <c r="BX153" s="422">
        <f t="shared" si="525"/>
        <v>3.98</v>
      </c>
      <c r="BY153" s="422">
        <f t="shared" si="526"/>
        <v>0</v>
      </c>
      <c r="BZ153" s="611">
        <f t="shared" si="526"/>
        <v>3.98</v>
      </c>
      <c r="CA153" s="423"/>
      <c r="CB153" s="418"/>
      <c r="CC153" s="418"/>
      <c r="CD153" s="418"/>
      <c r="CE153" s="418"/>
      <c r="CF153" s="527"/>
    </row>
    <row r="154" spans="1:84" s="222" customFormat="1" x14ac:dyDescent="0.2">
      <c r="A154" s="210">
        <v>28</v>
      </c>
      <c r="B154" s="211">
        <v>4444</v>
      </c>
      <c r="C154" s="211">
        <v>600074731</v>
      </c>
      <c r="D154" s="211">
        <v>48282979</v>
      </c>
      <c r="E154" s="209" t="s">
        <v>200</v>
      </c>
      <c r="F154" s="211">
        <v>3143</v>
      </c>
      <c r="G154" s="165" t="s">
        <v>596</v>
      </c>
      <c r="H154" s="686" t="s">
        <v>271</v>
      </c>
      <c r="I154" s="528">
        <f t="shared" si="496"/>
        <v>1713423</v>
      </c>
      <c r="J154" s="418">
        <f t="shared" si="497"/>
        <v>1271085</v>
      </c>
      <c r="K154" s="418">
        <v>1271085</v>
      </c>
      <c r="L154" s="418">
        <v>0</v>
      </c>
      <c r="M154" s="418">
        <f t="shared" si="498"/>
        <v>0</v>
      </c>
      <c r="N154" s="418"/>
      <c r="O154" s="418"/>
      <c r="P154" s="68">
        <f t="shared" si="499"/>
        <v>429627</v>
      </c>
      <c r="Q154" s="68">
        <f t="shared" si="500"/>
        <v>12711</v>
      </c>
      <c r="R154" s="418">
        <v>0</v>
      </c>
      <c r="S154" s="419">
        <f t="shared" si="501"/>
        <v>2.65</v>
      </c>
      <c r="T154" s="420">
        <v>2.65</v>
      </c>
      <c r="U154" s="527">
        <v>0</v>
      </c>
      <c r="V154" s="427">
        <f t="shared" si="502"/>
        <v>-67200</v>
      </c>
      <c r="W154" s="421">
        <f t="shared" si="502"/>
        <v>0</v>
      </c>
      <c r="X154" s="421">
        <v>0</v>
      </c>
      <c r="Y154" s="421">
        <v>0</v>
      </c>
      <c r="Z154" s="421">
        <v>0</v>
      </c>
      <c r="AA154" s="421">
        <v>0</v>
      </c>
      <c r="AB154" s="421">
        <v>0</v>
      </c>
      <c r="AC154" s="421">
        <v>0</v>
      </c>
      <c r="AD154" s="421">
        <v>0</v>
      </c>
      <c r="AE154" s="421">
        <v>0</v>
      </c>
      <c r="AF154" s="421">
        <f t="shared" si="503"/>
        <v>-67200</v>
      </c>
      <c r="AG154" s="421">
        <f t="shared" si="504"/>
        <v>0</v>
      </c>
      <c r="AH154" s="421">
        <f t="shared" si="505"/>
        <v>-67200</v>
      </c>
      <c r="AI154" s="421">
        <v>67200</v>
      </c>
      <c r="AJ154" s="421">
        <v>0</v>
      </c>
      <c r="AK154" s="421">
        <v>0</v>
      </c>
      <c r="AL154" s="421">
        <v>0</v>
      </c>
      <c r="AM154" s="421">
        <v>0</v>
      </c>
      <c r="AN154" s="421">
        <v>0</v>
      </c>
      <c r="AO154" s="421">
        <f t="shared" si="506"/>
        <v>67200</v>
      </c>
      <c r="AP154" s="421">
        <f t="shared" si="507"/>
        <v>0</v>
      </c>
      <c r="AQ154" s="421">
        <f t="shared" si="508"/>
        <v>67200</v>
      </c>
      <c r="AR154" s="421">
        <f t="shared" si="509"/>
        <v>0</v>
      </c>
      <c r="AS154" s="421">
        <f t="shared" si="509"/>
        <v>0</v>
      </c>
      <c r="AT154" s="421">
        <f t="shared" si="510"/>
        <v>0</v>
      </c>
      <c r="AU154" s="68">
        <f t="shared" si="511"/>
        <v>0</v>
      </c>
      <c r="AV154" s="68">
        <f t="shared" si="512"/>
        <v>-672</v>
      </c>
      <c r="AW154" s="421">
        <v>0</v>
      </c>
      <c r="AX154" s="421">
        <v>0</v>
      </c>
      <c r="AY154" s="421">
        <f t="shared" si="513"/>
        <v>0</v>
      </c>
      <c r="AZ154" s="421">
        <f t="shared" si="514"/>
        <v>-672</v>
      </c>
      <c r="BA154" s="422">
        <v>-0.16</v>
      </c>
      <c r="BB154" s="422">
        <v>0</v>
      </c>
      <c r="BC154" s="422">
        <v>0</v>
      </c>
      <c r="BD154" s="422">
        <v>0</v>
      </c>
      <c r="BE154" s="422">
        <v>0</v>
      </c>
      <c r="BF154" s="422">
        <v>0</v>
      </c>
      <c r="BG154" s="422">
        <v>0</v>
      </c>
      <c r="BH154" s="422">
        <v>0</v>
      </c>
      <c r="BI154" s="422">
        <v>0</v>
      </c>
      <c r="BJ154" s="422">
        <v>0</v>
      </c>
      <c r="BK154" s="422">
        <f t="shared" si="515"/>
        <v>-0.16</v>
      </c>
      <c r="BL154" s="422">
        <f t="shared" si="516"/>
        <v>0</v>
      </c>
      <c r="BM154" s="611">
        <f t="shared" si="517"/>
        <v>-0.16</v>
      </c>
      <c r="BN154" s="428">
        <f t="shared" si="518"/>
        <v>1712751</v>
      </c>
      <c r="BO154" s="421">
        <f t="shared" si="519"/>
        <v>1203885</v>
      </c>
      <c r="BP154" s="421">
        <f t="shared" si="520"/>
        <v>1203885</v>
      </c>
      <c r="BQ154" s="421">
        <f t="shared" si="520"/>
        <v>0</v>
      </c>
      <c r="BR154" s="421">
        <f t="shared" si="521"/>
        <v>67200</v>
      </c>
      <c r="BS154" s="421">
        <f t="shared" si="522"/>
        <v>67200</v>
      </c>
      <c r="BT154" s="421">
        <f t="shared" si="522"/>
        <v>0</v>
      </c>
      <c r="BU154" s="421">
        <f t="shared" si="523"/>
        <v>429627</v>
      </c>
      <c r="BV154" s="421">
        <f t="shared" si="523"/>
        <v>12039</v>
      </c>
      <c r="BW154" s="421">
        <f t="shared" si="524"/>
        <v>0</v>
      </c>
      <c r="BX154" s="422">
        <f t="shared" si="525"/>
        <v>2.4899999999999998</v>
      </c>
      <c r="BY154" s="422">
        <f t="shared" si="526"/>
        <v>2.4899999999999998</v>
      </c>
      <c r="BZ154" s="611">
        <f t="shared" si="526"/>
        <v>0</v>
      </c>
      <c r="CA154" s="423"/>
      <c r="CB154" s="418"/>
      <c r="CC154" s="418"/>
      <c r="CD154" s="418"/>
      <c r="CE154" s="418"/>
      <c r="CF154" s="527"/>
    </row>
    <row r="155" spans="1:84" s="222" customFormat="1" x14ac:dyDescent="0.2">
      <c r="A155" s="210">
        <v>28</v>
      </c>
      <c r="B155" s="211">
        <v>4444</v>
      </c>
      <c r="C155" s="211">
        <v>600074731</v>
      </c>
      <c r="D155" s="211">
        <v>48282979</v>
      </c>
      <c r="E155" s="209" t="s">
        <v>200</v>
      </c>
      <c r="F155" s="211">
        <v>3143</v>
      </c>
      <c r="G155" s="165" t="s">
        <v>597</v>
      </c>
      <c r="H155" s="686" t="s">
        <v>272</v>
      </c>
      <c r="I155" s="528">
        <f t="shared" si="496"/>
        <v>32273</v>
      </c>
      <c r="J155" s="418">
        <f t="shared" si="497"/>
        <v>23100</v>
      </c>
      <c r="K155" s="418">
        <v>0</v>
      </c>
      <c r="L155" s="418">
        <v>23100</v>
      </c>
      <c r="M155" s="418">
        <f t="shared" si="498"/>
        <v>0</v>
      </c>
      <c r="N155" s="418"/>
      <c r="O155" s="418"/>
      <c r="P155" s="68">
        <f t="shared" si="499"/>
        <v>7808</v>
      </c>
      <c r="Q155" s="68">
        <f t="shared" si="500"/>
        <v>231</v>
      </c>
      <c r="R155" s="418">
        <v>1134</v>
      </c>
      <c r="S155" s="419">
        <f t="shared" si="501"/>
        <v>0.09</v>
      </c>
      <c r="T155" s="420">
        <v>0</v>
      </c>
      <c r="U155" s="527">
        <v>0.09</v>
      </c>
      <c r="V155" s="427">
        <f t="shared" si="502"/>
        <v>0</v>
      </c>
      <c r="W155" s="421">
        <f t="shared" si="502"/>
        <v>0</v>
      </c>
      <c r="X155" s="421">
        <v>0</v>
      </c>
      <c r="Y155" s="421">
        <v>0</v>
      </c>
      <c r="Z155" s="421">
        <v>0</v>
      </c>
      <c r="AA155" s="421">
        <v>0</v>
      </c>
      <c r="AB155" s="421">
        <v>0</v>
      </c>
      <c r="AC155" s="421">
        <v>0</v>
      </c>
      <c r="AD155" s="421">
        <v>0</v>
      </c>
      <c r="AE155" s="421">
        <v>0</v>
      </c>
      <c r="AF155" s="421">
        <f t="shared" si="503"/>
        <v>0</v>
      </c>
      <c r="AG155" s="421">
        <f t="shared" si="504"/>
        <v>0</v>
      </c>
      <c r="AH155" s="421">
        <f t="shared" si="505"/>
        <v>0</v>
      </c>
      <c r="AI155" s="421">
        <v>0</v>
      </c>
      <c r="AJ155" s="421">
        <v>0</v>
      </c>
      <c r="AK155" s="421">
        <v>0</v>
      </c>
      <c r="AL155" s="421">
        <v>0</v>
      </c>
      <c r="AM155" s="421">
        <v>0</v>
      </c>
      <c r="AN155" s="421">
        <v>0</v>
      </c>
      <c r="AO155" s="421">
        <f t="shared" si="506"/>
        <v>0</v>
      </c>
      <c r="AP155" s="421">
        <f t="shared" si="507"/>
        <v>0</v>
      </c>
      <c r="AQ155" s="421">
        <f t="shared" si="508"/>
        <v>0</v>
      </c>
      <c r="AR155" s="421">
        <f t="shared" si="509"/>
        <v>0</v>
      </c>
      <c r="AS155" s="421">
        <f t="shared" si="509"/>
        <v>0</v>
      </c>
      <c r="AT155" s="421">
        <f t="shared" si="510"/>
        <v>0</v>
      </c>
      <c r="AU155" s="68">
        <f t="shared" si="511"/>
        <v>0</v>
      </c>
      <c r="AV155" s="68">
        <f t="shared" si="512"/>
        <v>0</v>
      </c>
      <c r="AW155" s="421">
        <v>0</v>
      </c>
      <c r="AX155" s="421">
        <v>0</v>
      </c>
      <c r="AY155" s="421">
        <f t="shared" si="513"/>
        <v>0</v>
      </c>
      <c r="AZ155" s="421">
        <f t="shared" si="514"/>
        <v>0</v>
      </c>
      <c r="BA155" s="422">
        <v>0</v>
      </c>
      <c r="BB155" s="422">
        <v>0</v>
      </c>
      <c r="BC155" s="422">
        <v>0</v>
      </c>
      <c r="BD155" s="422">
        <v>0</v>
      </c>
      <c r="BE155" s="422">
        <v>0</v>
      </c>
      <c r="BF155" s="422">
        <v>0</v>
      </c>
      <c r="BG155" s="422">
        <v>0</v>
      </c>
      <c r="BH155" s="422">
        <v>0</v>
      </c>
      <c r="BI155" s="422">
        <v>0</v>
      </c>
      <c r="BJ155" s="422">
        <v>0</v>
      </c>
      <c r="BK155" s="422">
        <f t="shared" si="515"/>
        <v>0</v>
      </c>
      <c r="BL155" s="422">
        <f t="shared" si="516"/>
        <v>0</v>
      </c>
      <c r="BM155" s="611">
        <f t="shared" si="517"/>
        <v>0</v>
      </c>
      <c r="BN155" s="428">
        <f t="shared" si="518"/>
        <v>32273</v>
      </c>
      <c r="BO155" s="421">
        <f t="shared" si="519"/>
        <v>23100</v>
      </c>
      <c r="BP155" s="421">
        <f t="shared" si="520"/>
        <v>0</v>
      </c>
      <c r="BQ155" s="421">
        <f t="shared" si="520"/>
        <v>23100</v>
      </c>
      <c r="BR155" s="421">
        <f t="shared" si="521"/>
        <v>0</v>
      </c>
      <c r="BS155" s="421">
        <f t="shared" si="522"/>
        <v>0</v>
      </c>
      <c r="BT155" s="421">
        <f t="shared" si="522"/>
        <v>0</v>
      </c>
      <c r="BU155" s="421">
        <f t="shared" si="523"/>
        <v>7808</v>
      </c>
      <c r="BV155" s="421">
        <f t="shared" si="523"/>
        <v>231</v>
      </c>
      <c r="BW155" s="421">
        <f t="shared" si="524"/>
        <v>1134</v>
      </c>
      <c r="BX155" s="422">
        <f t="shared" si="525"/>
        <v>0.09</v>
      </c>
      <c r="BY155" s="422">
        <f t="shared" si="526"/>
        <v>0</v>
      </c>
      <c r="BZ155" s="611">
        <f t="shared" si="526"/>
        <v>0.09</v>
      </c>
      <c r="CA155" s="423"/>
      <c r="CB155" s="418"/>
      <c r="CC155" s="418"/>
      <c r="CD155" s="418"/>
      <c r="CE155" s="418"/>
      <c r="CF155" s="527"/>
    </row>
    <row r="156" spans="1:84" s="222" customFormat="1" x14ac:dyDescent="0.2">
      <c r="A156" s="210">
        <v>28</v>
      </c>
      <c r="B156" s="211">
        <v>4444</v>
      </c>
      <c r="C156" s="211">
        <v>600074731</v>
      </c>
      <c r="D156" s="211">
        <v>48282979</v>
      </c>
      <c r="E156" s="209" t="s">
        <v>200</v>
      </c>
      <c r="F156" s="211">
        <v>3143</v>
      </c>
      <c r="G156" s="165" t="s">
        <v>297</v>
      </c>
      <c r="H156" s="686" t="s">
        <v>272</v>
      </c>
      <c r="I156" s="528">
        <f t="shared" si="496"/>
        <v>77603</v>
      </c>
      <c r="J156" s="418">
        <f t="shared" si="497"/>
        <v>57480</v>
      </c>
      <c r="K156" s="418">
        <v>53810</v>
      </c>
      <c r="L156" s="418">
        <v>3670</v>
      </c>
      <c r="M156" s="418">
        <f t="shared" si="498"/>
        <v>0</v>
      </c>
      <c r="N156" s="418"/>
      <c r="O156" s="418"/>
      <c r="P156" s="68">
        <f t="shared" si="499"/>
        <v>19428</v>
      </c>
      <c r="Q156" s="68">
        <f t="shared" si="500"/>
        <v>575</v>
      </c>
      <c r="R156" s="418">
        <v>120</v>
      </c>
      <c r="S156" s="419">
        <f t="shared" si="501"/>
        <v>0.12</v>
      </c>
      <c r="T156" s="420">
        <v>0.11</v>
      </c>
      <c r="U156" s="527">
        <v>0.01</v>
      </c>
      <c r="V156" s="427">
        <f t="shared" si="502"/>
        <v>0</v>
      </c>
      <c r="W156" s="421">
        <f t="shared" si="502"/>
        <v>0</v>
      </c>
      <c r="X156" s="421">
        <v>0</v>
      </c>
      <c r="Y156" s="421">
        <v>0</v>
      </c>
      <c r="Z156" s="421">
        <v>0</v>
      </c>
      <c r="AA156" s="421">
        <v>0</v>
      </c>
      <c r="AB156" s="421">
        <v>0</v>
      </c>
      <c r="AC156" s="421">
        <v>0</v>
      </c>
      <c r="AD156" s="421">
        <v>0</v>
      </c>
      <c r="AE156" s="421">
        <v>0</v>
      </c>
      <c r="AF156" s="421">
        <f t="shared" si="503"/>
        <v>0</v>
      </c>
      <c r="AG156" s="421">
        <f t="shared" si="504"/>
        <v>0</v>
      </c>
      <c r="AH156" s="421">
        <f t="shared" si="505"/>
        <v>0</v>
      </c>
      <c r="AI156" s="421">
        <v>0</v>
      </c>
      <c r="AJ156" s="421">
        <v>0</v>
      </c>
      <c r="AK156" s="421">
        <v>0</v>
      </c>
      <c r="AL156" s="421">
        <v>0</v>
      </c>
      <c r="AM156" s="421">
        <v>0</v>
      </c>
      <c r="AN156" s="421">
        <v>0</v>
      </c>
      <c r="AO156" s="421">
        <f t="shared" si="506"/>
        <v>0</v>
      </c>
      <c r="AP156" s="421">
        <f t="shared" si="507"/>
        <v>0</v>
      </c>
      <c r="AQ156" s="421">
        <f t="shared" si="508"/>
        <v>0</v>
      </c>
      <c r="AR156" s="421">
        <f t="shared" si="509"/>
        <v>0</v>
      </c>
      <c r="AS156" s="421">
        <f t="shared" si="509"/>
        <v>0</v>
      </c>
      <c r="AT156" s="421">
        <f t="shared" si="510"/>
        <v>0</v>
      </c>
      <c r="AU156" s="68">
        <f t="shared" si="511"/>
        <v>0</v>
      </c>
      <c r="AV156" s="68">
        <f t="shared" si="512"/>
        <v>0</v>
      </c>
      <c r="AW156" s="421">
        <v>0</v>
      </c>
      <c r="AX156" s="421">
        <v>0</v>
      </c>
      <c r="AY156" s="421">
        <f t="shared" si="513"/>
        <v>0</v>
      </c>
      <c r="AZ156" s="421">
        <f t="shared" si="514"/>
        <v>0</v>
      </c>
      <c r="BA156" s="422">
        <v>0</v>
      </c>
      <c r="BB156" s="422">
        <v>0</v>
      </c>
      <c r="BC156" s="422">
        <v>0</v>
      </c>
      <c r="BD156" s="422">
        <v>0</v>
      </c>
      <c r="BE156" s="422">
        <v>0</v>
      </c>
      <c r="BF156" s="422">
        <v>0</v>
      </c>
      <c r="BG156" s="422">
        <v>0</v>
      </c>
      <c r="BH156" s="422">
        <v>0</v>
      </c>
      <c r="BI156" s="422">
        <v>0</v>
      </c>
      <c r="BJ156" s="422">
        <v>0</v>
      </c>
      <c r="BK156" s="422">
        <f t="shared" si="515"/>
        <v>0</v>
      </c>
      <c r="BL156" s="422">
        <f t="shared" si="516"/>
        <v>0</v>
      </c>
      <c r="BM156" s="611">
        <f t="shared" si="517"/>
        <v>0</v>
      </c>
      <c r="BN156" s="428">
        <f t="shared" si="518"/>
        <v>77603</v>
      </c>
      <c r="BO156" s="421">
        <f t="shared" si="519"/>
        <v>57480</v>
      </c>
      <c r="BP156" s="421">
        <f t="shared" si="520"/>
        <v>53810</v>
      </c>
      <c r="BQ156" s="421">
        <f t="shared" si="520"/>
        <v>3670</v>
      </c>
      <c r="BR156" s="421">
        <f t="shared" si="521"/>
        <v>0</v>
      </c>
      <c r="BS156" s="421">
        <f t="shared" si="522"/>
        <v>0</v>
      </c>
      <c r="BT156" s="421">
        <f t="shared" si="522"/>
        <v>0</v>
      </c>
      <c r="BU156" s="421">
        <f t="shared" si="523"/>
        <v>19428</v>
      </c>
      <c r="BV156" s="421">
        <f t="shared" si="523"/>
        <v>575</v>
      </c>
      <c r="BW156" s="421">
        <f t="shared" si="524"/>
        <v>120</v>
      </c>
      <c r="BX156" s="422">
        <f t="shared" si="525"/>
        <v>0.12</v>
      </c>
      <c r="BY156" s="422">
        <f t="shared" si="526"/>
        <v>0.11</v>
      </c>
      <c r="BZ156" s="611">
        <f t="shared" si="526"/>
        <v>0.01</v>
      </c>
      <c r="CA156" s="423"/>
      <c r="CB156" s="418"/>
      <c r="CC156" s="418"/>
      <c r="CD156" s="418"/>
      <c r="CE156" s="418"/>
      <c r="CF156" s="527"/>
    </row>
    <row r="157" spans="1:84" s="222" customFormat="1" x14ac:dyDescent="0.2">
      <c r="A157" s="155">
        <v>28</v>
      </c>
      <c r="B157" s="18">
        <v>4444</v>
      </c>
      <c r="C157" s="18">
        <v>600074731</v>
      </c>
      <c r="D157" s="18">
        <v>48282979</v>
      </c>
      <c r="E157" s="164" t="s">
        <v>201</v>
      </c>
      <c r="F157" s="18"/>
      <c r="G157" s="154"/>
      <c r="H157" s="685"/>
      <c r="I157" s="458">
        <f t="shared" ref="I157:BU157" si="527">SUM(I151:I156)</f>
        <v>17839033</v>
      </c>
      <c r="J157" s="451">
        <f t="shared" si="527"/>
        <v>13082348</v>
      </c>
      <c r="K157" s="451">
        <f t="shared" si="527"/>
        <v>10840906</v>
      </c>
      <c r="L157" s="451">
        <f t="shared" si="527"/>
        <v>2241442</v>
      </c>
      <c r="M157" s="451">
        <f t="shared" si="527"/>
        <v>0</v>
      </c>
      <c r="N157" s="451">
        <f t="shared" si="527"/>
        <v>0</v>
      </c>
      <c r="O157" s="451">
        <f t="shared" si="527"/>
        <v>0</v>
      </c>
      <c r="P157" s="451">
        <f t="shared" si="527"/>
        <v>4421834</v>
      </c>
      <c r="Q157" s="451">
        <f t="shared" si="527"/>
        <v>130824</v>
      </c>
      <c r="R157" s="451">
        <f t="shared" si="527"/>
        <v>204027</v>
      </c>
      <c r="S157" s="452">
        <f t="shared" si="527"/>
        <v>22.882999999999999</v>
      </c>
      <c r="T157" s="452">
        <f t="shared" si="527"/>
        <v>16.259999999999998</v>
      </c>
      <c r="U157" s="39">
        <f t="shared" si="527"/>
        <v>6.6229999999999993</v>
      </c>
      <c r="V157" s="458">
        <f t="shared" si="527"/>
        <v>-67200</v>
      </c>
      <c r="W157" s="451">
        <f t="shared" si="527"/>
        <v>-38400</v>
      </c>
      <c r="X157" s="451">
        <f t="shared" si="527"/>
        <v>1905511</v>
      </c>
      <c r="Y157" s="451">
        <f t="shared" si="527"/>
        <v>0</v>
      </c>
      <c r="Z157" s="451">
        <f t="shared" si="527"/>
        <v>0</v>
      </c>
      <c r="AA157" s="451">
        <f t="shared" si="527"/>
        <v>0</v>
      </c>
      <c r="AB157" s="451">
        <f t="shared" si="527"/>
        <v>0</v>
      </c>
      <c r="AC157" s="451">
        <f t="shared" si="527"/>
        <v>0</v>
      </c>
      <c r="AD157" s="451">
        <f t="shared" si="527"/>
        <v>0</v>
      </c>
      <c r="AE157" s="451">
        <f t="shared" si="527"/>
        <v>0</v>
      </c>
      <c r="AF157" s="451">
        <f t="shared" si="527"/>
        <v>1838311</v>
      </c>
      <c r="AG157" s="451">
        <f t="shared" si="527"/>
        <v>-38400</v>
      </c>
      <c r="AH157" s="451">
        <f t="shared" si="527"/>
        <v>1799911</v>
      </c>
      <c r="AI157" s="451">
        <f t="shared" si="527"/>
        <v>67200</v>
      </c>
      <c r="AJ157" s="451">
        <f t="shared" si="527"/>
        <v>38400</v>
      </c>
      <c r="AK157" s="451">
        <f t="shared" ref="AK157" si="528">SUM(AK151:AK156)</f>
        <v>0</v>
      </c>
      <c r="AL157" s="451">
        <f t="shared" si="527"/>
        <v>0</v>
      </c>
      <c r="AM157" s="451">
        <f t="shared" si="527"/>
        <v>0</v>
      </c>
      <c r="AN157" s="451">
        <f t="shared" si="527"/>
        <v>0</v>
      </c>
      <c r="AO157" s="451">
        <f t="shared" si="527"/>
        <v>67200</v>
      </c>
      <c r="AP157" s="451">
        <f t="shared" si="527"/>
        <v>38400</v>
      </c>
      <c r="AQ157" s="451">
        <f t="shared" si="527"/>
        <v>105600</v>
      </c>
      <c r="AR157" s="451">
        <f t="shared" si="527"/>
        <v>1905511</v>
      </c>
      <c r="AS157" s="451">
        <f t="shared" si="527"/>
        <v>0</v>
      </c>
      <c r="AT157" s="451">
        <f t="shared" si="527"/>
        <v>1905511</v>
      </c>
      <c r="AU157" s="451">
        <f t="shared" si="527"/>
        <v>644063</v>
      </c>
      <c r="AV157" s="451">
        <f t="shared" si="527"/>
        <v>17999</v>
      </c>
      <c r="AW157" s="451">
        <f t="shared" si="527"/>
        <v>2500</v>
      </c>
      <c r="AX157" s="451">
        <f t="shared" si="527"/>
        <v>0</v>
      </c>
      <c r="AY157" s="451">
        <f t="shared" si="527"/>
        <v>2500</v>
      </c>
      <c r="AZ157" s="451">
        <f t="shared" si="527"/>
        <v>2570073</v>
      </c>
      <c r="BA157" s="452">
        <f t="shared" si="527"/>
        <v>-0.16</v>
      </c>
      <c r="BB157" s="452">
        <f t="shared" si="527"/>
        <v>-0.14000000000000001</v>
      </c>
      <c r="BC157" s="452">
        <f t="shared" si="527"/>
        <v>5.14</v>
      </c>
      <c r="BD157" s="452">
        <f t="shared" si="527"/>
        <v>0</v>
      </c>
      <c r="BE157" s="452">
        <f t="shared" si="527"/>
        <v>0</v>
      </c>
      <c r="BF157" s="452">
        <f t="shared" si="527"/>
        <v>0</v>
      </c>
      <c r="BG157" s="452">
        <f t="shared" si="527"/>
        <v>0</v>
      </c>
      <c r="BH157" s="452">
        <f t="shared" si="527"/>
        <v>0</v>
      </c>
      <c r="BI157" s="452">
        <f t="shared" si="527"/>
        <v>0</v>
      </c>
      <c r="BJ157" s="452">
        <f t="shared" si="527"/>
        <v>0</v>
      </c>
      <c r="BK157" s="452">
        <f t="shared" si="527"/>
        <v>4.9799999999999995</v>
      </c>
      <c r="BL157" s="452">
        <f t="shared" si="527"/>
        <v>-0.14000000000000001</v>
      </c>
      <c r="BM157" s="456">
        <f t="shared" si="527"/>
        <v>4.839999999999999</v>
      </c>
      <c r="BN157" s="454">
        <f t="shared" si="527"/>
        <v>20409106</v>
      </c>
      <c r="BO157" s="451">
        <f t="shared" si="527"/>
        <v>14882259</v>
      </c>
      <c r="BP157" s="451">
        <f t="shared" si="527"/>
        <v>12679217</v>
      </c>
      <c r="BQ157" s="451">
        <f t="shared" si="527"/>
        <v>2203042</v>
      </c>
      <c r="BR157" s="451">
        <f t="shared" si="527"/>
        <v>105600</v>
      </c>
      <c r="BS157" s="451">
        <f t="shared" si="527"/>
        <v>67200</v>
      </c>
      <c r="BT157" s="451">
        <f t="shared" si="527"/>
        <v>38400</v>
      </c>
      <c r="BU157" s="451">
        <f t="shared" si="527"/>
        <v>5065897</v>
      </c>
      <c r="BV157" s="451">
        <f t="shared" ref="BV157:CF157" si="529">SUM(BV151:BV156)</f>
        <v>148823</v>
      </c>
      <c r="BW157" s="451">
        <f t="shared" si="529"/>
        <v>206527</v>
      </c>
      <c r="BX157" s="452">
        <f t="shared" si="529"/>
        <v>27.722999999999999</v>
      </c>
      <c r="BY157" s="452">
        <f t="shared" si="529"/>
        <v>21.24</v>
      </c>
      <c r="BZ157" s="456">
        <f t="shared" si="529"/>
        <v>6.4829999999999997</v>
      </c>
      <c r="CA157" s="854">
        <f t="shared" si="529"/>
        <v>0</v>
      </c>
      <c r="CB157" s="852">
        <f t="shared" si="529"/>
        <v>0</v>
      </c>
      <c r="CC157" s="852">
        <f t="shared" si="529"/>
        <v>0</v>
      </c>
      <c r="CD157" s="852">
        <f t="shared" si="529"/>
        <v>0</v>
      </c>
      <c r="CE157" s="852">
        <f t="shared" si="529"/>
        <v>0</v>
      </c>
      <c r="CF157" s="848">
        <f t="shared" si="529"/>
        <v>0</v>
      </c>
    </row>
    <row r="158" spans="1:84" s="222" customFormat="1" ht="12.75" customHeight="1" x14ac:dyDescent="0.2">
      <c r="A158" s="210">
        <v>29</v>
      </c>
      <c r="B158" s="211">
        <v>4445</v>
      </c>
      <c r="C158" s="211">
        <v>600075044</v>
      </c>
      <c r="D158" s="211">
        <v>72742631</v>
      </c>
      <c r="E158" s="209" t="s">
        <v>202</v>
      </c>
      <c r="F158" s="211">
        <v>3111</v>
      </c>
      <c r="G158" s="165" t="s">
        <v>291</v>
      </c>
      <c r="H158" s="699" t="s">
        <v>271</v>
      </c>
      <c r="I158" s="528">
        <f t="shared" ref="I158:I163" si="530">J158+P158+Q158+R158</f>
        <v>2950337</v>
      </c>
      <c r="J158" s="418">
        <f t="shared" ref="J158:J163" si="531">K158+L158</f>
        <v>2183726</v>
      </c>
      <c r="K158" s="418">
        <v>2063918</v>
      </c>
      <c r="L158" s="418">
        <v>119808</v>
      </c>
      <c r="M158" s="418">
        <f t="shared" ref="M158:M163" si="532">N158+O158</f>
        <v>0</v>
      </c>
      <c r="N158" s="418"/>
      <c r="O158" s="418"/>
      <c r="P158" s="68">
        <f t="shared" ref="P158:P163" si="533">ROUND(J158*33.8%,0)</f>
        <v>738099</v>
      </c>
      <c r="Q158" s="68">
        <f t="shared" ref="Q158:Q163" si="534">ROUND(J158*1%,0)</f>
        <v>21837</v>
      </c>
      <c r="R158" s="418">
        <v>6675</v>
      </c>
      <c r="S158" s="419">
        <f t="shared" ref="S158:S163" si="535">T158+U158</f>
        <v>4.4800000000000004</v>
      </c>
      <c r="T158" s="420">
        <v>4</v>
      </c>
      <c r="U158" s="527">
        <v>0.48</v>
      </c>
      <c r="V158" s="427">
        <f t="shared" ref="V158:W163" si="536">AI158*-1</f>
        <v>0</v>
      </c>
      <c r="W158" s="421">
        <f t="shared" si="536"/>
        <v>0</v>
      </c>
      <c r="X158" s="421">
        <v>0</v>
      </c>
      <c r="Y158" s="421">
        <v>0</v>
      </c>
      <c r="Z158" s="421">
        <v>0</v>
      </c>
      <c r="AA158" s="421">
        <v>0</v>
      </c>
      <c r="AB158" s="421">
        <v>0</v>
      </c>
      <c r="AC158" s="421">
        <v>0</v>
      </c>
      <c r="AD158" s="421">
        <v>0</v>
      </c>
      <c r="AE158" s="421">
        <v>0</v>
      </c>
      <c r="AF158" s="421">
        <f t="shared" ref="AF158:AF163" si="537">V158+X158+Y158+AA158+AB158+AD158</f>
        <v>0</v>
      </c>
      <c r="AG158" s="421">
        <f t="shared" ref="AG158:AG163" si="538">W158+Z158+AC158+AE158</f>
        <v>0</v>
      </c>
      <c r="AH158" s="421">
        <f t="shared" ref="AH158:AH163" si="539">SUM(AF158:AG158)</f>
        <v>0</v>
      </c>
      <c r="AI158" s="421">
        <v>0</v>
      </c>
      <c r="AJ158" s="421">
        <v>0</v>
      </c>
      <c r="AK158" s="421">
        <v>0</v>
      </c>
      <c r="AL158" s="421">
        <v>0</v>
      </c>
      <c r="AM158" s="421">
        <v>0</v>
      </c>
      <c r="AN158" s="421">
        <v>0</v>
      </c>
      <c r="AO158" s="421">
        <f t="shared" ref="AO158:AO163" si="540">AI158+AK158+AL158+AM158</f>
        <v>0</v>
      </c>
      <c r="AP158" s="421">
        <f t="shared" ref="AP158:AP163" si="541">AJ158+AN158</f>
        <v>0</v>
      </c>
      <c r="AQ158" s="421">
        <f t="shared" ref="AQ158:AQ163" si="542">SUM(AO158:AP158)</f>
        <v>0</v>
      </c>
      <c r="AR158" s="421">
        <f t="shared" ref="AR158:AS163" si="543">AF158+AO158</f>
        <v>0</v>
      </c>
      <c r="AS158" s="421">
        <f t="shared" si="543"/>
        <v>0</v>
      </c>
      <c r="AT158" s="421">
        <f t="shared" ref="AT158:AT163" si="544">SUM(AR158:AS158)</f>
        <v>0</v>
      </c>
      <c r="AU158" s="68">
        <f t="shared" ref="AU158:AU163" si="545">ROUND((AH158+AI158+AJ158+AK158+AL158)*33.8%,0)</f>
        <v>0</v>
      </c>
      <c r="AV158" s="68">
        <f t="shared" ref="AV158:AV163" si="546">ROUND(AH158*1%,0)</f>
        <v>0</v>
      </c>
      <c r="AW158" s="421">
        <v>0</v>
      </c>
      <c r="AX158" s="421">
        <v>0</v>
      </c>
      <c r="AY158" s="421">
        <f t="shared" ref="AY158:AY163" si="547">AW158+AX158</f>
        <v>0</v>
      </c>
      <c r="AZ158" s="421">
        <f t="shared" ref="AZ158:AZ163" si="548">AT158+AU158+AV158+AY158</f>
        <v>0</v>
      </c>
      <c r="BA158" s="422">
        <v>0</v>
      </c>
      <c r="BB158" s="422">
        <v>0</v>
      </c>
      <c r="BC158" s="422">
        <v>0</v>
      </c>
      <c r="BD158" s="422">
        <v>0</v>
      </c>
      <c r="BE158" s="422">
        <v>0</v>
      </c>
      <c r="BF158" s="422">
        <v>0</v>
      </c>
      <c r="BG158" s="422">
        <v>0</v>
      </c>
      <c r="BH158" s="422">
        <v>0</v>
      </c>
      <c r="BI158" s="422">
        <v>0</v>
      </c>
      <c r="BJ158" s="422">
        <v>0</v>
      </c>
      <c r="BK158" s="422">
        <f t="shared" ref="BK158:BK163" si="549">BA158+BC158+BD158+BF158+BH158+BI158</f>
        <v>0</v>
      </c>
      <c r="BL158" s="422">
        <f t="shared" ref="BL158:BL163" si="550">BB158+BE158+BG158+BJ158</f>
        <v>0</v>
      </c>
      <c r="BM158" s="611">
        <f t="shared" ref="BM158:BM163" si="551">SUM(BK158:BL158)</f>
        <v>0</v>
      </c>
      <c r="BN158" s="428">
        <f t="shared" ref="BN158:BN163" si="552">I158+AZ158</f>
        <v>2950337</v>
      </c>
      <c r="BO158" s="421">
        <f t="shared" ref="BO158:BO163" si="553">J158+AH158</f>
        <v>2183726</v>
      </c>
      <c r="BP158" s="421">
        <f t="shared" ref="BP158:BQ163" si="554">K158+AF158</f>
        <v>2063918</v>
      </c>
      <c r="BQ158" s="421">
        <f t="shared" si="554"/>
        <v>119808</v>
      </c>
      <c r="BR158" s="421">
        <f t="shared" ref="BR158:BR163" si="555">M158+AQ158</f>
        <v>0</v>
      </c>
      <c r="BS158" s="421">
        <f t="shared" ref="BS158:BT163" si="556">N158+AO158</f>
        <v>0</v>
      </c>
      <c r="BT158" s="421">
        <f t="shared" si="556"/>
        <v>0</v>
      </c>
      <c r="BU158" s="421">
        <f t="shared" ref="BU158:BV163" si="557">P158+AU158</f>
        <v>738099</v>
      </c>
      <c r="BV158" s="421">
        <f t="shared" si="557"/>
        <v>21837</v>
      </c>
      <c r="BW158" s="421">
        <f t="shared" ref="BW158:BW163" si="558">R158+AY158</f>
        <v>6675</v>
      </c>
      <c r="BX158" s="422">
        <f t="shared" ref="BX158:BX163" si="559">S158+BM158</f>
        <v>4.4800000000000004</v>
      </c>
      <c r="BY158" s="422">
        <f t="shared" ref="BY158:BZ163" si="560">T158+BK158</f>
        <v>4</v>
      </c>
      <c r="BZ158" s="611">
        <f t="shared" si="560"/>
        <v>0.48</v>
      </c>
      <c r="CA158" s="423"/>
      <c r="CB158" s="418"/>
      <c r="CC158" s="418"/>
      <c r="CD158" s="418"/>
      <c r="CE158" s="418"/>
      <c r="CF158" s="527"/>
    </row>
    <row r="159" spans="1:84" s="222" customFormat="1" ht="12.75" customHeight="1" x14ac:dyDescent="0.2">
      <c r="A159" s="210">
        <v>29</v>
      </c>
      <c r="B159" s="211">
        <v>4445</v>
      </c>
      <c r="C159" s="211">
        <v>600075044</v>
      </c>
      <c r="D159" s="211">
        <v>72742631</v>
      </c>
      <c r="E159" s="209" t="s">
        <v>202</v>
      </c>
      <c r="F159" s="211">
        <v>3117</v>
      </c>
      <c r="G159" s="165" t="s">
        <v>294</v>
      </c>
      <c r="H159" s="699" t="s">
        <v>271</v>
      </c>
      <c r="I159" s="528">
        <f t="shared" si="530"/>
        <v>3473037</v>
      </c>
      <c r="J159" s="418">
        <f t="shared" si="531"/>
        <v>2539421</v>
      </c>
      <c r="K159" s="418">
        <v>2134994</v>
      </c>
      <c r="L159" s="418">
        <v>404427</v>
      </c>
      <c r="M159" s="418">
        <f t="shared" si="532"/>
        <v>0</v>
      </c>
      <c r="N159" s="418"/>
      <c r="O159" s="418"/>
      <c r="P159" s="68">
        <f t="shared" si="533"/>
        <v>858324</v>
      </c>
      <c r="Q159" s="68">
        <f>ROUND(J159*1%,0)+1</f>
        <v>25395</v>
      </c>
      <c r="R159" s="418">
        <v>49897</v>
      </c>
      <c r="S159" s="419">
        <f t="shared" si="535"/>
        <v>4.5979000000000001</v>
      </c>
      <c r="T159" s="420">
        <v>3.4737</v>
      </c>
      <c r="U159" s="527">
        <v>1.1241999999999999</v>
      </c>
      <c r="V159" s="427">
        <f t="shared" si="536"/>
        <v>0</v>
      </c>
      <c r="W159" s="421">
        <f t="shared" si="536"/>
        <v>0</v>
      </c>
      <c r="X159" s="421">
        <v>0</v>
      </c>
      <c r="Y159" s="421">
        <v>0</v>
      </c>
      <c r="Z159" s="421">
        <v>0</v>
      </c>
      <c r="AA159" s="421">
        <v>0</v>
      </c>
      <c r="AB159" s="421">
        <v>0</v>
      </c>
      <c r="AC159" s="421">
        <v>0</v>
      </c>
      <c r="AD159" s="421">
        <v>0</v>
      </c>
      <c r="AE159" s="421">
        <v>0</v>
      </c>
      <c r="AF159" s="421">
        <f t="shared" si="537"/>
        <v>0</v>
      </c>
      <c r="AG159" s="421">
        <f t="shared" si="538"/>
        <v>0</v>
      </c>
      <c r="AH159" s="421">
        <f t="shared" si="539"/>
        <v>0</v>
      </c>
      <c r="AI159" s="421">
        <v>0</v>
      </c>
      <c r="AJ159" s="421">
        <v>0</v>
      </c>
      <c r="AK159" s="421">
        <v>0</v>
      </c>
      <c r="AL159" s="421">
        <v>0</v>
      </c>
      <c r="AM159" s="421">
        <v>0</v>
      </c>
      <c r="AN159" s="421">
        <v>0</v>
      </c>
      <c r="AO159" s="421">
        <f t="shared" si="540"/>
        <v>0</v>
      </c>
      <c r="AP159" s="421">
        <f t="shared" si="541"/>
        <v>0</v>
      </c>
      <c r="AQ159" s="421">
        <f t="shared" si="542"/>
        <v>0</v>
      </c>
      <c r="AR159" s="421">
        <f t="shared" si="543"/>
        <v>0</v>
      </c>
      <c r="AS159" s="421">
        <f t="shared" si="543"/>
        <v>0</v>
      </c>
      <c r="AT159" s="421">
        <f t="shared" si="544"/>
        <v>0</v>
      </c>
      <c r="AU159" s="68">
        <f t="shared" si="545"/>
        <v>0</v>
      </c>
      <c r="AV159" s="68">
        <f t="shared" si="546"/>
        <v>0</v>
      </c>
      <c r="AW159" s="421">
        <v>0</v>
      </c>
      <c r="AX159" s="421">
        <v>0</v>
      </c>
      <c r="AY159" s="421">
        <f t="shared" si="547"/>
        <v>0</v>
      </c>
      <c r="AZ159" s="421">
        <f t="shared" si="548"/>
        <v>0</v>
      </c>
      <c r="BA159" s="422">
        <v>0</v>
      </c>
      <c r="BB159" s="422">
        <v>0</v>
      </c>
      <c r="BC159" s="422">
        <v>0</v>
      </c>
      <c r="BD159" s="422">
        <v>0</v>
      </c>
      <c r="BE159" s="422">
        <v>0</v>
      </c>
      <c r="BF159" s="422">
        <v>0</v>
      </c>
      <c r="BG159" s="422">
        <v>0</v>
      </c>
      <c r="BH159" s="422">
        <v>0</v>
      </c>
      <c r="BI159" s="422">
        <v>0</v>
      </c>
      <c r="BJ159" s="422">
        <v>0</v>
      </c>
      <c r="BK159" s="422">
        <f t="shared" si="549"/>
        <v>0</v>
      </c>
      <c r="BL159" s="422">
        <f t="shared" si="550"/>
        <v>0</v>
      </c>
      <c r="BM159" s="611">
        <f t="shared" si="551"/>
        <v>0</v>
      </c>
      <c r="BN159" s="428">
        <f t="shared" si="552"/>
        <v>3473037</v>
      </c>
      <c r="BO159" s="421">
        <f t="shared" si="553"/>
        <v>2539421</v>
      </c>
      <c r="BP159" s="421">
        <f t="shared" si="554"/>
        <v>2134994</v>
      </c>
      <c r="BQ159" s="421">
        <f t="shared" si="554"/>
        <v>404427</v>
      </c>
      <c r="BR159" s="421">
        <f t="shared" si="555"/>
        <v>0</v>
      </c>
      <c r="BS159" s="421">
        <f t="shared" si="556"/>
        <v>0</v>
      </c>
      <c r="BT159" s="421">
        <f t="shared" si="556"/>
        <v>0</v>
      </c>
      <c r="BU159" s="421">
        <f t="shared" si="557"/>
        <v>858324</v>
      </c>
      <c r="BV159" s="421">
        <f t="shared" si="557"/>
        <v>25395</v>
      </c>
      <c r="BW159" s="421">
        <f t="shared" si="558"/>
        <v>49897</v>
      </c>
      <c r="BX159" s="422">
        <f t="shared" si="559"/>
        <v>4.5979000000000001</v>
      </c>
      <c r="BY159" s="422">
        <f t="shared" si="560"/>
        <v>3.4737</v>
      </c>
      <c r="BZ159" s="611">
        <f t="shared" si="560"/>
        <v>1.1241999999999999</v>
      </c>
      <c r="CA159" s="423"/>
      <c r="CB159" s="418"/>
      <c r="CC159" s="418"/>
      <c r="CD159" s="418"/>
      <c r="CE159" s="418"/>
      <c r="CF159" s="527"/>
    </row>
    <row r="160" spans="1:84" s="222" customFormat="1" ht="12.75" customHeight="1" x14ac:dyDescent="0.2">
      <c r="A160" s="210">
        <v>29</v>
      </c>
      <c r="B160" s="211">
        <v>4445</v>
      </c>
      <c r="C160" s="211">
        <v>600075044</v>
      </c>
      <c r="D160" s="211">
        <v>72742631</v>
      </c>
      <c r="E160" s="209" t="s">
        <v>202</v>
      </c>
      <c r="F160" s="211">
        <v>3117</v>
      </c>
      <c r="G160" s="165" t="s">
        <v>292</v>
      </c>
      <c r="H160" s="699" t="s">
        <v>272</v>
      </c>
      <c r="I160" s="528">
        <f t="shared" si="530"/>
        <v>0</v>
      </c>
      <c r="J160" s="418">
        <f t="shared" si="531"/>
        <v>0</v>
      </c>
      <c r="K160" s="418">
        <v>0</v>
      </c>
      <c r="L160" s="418">
        <v>0</v>
      </c>
      <c r="M160" s="418">
        <f t="shared" si="532"/>
        <v>0</v>
      </c>
      <c r="N160" s="418"/>
      <c r="O160" s="418"/>
      <c r="P160" s="68">
        <f t="shared" si="533"/>
        <v>0</v>
      </c>
      <c r="Q160" s="68">
        <f t="shared" si="534"/>
        <v>0</v>
      </c>
      <c r="R160" s="418">
        <v>0</v>
      </c>
      <c r="S160" s="419">
        <f t="shared" si="535"/>
        <v>0</v>
      </c>
      <c r="T160" s="420">
        <v>0</v>
      </c>
      <c r="U160" s="527">
        <v>0</v>
      </c>
      <c r="V160" s="427">
        <f t="shared" si="536"/>
        <v>0</v>
      </c>
      <c r="W160" s="421">
        <f t="shared" si="536"/>
        <v>0</v>
      </c>
      <c r="X160" s="421">
        <v>370802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f t="shared" si="537"/>
        <v>370802</v>
      </c>
      <c r="AG160" s="421">
        <f t="shared" si="538"/>
        <v>0</v>
      </c>
      <c r="AH160" s="421">
        <f t="shared" si="539"/>
        <v>370802</v>
      </c>
      <c r="AI160" s="421">
        <v>0</v>
      </c>
      <c r="AJ160" s="421">
        <v>0</v>
      </c>
      <c r="AK160" s="421">
        <v>0</v>
      </c>
      <c r="AL160" s="421">
        <v>0</v>
      </c>
      <c r="AM160" s="421">
        <v>0</v>
      </c>
      <c r="AN160" s="421">
        <v>0</v>
      </c>
      <c r="AO160" s="421">
        <f t="shared" si="540"/>
        <v>0</v>
      </c>
      <c r="AP160" s="421">
        <f t="shared" si="541"/>
        <v>0</v>
      </c>
      <c r="AQ160" s="421">
        <f t="shared" si="542"/>
        <v>0</v>
      </c>
      <c r="AR160" s="421">
        <f t="shared" si="543"/>
        <v>370802</v>
      </c>
      <c r="AS160" s="421">
        <f t="shared" si="543"/>
        <v>0</v>
      </c>
      <c r="AT160" s="421">
        <f t="shared" si="544"/>
        <v>370802</v>
      </c>
      <c r="AU160" s="68">
        <f t="shared" si="545"/>
        <v>125331</v>
      </c>
      <c r="AV160" s="68">
        <f t="shared" si="546"/>
        <v>3708</v>
      </c>
      <c r="AW160" s="421">
        <v>0</v>
      </c>
      <c r="AX160" s="421">
        <v>0</v>
      </c>
      <c r="AY160" s="421">
        <f t="shared" si="547"/>
        <v>0</v>
      </c>
      <c r="AZ160" s="421">
        <f t="shared" si="548"/>
        <v>499841</v>
      </c>
      <c r="BA160" s="422">
        <v>0</v>
      </c>
      <c r="BB160" s="422">
        <v>0</v>
      </c>
      <c r="BC160" s="422">
        <v>1</v>
      </c>
      <c r="BD160" s="422">
        <v>0</v>
      </c>
      <c r="BE160" s="422">
        <v>0</v>
      </c>
      <c r="BF160" s="422">
        <v>0</v>
      </c>
      <c r="BG160" s="422">
        <v>0</v>
      </c>
      <c r="BH160" s="422">
        <v>0</v>
      </c>
      <c r="BI160" s="422">
        <v>0</v>
      </c>
      <c r="BJ160" s="422">
        <v>0</v>
      </c>
      <c r="BK160" s="422">
        <f t="shared" si="549"/>
        <v>1</v>
      </c>
      <c r="BL160" s="422">
        <f t="shared" si="550"/>
        <v>0</v>
      </c>
      <c r="BM160" s="611">
        <f t="shared" si="551"/>
        <v>1</v>
      </c>
      <c r="BN160" s="428">
        <f t="shared" si="552"/>
        <v>499841</v>
      </c>
      <c r="BO160" s="421">
        <f t="shared" si="553"/>
        <v>370802</v>
      </c>
      <c r="BP160" s="421">
        <f t="shared" si="554"/>
        <v>370802</v>
      </c>
      <c r="BQ160" s="421">
        <f t="shared" si="554"/>
        <v>0</v>
      </c>
      <c r="BR160" s="421">
        <f t="shared" si="555"/>
        <v>0</v>
      </c>
      <c r="BS160" s="421">
        <f t="shared" si="556"/>
        <v>0</v>
      </c>
      <c r="BT160" s="421">
        <f t="shared" si="556"/>
        <v>0</v>
      </c>
      <c r="BU160" s="421">
        <f t="shared" si="557"/>
        <v>125331</v>
      </c>
      <c r="BV160" s="421">
        <f t="shared" si="557"/>
        <v>3708</v>
      </c>
      <c r="BW160" s="421">
        <f t="shared" si="558"/>
        <v>0</v>
      </c>
      <c r="BX160" s="422">
        <f t="shared" si="559"/>
        <v>1</v>
      </c>
      <c r="BY160" s="422">
        <f t="shared" si="560"/>
        <v>1</v>
      </c>
      <c r="BZ160" s="611">
        <f t="shared" si="560"/>
        <v>0</v>
      </c>
      <c r="CA160" s="423"/>
      <c r="CB160" s="418"/>
      <c r="CC160" s="418"/>
      <c r="CD160" s="418"/>
      <c r="CE160" s="418"/>
      <c r="CF160" s="527"/>
    </row>
    <row r="161" spans="1:84" s="222" customFormat="1" ht="12.75" customHeight="1" x14ac:dyDescent="0.2">
      <c r="A161" s="210">
        <v>29</v>
      </c>
      <c r="B161" s="211">
        <v>4445</v>
      </c>
      <c r="C161" s="211">
        <v>600075044</v>
      </c>
      <c r="D161" s="211">
        <v>72742631</v>
      </c>
      <c r="E161" s="209" t="s">
        <v>202</v>
      </c>
      <c r="F161" s="211">
        <v>3141</v>
      </c>
      <c r="G161" s="165" t="s">
        <v>295</v>
      </c>
      <c r="H161" s="699" t="s">
        <v>272</v>
      </c>
      <c r="I161" s="528">
        <f t="shared" si="530"/>
        <v>583654</v>
      </c>
      <c r="J161" s="418">
        <f t="shared" si="531"/>
        <v>431290</v>
      </c>
      <c r="K161" s="418">
        <v>0</v>
      </c>
      <c r="L161" s="418">
        <v>431290</v>
      </c>
      <c r="M161" s="418">
        <f t="shared" si="532"/>
        <v>0</v>
      </c>
      <c r="N161" s="418"/>
      <c r="O161" s="418"/>
      <c r="P161" s="68">
        <f t="shared" si="533"/>
        <v>145776</v>
      </c>
      <c r="Q161" s="68">
        <f t="shared" si="534"/>
        <v>4313</v>
      </c>
      <c r="R161" s="418">
        <v>2275</v>
      </c>
      <c r="S161" s="419">
        <f t="shared" si="535"/>
        <v>1.29</v>
      </c>
      <c r="T161" s="420">
        <v>0</v>
      </c>
      <c r="U161" s="527">
        <v>1.29</v>
      </c>
      <c r="V161" s="427">
        <f t="shared" si="536"/>
        <v>0</v>
      </c>
      <c r="W161" s="421">
        <f t="shared" si="536"/>
        <v>0</v>
      </c>
      <c r="X161" s="421">
        <v>0</v>
      </c>
      <c r="Y161" s="421">
        <v>0</v>
      </c>
      <c r="Z161" s="421">
        <v>0</v>
      </c>
      <c r="AA161" s="421">
        <v>0</v>
      </c>
      <c r="AB161" s="421">
        <v>0</v>
      </c>
      <c r="AC161" s="421">
        <v>0</v>
      </c>
      <c r="AD161" s="421">
        <v>0</v>
      </c>
      <c r="AE161" s="421">
        <v>0</v>
      </c>
      <c r="AF161" s="421">
        <f t="shared" si="537"/>
        <v>0</v>
      </c>
      <c r="AG161" s="421">
        <f t="shared" si="538"/>
        <v>0</v>
      </c>
      <c r="AH161" s="421">
        <f t="shared" si="539"/>
        <v>0</v>
      </c>
      <c r="AI161" s="421">
        <v>0</v>
      </c>
      <c r="AJ161" s="421">
        <v>0</v>
      </c>
      <c r="AK161" s="421">
        <v>0</v>
      </c>
      <c r="AL161" s="421">
        <v>0</v>
      </c>
      <c r="AM161" s="421">
        <v>0</v>
      </c>
      <c r="AN161" s="421">
        <v>0</v>
      </c>
      <c r="AO161" s="421">
        <f t="shared" si="540"/>
        <v>0</v>
      </c>
      <c r="AP161" s="421">
        <f t="shared" si="541"/>
        <v>0</v>
      </c>
      <c r="AQ161" s="421">
        <f t="shared" si="542"/>
        <v>0</v>
      </c>
      <c r="AR161" s="421">
        <f t="shared" si="543"/>
        <v>0</v>
      </c>
      <c r="AS161" s="421">
        <f t="shared" si="543"/>
        <v>0</v>
      </c>
      <c r="AT161" s="421">
        <f t="shared" si="544"/>
        <v>0</v>
      </c>
      <c r="AU161" s="68">
        <f t="shared" si="545"/>
        <v>0</v>
      </c>
      <c r="AV161" s="68">
        <f t="shared" si="546"/>
        <v>0</v>
      </c>
      <c r="AW161" s="421">
        <v>0</v>
      </c>
      <c r="AX161" s="421">
        <v>0</v>
      </c>
      <c r="AY161" s="421">
        <f t="shared" si="547"/>
        <v>0</v>
      </c>
      <c r="AZ161" s="421">
        <f t="shared" si="548"/>
        <v>0</v>
      </c>
      <c r="BA161" s="422">
        <v>0</v>
      </c>
      <c r="BB161" s="422">
        <v>0</v>
      </c>
      <c r="BC161" s="422">
        <v>0</v>
      </c>
      <c r="BD161" s="422">
        <v>0</v>
      </c>
      <c r="BE161" s="422">
        <v>0</v>
      </c>
      <c r="BF161" s="422">
        <v>0</v>
      </c>
      <c r="BG161" s="422">
        <v>0</v>
      </c>
      <c r="BH161" s="422">
        <v>0</v>
      </c>
      <c r="BI161" s="422">
        <v>0</v>
      </c>
      <c r="BJ161" s="422">
        <v>0</v>
      </c>
      <c r="BK161" s="422">
        <f t="shared" si="549"/>
        <v>0</v>
      </c>
      <c r="BL161" s="422">
        <f t="shared" si="550"/>
        <v>0</v>
      </c>
      <c r="BM161" s="611">
        <f t="shared" si="551"/>
        <v>0</v>
      </c>
      <c r="BN161" s="428">
        <f t="shared" si="552"/>
        <v>583654</v>
      </c>
      <c r="BO161" s="421">
        <f t="shared" si="553"/>
        <v>431290</v>
      </c>
      <c r="BP161" s="421">
        <f t="shared" si="554"/>
        <v>0</v>
      </c>
      <c r="BQ161" s="421">
        <f t="shared" si="554"/>
        <v>431290</v>
      </c>
      <c r="BR161" s="421">
        <f t="shared" si="555"/>
        <v>0</v>
      </c>
      <c r="BS161" s="421">
        <f t="shared" si="556"/>
        <v>0</v>
      </c>
      <c r="BT161" s="421">
        <f t="shared" si="556"/>
        <v>0</v>
      </c>
      <c r="BU161" s="421">
        <f t="shared" si="557"/>
        <v>145776</v>
      </c>
      <c r="BV161" s="421">
        <f t="shared" si="557"/>
        <v>4313</v>
      </c>
      <c r="BW161" s="421">
        <f t="shared" si="558"/>
        <v>2275</v>
      </c>
      <c r="BX161" s="422">
        <f t="shared" si="559"/>
        <v>1.29</v>
      </c>
      <c r="BY161" s="422">
        <f t="shared" si="560"/>
        <v>0</v>
      </c>
      <c r="BZ161" s="611">
        <f t="shared" si="560"/>
        <v>1.29</v>
      </c>
      <c r="CA161" s="423"/>
      <c r="CB161" s="418"/>
      <c r="CC161" s="418"/>
      <c r="CD161" s="418"/>
      <c r="CE161" s="418"/>
      <c r="CF161" s="527"/>
    </row>
    <row r="162" spans="1:84" s="222" customFormat="1" ht="12.75" customHeight="1" x14ac:dyDescent="0.2">
      <c r="A162" s="210">
        <v>29</v>
      </c>
      <c r="B162" s="211">
        <v>4445</v>
      </c>
      <c r="C162" s="211">
        <v>600075044</v>
      </c>
      <c r="D162" s="211">
        <v>72742631</v>
      </c>
      <c r="E162" s="205" t="s">
        <v>202</v>
      </c>
      <c r="F162" s="211">
        <v>3143</v>
      </c>
      <c r="G162" s="165" t="s">
        <v>596</v>
      </c>
      <c r="H162" s="686" t="s">
        <v>271</v>
      </c>
      <c r="I162" s="528">
        <f t="shared" si="530"/>
        <v>759784</v>
      </c>
      <c r="J162" s="418">
        <f t="shared" si="531"/>
        <v>563638</v>
      </c>
      <c r="K162" s="418">
        <v>563638</v>
      </c>
      <c r="L162" s="418">
        <v>0</v>
      </c>
      <c r="M162" s="418">
        <f t="shared" si="532"/>
        <v>0</v>
      </c>
      <c r="N162" s="418"/>
      <c r="O162" s="418"/>
      <c r="P162" s="68">
        <f t="shared" si="533"/>
        <v>190510</v>
      </c>
      <c r="Q162" s="68">
        <f t="shared" si="534"/>
        <v>5636</v>
      </c>
      <c r="R162" s="418">
        <v>0</v>
      </c>
      <c r="S162" s="419">
        <f t="shared" si="535"/>
        <v>1.357</v>
      </c>
      <c r="T162" s="420">
        <v>1.357</v>
      </c>
      <c r="U162" s="527">
        <v>0</v>
      </c>
      <c r="V162" s="427">
        <f t="shared" si="536"/>
        <v>0</v>
      </c>
      <c r="W162" s="421">
        <f t="shared" si="536"/>
        <v>0</v>
      </c>
      <c r="X162" s="421">
        <v>0</v>
      </c>
      <c r="Y162" s="421">
        <v>0</v>
      </c>
      <c r="Z162" s="421">
        <v>0</v>
      </c>
      <c r="AA162" s="421">
        <v>0</v>
      </c>
      <c r="AB162" s="421">
        <v>0</v>
      </c>
      <c r="AC162" s="421">
        <v>0</v>
      </c>
      <c r="AD162" s="421">
        <v>0</v>
      </c>
      <c r="AE162" s="421">
        <v>0</v>
      </c>
      <c r="AF162" s="421">
        <f t="shared" si="537"/>
        <v>0</v>
      </c>
      <c r="AG162" s="421">
        <f t="shared" si="538"/>
        <v>0</v>
      </c>
      <c r="AH162" s="421">
        <f t="shared" si="539"/>
        <v>0</v>
      </c>
      <c r="AI162" s="421">
        <v>0</v>
      </c>
      <c r="AJ162" s="421">
        <v>0</v>
      </c>
      <c r="AK162" s="421">
        <v>0</v>
      </c>
      <c r="AL162" s="421">
        <v>0</v>
      </c>
      <c r="AM162" s="421">
        <v>0</v>
      </c>
      <c r="AN162" s="421">
        <v>0</v>
      </c>
      <c r="AO162" s="421">
        <f t="shared" si="540"/>
        <v>0</v>
      </c>
      <c r="AP162" s="421">
        <f t="shared" si="541"/>
        <v>0</v>
      </c>
      <c r="AQ162" s="421">
        <f t="shared" si="542"/>
        <v>0</v>
      </c>
      <c r="AR162" s="421">
        <f t="shared" si="543"/>
        <v>0</v>
      </c>
      <c r="AS162" s="421">
        <f t="shared" si="543"/>
        <v>0</v>
      </c>
      <c r="AT162" s="421">
        <f t="shared" si="544"/>
        <v>0</v>
      </c>
      <c r="AU162" s="68">
        <f t="shared" si="545"/>
        <v>0</v>
      </c>
      <c r="AV162" s="68">
        <f t="shared" si="546"/>
        <v>0</v>
      </c>
      <c r="AW162" s="421">
        <v>0</v>
      </c>
      <c r="AX162" s="421">
        <v>0</v>
      </c>
      <c r="AY162" s="421">
        <f t="shared" si="547"/>
        <v>0</v>
      </c>
      <c r="AZ162" s="421">
        <f t="shared" si="548"/>
        <v>0</v>
      </c>
      <c r="BA162" s="422">
        <v>0</v>
      </c>
      <c r="BB162" s="422">
        <v>0</v>
      </c>
      <c r="BC162" s="422">
        <v>0</v>
      </c>
      <c r="BD162" s="422">
        <v>0</v>
      </c>
      <c r="BE162" s="422">
        <v>0</v>
      </c>
      <c r="BF162" s="422">
        <v>0</v>
      </c>
      <c r="BG162" s="422">
        <v>0</v>
      </c>
      <c r="BH162" s="422">
        <v>0</v>
      </c>
      <c r="BI162" s="422">
        <v>0</v>
      </c>
      <c r="BJ162" s="422">
        <v>0</v>
      </c>
      <c r="BK162" s="422">
        <f t="shared" si="549"/>
        <v>0</v>
      </c>
      <c r="BL162" s="422">
        <f t="shared" si="550"/>
        <v>0</v>
      </c>
      <c r="BM162" s="611">
        <f t="shared" si="551"/>
        <v>0</v>
      </c>
      <c r="BN162" s="428">
        <f t="shared" si="552"/>
        <v>759784</v>
      </c>
      <c r="BO162" s="421">
        <f t="shared" si="553"/>
        <v>563638</v>
      </c>
      <c r="BP162" s="421">
        <f t="shared" si="554"/>
        <v>563638</v>
      </c>
      <c r="BQ162" s="421">
        <f t="shared" si="554"/>
        <v>0</v>
      </c>
      <c r="BR162" s="421">
        <f t="shared" si="555"/>
        <v>0</v>
      </c>
      <c r="BS162" s="421">
        <f t="shared" si="556"/>
        <v>0</v>
      </c>
      <c r="BT162" s="421">
        <f t="shared" si="556"/>
        <v>0</v>
      </c>
      <c r="BU162" s="421">
        <f t="shared" si="557"/>
        <v>190510</v>
      </c>
      <c r="BV162" s="421">
        <f t="shared" si="557"/>
        <v>5636</v>
      </c>
      <c r="BW162" s="421">
        <f t="shared" si="558"/>
        <v>0</v>
      </c>
      <c r="BX162" s="422">
        <f t="shared" si="559"/>
        <v>1.357</v>
      </c>
      <c r="BY162" s="422">
        <f t="shared" si="560"/>
        <v>1.357</v>
      </c>
      <c r="BZ162" s="611">
        <f t="shared" si="560"/>
        <v>0</v>
      </c>
      <c r="CA162" s="423"/>
      <c r="CB162" s="418"/>
      <c r="CC162" s="418"/>
      <c r="CD162" s="418"/>
      <c r="CE162" s="418"/>
      <c r="CF162" s="527"/>
    </row>
    <row r="163" spans="1:84" s="222" customFormat="1" ht="12.75" customHeight="1" x14ac:dyDescent="0.2">
      <c r="A163" s="210">
        <v>29</v>
      </c>
      <c r="B163" s="211">
        <v>4445</v>
      </c>
      <c r="C163" s="211">
        <v>600075044</v>
      </c>
      <c r="D163" s="211">
        <v>72742631</v>
      </c>
      <c r="E163" s="205" t="s">
        <v>202</v>
      </c>
      <c r="F163" s="211">
        <v>3143</v>
      </c>
      <c r="G163" s="165" t="s">
        <v>597</v>
      </c>
      <c r="H163" s="686" t="s">
        <v>272</v>
      </c>
      <c r="I163" s="528">
        <f t="shared" si="530"/>
        <v>20987</v>
      </c>
      <c r="J163" s="418">
        <f t="shared" si="531"/>
        <v>15022</v>
      </c>
      <c r="K163" s="418">
        <v>0</v>
      </c>
      <c r="L163" s="418">
        <v>15022</v>
      </c>
      <c r="M163" s="418">
        <f t="shared" si="532"/>
        <v>0</v>
      </c>
      <c r="N163" s="418"/>
      <c r="O163" s="418"/>
      <c r="P163" s="68">
        <f t="shared" si="533"/>
        <v>5077</v>
      </c>
      <c r="Q163" s="68">
        <f t="shared" si="534"/>
        <v>150</v>
      </c>
      <c r="R163" s="418">
        <v>738</v>
      </c>
      <c r="S163" s="419">
        <f t="shared" si="535"/>
        <v>0.06</v>
      </c>
      <c r="T163" s="420">
        <v>0</v>
      </c>
      <c r="U163" s="527">
        <v>0.06</v>
      </c>
      <c r="V163" s="427">
        <f t="shared" si="536"/>
        <v>0</v>
      </c>
      <c r="W163" s="421">
        <f t="shared" si="536"/>
        <v>0</v>
      </c>
      <c r="X163" s="421">
        <v>0</v>
      </c>
      <c r="Y163" s="421">
        <v>0</v>
      </c>
      <c r="Z163" s="421">
        <v>0</v>
      </c>
      <c r="AA163" s="421">
        <v>0</v>
      </c>
      <c r="AB163" s="421">
        <v>0</v>
      </c>
      <c r="AC163" s="421">
        <v>0</v>
      </c>
      <c r="AD163" s="421">
        <v>0</v>
      </c>
      <c r="AE163" s="421">
        <v>0</v>
      </c>
      <c r="AF163" s="421">
        <f t="shared" si="537"/>
        <v>0</v>
      </c>
      <c r="AG163" s="421">
        <f t="shared" si="538"/>
        <v>0</v>
      </c>
      <c r="AH163" s="421">
        <f t="shared" si="539"/>
        <v>0</v>
      </c>
      <c r="AI163" s="421">
        <v>0</v>
      </c>
      <c r="AJ163" s="421">
        <v>0</v>
      </c>
      <c r="AK163" s="421">
        <v>0</v>
      </c>
      <c r="AL163" s="421">
        <v>0</v>
      </c>
      <c r="AM163" s="421">
        <v>0</v>
      </c>
      <c r="AN163" s="421">
        <v>0</v>
      </c>
      <c r="AO163" s="421">
        <f t="shared" si="540"/>
        <v>0</v>
      </c>
      <c r="AP163" s="421">
        <f t="shared" si="541"/>
        <v>0</v>
      </c>
      <c r="AQ163" s="421">
        <f t="shared" si="542"/>
        <v>0</v>
      </c>
      <c r="AR163" s="421">
        <f t="shared" si="543"/>
        <v>0</v>
      </c>
      <c r="AS163" s="421">
        <f t="shared" si="543"/>
        <v>0</v>
      </c>
      <c r="AT163" s="421">
        <f t="shared" si="544"/>
        <v>0</v>
      </c>
      <c r="AU163" s="68">
        <f t="shared" si="545"/>
        <v>0</v>
      </c>
      <c r="AV163" s="68">
        <f t="shared" si="546"/>
        <v>0</v>
      </c>
      <c r="AW163" s="421">
        <v>0</v>
      </c>
      <c r="AX163" s="421">
        <v>0</v>
      </c>
      <c r="AY163" s="421">
        <f t="shared" si="547"/>
        <v>0</v>
      </c>
      <c r="AZ163" s="421">
        <f t="shared" si="548"/>
        <v>0</v>
      </c>
      <c r="BA163" s="422">
        <v>0</v>
      </c>
      <c r="BB163" s="422">
        <v>0</v>
      </c>
      <c r="BC163" s="422">
        <v>0</v>
      </c>
      <c r="BD163" s="422">
        <v>0</v>
      </c>
      <c r="BE163" s="422">
        <v>0</v>
      </c>
      <c r="BF163" s="422">
        <v>0</v>
      </c>
      <c r="BG163" s="422">
        <v>0</v>
      </c>
      <c r="BH163" s="422">
        <v>0</v>
      </c>
      <c r="BI163" s="422">
        <v>0</v>
      </c>
      <c r="BJ163" s="422">
        <v>0</v>
      </c>
      <c r="BK163" s="422">
        <f t="shared" si="549"/>
        <v>0</v>
      </c>
      <c r="BL163" s="422">
        <f t="shared" si="550"/>
        <v>0</v>
      </c>
      <c r="BM163" s="611">
        <f t="shared" si="551"/>
        <v>0</v>
      </c>
      <c r="BN163" s="428">
        <f t="shared" si="552"/>
        <v>20987</v>
      </c>
      <c r="BO163" s="421">
        <f t="shared" si="553"/>
        <v>15022</v>
      </c>
      <c r="BP163" s="421">
        <f t="shared" si="554"/>
        <v>0</v>
      </c>
      <c r="BQ163" s="421">
        <f t="shared" si="554"/>
        <v>15022</v>
      </c>
      <c r="BR163" s="421">
        <f t="shared" si="555"/>
        <v>0</v>
      </c>
      <c r="BS163" s="421">
        <f t="shared" si="556"/>
        <v>0</v>
      </c>
      <c r="BT163" s="421">
        <f t="shared" si="556"/>
        <v>0</v>
      </c>
      <c r="BU163" s="421">
        <f t="shared" si="557"/>
        <v>5077</v>
      </c>
      <c r="BV163" s="421">
        <f t="shared" si="557"/>
        <v>150</v>
      </c>
      <c r="BW163" s="421">
        <f t="shared" si="558"/>
        <v>738</v>
      </c>
      <c r="BX163" s="422">
        <f t="shared" si="559"/>
        <v>0.06</v>
      </c>
      <c r="BY163" s="422">
        <f t="shared" si="560"/>
        <v>0</v>
      </c>
      <c r="BZ163" s="611">
        <f t="shared" si="560"/>
        <v>0.06</v>
      </c>
      <c r="CA163" s="423"/>
      <c r="CB163" s="418"/>
      <c r="CC163" s="418"/>
      <c r="CD163" s="418"/>
      <c r="CE163" s="418"/>
      <c r="CF163" s="527"/>
    </row>
    <row r="164" spans="1:84" s="222" customFormat="1" ht="12.75" customHeight="1" x14ac:dyDescent="0.2">
      <c r="A164" s="155">
        <v>29</v>
      </c>
      <c r="B164" s="18">
        <v>4445</v>
      </c>
      <c r="C164" s="18">
        <v>600075044</v>
      </c>
      <c r="D164" s="18">
        <v>72742631</v>
      </c>
      <c r="E164" s="164" t="s">
        <v>203</v>
      </c>
      <c r="F164" s="18"/>
      <c r="G164" s="154"/>
      <c r="H164" s="685"/>
      <c r="I164" s="458">
        <f t="shared" ref="I164:BT164" si="561">SUM(I158:I163)</f>
        <v>7787799</v>
      </c>
      <c r="J164" s="451">
        <f t="shared" si="561"/>
        <v>5733097</v>
      </c>
      <c r="K164" s="451">
        <f t="shared" si="561"/>
        <v>4762550</v>
      </c>
      <c r="L164" s="451">
        <f t="shared" si="561"/>
        <v>970547</v>
      </c>
      <c r="M164" s="451">
        <f t="shared" si="561"/>
        <v>0</v>
      </c>
      <c r="N164" s="451">
        <f t="shared" si="561"/>
        <v>0</v>
      </c>
      <c r="O164" s="451">
        <f t="shared" si="561"/>
        <v>0</v>
      </c>
      <c r="P164" s="451">
        <f t="shared" si="561"/>
        <v>1937786</v>
      </c>
      <c r="Q164" s="451">
        <f t="shared" si="561"/>
        <v>57331</v>
      </c>
      <c r="R164" s="451">
        <f t="shared" si="561"/>
        <v>59585</v>
      </c>
      <c r="S164" s="452">
        <f t="shared" si="561"/>
        <v>11.784899999999999</v>
      </c>
      <c r="T164" s="452">
        <f t="shared" si="561"/>
        <v>8.8307000000000002</v>
      </c>
      <c r="U164" s="39">
        <f t="shared" si="561"/>
        <v>2.9541999999999997</v>
      </c>
      <c r="V164" s="458">
        <f t="shared" si="561"/>
        <v>0</v>
      </c>
      <c r="W164" s="451">
        <f t="shared" si="561"/>
        <v>0</v>
      </c>
      <c r="X164" s="451">
        <f t="shared" si="561"/>
        <v>370802</v>
      </c>
      <c r="Y164" s="451">
        <f t="shared" si="561"/>
        <v>0</v>
      </c>
      <c r="Z164" s="451">
        <f t="shared" si="561"/>
        <v>0</v>
      </c>
      <c r="AA164" s="451">
        <f t="shared" si="561"/>
        <v>0</v>
      </c>
      <c r="AB164" s="451">
        <f t="shared" si="561"/>
        <v>0</v>
      </c>
      <c r="AC164" s="451">
        <f t="shared" si="561"/>
        <v>0</v>
      </c>
      <c r="AD164" s="451">
        <f t="shared" si="561"/>
        <v>0</v>
      </c>
      <c r="AE164" s="451">
        <f t="shared" si="561"/>
        <v>0</v>
      </c>
      <c r="AF164" s="451">
        <f t="shared" si="561"/>
        <v>370802</v>
      </c>
      <c r="AG164" s="451">
        <f t="shared" si="561"/>
        <v>0</v>
      </c>
      <c r="AH164" s="451">
        <f t="shared" si="561"/>
        <v>370802</v>
      </c>
      <c r="AI164" s="451">
        <f t="shared" si="561"/>
        <v>0</v>
      </c>
      <c r="AJ164" s="451">
        <f t="shared" si="561"/>
        <v>0</v>
      </c>
      <c r="AK164" s="451">
        <f t="shared" ref="AK164" si="562">SUM(AK158:AK163)</f>
        <v>0</v>
      </c>
      <c r="AL164" s="451">
        <f t="shared" si="561"/>
        <v>0</v>
      </c>
      <c r="AM164" s="451">
        <f t="shared" si="561"/>
        <v>0</v>
      </c>
      <c r="AN164" s="451">
        <f t="shared" si="561"/>
        <v>0</v>
      </c>
      <c r="AO164" s="451">
        <f t="shared" si="561"/>
        <v>0</v>
      </c>
      <c r="AP164" s="451">
        <f t="shared" si="561"/>
        <v>0</v>
      </c>
      <c r="AQ164" s="451">
        <f t="shared" si="561"/>
        <v>0</v>
      </c>
      <c r="AR164" s="451">
        <f t="shared" si="561"/>
        <v>370802</v>
      </c>
      <c r="AS164" s="451">
        <f t="shared" si="561"/>
        <v>0</v>
      </c>
      <c r="AT164" s="451">
        <f t="shared" si="561"/>
        <v>370802</v>
      </c>
      <c r="AU164" s="451">
        <f t="shared" si="561"/>
        <v>125331</v>
      </c>
      <c r="AV164" s="451">
        <f t="shared" si="561"/>
        <v>3708</v>
      </c>
      <c r="AW164" s="451">
        <f t="shared" si="561"/>
        <v>0</v>
      </c>
      <c r="AX164" s="451">
        <f t="shared" si="561"/>
        <v>0</v>
      </c>
      <c r="AY164" s="451">
        <f t="shared" si="561"/>
        <v>0</v>
      </c>
      <c r="AZ164" s="451">
        <f t="shared" si="561"/>
        <v>499841</v>
      </c>
      <c r="BA164" s="452">
        <f t="shared" si="561"/>
        <v>0</v>
      </c>
      <c r="BB164" s="452">
        <f t="shared" si="561"/>
        <v>0</v>
      </c>
      <c r="BC164" s="452">
        <f t="shared" si="561"/>
        <v>1</v>
      </c>
      <c r="BD164" s="452">
        <f t="shared" si="561"/>
        <v>0</v>
      </c>
      <c r="BE164" s="452">
        <f t="shared" si="561"/>
        <v>0</v>
      </c>
      <c r="BF164" s="452">
        <f t="shared" si="561"/>
        <v>0</v>
      </c>
      <c r="BG164" s="452">
        <f t="shared" si="561"/>
        <v>0</v>
      </c>
      <c r="BH164" s="452">
        <f t="shared" si="561"/>
        <v>0</v>
      </c>
      <c r="BI164" s="452">
        <f t="shared" si="561"/>
        <v>0</v>
      </c>
      <c r="BJ164" s="452">
        <f t="shared" si="561"/>
        <v>0</v>
      </c>
      <c r="BK164" s="452">
        <f t="shared" si="561"/>
        <v>1</v>
      </c>
      <c r="BL164" s="452">
        <f t="shared" si="561"/>
        <v>0</v>
      </c>
      <c r="BM164" s="456">
        <f t="shared" si="561"/>
        <v>1</v>
      </c>
      <c r="BN164" s="454">
        <f t="shared" si="561"/>
        <v>8287640</v>
      </c>
      <c r="BO164" s="451">
        <f t="shared" si="561"/>
        <v>6103899</v>
      </c>
      <c r="BP164" s="451">
        <f t="shared" si="561"/>
        <v>5133352</v>
      </c>
      <c r="BQ164" s="451">
        <f t="shared" si="561"/>
        <v>970547</v>
      </c>
      <c r="BR164" s="451">
        <f t="shared" si="561"/>
        <v>0</v>
      </c>
      <c r="BS164" s="451">
        <f t="shared" si="561"/>
        <v>0</v>
      </c>
      <c r="BT164" s="451">
        <f t="shared" si="561"/>
        <v>0</v>
      </c>
      <c r="BU164" s="451">
        <f t="shared" ref="BU164:CF164" si="563">SUM(BU158:BU163)</f>
        <v>2063117</v>
      </c>
      <c r="BV164" s="451">
        <f t="shared" si="563"/>
        <v>61039</v>
      </c>
      <c r="BW164" s="451">
        <f t="shared" si="563"/>
        <v>59585</v>
      </c>
      <c r="BX164" s="452">
        <f t="shared" si="563"/>
        <v>12.784899999999999</v>
      </c>
      <c r="BY164" s="452">
        <f t="shared" si="563"/>
        <v>9.8307000000000002</v>
      </c>
      <c r="BZ164" s="456">
        <f t="shared" si="563"/>
        <v>2.9541999999999997</v>
      </c>
      <c r="CA164" s="854">
        <f t="shared" si="563"/>
        <v>0</v>
      </c>
      <c r="CB164" s="852">
        <f t="shared" si="563"/>
        <v>0</v>
      </c>
      <c r="CC164" s="852">
        <f t="shared" si="563"/>
        <v>0</v>
      </c>
      <c r="CD164" s="852">
        <f t="shared" si="563"/>
        <v>0</v>
      </c>
      <c r="CE164" s="852">
        <f t="shared" si="563"/>
        <v>0</v>
      </c>
      <c r="CF164" s="848">
        <f t="shared" si="563"/>
        <v>0</v>
      </c>
    </row>
    <row r="165" spans="1:84" s="222" customFormat="1" ht="12.75" customHeight="1" x14ac:dyDescent="0.2">
      <c r="A165" s="210">
        <v>30</v>
      </c>
      <c r="B165" s="211">
        <v>4446</v>
      </c>
      <c r="C165" s="211">
        <v>600074587</v>
      </c>
      <c r="D165" s="211">
        <v>70695504</v>
      </c>
      <c r="E165" s="209" t="s">
        <v>789</v>
      </c>
      <c r="F165" s="211">
        <v>3111</v>
      </c>
      <c r="G165" s="165" t="s">
        <v>291</v>
      </c>
      <c r="H165" s="699" t="s">
        <v>271</v>
      </c>
      <c r="I165" s="528">
        <f t="shared" ref="I165:I170" si="564">J165+P165+Q165+R165</f>
        <v>1682958</v>
      </c>
      <c r="J165" s="418">
        <f t="shared" ref="J165:J170" si="565">K165+L165</f>
        <v>1244326</v>
      </c>
      <c r="K165" s="418">
        <v>1177758</v>
      </c>
      <c r="L165" s="418">
        <v>66568</v>
      </c>
      <c r="M165" s="418">
        <f t="shared" ref="M165:M170" si="566">N165+O165</f>
        <v>0</v>
      </c>
      <c r="N165" s="418"/>
      <c r="O165" s="418"/>
      <c r="P165" s="68">
        <f t="shared" ref="P165:P170" si="567">ROUND(J165*33.8%,0)</f>
        <v>420582</v>
      </c>
      <c r="Q165" s="68">
        <f t="shared" ref="Q165:Q170" si="568">ROUND(J165*1%,0)</f>
        <v>12443</v>
      </c>
      <c r="R165" s="418">
        <v>5607</v>
      </c>
      <c r="S165" s="419">
        <f t="shared" ref="S165:S170" si="569">T165+U165</f>
        <v>2.2827000000000002</v>
      </c>
      <c r="T165" s="420">
        <v>2.016</v>
      </c>
      <c r="U165" s="527">
        <v>0.26669999999999999</v>
      </c>
      <c r="V165" s="427">
        <f t="shared" ref="V165:W170" si="570">AI165*-1</f>
        <v>0</v>
      </c>
      <c r="W165" s="421">
        <f t="shared" si="570"/>
        <v>0</v>
      </c>
      <c r="X165" s="421">
        <v>0</v>
      </c>
      <c r="Y165" s="421">
        <v>0</v>
      </c>
      <c r="Z165" s="421">
        <v>0</v>
      </c>
      <c r="AA165" s="421">
        <v>0</v>
      </c>
      <c r="AB165" s="421">
        <v>0</v>
      </c>
      <c r="AC165" s="421">
        <v>0</v>
      </c>
      <c r="AD165" s="421">
        <v>0</v>
      </c>
      <c r="AE165" s="421">
        <v>0</v>
      </c>
      <c r="AF165" s="421">
        <f t="shared" ref="AF165:AF170" si="571">V165+X165+Y165+AA165+AB165+AD165</f>
        <v>0</v>
      </c>
      <c r="AG165" s="421">
        <f t="shared" ref="AG165:AG170" si="572">W165+Z165+AC165+AE165</f>
        <v>0</v>
      </c>
      <c r="AH165" s="421">
        <f t="shared" ref="AH165:AH170" si="573">SUM(AF165:AG165)</f>
        <v>0</v>
      </c>
      <c r="AI165" s="421">
        <v>0</v>
      </c>
      <c r="AJ165" s="421">
        <v>0</v>
      </c>
      <c r="AK165" s="421">
        <v>0</v>
      </c>
      <c r="AL165" s="421">
        <v>0</v>
      </c>
      <c r="AM165" s="421">
        <v>0</v>
      </c>
      <c r="AN165" s="421">
        <v>0</v>
      </c>
      <c r="AO165" s="421">
        <f t="shared" ref="AO165:AO170" si="574">AI165+AK165+AL165+AM165</f>
        <v>0</v>
      </c>
      <c r="AP165" s="421">
        <f t="shared" ref="AP165:AP170" si="575">AJ165+AN165</f>
        <v>0</v>
      </c>
      <c r="AQ165" s="421">
        <f t="shared" ref="AQ165:AQ170" si="576">SUM(AO165:AP165)</f>
        <v>0</v>
      </c>
      <c r="AR165" s="421">
        <f t="shared" ref="AR165:AS170" si="577">AF165+AO165</f>
        <v>0</v>
      </c>
      <c r="AS165" s="421">
        <f t="shared" si="577"/>
        <v>0</v>
      </c>
      <c r="AT165" s="421">
        <f t="shared" ref="AT165:AT170" si="578">SUM(AR165:AS165)</f>
        <v>0</v>
      </c>
      <c r="AU165" s="68">
        <f t="shared" ref="AU165:AU170" si="579">ROUND((AH165+AI165+AJ165+AK165+AL165)*33.8%,0)</f>
        <v>0</v>
      </c>
      <c r="AV165" s="68">
        <f t="shared" ref="AV165:AV170" si="580">ROUND(AH165*1%,0)</f>
        <v>0</v>
      </c>
      <c r="AW165" s="421">
        <v>0</v>
      </c>
      <c r="AX165" s="421">
        <v>0</v>
      </c>
      <c r="AY165" s="421">
        <f t="shared" ref="AY165:AY170" si="581">AW165+AX165</f>
        <v>0</v>
      </c>
      <c r="AZ165" s="421">
        <f t="shared" ref="AZ165:AZ170" si="582">AT165+AU165+AV165+AY165</f>
        <v>0</v>
      </c>
      <c r="BA165" s="422">
        <v>0</v>
      </c>
      <c r="BB165" s="422">
        <v>0</v>
      </c>
      <c r="BC165" s="422">
        <v>0</v>
      </c>
      <c r="BD165" s="422">
        <v>0</v>
      </c>
      <c r="BE165" s="422">
        <v>0</v>
      </c>
      <c r="BF165" s="422">
        <v>0</v>
      </c>
      <c r="BG165" s="422">
        <v>0</v>
      </c>
      <c r="BH165" s="422">
        <v>0</v>
      </c>
      <c r="BI165" s="422">
        <v>0</v>
      </c>
      <c r="BJ165" s="422">
        <v>0</v>
      </c>
      <c r="BK165" s="422">
        <f t="shared" ref="BK165:BK170" si="583">BA165+BC165+BD165+BF165+BH165+BI165</f>
        <v>0</v>
      </c>
      <c r="BL165" s="422">
        <f t="shared" ref="BL165:BL170" si="584">BB165+BE165+BG165+BJ165</f>
        <v>0</v>
      </c>
      <c r="BM165" s="611">
        <f t="shared" ref="BM165:BM170" si="585">SUM(BK165:BL165)</f>
        <v>0</v>
      </c>
      <c r="BN165" s="428">
        <f t="shared" ref="BN165:BN170" si="586">I165+AZ165</f>
        <v>1682958</v>
      </c>
      <c r="BO165" s="421">
        <f t="shared" ref="BO165:BO170" si="587">J165+AH165</f>
        <v>1244326</v>
      </c>
      <c r="BP165" s="421">
        <f t="shared" ref="BP165:BQ170" si="588">K165+AF165</f>
        <v>1177758</v>
      </c>
      <c r="BQ165" s="421">
        <f t="shared" si="588"/>
        <v>66568</v>
      </c>
      <c r="BR165" s="421">
        <f t="shared" ref="BR165:BR170" si="589">M165+AQ165</f>
        <v>0</v>
      </c>
      <c r="BS165" s="421">
        <f t="shared" ref="BS165:BT170" si="590">N165+AO165</f>
        <v>0</v>
      </c>
      <c r="BT165" s="421">
        <f t="shared" si="590"/>
        <v>0</v>
      </c>
      <c r="BU165" s="421">
        <f t="shared" ref="BU165:BV170" si="591">P165+AU165</f>
        <v>420582</v>
      </c>
      <c r="BV165" s="421">
        <f t="shared" si="591"/>
        <v>12443</v>
      </c>
      <c r="BW165" s="421">
        <f t="shared" ref="BW165:BW170" si="592">R165+AY165</f>
        <v>5607</v>
      </c>
      <c r="BX165" s="422">
        <f t="shared" ref="BX165:BX170" si="593">S165+BM165</f>
        <v>2.2827000000000002</v>
      </c>
      <c r="BY165" s="422">
        <f t="shared" ref="BY165:BZ170" si="594">T165+BK165</f>
        <v>2.016</v>
      </c>
      <c r="BZ165" s="611">
        <f t="shared" si="594"/>
        <v>0.26669999999999999</v>
      </c>
      <c r="CA165" s="423"/>
      <c r="CB165" s="418"/>
      <c r="CC165" s="418"/>
      <c r="CD165" s="418"/>
      <c r="CE165" s="418"/>
      <c r="CF165" s="527"/>
    </row>
    <row r="166" spans="1:84" s="222" customFormat="1" ht="12.75" customHeight="1" x14ac:dyDescent="0.2">
      <c r="A166" s="210">
        <v>30</v>
      </c>
      <c r="B166" s="211">
        <v>4446</v>
      </c>
      <c r="C166" s="211">
        <v>600074587</v>
      </c>
      <c r="D166" s="211">
        <v>70695504</v>
      </c>
      <c r="E166" s="209" t="s">
        <v>789</v>
      </c>
      <c r="F166" s="211">
        <v>3117</v>
      </c>
      <c r="G166" s="165" t="s">
        <v>294</v>
      </c>
      <c r="H166" s="699" t="s">
        <v>271</v>
      </c>
      <c r="I166" s="528">
        <f t="shared" si="564"/>
        <v>2624231</v>
      </c>
      <c r="J166" s="418">
        <f t="shared" si="565"/>
        <v>1922382</v>
      </c>
      <c r="K166" s="418">
        <v>1717087</v>
      </c>
      <c r="L166" s="418">
        <v>205295</v>
      </c>
      <c r="M166" s="418">
        <f t="shared" si="566"/>
        <v>0</v>
      </c>
      <c r="N166" s="418"/>
      <c r="O166" s="418"/>
      <c r="P166" s="68">
        <f>ROUND(J166*33.8%,0)+1</f>
        <v>649766</v>
      </c>
      <c r="Q166" s="68">
        <f t="shared" si="568"/>
        <v>19224</v>
      </c>
      <c r="R166" s="418">
        <v>32859</v>
      </c>
      <c r="S166" s="419">
        <f t="shared" si="569"/>
        <v>3.1509999999999998</v>
      </c>
      <c r="T166" s="420">
        <v>2.6177999999999999</v>
      </c>
      <c r="U166" s="527">
        <v>0.53320000000000001</v>
      </c>
      <c r="V166" s="427">
        <f t="shared" si="570"/>
        <v>0</v>
      </c>
      <c r="W166" s="421">
        <f t="shared" si="570"/>
        <v>0</v>
      </c>
      <c r="X166" s="421">
        <v>0</v>
      </c>
      <c r="Y166" s="421">
        <v>0</v>
      </c>
      <c r="Z166" s="421">
        <v>0</v>
      </c>
      <c r="AA166" s="421">
        <v>0</v>
      </c>
      <c r="AB166" s="421">
        <v>0</v>
      </c>
      <c r="AC166" s="421">
        <v>0</v>
      </c>
      <c r="AD166" s="421">
        <v>0</v>
      </c>
      <c r="AE166" s="421">
        <v>0</v>
      </c>
      <c r="AF166" s="421">
        <f t="shared" si="571"/>
        <v>0</v>
      </c>
      <c r="AG166" s="421">
        <f t="shared" si="572"/>
        <v>0</v>
      </c>
      <c r="AH166" s="421">
        <f t="shared" si="573"/>
        <v>0</v>
      </c>
      <c r="AI166" s="421">
        <v>0</v>
      </c>
      <c r="AJ166" s="421">
        <v>0</v>
      </c>
      <c r="AK166" s="421">
        <v>0</v>
      </c>
      <c r="AL166" s="421">
        <v>0</v>
      </c>
      <c r="AM166" s="421">
        <v>0</v>
      </c>
      <c r="AN166" s="421">
        <v>0</v>
      </c>
      <c r="AO166" s="421">
        <f t="shared" si="574"/>
        <v>0</v>
      </c>
      <c r="AP166" s="421">
        <f t="shared" si="575"/>
        <v>0</v>
      </c>
      <c r="AQ166" s="421">
        <f t="shared" si="576"/>
        <v>0</v>
      </c>
      <c r="AR166" s="421">
        <f t="shared" si="577"/>
        <v>0</v>
      </c>
      <c r="AS166" s="421">
        <f t="shared" si="577"/>
        <v>0</v>
      </c>
      <c r="AT166" s="421">
        <f t="shared" si="578"/>
        <v>0</v>
      </c>
      <c r="AU166" s="68">
        <f t="shared" si="579"/>
        <v>0</v>
      </c>
      <c r="AV166" s="68">
        <f t="shared" si="580"/>
        <v>0</v>
      </c>
      <c r="AW166" s="421">
        <v>0</v>
      </c>
      <c r="AX166" s="421">
        <v>0</v>
      </c>
      <c r="AY166" s="421">
        <f t="shared" si="581"/>
        <v>0</v>
      </c>
      <c r="AZ166" s="421">
        <f t="shared" si="582"/>
        <v>0</v>
      </c>
      <c r="BA166" s="422">
        <v>0</v>
      </c>
      <c r="BB166" s="422">
        <v>0</v>
      </c>
      <c r="BC166" s="422">
        <v>0</v>
      </c>
      <c r="BD166" s="422">
        <v>0</v>
      </c>
      <c r="BE166" s="422">
        <v>0</v>
      </c>
      <c r="BF166" s="422">
        <v>0</v>
      </c>
      <c r="BG166" s="422">
        <v>0</v>
      </c>
      <c r="BH166" s="422">
        <v>0</v>
      </c>
      <c r="BI166" s="422">
        <v>0</v>
      </c>
      <c r="BJ166" s="422">
        <v>0</v>
      </c>
      <c r="BK166" s="422">
        <f t="shared" si="583"/>
        <v>0</v>
      </c>
      <c r="BL166" s="422">
        <f t="shared" si="584"/>
        <v>0</v>
      </c>
      <c r="BM166" s="611">
        <f t="shared" si="585"/>
        <v>0</v>
      </c>
      <c r="BN166" s="428">
        <f t="shared" si="586"/>
        <v>2624231</v>
      </c>
      <c r="BO166" s="421">
        <f t="shared" si="587"/>
        <v>1922382</v>
      </c>
      <c r="BP166" s="421">
        <f t="shared" si="588"/>
        <v>1717087</v>
      </c>
      <c r="BQ166" s="421">
        <f t="shared" si="588"/>
        <v>205295</v>
      </c>
      <c r="BR166" s="421">
        <f t="shared" si="589"/>
        <v>0</v>
      </c>
      <c r="BS166" s="421">
        <f t="shared" si="590"/>
        <v>0</v>
      </c>
      <c r="BT166" s="421">
        <f t="shared" si="590"/>
        <v>0</v>
      </c>
      <c r="BU166" s="421">
        <f t="shared" si="591"/>
        <v>649766</v>
      </c>
      <c r="BV166" s="421">
        <f t="shared" si="591"/>
        <v>19224</v>
      </c>
      <c r="BW166" s="421">
        <f t="shared" si="592"/>
        <v>32859</v>
      </c>
      <c r="BX166" s="422">
        <f t="shared" si="593"/>
        <v>3.1509999999999998</v>
      </c>
      <c r="BY166" s="422">
        <f t="shared" si="594"/>
        <v>2.6177999999999999</v>
      </c>
      <c r="BZ166" s="611">
        <f t="shared" si="594"/>
        <v>0.53320000000000001</v>
      </c>
      <c r="CA166" s="423"/>
      <c r="CB166" s="418"/>
      <c r="CC166" s="418"/>
      <c r="CD166" s="418"/>
      <c r="CE166" s="418"/>
      <c r="CF166" s="527"/>
    </row>
    <row r="167" spans="1:84" s="222" customFormat="1" ht="12.75" customHeight="1" x14ac:dyDescent="0.2">
      <c r="A167" s="210">
        <v>30</v>
      </c>
      <c r="B167" s="211">
        <v>4446</v>
      </c>
      <c r="C167" s="211">
        <v>600074587</v>
      </c>
      <c r="D167" s="211">
        <v>70695504</v>
      </c>
      <c r="E167" s="209" t="s">
        <v>789</v>
      </c>
      <c r="F167" s="211">
        <v>3117</v>
      </c>
      <c r="G167" s="165" t="s">
        <v>292</v>
      </c>
      <c r="H167" s="699" t="s">
        <v>272</v>
      </c>
      <c r="I167" s="528">
        <f t="shared" si="564"/>
        <v>0</v>
      </c>
      <c r="J167" s="418">
        <f t="shared" si="565"/>
        <v>0</v>
      </c>
      <c r="K167" s="418">
        <v>0</v>
      </c>
      <c r="L167" s="418">
        <v>0</v>
      </c>
      <c r="M167" s="418">
        <f t="shared" si="566"/>
        <v>0</v>
      </c>
      <c r="N167" s="418"/>
      <c r="O167" s="418"/>
      <c r="P167" s="68">
        <f t="shared" si="567"/>
        <v>0</v>
      </c>
      <c r="Q167" s="68">
        <f t="shared" si="568"/>
        <v>0</v>
      </c>
      <c r="R167" s="418">
        <v>0</v>
      </c>
      <c r="S167" s="419">
        <f t="shared" si="569"/>
        <v>0</v>
      </c>
      <c r="T167" s="420">
        <v>0</v>
      </c>
      <c r="U167" s="527">
        <v>0</v>
      </c>
      <c r="V167" s="427">
        <f t="shared" si="570"/>
        <v>0</v>
      </c>
      <c r="W167" s="421">
        <f t="shared" si="570"/>
        <v>0</v>
      </c>
      <c r="X167" s="421">
        <v>506762</v>
      </c>
      <c r="Y167" s="421">
        <v>0</v>
      </c>
      <c r="Z167" s="421">
        <v>0</v>
      </c>
      <c r="AA167" s="421">
        <v>0</v>
      </c>
      <c r="AB167" s="421">
        <v>0</v>
      </c>
      <c r="AC167" s="421">
        <v>0</v>
      </c>
      <c r="AD167" s="421">
        <v>0</v>
      </c>
      <c r="AE167" s="421">
        <v>0</v>
      </c>
      <c r="AF167" s="421">
        <f t="shared" si="571"/>
        <v>506762</v>
      </c>
      <c r="AG167" s="421">
        <f t="shared" si="572"/>
        <v>0</v>
      </c>
      <c r="AH167" s="421">
        <f t="shared" si="573"/>
        <v>506762</v>
      </c>
      <c r="AI167" s="421">
        <v>0</v>
      </c>
      <c r="AJ167" s="421">
        <v>0</v>
      </c>
      <c r="AK167" s="421">
        <v>0</v>
      </c>
      <c r="AL167" s="421">
        <v>0</v>
      </c>
      <c r="AM167" s="421">
        <v>0</v>
      </c>
      <c r="AN167" s="421">
        <v>0</v>
      </c>
      <c r="AO167" s="421">
        <f t="shared" si="574"/>
        <v>0</v>
      </c>
      <c r="AP167" s="421">
        <f t="shared" si="575"/>
        <v>0</v>
      </c>
      <c r="AQ167" s="421">
        <f t="shared" si="576"/>
        <v>0</v>
      </c>
      <c r="AR167" s="421">
        <f t="shared" si="577"/>
        <v>506762</v>
      </c>
      <c r="AS167" s="421">
        <f t="shared" si="577"/>
        <v>0</v>
      </c>
      <c r="AT167" s="421">
        <f t="shared" si="578"/>
        <v>506762</v>
      </c>
      <c r="AU167" s="68">
        <f t="shared" si="579"/>
        <v>171286</v>
      </c>
      <c r="AV167" s="68">
        <f t="shared" si="580"/>
        <v>5068</v>
      </c>
      <c r="AW167" s="421">
        <v>0</v>
      </c>
      <c r="AX167" s="421">
        <v>0</v>
      </c>
      <c r="AY167" s="421">
        <f t="shared" si="581"/>
        <v>0</v>
      </c>
      <c r="AZ167" s="421">
        <f t="shared" si="582"/>
        <v>683116</v>
      </c>
      <c r="BA167" s="422">
        <v>0</v>
      </c>
      <c r="BB167" s="422">
        <v>0</v>
      </c>
      <c r="BC167" s="422">
        <v>1.5</v>
      </c>
      <c r="BD167" s="422">
        <v>0</v>
      </c>
      <c r="BE167" s="422">
        <v>0</v>
      </c>
      <c r="BF167" s="422">
        <v>0</v>
      </c>
      <c r="BG167" s="422">
        <v>0</v>
      </c>
      <c r="BH167" s="422">
        <v>0</v>
      </c>
      <c r="BI167" s="422">
        <v>0</v>
      </c>
      <c r="BJ167" s="422">
        <v>0</v>
      </c>
      <c r="BK167" s="422">
        <f t="shared" si="583"/>
        <v>1.5</v>
      </c>
      <c r="BL167" s="422">
        <f t="shared" si="584"/>
        <v>0</v>
      </c>
      <c r="BM167" s="611">
        <f t="shared" si="585"/>
        <v>1.5</v>
      </c>
      <c r="BN167" s="428">
        <f t="shared" si="586"/>
        <v>683116</v>
      </c>
      <c r="BO167" s="421">
        <f t="shared" si="587"/>
        <v>506762</v>
      </c>
      <c r="BP167" s="421">
        <f t="shared" si="588"/>
        <v>506762</v>
      </c>
      <c r="BQ167" s="421">
        <f t="shared" si="588"/>
        <v>0</v>
      </c>
      <c r="BR167" s="421">
        <f t="shared" si="589"/>
        <v>0</v>
      </c>
      <c r="BS167" s="421">
        <f t="shared" si="590"/>
        <v>0</v>
      </c>
      <c r="BT167" s="421">
        <f t="shared" si="590"/>
        <v>0</v>
      </c>
      <c r="BU167" s="421">
        <f t="shared" si="591"/>
        <v>171286</v>
      </c>
      <c r="BV167" s="421">
        <f t="shared" si="591"/>
        <v>5068</v>
      </c>
      <c r="BW167" s="421">
        <f t="shared" si="592"/>
        <v>0</v>
      </c>
      <c r="BX167" s="422">
        <f t="shared" si="593"/>
        <v>1.5</v>
      </c>
      <c r="BY167" s="422">
        <f t="shared" si="594"/>
        <v>1.5</v>
      </c>
      <c r="BZ167" s="611">
        <f t="shared" si="594"/>
        <v>0</v>
      </c>
      <c r="CA167" s="423"/>
      <c r="CB167" s="418"/>
      <c r="CC167" s="418"/>
      <c r="CD167" s="418"/>
      <c r="CE167" s="418"/>
      <c r="CF167" s="527"/>
    </row>
    <row r="168" spans="1:84" s="222" customFormat="1" ht="12.75" customHeight="1" x14ac:dyDescent="0.2">
      <c r="A168" s="210">
        <v>30</v>
      </c>
      <c r="B168" s="211">
        <v>4446</v>
      </c>
      <c r="C168" s="211">
        <v>600074587</v>
      </c>
      <c r="D168" s="211">
        <v>70695504</v>
      </c>
      <c r="E168" s="209" t="s">
        <v>789</v>
      </c>
      <c r="F168" s="211">
        <v>3141</v>
      </c>
      <c r="G168" s="165" t="s">
        <v>295</v>
      </c>
      <c r="H168" s="699" t="s">
        <v>272</v>
      </c>
      <c r="I168" s="528">
        <f t="shared" si="564"/>
        <v>171810</v>
      </c>
      <c r="J168" s="418">
        <f t="shared" si="565"/>
        <v>126722</v>
      </c>
      <c r="K168" s="418">
        <v>0</v>
      </c>
      <c r="L168" s="418">
        <v>126722</v>
      </c>
      <c r="M168" s="418">
        <f t="shared" si="566"/>
        <v>0</v>
      </c>
      <c r="N168" s="418"/>
      <c r="O168" s="418"/>
      <c r="P168" s="68">
        <f t="shared" si="567"/>
        <v>42832</v>
      </c>
      <c r="Q168" s="68">
        <f t="shared" si="568"/>
        <v>1267</v>
      </c>
      <c r="R168" s="418">
        <v>989</v>
      </c>
      <c r="S168" s="419">
        <f t="shared" si="569"/>
        <v>0.38</v>
      </c>
      <c r="T168" s="420">
        <v>0</v>
      </c>
      <c r="U168" s="527">
        <v>0.38</v>
      </c>
      <c r="V168" s="427">
        <f t="shared" si="570"/>
        <v>0</v>
      </c>
      <c r="W168" s="421">
        <f t="shared" si="570"/>
        <v>0</v>
      </c>
      <c r="X168" s="421">
        <v>0</v>
      </c>
      <c r="Y168" s="421">
        <v>0</v>
      </c>
      <c r="Z168" s="421">
        <v>0</v>
      </c>
      <c r="AA168" s="421">
        <v>0</v>
      </c>
      <c r="AB168" s="421">
        <v>0</v>
      </c>
      <c r="AC168" s="421">
        <v>0</v>
      </c>
      <c r="AD168" s="421">
        <v>0</v>
      </c>
      <c r="AE168" s="421">
        <v>0</v>
      </c>
      <c r="AF168" s="421">
        <f t="shared" si="571"/>
        <v>0</v>
      </c>
      <c r="AG168" s="421">
        <f t="shared" si="572"/>
        <v>0</v>
      </c>
      <c r="AH168" s="421">
        <f t="shared" si="573"/>
        <v>0</v>
      </c>
      <c r="AI168" s="421">
        <v>0</v>
      </c>
      <c r="AJ168" s="421">
        <v>0</v>
      </c>
      <c r="AK168" s="421">
        <v>0</v>
      </c>
      <c r="AL168" s="421">
        <v>0</v>
      </c>
      <c r="AM168" s="421">
        <v>0</v>
      </c>
      <c r="AN168" s="421">
        <v>0</v>
      </c>
      <c r="AO168" s="421">
        <f t="shared" si="574"/>
        <v>0</v>
      </c>
      <c r="AP168" s="421">
        <f t="shared" si="575"/>
        <v>0</v>
      </c>
      <c r="AQ168" s="421">
        <f t="shared" si="576"/>
        <v>0</v>
      </c>
      <c r="AR168" s="421">
        <f t="shared" si="577"/>
        <v>0</v>
      </c>
      <c r="AS168" s="421">
        <f t="shared" si="577"/>
        <v>0</v>
      </c>
      <c r="AT168" s="421">
        <f t="shared" si="578"/>
        <v>0</v>
      </c>
      <c r="AU168" s="68">
        <f t="shared" si="579"/>
        <v>0</v>
      </c>
      <c r="AV168" s="68">
        <f t="shared" si="580"/>
        <v>0</v>
      </c>
      <c r="AW168" s="421">
        <v>0</v>
      </c>
      <c r="AX168" s="421">
        <v>0</v>
      </c>
      <c r="AY168" s="421">
        <f t="shared" si="581"/>
        <v>0</v>
      </c>
      <c r="AZ168" s="421">
        <f t="shared" si="582"/>
        <v>0</v>
      </c>
      <c r="BA168" s="422">
        <v>0</v>
      </c>
      <c r="BB168" s="422">
        <v>0</v>
      </c>
      <c r="BC168" s="422">
        <v>0</v>
      </c>
      <c r="BD168" s="422">
        <v>0</v>
      </c>
      <c r="BE168" s="422">
        <v>0</v>
      </c>
      <c r="BF168" s="422">
        <v>0</v>
      </c>
      <c r="BG168" s="422">
        <v>0</v>
      </c>
      <c r="BH168" s="422">
        <v>0</v>
      </c>
      <c r="BI168" s="422">
        <v>0</v>
      </c>
      <c r="BJ168" s="422">
        <v>0</v>
      </c>
      <c r="BK168" s="422">
        <f t="shared" si="583"/>
        <v>0</v>
      </c>
      <c r="BL168" s="422">
        <f t="shared" si="584"/>
        <v>0</v>
      </c>
      <c r="BM168" s="611">
        <f t="shared" si="585"/>
        <v>0</v>
      </c>
      <c r="BN168" s="428">
        <f t="shared" si="586"/>
        <v>171810</v>
      </c>
      <c r="BO168" s="421">
        <f t="shared" si="587"/>
        <v>126722</v>
      </c>
      <c r="BP168" s="421">
        <f t="shared" si="588"/>
        <v>0</v>
      </c>
      <c r="BQ168" s="421">
        <f t="shared" si="588"/>
        <v>126722</v>
      </c>
      <c r="BR168" s="421">
        <f t="shared" si="589"/>
        <v>0</v>
      </c>
      <c r="BS168" s="421">
        <f t="shared" si="590"/>
        <v>0</v>
      </c>
      <c r="BT168" s="421">
        <f t="shared" si="590"/>
        <v>0</v>
      </c>
      <c r="BU168" s="421">
        <f t="shared" si="591"/>
        <v>42832</v>
      </c>
      <c r="BV168" s="421">
        <f t="shared" si="591"/>
        <v>1267</v>
      </c>
      <c r="BW168" s="421">
        <f t="shared" si="592"/>
        <v>989</v>
      </c>
      <c r="BX168" s="422">
        <f t="shared" si="593"/>
        <v>0.38</v>
      </c>
      <c r="BY168" s="422">
        <f t="shared" si="594"/>
        <v>0</v>
      </c>
      <c r="BZ168" s="611">
        <f t="shared" si="594"/>
        <v>0.38</v>
      </c>
      <c r="CA168" s="423"/>
      <c r="CB168" s="418"/>
      <c r="CC168" s="418"/>
      <c r="CD168" s="418"/>
      <c r="CE168" s="418"/>
      <c r="CF168" s="527"/>
    </row>
    <row r="169" spans="1:84" s="222" customFormat="1" ht="12.75" customHeight="1" x14ac:dyDescent="0.2">
      <c r="A169" s="210">
        <v>30</v>
      </c>
      <c r="B169" s="211">
        <v>4446</v>
      </c>
      <c r="C169" s="211">
        <v>600074587</v>
      </c>
      <c r="D169" s="211">
        <v>70695504</v>
      </c>
      <c r="E169" s="209" t="s">
        <v>789</v>
      </c>
      <c r="F169" s="211">
        <v>3143</v>
      </c>
      <c r="G169" s="165" t="s">
        <v>596</v>
      </c>
      <c r="H169" s="686" t="s">
        <v>271</v>
      </c>
      <c r="I169" s="528">
        <f t="shared" si="564"/>
        <v>597385</v>
      </c>
      <c r="J169" s="418">
        <f t="shared" si="565"/>
        <v>443164</v>
      </c>
      <c r="K169" s="418">
        <v>443164</v>
      </c>
      <c r="L169" s="418"/>
      <c r="M169" s="418">
        <f t="shared" si="566"/>
        <v>0</v>
      </c>
      <c r="N169" s="418"/>
      <c r="O169" s="418"/>
      <c r="P169" s="68">
        <f t="shared" si="567"/>
        <v>149789</v>
      </c>
      <c r="Q169" s="68">
        <f t="shared" si="568"/>
        <v>4432</v>
      </c>
      <c r="R169" s="418"/>
      <c r="S169" s="419">
        <f t="shared" si="569"/>
        <v>0.95379999999999998</v>
      </c>
      <c r="T169" s="420">
        <v>0.95379999999999998</v>
      </c>
      <c r="U169" s="527"/>
      <c r="V169" s="427">
        <f t="shared" si="570"/>
        <v>0</v>
      </c>
      <c r="W169" s="421">
        <f t="shared" si="570"/>
        <v>0</v>
      </c>
      <c r="X169" s="421">
        <v>0</v>
      </c>
      <c r="Y169" s="421">
        <v>0</v>
      </c>
      <c r="Z169" s="421">
        <v>0</v>
      </c>
      <c r="AA169" s="421">
        <v>0</v>
      </c>
      <c r="AB169" s="421">
        <v>0</v>
      </c>
      <c r="AC169" s="421">
        <v>0</v>
      </c>
      <c r="AD169" s="421">
        <v>0</v>
      </c>
      <c r="AE169" s="421">
        <v>0</v>
      </c>
      <c r="AF169" s="421">
        <f t="shared" si="571"/>
        <v>0</v>
      </c>
      <c r="AG169" s="421">
        <f t="shared" si="572"/>
        <v>0</v>
      </c>
      <c r="AH169" s="421">
        <f t="shared" si="573"/>
        <v>0</v>
      </c>
      <c r="AI169" s="421">
        <v>0</v>
      </c>
      <c r="AJ169" s="421">
        <v>0</v>
      </c>
      <c r="AK169" s="421">
        <v>0</v>
      </c>
      <c r="AL169" s="421">
        <v>0</v>
      </c>
      <c r="AM169" s="421">
        <v>0</v>
      </c>
      <c r="AN169" s="421">
        <v>0</v>
      </c>
      <c r="AO169" s="421">
        <f t="shared" si="574"/>
        <v>0</v>
      </c>
      <c r="AP169" s="421">
        <f t="shared" si="575"/>
        <v>0</v>
      </c>
      <c r="AQ169" s="421">
        <f t="shared" si="576"/>
        <v>0</v>
      </c>
      <c r="AR169" s="421">
        <f t="shared" si="577"/>
        <v>0</v>
      </c>
      <c r="AS169" s="421">
        <f t="shared" si="577"/>
        <v>0</v>
      </c>
      <c r="AT169" s="421">
        <f t="shared" si="578"/>
        <v>0</v>
      </c>
      <c r="AU169" s="68">
        <f t="shared" si="579"/>
        <v>0</v>
      </c>
      <c r="AV169" s="68">
        <f t="shared" si="580"/>
        <v>0</v>
      </c>
      <c r="AW169" s="421">
        <v>0</v>
      </c>
      <c r="AX169" s="421">
        <v>0</v>
      </c>
      <c r="AY169" s="421">
        <f t="shared" si="581"/>
        <v>0</v>
      </c>
      <c r="AZ169" s="421">
        <f t="shared" si="582"/>
        <v>0</v>
      </c>
      <c r="BA169" s="422">
        <v>0</v>
      </c>
      <c r="BB169" s="422">
        <v>0</v>
      </c>
      <c r="BC169" s="422">
        <v>0</v>
      </c>
      <c r="BD169" s="422">
        <v>0</v>
      </c>
      <c r="BE169" s="422">
        <v>0</v>
      </c>
      <c r="BF169" s="422">
        <v>0</v>
      </c>
      <c r="BG169" s="422">
        <v>0</v>
      </c>
      <c r="BH169" s="422">
        <v>0</v>
      </c>
      <c r="BI169" s="422">
        <v>0</v>
      </c>
      <c r="BJ169" s="422">
        <v>0</v>
      </c>
      <c r="BK169" s="422">
        <f t="shared" si="583"/>
        <v>0</v>
      </c>
      <c r="BL169" s="422">
        <f t="shared" si="584"/>
        <v>0</v>
      </c>
      <c r="BM169" s="611">
        <f t="shared" si="585"/>
        <v>0</v>
      </c>
      <c r="BN169" s="428">
        <f t="shared" si="586"/>
        <v>597385</v>
      </c>
      <c r="BO169" s="421">
        <f t="shared" si="587"/>
        <v>443164</v>
      </c>
      <c r="BP169" s="421">
        <f t="shared" si="588"/>
        <v>443164</v>
      </c>
      <c r="BQ169" s="421">
        <f t="shared" si="588"/>
        <v>0</v>
      </c>
      <c r="BR169" s="421">
        <f t="shared" si="589"/>
        <v>0</v>
      </c>
      <c r="BS169" s="421">
        <f t="shared" si="590"/>
        <v>0</v>
      </c>
      <c r="BT169" s="421">
        <f t="shared" si="590"/>
        <v>0</v>
      </c>
      <c r="BU169" s="421">
        <f t="shared" si="591"/>
        <v>149789</v>
      </c>
      <c r="BV169" s="421">
        <f t="shared" si="591"/>
        <v>4432</v>
      </c>
      <c r="BW169" s="421">
        <f t="shared" si="592"/>
        <v>0</v>
      </c>
      <c r="BX169" s="422">
        <f t="shared" si="593"/>
        <v>0.95379999999999998</v>
      </c>
      <c r="BY169" s="422">
        <f t="shared" si="594"/>
        <v>0.95379999999999998</v>
      </c>
      <c r="BZ169" s="611">
        <f t="shared" si="594"/>
        <v>0</v>
      </c>
      <c r="CA169" s="423"/>
      <c r="CB169" s="418"/>
      <c r="CC169" s="418"/>
      <c r="CD169" s="418"/>
      <c r="CE169" s="418"/>
      <c r="CF169" s="527"/>
    </row>
    <row r="170" spans="1:84" s="222" customFormat="1" ht="12.75" customHeight="1" x14ac:dyDescent="0.2">
      <c r="A170" s="210">
        <v>30</v>
      </c>
      <c r="B170" s="211">
        <v>4446</v>
      </c>
      <c r="C170" s="211">
        <v>600074587</v>
      </c>
      <c r="D170" s="211">
        <v>70695504</v>
      </c>
      <c r="E170" s="209" t="s">
        <v>789</v>
      </c>
      <c r="F170" s="211">
        <v>3143</v>
      </c>
      <c r="G170" s="165" t="s">
        <v>597</v>
      </c>
      <c r="H170" s="686" t="s">
        <v>272</v>
      </c>
      <c r="I170" s="528">
        <f t="shared" si="564"/>
        <v>12282</v>
      </c>
      <c r="J170" s="418">
        <f t="shared" si="565"/>
        <v>8791</v>
      </c>
      <c r="K170" s="418">
        <v>0</v>
      </c>
      <c r="L170" s="418">
        <v>8791</v>
      </c>
      <c r="M170" s="418">
        <f t="shared" si="566"/>
        <v>0</v>
      </c>
      <c r="N170" s="418"/>
      <c r="O170" s="418"/>
      <c r="P170" s="68">
        <f t="shared" si="567"/>
        <v>2971</v>
      </c>
      <c r="Q170" s="68">
        <f t="shared" si="568"/>
        <v>88</v>
      </c>
      <c r="R170" s="418">
        <v>432</v>
      </c>
      <c r="S170" s="419">
        <f t="shared" si="569"/>
        <v>0.03</v>
      </c>
      <c r="T170" s="420">
        <v>0</v>
      </c>
      <c r="U170" s="527">
        <v>0.03</v>
      </c>
      <c r="V170" s="427">
        <f t="shared" si="570"/>
        <v>0</v>
      </c>
      <c r="W170" s="421">
        <f t="shared" si="570"/>
        <v>0</v>
      </c>
      <c r="X170" s="421">
        <v>0</v>
      </c>
      <c r="Y170" s="421">
        <v>0</v>
      </c>
      <c r="Z170" s="421">
        <v>0</v>
      </c>
      <c r="AA170" s="421">
        <v>0</v>
      </c>
      <c r="AB170" s="421">
        <v>0</v>
      </c>
      <c r="AC170" s="421">
        <v>0</v>
      </c>
      <c r="AD170" s="421">
        <v>0</v>
      </c>
      <c r="AE170" s="421">
        <v>0</v>
      </c>
      <c r="AF170" s="421">
        <f t="shared" si="571"/>
        <v>0</v>
      </c>
      <c r="AG170" s="421">
        <f t="shared" si="572"/>
        <v>0</v>
      </c>
      <c r="AH170" s="421">
        <f t="shared" si="573"/>
        <v>0</v>
      </c>
      <c r="AI170" s="421">
        <v>0</v>
      </c>
      <c r="AJ170" s="421">
        <v>0</v>
      </c>
      <c r="AK170" s="421">
        <v>0</v>
      </c>
      <c r="AL170" s="421">
        <v>0</v>
      </c>
      <c r="AM170" s="421">
        <v>0</v>
      </c>
      <c r="AN170" s="421">
        <v>0</v>
      </c>
      <c r="AO170" s="421">
        <f t="shared" si="574"/>
        <v>0</v>
      </c>
      <c r="AP170" s="421">
        <f t="shared" si="575"/>
        <v>0</v>
      </c>
      <c r="AQ170" s="421">
        <f t="shared" si="576"/>
        <v>0</v>
      </c>
      <c r="AR170" s="421">
        <f t="shared" si="577"/>
        <v>0</v>
      </c>
      <c r="AS170" s="421">
        <f t="shared" si="577"/>
        <v>0</v>
      </c>
      <c r="AT170" s="421">
        <f t="shared" si="578"/>
        <v>0</v>
      </c>
      <c r="AU170" s="68">
        <f t="shared" si="579"/>
        <v>0</v>
      </c>
      <c r="AV170" s="68">
        <f t="shared" si="580"/>
        <v>0</v>
      </c>
      <c r="AW170" s="421">
        <v>0</v>
      </c>
      <c r="AX170" s="421">
        <v>0</v>
      </c>
      <c r="AY170" s="421">
        <f t="shared" si="581"/>
        <v>0</v>
      </c>
      <c r="AZ170" s="421">
        <f t="shared" si="582"/>
        <v>0</v>
      </c>
      <c r="BA170" s="422">
        <v>0</v>
      </c>
      <c r="BB170" s="422">
        <v>0</v>
      </c>
      <c r="BC170" s="422">
        <v>0</v>
      </c>
      <c r="BD170" s="422">
        <v>0</v>
      </c>
      <c r="BE170" s="422">
        <v>0</v>
      </c>
      <c r="BF170" s="422">
        <v>0</v>
      </c>
      <c r="BG170" s="422">
        <v>0</v>
      </c>
      <c r="BH170" s="422">
        <v>0</v>
      </c>
      <c r="BI170" s="422">
        <v>0</v>
      </c>
      <c r="BJ170" s="422">
        <v>0</v>
      </c>
      <c r="BK170" s="422">
        <f t="shared" si="583"/>
        <v>0</v>
      </c>
      <c r="BL170" s="422">
        <f t="shared" si="584"/>
        <v>0</v>
      </c>
      <c r="BM170" s="611">
        <f t="shared" si="585"/>
        <v>0</v>
      </c>
      <c r="BN170" s="428">
        <f t="shared" si="586"/>
        <v>12282</v>
      </c>
      <c r="BO170" s="421">
        <f t="shared" si="587"/>
        <v>8791</v>
      </c>
      <c r="BP170" s="421">
        <f t="shared" si="588"/>
        <v>0</v>
      </c>
      <c r="BQ170" s="421">
        <f t="shared" si="588"/>
        <v>8791</v>
      </c>
      <c r="BR170" s="421">
        <f t="shared" si="589"/>
        <v>0</v>
      </c>
      <c r="BS170" s="421">
        <f t="shared" si="590"/>
        <v>0</v>
      </c>
      <c r="BT170" s="421">
        <f t="shared" si="590"/>
        <v>0</v>
      </c>
      <c r="BU170" s="421">
        <f t="shared" si="591"/>
        <v>2971</v>
      </c>
      <c r="BV170" s="421">
        <f t="shared" si="591"/>
        <v>88</v>
      </c>
      <c r="BW170" s="421">
        <f t="shared" si="592"/>
        <v>432</v>
      </c>
      <c r="BX170" s="422">
        <f t="shared" si="593"/>
        <v>0.03</v>
      </c>
      <c r="BY170" s="422">
        <f t="shared" si="594"/>
        <v>0</v>
      </c>
      <c r="BZ170" s="611">
        <f t="shared" si="594"/>
        <v>0.03</v>
      </c>
      <c r="CA170" s="423"/>
      <c r="CB170" s="418"/>
      <c r="CC170" s="418"/>
      <c r="CD170" s="418"/>
      <c r="CE170" s="418"/>
      <c r="CF170" s="527"/>
    </row>
    <row r="171" spans="1:84" s="222" customFormat="1" ht="12.75" customHeight="1" x14ac:dyDescent="0.2">
      <c r="A171" s="155">
        <v>30</v>
      </c>
      <c r="B171" s="18">
        <v>4446</v>
      </c>
      <c r="C171" s="18">
        <v>600074587</v>
      </c>
      <c r="D171" s="18">
        <v>70695504</v>
      </c>
      <c r="E171" s="164" t="s">
        <v>204</v>
      </c>
      <c r="F171" s="18"/>
      <c r="G171" s="154"/>
      <c r="H171" s="685"/>
      <c r="I171" s="458">
        <f t="shared" ref="I171:BT171" si="595">SUM(I165:I170)</f>
        <v>5088666</v>
      </c>
      <c r="J171" s="451">
        <f t="shared" si="595"/>
        <v>3745385</v>
      </c>
      <c r="K171" s="451">
        <f t="shared" si="595"/>
        <v>3338009</v>
      </c>
      <c r="L171" s="451">
        <f t="shared" si="595"/>
        <v>407376</v>
      </c>
      <c r="M171" s="451">
        <f t="shared" si="595"/>
        <v>0</v>
      </c>
      <c r="N171" s="451">
        <f t="shared" si="595"/>
        <v>0</v>
      </c>
      <c r="O171" s="451">
        <f t="shared" si="595"/>
        <v>0</v>
      </c>
      <c r="P171" s="451">
        <f t="shared" si="595"/>
        <v>1265940</v>
      </c>
      <c r="Q171" s="451">
        <f t="shared" si="595"/>
        <v>37454</v>
      </c>
      <c r="R171" s="451">
        <f t="shared" si="595"/>
        <v>39887</v>
      </c>
      <c r="S171" s="452">
        <f t="shared" si="595"/>
        <v>6.7975000000000003</v>
      </c>
      <c r="T171" s="452">
        <f t="shared" si="595"/>
        <v>5.5876000000000001</v>
      </c>
      <c r="U171" s="39">
        <f t="shared" si="595"/>
        <v>1.2099</v>
      </c>
      <c r="V171" s="458">
        <f t="shared" si="595"/>
        <v>0</v>
      </c>
      <c r="W171" s="451">
        <f t="shared" si="595"/>
        <v>0</v>
      </c>
      <c r="X171" s="451">
        <f t="shared" si="595"/>
        <v>506762</v>
      </c>
      <c r="Y171" s="451">
        <f t="shared" si="595"/>
        <v>0</v>
      </c>
      <c r="Z171" s="451">
        <f t="shared" si="595"/>
        <v>0</v>
      </c>
      <c r="AA171" s="451">
        <f t="shared" si="595"/>
        <v>0</v>
      </c>
      <c r="AB171" s="451">
        <f t="shared" si="595"/>
        <v>0</v>
      </c>
      <c r="AC171" s="451">
        <f t="shared" si="595"/>
        <v>0</v>
      </c>
      <c r="AD171" s="451">
        <f t="shared" si="595"/>
        <v>0</v>
      </c>
      <c r="AE171" s="451">
        <f t="shared" si="595"/>
        <v>0</v>
      </c>
      <c r="AF171" s="451">
        <f t="shared" si="595"/>
        <v>506762</v>
      </c>
      <c r="AG171" s="451">
        <f t="shared" si="595"/>
        <v>0</v>
      </c>
      <c r="AH171" s="451">
        <f t="shared" si="595"/>
        <v>506762</v>
      </c>
      <c r="AI171" s="451">
        <f t="shared" si="595"/>
        <v>0</v>
      </c>
      <c r="AJ171" s="451">
        <f t="shared" si="595"/>
        <v>0</v>
      </c>
      <c r="AK171" s="451">
        <f t="shared" ref="AK171" si="596">SUM(AK165:AK170)</f>
        <v>0</v>
      </c>
      <c r="AL171" s="451">
        <f t="shared" si="595"/>
        <v>0</v>
      </c>
      <c r="AM171" s="451">
        <f t="shared" si="595"/>
        <v>0</v>
      </c>
      <c r="AN171" s="451">
        <f t="shared" si="595"/>
        <v>0</v>
      </c>
      <c r="AO171" s="451">
        <f t="shared" si="595"/>
        <v>0</v>
      </c>
      <c r="AP171" s="451">
        <f t="shared" si="595"/>
        <v>0</v>
      </c>
      <c r="AQ171" s="451">
        <f t="shared" si="595"/>
        <v>0</v>
      </c>
      <c r="AR171" s="451">
        <f t="shared" si="595"/>
        <v>506762</v>
      </c>
      <c r="AS171" s="451">
        <f t="shared" si="595"/>
        <v>0</v>
      </c>
      <c r="AT171" s="451">
        <f t="shared" si="595"/>
        <v>506762</v>
      </c>
      <c r="AU171" s="451">
        <f t="shared" si="595"/>
        <v>171286</v>
      </c>
      <c r="AV171" s="451">
        <f t="shared" si="595"/>
        <v>5068</v>
      </c>
      <c r="AW171" s="451">
        <f t="shared" si="595"/>
        <v>0</v>
      </c>
      <c r="AX171" s="451">
        <f t="shared" si="595"/>
        <v>0</v>
      </c>
      <c r="AY171" s="451">
        <f t="shared" si="595"/>
        <v>0</v>
      </c>
      <c r="AZ171" s="451">
        <f t="shared" si="595"/>
        <v>683116</v>
      </c>
      <c r="BA171" s="452">
        <f t="shared" si="595"/>
        <v>0</v>
      </c>
      <c r="BB171" s="452">
        <f t="shared" si="595"/>
        <v>0</v>
      </c>
      <c r="BC171" s="452">
        <f t="shared" si="595"/>
        <v>1.5</v>
      </c>
      <c r="BD171" s="452">
        <f t="shared" si="595"/>
        <v>0</v>
      </c>
      <c r="BE171" s="452">
        <f t="shared" si="595"/>
        <v>0</v>
      </c>
      <c r="BF171" s="452">
        <f t="shared" si="595"/>
        <v>0</v>
      </c>
      <c r="BG171" s="452">
        <f t="shared" si="595"/>
        <v>0</v>
      </c>
      <c r="BH171" s="452">
        <f t="shared" si="595"/>
        <v>0</v>
      </c>
      <c r="BI171" s="452">
        <f t="shared" si="595"/>
        <v>0</v>
      </c>
      <c r="BJ171" s="452">
        <f t="shared" si="595"/>
        <v>0</v>
      </c>
      <c r="BK171" s="452">
        <f t="shared" si="595"/>
        <v>1.5</v>
      </c>
      <c r="BL171" s="452">
        <f t="shared" si="595"/>
        <v>0</v>
      </c>
      <c r="BM171" s="456">
        <f t="shared" si="595"/>
        <v>1.5</v>
      </c>
      <c r="BN171" s="454">
        <f t="shared" si="595"/>
        <v>5771782</v>
      </c>
      <c r="BO171" s="451">
        <f t="shared" si="595"/>
        <v>4252147</v>
      </c>
      <c r="BP171" s="451">
        <f t="shared" si="595"/>
        <v>3844771</v>
      </c>
      <c r="BQ171" s="451">
        <f t="shared" si="595"/>
        <v>407376</v>
      </c>
      <c r="BR171" s="451">
        <f t="shared" si="595"/>
        <v>0</v>
      </c>
      <c r="BS171" s="451">
        <f t="shared" si="595"/>
        <v>0</v>
      </c>
      <c r="BT171" s="451">
        <f t="shared" si="595"/>
        <v>0</v>
      </c>
      <c r="BU171" s="451">
        <f t="shared" ref="BU171:CF171" si="597">SUM(BU165:BU170)</f>
        <v>1437226</v>
      </c>
      <c r="BV171" s="451">
        <f t="shared" si="597"/>
        <v>42522</v>
      </c>
      <c r="BW171" s="451">
        <f t="shared" si="597"/>
        <v>39887</v>
      </c>
      <c r="BX171" s="452">
        <f t="shared" si="597"/>
        <v>8.2974999999999994</v>
      </c>
      <c r="BY171" s="452">
        <f t="shared" si="597"/>
        <v>7.0876000000000001</v>
      </c>
      <c r="BZ171" s="456">
        <f t="shared" si="597"/>
        <v>1.2099</v>
      </c>
      <c r="CA171" s="854">
        <f t="shared" si="597"/>
        <v>0</v>
      </c>
      <c r="CB171" s="852">
        <f t="shared" si="597"/>
        <v>0</v>
      </c>
      <c r="CC171" s="852">
        <f t="shared" si="597"/>
        <v>0</v>
      </c>
      <c r="CD171" s="852">
        <f t="shared" si="597"/>
        <v>0</v>
      </c>
      <c r="CE171" s="852">
        <f t="shared" si="597"/>
        <v>0</v>
      </c>
      <c r="CF171" s="848">
        <f t="shared" si="597"/>
        <v>0</v>
      </c>
    </row>
    <row r="172" spans="1:84" s="222" customFormat="1" ht="12.75" customHeight="1" x14ac:dyDescent="0.2">
      <c r="A172" s="210">
        <v>31</v>
      </c>
      <c r="B172" s="211">
        <v>4431</v>
      </c>
      <c r="C172" s="211">
        <v>600074820</v>
      </c>
      <c r="D172" s="211">
        <v>70981515</v>
      </c>
      <c r="E172" s="209" t="s">
        <v>205</v>
      </c>
      <c r="F172" s="211">
        <v>3111</v>
      </c>
      <c r="G172" s="165" t="s">
        <v>291</v>
      </c>
      <c r="H172" s="699" t="s">
        <v>271</v>
      </c>
      <c r="I172" s="528">
        <f t="shared" ref="I172:I177" si="598">J172+P172+Q172+R172</f>
        <v>3211898</v>
      </c>
      <c r="J172" s="418">
        <f t="shared" ref="J172:J177" si="599">K172+L172</f>
        <v>2374989</v>
      </c>
      <c r="K172" s="418">
        <v>2255181</v>
      </c>
      <c r="L172" s="418">
        <v>119808</v>
      </c>
      <c r="M172" s="418">
        <f t="shared" ref="M172:M177" si="600">N172+O172</f>
        <v>0</v>
      </c>
      <c r="N172" s="418"/>
      <c r="O172" s="418"/>
      <c r="P172" s="68">
        <f t="shared" ref="P172:P177" si="601">ROUND(J172*33.8%,0)</f>
        <v>802746</v>
      </c>
      <c r="Q172" s="68">
        <f t="shared" ref="Q172:Q177" si="602">ROUND(J172*1%,0)</f>
        <v>23750</v>
      </c>
      <c r="R172" s="418">
        <v>10413</v>
      </c>
      <c r="S172" s="419">
        <f t="shared" ref="S172:S177" si="603">T172+U172</f>
        <v>4.4800000000000004</v>
      </c>
      <c r="T172" s="420">
        <v>4</v>
      </c>
      <c r="U172" s="527">
        <v>0.48</v>
      </c>
      <c r="V172" s="427">
        <f t="shared" ref="V172:W177" si="604">AI172*-1</f>
        <v>-6400</v>
      </c>
      <c r="W172" s="421">
        <f t="shared" si="604"/>
        <v>0</v>
      </c>
      <c r="X172" s="421">
        <v>0</v>
      </c>
      <c r="Y172" s="421">
        <v>0</v>
      </c>
      <c r="Z172" s="421">
        <v>0</v>
      </c>
      <c r="AA172" s="421">
        <v>0</v>
      </c>
      <c r="AB172" s="421">
        <v>0</v>
      </c>
      <c r="AC172" s="421">
        <v>0</v>
      </c>
      <c r="AD172" s="421">
        <v>0</v>
      </c>
      <c r="AE172" s="421">
        <v>0</v>
      </c>
      <c r="AF172" s="421">
        <f t="shared" ref="AF172:AF177" si="605">V172+X172+Y172+AA172+AB172+AD172</f>
        <v>-6400</v>
      </c>
      <c r="AG172" s="421">
        <f t="shared" ref="AG172:AG177" si="606">W172+Z172+AC172+AE172</f>
        <v>0</v>
      </c>
      <c r="AH172" s="421">
        <f t="shared" ref="AH172:AH177" si="607">SUM(AF172:AG172)</f>
        <v>-6400</v>
      </c>
      <c r="AI172" s="421">
        <v>6400</v>
      </c>
      <c r="AJ172" s="421">
        <v>0</v>
      </c>
      <c r="AK172" s="421">
        <v>0</v>
      </c>
      <c r="AL172" s="421">
        <v>0</v>
      </c>
      <c r="AM172" s="421">
        <v>0</v>
      </c>
      <c r="AN172" s="421">
        <v>0</v>
      </c>
      <c r="AO172" s="421">
        <f t="shared" ref="AO172:AO177" si="608">AI172+AK172+AL172+AM172</f>
        <v>6400</v>
      </c>
      <c r="AP172" s="421">
        <f t="shared" ref="AP172:AP177" si="609">AJ172+AN172</f>
        <v>0</v>
      </c>
      <c r="AQ172" s="421">
        <f t="shared" ref="AQ172:AQ177" si="610">SUM(AO172:AP172)</f>
        <v>6400</v>
      </c>
      <c r="AR172" s="421">
        <f t="shared" ref="AR172:AS177" si="611">AF172+AO172</f>
        <v>0</v>
      </c>
      <c r="AS172" s="421">
        <f t="shared" si="611"/>
        <v>0</v>
      </c>
      <c r="AT172" s="421">
        <f t="shared" ref="AT172:AT177" si="612">SUM(AR172:AS172)</f>
        <v>0</v>
      </c>
      <c r="AU172" s="68">
        <f t="shared" ref="AU172:AU177" si="613">ROUND((AH172+AI172+AJ172+AK172+AL172)*33.8%,0)</f>
        <v>0</v>
      </c>
      <c r="AV172" s="68">
        <f t="shared" ref="AV172:AV177" si="614">ROUND(AH172*1%,0)</f>
        <v>-64</v>
      </c>
      <c r="AW172" s="421">
        <v>0</v>
      </c>
      <c r="AX172" s="421">
        <v>0</v>
      </c>
      <c r="AY172" s="421">
        <f t="shared" ref="AY172:AY177" si="615">AW172+AX172</f>
        <v>0</v>
      </c>
      <c r="AZ172" s="421">
        <f t="shared" ref="AZ172:AZ177" si="616">AT172+AU172+AV172+AY172</f>
        <v>-64</v>
      </c>
      <c r="BA172" s="422">
        <v>0</v>
      </c>
      <c r="BB172" s="422">
        <v>0</v>
      </c>
      <c r="BC172" s="422">
        <v>0</v>
      </c>
      <c r="BD172" s="422">
        <v>0</v>
      </c>
      <c r="BE172" s="422">
        <v>0</v>
      </c>
      <c r="BF172" s="422">
        <v>0</v>
      </c>
      <c r="BG172" s="422">
        <v>0</v>
      </c>
      <c r="BH172" s="422">
        <v>0</v>
      </c>
      <c r="BI172" s="422">
        <v>0</v>
      </c>
      <c r="BJ172" s="422">
        <v>0</v>
      </c>
      <c r="BK172" s="422">
        <f t="shared" ref="BK172:BK177" si="617">BA172+BC172+BD172+BF172+BH172+BI172</f>
        <v>0</v>
      </c>
      <c r="BL172" s="422">
        <f t="shared" ref="BL172:BL177" si="618">BB172+BE172+BG172+BJ172</f>
        <v>0</v>
      </c>
      <c r="BM172" s="611">
        <f t="shared" ref="BM172:BM177" si="619">SUM(BK172:BL172)</f>
        <v>0</v>
      </c>
      <c r="BN172" s="428">
        <f t="shared" ref="BN172:BN177" si="620">I172+AZ172</f>
        <v>3211834</v>
      </c>
      <c r="BO172" s="421">
        <f t="shared" ref="BO172:BO177" si="621">J172+AH172</f>
        <v>2368589</v>
      </c>
      <c r="BP172" s="421">
        <f t="shared" ref="BP172:BQ177" si="622">K172+AF172</f>
        <v>2248781</v>
      </c>
      <c r="BQ172" s="421">
        <f t="shared" si="622"/>
        <v>119808</v>
      </c>
      <c r="BR172" s="421">
        <f t="shared" ref="BR172:BR177" si="623">M172+AQ172</f>
        <v>6400</v>
      </c>
      <c r="BS172" s="421">
        <f t="shared" ref="BS172:BT177" si="624">N172+AO172</f>
        <v>6400</v>
      </c>
      <c r="BT172" s="421">
        <f t="shared" si="624"/>
        <v>0</v>
      </c>
      <c r="BU172" s="421">
        <f t="shared" ref="BU172:BV177" si="625">P172+AU172</f>
        <v>802746</v>
      </c>
      <c r="BV172" s="421">
        <f t="shared" si="625"/>
        <v>23686</v>
      </c>
      <c r="BW172" s="421">
        <f t="shared" ref="BW172:BW177" si="626">R172+AY172</f>
        <v>10413</v>
      </c>
      <c r="BX172" s="422">
        <f t="shared" ref="BX172:BX177" si="627">S172+BM172</f>
        <v>4.4800000000000004</v>
      </c>
      <c r="BY172" s="422">
        <f t="shared" ref="BY172:BZ177" si="628">T172+BK172</f>
        <v>4</v>
      </c>
      <c r="BZ172" s="611">
        <f t="shared" si="628"/>
        <v>0.48</v>
      </c>
      <c r="CA172" s="423"/>
      <c r="CB172" s="418"/>
      <c r="CC172" s="418"/>
      <c r="CD172" s="418"/>
      <c r="CE172" s="418"/>
      <c r="CF172" s="527"/>
    </row>
    <row r="173" spans="1:84" s="222" customFormat="1" ht="12.75" customHeight="1" x14ac:dyDescent="0.2">
      <c r="A173" s="210">
        <v>31</v>
      </c>
      <c r="B173" s="211">
        <v>4431</v>
      </c>
      <c r="C173" s="211">
        <v>600074820</v>
      </c>
      <c r="D173" s="211">
        <v>70981515</v>
      </c>
      <c r="E173" s="209" t="s">
        <v>205</v>
      </c>
      <c r="F173" s="211">
        <v>3117</v>
      </c>
      <c r="G173" s="165" t="s">
        <v>294</v>
      </c>
      <c r="H173" s="699" t="s">
        <v>271</v>
      </c>
      <c r="I173" s="528">
        <f t="shared" si="598"/>
        <v>4178908</v>
      </c>
      <c r="J173" s="418">
        <f t="shared" si="599"/>
        <v>3044589</v>
      </c>
      <c r="K173" s="418">
        <v>2657045</v>
      </c>
      <c r="L173" s="418">
        <v>387544</v>
      </c>
      <c r="M173" s="418">
        <f t="shared" si="600"/>
        <v>0</v>
      </c>
      <c r="N173" s="418"/>
      <c r="O173" s="418"/>
      <c r="P173" s="68">
        <f t="shared" si="601"/>
        <v>1029071</v>
      </c>
      <c r="Q173" s="68">
        <f>ROUND(J173*1%,0)-1</f>
        <v>30445</v>
      </c>
      <c r="R173" s="418">
        <v>74803</v>
      </c>
      <c r="S173" s="419">
        <f t="shared" si="603"/>
        <v>5.4999000000000002</v>
      </c>
      <c r="T173" s="420">
        <v>4.5</v>
      </c>
      <c r="U173" s="527">
        <v>0.99990000000000001</v>
      </c>
      <c r="V173" s="427">
        <f t="shared" si="604"/>
        <v>-6400</v>
      </c>
      <c r="W173" s="421">
        <f t="shared" si="604"/>
        <v>0</v>
      </c>
      <c r="X173" s="421">
        <v>0</v>
      </c>
      <c r="Y173" s="421">
        <v>0</v>
      </c>
      <c r="Z173" s="421">
        <v>0</v>
      </c>
      <c r="AA173" s="421">
        <v>0</v>
      </c>
      <c r="AB173" s="421">
        <v>0</v>
      </c>
      <c r="AC173" s="421">
        <v>0</v>
      </c>
      <c r="AD173" s="421">
        <v>0</v>
      </c>
      <c r="AE173" s="421">
        <v>0</v>
      </c>
      <c r="AF173" s="421">
        <f t="shared" si="605"/>
        <v>-6400</v>
      </c>
      <c r="AG173" s="421">
        <f t="shared" si="606"/>
        <v>0</v>
      </c>
      <c r="AH173" s="421">
        <f t="shared" si="607"/>
        <v>-6400</v>
      </c>
      <c r="AI173" s="421">
        <v>6400</v>
      </c>
      <c r="AJ173" s="421">
        <v>0</v>
      </c>
      <c r="AK173" s="421">
        <v>0</v>
      </c>
      <c r="AL173" s="421">
        <v>211840</v>
      </c>
      <c r="AM173" s="421">
        <v>0</v>
      </c>
      <c r="AN173" s="421">
        <v>0</v>
      </c>
      <c r="AO173" s="421">
        <f t="shared" si="608"/>
        <v>218240</v>
      </c>
      <c r="AP173" s="421">
        <f t="shared" si="609"/>
        <v>0</v>
      </c>
      <c r="AQ173" s="421">
        <f t="shared" si="610"/>
        <v>218240</v>
      </c>
      <c r="AR173" s="421">
        <f t="shared" si="611"/>
        <v>211840</v>
      </c>
      <c r="AS173" s="421">
        <f t="shared" si="611"/>
        <v>0</v>
      </c>
      <c r="AT173" s="421">
        <f t="shared" si="612"/>
        <v>211840</v>
      </c>
      <c r="AU173" s="68">
        <f t="shared" si="613"/>
        <v>71602</v>
      </c>
      <c r="AV173" s="68">
        <f t="shared" si="614"/>
        <v>-64</v>
      </c>
      <c r="AW173" s="421">
        <v>0</v>
      </c>
      <c r="AX173" s="421">
        <v>0</v>
      </c>
      <c r="AY173" s="421">
        <f t="shared" si="615"/>
        <v>0</v>
      </c>
      <c r="AZ173" s="421">
        <f t="shared" si="616"/>
        <v>283378</v>
      </c>
      <c r="BA173" s="422">
        <v>0</v>
      </c>
      <c r="BB173" s="422">
        <v>0</v>
      </c>
      <c r="BC173" s="422">
        <v>0</v>
      </c>
      <c r="BD173" s="422">
        <v>0</v>
      </c>
      <c r="BE173" s="422">
        <v>0</v>
      </c>
      <c r="BF173" s="422">
        <v>0</v>
      </c>
      <c r="BG173" s="422">
        <v>0</v>
      </c>
      <c r="BH173" s="422">
        <v>0</v>
      </c>
      <c r="BI173" s="422">
        <v>0</v>
      </c>
      <c r="BJ173" s="422">
        <v>0</v>
      </c>
      <c r="BK173" s="422">
        <f t="shared" si="617"/>
        <v>0</v>
      </c>
      <c r="BL173" s="422">
        <f t="shared" si="618"/>
        <v>0</v>
      </c>
      <c r="BM173" s="611">
        <f t="shared" si="619"/>
        <v>0</v>
      </c>
      <c r="BN173" s="428">
        <f t="shared" si="620"/>
        <v>4462286</v>
      </c>
      <c r="BO173" s="421">
        <f t="shared" si="621"/>
        <v>3038189</v>
      </c>
      <c r="BP173" s="421">
        <f t="shared" si="622"/>
        <v>2650645</v>
      </c>
      <c r="BQ173" s="421">
        <f t="shared" si="622"/>
        <v>387544</v>
      </c>
      <c r="BR173" s="421">
        <f t="shared" si="623"/>
        <v>218240</v>
      </c>
      <c r="BS173" s="421">
        <f t="shared" si="624"/>
        <v>218240</v>
      </c>
      <c r="BT173" s="421">
        <f t="shared" si="624"/>
        <v>0</v>
      </c>
      <c r="BU173" s="421">
        <f t="shared" si="625"/>
        <v>1100673</v>
      </c>
      <c r="BV173" s="421">
        <f t="shared" si="625"/>
        <v>30381</v>
      </c>
      <c r="BW173" s="421">
        <f t="shared" si="626"/>
        <v>74803</v>
      </c>
      <c r="BX173" s="422">
        <f t="shared" si="627"/>
        <v>5.4999000000000002</v>
      </c>
      <c r="BY173" s="422">
        <f t="shared" si="628"/>
        <v>4.5</v>
      </c>
      <c r="BZ173" s="611">
        <f t="shared" si="628"/>
        <v>0.99990000000000001</v>
      </c>
      <c r="CA173" s="423"/>
      <c r="CB173" s="418"/>
      <c r="CC173" s="418"/>
      <c r="CD173" s="418"/>
      <c r="CE173" s="418"/>
      <c r="CF173" s="527"/>
    </row>
    <row r="174" spans="1:84" s="222" customFormat="1" ht="12.75" customHeight="1" x14ac:dyDescent="0.2">
      <c r="A174" s="210">
        <v>31</v>
      </c>
      <c r="B174" s="211">
        <v>4431</v>
      </c>
      <c r="C174" s="211">
        <v>600074820</v>
      </c>
      <c r="D174" s="211">
        <v>70981515</v>
      </c>
      <c r="E174" s="209" t="s">
        <v>205</v>
      </c>
      <c r="F174" s="211">
        <v>3117</v>
      </c>
      <c r="G174" s="165" t="s">
        <v>292</v>
      </c>
      <c r="H174" s="699" t="s">
        <v>272</v>
      </c>
      <c r="I174" s="528">
        <f t="shared" si="598"/>
        <v>0</v>
      </c>
      <c r="J174" s="418">
        <f t="shared" si="599"/>
        <v>0</v>
      </c>
      <c r="K174" s="418">
        <v>0</v>
      </c>
      <c r="L174" s="418">
        <v>0</v>
      </c>
      <c r="M174" s="418">
        <f t="shared" si="600"/>
        <v>0</v>
      </c>
      <c r="N174" s="418"/>
      <c r="O174" s="418"/>
      <c r="P174" s="68">
        <f t="shared" si="601"/>
        <v>0</v>
      </c>
      <c r="Q174" s="68">
        <f t="shared" si="602"/>
        <v>0</v>
      </c>
      <c r="R174" s="418">
        <v>0</v>
      </c>
      <c r="S174" s="419">
        <f t="shared" si="603"/>
        <v>0</v>
      </c>
      <c r="T174" s="420">
        <v>0</v>
      </c>
      <c r="U174" s="527">
        <v>0</v>
      </c>
      <c r="V174" s="427">
        <f t="shared" si="604"/>
        <v>0</v>
      </c>
      <c r="W174" s="421">
        <f t="shared" si="604"/>
        <v>0</v>
      </c>
      <c r="X174" s="421">
        <f>700406+339901+274671</f>
        <v>1314978</v>
      </c>
      <c r="Y174" s="421">
        <v>0</v>
      </c>
      <c r="Z174" s="421">
        <v>0</v>
      </c>
      <c r="AA174" s="421">
        <v>0</v>
      </c>
      <c r="AB174" s="421">
        <v>0</v>
      </c>
      <c r="AC174" s="421">
        <v>0</v>
      </c>
      <c r="AD174" s="421">
        <v>0</v>
      </c>
      <c r="AE174" s="421">
        <v>0</v>
      </c>
      <c r="AF174" s="421">
        <f t="shared" si="605"/>
        <v>1314978</v>
      </c>
      <c r="AG174" s="421">
        <f t="shared" si="606"/>
        <v>0</v>
      </c>
      <c r="AH174" s="421">
        <f t="shared" si="607"/>
        <v>1314978</v>
      </c>
      <c r="AI174" s="421">
        <v>0</v>
      </c>
      <c r="AJ174" s="421">
        <v>0</v>
      </c>
      <c r="AK174" s="421">
        <v>0</v>
      </c>
      <c r="AL174" s="421">
        <v>0</v>
      </c>
      <c r="AM174" s="421">
        <v>0</v>
      </c>
      <c r="AN174" s="421">
        <v>0</v>
      </c>
      <c r="AO174" s="421">
        <f t="shared" si="608"/>
        <v>0</v>
      </c>
      <c r="AP174" s="421">
        <f t="shared" si="609"/>
        <v>0</v>
      </c>
      <c r="AQ174" s="421">
        <f t="shared" si="610"/>
        <v>0</v>
      </c>
      <c r="AR174" s="421">
        <f t="shared" si="611"/>
        <v>1314978</v>
      </c>
      <c r="AS174" s="421">
        <f t="shared" si="611"/>
        <v>0</v>
      </c>
      <c r="AT174" s="421">
        <f t="shared" si="612"/>
        <v>1314978</v>
      </c>
      <c r="AU174" s="68">
        <f t="shared" si="613"/>
        <v>444463</v>
      </c>
      <c r="AV174" s="68">
        <f t="shared" si="614"/>
        <v>13150</v>
      </c>
      <c r="AW174" s="421">
        <v>0</v>
      </c>
      <c r="AX174" s="421">
        <v>0</v>
      </c>
      <c r="AY174" s="421">
        <f t="shared" si="615"/>
        <v>0</v>
      </c>
      <c r="AZ174" s="421">
        <f t="shared" si="616"/>
        <v>1772591</v>
      </c>
      <c r="BA174" s="422">
        <v>0</v>
      </c>
      <c r="BB174" s="422">
        <v>0</v>
      </c>
      <c r="BC174" s="422">
        <f>1.89+0.92+0.74</f>
        <v>3.55</v>
      </c>
      <c r="BD174" s="422">
        <v>0</v>
      </c>
      <c r="BE174" s="422">
        <v>0</v>
      </c>
      <c r="BF174" s="422">
        <v>0</v>
      </c>
      <c r="BG174" s="422">
        <v>0</v>
      </c>
      <c r="BH174" s="422">
        <v>0</v>
      </c>
      <c r="BI174" s="422">
        <v>0</v>
      </c>
      <c r="BJ174" s="422">
        <v>0</v>
      </c>
      <c r="BK174" s="422">
        <f t="shared" si="617"/>
        <v>3.55</v>
      </c>
      <c r="BL174" s="422">
        <f t="shared" si="618"/>
        <v>0</v>
      </c>
      <c r="BM174" s="611">
        <f t="shared" si="619"/>
        <v>3.55</v>
      </c>
      <c r="BN174" s="428">
        <f t="shared" si="620"/>
        <v>1772591</v>
      </c>
      <c r="BO174" s="421">
        <f t="shared" si="621"/>
        <v>1314978</v>
      </c>
      <c r="BP174" s="421">
        <f t="shared" si="622"/>
        <v>1314978</v>
      </c>
      <c r="BQ174" s="421">
        <f t="shared" si="622"/>
        <v>0</v>
      </c>
      <c r="BR174" s="421">
        <f t="shared" si="623"/>
        <v>0</v>
      </c>
      <c r="BS174" s="421">
        <f t="shared" si="624"/>
        <v>0</v>
      </c>
      <c r="BT174" s="421">
        <f t="shared" si="624"/>
        <v>0</v>
      </c>
      <c r="BU174" s="421">
        <f t="shared" si="625"/>
        <v>444463</v>
      </c>
      <c r="BV174" s="421">
        <f t="shared" si="625"/>
        <v>13150</v>
      </c>
      <c r="BW174" s="421">
        <f t="shared" si="626"/>
        <v>0</v>
      </c>
      <c r="BX174" s="422">
        <f t="shared" si="627"/>
        <v>3.55</v>
      </c>
      <c r="BY174" s="422">
        <f t="shared" si="628"/>
        <v>3.55</v>
      </c>
      <c r="BZ174" s="611">
        <f t="shared" si="628"/>
        <v>0</v>
      </c>
      <c r="CA174" s="423"/>
      <c r="CB174" s="418"/>
      <c r="CC174" s="418"/>
      <c r="CD174" s="418"/>
      <c r="CE174" s="418"/>
      <c r="CF174" s="527"/>
    </row>
    <row r="175" spans="1:84" s="222" customFormat="1" ht="12.75" customHeight="1" x14ac:dyDescent="0.2">
      <c r="A175" s="210">
        <v>31</v>
      </c>
      <c r="B175" s="211">
        <v>4431</v>
      </c>
      <c r="C175" s="211">
        <v>600074820</v>
      </c>
      <c r="D175" s="211">
        <v>70981515</v>
      </c>
      <c r="E175" s="209" t="s">
        <v>205</v>
      </c>
      <c r="F175" s="211">
        <v>3141</v>
      </c>
      <c r="G175" s="165" t="s">
        <v>295</v>
      </c>
      <c r="H175" s="699" t="s">
        <v>272</v>
      </c>
      <c r="I175" s="528">
        <f t="shared" si="598"/>
        <v>743358</v>
      </c>
      <c r="J175" s="418">
        <f t="shared" si="599"/>
        <v>549142</v>
      </c>
      <c r="K175" s="418">
        <v>0</v>
      </c>
      <c r="L175" s="418">
        <v>549142</v>
      </c>
      <c r="M175" s="418">
        <f t="shared" si="600"/>
        <v>0</v>
      </c>
      <c r="N175" s="418"/>
      <c r="O175" s="418"/>
      <c r="P175" s="68">
        <f t="shared" si="601"/>
        <v>185610</v>
      </c>
      <c r="Q175" s="68">
        <f t="shared" si="602"/>
        <v>5491</v>
      </c>
      <c r="R175" s="418">
        <v>3115</v>
      </c>
      <c r="S175" s="419">
        <f t="shared" si="603"/>
        <v>1.65</v>
      </c>
      <c r="T175" s="420">
        <v>0</v>
      </c>
      <c r="U175" s="527">
        <v>1.65</v>
      </c>
      <c r="V175" s="427">
        <f t="shared" si="604"/>
        <v>0</v>
      </c>
      <c r="W175" s="421">
        <f t="shared" si="604"/>
        <v>-6400</v>
      </c>
      <c r="X175" s="421">
        <v>0</v>
      </c>
      <c r="Y175" s="421">
        <v>0</v>
      </c>
      <c r="Z175" s="421">
        <v>0</v>
      </c>
      <c r="AA175" s="421">
        <v>0</v>
      </c>
      <c r="AB175" s="421">
        <v>0</v>
      </c>
      <c r="AC175" s="421">
        <v>0</v>
      </c>
      <c r="AD175" s="421">
        <v>0</v>
      </c>
      <c r="AE175" s="421">
        <v>0</v>
      </c>
      <c r="AF175" s="421">
        <f t="shared" si="605"/>
        <v>0</v>
      </c>
      <c r="AG175" s="421">
        <f t="shared" si="606"/>
        <v>-6400</v>
      </c>
      <c r="AH175" s="421">
        <f t="shared" si="607"/>
        <v>-6400</v>
      </c>
      <c r="AI175" s="421">
        <v>0</v>
      </c>
      <c r="AJ175" s="421">
        <v>6400</v>
      </c>
      <c r="AK175" s="421">
        <v>0</v>
      </c>
      <c r="AL175" s="421">
        <v>0</v>
      </c>
      <c r="AM175" s="421">
        <v>0</v>
      </c>
      <c r="AN175" s="421">
        <v>0</v>
      </c>
      <c r="AO175" s="421">
        <f t="shared" si="608"/>
        <v>0</v>
      </c>
      <c r="AP175" s="421">
        <f t="shared" si="609"/>
        <v>6400</v>
      </c>
      <c r="AQ175" s="421">
        <f t="shared" si="610"/>
        <v>6400</v>
      </c>
      <c r="AR175" s="421">
        <f t="shared" si="611"/>
        <v>0</v>
      </c>
      <c r="AS175" s="421">
        <f t="shared" si="611"/>
        <v>0</v>
      </c>
      <c r="AT175" s="421">
        <f t="shared" si="612"/>
        <v>0</v>
      </c>
      <c r="AU175" s="68">
        <f t="shared" si="613"/>
        <v>0</v>
      </c>
      <c r="AV175" s="68">
        <f t="shared" si="614"/>
        <v>-64</v>
      </c>
      <c r="AW175" s="421">
        <v>0</v>
      </c>
      <c r="AX175" s="421">
        <v>0</v>
      </c>
      <c r="AY175" s="421">
        <f t="shared" si="615"/>
        <v>0</v>
      </c>
      <c r="AZ175" s="421">
        <f t="shared" si="616"/>
        <v>-64</v>
      </c>
      <c r="BA175" s="422">
        <v>0</v>
      </c>
      <c r="BB175" s="422">
        <v>0</v>
      </c>
      <c r="BC175" s="422">
        <v>0</v>
      </c>
      <c r="BD175" s="422">
        <v>0</v>
      </c>
      <c r="BE175" s="422">
        <v>0</v>
      </c>
      <c r="BF175" s="422">
        <v>0</v>
      </c>
      <c r="BG175" s="422">
        <v>0</v>
      </c>
      <c r="BH175" s="422">
        <v>0</v>
      </c>
      <c r="BI175" s="422">
        <v>0</v>
      </c>
      <c r="BJ175" s="422">
        <v>0</v>
      </c>
      <c r="BK175" s="422">
        <f t="shared" si="617"/>
        <v>0</v>
      </c>
      <c r="BL175" s="422">
        <f t="shared" si="618"/>
        <v>0</v>
      </c>
      <c r="BM175" s="611">
        <f t="shared" si="619"/>
        <v>0</v>
      </c>
      <c r="BN175" s="428">
        <f t="shared" si="620"/>
        <v>743294</v>
      </c>
      <c r="BO175" s="421">
        <f t="shared" si="621"/>
        <v>542742</v>
      </c>
      <c r="BP175" s="421">
        <f t="shared" si="622"/>
        <v>0</v>
      </c>
      <c r="BQ175" s="421">
        <f t="shared" si="622"/>
        <v>542742</v>
      </c>
      <c r="BR175" s="421">
        <f t="shared" si="623"/>
        <v>6400</v>
      </c>
      <c r="BS175" s="421">
        <f t="shared" si="624"/>
        <v>0</v>
      </c>
      <c r="BT175" s="421">
        <f t="shared" si="624"/>
        <v>6400</v>
      </c>
      <c r="BU175" s="421">
        <f t="shared" si="625"/>
        <v>185610</v>
      </c>
      <c r="BV175" s="421">
        <f t="shared" si="625"/>
        <v>5427</v>
      </c>
      <c r="BW175" s="421">
        <f t="shared" si="626"/>
        <v>3115</v>
      </c>
      <c r="BX175" s="422">
        <f t="shared" si="627"/>
        <v>1.65</v>
      </c>
      <c r="BY175" s="422">
        <f t="shared" si="628"/>
        <v>0</v>
      </c>
      <c r="BZ175" s="611">
        <f t="shared" si="628"/>
        <v>1.65</v>
      </c>
      <c r="CA175" s="423"/>
      <c r="CB175" s="418"/>
      <c r="CC175" s="418"/>
      <c r="CD175" s="418"/>
      <c r="CE175" s="418"/>
      <c r="CF175" s="527"/>
    </row>
    <row r="176" spans="1:84" s="222" customFormat="1" ht="12.75" customHeight="1" x14ac:dyDescent="0.2">
      <c r="A176" s="210">
        <v>31</v>
      </c>
      <c r="B176" s="211">
        <v>4431</v>
      </c>
      <c r="C176" s="211">
        <v>600074820</v>
      </c>
      <c r="D176" s="211">
        <v>70981515</v>
      </c>
      <c r="E176" s="209" t="s">
        <v>205</v>
      </c>
      <c r="F176" s="211">
        <v>3143</v>
      </c>
      <c r="G176" s="165" t="s">
        <v>596</v>
      </c>
      <c r="H176" s="686" t="s">
        <v>271</v>
      </c>
      <c r="I176" s="528">
        <f t="shared" si="598"/>
        <v>1023072</v>
      </c>
      <c r="J176" s="418">
        <f t="shared" si="599"/>
        <v>758955</v>
      </c>
      <c r="K176" s="418">
        <v>758955</v>
      </c>
      <c r="L176" s="418">
        <v>0</v>
      </c>
      <c r="M176" s="418">
        <f t="shared" si="600"/>
        <v>0</v>
      </c>
      <c r="N176" s="418"/>
      <c r="O176" s="418"/>
      <c r="P176" s="68">
        <f t="shared" si="601"/>
        <v>256527</v>
      </c>
      <c r="Q176" s="68">
        <f t="shared" si="602"/>
        <v>7590</v>
      </c>
      <c r="R176" s="418">
        <v>0</v>
      </c>
      <c r="S176" s="419">
        <f t="shared" si="603"/>
        <v>1.6786000000000001</v>
      </c>
      <c r="T176" s="420">
        <v>1.6786000000000001</v>
      </c>
      <c r="U176" s="527">
        <v>0</v>
      </c>
      <c r="V176" s="427">
        <f t="shared" si="604"/>
        <v>0</v>
      </c>
      <c r="W176" s="421">
        <f t="shared" si="604"/>
        <v>0</v>
      </c>
      <c r="X176" s="421">
        <v>0</v>
      </c>
      <c r="Y176" s="421">
        <v>0</v>
      </c>
      <c r="Z176" s="421">
        <v>0</v>
      </c>
      <c r="AA176" s="421">
        <v>0</v>
      </c>
      <c r="AB176" s="421">
        <v>0</v>
      </c>
      <c r="AC176" s="421">
        <v>0</v>
      </c>
      <c r="AD176" s="421">
        <v>0</v>
      </c>
      <c r="AE176" s="421">
        <v>0</v>
      </c>
      <c r="AF176" s="421">
        <f t="shared" si="605"/>
        <v>0</v>
      </c>
      <c r="AG176" s="421">
        <f t="shared" si="606"/>
        <v>0</v>
      </c>
      <c r="AH176" s="421">
        <f t="shared" si="607"/>
        <v>0</v>
      </c>
      <c r="AI176" s="421">
        <v>0</v>
      </c>
      <c r="AJ176" s="421">
        <v>0</v>
      </c>
      <c r="AK176" s="421">
        <v>0</v>
      </c>
      <c r="AL176" s="421">
        <v>0</v>
      </c>
      <c r="AM176" s="421">
        <v>0</v>
      </c>
      <c r="AN176" s="421">
        <v>0</v>
      </c>
      <c r="AO176" s="421">
        <f t="shared" si="608"/>
        <v>0</v>
      </c>
      <c r="AP176" s="421">
        <f t="shared" si="609"/>
        <v>0</v>
      </c>
      <c r="AQ176" s="421">
        <f t="shared" si="610"/>
        <v>0</v>
      </c>
      <c r="AR176" s="421">
        <f t="shared" si="611"/>
        <v>0</v>
      </c>
      <c r="AS176" s="421">
        <f t="shared" si="611"/>
        <v>0</v>
      </c>
      <c r="AT176" s="421">
        <f t="shared" si="612"/>
        <v>0</v>
      </c>
      <c r="AU176" s="68">
        <f t="shared" si="613"/>
        <v>0</v>
      </c>
      <c r="AV176" s="68">
        <f t="shared" si="614"/>
        <v>0</v>
      </c>
      <c r="AW176" s="421">
        <v>0</v>
      </c>
      <c r="AX176" s="421">
        <v>0</v>
      </c>
      <c r="AY176" s="421">
        <f t="shared" si="615"/>
        <v>0</v>
      </c>
      <c r="AZ176" s="421">
        <f t="shared" si="616"/>
        <v>0</v>
      </c>
      <c r="BA176" s="422">
        <v>0</v>
      </c>
      <c r="BB176" s="422">
        <v>0</v>
      </c>
      <c r="BC176" s="422">
        <v>0</v>
      </c>
      <c r="BD176" s="422">
        <v>0</v>
      </c>
      <c r="BE176" s="422">
        <v>0</v>
      </c>
      <c r="BF176" s="422">
        <v>0</v>
      </c>
      <c r="BG176" s="422">
        <v>0</v>
      </c>
      <c r="BH176" s="422">
        <v>0</v>
      </c>
      <c r="BI176" s="422">
        <v>0</v>
      </c>
      <c r="BJ176" s="422">
        <v>0</v>
      </c>
      <c r="BK176" s="422">
        <f t="shared" si="617"/>
        <v>0</v>
      </c>
      <c r="BL176" s="422">
        <f t="shared" si="618"/>
        <v>0</v>
      </c>
      <c r="BM176" s="611">
        <f t="shared" si="619"/>
        <v>0</v>
      </c>
      <c r="BN176" s="428">
        <f t="shared" si="620"/>
        <v>1023072</v>
      </c>
      <c r="BO176" s="421">
        <f t="shared" si="621"/>
        <v>758955</v>
      </c>
      <c r="BP176" s="421">
        <f t="shared" si="622"/>
        <v>758955</v>
      </c>
      <c r="BQ176" s="421">
        <f t="shared" si="622"/>
        <v>0</v>
      </c>
      <c r="BR176" s="421">
        <f t="shared" si="623"/>
        <v>0</v>
      </c>
      <c r="BS176" s="421">
        <f t="shared" si="624"/>
        <v>0</v>
      </c>
      <c r="BT176" s="421">
        <f t="shared" si="624"/>
        <v>0</v>
      </c>
      <c r="BU176" s="421">
        <f t="shared" si="625"/>
        <v>256527</v>
      </c>
      <c r="BV176" s="421">
        <f t="shared" si="625"/>
        <v>7590</v>
      </c>
      <c r="BW176" s="421">
        <f t="shared" si="626"/>
        <v>0</v>
      </c>
      <c r="BX176" s="422">
        <f t="shared" si="627"/>
        <v>1.6786000000000001</v>
      </c>
      <c r="BY176" s="422">
        <f t="shared" si="628"/>
        <v>1.6786000000000001</v>
      </c>
      <c r="BZ176" s="611">
        <f t="shared" si="628"/>
        <v>0</v>
      </c>
      <c r="CA176" s="423"/>
      <c r="CB176" s="418"/>
      <c r="CC176" s="418"/>
      <c r="CD176" s="418"/>
      <c r="CE176" s="418"/>
      <c r="CF176" s="527"/>
    </row>
    <row r="177" spans="1:84" s="222" customFormat="1" ht="12.75" customHeight="1" x14ac:dyDescent="0.2">
      <c r="A177" s="210">
        <v>31</v>
      </c>
      <c r="B177" s="211">
        <v>4431</v>
      </c>
      <c r="C177" s="211">
        <v>600074820</v>
      </c>
      <c r="D177" s="211">
        <v>70981515</v>
      </c>
      <c r="E177" s="209" t="s">
        <v>205</v>
      </c>
      <c r="F177" s="211">
        <v>3143</v>
      </c>
      <c r="G177" s="165" t="s">
        <v>597</v>
      </c>
      <c r="H177" s="686" t="s">
        <v>272</v>
      </c>
      <c r="I177" s="528">
        <f t="shared" si="598"/>
        <v>20506</v>
      </c>
      <c r="J177" s="418">
        <f t="shared" si="599"/>
        <v>14678</v>
      </c>
      <c r="K177" s="418">
        <v>0</v>
      </c>
      <c r="L177" s="418">
        <v>14678</v>
      </c>
      <c r="M177" s="418">
        <f t="shared" si="600"/>
        <v>0</v>
      </c>
      <c r="N177" s="418"/>
      <c r="O177" s="418"/>
      <c r="P177" s="68">
        <f t="shared" si="601"/>
        <v>4961</v>
      </c>
      <c r="Q177" s="68">
        <f t="shared" si="602"/>
        <v>147</v>
      </c>
      <c r="R177" s="418">
        <v>720</v>
      </c>
      <c r="S177" s="419">
        <f t="shared" si="603"/>
        <v>0.06</v>
      </c>
      <c r="T177" s="420">
        <v>0</v>
      </c>
      <c r="U177" s="527">
        <v>0.06</v>
      </c>
      <c r="V177" s="427">
        <f t="shared" si="604"/>
        <v>0</v>
      </c>
      <c r="W177" s="421">
        <f t="shared" si="604"/>
        <v>0</v>
      </c>
      <c r="X177" s="421">
        <v>0</v>
      </c>
      <c r="Y177" s="421">
        <v>0</v>
      </c>
      <c r="Z177" s="421">
        <v>0</v>
      </c>
      <c r="AA177" s="421">
        <v>0</v>
      </c>
      <c r="AB177" s="421">
        <v>0</v>
      </c>
      <c r="AC177" s="421">
        <v>0</v>
      </c>
      <c r="AD177" s="421">
        <v>0</v>
      </c>
      <c r="AE177" s="421">
        <v>0</v>
      </c>
      <c r="AF177" s="421">
        <f t="shared" si="605"/>
        <v>0</v>
      </c>
      <c r="AG177" s="421">
        <f t="shared" si="606"/>
        <v>0</v>
      </c>
      <c r="AH177" s="421">
        <f t="shared" si="607"/>
        <v>0</v>
      </c>
      <c r="AI177" s="421">
        <v>0</v>
      </c>
      <c r="AJ177" s="421">
        <v>0</v>
      </c>
      <c r="AK177" s="421">
        <v>0</v>
      </c>
      <c r="AL177" s="421">
        <v>0</v>
      </c>
      <c r="AM177" s="421">
        <v>0</v>
      </c>
      <c r="AN177" s="421">
        <v>0</v>
      </c>
      <c r="AO177" s="421">
        <f t="shared" si="608"/>
        <v>0</v>
      </c>
      <c r="AP177" s="421">
        <f t="shared" si="609"/>
        <v>0</v>
      </c>
      <c r="AQ177" s="421">
        <f t="shared" si="610"/>
        <v>0</v>
      </c>
      <c r="AR177" s="421">
        <f t="shared" si="611"/>
        <v>0</v>
      </c>
      <c r="AS177" s="421">
        <f t="shared" si="611"/>
        <v>0</v>
      </c>
      <c r="AT177" s="421">
        <f t="shared" si="612"/>
        <v>0</v>
      </c>
      <c r="AU177" s="68">
        <f t="shared" si="613"/>
        <v>0</v>
      </c>
      <c r="AV177" s="68">
        <f t="shared" si="614"/>
        <v>0</v>
      </c>
      <c r="AW177" s="421">
        <v>0</v>
      </c>
      <c r="AX177" s="421">
        <v>0</v>
      </c>
      <c r="AY177" s="421">
        <f t="shared" si="615"/>
        <v>0</v>
      </c>
      <c r="AZ177" s="421">
        <f t="shared" si="616"/>
        <v>0</v>
      </c>
      <c r="BA177" s="422">
        <v>0</v>
      </c>
      <c r="BB177" s="422">
        <v>0</v>
      </c>
      <c r="BC177" s="422">
        <v>0</v>
      </c>
      <c r="BD177" s="422">
        <v>0</v>
      </c>
      <c r="BE177" s="422">
        <v>0</v>
      </c>
      <c r="BF177" s="422">
        <v>0</v>
      </c>
      <c r="BG177" s="422">
        <v>0</v>
      </c>
      <c r="BH177" s="422">
        <v>0</v>
      </c>
      <c r="BI177" s="422">
        <v>0</v>
      </c>
      <c r="BJ177" s="422">
        <v>0</v>
      </c>
      <c r="BK177" s="422">
        <f t="shared" si="617"/>
        <v>0</v>
      </c>
      <c r="BL177" s="422">
        <f t="shared" si="618"/>
        <v>0</v>
      </c>
      <c r="BM177" s="611">
        <f t="shared" si="619"/>
        <v>0</v>
      </c>
      <c r="BN177" s="428">
        <f t="shared" si="620"/>
        <v>20506</v>
      </c>
      <c r="BO177" s="421">
        <f t="shared" si="621"/>
        <v>14678</v>
      </c>
      <c r="BP177" s="421">
        <f t="shared" si="622"/>
        <v>0</v>
      </c>
      <c r="BQ177" s="421">
        <f t="shared" si="622"/>
        <v>14678</v>
      </c>
      <c r="BR177" s="421">
        <f t="shared" si="623"/>
        <v>0</v>
      </c>
      <c r="BS177" s="421">
        <f t="shared" si="624"/>
        <v>0</v>
      </c>
      <c r="BT177" s="421">
        <f t="shared" si="624"/>
        <v>0</v>
      </c>
      <c r="BU177" s="421">
        <f t="shared" si="625"/>
        <v>4961</v>
      </c>
      <c r="BV177" s="421">
        <f t="shared" si="625"/>
        <v>147</v>
      </c>
      <c r="BW177" s="421">
        <f t="shared" si="626"/>
        <v>720</v>
      </c>
      <c r="BX177" s="422">
        <f t="shared" si="627"/>
        <v>0.06</v>
      </c>
      <c r="BY177" s="422">
        <f t="shared" si="628"/>
        <v>0</v>
      </c>
      <c r="BZ177" s="611">
        <f t="shared" si="628"/>
        <v>0.06</v>
      </c>
      <c r="CA177" s="423"/>
      <c r="CB177" s="418"/>
      <c r="CC177" s="418"/>
      <c r="CD177" s="418"/>
      <c r="CE177" s="418"/>
      <c r="CF177" s="527"/>
    </row>
    <row r="178" spans="1:84" s="222" customFormat="1" ht="12.75" customHeight="1" x14ac:dyDescent="0.2">
      <c r="A178" s="155">
        <v>31</v>
      </c>
      <c r="B178" s="18">
        <v>4431</v>
      </c>
      <c r="C178" s="18">
        <v>600074820</v>
      </c>
      <c r="D178" s="18">
        <v>70981515</v>
      </c>
      <c r="E178" s="164" t="s">
        <v>206</v>
      </c>
      <c r="F178" s="18"/>
      <c r="G178" s="154"/>
      <c r="H178" s="685"/>
      <c r="I178" s="457">
        <f t="shared" ref="I178:BT178" si="629">SUM(I172:I177)</f>
        <v>9177742</v>
      </c>
      <c r="J178" s="449">
        <f t="shared" si="629"/>
        <v>6742353</v>
      </c>
      <c r="K178" s="449">
        <f t="shared" si="629"/>
        <v>5671181</v>
      </c>
      <c r="L178" s="449">
        <f t="shared" si="629"/>
        <v>1071172</v>
      </c>
      <c r="M178" s="449">
        <f t="shared" si="629"/>
        <v>0</v>
      </c>
      <c r="N178" s="449">
        <f t="shared" si="629"/>
        <v>0</v>
      </c>
      <c r="O178" s="449">
        <f t="shared" si="629"/>
        <v>0</v>
      </c>
      <c r="P178" s="449">
        <f t="shared" si="629"/>
        <v>2278915</v>
      </c>
      <c r="Q178" s="449">
        <f t="shared" si="629"/>
        <v>67423</v>
      </c>
      <c r="R178" s="449">
        <f t="shared" si="629"/>
        <v>89051</v>
      </c>
      <c r="S178" s="450">
        <f t="shared" si="629"/>
        <v>13.368500000000001</v>
      </c>
      <c r="T178" s="450">
        <f t="shared" si="629"/>
        <v>10.178599999999999</v>
      </c>
      <c r="U178" s="40">
        <f t="shared" si="629"/>
        <v>3.1899000000000002</v>
      </c>
      <c r="V178" s="457">
        <f t="shared" si="629"/>
        <v>-12800</v>
      </c>
      <c r="W178" s="449">
        <f t="shared" si="629"/>
        <v>-6400</v>
      </c>
      <c r="X178" s="449">
        <f t="shared" si="629"/>
        <v>1314978</v>
      </c>
      <c r="Y178" s="449">
        <f t="shared" si="629"/>
        <v>0</v>
      </c>
      <c r="Z178" s="449">
        <f t="shared" si="629"/>
        <v>0</v>
      </c>
      <c r="AA178" s="449">
        <f t="shared" si="629"/>
        <v>0</v>
      </c>
      <c r="AB178" s="449">
        <f t="shared" si="629"/>
        <v>0</v>
      </c>
      <c r="AC178" s="449">
        <f t="shared" si="629"/>
        <v>0</v>
      </c>
      <c r="AD178" s="449">
        <f t="shared" si="629"/>
        <v>0</v>
      </c>
      <c r="AE178" s="449">
        <f t="shared" si="629"/>
        <v>0</v>
      </c>
      <c r="AF178" s="449">
        <f t="shared" si="629"/>
        <v>1302178</v>
      </c>
      <c r="AG178" s="449">
        <f t="shared" si="629"/>
        <v>-6400</v>
      </c>
      <c r="AH178" s="449">
        <f t="shared" si="629"/>
        <v>1295778</v>
      </c>
      <c r="AI178" s="449">
        <f t="shared" si="629"/>
        <v>12800</v>
      </c>
      <c r="AJ178" s="449">
        <f t="shared" si="629"/>
        <v>6400</v>
      </c>
      <c r="AK178" s="449">
        <f t="shared" ref="AK178" si="630">SUM(AK172:AK177)</f>
        <v>0</v>
      </c>
      <c r="AL178" s="449">
        <f t="shared" si="629"/>
        <v>211840</v>
      </c>
      <c r="AM178" s="449">
        <f t="shared" si="629"/>
        <v>0</v>
      </c>
      <c r="AN178" s="449">
        <f t="shared" si="629"/>
        <v>0</v>
      </c>
      <c r="AO178" s="449">
        <f t="shared" si="629"/>
        <v>224640</v>
      </c>
      <c r="AP178" s="449">
        <f t="shared" si="629"/>
        <v>6400</v>
      </c>
      <c r="AQ178" s="449">
        <f t="shared" si="629"/>
        <v>231040</v>
      </c>
      <c r="AR178" s="449">
        <f t="shared" si="629"/>
        <v>1526818</v>
      </c>
      <c r="AS178" s="449">
        <f t="shared" si="629"/>
        <v>0</v>
      </c>
      <c r="AT178" s="449">
        <f t="shared" si="629"/>
        <v>1526818</v>
      </c>
      <c r="AU178" s="449">
        <f t="shared" si="629"/>
        <v>516065</v>
      </c>
      <c r="AV178" s="449">
        <f t="shared" si="629"/>
        <v>12958</v>
      </c>
      <c r="AW178" s="449">
        <f t="shared" si="629"/>
        <v>0</v>
      </c>
      <c r="AX178" s="449">
        <f t="shared" si="629"/>
        <v>0</v>
      </c>
      <c r="AY178" s="449">
        <f t="shared" si="629"/>
        <v>0</v>
      </c>
      <c r="AZ178" s="449">
        <f t="shared" si="629"/>
        <v>2055841</v>
      </c>
      <c r="BA178" s="450">
        <f t="shared" si="629"/>
        <v>0</v>
      </c>
      <c r="BB178" s="450">
        <f t="shared" si="629"/>
        <v>0</v>
      </c>
      <c r="BC178" s="450">
        <f t="shared" si="629"/>
        <v>3.55</v>
      </c>
      <c r="BD178" s="450">
        <f t="shared" si="629"/>
        <v>0</v>
      </c>
      <c r="BE178" s="450">
        <f t="shared" si="629"/>
        <v>0</v>
      </c>
      <c r="BF178" s="450">
        <f t="shared" si="629"/>
        <v>0</v>
      </c>
      <c r="BG178" s="450">
        <f t="shared" si="629"/>
        <v>0</v>
      </c>
      <c r="BH178" s="450">
        <f t="shared" si="629"/>
        <v>0</v>
      </c>
      <c r="BI178" s="450">
        <f t="shared" si="629"/>
        <v>0</v>
      </c>
      <c r="BJ178" s="450">
        <f t="shared" si="629"/>
        <v>0</v>
      </c>
      <c r="BK178" s="450">
        <f t="shared" si="629"/>
        <v>3.55</v>
      </c>
      <c r="BL178" s="450">
        <f t="shared" si="629"/>
        <v>0</v>
      </c>
      <c r="BM178" s="455">
        <f t="shared" si="629"/>
        <v>3.55</v>
      </c>
      <c r="BN178" s="453">
        <f t="shared" si="629"/>
        <v>11233583</v>
      </c>
      <c r="BO178" s="449">
        <f t="shared" si="629"/>
        <v>8038131</v>
      </c>
      <c r="BP178" s="449">
        <f t="shared" si="629"/>
        <v>6973359</v>
      </c>
      <c r="BQ178" s="449">
        <f t="shared" si="629"/>
        <v>1064772</v>
      </c>
      <c r="BR178" s="449">
        <f t="shared" si="629"/>
        <v>231040</v>
      </c>
      <c r="BS178" s="449">
        <f t="shared" si="629"/>
        <v>224640</v>
      </c>
      <c r="BT178" s="449">
        <f t="shared" si="629"/>
        <v>6400</v>
      </c>
      <c r="BU178" s="449">
        <f t="shared" ref="BU178:CF178" si="631">SUM(BU172:BU177)</f>
        <v>2794980</v>
      </c>
      <c r="BV178" s="449">
        <f t="shared" si="631"/>
        <v>80381</v>
      </c>
      <c r="BW178" s="449">
        <f t="shared" si="631"/>
        <v>89051</v>
      </c>
      <c r="BX178" s="450">
        <f t="shared" si="631"/>
        <v>16.918500000000002</v>
      </c>
      <c r="BY178" s="450">
        <f t="shared" si="631"/>
        <v>13.7286</v>
      </c>
      <c r="BZ178" s="455">
        <f t="shared" si="631"/>
        <v>3.1899000000000002</v>
      </c>
      <c r="CA178" s="853">
        <f t="shared" si="631"/>
        <v>0</v>
      </c>
      <c r="CB178" s="851">
        <f t="shared" si="631"/>
        <v>0</v>
      </c>
      <c r="CC178" s="851">
        <f t="shared" si="631"/>
        <v>0</v>
      </c>
      <c r="CD178" s="851">
        <f t="shared" si="631"/>
        <v>0</v>
      </c>
      <c r="CE178" s="851">
        <f t="shared" si="631"/>
        <v>0</v>
      </c>
      <c r="CF178" s="849">
        <f t="shared" si="631"/>
        <v>0</v>
      </c>
    </row>
    <row r="179" spans="1:84" s="222" customFormat="1" ht="12.75" customHeight="1" x14ac:dyDescent="0.2">
      <c r="A179" s="210">
        <v>32</v>
      </c>
      <c r="B179" s="211">
        <v>4416</v>
      </c>
      <c r="C179" s="211">
        <v>600074153</v>
      </c>
      <c r="D179" s="211">
        <v>71013105</v>
      </c>
      <c r="E179" s="209" t="s">
        <v>207</v>
      </c>
      <c r="F179" s="211">
        <v>3111</v>
      </c>
      <c r="G179" s="165" t="s">
        <v>291</v>
      </c>
      <c r="H179" s="699" t="s">
        <v>271</v>
      </c>
      <c r="I179" s="528">
        <f t="shared" ref="I179:I181" si="632">J179+P179+Q179+R179</f>
        <v>3603909</v>
      </c>
      <c r="J179" s="418">
        <f>K179+L179</f>
        <v>2665996</v>
      </c>
      <c r="K179" s="418">
        <v>2444204</v>
      </c>
      <c r="L179" s="418">
        <v>221792</v>
      </c>
      <c r="M179" s="418">
        <f>N179+O179</f>
        <v>0</v>
      </c>
      <c r="N179" s="418"/>
      <c r="O179" s="418"/>
      <c r="P179" s="68">
        <f t="shared" ref="P179:P181" si="633">ROUND(J179*33.8%,0)</f>
        <v>901107</v>
      </c>
      <c r="Q179" s="68">
        <f t="shared" ref="Q179:Q181" si="634">ROUND(J179*1%,0)</f>
        <v>26660</v>
      </c>
      <c r="R179" s="418">
        <v>10146</v>
      </c>
      <c r="S179" s="419">
        <f>T179+U179</f>
        <v>4.7466999999999997</v>
      </c>
      <c r="T179" s="420">
        <v>4</v>
      </c>
      <c r="U179" s="527">
        <v>0.74669999999999992</v>
      </c>
      <c r="V179" s="427">
        <f t="shared" ref="V179:W181" si="635">AI179*-1</f>
        <v>0</v>
      </c>
      <c r="W179" s="421">
        <f t="shared" si="635"/>
        <v>0</v>
      </c>
      <c r="X179" s="421">
        <v>0</v>
      </c>
      <c r="Y179" s="421">
        <v>0</v>
      </c>
      <c r="Z179" s="421">
        <v>0</v>
      </c>
      <c r="AA179" s="421">
        <v>0</v>
      </c>
      <c r="AB179" s="421">
        <v>0</v>
      </c>
      <c r="AC179" s="421">
        <v>0</v>
      </c>
      <c r="AD179" s="421">
        <v>0</v>
      </c>
      <c r="AE179" s="421">
        <v>0</v>
      </c>
      <c r="AF179" s="421">
        <f>V179+X179+Y179+AA179+AB179+AD179</f>
        <v>0</v>
      </c>
      <c r="AG179" s="421">
        <f>W179+Z179+AC179+AE179</f>
        <v>0</v>
      </c>
      <c r="AH179" s="421">
        <f>SUM(AF179:AG179)</f>
        <v>0</v>
      </c>
      <c r="AI179" s="421">
        <v>0</v>
      </c>
      <c r="AJ179" s="421">
        <v>0</v>
      </c>
      <c r="AK179" s="421">
        <v>0</v>
      </c>
      <c r="AL179" s="421">
        <v>0</v>
      </c>
      <c r="AM179" s="421">
        <v>0</v>
      </c>
      <c r="AN179" s="421">
        <v>0</v>
      </c>
      <c r="AO179" s="421">
        <f t="shared" ref="AO179:AO181" si="636">AI179+AK179+AL179+AM179</f>
        <v>0</v>
      </c>
      <c r="AP179" s="421">
        <f>AJ179+AN179</f>
        <v>0</v>
      </c>
      <c r="AQ179" s="421">
        <f>SUM(AO179:AP179)</f>
        <v>0</v>
      </c>
      <c r="AR179" s="421">
        <f t="shared" ref="AR179:AS181" si="637">AF179+AO179</f>
        <v>0</v>
      </c>
      <c r="AS179" s="421">
        <f t="shared" si="637"/>
        <v>0</v>
      </c>
      <c r="AT179" s="421">
        <f>SUM(AR179:AS179)</f>
        <v>0</v>
      </c>
      <c r="AU179" s="68">
        <f t="shared" ref="AU179:AU181" si="638">ROUND((AH179+AI179+AJ179+AK179+AL179)*33.8%,0)</f>
        <v>0</v>
      </c>
      <c r="AV179" s="68">
        <f>ROUND(AH179*1%,0)</f>
        <v>0</v>
      </c>
      <c r="AW179" s="421">
        <v>0</v>
      </c>
      <c r="AX179" s="421">
        <v>0</v>
      </c>
      <c r="AY179" s="421">
        <f>AW179+AX179</f>
        <v>0</v>
      </c>
      <c r="AZ179" s="421">
        <f>AT179+AU179+AV179+AY179</f>
        <v>0</v>
      </c>
      <c r="BA179" s="422">
        <v>0</v>
      </c>
      <c r="BB179" s="422">
        <v>0</v>
      </c>
      <c r="BC179" s="422">
        <v>0</v>
      </c>
      <c r="BD179" s="422">
        <v>0</v>
      </c>
      <c r="BE179" s="422">
        <v>0</v>
      </c>
      <c r="BF179" s="422">
        <v>0</v>
      </c>
      <c r="BG179" s="422">
        <v>0</v>
      </c>
      <c r="BH179" s="422">
        <v>0</v>
      </c>
      <c r="BI179" s="422">
        <v>0</v>
      </c>
      <c r="BJ179" s="422">
        <v>0</v>
      </c>
      <c r="BK179" s="422">
        <f>BA179+BC179+BD179+BF179+BH179+BI179</f>
        <v>0</v>
      </c>
      <c r="BL179" s="422">
        <f>BB179+BE179+BG179+BJ179</f>
        <v>0</v>
      </c>
      <c r="BM179" s="611">
        <f>SUM(BK179:BL179)</f>
        <v>0</v>
      </c>
      <c r="BN179" s="428">
        <f>I179+AZ179</f>
        <v>3603909</v>
      </c>
      <c r="BO179" s="421">
        <f>J179+AH179</f>
        <v>2665996</v>
      </c>
      <c r="BP179" s="421">
        <f t="shared" ref="BP179:BQ181" si="639">K179+AF179</f>
        <v>2444204</v>
      </c>
      <c r="BQ179" s="421">
        <f t="shared" si="639"/>
        <v>221792</v>
      </c>
      <c r="BR179" s="421">
        <f>M179+AQ179</f>
        <v>0</v>
      </c>
      <c r="BS179" s="421">
        <f t="shared" ref="BS179:BT181" si="640">N179+AO179</f>
        <v>0</v>
      </c>
      <c r="BT179" s="421">
        <f t="shared" si="640"/>
        <v>0</v>
      </c>
      <c r="BU179" s="421">
        <f t="shared" ref="BU179:BV181" si="641">P179+AU179</f>
        <v>901107</v>
      </c>
      <c r="BV179" s="421">
        <f t="shared" si="641"/>
        <v>26660</v>
      </c>
      <c r="BW179" s="421">
        <f>R179+AY179</f>
        <v>10146</v>
      </c>
      <c r="BX179" s="422">
        <f>S179+BM179</f>
        <v>4.7466999999999997</v>
      </c>
      <c r="BY179" s="422">
        <f t="shared" ref="BY179:BZ181" si="642">T179+BK179</f>
        <v>4</v>
      </c>
      <c r="BZ179" s="611">
        <f t="shared" si="642"/>
        <v>0.74669999999999992</v>
      </c>
      <c r="CA179" s="423"/>
      <c r="CB179" s="418"/>
      <c r="CC179" s="418"/>
      <c r="CD179" s="418"/>
      <c r="CE179" s="418"/>
      <c r="CF179" s="527"/>
    </row>
    <row r="180" spans="1:84" s="222" customFormat="1" ht="12.75" customHeight="1" x14ac:dyDescent="0.2">
      <c r="A180" s="210">
        <v>32</v>
      </c>
      <c r="B180" s="211">
        <v>4416</v>
      </c>
      <c r="C180" s="211">
        <v>600074153</v>
      </c>
      <c r="D180" s="211">
        <v>71013105</v>
      </c>
      <c r="E180" s="209" t="s">
        <v>207</v>
      </c>
      <c r="F180" s="211">
        <v>3111</v>
      </c>
      <c r="G180" s="165" t="s">
        <v>292</v>
      </c>
      <c r="H180" s="699" t="s">
        <v>272</v>
      </c>
      <c r="I180" s="528">
        <f t="shared" si="632"/>
        <v>0</v>
      </c>
      <c r="J180" s="418">
        <f>K180+L180</f>
        <v>0</v>
      </c>
      <c r="K180" s="418">
        <v>0</v>
      </c>
      <c r="L180" s="418">
        <v>0</v>
      </c>
      <c r="M180" s="418">
        <f>N180+O180</f>
        <v>0</v>
      </c>
      <c r="N180" s="418"/>
      <c r="O180" s="418"/>
      <c r="P180" s="68">
        <f t="shared" si="633"/>
        <v>0</v>
      </c>
      <c r="Q180" s="68">
        <f t="shared" si="634"/>
        <v>0</v>
      </c>
      <c r="R180" s="418">
        <v>0</v>
      </c>
      <c r="S180" s="419">
        <f>T180+U180</f>
        <v>0</v>
      </c>
      <c r="T180" s="420">
        <v>0</v>
      </c>
      <c r="U180" s="527">
        <v>0</v>
      </c>
      <c r="V180" s="427">
        <f t="shared" si="635"/>
        <v>0</v>
      </c>
      <c r="W180" s="421">
        <f t="shared" si="635"/>
        <v>0</v>
      </c>
      <c r="X180" s="421">
        <v>370801</v>
      </c>
      <c r="Y180" s="421">
        <v>0</v>
      </c>
      <c r="Z180" s="421">
        <v>0</v>
      </c>
      <c r="AA180" s="421">
        <v>0</v>
      </c>
      <c r="AB180" s="421">
        <v>0</v>
      </c>
      <c r="AC180" s="421">
        <v>0</v>
      </c>
      <c r="AD180" s="421">
        <v>0</v>
      </c>
      <c r="AE180" s="421">
        <v>0</v>
      </c>
      <c r="AF180" s="421">
        <f>V180+X180+Y180+AA180+AB180+AD180</f>
        <v>370801</v>
      </c>
      <c r="AG180" s="421">
        <f>W180+Z180+AC180+AE180</f>
        <v>0</v>
      </c>
      <c r="AH180" s="421">
        <f>SUM(AF180:AG180)</f>
        <v>370801</v>
      </c>
      <c r="AI180" s="421">
        <v>0</v>
      </c>
      <c r="AJ180" s="421">
        <v>0</v>
      </c>
      <c r="AK180" s="421">
        <v>0</v>
      </c>
      <c r="AL180" s="421">
        <v>0</v>
      </c>
      <c r="AM180" s="421">
        <v>0</v>
      </c>
      <c r="AN180" s="421">
        <v>0</v>
      </c>
      <c r="AO180" s="421">
        <f t="shared" si="636"/>
        <v>0</v>
      </c>
      <c r="AP180" s="421">
        <f>AJ180+AN180</f>
        <v>0</v>
      </c>
      <c r="AQ180" s="421">
        <f>SUM(AO180:AP180)</f>
        <v>0</v>
      </c>
      <c r="AR180" s="421">
        <f t="shared" si="637"/>
        <v>370801</v>
      </c>
      <c r="AS180" s="421">
        <f t="shared" si="637"/>
        <v>0</v>
      </c>
      <c r="AT180" s="421">
        <f>SUM(AR180:AS180)</f>
        <v>370801</v>
      </c>
      <c r="AU180" s="68">
        <f t="shared" si="638"/>
        <v>125331</v>
      </c>
      <c r="AV180" s="68">
        <f>ROUND(AH180*1%,0)</f>
        <v>3708</v>
      </c>
      <c r="AW180" s="421">
        <v>0</v>
      </c>
      <c r="AX180" s="421">
        <v>0</v>
      </c>
      <c r="AY180" s="421">
        <f>AW180+AX180</f>
        <v>0</v>
      </c>
      <c r="AZ180" s="421">
        <f>AT180+AU180+AV180+AY180</f>
        <v>499840</v>
      </c>
      <c r="BA180" s="422">
        <v>0</v>
      </c>
      <c r="BB180" s="422">
        <v>0</v>
      </c>
      <c r="BC180" s="422">
        <v>1</v>
      </c>
      <c r="BD180" s="422">
        <v>0</v>
      </c>
      <c r="BE180" s="422">
        <v>0</v>
      </c>
      <c r="BF180" s="422">
        <v>0</v>
      </c>
      <c r="BG180" s="422">
        <v>0</v>
      </c>
      <c r="BH180" s="422">
        <v>0</v>
      </c>
      <c r="BI180" s="422">
        <v>0</v>
      </c>
      <c r="BJ180" s="422">
        <v>0</v>
      </c>
      <c r="BK180" s="422">
        <f>BA180+BC180+BD180+BF180+BH180+BI180</f>
        <v>1</v>
      </c>
      <c r="BL180" s="422">
        <f>BB180+BE180+BG180+BJ180</f>
        <v>0</v>
      </c>
      <c r="BM180" s="611">
        <f>SUM(BK180:BL180)</f>
        <v>1</v>
      </c>
      <c r="BN180" s="428">
        <f>I180+AZ180</f>
        <v>499840</v>
      </c>
      <c r="BO180" s="421">
        <f>J180+AH180</f>
        <v>370801</v>
      </c>
      <c r="BP180" s="421">
        <f t="shared" si="639"/>
        <v>370801</v>
      </c>
      <c r="BQ180" s="421">
        <f t="shared" si="639"/>
        <v>0</v>
      </c>
      <c r="BR180" s="421">
        <f>M180+AQ180</f>
        <v>0</v>
      </c>
      <c r="BS180" s="421">
        <f t="shared" si="640"/>
        <v>0</v>
      </c>
      <c r="BT180" s="421">
        <f t="shared" si="640"/>
        <v>0</v>
      </c>
      <c r="BU180" s="421">
        <f t="shared" si="641"/>
        <v>125331</v>
      </c>
      <c r="BV180" s="421">
        <f t="shared" si="641"/>
        <v>3708</v>
      </c>
      <c r="BW180" s="421">
        <f>R180+AY180</f>
        <v>0</v>
      </c>
      <c r="BX180" s="422">
        <f>S180+BM180</f>
        <v>1</v>
      </c>
      <c r="BY180" s="422">
        <f t="shared" si="642"/>
        <v>1</v>
      </c>
      <c r="BZ180" s="611">
        <f t="shared" si="642"/>
        <v>0</v>
      </c>
      <c r="CA180" s="423"/>
      <c r="CB180" s="418"/>
      <c r="CC180" s="418"/>
      <c r="CD180" s="418"/>
      <c r="CE180" s="418"/>
      <c r="CF180" s="527"/>
    </row>
    <row r="181" spans="1:84" s="222" customFormat="1" ht="12.75" customHeight="1" x14ac:dyDescent="0.2">
      <c r="A181" s="210">
        <v>32</v>
      </c>
      <c r="B181" s="211">
        <v>4416</v>
      </c>
      <c r="C181" s="211">
        <v>600074153</v>
      </c>
      <c r="D181" s="211">
        <v>71013105</v>
      </c>
      <c r="E181" s="205" t="s">
        <v>207</v>
      </c>
      <c r="F181" s="211">
        <v>3141</v>
      </c>
      <c r="G181" s="165" t="s">
        <v>295</v>
      </c>
      <c r="H181" s="699" t="s">
        <v>272</v>
      </c>
      <c r="I181" s="528">
        <f t="shared" si="632"/>
        <v>375889</v>
      </c>
      <c r="J181" s="418">
        <f>K181+L181</f>
        <v>277889</v>
      </c>
      <c r="K181" s="418">
        <v>0</v>
      </c>
      <c r="L181" s="418">
        <v>277889</v>
      </c>
      <c r="M181" s="418">
        <f>N181+O181</f>
        <v>0</v>
      </c>
      <c r="N181" s="418"/>
      <c r="O181" s="418"/>
      <c r="P181" s="68">
        <f t="shared" si="633"/>
        <v>93926</v>
      </c>
      <c r="Q181" s="68">
        <f t="shared" si="634"/>
        <v>2779</v>
      </c>
      <c r="R181" s="418">
        <v>1295</v>
      </c>
      <c r="S181" s="419">
        <f>T181+U181</f>
        <v>0.83</v>
      </c>
      <c r="T181" s="420">
        <v>0</v>
      </c>
      <c r="U181" s="527">
        <v>0.83</v>
      </c>
      <c r="V181" s="427">
        <f t="shared" si="635"/>
        <v>0</v>
      </c>
      <c r="W181" s="421">
        <f t="shared" si="635"/>
        <v>0</v>
      </c>
      <c r="X181" s="421">
        <v>0</v>
      </c>
      <c r="Y181" s="421">
        <v>0</v>
      </c>
      <c r="Z181" s="421">
        <v>0</v>
      </c>
      <c r="AA181" s="421">
        <v>0</v>
      </c>
      <c r="AB181" s="421">
        <v>0</v>
      </c>
      <c r="AC181" s="421">
        <v>0</v>
      </c>
      <c r="AD181" s="421">
        <v>0</v>
      </c>
      <c r="AE181" s="421">
        <v>0</v>
      </c>
      <c r="AF181" s="421">
        <f>V181+X181+Y181+AA181+AB181+AD181</f>
        <v>0</v>
      </c>
      <c r="AG181" s="421">
        <f>W181+Z181+AC181+AE181</f>
        <v>0</v>
      </c>
      <c r="AH181" s="421">
        <f>SUM(AF181:AG181)</f>
        <v>0</v>
      </c>
      <c r="AI181" s="421">
        <v>0</v>
      </c>
      <c r="AJ181" s="421">
        <v>0</v>
      </c>
      <c r="AK181" s="421">
        <v>0</v>
      </c>
      <c r="AL181" s="421">
        <v>0</v>
      </c>
      <c r="AM181" s="421">
        <v>0</v>
      </c>
      <c r="AN181" s="421">
        <v>0</v>
      </c>
      <c r="AO181" s="421">
        <f t="shared" si="636"/>
        <v>0</v>
      </c>
      <c r="AP181" s="421">
        <f>AJ181+AN181</f>
        <v>0</v>
      </c>
      <c r="AQ181" s="421">
        <f>SUM(AO181:AP181)</f>
        <v>0</v>
      </c>
      <c r="AR181" s="421">
        <f t="shared" si="637"/>
        <v>0</v>
      </c>
      <c r="AS181" s="421">
        <f t="shared" si="637"/>
        <v>0</v>
      </c>
      <c r="AT181" s="421">
        <f>SUM(AR181:AS181)</f>
        <v>0</v>
      </c>
      <c r="AU181" s="68">
        <f t="shared" si="638"/>
        <v>0</v>
      </c>
      <c r="AV181" s="68">
        <f>ROUND(AH181*1%,0)</f>
        <v>0</v>
      </c>
      <c r="AW181" s="421">
        <v>0</v>
      </c>
      <c r="AX181" s="421">
        <v>0</v>
      </c>
      <c r="AY181" s="421">
        <f>AW181+AX181</f>
        <v>0</v>
      </c>
      <c r="AZ181" s="421">
        <f>AT181+AU181+AV181+AY181</f>
        <v>0</v>
      </c>
      <c r="BA181" s="422">
        <v>0</v>
      </c>
      <c r="BB181" s="422">
        <v>0</v>
      </c>
      <c r="BC181" s="422">
        <v>0</v>
      </c>
      <c r="BD181" s="422">
        <v>0</v>
      </c>
      <c r="BE181" s="422">
        <v>0</v>
      </c>
      <c r="BF181" s="422">
        <v>0</v>
      </c>
      <c r="BG181" s="422">
        <v>0</v>
      </c>
      <c r="BH181" s="422">
        <v>0</v>
      </c>
      <c r="BI181" s="422">
        <v>0</v>
      </c>
      <c r="BJ181" s="422">
        <v>0</v>
      </c>
      <c r="BK181" s="422">
        <f>BA181+BC181+BD181+BF181+BH181+BI181</f>
        <v>0</v>
      </c>
      <c r="BL181" s="422">
        <f>BB181+BE181+BG181+BJ181</f>
        <v>0</v>
      </c>
      <c r="BM181" s="611">
        <f>SUM(BK181:BL181)</f>
        <v>0</v>
      </c>
      <c r="BN181" s="428">
        <f>I181+AZ181</f>
        <v>375889</v>
      </c>
      <c r="BO181" s="421">
        <f>J181+AH181</f>
        <v>277889</v>
      </c>
      <c r="BP181" s="421">
        <f t="shared" si="639"/>
        <v>0</v>
      </c>
      <c r="BQ181" s="421">
        <f t="shared" si="639"/>
        <v>277889</v>
      </c>
      <c r="BR181" s="421">
        <f>M181+AQ181</f>
        <v>0</v>
      </c>
      <c r="BS181" s="421">
        <f t="shared" si="640"/>
        <v>0</v>
      </c>
      <c r="BT181" s="421">
        <f t="shared" si="640"/>
        <v>0</v>
      </c>
      <c r="BU181" s="421">
        <f t="shared" si="641"/>
        <v>93926</v>
      </c>
      <c r="BV181" s="421">
        <f t="shared" si="641"/>
        <v>2779</v>
      </c>
      <c r="BW181" s="421">
        <f>R181+AY181</f>
        <v>1295</v>
      </c>
      <c r="BX181" s="422">
        <f>S181+BM181</f>
        <v>0.83</v>
      </c>
      <c r="BY181" s="422">
        <f t="shared" si="642"/>
        <v>0</v>
      </c>
      <c r="BZ181" s="611">
        <f t="shared" si="642"/>
        <v>0.83</v>
      </c>
      <c r="CA181" s="423"/>
      <c r="CB181" s="418"/>
      <c r="CC181" s="418"/>
      <c r="CD181" s="418"/>
      <c r="CE181" s="418"/>
      <c r="CF181" s="527"/>
    </row>
    <row r="182" spans="1:84" s="222" customFormat="1" ht="12.75" customHeight="1" x14ac:dyDescent="0.2">
      <c r="A182" s="155">
        <v>32</v>
      </c>
      <c r="B182" s="18">
        <v>4416</v>
      </c>
      <c r="C182" s="18">
        <v>600074153</v>
      </c>
      <c r="D182" s="18">
        <v>71013105</v>
      </c>
      <c r="E182" s="164" t="s">
        <v>208</v>
      </c>
      <c r="F182" s="18"/>
      <c r="G182" s="154"/>
      <c r="H182" s="685"/>
      <c r="I182" s="458">
        <f t="shared" ref="I182:BU182" si="643">SUM(I179:I181)</f>
        <v>3979798</v>
      </c>
      <c r="J182" s="451">
        <f t="shared" si="643"/>
        <v>2943885</v>
      </c>
      <c r="K182" s="451">
        <f t="shared" si="643"/>
        <v>2444204</v>
      </c>
      <c r="L182" s="451">
        <f t="shared" si="643"/>
        <v>499681</v>
      </c>
      <c r="M182" s="451">
        <f t="shared" si="643"/>
        <v>0</v>
      </c>
      <c r="N182" s="451">
        <f t="shared" si="643"/>
        <v>0</v>
      </c>
      <c r="O182" s="451">
        <f t="shared" si="643"/>
        <v>0</v>
      </c>
      <c r="P182" s="451">
        <f t="shared" si="643"/>
        <v>995033</v>
      </c>
      <c r="Q182" s="451">
        <f t="shared" si="643"/>
        <v>29439</v>
      </c>
      <c r="R182" s="451">
        <f t="shared" si="643"/>
        <v>11441</v>
      </c>
      <c r="S182" s="452">
        <f t="shared" si="643"/>
        <v>5.5766999999999998</v>
      </c>
      <c r="T182" s="452">
        <f t="shared" si="643"/>
        <v>4</v>
      </c>
      <c r="U182" s="39">
        <f t="shared" si="643"/>
        <v>1.5766999999999998</v>
      </c>
      <c r="V182" s="458">
        <f t="shared" si="643"/>
        <v>0</v>
      </c>
      <c r="W182" s="451">
        <f t="shared" si="643"/>
        <v>0</v>
      </c>
      <c r="X182" s="451">
        <f t="shared" si="643"/>
        <v>370801</v>
      </c>
      <c r="Y182" s="451">
        <f t="shared" si="643"/>
        <v>0</v>
      </c>
      <c r="Z182" s="451">
        <f t="shared" si="643"/>
        <v>0</v>
      </c>
      <c r="AA182" s="451">
        <f t="shared" si="643"/>
        <v>0</v>
      </c>
      <c r="AB182" s="451">
        <f t="shared" si="643"/>
        <v>0</v>
      </c>
      <c r="AC182" s="451">
        <f t="shared" si="643"/>
        <v>0</v>
      </c>
      <c r="AD182" s="451">
        <f t="shared" si="643"/>
        <v>0</v>
      </c>
      <c r="AE182" s="451">
        <f t="shared" si="643"/>
        <v>0</v>
      </c>
      <c r="AF182" s="451">
        <f t="shared" si="643"/>
        <v>370801</v>
      </c>
      <c r="AG182" s="451">
        <f t="shared" si="643"/>
        <v>0</v>
      </c>
      <c r="AH182" s="451">
        <f t="shared" si="643"/>
        <v>370801</v>
      </c>
      <c r="AI182" s="451">
        <f t="shared" si="643"/>
        <v>0</v>
      </c>
      <c r="AJ182" s="451">
        <f t="shared" si="643"/>
        <v>0</v>
      </c>
      <c r="AK182" s="451">
        <f t="shared" ref="AK182" si="644">SUM(AK179:AK181)</f>
        <v>0</v>
      </c>
      <c r="AL182" s="451">
        <f t="shared" si="643"/>
        <v>0</v>
      </c>
      <c r="AM182" s="451">
        <f t="shared" si="643"/>
        <v>0</v>
      </c>
      <c r="AN182" s="451">
        <f t="shared" si="643"/>
        <v>0</v>
      </c>
      <c r="AO182" s="451">
        <f t="shared" si="643"/>
        <v>0</v>
      </c>
      <c r="AP182" s="451">
        <f t="shared" si="643"/>
        <v>0</v>
      </c>
      <c r="AQ182" s="451">
        <f t="shared" si="643"/>
        <v>0</v>
      </c>
      <c r="AR182" s="451">
        <f t="shared" si="643"/>
        <v>370801</v>
      </c>
      <c r="AS182" s="451">
        <f t="shared" si="643"/>
        <v>0</v>
      </c>
      <c r="AT182" s="451">
        <f t="shared" si="643"/>
        <v>370801</v>
      </c>
      <c r="AU182" s="451">
        <f t="shared" si="643"/>
        <v>125331</v>
      </c>
      <c r="AV182" s="451">
        <f t="shared" si="643"/>
        <v>3708</v>
      </c>
      <c r="AW182" s="451">
        <f t="shared" si="643"/>
        <v>0</v>
      </c>
      <c r="AX182" s="451">
        <f t="shared" si="643"/>
        <v>0</v>
      </c>
      <c r="AY182" s="451">
        <f t="shared" si="643"/>
        <v>0</v>
      </c>
      <c r="AZ182" s="451">
        <f t="shared" si="643"/>
        <v>499840</v>
      </c>
      <c r="BA182" s="452">
        <f t="shared" si="643"/>
        <v>0</v>
      </c>
      <c r="BB182" s="452">
        <f t="shared" si="643"/>
        <v>0</v>
      </c>
      <c r="BC182" s="452">
        <f t="shared" si="643"/>
        <v>1</v>
      </c>
      <c r="BD182" s="452">
        <f t="shared" si="643"/>
        <v>0</v>
      </c>
      <c r="BE182" s="452">
        <f t="shared" si="643"/>
        <v>0</v>
      </c>
      <c r="BF182" s="452">
        <f t="shared" si="643"/>
        <v>0</v>
      </c>
      <c r="BG182" s="452">
        <f t="shared" si="643"/>
        <v>0</v>
      </c>
      <c r="BH182" s="452">
        <f t="shared" si="643"/>
        <v>0</v>
      </c>
      <c r="BI182" s="452">
        <f t="shared" si="643"/>
        <v>0</v>
      </c>
      <c r="BJ182" s="452">
        <f t="shared" si="643"/>
        <v>0</v>
      </c>
      <c r="BK182" s="452">
        <f t="shared" si="643"/>
        <v>1</v>
      </c>
      <c r="BL182" s="452">
        <f t="shared" si="643"/>
        <v>0</v>
      </c>
      <c r="BM182" s="456">
        <f t="shared" si="643"/>
        <v>1</v>
      </c>
      <c r="BN182" s="454">
        <f t="shared" si="643"/>
        <v>4479638</v>
      </c>
      <c r="BO182" s="451">
        <f t="shared" si="643"/>
        <v>3314686</v>
      </c>
      <c r="BP182" s="451">
        <f t="shared" si="643"/>
        <v>2815005</v>
      </c>
      <c r="BQ182" s="451">
        <f t="shared" si="643"/>
        <v>499681</v>
      </c>
      <c r="BR182" s="451">
        <f t="shared" si="643"/>
        <v>0</v>
      </c>
      <c r="BS182" s="451">
        <f t="shared" si="643"/>
        <v>0</v>
      </c>
      <c r="BT182" s="451">
        <f t="shared" si="643"/>
        <v>0</v>
      </c>
      <c r="BU182" s="451">
        <f t="shared" si="643"/>
        <v>1120364</v>
      </c>
      <c r="BV182" s="451">
        <f t="shared" ref="BV182:CF182" si="645">SUM(BV179:BV181)</f>
        <v>33147</v>
      </c>
      <c r="BW182" s="451">
        <f t="shared" si="645"/>
        <v>11441</v>
      </c>
      <c r="BX182" s="452">
        <f t="shared" si="645"/>
        <v>6.5766999999999998</v>
      </c>
      <c r="BY182" s="452">
        <f t="shared" si="645"/>
        <v>5</v>
      </c>
      <c r="BZ182" s="456">
        <f t="shared" si="645"/>
        <v>1.5766999999999998</v>
      </c>
      <c r="CA182" s="854">
        <f t="shared" si="645"/>
        <v>0</v>
      </c>
      <c r="CB182" s="852">
        <f t="shared" si="645"/>
        <v>0</v>
      </c>
      <c r="CC182" s="852">
        <f t="shared" si="645"/>
        <v>0</v>
      </c>
      <c r="CD182" s="852">
        <f t="shared" si="645"/>
        <v>0</v>
      </c>
      <c r="CE182" s="852">
        <f t="shared" si="645"/>
        <v>0</v>
      </c>
      <c r="CF182" s="848">
        <f t="shared" si="645"/>
        <v>0</v>
      </c>
    </row>
    <row r="183" spans="1:84" s="222" customFormat="1" ht="12.75" customHeight="1" x14ac:dyDescent="0.2">
      <c r="A183" s="210">
        <v>33</v>
      </c>
      <c r="B183" s="211">
        <v>4447</v>
      </c>
      <c r="C183" s="211">
        <v>600074749</v>
      </c>
      <c r="D183" s="211">
        <v>70695962</v>
      </c>
      <c r="E183" s="209" t="s">
        <v>209</v>
      </c>
      <c r="F183" s="211">
        <v>3113</v>
      </c>
      <c r="G183" s="165" t="s">
        <v>294</v>
      </c>
      <c r="H183" s="699" t="s">
        <v>271</v>
      </c>
      <c r="I183" s="528">
        <f t="shared" ref="I183:I187" si="646">J183+P183+Q183+R183</f>
        <v>12502077</v>
      </c>
      <c r="J183" s="418">
        <f>K183+L183</f>
        <v>9176888</v>
      </c>
      <c r="K183" s="418">
        <v>8390822</v>
      </c>
      <c r="L183" s="418">
        <v>786066</v>
      </c>
      <c r="M183" s="418">
        <f>N183+O183</f>
        <v>0</v>
      </c>
      <c r="N183" s="418"/>
      <c r="O183" s="418"/>
      <c r="P183" s="68">
        <f t="shared" ref="P183:P187" si="647">ROUND(J183*33.8%,0)</f>
        <v>3101788</v>
      </c>
      <c r="Q183" s="68">
        <f t="shared" ref="Q183:Q187" si="648">ROUND(J183*1%,0)</f>
        <v>91769</v>
      </c>
      <c r="R183" s="418">
        <v>131632</v>
      </c>
      <c r="S183" s="419">
        <f>T183+U183</f>
        <v>14.239599999999999</v>
      </c>
      <c r="T183" s="420">
        <v>11.9999</v>
      </c>
      <c r="U183" s="527">
        <v>2.2397</v>
      </c>
      <c r="V183" s="427">
        <f t="shared" ref="V183:W187" si="649">AI183*-1</f>
        <v>0</v>
      </c>
      <c r="W183" s="421">
        <f t="shared" si="649"/>
        <v>0</v>
      </c>
      <c r="X183" s="421">
        <v>0</v>
      </c>
      <c r="Y183" s="421">
        <v>0</v>
      </c>
      <c r="Z183" s="421">
        <v>0</v>
      </c>
      <c r="AA183" s="421">
        <v>0</v>
      </c>
      <c r="AB183" s="421">
        <v>0</v>
      </c>
      <c r="AC183" s="421">
        <v>0</v>
      </c>
      <c r="AD183" s="421">
        <v>0</v>
      </c>
      <c r="AE183" s="421">
        <v>0</v>
      </c>
      <c r="AF183" s="421">
        <f>V183+X183+Y183+AA183+AB183+AD183</f>
        <v>0</v>
      </c>
      <c r="AG183" s="421">
        <f>W183+Z183+AC183+AE183</f>
        <v>0</v>
      </c>
      <c r="AH183" s="421">
        <f>SUM(AF183:AG183)</f>
        <v>0</v>
      </c>
      <c r="AI183" s="421">
        <v>0</v>
      </c>
      <c r="AJ183" s="421">
        <v>0</v>
      </c>
      <c r="AK183" s="421">
        <v>0</v>
      </c>
      <c r="AL183" s="421">
        <v>0</v>
      </c>
      <c r="AM183" s="421">
        <v>0</v>
      </c>
      <c r="AN183" s="421">
        <v>0</v>
      </c>
      <c r="AO183" s="421">
        <f t="shared" ref="AO183:AO187" si="650">AI183+AK183+AL183+AM183</f>
        <v>0</v>
      </c>
      <c r="AP183" s="421">
        <f>AJ183+AN183</f>
        <v>0</v>
      </c>
      <c r="AQ183" s="421">
        <f>SUM(AO183:AP183)</f>
        <v>0</v>
      </c>
      <c r="AR183" s="421">
        <f t="shared" ref="AR183:AS187" si="651">AF183+AO183</f>
        <v>0</v>
      </c>
      <c r="AS183" s="421">
        <f t="shared" si="651"/>
        <v>0</v>
      </c>
      <c r="AT183" s="421">
        <f>SUM(AR183:AS183)</f>
        <v>0</v>
      </c>
      <c r="AU183" s="68">
        <f t="shared" ref="AU183:AU187" si="652">ROUND((AH183+AI183+AJ183+AK183+AL183)*33.8%,0)</f>
        <v>0</v>
      </c>
      <c r="AV183" s="68">
        <f>ROUND(AH183*1%,0)</f>
        <v>0</v>
      </c>
      <c r="AW183" s="421">
        <v>0</v>
      </c>
      <c r="AX183" s="421">
        <v>0</v>
      </c>
      <c r="AY183" s="421">
        <f>AW183+AX183</f>
        <v>0</v>
      </c>
      <c r="AZ183" s="421">
        <f>AT183+AU183+AV183+AY183</f>
        <v>0</v>
      </c>
      <c r="BA183" s="422">
        <v>0</v>
      </c>
      <c r="BB183" s="422">
        <v>0</v>
      </c>
      <c r="BC183" s="422">
        <v>0</v>
      </c>
      <c r="BD183" s="422">
        <v>0</v>
      </c>
      <c r="BE183" s="422">
        <v>0</v>
      </c>
      <c r="BF183" s="422">
        <v>0</v>
      </c>
      <c r="BG183" s="422">
        <v>0</v>
      </c>
      <c r="BH183" s="422">
        <v>0</v>
      </c>
      <c r="BI183" s="422">
        <v>0</v>
      </c>
      <c r="BJ183" s="422">
        <v>0</v>
      </c>
      <c r="BK183" s="422">
        <f>BA183+BC183+BD183+BF183+BH183+BI183</f>
        <v>0</v>
      </c>
      <c r="BL183" s="422">
        <f>BB183+BE183+BG183+BJ183</f>
        <v>0</v>
      </c>
      <c r="BM183" s="611">
        <f>SUM(BK183:BL183)</f>
        <v>0</v>
      </c>
      <c r="BN183" s="428">
        <f>I183+AZ183</f>
        <v>12502077</v>
      </c>
      <c r="BO183" s="421">
        <f>J183+AH183</f>
        <v>9176888</v>
      </c>
      <c r="BP183" s="421">
        <f t="shared" ref="BP183:BQ187" si="653">K183+AF183</f>
        <v>8390822</v>
      </c>
      <c r="BQ183" s="421">
        <f t="shared" si="653"/>
        <v>786066</v>
      </c>
      <c r="BR183" s="421">
        <f>M183+AQ183</f>
        <v>0</v>
      </c>
      <c r="BS183" s="421">
        <f t="shared" ref="BS183:BT187" si="654">N183+AO183</f>
        <v>0</v>
      </c>
      <c r="BT183" s="421">
        <f t="shared" si="654"/>
        <v>0</v>
      </c>
      <c r="BU183" s="421">
        <f t="shared" ref="BU183:BV187" si="655">P183+AU183</f>
        <v>3101788</v>
      </c>
      <c r="BV183" s="421">
        <f t="shared" si="655"/>
        <v>91769</v>
      </c>
      <c r="BW183" s="421">
        <f>R183+AY183</f>
        <v>131632</v>
      </c>
      <c r="BX183" s="422">
        <f>S183+BM183</f>
        <v>14.239599999999999</v>
      </c>
      <c r="BY183" s="422">
        <f t="shared" ref="BY183:BZ187" si="656">T183+BK183</f>
        <v>11.9999</v>
      </c>
      <c r="BZ183" s="611">
        <f t="shared" si="656"/>
        <v>2.2397</v>
      </c>
      <c r="CA183" s="423"/>
      <c r="CB183" s="418"/>
      <c r="CC183" s="418"/>
      <c r="CD183" s="418"/>
      <c r="CE183" s="418"/>
      <c r="CF183" s="527"/>
    </row>
    <row r="184" spans="1:84" s="222" customFormat="1" ht="12.75" customHeight="1" x14ac:dyDescent="0.2">
      <c r="A184" s="210">
        <v>33</v>
      </c>
      <c r="B184" s="211">
        <v>4447</v>
      </c>
      <c r="C184" s="211">
        <v>600074749</v>
      </c>
      <c r="D184" s="211">
        <v>70695962</v>
      </c>
      <c r="E184" s="209" t="s">
        <v>209</v>
      </c>
      <c r="F184" s="211">
        <v>3113</v>
      </c>
      <c r="G184" s="165" t="s">
        <v>292</v>
      </c>
      <c r="H184" s="699" t="s">
        <v>272</v>
      </c>
      <c r="I184" s="528">
        <f t="shared" si="646"/>
        <v>0</v>
      </c>
      <c r="J184" s="418">
        <f>K184+L184</f>
        <v>0</v>
      </c>
      <c r="K184" s="418">
        <v>0</v>
      </c>
      <c r="L184" s="418">
        <v>0</v>
      </c>
      <c r="M184" s="418">
        <f>N184+O184</f>
        <v>0</v>
      </c>
      <c r="N184" s="418"/>
      <c r="O184" s="418"/>
      <c r="P184" s="68">
        <f t="shared" si="647"/>
        <v>0</v>
      </c>
      <c r="Q184" s="68">
        <f t="shared" si="648"/>
        <v>0</v>
      </c>
      <c r="R184" s="418">
        <v>0</v>
      </c>
      <c r="S184" s="419">
        <f>T184+U184</f>
        <v>0</v>
      </c>
      <c r="T184" s="420">
        <v>0</v>
      </c>
      <c r="U184" s="527">
        <v>0</v>
      </c>
      <c r="V184" s="427">
        <f t="shared" si="649"/>
        <v>0</v>
      </c>
      <c r="W184" s="421">
        <f t="shared" si="649"/>
        <v>0</v>
      </c>
      <c r="X184" s="421">
        <v>1122713</v>
      </c>
      <c r="Y184" s="421">
        <v>0</v>
      </c>
      <c r="Z184" s="421">
        <v>0</v>
      </c>
      <c r="AA184" s="421">
        <v>0</v>
      </c>
      <c r="AB184" s="421">
        <v>0</v>
      </c>
      <c r="AC184" s="421">
        <v>0</v>
      </c>
      <c r="AD184" s="421">
        <v>0</v>
      </c>
      <c r="AE184" s="421">
        <v>0</v>
      </c>
      <c r="AF184" s="421">
        <f>V184+X184+Y184+AA184+AB184+AD184</f>
        <v>1122713</v>
      </c>
      <c r="AG184" s="421">
        <f>W184+Z184+AC184+AE184</f>
        <v>0</v>
      </c>
      <c r="AH184" s="421">
        <f>SUM(AF184:AG184)</f>
        <v>1122713</v>
      </c>
      <c r="AI184" s="421">
        <v>0</v>
      </c>
      <c r="AJ184" s="421">
        <v>0</v>
      </c>
      <c r="AK184" s="421">
        <v>0</v>
      </c>
      <c r="AL184" s="421">
        <v>0</v>
      </c>
      <c r="AM184" s="421">
        <v>0</v>
      </c>
      <c r="AN184" s="421">
        <v>0</v>
      </c>
      <c r="AO184" s="421">
        <f t="shared" si="650"/>
        <v>0</v>
      </c>
      <c r="AP184" s="421">
        <f>AJ184+AN184</f>
        <v>0</v>
      </c>
      <c r="AQ184" s="421">
        <f>SUM(AO184:AP184)</f>
        <v>0</v>
      </c>
      <c r="AR184" s="421">
        <f t="shared" si="651"/>
        <v>1122713</v>
      </c>
      <c r="AS184" s="421">
        <f t="shared" si="651"/>
        <v>0</v>
      </c>
      <c r="AT184" s="421">
        <f>SUM(AR184:AS184)</f>
        <v>1122713</v>
      </c>
      <c r="AU184" s="68">
        <f t="shared" si="652"/>
        <v>379477</v>
      </c>
      <c r="AV184" s="68">
        <f>ROUND(AH184*1%,0)</f>
        <v>11227</v>
      </c>
      <c r="AW184" s="421">
        <v>0</v>
      </c>
      <c r="AX184" s="421">
        <v>0</v>
      </c>
      <c r="AY184" s="421">
        <f>AW184+AX184</f>
        <v>0</v>
      </c>
      <c r="AZ184" s="421">
        <f>AT184+AU184+AV184+AY184</f>
        <v>1513417</v>
      </c>
      <c r="BA184" s="422">
        <v>0</v>
      </c>
      <c r="BB184" s="422">
        <v>0</v>
      </c>
      <c r="BC184" s="422">
        <v>3.03</v>
      </c>
      <c r="BD184" s="422">
        <v>0</v>
      </c>
      <c r="BE184" s="422">
        <v>0</v>
      </c>
      <c r="BF184" s="422">
        <v>0</v>
      </c>
      <c r="BG184" s="422">
        <v>0</v>
      </c>
      <c r="BH184" s="422">
        <v>0</v>
      </c>
      <c r="BI184" s="422">
        <v>0</v>
      </c>
      <c r="BJ184" s="422">
        <v>0</v>
      </c>
      <c r="BK184" s="422">
        <f>BA184+BC184+BD184+BF184+BH184+BI184</f>
        <v>3.03</v>
      </c>
      <c r="BL184" s="422">
        <f>BB184+BE184+BG184+BJ184</f>
        <v>0</v>
      </c>
      <c r="BM184" s="611">
        <f>SUM(BK184:BL184)</f>
        <v>3.03</v>
      </c>
      <c r="BN184" s="428">
        <f>I184+AZ184</f>
        <v>1513417</v>
      </c>
      <c r="BO184" s="421">
        <f>J184+AH184</f>
        <v>1122713</v>
      </c>
      <c r="BP184" s="421">
        <f t="shared" si="653"/>
        <v>1122713</v>
      </c>
      <c r="BQ184" s="421">
        <f t="shared" si="653"/>
        <v>0</v>
      </c>
      <c r="BR184" s="421">
        <f>M184+AQ184</f>
        <v>0</v>
      </c>
      <c r="BS184" s="421">
        <f t="shared" si="654"/>
        <v>0</v>
      </c>
      <c r="BT184" s="421">
        <f t="shared" si="654"/>
        <v>0</v>
      </c>
      <c r="BU184" s="421">
        <f t="shared" si="655"/>
        <v>379477</v>
      </c>
      <c r="BV184" s="421">
        <f t="shared" si="655"/>
        <v>11227</v>
      </c>
      <c r="BW184" s="421">
        <f>R184+AY184</f>
        <v>0</v>
      </c>
      <c r="BX184" s="422">
        <f>S184+BM184</f>
        <v>3.03</v>
      </c>
      <c r="BY184" s="422">
        <f t="shared" si="656"/>
        <v>3.03</v>
      </c>
      <c r="BZ184" s="611">
        <f t="shared" si="656"/>
        <v>0</v>
      </c>
      <c r="CA184" s="423"/>
      <c r="CB184" s="418"/>
      <c r="CC184" s="418"/>
      <c r="CD184" s="418"/>
      <c r="CE184" s="418"/>
      <c r="CF184" s="527"/>
    </row>
    <row r="185" spans="1:84" s="222" customFormat="1" ht="12.75" customHeight="1" x14ac:dyDescent="0.2">
      <c r="A185" s="210">
        <v>33</v>
      </c>
      <c r="B185" s="211">
        <v>4447</v>
      </c>
      <c r="C185" s="211">
        <v>600074749</v>
      </c>
      <c r="D185" s="211">
        <v>70695962</v>
      </c>
      <c r="E185" s="209" t="s">
        <v>209</v>
      </c>
      <c r="F185" s="211">
        <v>3141</v>
      </c>
      <c r="G185" s="165" t="s">
        <v>295</v>
      </c>
      <c r="H185" s="699" t="s">
        <v>272</v>
      </c>
      <c r="I185" s="528">
        <f t="shared" si="646"/>
        <v>536503</v>
      </c>
      <c r="J185" s="418">
        <f>K185+L185</f>
        <v>395741</v>
      </c>
      <c r="K185" s="418"/>
      <c r="L185" s="418">
        <v>395741</v>
      </c>
      <c r="M185" s="418">
        <f>N185+O185</f>
        <v>0</v>
      </c>
      <c r="N185" s="418"/>
      <c r="O185" s="418"/>
      <c r="P185" s="68">
        <f t="shared" si="647"/>
        <v>133760</v>
      </c>
      <c r="Q185" s="68">
        <f t="shared" si="648"/>
        <v>3957</v>
      </c>
      <c r="R185" s="418">
        <v>3045</v>
      </c>
      <c r="S185" s="419">
        <f>T185+U185</f>
        <v>1.19</v>
      </c>
      <c r="T185" s="420"/>
      <c r="U185" s="527">
        <v>1.19</v>
      </c>
      <c r="V185" s="427">
        <f t="shared" si="649"/>
        <v>0</v>
      </c>
      <c r="W185" s="421">
        <f t="shared" si="649"/>
        <v>0</v>
      </c>
      <c r="X185" s="421">
        <v>0</v>
      </c>
      <c r="Y185" s="421">
        <v>0</v>
      </c>
      <c r="Z185" s="421">
        <v>0</v>
      </c>
      <c r="AA185" s="421">
        <v>0</v>
      </c>
      <c r="AB185" s="421">
        <v>0</v>
      </c>
      <c r="AC185" s="421">
        <v>0</v>
      </c>
      <c r="AD185" s="421">
        <v>0</v>
      </c>
      <c r="AE185" s="421">
        <v>0</v>
      </c>
      <c r="AF185" s="421">
        <f>V185+X185+Y185+AA185+AB185+AD185</f>
        <v>0</v>
      </c>
      <c r="AG185" s="421">
        <f>W185+Z185+AC185+AE185</f>
        <v>0</v>
      </c>
      <c r="AH185" s="421">
        <f>SUM(AF185:AG185)</f>
        <v>0</v>
      </c>
      <c r="AI185" s="421">
        <v>0</v>
      </c>
      <c r="AJ185" s="421">
        <v>0</v>
      </c>
      <c r="AK185" s="421">
        <v>0</v>
      </c>
      <c r="AL185" s="421">
        <v>0</v>
      </c>
      <c r="AM185" s="421">
        <v>0</v>
      </c>
      <c r="AN185" s="421">
        <v>0</v>
      </c>
      <c r="AO185" s="421">
        <f t="shared" si="650"/>
        <v>0</v>
      </c>
      <c r="AP185" s="421">
        <f>AJ185+AN185</f>
        <v>0</v>
      </c>
      <c r="AQ185" s="421">
        <f>SUM(AO185:AP185)</f>
        <v>0</v>
      </c>
      <c r="AR185" s="421">
        <f t="shared" si="651"/>
        <v>0</v>
      </c>
      <c r="AS185" s="421">
        <f t="shared" si="651"/>
        <v>0</v>
      </c>
      <c r="AT185" s="421">
        <f>SUM(AR185:AS185)</f>
        <v>0</v>
      </c>
      <c r="AU185" s="68">
        <f t="shared" si="652"/>
        <v>0</v>
      </c>
      <c r="AV185" s="68">
        <f>ROUND(AH185*1%,0)</f>
        <v>0</v>
      </c>
      <c r="AW185" s="421">
        <v>0</v>
      </c>
      <c r="AX185" s="421">
        <v>0</v>
      </c>
      <c r="AY185" s="421">
        <f>AW185+AX185</f>
        <v>0</v>
      </c>
      <c r="AZ185" s="421">
        <f>AT185+AU185+AV185+AY185</f>
        <v>0</v>
      </c>
      <c r="BA185" s="422">
        <v>0</v>
      </c>
      <c r="BB185" s="422">
        <v>0</v>
      </c>
      <c r="BC185" s="422">
        <v>0</v>
      </c>
      <c r="BD185" s="422">
        <v>0</v>
      </c>
      <c r="BE185" s="422">
        <v>0</v>
      </c>
      <c r="BF185" s="422">
        <v>0</v>
      </c>
      <c r="BG185" s="422">
        <v>0</v>
      </c>
      <c r="BH185" s="422">
        <v>0</v>
      </c>
      <c r="BI185" s="422">
        <v>0</v>
      </c>
      <c r="BJ185" s="422">
        <v>0</v>
      </c>
      <c r="BK185" s="422">
        <f>BA185+BC185+BD185+BF185+BH185+BI185</f>
        <v>0</v>
      </c>
      <c r="BL185" s="422">
        <f>BB185+BE185+BG185+BJ185</f>
        <v>0</v>
      </c>
      <c r="BM185" s="611">
        <f>SUM(BK185:BL185)</f>
        <v>0</v>
      </c>
      <c r="BN185" s="428">
        <f>I185+AZ185</f>
        <v>536503</v>
      </c>
      <c r="BO185" s="421">
        <f>J185+AH185</f>
        <v>395741</v>
      </c>
      <c r="BP185" s="421">
        <f t="shared" si="653"/>
        <v>0</v>
      </c>
      <c r="BQ185" s="421">
        <f t="shared" si="653"/>
        <v>395741</v>
      </c>
      <c r="BR185" s="421">
        <f>M185+AQ185</f>
        <v>0</v>
      </c>
      <c r="BS185" s="421">
        <f t="shared" si="654"/>
        <v>0</v>
      </c>
      <c r="BT185" s="421">
        <f t="shared" si="654"/>
        <v>0</v>
      </c>
      <c r="BU185" s="421">
        <f t="shared" si="655"/>
        <v>133760</v>
      </c>
      <c r="BV185" s="421">
        <f t="shared" si="655"/>
        <v>3957</v>
      </c>
      <c r="BW185" s="421">
        <f>R185+AY185</f>
        <v>3045</v>
      </c>
      <c r="BX185" s="422">
        <f>S185+BM185</f>
        <v>1.19</v>
      </c>
      <c r="BY185" s="422">
        <f t="shared" si="656"/>
        <v>0</v>
      </c>
      <c r="BZ185" s="611">
        <f t="shared" si="656"/>
        <v>1.19</v>
      </c>
      <c r="CA185" s="423"/>
      <c r="CB185" s="418"/>
      <c r="CC185" s="418"/>
      <c r="CD185" s="418"/>
      <c r="CE185" s="418"/>
      <c r="CF185" s="527"/>
    </row>
    <row r="186" spans="1:84" s="222" customFormat="1" ht="12.75" customHeight="1" x14ac:dyDescent="0.2">
      <c r="A186" s="210">
        <v>33</v>
      </c>
      <c r="B186" s="211">
        <v>4447</v>
      </c>
      <c r="C186" s="211">
        <v>600074749</v>
      </c>
      <c r="D186" s="211">
        <v>70695962</v>
      </c>
      <c r="E186" s="209" t="s">
        <v>846</v>
      </c>
      <c r="F186" s="211">
        <v>3143</v>
      </c>
      <c r="G186" s="165" t="s">
        <v>596</v>
      </c>
      <c r="H186" s="686" t="s">
        <v>271</v>
      </c>
      <c r="I186" s="528">
        <f t="shared" si="646"/>
        <v>1143905</v>
      </c>
      <c r="J186" s="418">
        <f>K186+L186</f>
        <v>848594</v>
      </c>
      <c r="K186" s="418">
        <v>848594</v>
      </c>
      <c r="L186" s="418">
        <v>0</v>
      </c>
      <c r="M186" s="418">
        <f>N186+O186</f>
        <v>0</v>
      </c>
      <c r="N186" s="418"/>
      <c r="O186" s="418"/>
      <c r="P186" s="68">
        <f t="shared" si="647"/>
        <v>286825</v>
      </c>
      <c r="Q186" s="68">
        <f t="shared" si="648"/>
        <v>8486</v>
      </c>
      <c r="R186" s="418">
        <v>0</v>
      </c>
      <c r="S186" s="419">
        <f>T186+U186</f>
        <v>1.8332999999999999</v>
      </c>
      <c r="T186" s="420">
        <v>1.8332999999999999</v>
      </c>
      <c r="U186" s="527">
        <v>0</v>
      </c>
      <c r="V186" s="427">
        <f t="shared" si="649"/>
        <v>0</v>
      </c>
      <c r="W186" s="421">
        <f t="shared" si="649"/>
        <v>0</v>
      </c>
      <c r="X186" s="421">
        <v>0</v>
      </c>
      <c r="Y186" s="421">
        <v>0</v>
      </c>
      <c r="Z186" s="421">
        <v>0</v>
      </c>
      <c r="AA186" s="421">
        <v>0</v>
      </c>
      <c r="AB186" s="421">
        <v>0</v>
      </c>
      <c r="AC186" s="421">
        <v>0</v>
      </c>
      <c r="AD186" s="421">
        <v>0</v>
      </c>
      <c r="AE186" s="421">
        <v>0</v>
      </c>
      <c r="AF186" s="421">
        <f>V186+X186+Y186+AA186+AB186+AD186</f>
        <v>0</v>
      </c>
      <c r="AG186" s="421">
        <f>W186+Z186+AC186+AE186</f>
        <v>0</v>
      </c>
      <c r="AH186" s="421">
        <f>SUM(AF186:AG186)</f>
        <v>0</v>
      </c>
      <c r="AI186" s="421">
        <v>0</v>
      </c>
      <c r="AJ186" s="421">
        <v>0</v>
      </c>
      <c r="AK186" s="421">
        <v>0</v>
      </c>
      <c r="AL186" s="421">
        <v>0</v>
      </c>
      <c r="AM186" s="421">
        <v>0</v>
      </c>
      <c r="AN186" s="421">
        <v>0</v>
      </c>
      <c r="AO186" s="421">
        <f t="shared" si="650"/>
        <v>0</v>
      </c>
      <c r="AP186" s="421">
        <f>AJ186+AN186</f>
        <v>0</v>
      </c>
      <c r="AQ186" s="421">
        <f>SUM(AO186:AP186)</f>
        <v>0</v>
      </c>
      <c r="AR186" s="421">
        <f t="shared" si="651"/>
        <v>0</v>
      </c>
      <c r="AS186" s="421">
        <f t="shared" si="651"/>
        <v>0</v>
      </c>
      <c r="AT186" s="421">
        <f>SUM(AR186:AS186)</f>
        <v>0</v>
      </c>
      <c r="AU186" s="68">
        <f t="shared" si="652"/>
        <v>0</v>
      </c>
      <c r="AV186" s="68">
        <f>ROUND(AH186*1%,0)</f>
        <v>0</v>
      </c>
      <c r="AW186" s="421">
        <v>0</v>
      </c>
      <c r="AX186" s="421">
        <v>0</v>
      </c>
      <c r="AY186" s="421">
        <f>AW186+AX186</f>
        <v>0</v>
      </c>
      <c r="AZ186" s="421">
        <f>AT186+AU186+AV186+AY186</f>
        <v>0</v>
      </c>
      <c r="BA186" s="422">
        <v>0</v>
      </c>
      <c r="BB186" s="422">
        <v>0</v>
      </c>
      <c r="BC186" s="422">
        <v>0</v>
      </c>
      <c r="BD186" s="422">
        <v>0</v>
      </c>
      <c r="BE186" s="422">
        <v>0</v>
      </c>
      <c r="BF186" s="422">
        <v>0</v>
      </c>
      <c r="BG186" s="422">
        <v>0</v>
      </c>
      <c r="BH186" s="422">
        <v>0</v>
      </c>
      <c r="BI186" s="422">
        <v>0</v>
      </c>
      <c r="BJ186" s="422">
        <v>0</v>
      </c>
      <c r="BK186" s="422">
        <f>BA186+BC186+BD186+BF186+BH186+BI186</f>
        <v>0</v>
      </c>
      <c r="BL186" s="422">
        <f>BB186+BE186+BG186+BJ186</f>
        <v>0</v>
      </c>
      <c r="BM186" s="611">
        <f>SUM(BK186:BL186)</f>
        <v>0</v>
      </c>
      <c r="BN186" s="428">
        <f>I186+AZ186</f>
        <v>1143905</v>
      </c>
      <c r="BO186" s="421">
        <f>J186+AH186</f>
        <v>848594</v>
      </c>
      <c r="BP186" s="421">
        <f t="shared" si="653"/>
        <v>848594</v>
      </c>
      <c r="BQ186" s="421">
        <f t="shared" si="653"/>
        <v>0</v>
      </c>
      <c r="BR186" s="421">
        <f>M186+AQ186</f>
        <v>0</v>
      </c>
      <c r="BS186" s="421">
        <f t="shared" si="654"/>
        <v>0</v>
      </c>
      <c r="BT186" s="421">
        <f t="shared" si="654"/>
        <v>0</v>
      </c>
      <c r="BU186" s="421">
        <f t="shared" si="655"/>
        <v>286825</v>
      </c>
      <c r="BV186" s="421">
        <f t="shared" si="655"/>
        <v>8486</v>
      </c>
      <c r="BW186" s="421">
        <f>R186+AY186</f>
        <v>0</v>
      </c>
      <c r="BX186" s="422">
        <f>S186+BM186</f>
        <v>1.8332999999999999</v>
      </c>
      <c r="BY186" s="422">
        <f t="shared" si="656"/>
        <v>1.8332999999999999</v>
      </c>
      <c r="BZ186" s="611">
        <f t="shared" si="656"/>
        <v>0</v>
      </c>
      <c r="CA186" s="423"/>
      <c r="CB186" s="418"/>
      <c r="CC186" s="418"/>
      <c r="CD186" s="418"/>
      <c r="CE186" s="418"/>
      <c r="CF186" s="527"/>
    </row>
    <row r="187" spans="1:84" s="222" customFormat="1" ht="12.75" customHeight="1" x14ac:dyDescent="0.2">
      <c r="A187" s="210">
        <v>33</v>
      </c>
      <c r="B187" s="211">
        <v>4447</v>
      </c>
      <c r="C187" s="211">
        <v>600074749</v>
      </c>
      <c r="D187" s="211">
        <v>70695962</v>
      </c>
      <c r="E187" s="209" t="s">
        <v>846</v>
      </c>
      <c r="F187" s="211">
        <v>3143</v>
      </c>
      <c r="G187" s="165" t="s">
        <v>597</v>
      </c>
      <c r="H187" s="686" t="s">
        <v>272</v>
      </c>
      <c r="I187" s="528">
        <f t="shared" si="646"/>
        <v>20506</v>
      </c>
      <c r="J187" s="418">
        <f>K187+L187</f>
        <v>14678</v>
      </c>
      <c r="K187" s="418">
        <v>0</v>
      </c>
      <c r="L187" s="418">
        <v>14678</v>
      </c>
      <c r="M187" s="418">
        <f>N187+O187</f>
        <v>0</v>
      </c>
      <c r="N187" s="418"/>
      <c r="O187" s="418"/>
      <c r="P187" s="68">
        <f t="shared" si="647"/>
        <v>4961</v>
      </c>
      <c r="Q187" s="68">
        <f t="shared" si="648"/>
        <v>147</v>
      </c>
      <c r="R187" s="418">
        <v>720</v>
      </c>
      <c r="S187" s="419">
        <f>T187+U187</f>
        <v>0.06</v>
      </c>
      <c r="T187" s="420">
        <v>0</v>
      </c>
      <c r="U187" s="527">
        <v>0.06</v>
      </c>
      <c r="V187" s="427">
        <f t="shared" si="649"/>
        <v>0</v>
      </c>
      <c r="W187" s="421">
        <f t="shared" si="649"/>
        <v>0</v>
      </c>
      <c r="X187" s="421">
        <v>0</v>
      </c>
      <c r="Y187" s="421">
        <v>0</v>
      </c>
      <c r="Z187" s="421">
        <v>0</v>
      </c>
      <c r="AA187" s="421">
        <v>0</v>
      </c>
      <c r="AB187" s="421">
        <v>0</v>
      </c>
      <c r="AC187" s="421">
        <v>0</v>
      </c>
      <c r="AD187" s="421">
        <v>0</v>
      </c>
      <c r="AE187" s="421">
        <v>0</v>
      </c>
      <c r="AF187" s="421">
        <f>V187+X187+Y187+AA187+AB187+AD187</f>
        <v>0</v>
      </c>
      <c r="AG187" s="421">
        <f>W187+Z187+AC187+AE187</f>
        <v>0</v>
      </c>
      <c r="AH187" s="421">
        <f>SUM(AF187:AG187)</f>
        <v>0</v>
      </c>
      <c r="AI187" s="421">
        <v>0</v>
      </c>
      <c r="AJ187" s="421">
        <v>0</v>
      </c>
      <c r="AK187" s="421">
        <v>0</v>
      </c>
      <c r="AL187" s="421">
        <v>0</v>
      </c>
      <c r="AM187" s="421">
        <v>0</v>
      </c>
      <c r="AN187" s="421">
        <v>0</v>
      </c>
      <c r="AO187" s="421">
        <f t="shared" si="650"/>
        <v>0</v>
      </c>
      <c r="AP187" s="421">
        <f>AJ187+AN187</f>
        <v>0</v>
      </c>
      <c r="AQ187" s="421">
        <f>SUM(AO187:AP187)</f>
        <v>0</v>
      </c>
      <c r="AR187" s="421">
        <f t="shared" si="651"/>
        <v>0</v>
      </c>
      <c r="AS187" s="421">
        <f t="shared" si="651"/>
        <v>0</v>
      </c>
      <c r="AT187" s="421">
        <f>SUM(AR187:AS187)</f>
        <v>0</v>
      </c>
      <c r="AU187" s="68">
        <f t="shared" si="652"/>
        <v>0</v>
      </c>
      <c r="AV187" s="68">
        <f>ROUND(AH187*1%,0)</f>
        <v>0</v>
      </c>
      <c r="AW187" s="421">
        <v>0</v>
      </c>
      <c r="AX187" s="421">
        <v>0</v>
      </c>
      <c r="AY187" s="421">
        <f>AW187+AX187</f>
        <v>0</v>
      </c>
      <c r="AZ187" s="421">
        <f>AT187+AU187+AV187+AY187</f>
        <v>0</v>
      </c>
      <c r="BA187" s="422">
        <v>0</v>
      </c>
      <c r="BB187" s="422">
        <v>0</v>
      </c>
      <c r="BC187" s="422">
        <v>0</v>
      </c>
      <c r="BD187" s="422">
        <v>0</v>
      </c>
      <c r="BE187" s="422">
        <v>0</v>
      </c>
      <c r="BF187" s="422">
        <v>0</v>
      </c>
      <c r="BG187" s="422">
        <v>0</v>
      </c>
      <c r="BH187" s="422">
        <v>0</v>
      </c>
      <c r="BI187" s="422">
        <v>0</v>
      </c>
      <c r="BJ187" s="422">
        <v>0</v>
      </c>
      <c r="BK187" s="422">
        <f>BA187+BC187+BD187+BF187+BH187+BI187</f>
        <v>0</v>
      </c>
      <c r="BL187" s="422">
        <f>BB187+BE187+BG187+BJ187</f>
        <v>0</v>
      </c>
      <c r="BM187" s="611">
        <f>SUM(BK187:BL187)</f>
        <v>0</v>
      </c>
      <c r="BN187" s="428">
        <f>I187+AZ187</f>
        <v>20506</v>
      </c>
      <c r="BO187" s="421">
        <f>J187+AH187</f>
        <v>14678</v>
      </c>
      <c r="BP187" s="421">
        <f t="shared" si="653"/>
        <v>0</v>
      </c>
      <c r="BQ187" s="421">
        <f t="shared" si="653"/>
        <v>14678</v>
      </c>
      <c r="BR187" s="421">
        <f>M187+AQ187</f>
        <v>0</v>
      </c>
      <c r="BS187" s="421">
        <f t="shared" si="654"/>
        <v>0</v>
      </c>
      <c r="BT187" s="421">
        <f t="shared" si="654"/>
        <v>0</v>
      </c>
      <c r="BU187" s="421">
        <f t="shared" si="655"/>
        <v>4961</v>
      </c>
      <c r="BV187" s="421">
        <f t="shared" si="655"/>
        <v>147</v>
      </c>
      <c r="BW187" s="421">
        <f>R187+AY187</f>
        <v>720</v>
      </c>
      <c r="BX187" s="422">
        <f>S187+BM187</f>
        <v>0.06</v>
      </c>
      <c r="BY187" s="422">
        <f t="shared" si="656"/>
        <v>0</v>
      </c>
      <c r="BZ187" s="611">
        <f t="shared" si="656"/>
        <v>0.06</v>
      </c>
      <c r="CA187" s="423"/>
      <c r="CB187" s="418"/>
      <c r="CC187" s="418"/>
      <c r="CD187" s="418"/>
      <c r="CE187" s="418"/>
      <c r="CF187" s="527"/>
    </row>
    <row r="188" spans="1:84" s="222" customFormat="1" ht="12.75" customHeight="1" x14ac:dyDescent="0.2">
      <c r="A188" s="155">
        <v>33</v>
      </c>
      <c r="B188" s="18">
        <v>4447</v>
      </c>
      <c r="C188" s="18">
        <v>600074749</v>
      </c>
      <c r="D188" s="18">
        <v>70695962</v>
      </c>
      <c r="E188" s="164" t="s">
        <v>210</v>
      </c>
      <c r="F188" s="18"/>
      <c r="G188" s="154"/>
      <c r="H188" s="685"/>
      <c r="I188" s="458">
        <f t="shared" ref="I188:BU188" si="657">SUM(I183:I187)</f>
        <v>14202991</v>
      </c>
      <c r="J188" s="451">
        <f t="shared" si="657"/>
        <v>10435901</v>
      </c>
      <c r="K188" s="451">
        <f t="shared" si="657"/>
        <v>9239416</v>
      </c>
      <c r="L188" s="451">
        <f t="shared" si="657"/>
        <v>1196485</v>
      </c>
      <c r="M188" s="451">
        <f t="shared" si="657"/>
        <v>0</v>
      </c>
      <c r="N188" s="451">
        <f t="shared" si="657"/>
        <v>0</v>
      </c>
      <c r="O188" s="451">
        <f t="shared" si="657"/>
        <v>0</v>
      </c>
      <c r="P188" s="451">
        <f t="shared" si="657"/>
        <v>3527334</v>
      </c>
      <c r="Q188" s="451">
        <f t="shared" si="657"/>
        <v>104359</v>
      </c>
      <c r="R188" s="451">
        <f t="shared" si="657"/>
        <v>135397</v>
      </c>
      <c r="S188" s="452">
        <f t="shared" si="657"/>
        <v>17.322899999999997</v>
      </c>
      <c r="T188" s="452">
        <f t="shared" si="657"/>
        <v>13.8332</v>
      </c>
      <c r="U188" s="39">
        <f t="shared" si="657"/>
        <v>3.4897</v>
      </c>
      <c r="V188" s="458">
        <f t="shared" si="657"/>
        <v>0</v>
      </c>
      <c r="W188" s="451">
        <f t="shared" si="657"/>
        <v>0</v>
      </c>
      <c r="X188" s="451">
        <f t="shared" si="657"/>
        <v>1122713</v>
      </c>
      <c r="Y188" s="451">
        <f t="shared" si="657"/>
        <v>0</v>
      </c>
      <c r="Z188" s="451">
        <f t="shared" si="657"/>
        <v>0</v>
      </c>
      <c r="AA188" s="451">
        <f t="shared" si="657"/>
        <v>0</v>
      </c>
      <c r="AB188" s="451">
        <f t="shared" si="657"/>
        <v>0</v>
      </c>
      <c r="AC188" s="451">
        <f t="shared" si="657"/>
        <v>0</v>
      </c>
      <c r="AD188" s="451">
        <f t="shared" si="657"/>
        <v>0</v>
      </c>
      <c r="AE188" s="451">
        <f t="shared" si="657"/>
        <v>0</v>
      </c>
      <c r="AF188" s="451">
        <f t="shared" si="657"/>
        <v>1122713</v>
      </c>
      <c r="AG188" s="451">
        <f t="shared" si="657"/>
        <v>0</v>
      </c>
      <c r="AH188" s="451">
        <f t="shared" si="657"/>
        <v>1122713</v>
      </c>
      <c r="AI188" s="451">
        <f t="shared" si="657"/>
        <v>0</v>
      </c>
      <c r="AJ188" s="451">
        <f t="shared" si="657"/>
        <v>0</v>
      </c>
      <c r="AK188" s="451">
        <f t="shared" ref="AK188" si="658">SUM(AK183:AK187)</f>
        <v>0</v>
      </c>
      <c r="AL188" s="451">
        <f t="shared" si="657"/>
        <v>0</v>
      </c>
      <c r="AM188" s="451">
        <f t="shared" si="657"/>
        <v>0</v>
      </c>
      <c r="AN188" s="451">
        <f t="shared" si="657"/>
        <v>0</v>
      </c>
      <c r="AO188" s="451">
        <f t="shared" si="657"/>
        <v>0</v>
      </c>
      <c r="AP188" s="451">
        <f t="shared" si="657"/>
        <v>0</v>
      </c>
      <c r="AQ188" s="451">
        <f t="shared" si="657"/>
        <v>0</v>
      </c>
      <c r="AR188" s="451">
        <f t="shared" si="657"/>
        <v>1122713</v>
      </c>
      <c r="AS188" s="451">
        <f t="shared" si="657"/>
        <v>0</v>
      </c>
      <c r="AT188" s="451">
        <f t="shared" si="657"/>
        <v>1122713</v>
      </c>
      <c r="AU188" s="451">
        <f t="shared" si="657"/>
        <v>379477</v>
      </c>
      <c r="AV188" s="451">
        <f t="shared" si="657"/>
        <v>11227</v>
      </c>
      <c r="AW188" s="451">
        <f t="shared" si="657"/>
        <v>0</v>
      </c>
      <c r="AX188" s="451">
        <f t="shared" si="657"/>
        <v>0</v>
      </c>
      <c r="AY188" s="451">
        <f t="shared" si="657"/>
        <v>0</v>
      </c>
      <c r="AZ188" s="451">
        <f t="shared" si="657"/>
        <v>1513417</v>
      </c>
      <c r="BA188" s="452">
        <f t="shared" si="657"/>
        <v>0</v>
      </c>
      <c r="BB188" s="452">
        <f t="shared" si="657"/>
        <v>0</v>
      </c>
      <c r="BC188" s="452">
        <f t="shared" si="657"/>
        <v>3.03</v>
      </c>
      <c r="BD188" s="452">
        <f t="shared" si="657"/>
        <v>0</v>
      </c>
      <c r="BE188" s="452">
        <f t="shared" si="657"/>
        <v>0</v>
      </c>
      <c r="BF188" s="452">
        <f t="shared" si="657"/>
        <v>0</v>
      </c>
      <c r="BG188" s="452">
        <f t="shared" si="657"/>
        <v>0</v>
      </c>
      <c r="BH188" s="452">
        <f t="shared" si="657"/>
        <v>0</v>
      </c>
      <c r="BI188" s="452">
        <f t="shared" si="657"/>
        <v>0</v>
      </c>
      <c r="BJ188" s="452">
        <f t="shared" si="657"/>
        <v>0</v>
      </c>
      <c r="BK188" s="452">
        <f t="shared" si="657"/>
        <v>3.03</v>
      </c>
      <c r="BL188" s="452">
        <f t="shared" si="657"/>
        <v>0</v>
      </c>
      <c r="BM188" s="456">
        <f t="shared" si="657"/>
        <v>3.03</v>
      </c>
      <c r="BN188" s="454">
        <f t="shared" si="657"/>
        <v>15716408</v>
      </c>
      <c r="BO188" s="451">
        <f t="shared" si="657"/>
        <v>11558614</v>
      </c>
      <c r="BP188" s="451">
        <f t="shared" si="657"/>
        <v>10362129</v>
      </c>
      <c r="BQ188" s="451">
        <f t="shared" si="657"/>
        <v>1196485</v>
      </c>
      <c r="BR188" s="451">
        <f t="shared" si="657"/>
        <v>0</v>
      </c>
      <c r="BS188" s="451">
        <f t="shared" si="657"/>
        <v>0</v>
      </c>
      <c r="BT188" s="451">
        <f t="shared" si="657"/>
        <v>0</v>
      </c>
      <c r="BU188" s="451">
        <f t="shared" si="657"/>
        <v>3906811</v>
      </c>
      <c r="BV188" s="451">
        <f t="shared" ref="BV188:CF188" si="659">SUM(BV183:BV187)</f>
        <v>115586</v>
      </c>
      <c r="BW188" s="451">
        <f t="shared" si="659"/>
        <v>135397</v>
      </c>
      <c r="BX188" s="452">
        <f t="shared" si="659"/>
        <v>20.352900000000002</v>
      </c>
      <c r="BY188" s="452">
        <f t="shared" si="659"/>
        <v>16.863199999999999</v>
      </c>
      <c r="BZ188" s="456">
        <f t="shared" si="659"/>
        <v>3.4897</v>
      </c>
      <c r="CA188" s="854">
        <f t="shared" si="659"/>
        <v>0</v>
      </c>
      <c r="CB188" s="852">
        <f t="shared" si="659"/>
        <v>0</v>
      </c>
      <c r="CC188" s="852">
        <f t="shared" si="659"/>
        <v>0</v>
      </c>
      <c r="CD188" s="852">
        <f t="shared" si="659"/>
        <v>0</v>
      </c>
      <c r="CE188" s="852">
        <f t="shared" si="659"/>
        <v>0</v>
      </c>
      <c r="CF188" s="848">
        <f t="shared" si="659"/>
        <v>0</v>
      </c>
    </row>
    <row r="189" spans="1:84" s="222" customFormat="1" ht="12.75" customHeight="1" x14ac:dyDescent="0.2">
      <c r="A189" s="210">
        <v>34</v>
      </c>
      <c r="B189" s="211">
        <v>4449</v>
      </c>
      <c r="C189" s="211">
        <v>650037090</v>
      </c>
      <c r="D189" s="211">
        <v>72744171</v>
      </c>
      <c r="E189" s="209" t="s">
        <v>211</v>
      </c>
      <c r="F189" s="211">
        <v>3111</v>
      </c>
      <c r="G189" s="165" t="s">
        <v>291</v>
      </c>
      <c r="H189" s="699" t="s">
        <v>271</v>
      </c>
      <c r="I189" s="528">
        <f t="shared" ref="I189:I194" si="660">J189+P189+Q189+R189</f>
        <v>2999603</v>
      </c>
      <c r="J189" s="418">
        <f t="shared" ref="J189:J194" si="661">K189+L189</f>
        <v>2218490</v>
      </c>
      <c r="K189" s="418">
        <v>2098682</v>
      </c>
      <c r="L189" s="418">
        <v>119808</v>
      </c>
      <c r="M189" s="418">
        <f t="shared" ref="M189:M194" si="662">N189+O189</f>
        <v>0</v>
      </c>
      <c r="N189" s="418"/>
      <c r="O189" s="418"/>
      <c r="P189" s="68">
        <f t="shared" ref="P189:P194" si="663">ROUND(J189*33.8%,0)</f>
        <v>749850</v>
      </c>
      <c r="Q189" s="68">
        <f t="shared" ref="Q189:Q194" si="664">ROUND(J189*1%,0)</f>
        <v>22185</v>
      </c>
      <c r="R189" s="418">
        <v>9078</v>
      </c>
      <c r="S189" s="419">
        <f t="shared" ref="S189:S194" si="665">T189+U189</f>
        <v>4.4800000000000004</v>
      </c>
      <c r="T189" s="420">
        <v>4</v>
      </c>
      <c r="U189" s="527">
        <v>0.48</v>
      </c>
      <c r="V189" s="427">
        <f t="shared" ref="V189:W194" si="666">AI189*-1</f>
        <v>0</v>
      </c>
      <c r="W189" s="421">
        <f t="shared" si="666"/>
        <v>0</v>
      </c>
      <c r="X189" s="421">
        <v>0</v>
      </c>
      <c r="Y189" s="421">
        <v>0</v>
      </c>
      <c r="Z189" s="421">
        <v>0</v>
      </c>
      <c r="AA189" s="421">
        <v>0</v>
      </c>
      <c r="AB189" s="421">
        <v>0</v>
      </c>
      <c r="AC189" s="421">
        <v>0</v>
      </c>
      <c r="AD189" s="421">
        <v>0</v>
      </c>
      <c r="AE189" s="421">
        <v>0</v>
      </c>
      <c r="AF189" s="421">
        <f t="shared" ref="AF189:AF194" si="667">V189+X189+Y189+AA189+AB189+AD189</f>
        <v>0</v>
      </c>
      <c r="AG189" s="421">
        <f t="shared" ref="AG189:AG194" si="668">W189+Z189+AC189+AE189</f>
        <v>0</v>
      </c>
      <c r="AH189" s="421">
        <f t="shared" ref="AH189:AH194" si="669">SUM(AF189:AG189)</f>
        <v>0</v>
      </c>
      <c r="AI189" s="421">
        <v>0</v>
      </c>
      <c r="AJ189" s="421">
        <v>0</v>
      </c>
      <c r="AK189" s="421">
        <v>0</v>
      </c>
      <c r="AL189" s="421">
        <v>0</v>
      </c>
      <c r="AM189" s="421">
        <v>0</v>
      </c>
      <c r="AN189" s="421">
        <v>0</v>
      </c>
      <c r="AO189" s="421">
        <f t="shared" ref="AO189:AO194" si="670">AI189+AK189+AL189+AM189</f>
        <v>0</v>
      </c>
      <c r="AP189" s="421">
        <f t="shared" ref="AP189:AP194" si="671">AJ189+AN189</f>
        <v>0</v>
      </c>
      <c r="AQ189" s="421">
        <f t="shared" ref="AQ189:AQ194" si="672">SUM(AO189:AP189)</f>
        <v>0</v>
      </c>
      <c r="AR189" s="421">
        <f t="shared" ref="AR189:AS194" si="673">AF189+AO189</f>
        <v>0</v>
      </c>
      <c r="AS189" s="421">
        <f t="shared" si="673"/>
        <v>0</v>
      </c>
      <c r="AT189" s="421">
        <f t="shared" ref="AT189:AT194" si="674">SUM(AR189:AS189)</f>
        <v>0</v>
      </c>
      <c r="AU189" s="68">
        <f t="shared" ref="AU189:AU194" si="675">ROUND((AH189+AI189+AJ189+AK189+AL189)*33.8%,0)</f>
        <v>0</v>
      </c>
      <c r="AV189" s="68">
        <f t="shared" ref="AV189:AV194" si="676">ROUND(AH189*1%,0)</f>
        <v>0</v>
      </c>
      <c r="AW189" s="421">
        <v>0</v>
      </c>
      <c r="AX189" s="421">
        <v>0</v>
      </c>
      <c r="AY189" s="421">
        <f t="shared" ref="AY189:AY194" si="677">AW189+AX189</f>
        <v>0</v>
      </c>
      <c r="AZ189" s="421">
        <f t="shared" ref="AZ189:AZ194" si="678">AT189+AU189+AV189+AY189</f>
        <v>0</v>
      </c>
      <c r="BA189" s="422">
        <v>0</v>
      </c>
      <c r="BB189" s="422">
        <v>0</v>
      </c>
      <c r="BC189" s="422">
        <v>0</v>
      </c>
      <c r="BD189" s="422">
        <v>0</v>
      </c>
      <c r="BE189" s="422">
        <v>0</v>
      </c>
      <c r="BF189" s="422">
        <v>0</v>
      </c>
      <c r="BG189" s="422">
        <v>0</v>
      </c>
      <c r="BH189" s="422">
        <v>0</v>
      </c>
      <c r="BI189" s="422">
        <v>0</v>
      </c>
      <c r="BJ189" s="422">
        <v>0</v>
      </c>
      <c r="BK189" s="422">
        <f t="shared" ref="BK189:BK194" si="679">BA189+BC189+BD189+BF189+BH189+BI189</f>
        <v>0</v>
      </c>
      <c r="BL189" s="422">
        <f t="shared" ref="BL189:BL194" si="680">BB189+BE189+BG189+BJ189</f>
        <v>0</v>
      </c>
      <c r="BM189" s="611">
        <f t="shared" ref="BM189:BM194" si="681">SUM(BK189:BL189)</f>
        <v>0</v>
      </c>
      <c r="BN189" s="428">
        <f t="shared" ref="BN189:BN194" si="682">I189+AZ189</f>
        <v>2999603</v>
      </c>
      <c r="BO189" s="421">
        <f t="shared" ref="BO189:BO194" si="683">J189+AH189</f>
        <v>2218490</v>
      </c>
      <c r="BP189" s="421">
        <f t="shared" ref="BP189:BQ194" si="684">K189+AF189</f>
        <v>2098682</v>
      </c>
      <c r="BQ189" s="421">
        <f t="shared" si="684"/>
        <v>119808</v>
      </c>
      <c r="BR189" s="421">
        <f t="shared" ref="BR189:BR194" si="685">M189+AQ189</f>
        <v>0</v>
      </c>
      <c r="BS189" s="421">
        <f t="shared" ref="BS189:BT194" si="686">N189+AO189</f>
        <v>0</v>
      </c>
      <c r="BT189" s="421">
        <f t="shared" si="686"/>
        <v>0</v>
      </c>
      <c r="BU189" s="421">
        <f t="shared" ref="BU189:BV194" si="687">P189+AU189</f>
        <v>749850</v>
      </c>
      <c r="BV189" s="421">
        <f t="shared" si="687"/>
        <v>22185</v>
      </c>
      <c r="BW189" s="421">
        <f t="shared" ref="BW189:BW194" si="688">R189+AY189</f>
        <v>9078</v>
      </c>
      <c r="BX189" s="422">
        <f t="shared" ref="BX189:BX194" si="689">S189+BM189</f>
        <v>4.4800000000000004</v>
      </c>
      <c r="BY189" s="422">
        <f t="shared" ref="BY189:BZ194" si="690">T189+BK189</f>
        <v>4</v>
      </c>
      <c r="BZ189" s="611">
        <f t="shared" si="690"/>
        <v>0.48</v>
      </c>
      <c r="CA189" s="423"/>
      <c r="CB189" s="418"/>
      <c r="CC189" s="418"/>
      <c r="CD189" s="418"/>
      <c r="CE189" s="418"/>
      <c r="CF189" s="527"/>
    </row>
    <row r="190" spans="1:84" s="222" customFormat="1" ht="12.75" customHeight="1" x14ac:dyDescent="0.2">
      <c r="A190" s="210">
        <v>34</v>
      </c>
      <c r="B190" s="211">
        <v>4449</v>
      </c>
      <c r="C190" s="211">
        <v>650037090</v>
      </c>
      <c r="D190" s="211">
        <v>72744171</v>
      </c>
      <c r="E190" s="209" t="s">
        <v>211</v>
      </c>
      <c r="F190" s="211">
        <v>3113</v>
      </c>
      <c r="G190" s="165" t="s">
        <v>294</v>
      </c>
      <c r="H190" s="699" t="s">
        <v>271</v>
      </c>
      <c r="I190" s="528">
        <f t="shared" si="660"/>
        <v>12607193</v>
      </c>
      <c r="J190" s="418">
        <f t="shared" si="661"/>
        <v>9239373</v>
      </c>
      <c r="K190" s="418">
        <v>8187699</v>
      </c>
      <c r="L190" s="418">
        <v>1051674</v>
      </c>
      <c r="M190" s="418">
        <f t="shared" si="662"/>
        <v>0</v>
      </c>
      <c r="N190" s="418"/>
      <c r="O190" s="418"/>
      <c r="P190" s="68">
        <f t="shared" si="663"/>
        <v>3122908</v>
      </c>
      <c r="Q190" s="68">
        <f t="shared" si="664"/>
        <v>92394</v>
      </c>
      <c r="R190" s="418">
        <v>152518</v>
      </c>
      <c r="S190" s="419">
        <f t="shared" si="665"/>
        <v>15.242699999999999</v>
      </c>
      <c r="T190" s="420">
        <v>12.1363</v>
      </c>
      <c r="U190" s="527">
        <v>3.1063999999999998</v>
      </c>
      <c r="V190" s="427">
        <f t="shared" si="666"/>
        <v>0</v>
      </c>
      <c r="W190" s="421">
        <f t="shared" si="666"/>
        <v>-12800</v>
      </c>
      <c r="X190" s="421">
        <v>0</v>
      </c>
      <c r="Y190" s="421">
        <v>0</v>
      </c>
      <c r="Z190" s="421">
        <v>0</v>
      </c>
      <c r="AA190" s="421">
        <v>0</v>
      </c>
      <c r="AB190" s="421">
        <v>0</v>
      </c>
      <c r="AC190" s="421">
        <v>0</v>
      </c>
      <c r="AD190" s="421">
        <v>0</v>
      </c>
      <c r="AE190" s="421">
        <v>0</v>
      </c>
      <c r="AF190" s="421">
        <f t="shared" si="667"/>
        <v>0</v>
      </c>
      <c r="AG190" s="421">
        <f t="shared" si="668"/>
        <v>-12800</v>
      </c>
      <c r="AH190" s="421">
        <f t="shared" si="669"/>
        <v>-12800</v>
      </c>
      <c r="AI190" s="421">
        <v>0</v>
      </c>
      <c r="AJ190" s="421">
        <v>12800</v>
      </c>
      <c r="AK190" s="421">
        <v>0</v>
      </c>
      <c r="AL190" s="421">
        <v>105920</v>
      </c>
      <c r="AM190" s="421">
        <v>0</v>
      </c>
      <c r="AN190" s="421">
        <v>0</v>
      </c>
      <c r="AO190" s="421">
        <f t="shared" si="670"/>
        <v>105920</v>
      </c>
      <c r="AP190" s="421">
        <f t="shared" si="671"/>
        <v>12800</v>
      </c>
      <c r="AQ190" s="421">
        <f t="shared" si="672"/>
        <v>118720</v>
      </c>
      <c r="AR190" s="421">
        <f t="shared" si="673"/>
        <v>105920</v>
      </c>
      <c r="AS190" s="421">
        <f t="shared" si="673"/>
        <v>0</v>
      </c>
      <c r="AT190" s="421">
        <f t="shared" si="674"/>
        <v>105920</v>
      </c>
      <c r="AU190" s="68">
        <f t="shared" si="675"/>
        <v>35801</v>
      </c>
      <c r="AV190" s="68">
        <f t="shared" si="676"/>
        <v>-128</v>
      </c>
      <c r="AW190" s="421">
        <v>0</v>
      </c>
      <c r="AX190" s="421">
        <v>0</v>
      </c>
      <c r="AY190" s="421">
        <f t="shared" si="677"/>
        <v>0</v>
      </c>
      <c r="AZ190" s="421">
        <f t="shared" si="678"/>
        <v>141593</v>
      </c>
      <c r="BA190" s="422">
        <v>0</v>
      </c>
      <c r="BB190" s="422">
        <v>-0.02</v>
      </c>
      <c r="BC190" s="422">
        <v>0</v>
      </c>
      <c r="BD190" s="422">
        <v>0</v>
      </c>
      <c r="BE190" s="422">
        <v>0</v>
      </c>
      <c r="BF190" s="422">
        <v>0</v>
      </c>
      <c r="BG190" s="422">
        <v>0</v>
      </c>
      <c r="BH190" s="422">
        <v>0</v>
      </c>
      <c r="BI190" s="422">
        <v>0</v>
      </c>
      <c r="BJ190" s="422">
        <v>0</v>
      </c>
      <c r="BK190" s="422">
        <f t="shared" si="679"/>
        <v>0</v>
      </c>
      <c r="BL190" s="422">
        <f t="shared" si="680"/>
        <v>-0.02</v>
      </c>
      <c r="BM190" s="611">
        <f t="shared" si="681"/>
        <v>-0.02</v>
      </c>
      <c r="BN190" s="428">
        <f t="shared" si="682"/>
        <v>12748786</v>
      </c>
      <c r="BO190" s="421">
        <f t="shared" si="683"/>
        <v>9226573</v>
      </c>
      <c r="BP190" s="421">
        <f t="shared" si="684"/>
        <v>8187699</v>
      </c>
      <c r="BQ190" s="421">
        <f t="shared" si="684"/>
        <v>1038874</v>
      </c>
      <c r="BR190" s="421">
        <f t="shared" si="685"/>
        <v>118720</v>
      </c>
      <c r="BS190" s="421">
        <f t="shared" si="686"/>
        <v>105920</v>
      </c>
      <c r="BT190" s="421">
        <f t="shared" si="686"/>
        <v>12800</v>
      </c>
      <c r="BU190" s="421">
        <f t="shared" si="687"/>
        <v>3158709</v>
      </c>
      <c r="BV190" s="421">
        <f t="shared" si="687"/>
        <v>92266</v>
      </c>
      <c r="BW190" s="421">
        <f t="shared" si="688"/>
        <v>152518</v>
      </c>
      <c r="BX190" s="422">
        <f t="shared" si="689"/>
        <v>15.2227</v>
      </c>
      <c r="BY190" s="422">
        <f t="shared" si="690"/>
        <v>12.1363</v>
      </c>
      <c r="BZ190" s="611">
        <f t="shared" si="690"/>
        <v>3.0863999999999998</v>
      </c>
      <c r="CA190" s="423"/>
      <c r="CB190" s="418"/>
      <c r="CC190" s="418"/>
      <c r="CD190" s="418"/>
      <c r="CE190" s="418"/>
      <c r="CF190" s="527"/>
    </row>
    <row r="191" spans="1:84" s="222" customFormat="1" ht="12.75" customHeight="1" x14ac:dyDescent="0.2">
      <c r="A191" s="210">
        <v>34</v>
      </c>
      <c r="B191" s="211">
        <v>4449</v>
      </c>
      <c r="C191" s="211">
        <v>650037090</v>
      </c>
      <c r="D191" s="211">
        <v>72744171</v>
      </c>
      <c r="E191" s="209" t="s">
        <v>211</v>
      </c>
      <c r="F191" s="211">
        <v>3113</v>
      </c>
      <c r="G191" s="165" t="s">
        <v>292</v>
      </c>
      <c r="H191" s="699" t="s">
        <v>272</v>
      </c>
      <c r="I191" s="528">
        <f t="shared" si="660"/>
        <v>0</v>
      </c>
      <c r="J191" s="418">
        <f t="shared" si="661"/>
        <v>0</v>
      </c>
      <c r="K191" s="418">
        <v>0</v>
      </c>
      <c r="L191" s="418">
        <v>0</v>
      </c>
      <c r="M191" s="418">
        <f t="shared" si="662"/>
        <v>0</v>
      </c>
      <c r="N191" s="418"/>
      <c r="O191" s="418"/>
      <c r="P191" s="68">
        <f t="shared" si="663"/>
        <v>0</v>
      </c>
      <c r="Q191" s="68">
        <f t="shared" si="664"/>
        <v>0</v>
      </c>
      <c r="R191" s="418">
        <v>0</v>
      </c>
      <c r="S191" s="419">
        <f t="shared" si="665"/>
        <v>0</v>
      </c>
      <c r="T191" s="420">
        <v>0</v>
      </c>
      <c r="U191" s="527">
        <v>0</v>
      </c>
      <c r="V191" s="427">
        <f t="shared" si="666"/>
        <v>0</v>
      </c>
      <c r="W191" s="421">
        <f t="shared" si="666"/>
        <v>0</v>
      </c>
      <c r="X191" s="421">
        <v>1491525</v>
      </c>
      <c r="Y191" s="421">
        <v>0</v>
      </c>
      <c r="Z191" s="421">
        <v>0</v>
      </c>
      <c r="AA191" s="421">
        <v>0</v>
      </c>
      <c r="AB191" s="421">
        <v>0</v>
      </c>
      <c r="AC191" s="421">
        <v>0</v>
      </c>
      <c r="AD191" s="421">
        <v>0</v>
      </c>
      <c r="AE191" s="421">
        <v>0</v>
      </c>
      <c r="AF191" s="421">
        <f t="shared" si="667"/>
        <v>1491525</v>
      </c>
      <c r="AG191" s="421">
        <f t="shared" si="668"/>
        <v>0</v>
      </c>
      <c r="AH191" s="421">
        <f t="shared" si="669"/>
        <v>1491525</v>
      </c>
      <c r="AI191" s="421">
        <v>0</v>
      </c>
      <c r="AJ191" s="421">
        <v>0</v>
      </c>
      <c r="AK191" s="421">
        <v>0</v>
      </c>
      <c r="AL191" s="421">
        <v>0</v>
      </c>
      <c r="AM191" s="421">
        <v>0</v>
      </c>
      <c r="AN191" s="421">
        <v>0</v>
      </c>
      <c r="AO191" s="421">
        <f t="shared" si="670"/>
        <v>0</v>
      </c>
      <c r="AP191" s="421">
        <f t="shared" si="671"/>
        <v>0</v>
      </c>
      <c r="AQ191" s="421">
        <f t="shared" si="672"/>
        <v>0</v>
      </c>
      <c r="AR191" s="421">
        <f t="shared" si="673"/>
        <v>1491525</v>
      </c>
      <c r="AS191" s="421">
        <f t="shared" si="673"/>
        <v>0</v>
      </c>
      <c r="AT191" s="421">
        <f t="shared" si="674"/>
        <v>1491525</v>
      </c>
      <c r="AU191" s="68">
        <f t="shared" si="675"/>
        <v>504135</v>
      </c>
      <c r="AV191" s="68">
        <f t="shared" si="676"/>
        <v>14915</v>
      </c>
      <c r="AW191" s="421">
        <v>0</v>
      </c>
      <c r="AX191" s="421">
        <v>0</v>
      </c>
      <c r="AY191" s="421">
        <f t="shared" si="677"/>
        <v>0</v>
      </c>
      <c r="AZ191" s="421">
        <f t="shared" si="678"/>
        <v>2010575</v>
      </c>
      <c r="BA191" s="422">
        <v>0</v>
      </c>
      <c r="BB191" s="422">
        <v>0</v>
      </c>
      <c r="BC191" s="422">
        <v>3.99</v>
      </c>
      <c r="BD191" s="422">
        <v>0</v>
      </c>
      <c r="BE191" s="422">
        <v>0</v>
      </c>
      <c r="BF191" s="422">
        <v>0</v>
      </c>
      <c r="BG191" s="422">
        <v>0</v>
      </c>
      <c r="BH191" s="422">
        <v>0</v>
      </c>
      <c r="BI191" s="422">
        <v>0</v>
      </c>
      <c r="BJ191" s="422">
        <v>0</v>
      </c>
      <c r="BK191" s="422">
        <f t="shared" si="679"/>
        <v>3.99</v>
      </c>
      <c r="BL191" s="422">
        <f t="shared" si="680"/>
        <v>0</v>
      </c>
      <c r="BM191" s="611">
        <f t="shared" si="681"/>
        <v>3.99</v>
      </c>
      <c r="BN191" s="428">
        <f t="shared" si="682"/>
        <v>2010575</v>
      </c>
      <c r="BO191" s="421">
        <f t="shared" si="683"/>
        <v>1491525</v>
      </c>
      <c r="BP191" s="421">
        <f t="shared" si="684"/>
        <v>1491525</v>
      </c>
      <c r="BQ191" s="421">
        <f t="shared" si="684"/>
        <v>0</v>
      </c>
      <c r="BR191" s="421">
        <f t="shared" si="685"/>
        <v>0</v>
      </c>
      <c r="BS191" s="421">
        <f t="shared" si="686"/>
        <v>0</v>
      </c>
      <c r="BT191" s="421">
        <f t="shared" si="686"/>
        <v>0</v>
      </c>
      <c r="BU191" s="421">
        <f t="shared" si="687"/>
        <v>504135</v>
      </c>
      <c r="BV191" s="421">
        <f t="shared" si="687"/>
        <v>14915</v>
      </c>
      <c r="BW191" s="421">
        <f t="shared" si="688"/>
        <v>0</v>
      </c>
      <c r="BX191" s="422">
        <f t="shared" si="689"/>
        <v>3.99</v>
      </c>
      <c r="BY191" s="422">
        <f t="shared" si="690"/>
        <v>3.99</v>
      </c>
      <c r="BZ191" s="611">
        <f t="shared" si="690"/>
        <v>0</v>
      </c>
      <c r="CA191" s="423"/>
      <c r="CB191" s="418"/>
      <c r="CC191" s="418"/>
      <c r="CD191" s="418"/>
      <c r="CE191" s="418"/>
      <c r="CF191" s="527"/>
    </row>
    <row r="192" spans="1:84" s="222" customFormat="1" ht="12.75" customHeight="1" x14ac:dyDescent="0.2">
      <c r="A192" s="210">
        <v>34</v>
      </c>
      <c r="B192" s="211">
        <v>4449</v>
      </c>
      <c r="C192" s="211">
        <v>650037090</v>
      </c>
      <c r="D192" s="211">
        <v>72744171</v>
      </c>
      <c r="E192" s="209" t="s">
        <v>211</v>
      </c>
      <c r="F192" s="211">
        <v>3141</v>
      </c>
      <c r="G192" s="165" t="s">
        <v>295</v>
      </c>
      <c r="H192" s="699" t="s">
        <v>272</v>
      </c>
      <c r="I192" s="528">
        <f t="shared" si="660"/>
        <v>855088</v>
      </c>
      <c r="J192" s="418">
        <f t="shared" si="661"/>
        <v>631378</v>
      </c>
      <c r="K192" s="418">
        <v>0</v>
      </c>
      <c r="L192" s="418">
        <v>631378</v>
      </c>
      <c r="M192" s="418">
        <f t="shared" si="662"/>
        <v>0</v>
      </c>
      <c r="N192" s="418"/>
      <c r="O192" s="418"/>
      <c r="P192" s="68">
        <f t="shared" si="663"/>
        <v>213406</v>
      </c>
      <c r="Q192" s="68">
        <f t="shared" si="664"/>
        <v>6314</v>
      </c>
      <c r="R192" s="418">
        <v>3990</v>
      </c>
      <c r="S192" s="419">
        <f t="shared" si="665"/>
        <v>1.89</v>
      </c>
      <c r="T192" s="420">
        <v>0</v>
      </c>
      <c r="U192" s="527">
        <v>1.89</v>
      </c>
      <c r="V192" s="427">
        <f t="shared" si="666"/>
        <v>0</v>
      </c>
      <c r="W192" s="421">
        <f t="shared" si="666"/>
        <v>0</v>
      </c>
      <c r="X192" s="421">
        <v>0</v>
      </c>
      <c r="Y192" s="421">
        <v>0</v>
      </c>
      <c r="Z192" s="421">
        <v>0</v>
      </c>
      <c r="AA192" s="421">
        <v>0</v>
      </c>
      <c r="AB192" s="421">
        <v>0</v>
      </c>
      <c r="AC192" s="421">
        <v>0</v>
      </c>
      <c r="AD192" s="421">
        <v>0</v>
      </c>
      <c r="AE192" s="421">
        <v>0</v>
      </c>
      <c r="AF192" s="421">
        <f t="shared" si="667"/>
        <v>0</v>
      </c>
      <c r="AG192" s="421">
        <f t="shared" si="668"/>
        <v>0</v>
      </c>
      <c r="AH192" s="421">
        <f t="shared" si="669"/>
        <v>0</v>
      </c>
      <c r="AI192" s="421">
        <v>0</v>
      </c>
      <c r="AJ192" s="421">
        <v>0</v>
      </c>
      <c r="AK192" s="421">
        <v>0</v>
      </c>
      <c r="AL192" s="421">
        <v>0</v>
      </c>
      <c r="AM192" s="421">
        <v>0</v>
      </c>
      <c r="AN192" s="421">
        <v>0</v>
      </c>
      <c r="AO192" s="421">
        <f t="shared" si="670"/>
        <v>0</v>
      </c>
      <c r="AP192" s="421">
        <f t="shared" si="671"/>
        <v>0</v>
      </c>
      <c r="AQ192" s="421">
        <f t="shared" si="672"/>
        <v>0</v>
      </c>
      <c r="AR192" s="421">
        <f t="shared" si="673"/>
        <v>0</v>
      </c>
      <c r="AS192" s="421">
        <f t="shared" si="673"/>
        <v>0</v>
      </c>
      <c r="AT192" s="421">
        <f t="shared" si="674"/>
        <v>0</v>
      </c>
      <c r="AU192" s="68">
        <f t="shared" si="675"/>
        <v>0</v>
      </c>
      <c r="AV192" s="68">
        <f t="shared" si="676"/>
        <v>0</v>
      </c>
      <c r="AW192" s="421">
        <v>0</v>
      </c>
      <c r="AX192" s="421">
        <v>0</v>
      </c>
      <c r="AY192" s="421">
        <f t="shared" si="677"/>
        <v>0</v>
      </c>
      <c r="AZ192" s="421">
        <f t="shared" si="678"/>
        <v>0</v>
      </c>
      <c r="BA192" s="422">
        <v>0</v>
      </c>
      <c r="BB192" s="422">
        <v>0</v>
      </c>
      <c r="BC192" s="422">
        <v>0</v>
      </c>
      <c r="BD192" s="422">
        <v>0</v>
      </c>
      <c r="BE192" s="422">
        <v>0</v>
      </c>
      <c r="BF192" s="422">
        <v>0</v>
      </c>
      <c r="BG192" s="422">
        <v>0</v>
      </c>
      <c r="BH192" s="422">
        <v>0</v>
      </c>
      <c r="BI192" s="422">
        <v>0</v>
      </c>
      <c r="BJ192" s="422">
        <v>0</v>
      </c>
      <c r="BK192" s="422">
        <f t="shared" si="679"/>
        <v>0</v>
      </c>
      <c r="BL192" s="422">
        <f t="shared" si="680"/>
        <v>0</v>
      </c>
      <c r="BM192" s="611">
        <f t="shared" si="681"/>
        <v>0</v>
      </c>
      <c r="BN192" s="428">
        <f t="shared" si="682"/>
        <v>855088</v>
      </c>
      <c r="BO192" s="421">
        <f t="shared" si="683"/>
        <v>631378</v>
      </c>
      <c r="BP192" s="421">
        <f t="shared" si="684"/>
        <v>0</v>
      </c>
      <c r="BQ192" s="421">
        <f t="shared" si="684"/>
        <v>631378</v>
      </c>
      <c r="BR192" s="421">
        <f t="shared" si="685"/>
        <v>0</v>
      </c>
      <c r="BS192" s="421">
        <f t="shared" si="686"/>
        <v>0</v>
      </c>
      <c r="BT192" s="421">
        <f t="shared" si="686"/>
        <v>0</v>
      </c>
      <c r="BU192" s="421">
        <f t="shared" si="687"/>
        <v>213406</v>
      </c>
      <c r="BV192" s="421">
        <f t="shared" si="687"/>
        <v>6314</v>
      </c>
      <c r="BW192" s="421">
        <f t="shared" si="688"/>
        <v>3990</v>
      </c>
      <c r="BX192" s="422">
        <f t="shared" si="689"/>
        <v>1.89</v>
      </c>
      <c r="BY192" s="422">
        <f t="shared" si="690"/>
        <v>0</v>
      </c>
      <c r="BZ192" s="611">
        <f t="shared" si="690"/>
        <v>1.89</v>
      </c>
      <c r="CA192" s="423"/>
      <c r="CB192" s="418"/>
      <c r="CC192" s="418"/>
      <c r="CD192" s="418"/>
      <c r="CE192" s="418"/>
      <c r="CF192" s="527"/>
    </row>
    <row r="193" spans="1:84" s="222" customFormat="1" ht="12.75" customHeight="1" x14ac:dyDescent="0.2">
      <c r="A193" s="210">
        <v>34</v>
      </c>
      <c r="B193" s="211">
        <v>4449</v>
      </c>
      <c r="C193" s="211">
        <v>650037090</v>
      </c>
      <c r="D193" s="211">
        <v>72744171</v>
      </c>
      <c r="E193" s="209" t="s">
        <v>211</v>
      </c>
      <c r="F193" s="211">
        <v>3143</v>
      </c>
      <c r="G193" s="165" t="s">
        <v>596</v>
      </c>
      <c r="H193" s="686" t="s">
        <v>271</v>
      </c>
      <c r="I193" s="528">
        <f t="shared" si="660"/>
        <v>1588765</v>
      </c>
      <c r="J193" s="418">
        <f t="shared" si="661"/>
        <v>1178609</v>
      </c>
      <c r="K193" s="418">
        <v>1178609</v>
      </c>
      <c r="L193" s="418">
        <v>0</v>
      </c>
      <c r="M193" s="418">
        <f t="shared" si="662"/>
        <v>0</v>
      </c>
      <c r="N193" s="418"/>
      <c r="O193" s="418"/>
      <c r="P193" s="68">
        <f t="shared" si="663"/>
        <v>398370</v>
      </c>
      <c r="Q193" s="68">
        <f t="shared" si="664"/>
        <v>11786</v>
      </c>
      <c r="R193" s="418">
        <v>0</v>
      </c>
      <c r="S193" s="419">
        <f t="shared" si="665"/>
        <v>2.5</v>
      </c>
      <c r="T193" s="420">
        <v>2.5</v>
      </c>
      <c r="U193" s="527">
        <v>0</v>
      </c>
      <c r="V193" s="427">
        <f t="shared" si="666"/>
        <v>0</v>
      </c>
      <c r="W193" s="421">
        <f t="shared" si="666"/>
        <v>0</v>
      </c>
      <c r="X193" s="421">
        <v>0</v>
      </c>
      <c r="Y193" s="421">
        <v>0</v>
      </c>
      <c r="Z193" s="421">
        <v>0</v>
      </c>
      <c r="AA193" s="421">
        <v>0</v>
      </c>
      <c r="AB193" s="421">
        <v>0</v>
      </c>
      <c r="AC193" s="421">
        <v>0</v>
      </c>
      <c r="AD193" s="421">
        <v>0</v>
      </c>
      <c r="AE193" s="421">
        <v>0</v>
      </c>
      <c r="AF193" s="421">
        <f t="shared" si="667"/>
        <v>0</v>
      </c>
      <c r="AG193" s="421">
        <f t="shared" si="668"/>
        <v>0</v>
      </c>
      <c r="AH193" s="421">
        <f t="shared" si="669"/>
        <v>0</v>
      </c>
      <c r="AI193" s="421">
        <v>0</v>
      </c>
      <c r="AJ193" s="421">
        <v>0</v>
      </c>
      <c r="AK193" s="421">
        <v>0</v>
      </c>
      <c r="AL193" s="421">
        <v>0</v>
      </c>
      <c r="AM193" s="421">
        <v>0</v>
      </c>
      <c r="AN193" s="421">
        <v>0</v>
      </c>
      <c r="AO193" s="421">
        <f t="shared" si="670"/>
        <v>0</v>
      </c>
      <c r="AP193" s="421">
        <f t="shared" si="671"/>
        <v>0</v>
      </c>
      <c r="AQ193" s="421">
        <f t="shared" si="672"/>
        <v>0</v>
      </c>
      <c r="AR193" s="421">
        <f t="shared" si="673"/>
        <v>0</v>
      </c>
      <c r="AS193" s="421">
        <f t="shared" si="673"/>
        <v>0</v>
      </c>
      <c r="AT193" s="421">
        <f t="shared" si="674"/>
        <v>0</v>
      </c>
      <c r="AU193" s="68">
        <f t="shared" si="675"/>
        <v>0</v>
      </c>
      <c r="AV193" s="68">
        <f t="shared" si="676"/>
        <v>0</v>
      </c>
      <c r="AW193" s="421">
        <v>0</v>
      </c>
      <c r="AX193" s="421">
        <v>0</v>
      </c>
      <c r="AY193" s="421">
        <f t="shared" si="677"/>
        <v>0</v>
      </c>
      <c r="AZ193" s="421">
        <f t="shared" si="678"/>
        <v>0</v>
      </c>
      <c r="BA193" s="422">
        <v>0</v>
      </c>
      <c r="BB193" s="422">
        <v>0</v>
      </c>
      <c r="BC193" s="422">
        <v>0</v>
      </c>
      <c r="BD193" s="422">
        <v>0</v>
      </c>
      <c r="BE193" s="422">
        <v>0</v>
      </c>
      <c r="BF193" s="422">
        <v>0</v>
      </c>
      <c r="BG193" s="422">
        <v>0</v>
      </c>
      <c r="BH193" s="422">
        <v>0</v>
      </c>
      <c r="BI193" s="422">
        <v>0</v>
      </c>
      <c r="BJ193" s="422">
        <v>0</v>
      </c>
      <c r="BK193" s="422">
        <f t="shared" si="679"/>
        <v>0</v>
      </c>
      <c r="BL193" s="422">
        <f t="shared" si="680"/>
        <v>0</v>
      </c>
      <c r="BM193" s="611">
        <f t="shared" si="681"/>
        <v>0</v>
      </c>
      <c r="BN193" s="428">
        <f t="shared" si="682"/>
        <v>1588765</v>
      </c>
      <c r="BO193" s="421">
        <f t="shared" si="683"/>
        <v>1178609</v>
      </c>
      <c r="BP193" s="421">
        <f t="shared" si="684"/>
        <v>1178609</v>
      </c>
      <c r="BQ193" s="421">
        <f t="shared" si="684"/>
        <v>0</v>
      </c>
      <c r="BR193" s="421">
        <f t="shared" si="685"/>
        <v>0</v>
      </c>
      <c r="BS193" s="421">
        <f t="shared" si="686"/>
        <v>0</v>
      </c>
      <c r="BT193" s="421">
        <f t="shared" si="686"/>
        <v>0</v>
      </c>
      <c r="BU193" s="421">
        <f t="shared" si="687"/>
        <v>398370</v>
      </c>
      <c r="BV193" s="421">
        <f t="shared" si="687"/>
        <v>11786</v>
      </c>
      <c r="BW193" s="421">
        <f t="shared" si="688"/>
        <v>0</v>
      </c>
      <c r="BX193" s="422">
        <f t="shared" si="689"/>
        <v>2.5</v>
      </c>
      <c r="BY193" s="422">
        <f t="shared" si="690"/>
        <v>2.5</v>
      </c>
      <c r="BZ193" s="611">
        <f t="shared" si="690"/>
        <v>0</v>
      </c>
      <c r="CA193" s="423"/>
      <c r="CB193" s="418"/>
      <c r="CC193" s="418"/>
      <c r="CD193" s="418"/>
      <c r="CE193" s="418"/>
      <c r="CF193" s="527"/>
    </row>
    <row r="194" spans="1:84" s="222" customFormat="1" ht="12.75" customHeight="1" x14ac:dyDescent="0.2">
      <c r="A194" s="210">
        <v>34</v>
      </c>
      <c r="B194" s="211">
        <v>4449</v>
      </c>
      <c r="C194" s="211">
        <v>650037090</v>
      </c>
      <c r="D194" s="211">
        <v>72744171</v>
      </c>
      <c r="E194" s="209" t="s">
        <v>211</v>
      </c>
      <c r="F194" s="211">
        <v>3143</v>
      </c>
      <c r="G194" s="165" t="s">
        <v>597</v>
      </c>
      <c r="H194" s="686" t="s">
        <v>272</v>
      </c>
      <c r="I194" s="528">
        <f t="shared" si="660"/>
        <v>31241</v>
      </c>
      <c r="J194" s="418">
        <f t="shared" si="661"/>
        <v>22361</v>
      </c>
      <c r="K194" s="418">
        <v>0</v>
      </c>
      <c r="L194" s="418">
        <v>22361</v>
      </c>
      <c r="M194" s="418">
        <f t="shared" si="662"/>
        <v>0</v>
      </c>
      <c r="N194" s="418"/>
      <c r="O194" s="418"/>
      <c r="P194" s="68">
        <f t="shared" si="663"/>
        <v>7558</v>
      </c>
      <c r="Q194" s="68">
        <f t="shared" si="664"/>
        <v>224</v>
      </c>
      <c r="R194" s="418">
        <v>1098</v>
      </c>
      <c r="S194" s="419">
        <f t="shared" si="665"/>
        <v>0.08</v>
      </c>
      <c r="T194" s="420">
        <v>0</v>
      </c>
      <c r="U194" s="527">
        <v>0.08</v>
      </c>
      <c r="V194" s="427">
        <f t="shared" si="666"/>
        <v>0</v>
      </c>
      <c r="W194" s="421">
        <f t="shared" si="666"/>
        <v>0</v>
      </c>
      <c r="X194" s="421">
        <v>0</v>
      </c>
      <c r="Y194" s="421">
        <v>0</v>
      </c>
      <c r="Z194" s="421">
        <v>0</v>
      </c>
      <c r="AA194" s="421">
        <v>0</v>
      </c>
      <c r="AB194" s="421">
        <v>0</v>
      </c>
      <c r="AC194" s="421">
        <v>0</v>
      </c>
      <c r="AD194" s="421">
        <v>0</v>
      </c>
      <c r="AE194" s="421">
        <v>0</v>
      </c>
      <c r="AF194" s="421">
        <f t="shared" si="667"/>
        <v>0</v>
      </c>
      <c r="AG194" s="421">
        <f t="shared" si="668"/>
        <v>0</v>
      </c>
      <c r="AH194" s="421">
        <f t="shared" si="669"/>
        <v>0</v>
      </c>
      <c r="AI194" s="421">
        <v>0</v>
      </c>
      <c r="AJ194" s="421">
        <v>0</v>
      </c>
      <c r="AK194" s="421">
        <v>0</v>
      </c>
      <c r="AL194" s="421">
        <v>0</v>
      </c>
      <c r="AM194" s="421">
        <v>0</v>
      </c>
      <c r="AN194" s="421">
        <v>0</v>
      </c>
      <c r="AO194" s="421">
        <f t="shared" si="670"/>
        <v>0</v>
      </c>
      <c r="AP194" s="421">
        <f t="shared" si="671"/>
        <v>0</v>
      </c>
      <c r="AQ194" s="421">
        <f t="shared" si="672"/>
        <v>0</v>
      </c>
      <c r="AR194" s="421">
        <f t="shared" si="673"/>
        <v>0</v>
      </c>
      <c r="AS194" s="421">
        <f t="shared" si="673"/>
        <v>0</v>
      </c>
      <c r="AT194" s="421">
        <f t="shared" si="674"/>
        <v>0</v>
      </c>
      <c r="AU194" s="68">
        <f t="shared" si="675"/>
        <v>0</v>
      </c>
      <c r="AV194" s="68">
        <f t="shared" si="676"/>
        <v>0</v>
      </c>
      <c r="AW194" s="421">
        <v>0</v>
      </c>
      <c r="AX194" s="421">
        <v>0</v>
      </c>
      <c r="AY194" s="421">
        <f t="shared" si="677"/>
        <v>0</v>
      </c>
      <c r="AZ194" s="421">
        <f t="shared" si="678"/>
        <v>0</v>
      </c>
      <c r="BA194" s="422">
        <v>0</v>
      </c>
      <c r="BB194" s="422">
        <v>0</v>
      </c>
      <c r="BC194" s="422">
        <v>0</v>
      </c>
      <c r="BD194" s="422">
        <v>0</v>
      </c>
      <c r="BE194" s="422">
        <v>0</v>
      </c>
      <c r="BF194" s="422">
        <v>0</v>
      </c>
      <c r="BG194" s="422">
        <v>0</v>
      </c>
      <c r="BH194" s="422">
        <v>0</v>
      </c>
      <c r="BI194" s="422">
        <v>0</v>
      </c>
      <c r="BJ194" s="422">
        <v>0</v>
      </c>
      <c r="BK194" s="422">
        <f t="shared" si="679"/>
        <v>0</v>
      </c>
      <c r="BL194" s="422">
        <f t="shared" si="680"/>
        <v>0</v>
      </c>
      <c r="BM194" s="611">
        <f t="shared" si="681"/>
        <v>0</v>
      </c>
      <c r="BN194" s="428">
        <f t="shared" si="682"/>
        <v>31241</v>
      </c>
      <c r="BO194" s="421">
        <f t="shared" si="683"/>
        <v>22361</v>
      </c>
      <c r="BP194" s="421">
        <f t="shared" si="684"/>
        <v>0</v>
      </c>
      <c r="BQ194" s="421">
        <f t="shared" si="684"/>
        <v>22361</v>
      </c>
      <c r="BR194" s="421">
        <f t="shared" si="685"/>
        <v>0</v>
      </c>
      <c r="BS194" s="421">
        <f t="shared" si="686"/>
        <v>0</v>
      </c>
      <c r="BT194" s="421">
        <f t="shared" si="686"/>
        <v>0</v>
      </c>
      <c r="BU194" s="421">
        <f t="shared" si="687"/>
        <v>7558</v>
      </c>
      <c r="BV194" s="421">
        <f t="shared" si="687"/>
        <v>224</v>
      </c>
      <c r="BW194" s="421">
        <f t="shared" si="688"/>
        <v>1098</v>
      </c>
      <c r="BX194" s="422">
        <f t="shared" si="689"/>
        <v>0.08</v>
      </c>
      <c r="BY194" s="422">
        <f t="shared" si="690"/>
        <v>0</v>
      </c>
      <c r="BZ194" s="611">
        <f t="shared" si="690"/>
        <v>0.08</v>
      </c>
      <c r="CA194" s="423"/>
      <c r="CB194" s="418"/>
      <c r="CC194" s="418"/>
      <c r="CD194" s="418"/>
      <c r="CE194" s="418"/>
      <c r="CF194" s="527"/>
    </row>
    <row r="195" spans="1:84" s="222" customFormat="1" ht="12.75" customHeight="1" x14ac:dyDescent="0.2">
      <c r="A195" s="155">
        <v>34</v>
      </c>
      <c r="B195" s="18">
        <v>4449</v>
      </c>
      <c r="C195" s="18">
        <v>650037090</v>
      </c>
      <c r="D195" s="18">
        <v>72744171</v>
      </c>
      <c r="E195" s="164" t="s">
        <v>212</v>
      </c>
      <c r="F195" s="18"/>
      <c r="G195" s="154"/>
      <c r="H195" s="685"/>
      <c r="I195" s="458">
        <f t="shared" ref="I195:BU195" si="691">SUM(I189:I194)</f>
        <v>18081890</v>
      </c>
      <c r="J195" s="451">
        <f t="shared" si="691"/>
        <v>13290211</v>
      </c>
      <c r="K195" s="451">
        <f t="shared" si="691"/>
        <v>11464990</v>
      </c>
      <c r="L195" s="451">
        <f t="shared" si="691"/>
        <v>1825221</v>
      </c>
      <c r="M195" s="451">
        <f t="shared" si="691"/>
        <v>0</v>
      </c>
      <c r="N195" s="451">
        <f t="shared" si="691"/>
        <v>0</v>
      </c>
      <c r="O195" s="451">
        <f t="shared" si="691"/>
        <v>0</v>
      </c>
      <c r="P195" s="451">
        <f t="shared" si="691"/>
        <v>4492092</v>
      </c>
      <c r="Q195" s="451">
        <f t="shared" si="691"/>
        <v>132903</v>
      </c>
      <c r="R195" s="451">
        <f t="shared" si="691"/>
        <v>166684</v>
      </c>
      <c r="S195" s="452">
        <f t="shared" si="691"/>
        <v>24.192699999999999</v>
      </c>
      <c r="T195" s="452">
        <f t="shared" si="691"/>
        <v>18.636299999999999</v>
      </c>
      <c r="U195" s="39">
        <f t="shared" si="691"/>
        <v>5.5564</v>
      </c>
      <c r="V195" s="458">
        <f t="shared" si="691"/>
        <v>0</v>
      </c>
      <c r="W195" s="451">
        <f t="shared" si="691"/>
        <v>-12800</v>
      </c>
      <c r="X195" s="451">
        <f t="shared" si="691"/>
        <v>1491525</v>
      </c>
      <c r="Y195" s="451">
        <f t="shared" si="691"/>
        <v>0</v>
      </c>
      <c r="Z195" s="451">
        <f t="shared" si="691"/>
        <v>0</v>
      </c>
      <c r="AA195" s="451">
        <f t="shared" si="691"/>
        <v>0</v>
      </c>
      <c r="AB195" s="451">
        <f t="shared" si="691"/>
        <v>0</v>
      </c>
      <c r="AC195" s="451">
        <f t="shared" si="691"/>
        <v>0</v>
      </c>
      <c r="AD195" s="451">
        <f t="shared" si="691"/>
        <v>0</v>
      </c>
      <c r="AE195" s="451">
        <f t="shared" si="691"/>
        <v>0</v>
      </c>
      <c r="AF195" s="451">
        <f t="shared" si="691"/>
        <v>1491525</v>
      </c>
      <c r="AG195" s="451">
        <f t="shared" si="691"/>
        <v>-12800</v>
      </c>
      <c r="AH195" s="451">
        <f t="shared" si="691"/>
        <v>1478725</v>
      </c>
      <c r="AI195" s="451">
        <f t="shared" si="691"/>
        <v>0</v>
      </c>
      <c r="AJ195" s="451">
        <f t="shared" si="691"/>
        <v>12800</v>
      </c>
      <c r="AK195" s="451">
        <f t="shared" ref="AK195" si="692">SUM(AK189:AK194)</f>
        <v>0</v>
      </c>
      <c r="AL195" s="451">
        <f t="shared" si="691"/>
        <v>105920</v>
      </c>
      <c r="AM195" s="451">
        <f t="shared" si="691"/>
        <v>0</v>
      </c>
      <c r="AN195" s="451">
        <f t="shared" si="691"/>
        <v>0</v>
      </c>
      <c r="AO195" s="451">
        <f t="shared" si="691"/>
        <v>105920</v>
      </c>
      <c r="AP195" s="451">
        <f t="shared" si="691"/>
        <v>12800</v>
      </c>
      <c r="AQ195" s="451">
        <f t="shared" si="691"/>
        <v>118720</v>
      </c>
      <c r="AR195" s="451">
        <f t="shared" si="691"/>
        <v>1597445</v>
      </c>
      <c r="AS195" s="451">
        <f t="shared" si="691"/>
        <v>0</v>
      </c>
      <c r="AT195" s="451">
        <f t="shared" si="691"/>
        <v>1597445</v>
      </c>
      <c r="AU195" s="451">
        <f t="shared" si="691"/>
        <v>539936</v>
      </c>
      <c r="AV195" s="451">
        <f t="shared" si="691"/>
        <v>14787</v>
      </c>
      <c r="AW195" s="451">
        <f t="shared" si="691"/>
        <v>0</v>
      </c>
      <c r="AX195" s="451">
        <f t="shared" si="691"/>
        <v>0</v>
      </c>
      <c r="AY195" s="451">
        <f t="shared" si="691"/>
        <v>0</v>
      </c>
      <c r="AZ195" s="451">
        <f t="shared" si="691"/>
        <v>2152168</v>
      </c>
      <c r="BA195" s="452">
        <f t="shared" si="691"/>
        <v>0</v>
      </c>
      <c r="BB195" s="452">
        <f t="shared" si="691"/>
        <v>-0.02</v>
      </c>
      <c r="BC195" s="452">
        <f t="shared" si="691"/>
        <v>3.99</v>
      </c>
      <c r="BD195" s="452">
        <f t="shared" si="691"/>
        <v>0</v>
      </c>
      <c r="BE195" s="452">
        <f t="shared" si="691"/>
        <v>0</v>
      </c>
      <c r="BF195" s="452">
        <f t="shared" si="691"/>
        <v>0</v>
      </c>
      <c r="BG195" s="452">
        <f t="shared" si="691"/>
        <v>0</v>
      </c>
      <c r="BH195" s="452">
        <f t="shared" si="691"/>
        <v>0</v>
      </c>
      <c r="BI195" s="452">
        <f t="shared" si="691"/>
        <v>0</v>
      </c>
      <c r="BJ195" s="452">
        <f t="shared" si="691"/>
        <v>0</v>
      </c>
      <c r="BK195" s="452">
        <f t="shared" si="691"/>
        <v>3.99</v>
      </c>
      <c r="BL195" s="452">
        <f t="shared" si="691"/>
        <v>-0.02</v>
      </c>
      <c r="BM195" s="456">
        <f t="shared" si="691"/>
        <v>3.97</v>
      </c>
      <c r="BN195" s="454">
        <f t="shared" si="691"/>
        <v>20234058</v>
      </c>
      <c r="BO195" s="451">
        <f t="shared" si="691"/>
        <v>14768936</v>
      </c>
      <c r="BP195" s="451">
        <f t="shared" si="691"/>
        <v>12956515</v>
      </c>
      <c r="BQ195" s="451">
        <f t="shared" si="691"/>
        <v>1812421</v>
      </c>
      <c r="BR195" s="451">
        <f t="shared" si="691"/>
        <v>118720</v>
      </c>
      <c r="BS195" s="451">
        <f t="shared" si="691"/>
        <v>105920</v>
      </c>
      <c r="BT195" s="451">
        <f t="shared" si="691"/>
        <v>12800</v>
      </c>
      <c r="BU195" s="451">
        <f t="shared" si="691"/>
        <v>5032028</v>
      </c>
      <c r="BV195" s="451">
        <f t="shared" ref="BV195:CF195" si="693">SUM(BV189:BV194)</f>
        <v>147690</v>
      </c>
      <c r="BW195" s="451">
        <f t="shared" si="693"/>
        <v>166684</v>
      </c>
      <c r="BX195" s="452">
        <f t="shared" si="693"/>
        <v>28.162700000000001</v>
      </c>
      <c r="BY195" s="452">
        <f t="shared" si="693"/>
        <v>22.626300000000001</v>
      </c>
      <c r="BZ195" s="456">
        <f t="shared" si="693"/>
        <v>5.5363999999999995</v>
      </c>
      <c r="CA195" s="854">
        <f t="shared" si="693"/>
        <v>0</v>
      </c>
      <c r="CB195" s="852">
        <f t="shared" si="693"/>
        <v>0</v>
      </c>
      <c r="CC195" s="852">
        <f t="shared" si="693"/>
        <v>0</v>
      </c>
      <c r="CD195" s="852">
        <f t="shared" si="693"/>
        <v>0</v>
      </c>
      <c r="CE195" s="852">
        <f t="shared" si="693"/>
        <v>0</v>
      </c>
      <c r="CF195" s="848">
        <f t="shared" si="693"/>
        <v>0</v>
      </c>
    </row>
    <row r="196" spans="1:84" s="222" customFormat="1" ht="12.75" customHeight="1" x14ac:dyDescent="0.2">
      <c r="A196" s="210">
        <v>35</v>
      </c>
      <c r="B196" s="211">
        <v>4401</v>
      </c>
      <c r="C196" s="211">
        <v>600074196</v>
      </c>
      <c r="D196" s="211">
        <v>71011129</v>
      </c>
      <c r="E196" s="209" t="s">
        <v>213</v>
      </c>
      <c r="F196" s="211">
        <v>3111</v>
      </c>
      <c r="G196" s="165" t="s">
        <v>291</v>
      </c>
      <c r="H196" s="699" t="s">
        <v>271</v>
      </c>
      <c r="I196" s="528">
        <f t="shared" ref="I196:I198" si="694">J196+P196+Q196+R196</f>
        <v>3333020</v>
      </c>
      <c r="J196" s="418">
        <f>K196+L196</f>
        <v>2465040</v>
      </c>
      <c r="K196" s="418">
        <v>2243248</v>
      </c>
      <c r="L196" s="418">
        <v>221792</v>
      </c>
      <c r="M196" s="418">
        <f>N196+O196</f>
        <v>0</v>
      </c>
      <c r="N196" s="418"/>
      <c r="O196" s="418"/>
      <c r="P196" s="68">
        <f t="shared" ref="P196:P198" si="695">ROUND(J196*33.8%,0)</f>
        <v>833184</v>
      </c>
      <c r="Q196" s="68">
        <f t="shared" ref="Q196:Q198" si="696">ROUND(J196*1%,0)</f>
        <v>24650</v>
      </c>
      <c r="R196" s="418">
        <v>10146</v>
      </c>
      <c r="S196" s="419">
        <f>T196+U196</f>
        <v>4.7466999999999997</v>
      </c>
      <c r="T196" s="420">
        <v>4</v>
      </c>
      <c r="U196" s="527">
        <v>0.74669999999999992</v>
      </c>
      <c r="V196" s="427">
        <f t="shared" ref="V196:W198" si="697">AI196*-1</f>
        <v>-6400</v>
      </c>
      <c r="W196" s="421">
        <f t="shared" si="697"/>
        <v>-51200</v>
      </c>
      <c r="X196" s="421">
        <v>0</v>
      </c>
      <c r="Y196" s="421">
        <v>0</v>
      </c>
      <c r="Z196" s="421">
        <v>0</v>
      </c>
      <c r="AA196" s="421">
        <v>0</v>
      </c>
      <c r="AB196" s="421">
        <v>0</v>
      </c>
      <c r="AC196" s="421">
        <v>0</v>
      </c>
      <c r="AD196" s="421">
        <v>0</v>
      </c>
      <c r="AE196" s="421">
        <v>0</v>
      </c>
      <c r="AF196" s="421">
        <f>V196+X196+Y196+AA196+AB196+AD196</f>
        <v>-6400</v>
      </c>
      <c r="AG196" s="421">
        <f>W196+Z196+AC196+AE196</f>
        <v>-51200</v>
      </c>
      <c r="AH196" s="421">
        <f>SUM(AF196:AG196)</f>
        <v>-57600</v>
      </c>
      <c r="AI196" s="421">
        <v>6400</v>
      </c>
      <c r="AJ196" s="421">
        <v>51200</v>
      </c>
      <c r="AK196" s="421">
        <v>0</v>
      </c>
      <c r="AL196" s="421">
        <v>0</v>
      </c>
      <c r="AM196" s="421">
        <v>0</v>
      </c>
      <c r="AN196" s="421">
        <v>0</v>
      </c>
      <c r="AO196" s="421">
        <f t="shared" ref="AO196:AO198" si="698">AI196+AK196+AL196+AM196</f>
        <v>6400</v>
      </c>
      <c r="AP196" s="421">
        <f>AJ196+AN196</f>
        <v>51200</v>
      </c>
      <c r="AQ196" s="421">
        <f>SUM(AO196:AP196)</f>
        <v>57600</v>
      </c>
      <c r="AR196" s="421">
        <f t="shared" ref="AR196:AS198" si="699">AF196+AO196</f>
        <v>0</v>
      </c>
      <c r="AS196" s="421">
        <f t="shared" si="699"/>
        <v>0</v>
      </c>
      <c r="AT196" s="421">
        <f>SUM(AR196:AS196)</f>
        <v>0</v>
      </c>
      <c r="AU196" s="68">
        <f t="shared" ref="AU196:AU198" si="700">ROUND((AH196+AI196+AJ196+AK196+AL196)*33.8%,0)</f>
        <v>0</v>
      </c>
      <c r="AV196" s="68">
        <f>ROUND(AH196*1%,0)</f>
        <v>-576</v>
      </c>
      <c r="AW196" s="421">
        <v>0</v>
      </c>
      <c r="AX196" s="421">
        <v>0</v>
      </c>
      <c r="AY196" s="421">
        <f>AW196+AX196</f>
        <v>0</v>
      </c>
      <c r="AZ196" s="421">
        <f>AT196+AU196+AV196+AY196</f>
        <v>-576</v>
      </c>
      <c r="BA196" s="422">
        <v>0</v>
      </c>
      <c r="BB196" s="422">
        <v>-0.18</v>
      </c>
      <c r="BC196" s="422">
        <v>0</v>
      </c>
      <c r="BD196" s="422">
        <v>0</v>
      </c>
      <c r="BE196" s="422">
        <v>0</v>
      </c>
      <c r="BF196" s="422">
        <v>0</v>
      </c>
      <c r="BG196" s="422">
        <v>0</v>
      </c>
      <c r="BH196" s="422">
        <v>0</v>
      </c>
      <c r="BI196" s="422">
        <v>0</v>
      </c>
      <c r="BJ196" s="422">
        <v>0</v>
      </c>
      <c r="BK196" s="422">
        <f>BA196+BC196+BD196+BF196+BH196+BI196</f>
        <v>0</v>
      </c>
      <c r="BL196" s="422">
        <f>BB196+BE196+BG196+BJ196</f>
        <v>-0.18</v>
      </c>
      <c r="BM196" s="611">
        <f>SUM(BK196:BL196)</f>
        <v>-0.18</v>
      </c>
      <c r="BN196" s="428">
        <f>I196+AZ196</f>
        <v>3332444</v>
      </c>
      <c r="BO196" s="421">
        <f>J196+AH196</f>
        <v>2407440</v>
      </c>
      <c r="BP196" s="421">
        <f t="shared" ref="BP196:BQ198" si="701">K196+AF196</f>
        <v>2236848</v>
      </c>
      <c r="BQ196" s="421">
        <f t="shared" si="701"/>
        <v>170592</v>
      </c>
      <c r="BR196" s="421">
        <f>M196+AQ196</f>
        <v>57600</v>
      </c>
      <c r="BS196" s="421">
        <f t="shared" ref="BS196:BT198" si="702">N196+AO196</f>
        <v>6400</v>
      </c>
      <c r="BT196" s="421">
        <f t="shared" si="702"/>
        <v>51200</v>
      </c>
      <c r="BU196" s="421">
        <f t="shared" ref="BU196:BV198" si="703">P196+AU196</f>
        <v>833184</v>
      </c>
      <c r="BV196" s="421">
        <f t="shared" si="703"/>
        <v>24074</v>
      </c>
      <c r="BW196" s="421">
        <f>R196+AY196</f>
        <v>10146</v>
      </c>
      <c r="BX196" s="422">
        <f>S196+BM196</f>
        <v>4.5667</v>
      </c>
      <c r="BY196" s="422">
        <f t="shared" ref="BY196:BZ198" si="704">T196+BK196</f>
        <v>4</v>
      </c>
      <c r="BZ196" s="611">
        <f t="shared" si="704"/>
        <v>0.56669999999999998</v>
      </c>
      <c r="CA196" s="423"/>
      <c r="CB196" s="418"/>
      <c r="CC196" s="418"/>
      <c r="CD196" s="418"/>
      <c r="CE196" s="418"/>
      <c r="CF196" s="527"/>
    </row>
    <row r="197" spans="1:84" s="222" customFormat="1" ht="12.75" customHeight="1" x14ac:dyDescent="0.2">
      <c r="A197" s="210">
        <v>35</v>
      </c>
      <c r="B197" s="211">
        <v>4401</v>
      </c>
      <c r="C197" s="211">
        <v>600074196</v>
      </c>
      <c r="D197" s="211">
        <v>71011129</v>
      </c>
      <c r="E197" s="209" t="s">
        <v>213</v>
      </c>
      <c r="F197" s="211">
        <v>3111</v>
      </c>
      <c r="G197" s="165" t="s">
        <v>292</v>
      </c>
      <c r="H197" s="699" t="s">
        <v>272</v>
      </c>
      <c r="I197" s="528">
        <f t="shared" si="694"/>
        <v>0</v>
      </c>
      <c r="J197" s="418">
        <f>K197+L197</f>
        <v>0</v>
      </c>
      <c r="K197" s="418">
        <v>0</v>
      </c>
      <c r="L197" s="418">
        <v>0</v>
      </c>
      <c r="M197" s="418">
        <f>N197+O197</f>
        <v>0</v>
      </c>
      <c r="N197" s="418"/>
      <c r="O197" s="418"/>
      <c r="P197" s="68">
        <f t="shared" si="695"/>
        <v>0</v>
      </c>
      <c r="Q197" s="68">
        <f t="shared" si="696"/>
        <v>0</v>
      </c>
      <c r="R197" s="418">
        <v>0</v>
      </c>
      <c r="S197" s="419">
        <f>T197+U197</f>
        <v>0</v>
      </c>
      <c r="T197" s="420">
        <v>0</v>
      </c>
      <c r="U197" s="527">
        <v>0</v>
      </c>
      <c r="V197" s="427">
        <f t="shared" si="697"/>
        <v>0</v>
      </c>
      <c r="W197" s="421">
        <f t="shared" si="697"/>
        <v>0</v>
      </c>
      <c r="X197" s="421">
        <v>236905</v>
      </c>
      <c r="Y197" s="421">
        <v>0</v>
      </c>
      <c r="Z197" s="421">
        <v>0</v>
      </c>
      <c r="AA197" s="421">
        <v>0</v>
      </c>
      <c r="AB197" s="421">
        <v>0</v>
      </c>
      <c r="AC197" s="421">
        <v>0</v>
      </c>
      <c r="AD197" s="421">
        <v>0</v>
      </c>
      <c r="AE197" s="421">
        <v>0</v>
      </c>
      <c r="AF197" s="421">
        <f>V197+X197+Y197+AA197+AB197+AD197</f>
        <v>236905</v>
      </c>
      <c r="AG197" s="421">
        <f>W197+Z197+AC197+AE197</f>
        <v>0</v>
      </c>
      <c r="AH197" s="421">
        <f>SUM(AF197:AG197)</f>
        <v>236905</v>
      </c>
      <c r="AI197" s="421">
        <v>0</v>
      </c>
      <c r="AJ197" s="421">
        <v>0</v>
      </c>
      <c r="AK197" s="421">
        <v>0</v>
      </c>
      <c r="AL197" s="421">
        <v>0</v>
      </c>
      <c r="AM197" s="421">
        <v>0</v>
      </c>
      <c r="AN197" s="421">
        <v>0</v>
      </c>
      <c r="AO197" s="421">
        <f t="shared" si="698"/>
        <v>0</v>
      </c>
      <c r="AP197" s="421">
        <f>AJ197+AN197</f>
        <v>0</v>
      </c>
      <c r="AQ197" s="421">
        <f>SUM(AO197:AP197)</f>
        <v>0</v>
      </c>
      <c r="AR197" s="421">
        <f t="shared" si="699"/>
        <v>236905</v>
      </c>
      <c r="AS197" s="421">
        <f t="shared" si="699"/>
        <v>0</v>
      </c>
      <c r="AT197" s="421">
        <f>SUM(AR197:AS197)</f>
        <v>236905</v>
      </c>
      <c r="AU197" s="68">
        <f t="shared" si="700"/>
        <v>80074</v>
      </c>
      <c r="AV197" s="68">
        <f>ROUND(AH197*1%,0)</f>
        <v>2369</v>
      </c>
      <c r="AW197" s="421">
        <v>0</v>
      </c>
      <c r="AX197" s="421">
        <v>0</v>
      </c>
      <c r="AY197" s="421">
        <f>AW197+AX197</f>
        <v>0</v>
      </c>
      <c r="AZ197" s="421">
        <f>AT197+AU197+AV197+AY197</f>
        <v>319348</v>
      </c>
      <c r="BA197" s="422">
        <v>0</v>
      </c>
      <c r="BB197" s="422">
        <v>0</v>
      </c>
      <c r="BC197" s="422">
        <v>0.64</v>
      </c>
      <c r="BD197" s="422">
        <v>0</v>
      </c>
      <c r="BE197" s="422">
        <v>0</v>
      </c>
      <c r="BF197" s="422">
        <v>0</v>
      </c>
      <c r="BG197" s="422">
        <v>0</v>
      </c>
      <c r="BH197" s="422">
        <v>0</v>
      </c>
      <c r="BI197" s="422">
        <v>0</v>
      </c>
      <c r="BJ197" s="422">
        <v>0</v>
      </c>
      <c r="BK197" s="422">
        <f>BA197+BC197+BD197+BF197+BH197+BI197</f>
        <v>0.64</v>
      </c>
      <c r="BL197" s="422">
        <f>BB197+BE197+BG197+BJ197</f>
        <v>0</v>
      </c>
      <c r="BM197" s="611">
        <f>SUM(BK197:BL197)</f>
        <v>0.64</v>
      </c>
      <c r="BN197" s="428">
        <f>I197+AZ197</f>
        <v>319348</v>
      </c>
      <c r="BO197" s="421">
        <f>J197+AH197</f>
        <v>236905</v>
      </c>
      <c r="BP197" s="421">
        <f t="shared" si="701"/>
        <v>236905</v>
      </c>
      <c r="BQ197" s="421">
        <f t="shared" si="701"/>
        <v>0</v>
      </c>
      <c r="BR197" s="421">
        <f>M197+AQ197</f>
        <v>0</v>
      </c>
      <c r="BS197" s="421">
        <f t="shared" si="702"/>
        <v>0</v>
      </c>
      <c r="BT197" s="421">
        <f t="shared" si="702"/>
        <v>0</v>
      </c>
      <c r="BU197" s="421">
        <f t="shared" si="703"/>
        <v>80074</v>
      </c>
      <c r="BV197" s="421">
        <f t="shared" si="703"/>
        <v>2369</v>
      </c>
      <c r="BW197" s="421">
        <f>R197+AY197</f>
        <v>0</v>
      </c>
      <c r="BX197" s="422">
        <f>S197+BM197</f>
        <v>0.64</v>
      </c>
      <c r="BY197" s="422">
        <f t="shared" si="704"/>
        <v>0.64</v>
      </c>
      <c r="BZ197" s="611">
        <f t="shared" si="704"/>
        <v>0</v>
      </c>
      <c r="CA197" s="423"/>
      <c r="CB197" s="418"/>
      <c r="CC197" s="418"/>
      <c r="CD197" s="418"/>
      <c r="CE197" s="418"/>
      <c r="CF197" s="527"/>
    </row>
    <row r="198" spans="1:84" s="222" customFormat="1" ht="12.75" customHeight="1" x14ac:dyDescent="0.2">
      <c r="A198" s="210">
        <v>35</v>
      </c>
      <c r="B198" s="211">
        <v>4401</v>
      </c>
      <c r="C198" s="211">
        <v>600074196</v>
      </c>
      <c r="D198" s="211">
        <v>71011129</v>
      </c>
      <c r="E198" s="205" t="s">
        <v>213</v>
      </c>
      <c r="F198" s="211">
        <v>3141</v>
      </c>
      <c r="G198" s="165" t="s">
        <v>295</v>
      </c>
      <c r="H198" s="699" t="s">
        <v>272</v>
      </c>
      <c r="I198" s="528">
        <f t="shared" si="694"/>
        <v>153714</v>
      </c>
      <c r="J198" s="418">
        <f>K198+L198</f>
        <v>113383</v>
      </c>
      <c r="K198" s="418">
        <v>0</v>
      </c>
      <c r="L198" s="418">
        <v>113383</v>
      </c>
      <c r="M198" s="418">
        <f>N198+O198</f>
        <v>0</v>
      </c>
      <c r="N198" s="418"/>
      <c r="O198" s="418"/>
      <c r="P198" s="68">
        <f t="shared" si="695"/>
        <v>38323</v>
      </c>
      <c r="Q198" s="68">
        <f t="shared" si="696"/>
        <v>1134</v>
      </c>
      <c r="R198" s="418">
        <v>874</v>
      </c>
      <c r="S198" s="419">
        <f>T198+U198</f>
        <v>0.34</v>
      </c>
      <c r="T198" s="420">
        <v>0</v>
      </c>
      <c r="U198" s="527">
        <v>0.34</v>
      </c>
      <c r="V198" s="427">
        <f t="shared" si="697"/>
        <v>0</v>
      </c>
      <c r="W198" s="421">
        <f t="shared" si="697"/>
        <v>0</v>
      </c>
      <c r="X198" s="421">
        <v>0</v>
      </c>
      <c r="Y198" s="421">
        <v>0</v>
      </c>
      <c r="Z198" s="421">
        <v>0</v>
      </c>
      <c r="AA198" s="421">
        <v>0</v>
      </c>
      <c r="AB198" s="421">
        <v>0</v>
      </c>
      <c r="AC198" s="421">
        <v>0</v>
      </c>
      <c r="AD198" s="421">
        <v>0</v>
      </c>
      <c r="AE198" s="421">
        <v>0</v>
      </c>
      <c r="AF198" s="421">
        <f>V198+X198+Y198+AA198+AB198+AD198</f>
        <v>0</v>
      </c>
      <c r="AG198" s="421">
        <f>W198+Z198+AC198+AE198</f>
        <v>0</v>
      </c>
      <c r="AH198" s="421">
        <f>SUM(AF198:AG198)</f>
        <v>0</v>
      </c>
      <c r="AI198" s="421">
        <v>0</v>
      </c>
      <c r="AJ198" s="421">
        <v>0</v>
      </c>
      <c r="AK198" s="421">
        <v>0</v>
      </c>
      <c r="AL198" s="421">
        <v>0</v>
      </c>
      <c r="AM198" s="421">
        <v>0</v>
      </c>
      <c r="AN198" s="421">
        <v>0</v>
      </c>
      <c r="AO198" s="421">
        <f t="shared" si="698"/>
        <v>0</v>
      </c>
      <c r="AP198" s="421">
        <f>AJ198+AN198</f>
        <v>0</v>
      </c>
      <c r="AQ198" s="421">
        <f>SUM(AO198:AP198)</f>
        <v>0</v>
      </c>
      <c r="AR198" s="421">
        <f t="shared" si="699"/>
        <v>0</v>
      </c>
      <c r="AS198" s="421">
        <f t="shared" si="699"/>
        <v>0</v>
      </c>
      <c r="AT198" s="421">
        <f>SUM(AR198:AS198)</f>
        <v>0</v>
      </c>
      <c r="AU198" s="68">
        <f t="shared" si="700"/>
        <v>0</v>
      </c>
      <c r="AV198" s="68">
        <f>ROUND(AH198*1%,0)</f>
        <v>0</v>
      </c>
      <c r="AW198" s="421">
        <v>0</v>
      </c>
      <c r="AX198" s="421">
        <v>0</v>
      </c>
      <c r="AY198" s="421">
        <f>AW198+AX198</f>
        <v>0</v>
      </c>
      <c r="AZ198" s="421">
        <f>AT198+AU198+AV198+AY198</f>
        <v>0</v>
      </c>
      <c r="BA198" s="422">
        <v>0</v>
      </c>
      <c r="BB198" s="422">
        <v>0</v>
      </c>
      <c r="BC198" s="422">
        <v>0</v>
      </c>
      <c r="BD198" s="422">
        <v>0</v>
      </c>
      <c r="BE198" s="422">
        <v>0</v>
      </c>
      <c r="BF198" s="422">
        <v>0</v>
      </c>
      <c r="BG198" s="422">
        <v>0</v>
      </c>
      <c r="BH198" s="422">
        <v>0</v>
      </c>
      <c r="BI198" s="422">
        <v>0</v>
      </c>
      <c r="BJ198" s="422">
        <v>0</v>
      </c>
      <c r="BK198" s="422">
        <f>BA198+BC198+BD198+BF198+BH198+BI198</f>
        <v>0</v>
      </c>
      <c r="BL198" s="422">
        <f>BB198+BE198+BG198+BJ198</f>
        <v>0</v>
      </c>
      <c r="BM198" s="611">
        <f>SUM(BK198:BL198)</f>
        <v>0</v>
      </c>
      <c r="BN198" s="428">
        <f>I198+AZ198</f>
        <v>153714</v>
      </c>
      <c r="BO198" s="421">
        <f>J198+AH198</f>
        <v>113383</v>
      </c>
      <c r="BP198" s="421">
        <f t="shared" si="701"/>
        <v>0</v>
      </c>
      <c r="BQ198" s="421">
        <f t="shared" si="701"/>
        <v>113383</v>
      </c>
      <c r="BR198" s="421">
        <f>M198+AQ198</f>
        <v>0</v>
      </c>
      <c r="BS198" s="421">
        <f t="shared" si="702"/>
        <v>0</v>
      </c>
      <c r="BT198" s="421">
        <f t="shared" si="702"/>
        <v>0</v>
      </c>
      <c r="BU198" s="421">
        <f t="shared" si="703"/>
        <v>38323</v>
      </c>
      <c r="BV198" s="421">
        <f t="shared" si="703"/>
        <v>1134</v>
      </c>
      <c r="BW198" s="421">
        <f>R198+AY198</f>
        <v>874</v>
      </c>
      <c r="BX198" s="422">
        <f>S198+BM198</f>
        <v>0.34</v>
      </c>
      <c r="BY198" s="422">
        <f t="shared" si="704"/>
        <v>0</v>
      </c>
      <c r="BZ198" s="611">
        <f t="shared" si="704"/>
        <v>0.34</v>
      </c>
      <c r="CA198" s="423"/>
      <c r="CB198" s="418"/>
      <c r="CC198" s="418"/>
      <c r="CD198" s="418"/>
      <c r="CE198" s="418"/>
      <c r="CF198" s="527"/>
    </row>
    <row r="199" spans="1:84" s="222" customFormat="1" ht="12.75" customHeight="1" x14ac:dyDescent="0.2">
      <c r="A199" s="155">
        <v>35</v>
      </c>
      <c r="B199" s="18">
        <v>4401</v>
      </c>
      <c r="C199" s="18">
        <v>600074196</v>
      </c>
      <c r="D199" s="18">
        <v>71011129</v>
      </c>
      <c r="E199" s="164" t="s">
        <v>214</v>
      </c>
      <c r="F199" s="18"/>
      <c r="G199" s="154"/>
      <c r="H199" s="685"/>
      <c r="I199" s="458">
        <f t="shared" ref="I199:BU199" si="705">SUM(I196:I198)</f>
        <v>3486734</v>
      </c>
      <c r="J199" s="451">
        <f t="shared" si="705"/>
        <v>2578423</v>
      </c>
      <c r="K199" s="451">
        <f t="shared" si="705"/>
        <v>2243248</v>
      </c>
      <c r="L199" s="451">
        <f t="shared" si="705"/>
        <v>335175</v>
      </c>
      <c r="M199" s="451">
        <f t="shared" si="705"/>
        <v>0</v>
      </c>
      <c r="N199" s="451">
        <f t="shared" si="705"/>
        <v>0</v>
      </c>
      <c r="O199" s="451">
        <f t="shared" si="705"/>
        <v>0</v>
      </c>
      <c r="P199" s="451">
        <f t="shared" si="705"/>
        <v>871507</v>
      </c>
      <c r="Q199" s="451">
        <f t="shared" si="705"/>
        <v>25784</v>
      </c>
      <c r="R199" s="451">
        <f t="shared" si="705"/>
        <v>11020</v>
      </c>
      <c r="S199" s="452">
        <f t="shared" si="705"/>
        <v>5.0866999999999996</v>
      </c>
      <c r="T199" s="452">
        <f t="shared" si="705"/>
        <v>4</v>
      </c>
      <c r="U199" s="39">
        <f t="shared" si="705"/>
        <v>1.0867</v>
      </c>
      <c r="V199" s="458">
        <f t="shared" si="705"/>
        <v>-6400</v>
      </c>
      <c r="W199" s="451">
        <f t="shared" si="705"/>
        <v>-51200</v>
      </c>
      <c r="X199" s="451">
        <f t="shared" si="705"/>
        <v>236905</v>
      </c>
      <c r="Y199" s="451">
        <f t="shared" si="705"/>
        <v>0</v>
      </c>
      <c r="Z199" s="451">
        <f t="shared" si="705"/>
        <v>0</v>
      </c>
      <c r="AA199" s="451">
        <f t="shared" si="705"/>
        <v>0</v>
      </c>
      <c r="AB199" s="451">
        <f t="shared" si="705"/>
        <v>0</v>
      </c>
      <c r="AC199" s="451">
        <f t="shared" si="705"/>
        <v>0</v>
      </c>
      <c r="AD199" s="451">
        <f t="shared" si="705"/>
        <v>0</v>
      </c>
      <c r="AE199" s="451">
        <f t="shared" si="705"/>
        <v>0</v>
      </c>
      <c r="AF199" s="451">
        <f t="shared" si="705"/>
        <v>230505</v>
      </c>
      <c r="AG199" s="451">
        <f t="shared" si="705"/>
        <v>-51200</v>
      </c>
      <c r="AH199" s="451">
        <f t="shared" si="705"/>
        <v>179305</v>
      </c>
      <c r="AI199" s="451">
        <f t="shared" si="705"/>
        <v>6400</v>
      </c>
      <c r="AJ199" s="451">
        <f t="shared" si="705"/>
        <v>51200</v>
      </c>
      <c r="AK199" s="451">
        <f t="shared" ref="AK199" si="706">SUM(AK196:AK198)</f>
        <v>0</v>
      </c>
      <c r="AL199" s="451">
        <f t="shared" si="705"/>
        <v>0</v>
      </c>
      <c r="AM199" s="451">
        <f t="shared" si="705"/>
        <v>0</v>
      </c>
      <c r="AN199" s="451">
        <f t="shared" si="705"/>
        <v>0</v>
      </c>
      <c r="AO199" s="451">
        <f t="shared" si="705"/>
        <v>6400</v>
      </c>
      <c r="AP199" s="451">
        <f t="shared" si="705"/>
        <v>51200</v>
      </c>
      <c r="AQ199" s="451">
        <f t="shared" si="705"/>
        <v>57600</v>
      </c>
      <c r="AR199" s="451">
        <f t="shared" si="705"/>
        <v>236905</v>
      </c>
      <c r="AS199" s="451">
        <f t="shared" si="705"/>
        <v>0</v>
      </c>
      <c r="AT199" s="451">
        <f t="shared" si="705"/>
        <v>236905</v>
      </c>
      <c r="AU199" s="451">
        <f t="shared" si="705"/>
        <v>80074</v>
      </c>
      <c r="AV199" s="451">
        <f t="shared" si="705"/>
        <v>1793</v>
      </c>
      <c r="AW199" s="451">
        <f t="shared" si="705"/>
        <v>0</v>
      </c>
      <c r="AX199" s="451">
        <f t="shared" si="705"/>
        <v>0</v>
      </c>
      <c r="AY199" s="451">
        <f t="shared" si="705"/>
        <v>0</v>
      </c>
      <c r="AZ199" s="451">
        <f t="shared" si="705"/>
        <v>318772</v>
      </c>
      <c r="BA199" s="452">
        <f t="shared" si="705"/>
        <v>0</v>
      </c>
      <c r="BB199" s="452">
        <f t="shared" si="705"/>
        <v>-0.18</v>
      </c>
      <c r="BC199" s="452">
        <f t="shared" si="705"/>
        <v>0.64</v>
      </c>
      <c r="BD199" s="452">
        <f t="shared" si="705"/>
        <v>0</v>
      </c>
      <c r="BE199" s="452">
        <f t="shared" si="705"/>
        <v>0</v>
      </c>
      <c r="BF199" s="452">
        <f t="shared" si="705"/>
        <v>0</v>
      </c>
      <c r="BG199" s="452">
        <f t="shared" si="705"/>
        <v>0</v>
      </c>
      <c r="BH199" s="452">
        <f t="shared" si="705"/>
        <v>0</v>
      </c>
      <c r="BI199" s="452">
        <f t="shared" si="705"/>
        <v>0</v>
      </c>
      <c r="BJ199" s="452">
        <f t="shared" si="705"/>
        <v>0</v>
      </c>
      <c r="BK199" s="452">
        <f t="shared" si="705"/>
        <v>0.64</v>
      </c>
      <c r="BL199" s="452">
        <f t="shared" si="705"/>
        <v>-0.18</v>
      </c>
      <c r="BM199" s="456">
        <f t="shared" si="705"/>
        <v>0.46</v>
      </c>
      <c r="BN199" s="454">
        <f t="shared" si="705"/>
        <v>3805506</v>
      </c>
      <c r="BO199" s="451">
        <f t="shared" si="705"/>
        <v>2757728</v>
      </c>
      <c r="BP199" s="451">
        <f t="shared" si="705"/>
        <v>2473753</v>
      </c>
      <c r="BQ199" s="451">
        <f t="shared" si="705"/>
        <v>283975</v>
      </c>
      <c r="BR199" s="451">
        <f t="shared" si="705"/>
        <v>57600</v>
      </c>
      <c r="BS199" s="451">
        <f t="shared" si="705"/>
        <v>6400</v>
      </c>
      <c r="BT199" s="451">
        <f t="shared" si="705"/>
        <v>51200</v>
      </c>
      <c r="BU199" s="451">
        <f t="shared" si="705"/>
        <v>951581</v>
      </c>
      <c r="BV199" s="451">
        <f t="shared" ref="BV199:CF199" si="707">SUM(BV196:BV198)</f>
        <v>27577</v>
      </c>
      <c r="BW199" s="451">
        <f t="shared" si="707"/>
        <v>11020</v>
      </c>
      <c r="BX199" s="452">
        <f t="shared" si="707"/>
        <v>5.5466999999999995</v>
      </c>
      <c r="BY199" s="452">
        <f t="shared" si="707"/>
        <v>4.6399999999999997</v>
      </c>
      <c r="BZ199" s="456">
        <f t="shared" si="707"/>
        <v>0.90670000000000006</v>
      </c>
      <c r="CA199" s="854">
        <f t="shared" si="707"/>
        <v>0</v>
      </c>
      <c r="CB199" s="852">
        <f t="shared" si="707"/>
        <v>0</v>
      </c>
      <c r="CC199" s="852">
        <f t="shared" si="707"/>
        <v>0</v>
      </c>
      <c r="CD199" s="852">
        <f t="shared" si="707"/>
        <v>0</v>
      </c>
      <c r="CE199" s="852">
        <f t="shared" si="707"/>
        <v>0</v>
      </c>
      <c r="CF199" s="848">
        <f t="shared" si="707"/>
        <v>0</v>
      </c>
    </row>
    <row r="200" spans="1:84" s="222" customFormat="1" ht="12.75" customHeight="1" x14ac:dyDescent="0.2">
      <c r="A200" s="210">
        <v>36</v>
      </c>
      <c r="B200" s="211">
        <v>4453</v>
      </c>
      <c r="C200" s="211">
        <v>600074790</v>
      </c>
      <c r="D200" s="211">
        <v>71011111</v>
      </c>
      <c r="E200" s="209" t="s">
        <v>215</v>
      </c>
      <c r="F200" s="211">
        <v>3113</v>
      </c>
      <c r="G200" s="165" t="s">
        <v>294</v>
      </c>
      <c r="H200" s="699" t="s">
        <v>271</v>
      </c>
      <c r="I200" s="528">
        <f t="shared" ref="I200:I204" si="708">J200+P200+Q200+R200</f>
        <v>11981292</v>
      </c>
      <c r="J200" s="418">
        <f>K200+L200</f>
        <v>8774852</v>
      </c>
      <c r="K200" s="418">
        <v>7909674</v>
      </c>
      <c r="L200" s="418">
        <v>865178</v>
      </c>
      <c r="M200" s="418">
        <f>N200+O200</f>
        <v>0</v>
      </c>
      <c r="N200" s="418"/>
      <c r="O200" s="418"/>
      <c r="P200" s="68">
        <f t="shared" ref="P200:P204" si="709">ROUND(J200*33.8%,0)</f>
        <v>2965900</v>
      </c>
      <c r="Q200" s="68">
        <f t="shared" ref="Q200:Q204" si="710">ROUND(J200*1%,0)</f>
        <v>87749</v>
      </c>
      <c r="R200" s="418">
        <v>152791</v>
      </c>
      <c r="S200" s="419">
        <f>T200+U200</f>
        <v>14.200199999999999</v>
      </c>
      <c r="T200" s="420">
        <v>11.7272</v>
      </c>
      <c r="U200" s="527">
        <v>2.4729999999999999</v>
      </c>
      <c r="V200" s="427">
        <f t="shared" ref="V200:W204" si="711">AI200*-1</f>
        <v>-12800</v>
      </c>
      <c r="W200" s="421">
        <f t="shared" si="711"/>
        <v>-6400</v>
      </c>
      <c r="X200" s="421">
        <v>0</v>
      </c>
      <c r="Y200" s="421">
        <v>0</v>
      </c>
      <c r="Z200" s="421">
        <v>0</v>
      </c>
      <c r="AA200" s="421">
        <v>45678</v>
      </c>
      <c r="AB200" s="421">
        <v>0</v>
      </c>
      <c r="AC200" s="421">
        <v>0</v>
      </c>
      <c r="AD200" s="421">
        <v>0</v>
      </c>
      <c r="AE200" s="421">
        <v>0</v>
      </c>
      <c r="AF200" s="421">
        <f>V200+X200+Y200+AA200+AB200+AD200</f>
        <v>32878</v>
      </c>
      <c r="AG200" s="421">
        <f>W200+Z200+AC200+AE200</f>
        <v>-6400</v>
      </c>
      <c r="AH200" s="421">
        <f>SUM(AF200:AG200)</f>
        <v>26478</v>
      </c>
      <c r="AI200" s="421">
        <v>12800</v>
      </c>
      <c r="AJ200" s="421">
        <v>6400</v>
      </c>
      <c r="AK200" s="421">
        <v>0</v>
      </c>
      <c r="AL200" s="421">
        <v>0</v>
      </c>
      <c r="AM200" s="421">
        <v>0</v>
      </c>
      <c r="AN200" s="421">
        <v>0</v>
      </c>
      <c r="AO200" s="421">
        <f t="shared" ref="AO200:AO204" si="712">AI200+AK200+AL200+AM200</f>
        <v>12800</v>
      </c>
      <c r="AP200" s="421">
        <f>AJ200+AN200</f>
        <v>6400</v>
      </c>
      <c r="AQ200" s="421">
        <f>SUM(AO200:AP200)</f>
        <v>19200</v>
      </c>
      <c r="AR200" s="421">
        <f t="shared" ref="AR200:AS204" si="713">AF200+AO200</f>
        <v>45678</v>
      </c>
      <c r="AS200" s="421">
        <f t="shared" si="713"/>
        <v>0</v>
      </c>
      <c r="AT200" s="421">
        <f>SUM(AR200:AS200)</f>
        <v>45678</v>
      </c>
      <c r="AU200" s="68">
        <f t="shared" ref="AU200:AU204" si="714">ROUND((AH200+AI200+AJ200+AK200+AL200)*33.8%,0)</f>
        <v>15439</v>
      </c>
      <c r="AV200" s="68">
        <f>ROUND(AH200*1%,0)</f>
        <v>265</v>
      </c>
      <c r="AW200" s="421">
        <v>0</v>
      </c>
      <c r="AX200" s="421">
        <v>0</v>
      </c>
      <c r="AY200" s="421">
        <f>AW200+AX200</f>
        <v>0</v>
      </c>
      <c r="AZ200" s="421">
        <f>AT200+AU200+AV200+AY200</f>
        <v>61382</v>
      </c>
      <c r="BA200" s="422">
        <v>-0.02</v>
      </c>
      <c r="BB200" s="422">
        <v>-0.02</v>
      </c>
      <c r="BC200" s="422">
        <v>0</v>
      </c>
      <c r="BD200" s="422">
        <v>0</v>
      </c>
      <c r="BE200" s="422">
        <v>0</v>
      </c>
      <c r="BF200" s="422">
        <v>0</v>
      </c>
      <c r="BG200" s="422">
        <v>0</v>
      </c>
      <c r="BH200" s="422">
        <v>7.0000000000000007E-2</v>
      </c>
      <c r="BI200" s="422">
        <v>0</v>
      </c>
      <c r="BJ200" s="422">
        <v>0</v>
      </c>
      <c r="BK200" s="422">
        <f>BA200+BC200+BD200+BF200+BH200+BI200</f>
        <v>0.05</v>
      </c>
      <c r="BL200" s="422">
        <f>BB200+BE200+BG200+BJ200</f>
        <v>-0.02</v>
      </c>
      <c r="BM200" s="611">
        <f>SUM(BK200:BL200)</f>
        <v>3.0000000000000002E-2</v>
      </c>
      <c r="BN200" s="428">
        <f>I200+AZ200</f>
        <v>12042674</v>
      </c>
      <c r="BO200" s="421">
        <f>J200+AH200</f>
        <v>8801330</v>
      </c>
      <c r="BP200" s="421">
        <f t="shared" ref="BP200:BQ204" si="715">K200+AF200</f>
        <v>7942552</v>
      </c>
      <c r="BQ200" s="421">
        <f t="shared" si="715"/>
        <v>858778</v>
      </c>
      <c r="BR200" s="421">
        <f>M200+AQ200</f>
        <v>19200</v>
      </c>
      <c r="BS200" s="421">
        <f t="shared" ref="BS200:BT204" si="716">N200+AO200</f>
        <v>12800</v>
      </c>
      <c r="BT200" s="421">
        <f t="shared" si="716"/>
        <v>6400</v>
      </c>
      <c r="BU200" s="421">
        <f t="shared" ref="BU200:BV204" si="717">P200+AU200</f>
        <v>2981339</v>
      </c>
      <c r="BV200" s="421">
        <f t="shared" si="717"/>
        <v>88014</v>
      </c>
      <c r="BW200" s="421">
        <f>R200+AY200</f>
        <v>152791</v>
      </c>
      <c r="BX200" s="422">
        <f>S200+BM200</f>
        <v>14.230199999999998</v>
      </c>
      <c r="BY200" s="422">
        <f t="shared" ref="BY200:BZ204" si="718">T200+BK200</f>
        <v>11.777200000000001</v>
      </c>
      <c r="BZ200" s="611">
        <f t="shared" si="718"/>
        <v>2.4529999999999998</v>
      </c>
      <c r="CA200" s="423"/>
      <c r="CB200" s="418"/>
      <c r="CC200" s="418"/>
      <c r="CD200" s="418"/>
      <c r="CE200" s="418"/>
      <c r="CF200" s="527"/>
    </row>
    <row r="201" spans="1:84" s="222" customFormat="1" ht="12.75" customHeight="1" x14ac:dyDescent="0.2">
      <c r="A201" s="210">
        <v>36</v>
      </c>
      <c r="B201" s="211">
        <v>4453</v>
      </c>
      <c r="C201" s="211">
        <v>600074790</v>
      </c>
      <c r="D201" s="211">
        <v>71011111</v>
      </c>
      <c r="E201" s="209" t="s">
        <v>215</v>
      </c>
      <c r="F201" s="211">
        <v>3113</v>
      </c>
      <c r="G201" s="165" t="s">
        <v>292</v>
      </c>
      <c r="H201" s="699" t="s">
        <v>272</v>
      </c>
      <c r="I201" s="528">
        <f t="shared" si="708"/>
        <v>0</v>
      </c>
      <c r="J201" s="418">
        <f>K201+L201</f>
        <v>0</v>
      </c>
      <c r="K201" s="418">
        <v>0</v>
      </c>
      <c r="L201" s="418">
        <v>0</v>
      </c>
      <c r="M201" s="418">
        <f>N201+O201</f>
        <v>0</v>
      </c>
      <c r="N201" s="418"/>
      <c r="O201" s="418"/>
      <c r="P201" s="68">
        <f t="shared" si="709"/>
        <v>0</v>
      </c>
      <c r="Q201" s="68">
        <f t="shared" si="710"/>
        <v>0</v>
      </c>
      <c r="R201" s="418">
        <v>0</v>
      </c>
      <c r="S201" s="419">
        <f>T201+U201</f>
        <v>0</v>
      </c>
      <c r="T201" s="420">
        <v>0</v>
      </c>
      <c r="U201" s="527">
        <v>0</v>
      </c>
      <c r="V201" s="427">
        <f t="shared" si="711"/>
        <v>0</v>
      </c>
      <c r="W201" s="421">
        <f t="shared" si="711"/>
        <v>0</v>
      </c>
      <c r="X201" s="421">
        <v>0</v>
      </c>
      <c r="Y201" s="421">
        <v>0</v>
      </c>
      <c r="Z201" s="421">
        <v>0</v>
      </c>
      <c r="AA201" s="421">
        <v>0</v>
      </c>
      <c r="AB201" s="421">
        <v>0</v>
      </c>
      <c r="AC201" s="421">
        <v>0</v>
      </c>
      <c r="AD201" s="421">
        <v>0</v>
      </c>
      <c r="AE201" s="421">
        <v>0</v>
      </c>
      <c r="AF201" s="421">
        <f>V201+X201+Y201+AA201+AB201+AD201</f>
        <v>0</v>
      </c>
      <c r="AG201" s="421">
        <f>W201+Z201+AC201+AE201</f>
        <v>0</v>
      </c>
      <c r="AH201" s="421">
        <f>SUM(AF201:AG201)</f>
        <v>0</v>
      </c>
      <c r="AI201" s="421">
        <v>0</v>
      </c>
      <c r="AJ201" s="421">
        <v>0</v>
      </c>
      <c r="AK201" s="421">
        <v>0</v>
      </c>
      <c r="AL201" s="421">
        <v>0</v>
      </c>
      <c r="AM201" s="421">
        <v>0</v>
      </c>
      <c r="AN201" s="421">
        <v>0</v>
      </c>
      <c r="AO201" s="421">
        <f t="shared" si="712"/>
        <v>0</v>
      </c>
      <c r="AP201" s="421">
        <f>AJ201+AN201</f>
        <v>0</v>
      </c>
      <c r="AQ201" s="421">
        <f>SUM(AO201:AP201)</f>
        <v>0</v>
      </c>
      <c r="AR201" s="421">
        <f t="shared" si="713"/>
        <v>0</v>
      </c>
      <c r="AS201" s="421">
        <f t="shared" si="713"/>
        <v>0</v>
      </c>
      <c r="AT201" s="421">
        <f>SUM(AR201:AS201)</f>
        <v>0</v>
      </c>
      <c r="AU201" s="68">
        <f t="shared" si="714"/>
        <v>0</v>
      </c>
      <c r="AV201" s="68">
        <f>ROUND(AH201*1%,0)</f>
        <v>0</v>
      </c>
      <c r="AW201" s="421">
        <v>0</v>
      </c>
      <c r="AX201" s="421">
        <v>0</v>
      </c>
      <c r="AY201" s="421">
        <f>AW201+AX201</f>
        <v>0</v>
      </c>
      <c r="AZ201" s="421">
        <f>AT201+AU201+AV201+AY201</f>
        <v>0</v>
      </c>
      <c r="BA201" s="422">
        <v>0</v>
      </c>
      <c r="BB201" s="422">
        <v>0</v>
      </c>
      <c r="BC201" s="422">
        <v>0</v>
      </c>
      <c r="BD201" s="422">
        <v>0</v>
      </c>
      <c r="BE201" s="422">
        <v>0</v>
      </c>
      <c r="BF201" s="422">
        <v>0</v>
      </c>
      <c r="BG201" s="422">
        <v>0</v>
      </c>
      <c r="BH201" s="422">
        <v>0</v>
      </c>
      <c r="BI201" s="422">
        <v>0</v>
      </c>
      <c r="BJ201" s="422">
        <v>0</v>
      </c>
      <c r="BK201" s="422">
        <f>BA201+BC201+BD201+BF201+BH201+BI201</f>
        <v>0</v>
      </c>
      <c r="BL201" s="422">
        <f>BB201+BE201+BG201+BJ201</f>
        <v>0</v>
      </c>
      <c r="BM201" s="611">
        <f>SUM(BK201:BL201)</f>
        <v>0</v>
      </c>
      <c r="BN201" s="428">
        <f>I201+AZ201</f>
        <v>0</v>
      </c>
      <c r="BO201" s="421">
        <f>J201+AH201</f>
        <v>0</v>
      </c>
      <c r="BP201" s="421">
        <f t="shared" si="715"/>
        <v>0</v>
      </c>
      <c r="BQ201" s="421">
        <f t="shared" si="715"/>
        <v>0</v>
      </c>
      <c r="BR201" s="421">
        <f>M201+AQ201</f>
        <v>0</v>
      </c>
      <c r="BS201" s="421">
        <f t="shared" si="716"/>
        <v>0</v>
      </c>
      <c r="BT201" s="421">
        <f t="shared" si="716"/>
        <v>0</v>
      </c>
      <c r="BU201" s="421">
        <f t="shared" si="717"/>
        <v>0</v>
      </c>
      <c r="BV201" s="421">
        <f t="shared" si="717"/>
        <v>0</v>
      </c>
      <c r="BW201" s="421">
        <f>R201+AY201</f>
        <v>0</v>
      </c>
      <c r="BX201" s="422">
        <f>S201+BM201</f>
        <v>0</v>
      </c>
      <c r="BY201" s="422">
        <f t="shared" si="718"/>
        <v>0</v>
      </c>
      <c r="BZ201" s="611">
        <f t="shared" si="718"/>
        <v>0</v>
      </c>
      <c r="CA201" s="423"/>
      <c r="CB201" s="418"/>
      <c r="CC201" s="418"/>
      <c r="CD201" s="418"/>
      <c r="CE201" s="418"/>
      <c r="CF201" s="527"/>
    </row>
    <row r="202" spans="1:84" s="222" customFormat="1" ht="12.75" customHeight="1" x14ac:dyDescent="0.2">
      <c r="A202" s="210">
        <v>36</v>
      </c>
      <c r="B202" s="211">
        <v>4453</v>
      </c>
      <c r="C202" s="211">
        <v>600074790</v>
      </c>
      <c r="D202" s="211">
        <v>71011111</v>
      </c>
      <c r="E202" s="209" t="s">
        <v>215</v>
      </c>
      <c r="F202" s="211">
        <v>3141</v>
      </c>
      <c r="G202" s="165" t="s">
        <v>295</v>
      </c>
      <c r="H202" s="699" t="s">
        <v>272</v>
      </c>
      <c r="I202" s="528">
        <f t="shared" si="708"/>
        <v>985611</v>
      </c>
      <c r="J202" s="418">
        <f>K202+L202</f>
        <v>726986</v>
      </c>
      <c r="K202" s="418">
        <v>0</v>
      </c>
      <c r="L202" s="418">
        <v>726986</v>
      </c>
      <c r="M202" s="418">
        <f>N202+O202</f>
        <v>0</v>
      </c>
      <c r="N202" s="418"/>
      <c r="O202" s="418"/>
      <c r="P202" s="68">
        <f t="shared" si="709"/>
        <v>245721</v>
      </c>
      <c r="Q202" s="68">
        <f t="shared" si="710"/>
        <v>7270</v>
      </c>
      <c r="R202" s="418">
        <v>5634</v>
      </c>
      <c r="S202" s="419">
        <f>T202+U202</f>
        <v>2.1800000000000002</v>
      </c>
      <c r="T202" s="420">
        <v>0</v>
      </c>
      <c r="U202" s="527">
        <v>2.1800000000000002</v>
      </c>
      <c r="V202" s="427">
        <f t="shared" si="711"/>
        <v>0</v>
      </c>
      <c r="W202" s="421">
        <f t="shared" si="711"/>
        <v>0</v>
      </c>
      <c r="X202" s="421">
        <v>0</v>
      </c>
      <c r="Y202" s="421">
        <v>0</v>
      </c>
      <c r="Z202" s="421">
        <v>0</v>
      </c>
      <c r="AA202" s="421">
        <v>0</v>
      </c>
      <c r="AB202" s="421">
        <v>0</v>
      </c>
      <c r="AC202" s="421">
        <v>0</v>
      </c>
      <c r="AD202" s="421">
        <v>0</v>
      </c>
      <c r="AE202" s="421">
        <v>0</v>
      </c>
      <c r="AF202" s="421">
        <f>V202+X202+Y202+AA202+AB202+AD202</f>
        <v>0</v>
      </c>
      <c r="AG202" s="421">
        <f>W202+Z202+AC202+AE202</f>
        <v>0</v>
      </c>
      <c r="AH202" s="421">
        <f>SUM(AF202:AG202)</f>
        <v>0</v>
      </c>
      <c r="AI202" s="421">
        <v>0</v>
      </c>
      <c r="AJ202" s="421">
        <v>0</v>
      </c>
      <c r="AK202" s="421">
        <v>0</v>
      </c>
      <c r="AL202" s="421">
        <v>0</v>
      </c>
      <c r="AM202" s="421">
        <v>0</v>
      </c>
      <c r="AN202" s="421">
        <v>0</v>
      </c>
      <c r="AO202" s="421">
        <f t="shared" si="712"/>
        <v>0</v>
      </c>
      <c r="AP202" s="421">
        <f>AJ202+AN202</f>
        <v>0</v>
      </c>
      <c r="AQ202" s="421">
        <f>SUM(AO202:AP202)</f>
        <v>0</v>
      </c>
      <c r="AR202" s="421">
        <f t="shared" si="713"/>
        <v>0</v>
      </c>
      <c r="AS202" s="421">
        <f t="shared" si="713"/>
        <v>0</v>
      </c>
      <c r="AT202" s="421">
        <f>SUM(AR202:AS202)</f>
        <v>0</v>
      </c>
      <c r="AU202" s="68">
        <f t="shared" si="714"/>
        <v>0</v>
      </c>
      <c r="AV202" s="68">
        <f>ROUND(AH202*1%,0)</f>
        <v>0</v>
      </c>
      <c r="AW202" s="421">
        <v>0</v>
      </c>
      <c r="AX202" s="421">
        <v>0</v>
      </c>
      <c r="AY202" s="421">
        <f>AW202+AX202</f>
        <v>0</v>
      </c>
      <c r="AZ202" s="421">
        <f>AT202+AU202+AV202+AY202</f>
        <v>0</v>
      </c>
      <c r="BA202" s="422">
        <v>0</v>
      </c>
      <c r="BB202" s="422">
        <v>0</v>
      </c>
      <c r="BC202" s="422">
        <v>0</v>
      </c>
      <c r="BD202" s="422">
        <v>0</v>
      </c>
      <c r="BE202" s="422">
        <v>0</v>
      </c>
      <c r="BF202" s="422">
        <v>0</v>
      </c>
      <c r="BG202" s="422">
        <v>0</v>
      </c>
      <c r="BH202" s="422">
        <v>0</v>
      </c>
      <c r="BI202" s="422">
        <v>0</v>
      </c>
      <c r="BJ202" s="422">
        <v>0</v>
      </c>
      <c r="BK202" s="422">
        <f>BA202+BC202+BD202+BF202+BH202+BI202</f>
        <v>0</v>
      </c>
      <c r="BL202" s="422">
        <f>BB202+BE202+BG202+BJ202</f>
        <v>0</v>
      </c>
      <c r="BM202" s="611">
        <f>SUM(BK202:BL202)</f>
        <v>0</v>
      </c>
      <c r="BN202" s="428">
        <f>I202+AZ202</f>
        <v>985611</v>
      </c>
      <c r="BO202" s="421">
        <f>J202+AH202</f>
        <v>726986</v>
      </c>
      <c r="BP202" s="421">
        <f t="shared" si="715"/>
        <v>0</v>
      </c>
      <c r="BQ202" s="421">
        <f t="shared" si="715"/>
        <v>726986</v>
      </c>
      <c r="BR202" s="421">
        <f>M202+AQ202</f>
        <v>0</v>
      </c>
      <c r="BS202" s="421">
        <f t="shared" si="716"/>
        <v>0</v>
      </c>
      <c r="BT202" s="421">
        <f t="shared" si="716"/>
        <v>0</v>
      </c>
      <c r="BU202" s="421">
        <f t="shared" si="717"/>
        <v>245721</v>
      </c>
      <c r="BV202" s="421">
        <f t="shared" si="717"/>
        <v>7270</v>
      </c>
      <c r="BW202" s="421">
        <f>R202+AY202</f>
        <v>5634</v>
      </c>
      <c r="BX202" s="422">
        <f>S202+BM202</f>
        <v>2.1800000000000002</v>
      </c>
      <c r="BY202" s="422">
        <f t="shared" si="718"/>
        <v>0</v>
      </c>
      <c r="BZ202" s="611">
        <f t="shared" si="718"/>
        <v>2.1800000000000002</v>
      </c>
      <c r="CA202" s="423"/>
      <c r="CB202" s="418"/>
      <c r="CC202" s="418"/>
      <c r="CD202" s="418"/>
      <c r="CE202" s="418"/>
      <c r="CF202" s="527"/>
    </row>
    <row r="203" spans="1:84" s="222" customFormat="1" ht="12.75" customHeight="1" x14ac:dyDescent="0.2">
      <c r="A203" s="210">
        <v>36</v>
      </c>
      <c r="B203" s="211">
        <v>4453</v>
      </c>
      <c r="C203" s="211">
        <v>600074790</v>
      </c>
      <c r="D203" s="211">
        <v>71011111</v>
      </c>
      <c r="E203" s="205" t="s">
        <v>215</v>
      </c>
      <c r="F203" s="211">
        <v>3143</v>
      </c>
      <c r="G203" s="165" t="s">
        <v>596</v>
      </c>
      <c r="H203" s="686" t="s">
        <v>271</v>
      </c>
      <c r="I203" s="528">
        <f t="shared" si="708"/>
        <v>726493</v>
      </c>
      <c r="J203" s="418">
        <f>K203+L203</f>
        <v>538942</v>
      </c>
      <c r="K203" s="418">
        <v>538942</v>
      </c>
      <c r="L203" s="418">
        <v>0</v>
      </c>
      <c r="M203" s="418">
        <f>N203+O203</f>
        <v>0</v>
      </c>
      <c r="N203" s="418"/>
      <c r="O203" s="418"/>
      <c r="P203" s="68">
        <f t="shared" si="709"/>
        <v>182162</v>
      </c>
      <c r="Q203" s="68">
        <f t="shared" si="710"/>
        <v>5389</v>
      </c>
      <c r="R203" s="418">
        <v>0</v>
      </c>
      <c r="S203" s="419">
        <f>T203+U203</f>
        <v>1.2916000000000001</v>
      </c>
      <c r="T203" s="420">
        <v>1.2916000000000001</v>
      </c>
      <c r="U203" s="527">
        <v>0</v>
      </c>
      <c r="V203" s="427">
        <f t="shared" si="711"/>
        <v>0</v>
      </c>
      <c r="W203" s="421">
        <f t="shared" si="711"/>
        <v>0</v>
      </c>
      <c r="X203" s="421">
        <v>0</v>
      </c>
      <c r="Y203" s="421">
        <v>0</v>
      </c>
      <c r="Z203" s="421">
        <v>0</v>
      </c>
      <c r="AA203" s="421">
        <v>0</v>
      </c>
      <c r="AB203" s="421">
        <v>0</v>
      </c>
      <c r="AC203" s="421">
        <v>0</v>
      </c>
      <c r="AD203" s="421">
        <v>0</v>
      </c>
      <c r="AE203" s="421">
        <v>0</v>
      </c>
      <c r="AF203" s="421">
        <f>V203+X203+Y203+AA203+AB203+AD203</f>
        <v>0</v>
      </c>
      <c r="AG203" s="421">
        <f>W203+Z203+AC203+AE203</f>
        <v>0</v>
      </c>
      <c r="AH203" s="421">
        <f>SUM(AF203:AG203)</f>
        <v>0</v>
      </c>
      <c r="AI203" s="421">
        <v>0</v>
      </c>
      <c r="AJ203" s="421">
        <v>0</v>
      </c>
      <c r="AK203" s="421">
        <v>0</v>
      </c>
      <c r="AL203" s="421">
        <v>0</v>
      </c>
      <c r="AM203" s="421">
        <v>0</v>
      </c>
      <c r="AN203" s="421">
        <v>0</v>
      </c>
      <c r="AO203" s="421">
        <f t="shared" si="712"/>
        <v>0</v>
      </c>
      <c r="AP203" s="421">
        <f>AJ203+AN203</f>
        <v>0</v>
      </c>
      <c r="AQ203" s="421">
        <f>SUM(AO203:AP203)</f>
        <v>0</v>
      </c>
      <c r="AR203" s="421">
        <f t="shared" si="713"/>
        <v>0</v>
      </c>
      <c r="AS203" s="421">
        <f t="shared" si="713"/>
        <v>0</v>
      </c>
      <c r="AT203" s="421">
        <f>SUM(AR203:AS203)</f>
        <v>0</v>
      </c>
      <c r="AU203" s="68">
        <f t="shared" si="714"/>
        <v>0</v>
      </c>
      <c r="AV203" s="68">
        <f>ROUND(AH203*1%,0)</f>
        <v>0</v>
      </c>
      <c r="AW203" s="421">
        <v>0</v>
      </c>
      <c r="AX203" s="421">
        <v>0</v>
      </c>
      <c r="AY203" s="421">
        <f>AW203+AX203</f>
        <v>0</v>
      </c>
      <c r="AZ203" s="421">
        <f>AT203+AU203+AV203+AY203</f>
        <v>0</v>
      </c>
      <c r="BA203" s="422">
        <v>0</v>
      </c>
      <c r="BB203" s="422">
        <v>0</v>
      </c>
      <c r="BC203" s="422">
        <v>0</v>
      </c>
      <c r="BD203" s="422">
        <v>0</v>
      </c>
      <c r="BE203" s="422">
        <v>0</v>
      </c>
      <c r="BF203" s="422">
        <v>0</v>
      </c>
      <c r="BG203" s="422">
        <v>0</v>
      </c>
      <c r="BH203" s="422">
        <v>0</v>
      </c>
      <c r="BI203" s="422">
        <v>0</v>
      </c>
      <c r="BJ203" s="422">
        <v>0</v>
      </c>
      <c r="BK203" s="422">
        <f>BA203+BC203+BD203+BF203+BH203+BI203</f>
        <v>0</v>
      </c>
      <c r="BL203" s="422">
        <f>BB203+BE203+BG203+BJ203</f>
        <v>0</v>
      </c>
      <c r="BM203" s="611">
        <f>SUM(BK203:BL203)</f>
        <v>0</v>
      </c>
      <c r="BN203" s="428">
        <f>I203+AZ203</f>
        <v>726493</v>
      </c>
      <c r="BO203" s="421">
        <f>J203+AH203</f>
        <v>538942</v>
      </c>
      <c r="BP203" s="421">
        <f t="shared" si="715"/>
        <v>538942</v>
      </c>
      <c r="BQ203" s="421">
        <f t="shared" si="715"/>
        <v>0</v>
      </c>
      <c r="BR203" s="421">
        <f>M203+AQ203</f>
        <v>0</v>
      </c>
      <c r="BS203" s="421">
        <f t="shared" si="716"/>
        <v>0</v>
      </c>
      <c r="BT203" s="421">
        <f t="shared" si="716"/>
        <v>0</v>
      </c>
      <c r="BU203" s="421">
        <f t="shared" si="717"/>
        <v>182162</v>
      </c>
      <c r="BV203" s="421">
        <f t="shared" si="717"/>
        <v>5389</v>
      </c>
      <c r="BW203" s="421">
        <f>R203+AY203</f>
        <v>0</v>
      </c>
      <c r="BX203" s="422">
        <f>S203+BM203</f>
        <v>1.2916000000000001</v>
      </c>
      <c r="BY203" s="422">
        <f t="shared" si="718"/>
        <v>1.2916000000000001</v>
      </c>
      <c r="BZ203" s="611">
        <f t="shared" si="718"/>
        <v>0</v>
      </c>
      <c r="CA203" s="423"/>
      <c r="CB203" s="418"/>
      <c r="CC203" s="418"/>
      <c r="CD203" s="418"/>
      <c r="CE203" s="418"/>
      <c r="CF203" s="527"/>
    </row>
    <row r="204" spans="1:84" s="222" customFormat="1" ht="12.75" customHeight="1" x14ac:dyDescent="0.2">
      <c r="A204" s="210">
        <v>36</v>
      </c>
      <c r="B204" s="211">
        <v>4453</v>
      </c>
      <c r="C204" s="211">
        <v>600074790</v>
      </c>
      <c r="D204" s="211">
        <v>71011111</v>
      </c>
      <c r="E204" s="205" t="s">
        <v>215</v>
      </c>
      <c r="F204" s="211">
        <v>3143</v>
      </c>
      <c r="G204" s="165" t="s">
        <v>597</v>
      </c>
      <c r="H204" s="686" t="s">
        <v>272</v>
      </c>
      <c r="I204" s="528">
        <f t="shared" si="708"/>
        <v>24084</v>
      </c>
      <c r="J204" s="418">
        <f>K204+L204</f>
        <v>17239</v>
      </c>
      <c r="K204" s="418">
        <v>0</v>
      </c>
      <c r="L204" s="418">
        <v>17239</v>
      </c>
      <c r="M204" s="418">
        <f>N204+O204</f>
        <v>0</v>
      </c>
      <c r="N204" s="418"/>
      <c r="O204" s="418"/>
      <c r="P204" s="68">
        <f t="shared" si="709"/>
        <v>5827</v>
      </c>
      <c r="Q204" s="68">
        <f t="shared" si="710"/>
        <v>172</v>
      </c>
      <c r="R204" s="418">
        <v>846</v>
      </c>
      <c r="S204" s="419">
        <f>T204+U204</f>
        <v>7.0000000000000007E-2</v>
      </c>
      <c r="T204" s="420">
        <v>0</v>
      </c>
      <c r="U204" s="527">
        <v>7.0000000000000007E-2</v>
      </c>
      <c r="V204" s="427">
        <f t="shared" si="711"/>
        <v>0</v>
      </c>
      <c r="W204" s="421">
        <f t="shared" si="711"/>
        <v>0</v>
      </c>
      <c r="X204" s="421">
        <v>0</v>
      </c>
      <c r="Y204" s="421">
        <v>0</v>
      </c>
      <c r="Z204" s="421">
        <v>0</v>
      </c>
      <c r="AA204" s="421">
        <v>0</v>
      </c>
      <c r="AB204" s="421">
        <v>0</v>
      </c>
      <c r="AC204" s="421">
        <v>0</v>
      </c>
      <c r="AD204" s="421">
        <v>0</v>
      </c>
      <c r="AE204" s="421">
        <v>0</v>
      </c>
      <c r="AF204" s="421">
        <f>V204+X204+Y204+AA204+AB204+AD204</f>
        <v>0</v>
      </c>
      <c r="AG204" s="421">
        <f>W204+Z204+AC204+AE204</f>
        <v>0</v>
      </c>
      <c r="AH204" s="421">
        <f>SUM(AF204:AG204)</f>
        <v>0</v>
      </c>
      <c r="AI204" s="421">
        <v>0</v>
      </c>
      <c r="AJ204" s="421">
        <v>0</v>
      </c>
      <c r="AK204" s="421">
        <v>0</v>
      </c>
      <c r="AL204" s="421">
        <v>0</v>
      </c>
      <c r="AM204" s="421">
        <v>0</v>
      </c>
      <c r="AN204" s="421">
        <v>0</v>
      </c>
      <c r="AO204" s="421">
        <f t="shared" si="712"/>
        <v>0</v>
      </c>
      <c r="AP204" s="421">
        <f>AJ204+AN204</f>
        <v>0</v>
      </c>
      <c r="AQ204" s="421">
        <f>SUM(AO204:AP204)</f>
        <v>0</v>
      </c>
      <c r="AR204" s="421">
        <f t="shared" si="713"/>
        <v>0</v>
      </c>
      <c r="AS204" s="421">
        <f t="shared" si="713"/>
        <v>0</v>
      </c>
      <c r="AT204" s="421">
        <f>SUM(AR204:AS204)</f>
        <v>0</v>
      </c>
      <c r="AU204" s="68">
        <f t="shared" si="714"/>
        <v>0</v>
      </c>
      <c r="AV204" s="68">
        <f>ROUND(AH204*1%,0)</f>
        <v>0</v>
      </c>
      <c r="AW204" s="421">
        <v>0</v>
      </c>
      <c r="AX204" s="421">
        <v>0</v>
      </c>
      <c r="AY204" s="421">
        <f>AW204+AX204</f>
        <v>0</v>
      </c>
      <c r="AZ204" s="421">
        <f>AT204+AU204+AV204+AY204</f>
        <v>0</v>
      </c>
      <c r="BA204" s="422">
        <v>0</v>
      </c>
      <c r="BB204" s="422">
        <v>0</v>
      </c>
      <c r="BC204" s="422">
        <v>0</v>
      </c>
      <c r="BD204" s="422">
        <v>0</v>
      </c>
      <c r="BE204" s="422">
        <v>0</v>
      </c>
      <c r="BF204" s="422">
        <v>0</v>
      </c>
      <c r="BG204" s="422">
        <v>0</v>
      </c>
      <c r="BH204" s="422">
        <v>0</v>
      </c>
      <c r="BI204" s="422">
        <v>0</v>
      </c>
      <c r="BJ204" s="422">
        <v>0</v>
      </c>
      <c r="BK204" s="422">
        <f>BA204+BC204+BD204+BF204+BH204+BI204</f>
        <v>0</v>
      </c>
      <c r="BL204" s="422">
        <f>BB204+BE204+BG204+BJ204</f>
        <v>0</v>
      </c>
      <c r="BM204" s="611">
        <f>SUM(BK204:BL204)</f>
        <v>0</v>
      </c>
      <c r="BN204" s="428">
        <f>I204+AZ204</f>
        <v>24084</v>
      </c>
      <c r="BO204" s="421">
        <f>J204+AH204</f>
        <v>17239</v>
      </c>
      <c r="BP204" s="421">
        <f t="shared" si="715"/>
        <v>0</v>
      </c>
      <c r="BQ204" s="421">
        <f t="shared" si="715"/>
        <v>17239</v>
      </c>
      <c r="BR204" s="421">
        <f>M204+AQ204</f>
        <v>0</v>
      </c>
      <c r="BS204" s="421">
        <f t="shared" si="716"/>
        <v>0</v>
      </c>
      <c r="BT204" s="421">
        <f t="shared" si="716"/>
        <v>0</v>
      </c>
      <c r="BU204" s="421">
        <f t="shared" si="717"/>
        <v>5827</v>
      </c>
      <c r="BV204" s="421">
        <f t="shared" si="717"/>
        <v>172</v>
      </c>
      <c r="BW204" s="421">
        <f>R204+AY204</f>
        <v>846</v>
      </c>
      <c r="BX204" s="422">
        <f>S204+BM204</f>
        <v>7.0000000000000007E-2</v>
      </c>
      <c r="BY204" s="422">
        <f t="shared" si="718"/>
        <v>0</v>
      </c>
      <c r="BZ204" s="611">
        <f t="shared" si="718"/>
        <v>7.0000000000000007E-2</v>
      </c>
      <c r="CA204" s="423"/>
      <c r="CB204" s="418"/>
      <c r="CC204" s="418"/>
      <c r="CD204" s="418"/>
      <c r="CE204" s="418"/>
      <c r="CF204" s="527"/>
    </row>
    <row r="205" spans="1:84" s="222" customFormat="1" ht="12.75" customHeight="1" x14ac:dyDescent="0.2">
      <c r="A205" s="155">
        <v>36</v>
      </c>
      <c r="B205" s="18">
        <v>4453</v>
      </c>
      <c r="C205" s="18">
        <v>600074790</v>
      </c>
      <c r="D205" s="18">
        <v>71011111</v>
      </c>
      <c r="E205" s="164" t="s">
        <v>216</v>
      </c>
      <c r="F205" s="18"/>
      <c r="G205" s="154"/>
      <c r="H205" s="685"/>
      <c r="I205" s="458">
        <f t="shared" ref="I205:BU205" si="719">SUM(I200:I204)</f>
        <v>13717480</v>
      </c>
      <c r="J205" s="451">
        <f t="shared" si="719"/>
        <v>10058019</v>
      </c>
      <c r="K205" s="451">
        <f t="shared" si="719"/>
        <v>8448616</v>
      </c>
      <c r="L205" s="451">
        <f t="shared" si="719"/>
        <v>1609403</v>
      </c>
      <c r="M205" s="451">
        <f t="shared" si="719"/>
        <v>0</v>
      </c>
      <c r="N205" s="451">
        <f t="shared" si="719"/>
        <v>0</v>
      </c>
      <c r="O205" s="451">
        <f t="shared" si="719"/>
        <v>0</v>
      </c>
      <c r="P205" s="451">
        <f t="shared" si="719"/>
        <v>3399610</v>
      </c>
      <c r="Q205" s="451">
        <f t="shared" si="719"/>
        <v>100580</v>
      </c>
      <c r="R205" s="451">
        <f t="shared" si="719"/>
        <v>159271</v>
      </c>
      <c r="S205" s="452">
        <f t="shared" si="719"/>
        <v>17.741799999999998</v>
      </c>
      <c r="T205" s="452">
        <f t="shared" si="719"/>
        <v>13.018800000000001</v>
      </c>
      <c r="U205" s="39">
        <f t="shared" si="719"/>
        <v>4.7230000000000008</v>
      </c>
      <c r="V205" s="458">
        <f t="shared" si="719"/>
        <v>-12800</v>
      </c>
      <c r="W205" s="451">
        <f t="shared" si="719"/>
        <v>-6400</v>
      </c>
      <c r="X205" s="451">
        <f t="shared" si="719"/>
        <v>0</v>
      </c>
      <c r="Y205" s="451">
        <f t="shared" si="719"/>
        <v>0</v>
      </c>
      <c r="Z205" s="451">
        <f t="shared" si="719"/>
        <v>0</v>
      </c>
      <c r="AA205" s="451">
        <f t="shared" si="719"/>
        <v>45678</v>
      </c>
      <c r="AB205" s="451">
        <f t="shared" si="719"/>
        <v>0</v>
      </c>
      <c r="AC205" s="451">
        <f t="shared" si="719"/>
        <v>0</v>
      </c>
      <c r="AD205" s="451">
        <f t="shared" si="719"/>
        <v>0</v>
      </c>
      <c r="AE205" s="451">
        <f t="shared" si="719"/>
        <v>0</v>
      </c>
      <c r="AF205" s="451">
        <f t="shared" si="719"/>
        <v>32878</v>
      </c>
      <c r="AG205" s="451">
        <f t="shared" si="719"/>
        <v>-6400</v>
      </c>
      <c r="AH205" s="451">
        <f t="shared" si="719"/>
        <v>26478</v>
      </c>
      <c r="AI205" s="451">
        <f t="shared" si="719"/>
        <v>12800</v>
      </c>
      <c r="AJ205" s="451">
        <f t="shared" si="719"/>
        <v>6400</v>
      </c>
      <c r="AK205" s="451">
        <f t="shared" ref="AK205" si="720">SUM(AK200:AK204)</f>
        <v>0</v>
      </c>
      <c r="AL205" s="451">
        <f t="shared" si="719"/>
        <v>0</v>
      </c>
      <c r="AM205" s="451">
        <f t="shared" si="719"/>
        <v>0</v>
      </c>
      <c r="AN205" s="451">
        <f t="shared" si="719"/>
        <v>0</v>
      </c>
      <c r="AO205" s="451">
        <f t="shared" si="719"/>
        <v>12800</v>
      </c>
      <c r="AP205" s="451">
        <f t="shared" si="719"/>
        <v>6400</v>
      </c>
      <c r="AQ205" s="451">
        <f t="shared" si="719"/>
        <v>19200</v>
      </c>
      <c r="AR205" s="451">
        <f t="shared" si="719"/>
        <v>45678</v>
      </c>
      <c r="AS205" s="451">
        <f t="shared" si="719"/>
        <v>0</v>
      </c>
      <c r="AT205" s="451">
        <f t="shared" si="719"/>
        <v>45678</v>
      </c>
      <c r="AU205" s="451">
        <f t="shared" si="719"/>
        <v>15439</v>
      </c>
      <c r="AV205" s="451">
        <f t="shared" si="719"/>
        <v>265</v>
      </c>
      <c r="AW205" s="451">
        <f t="shared" si="719"/>
        <v>0</v>
      </c>
      <c r="AX205" s="451">
        <f t="shared" si="719"/>
        <v>0</v>
      </c>
      <c r="AY205" s="451">
        <f t="shared" si="719"/>
        <v>0</v>
      </c>
      <c r="AZ205" s="451">
        <f t="shared" si="719"/>
        <v>61382</v>
      </c>
      <c r="BA205" s="452">
        <f t="shared" si="719"/>
        <v>-0.02</v>
      </c>
      <c r="BB205" s="452">
        <f t="shared" si="719"/>
        <v>-0.02</v>
      </c>
      <c r="BC205" s="452">
        <f t="shared" si="719"/>
        <v>0</v>
      </c>
      <c r="BD205" s="452">
        <f t="shared" si="719"/>
        <v>0</v>
      </c>
      <c r="BE205" s="452">
        <f t="shared" si="719"/>
        <v>0</v>
      </c>
      <c r="BF205" s="452">
        <f t="shared" si="719"/>
        <v>0</v>
      </c>
      <c r="BG205" s="452">
        <f t="shared" si="719"/>
        <v>0</v>
      </c>
      <c r="BH205" s="452">
        <f t="shared" si="719"/>
        <v>7.0000000000000007E-2</v>
      </c>
      <c r="BI205" s="452">
        <f t="shared" si="719"/>
        <v>0</v>
      </c>
      <c r="BJ205" s="452">
        <f t="shared" si="719"/>
        <v>0</v>
      </c>
      <c r="BK205" s="452">
        <f t="shared" si="719"/>
        <v>0.05</v>
      </c>
      <c r="BL205" s="452">
        <f t="shared" si="719"/>
        <v>-0.02</v>
      </c>
      <c r="BM205" s="456">
        <f t="shared" si="719"/>
        <v>3.0000000000000002E-2</v>
      </c>
      <c r="BN205" s="454">
        <f t="shared" si="719"/>
        <v>13778862</v>
      </c>
      <c r="BO205" s="451">
        <f t="shared" si="719"/>
        <v>10084497</v>
      </c>
      <c r="BP205" s="451">
        <f t="shared" si="719"/>
        <v>8481494</v>
      </c>
      <c r="BQ205" s="451">
        <f t="shared" si="719"/>
        <v>1603003</v>
      </c>
      <c r="BR205" s="451">
        <f t="shared" si="719"/>
        <v>19200</v>
      </c>
      <c r="BS205" s="451">
        <f t="shared" si="719"/>
        <v>12800</v>
      </c>
      <c r="BT205" s="451">
        <f t="shared" si="719"/>
        <v>6400</v>
      </c>
      <c r="BU205" s="451">
        <f t="shared" si="719"/>
        <v>3415049</v>
      </c>
      <c r="BV205" s="451">
        <f t="shared" ref="BV205:CF205" si="721">SUM(BV200:BV204)</f>
        <v>100845</v>
      </c>
      <c r="BW205" s="451">
        <f t="shared" si="721"/>
        <v>159271</v>
      </c>
      <c r="BX205" s="452">
        <f t="shared" si="721"/>
        <v>17.771799999999999</v>
      </c>
      <c r="BY205" s="452">
        <f t="shared" si="721"/>
        <v>13.068800000000001</v>
      </c>
      <c r="BZ205" s="456">
        <f t="shared" si="721"/>
        <v>4.7030000000000003</v>
      </c>
      <c r="CA205" s="854">
        <f t="shared" si="721"/>
        <v>0</v>
      </c>
      <c r="CB205" s="852">
        <f t="shared" si="721"/>
        <v>0</v>
      </c>
      <c r="CC205" s="852">
        <f t="shared" si="721"/>
        <v>0</v>
      </c>
      <c r="CD205" s="852">
        <f t="shared" si="721"/>
        <v>0</v>
      </c>
      <c r="CE205" s="852">
        <f t="shared" si="721"/>
        <v>0</v>
      </c>
      <c r="CF205" s="848">
        <f t="shared" si="721"/>
        <v>0</v>
      </c>
    </row>
    <row r="206" spans="1:84" s="222" customFormat="1" ht="12.75" customHeight="1" x14ac:dyDescent="0.2">
      <c r="A206" s="210">
        <v>37</v>
      </c>
      <c r="B206" s="211">
        <v>4467</v>
      </c>
      <c r="C206" s="211">
        <v>600074935</v>
      </c>
      <c r="D206" s="211">
        <v>48282545</v>
      </c>
      <c r="E206" s="209" t="s">
        <v>804</v>
      </c>
      <c r="F206" s="211">
        <v>3111</v>
      </c>
      <c r="G206" s="165" t="s">
        <v>291</v>
      </c>
      <c r="H206" s="699" t="s">
        <v>271</v>
      </c>
      <c r="I206" s="528">
        <f t="shared" ref="I206:I213" si="722">J206+P206+Q206+R206</f>
        <v>16962486</v>
      </c>
      <c r="J206" s="418">
        <f t="shared" ref="J206:J213" si="723">K206+L206</f>
        <v>12535816</v>
      </c>
      <c r="K206" s="418">
        <v>11870136</v>
      </c>
      <c r="L206" s="418">
        <v>665680</v>
      </c>
      <c r="M206" s="418">
        <f t="shared" ref="M206:M213" si="724">N206+O206</f>
        <v>0</v>
      </c>
      <c r="N206" s="418"/>
      <c r="O206" s="418"/>
      <c r="P206" s="68">
        <f t="shared" ref="P206:P213" si="725">ROUND(J206*33.8%,0)</f>
        <v>4237106</v>
      </c>
      <c r="Q206" s="68">
        <f t="shared" ref="Q206:Q213" si="726">ROUND(J206*1%,0)</f>
        <v>125358</v>
      </c>
      <c r="R206" s="418">
        <v>64206</v>
      </c>
      <c r="S206" s="419">
        <f t="shared" ref="S206:S213" si="727">T206+U206</f>
        <v>22.924999999999997</v>
      </c>
      <c r="T206" s="420">
        <v>20.257999999999999</v>
      </c>
      <c r="U206" s="527">
        <v>2.6669999999999998</v>
      </c>
      <c r="V206" s="427">
        <f t="shared" ref="V206:W213" si="728">AI206*-1</f>
        <v>0</v>
      </c>
      <c r="W206" s="421">
        <f t="shared" si="728"/>
        <v>0</v>
      </c>
      <c r="X206" s="421">
        <v>0</v>
      </c>
      <c r="Y206" s="421">
        <v>0</v>
      </c>
      <c r="Z206" s="421">
        <v>0</v>
      </c>
      <c r="AA206" s="421">
        <v>0</v>
      </c>
      <c r="AB206" s="421">
        <v>0</v>
      </c>
      <c r="AC206" s="421">
        <v>0</v>
      </c>
      <c r="AD206" s="421">
        <v>0</v>
      </c>
      <c r="AE206" s="421">
        <v>0</v>
      </c>
      <c r="AF206" s="421">
        <f t="shared" ref="AF206:AF213" si="729">V206+X206+Y206+AA206+AB206+AD206</f>
        <v>0</v>
      </c>
      <c r="AG206" s="421">
        <f t="shared" ref="AG206:AG213" si="730">W206+Z206+AC206+AE206</f>
        <v>0</v>
      </c>
      <c r="AH206" s="421">
        <f t="shared" ref="AH206:AH213" si="731">SUM(AF206:AG206)</f>
        <v>0</v>
      </c>
      <c r="AI206" s="421">
        <v>0</v>
      </c>
      <c r="AJ206" s="421">
        <v>0</v>
      </c>
      <c r="AK206" s="421">
        <v>0</v>
      </c>
      <c r="AL206" s="421">
        <v>0</v>
      </c>
      <c r="AM206" s="421">
        <v>0</v>
      </c>
      <c r="AN206" s="421">
        <v>0</v>
      </c>
      <c r="AO206" s="421">
        <f t="shared" ref="AO206:AO213" si="732">AI206+AK206+AL206+AM206</f>
        <v>0</v>
      </c>
      <c r="AP206" s="421">
        <f t="shared" ref="AP206:AP213" si="733">AJ206+AN206</f>
        <v>0</v>
      </c>
      <c r="AQ206" s="421">
        <f t="shared" ref="AQ206:AQ213" si="734">SUM(AO206:AP206)</f>
        <v>0</v>
      </c>
      <c r="AR206" s="421">
        <f t="shared" ref="AR206:AS213" si="735">AF206+AO206</f>
        <v>0</v>
      </c>
      <c r="AS206" s="421">
        <f t="shared" si="735"/>
        <v>0</v>
      </c>
      <c r="AT206" s="421">
        <f t="shared" ref="AT206:AT213" si="736">SUM(AR206:AS206)</f>
        <v>0</v>
      </c>
      <c r="AU206" s="68">
        <f t="shared" ref="AU206:AU213" si="737">ROUND((AH206+AI206+AJ206+AK206+AL206)*33.8%,0)</f>
        <v>0</v>
      </c>
      <c r="AV206" s="68">
        <f t="shared" ref="AV206:AV213" si="738">ROUND(AH206*1%,0)</f>
        <v>0</v>
      </c>
      <c r="AW206" s="421">
        <v>0</v>
      </c>
      <c r="AX206" s="421">
        <v>0</v>
      </c>
      <c r="AY206" s="421">
        <f t="shared" ref="AY206:AY213" si="739">AW206+AX206</f>
        <v>0</v>
      </c>
      <c r="AZ206" s="421">
        <f t="shared" ref="AZ206:AZ213" si="740">AT206+AU206+AV206+AY206</f>
        <v>0</v>
      </c>
      <c r="BA206" s="422">
        <v>0</v>
      </c>
      <c r="BB206" s="422">
        <v>0</v>
      </c>
      <c r="BC206" s="422">
        <v>0</v>
      </c>
      <c r="BD206" s="422">
        <v>0</v>
      </c>
      <c r="BE206" s="422">
        <v>0</v>
      </c>
      <c r="BF206" s="422">
        <v>0</v>
      </c>
      <c r="BG206" s="422">
        <v>0</v>
      </c>
      <c r="BH206" s="422">
        <v>0</v>
      </c>
      <c r="BI206" s="422">
        <v>0</v>
      </c>
      <c r="BJ206" s="422">
        <v>0</v>
      </c>
      <c r="BK206" s="422">
        <f t="shared" ref="BK206:BK213" si="741">BA206+BC206+BD206+BF206+BH206+BI206</f>
        <v>0</v>
      </c>
      <c r="BL206" s="422">
        <f t="shared" ref="BL206:BL213" si="742">BB206+BE206+BG206+BJ206</f>
        <v>0</v>
      </c>
      <c r="BM206" s="611">
        <f t="shared" ref="BM206:BM213" si="743">SUM(BK206:BL206)</f>
        <v>0</v>
      </c>
      <c r="BN206" s="428">
        <f t="shared" ref="BN206:BN213" si="744">I206+AZ206</f>
        <v>16962486</v>
      </c>
      <c r="BO206" s="421">
        <f t="shared" ref="BO206:BO213" si="745">J206+AH206</f>
        <v>12535816</v>
      </c>
      <c r="BP206" s="421">
        <f t="shared" ref="BP206:BQ213" si="746">K206+AF206</f>
        <v>11870136</v>
      </c>
      <c r="BQ206" s="421">
        <f t="shared" si="746"/>
        <v>665680</v>
      </c>
      <c r="BR206" s="421">
        <f t="shared" ref="BR206:BR213" si="747">M206+AQ206</f>
        <v>0</v>
      </c>
      <c r="BS206" s="421">
        <f t="shared" ref="BS206:BT213" si="748">N206+AO206</f>
        <v>0</v>
      </c>
      <c r="BT206" s="421">
        <f t="shared" si="748"/>
        <v>0</v>
      </c>
      <c r="BU206" s="421">
        <f t="shared" ref="BU206:BV213" si="749">P206+AU206</f>
        <v>4237106</v>
      </c>
      <c r="BV206" s="421">
        <f t="shared" si="749"/>
        <v>125358</v>
      </c>
      <c r="BW206" s="421">
        <f t="shared" ref="BW206:BW213" si="750">R206+AY206</f>
        <v>64206</v>
      </c>
      <c r="BX206" s="422">
        <f t="shared" ref="BX206:BX213" si="751">S206+BM206</f>
        <v>22.924999999999997</v>
      </c>
      <c r="BY206" s="422">
        <f t="shared" ref="BY206:BZ213" si="752">T206+BK206</f>
        <v>20.257999999999999</v>
      </c>
      <c r="BZ206" s="611">
        <f t="shared" si="752"/>
        <v>2.6669999999999998</v>
      </c>
      <c r="CA206" s="423"/>
      <c r="CB206" s="418"/>
      <c r="CC206" s="418"/>
      <c r="CD206" s="418"/>
      <c r="CE206" s="418"/>
      <c r="CF206" s="527"/>
    </row>
    <row r="207" spans="1:84" s="222" customFormat="1" ht="12.75" customHeight="1" x14ac:dyDescent="0.2">
      <c r="A207" s="210">
        <v>37</v>
      </c>
      <c r="B207" s="211">
        <v>4467</v>
      </c>
      <c r="C207" s="211">
        <v>600074935</v>
      </c>
      <c r="D207" s="211">
        <v>48282545</v>
      </c>
      <c r="E207" s="209" t="s">
        <v>804</v>
      </c>
      <c r="F207" s="211">
        <v>3113</v>
      </c>
      <c r="G207" s="165" t="s">
        <v>294</v>
      </c>
      <c r="H207" s="699" t="s">
        <v>271</v>
      </c>
      <c r="I207" s="528">
        <f t="shared" si="722"/>
        <v>54069415</v>
      </c>
      <c r="J207" s="418">
        <f t="shared" si="723"/>
        <v>39558388</v>
      </c>
      <c r="K207" s="418">
        <v>36630413</v>
      </c>
      <c r="L207" s="418">
        <v>2927975</v>
      </c>
      <c r="M207" s="418">
        <f t="shared" si="724"/>
        <v>0</v>
      </c>
      <c r="N207" s="418"/>
      <c r="O207" s="418"/>
      <c r="P207" s="68">
        <f>ROUND(J207*33.8%,0)-1</f>
        <v>13370734</v>
      </c>
      <c r="Q207" s="68">
        <f t="shared" si="726"/>
        <v>395584</v>
      </c>
      <c r="R207" s="418">
        <v>744709</v>
      </c>
      <c r="S207" s="419">
        <f t="shared" si="727"/>
        <v>62.523099999999999</v>
      </c>
      <c r="T207" s="420">
        <v>53.317500000000003</v>
      </c>
      <c r="U207" s="527">
        <v>9.2056000000000004</v>
      </c>
      <c r="V207" s="427">
        <f t="shared" si="728"/>
        <v>-76800</v>
      </c>
      <c r="W207" s="421">
        <f t="shared" si="728"/>
        <v>-76800</v>
      </c>
      <c r="X207" s="421">
        <v>0</v>
      </c>
      <c r="Y207" s="421">
        <v>0</v>
      </c>
      <c r="Z207" s="421">
        <v>0</v>
      </c>
      <c r="AA207" s="421">
        <v>0</v>
      </c>
      <c r="AB207" s="421">
        <v>0</v>
      </c>
      <c r="AC207" s="421">
        <v>0</v>
      </c>
      <c r="AD207" s="421">
        <v>-314886</v>
      </c>
      <c r="AE207" s="421">
        <v>0</v>
      </c>
      <c r="AF207" s="421">
        <f t="shared" si="729"/>
        <v>-391686</v>
      </c>
      <c r="AG207" s="421">
        <f t="shared" si="730"/>
        <v>-76800</v>
      </c>
      <c r="AH207" s="421">
        <f t="shared" si="731"/>
        <v>-468486</v>
      </c>
      <c r="AI207" s="421">
        <v>76800</v>
      </c>
      <c r="AJ207" s="421">
        <v>76800</v>
      </c>
      <c r="AK207" s="421">
        <v>0</v>
      </c>
      <c r="AL207" s="421">
        <v>0</v>
      </c>
      <c r="AM207" s="421">
        <v>0</v>
      </c>
      <c r="AN207" s="421">
        <v>0</v>
      </c>
      <c r="AO207" s="421">
        <f t="shared" si="732"/>
        <v>76800</v>
      </c>
      <c r="AP207" s="421">
        <f t="shared" si="733"/>
        <v>76800</v>
      </c>
      <c r="AQ207" s="421">
        <f t="shared" si="734"/>
        <v>153600</v>
      </c>
      <c r="AR207" s="421">
        <f t="shared" si="735"/>
        <v>-314886</v>
      </c>
      <c r="AS207" s="421">
        <f t="shared" si="735"/>
        <v>0</v>
      </c>
      <c r="AT207" s="421">
        <f t="shared" si="736"/>
        <v>-314886</v>
      </c>
      <c r="AU207" s="68">
        <f t="shared" si="737"/>
        <v>-106431</v>
      </c>
      <c r="AV207" s="68">
        <f t="shared" si="738"/>
        <v>-4685</v>
      </c>
      <c r="AW207" s="421">
        <v>0</v>
      </c>
      <c r="AX207" s="421">
        <v>0</v>
      </c>
      <c r="AY207" s="421">
        <f t="shared" si="739"/>
        <v>0</v>
      </c>
      <c r="AZ207" s="421">
        <f t="shared" si="740"/>
        <v>-426002</v>
      </c>
      <c r="BA207" s="422">
        <v>-0.13</v>
      </c>
      <c r="BB207" s="422">
        <v>-0.28000000000000003</v>
      </c>
      <c r="BC207" s="422">
        <v>0</v>
      </c>
      <c r="BD207" s="422">
        <v>0</v>
      </c>
      <c r="BE207" s="422">
        <v>0</v>
      </c>
      <c r="BF207" s="422">
        <v>0</v>
      </c>
      <c r="BG207" s="422">
        <v>0</v>
      </c>
      <c r="BH207" s="422">
        <v>0</v>
      </c>
      <c r="BI207" s="422">
        <v>-0.46</v>
      </c>
      <c r="BJ207" s="422">
        <v>0</v>
      </c>
      <c r="BK207" s="422">
        <f t="shared" si="741"/>
        <v>-0.59000000000000008</v>
      </c>
      <c r="BL207" s="422">
        <f t="shared" si="742"/>
        <v>-0.28000000000000003</v>
      </c>
      <c r="BM207" s="611">
        <f t="shared" si="743"/>
        <v>-0.87000000000000011</v>
      </c>
      <c r="BN207" s="428">
        <f t="shared" si="744"/>
        <v>53643413</v>
      </c>
      <c r="BO207" s="421">
        <f t="shared" si="745"/>
        <v>39089902</v>
      </c>
      <c r="BP207" s="421">
        <f t="shared" si="746"/>
        <v>36238727</v>
      </c>
      <c r="BQ207" s="421">
        <f t="shared" si="746"/>
        <v>2851175</v>
      </c>
      <c r="BR207" s="421">
        <f t="shared" si="747"/>
        <v>153600</v>
      </c>
      <c r="BS207" s="421">
        <f t="shared" si="748"/>
        <v>76800</v>
      </c>
      <c r="BT207" s="421">
        <f t="shared" si="748"/>
        <v>76800</v>
      </c>
      <c r="BU207" s="421">
        <f t="shared" si="749"/>
        <v>13264303</v>
      </c>
      <c r="BV207" s="421">
        <f t="shared" si="749"/>
        <v>390899</v>
      </c>
      <c r="BW207" s="421">
        <f t="shared" si="750"/>
        <v>744709</v>
      </c>
      <c r="BX207" s="422">
        <f t="shared" si="751"/>
        <v>61.653100000000002</v>
      </c>
      <c r="BY207" s="422">
        <f t="shared" si="752"/>
        <v>52.727499999999999</v>
      </c>
      <c r="BZ207" s="611">
        <f t="shared" si="752"/>
        <v>8.9256000000000011</v>
      </c>
      <c r="CA207" s="423"/>
      <c r="CB207" s="418"/>
      <c r="CC207" s="418"/>
      <c r="CD207" s="418"/>
      <c r="CE207" s="418"/>
      <c r="CF207" s="527"/>
    </row>
    <row r="208" spans="1:84" s="222" customFormat="1" ht="12.75" customHeight="1" x14ac:dyDescent="0.2">
      <c r="A208" s="210">
        <v>37</v>
      </c>
      <c r="B208" s="211">
        <v>4467</v>
      </c>
      <c r="C208" s="211">
        <v>600074935</v>
      </c>
      <c r="D208" s="211">
        <v>48282545</v>
      </c>
      <c r="E208" s="209" t="s">
        <v>804</v>
      </c>
      <c r="F208" s="211">
        <v>3113</v>
      </c>
      <c r="G208" s="165" t="s">
        <v>293</v>
      </c>
      <c r="H208" s="699" t="s">
        <v>271</v>
      </c>
      <c r="I208" s="528">
        <f t="shared" si="722"/>
        <v>2241615</v>
      </c>
      <c r="J208" s="418">
        <f t="shared" si="723"/>
        <v>1662919</v>
      </c>
      <c r="K208" s="418">
        <v>1662919</v>
      </c>
      <c r="L208" s="418">
        <v>0</v>
      </c>
      <c r="M208" s="418">
        <f t="shared" si="724"/>
        <v>0</v>
      </c>
      <c r="N208" s="418"/>
      <c r="O208" s="418"/>
      <c r="P208" s="68">
        <f t="shared" si="725"/>
        <v>562067</v>
      </c>
      <c r="Q208" s="68">
        <f t="shared" si="726"/>
        <v>16629</v>
      </c>
      <c r="R208" s="418">
        <v>0</v>
      </c>
      <c r="S208" s="419">
        <f t="shared" si="727"/>
        <v>3.9167000000000001</v>
      </c>
      <c r="T208" s="420">
        <v>3.9167000000000001</v>
      </c>
      <c r="U208" s="527">
        <v>0</v>
      </c>
      <c r="V208" s="427">
        <f t="shared" si="728"/>
        <v>0</v>
      </c>
      <c r="W208" s="421">
        <f t="shared" si="728"/>
        <v>0</v>
      </c>
      <c r="X208" s="421">
        <v>0</v>
      </c>
      <c r="Y208" s="421">
        <v>0</v>
      </c>
      <c r="Z208" s="421">
        <v>0</v>
      </c>
      <c r="AA208" s="421">
        <v>0</v>
      </c>
      <c r="AB208" s="421">
        <v>0</v>
      </c>
      <c r="AC208" s="421">
        <v>0</v>
      </c>
      <c r="AD208" s="421">
        <v>0</v>
      </c>
      <c r="AE208" s="421">
        <v>0</v>
      </c>
      <c r="AF208" s="421">
        <f t="shared" si="729"/>
        <v>0</v>
      </c>
      <c r="AG208" s="421">
        <f t="shared" si="730"/>
        <v>0</v>
      </c>
      <c r="AH208" s="421">
        <f t="shared" si="731"/>
        <v>0</v>
      </c>
      <c r="AI208" s="421">
        <v>0</v>
      </c>
      <c r="AJ208" s="421">
        <v>0</v>
      </c>
      <c r="AK208" s="421">
        <v>0</v>
      </c>
      <c r="AL208" s="421">
        <v>0</v>
      </c>
      <c r="AM208" s="421">
        <v>0</v>
      </c>
      <c r="AN208" s="421">
        <v>0</v>
      </c>
      <c r="AO208" s="421">
        <f t="shared" si="732"/>
        <v>0</v>
      </c>
      <c r="AP208" s="421">
        <f t="shared" si="733"/>
        <v>0</v>
      </c>
      <c r="AQ208" s="421">
        <f t="shared" si="734"/>
        <v>0</v>
      </c>
      <c r="AR208" s="421">
        <f t="shared" si="735"/>
        <v>0</v>
      </c>
      <c r="AS208" s="421">
        <f t="shared" si="735"/>
        <v>0</v>
      </c>
      <c r="AT208" s="421">
        <f t="shared" si="736"/>
        <v>0</v>
      </c>
      <c r="AU208" s="68">
        <f t="shared" si="737"/>
        <v>0</v>
      </c>
      <c r="AV208" s="68">
        <f t="shared" si="738"/>
        <v>0</v>
      </c>
      <c r="AW208" s="421">
        <v>0</v>
      </c>
      <c r="AX208" s="421">
        <v>0</v>
      </c>
      <c r="AY208" s="421">
        <f t="shared" si="739"/>
        <v>0</v>
      </c>
      <c r="AZ208" s="421">
        <f t="shared" si="740"/>
        <v>0</v>
      </c>
      <c r="BA208" s="422">
        <v>0</v>
      </c>
      <c r="BB208" s="422">
        <v>0</v>
      </c>
      <c r="BC208" s="422">
        <v>0</v>
      </c>
      <c r="BD208" s="422">
        <v>0</v>
      </c>
      <c r="BE208" s="422">
        <v>0</v>
      </c>
      <c r="BF208" s="422">
        <v>0</v>
      </c>
      <c r="BG208" s="422">
        <v>0</v>
      </c>
      <c r="BH208" s="422">
        <v>0</v>
      </c>
      <c r="BI208" s="422">
        <v>0</v>
      </c>
      <c r="BJ208" s="422">
        <v>0</v>
      </c>
      <c r="BK208" s="422">
        <f t="shared" si="741"/>
        <v>0</v>
      </c>
      <c r="BL208" s="422">
        <f t="shared" si="742"/>
        <v>0</v>
      </c>
      <c r="BM208" s="611">
        <f t="shared" si="743"/>
        <v>0</v>
      </c>
      <c r="BN208" s="428">
        <f t="shared" si="744"/>
        <v>2241615</v>
      </c>
      <c r="BO208" s="421">
        <f t="shared" si="745"/>
        <v>1662919</v>
      </c>
      <c r="BP208" s="421">
        <f t="shared" si="746"/>
        <v>1662919</v>
      </c>
      <c r="BQ208" s="421">
        <f t="shared" si="746"/>
        <v>0</v>
      </c>
      <c r="BR208" s="421">
        <f t="shared" si="747"/>
        <v>0</v>
      </c>
      <c r="BS208" s="421">
        <f t="shared" si="748"/>
        <v>0</v>
      </c>
      <c r="BT208" s="421">
        <f t="shared" si="748"/>
        <v>0</v>
      </c>
      <c r="BU208" s="421">
        <f t="shared" si="749"/>
        <v>562067</v>
      </c>
      <c r="BV208" s="421">
        <f t="shared" si="749"/>
        <v>16629</v>
      </c>
      <c r="BW208" s="421">
        <f t="shared" si="750"/>
        <v>0</v>
      </c>
      <c r="BX208" s="422">
        <f t="shared" si="751"/>
        <v>3.9167000000000001</v>
      </c>
      <c r="BY208" s="422">
        <f t="shared" si="752"/>
        <v>3.9167000000000001</v>
      </c>
      <c r="BZ208" s="611">
        <f t="shared" si="752"/>
        <v>0</v>
      </c>
      <c r="CA208" s="423"/>
      <c r="CB208" s="418"/>
      <c r="CC208" s="418"/>
      <c r="CD208" s="418"/>
      <c r="CE208" s="418"/>
      <c r="CF208" s="527"/>
    </row>
    <row r="209" spans="1:84" s="222" customFormat="1" ht="12.75" customHeight="1" x14ac:dyDescent="0.2">
      <c r="A209" s="210">
        <v>37</v>
      </c>
      <c r="B209" s="211">
        <v>4467</v>
      </c>
      <c r="C209" s="211">
        <v>600074935</v>
      </c>
      <c r="D209" s="211">
        <v>48282545</v>
      </c>
      <c r="E209" s="209" t="s">
        <v>804</v>
      </c>
      <c r="F209" s="211">
        <v>3113</v>
      </c>
      <c r="G209" s="165" t="s">
        <v>292</v>
      </c>
      <c r="H209" s="699" t="s">
        <v>272</v>
      </c>
      <c r="I209" s="528">
        <f t="shared" si="722"/>
        <v>0</v>
      </c>
      <c r="J209" s="418">
        <f t="shared" si="723"/>
        <v>0</v>
      </c>
      <c r="K209" s="418">
        <v>0</v>
      </c>
      <c r="L209" s="418">
        <v>0</v>
      </c>
      <c r="M209" s="418">
        <f t="shared" si="724"/>
        <v>0</v>
      </c>
      <c r="N209" s="418"/>
      <c r="O209" s="418"/>
      <c r="P209" s="68">
        <f t="shared" si="725"/>
        <v>0</v>
      </c>
      <c r="Q209" s="68">
        <f t="shared" si="726"/>
        <v>0</v>
      </c>
      <c r="R209" s="418">
        <v>0</v>
      </c>
      <c r="S209" s="419">
        <f t="shared" si="727"/>
        <v>0</v>
      </c>
      <c r="T209" s="420">
        <v>0</v>
      </c>
      <c r="U209" s="527">
        <v>0</v>
      </c>
      <c r="V209" s="427">
        <f t="shared" si="728"/>
        <v>0</v>
      </c>
      <c r="W209" s="421">
        <f t="shared" si="728"/>
        <v>0</v>
      </c>
      <c r="X209" s="421">
        <f>5456973-45320+197421</f>
        <v>5609074</v>
      </c>
      <c r="Y209" s="421">
        <v>0</v>
      </c>
      <c r="Z209" s="421">
        <v>0</v>
      </c>
      <c r="AA209" s="421">
        <v>0</v>
      </c>
      <c r="AB209" s="421">
        <v>0</v>
      </c>
      <c r="AC209" s="421">
        <v>0</v>
      </c>
      <c r="AD209" s="421">
        <v>0</v>
      </c>
      <c r="AE209" s="421">
        <v>0</v>
      </c>
      <c r="AF209" s="421">
        <f t="shared" si="729"/>
        <v>5609074</v>
      </c>
      <c r="AG209" s="421">
        <f t="shared" si="730"/>
        <v>0</v>
      </c>
      <c r="AH209" s="421">
        <f t="shared" si="731"/>
        <v>5609074</v>
      </c>
      <c r="AI209" s="421">
        <v>0</v>
      </c>
      <c r="AJ209" s="421">
        <v>0</v>
      </c>
      <c r="AK209" s="421">
        <v>0</v>
      </c>
      <c r="AL209" s="421">
        <v>0</v>
      </c>
      <c r="AM209" s="421">
        <v>0</v>
      </c>
      <c r="AN209" s="421">
        <v>0</v>
      </c>
      <c r="AO209" s="421">
        <f t="shared" si="732"/>
        <v>0</v>
      </c>
      <c r="AP209" s="421">
        <f t="shared" si="733"/>
        <v>0</v>
      </c>
      <c r="AQ209" s="421">
        <f t="shared" si="734"/>
        <v>0</v>
      </c>
      <c r="AR209" s="421">
        <f t="shared" si="735"/>
        <v>5609074</v>
      </c>
      <c r="AS209" s="421">
        <f t="shared" si="735"/>
        <v>0</v>
      </c>
      <c r="AT209" s="421">
        <f t="shared" si="736"/>
        <v>5609074</v>
      </c>
      <c r="AU209" s="68">
        <f t="shared" si="737"/>
        <v>1895867</v>
      </c>
      <c r="AV209" s="68">
        <f t="shared" si="738"/>
        <v>56091</v>
      </c>
      <c r="AW209" s="421">
        <v>37500</v>
      </c>
      <c r="AX209" s="421">
        <v>0</v>
      </c>
      <c r="AY209" s="421">
        <f t="shared" si="739"/>
        <v>37500</v>
      </c>
      <c r="AZ209" s="421">
        <f t="shared" si="740"/>
        <v>7598532</v>
      </c>
      <c r="BA209" s="422">
        <v>0</v>
      </c>
      <c r="BB209" s="422">
        <v>0</v>
      </c>
      <c r="BC209" s="422">
        <f>14.92+0.53</f>
        <v>15.45</v>
      </c>
      <c r="BD209" s="422">
        <v>0</v>
      </c>
      <c r="BE209" s="422">
        <v>0</v>
      </c>
      <c r="BF209" s="422">
        <v>0</v>
      </c>
      <c r="BG209" s="422">
        <v>0</v>
      </c>
      <c r="BH209" s="422">
        <v>0</v>
      </c>
      <c r="BI209" s="422">
        <v>0</v>
      </c>
      <c r="BJ209" s="422">
        <v>0</v>
      </c>
      <c r="BK209" s="422">
        <f t="shared" si="741"/>
        <v>15.45</v>
      </c>
      <c r="BL209" s="422">
        <f t="shared" si="742"/>
        <v>0</v>
      </c>
      <c r="BM209" s="611">
        <f t="shared" si="743"/>
        <v>15.45</v>
      </c>
      <c r="BN209" s="428">
        <f t="shared" si="744"/>
        <v>7598532</v>
      </c>
      <c r="BO209" s="421">
        <f t="shared" si="745"/>
        <v>5609074</v>
      </c>
      <c r="BP209" s="421">
        <f t="shared" si="746"/>
        <v>5609074</v>
      </c>
      <c r="BQ209" s="421">
        <f t="shared" si="746"/>
        <v>0</v>
      </c>
      <c r="BR209" s="421">
        <f t="shared" si="747"/>
        <v>0</v>
      </c>
      <c r="BS209" s="421">
        <f t="shared" si="748"/>
        <v>0</v>
      </c>
      <c r="BT209" s="421">
        <f t="shared" si="748"/>
        <v>0</v>
      </c>
      <c r="BU209" s="421">
        <f t="shared" si="749"/>
        <v>1895867</v>
      </c>
      <c r="BV209" s="421">
        <f t="shared" si="749"/>
        <v>56091</v>
      </c>
      <c r="BW209" s="421">
        <f t="shared" si="750"/>
        <v>37500</v>
      </c>
      <c r="BX209" s="422">
        <f t="shared" si="751"/>
        <v>15.45</v>
      </c>
      <c r="BY209" s="422">
        <f t="shared" si="752"/>
        <v>15.45</v>
      </c>
      <c r="BZ209" s="611">
        <f t="shared" si="752"/>
        <v>0</v>
      </c>
      <c r="CA209" s="423"/>
      <c r="CB209" s="418"/>
      <c r="CC209" s="418"/>
      <c r="CD209" s="418"/>
      <c r="CE209" s="418"/>
      <c r="CF209" s="527"/>
    </row>
    <row r="210" spans="1:84" s="222" customFormat="1" ht="12.75" customHeight="1" x14ac:dyDescent="0.2">
      <c r="A210" s="210">
        <v>37</v>
      </c>
      <c r="B210" s="211">
        <v>4467</v>
      </c>
      <c r="C210" s="211">
        <v>600074935</v>
      </c>
      <c r="D210" s="211">
        <v>48282545</v>
      </c>
      <c r="E210" s="209" t="s">
        <v>804</v>
      </c>
      <c r="F210" s="211">
        <v>3141</v>
      </c>
      <c r="G210" s="165" t="s">
        <v>295</v>
      </c>
      <c r="H210" s="699" t="s">
        <v>272</v>
      </c>
      <c r="I210" s="528">
        <f t="shared" si="722"/>
        <v>4184953</v>
      </c>
      <c r="J210" s="418">
        <f t="shared" si="723"/>
        <v>3083557</v>
      </c>
      <c r="K210" s="418">
        <v>0</v>
      </c>
      <c r="L210" s="418">
        <v>3083557</v>
      </c>
      <c r="M210" s="418">
        <f t="shared" si="724"/>
        <v>0</v>
      </c>
      <c r="N210" s="418"/>
      <c r="O210" s="418"/>
      <c r="P210" s="68">
        <f t="shared" si="725"/>
        <v>1042242</v>
      </c>
      <c r="Q210" s="68">
        <f t="shared" si="726"/>
        <v>30836</v>
      </c>
      <c r="R210" s="418">
        <v>28318</v>
      </c>
      <c r="S210" s="419">
        <f t="shared" si="727"/>
        <v>9.25</v>
      </c>
      <c r="T210" s="420">
        <v>0</v>
      </c>
      <c r="U210" s="527">
        <v>9.25</v>
      </c>
      <c r="V210" s="427">
        <f t="shared" si="728"/>
        <v>0</v>
      </c>
      <c r="W210" s="421">
        <f t="shared" si="728"/>
        <v>0</v>
      </c>
      <c r="X210" s="421">
        <v>0</v>
      </c>
      <c r="Y210" s="421">
        <v>0</v>
      </c>
      <c r="Z210" s="421">
        <v>0</v>
      </c>
      <c r="AA210" s="421">
        <v>0</v>
      </c>
      <c r="AB210" s="421">
        <v>0</v>
      </c>
      <c r="AC210" s="421">
        <v>0</v>
      </c>
      <c r="AD210" s="421">
        <v>0</v>
      </c>
      <c r="AE210" s="421">
        <v>0</v>
      </c>
      <c r="AF210" s="421">
        <f t="shared" si="729"/>
        <v>0</v>
      </c>
      <c r="AG210" s="421">
        <f t="shared" si="730"/>
        <v>0</v>
      </c>
      <c r="AH210" s="421">
        <f t="shared" si="731"/>
        <v>0</v>
      </c>
      <c r="AI210" s="421">
        <v>0</v>
      </c>
      <c r="AJ210" s="421">
        <v>0</v>
      </c>
      <c r="AK210" s="421">
        <v>0</v>
      </c>
      <c r="AL210" s="421">
        <v>0</v>
      </c>
      <c r="AM210" s="421">
        <v>0</v>
      </c>
      <c r="AN210" s="421">
        <v>0</v>
      </c>
      <c r="AO210" s="421">
        <f t="shared" si="732"/>
        <v>0</v>
      </c>
      <c r="AP210" s="421">
        <f t="shared" si="733"/>
        <v>0</v>
      </c>
      <c r="AQ210" s="421">
        <f t="shared" si="734"/>
        <v>0</v>
      </c>
      <c r="AR210" s="421">
        <f t="shared" si="735"/>
        <v>0</v>
      </c>
      <c r="AS210" s="421">
        <f t="shared" si="735"/>
        <v>0</v>
      </c>
      <c r="AT210" s="421">
        <f t="shared" si="736"/>
        <v>0</v>
      </c>
      <c r="AU210" s="68">
        <f t="shared" si="737"/>
        <v>0</v>
      </c>
      <c r="AV210" s="68">
        <f t="shared" si="738"/>
        <v>0</v>
      </c>
      <c r="AW210" s="421">
        <v>0</v>
      </c>
      <c r="AX210" s="421">
        <v>0</v>
      </c>
      <c r="AY210" s="421">
        <f t="shared" si="739"/>
        <v>0</v>
      </c>
      <c r="AZ210" s="421">
        <f t="shared" si="740"/>
        <v>0</v>
      </c>
      <c r="BA210" s="422">
        <v>0</v>
      </c>
      <c r="BB210" s="422">
        <v>0</v>
      </c>
      <c r="BC210" s="422">
        <v>0</v>
      </c>
      <c r="BD210" s="422">
        <v>0</v>
      </c>
      <c r="BE210" s="422">
        <v>0</v>
      </c>
      <c r="BF210" s="422">
        <v>0</v>
      </c>
      <c r="BG210" s="422">
        <v>0</v>
      </c>
      <c r="BH210" s="422">
        <v>0</v>
      </c>
      <c r="BI210" s="422">
        <v>0</v>
      </c>
      <c r="BJ210" s="422">
        <v>0</v>
      </c>
      <c r="BK210" s="422">
        <f t="shared" si="741"/>
        <v>0</v>
      </c>
      <c r="BL210" s="422">
        <f t="shared" si="742"/>
        <v>0</v>
      </c>
      <c r="BM210" s="611">
        <f t="shared" si="743"/>
        <v>0</v>
      </c>
      <c r="BN210" s="428">
        <f t="shared" si="744"/>
        <v>4184953</v>
      </c>
      <c r="BO210" s="421">
        <f t="shared" si="745"/>
        <v>3083557</v>
      </c>
      <c r="BP210" s="421">
        <f t="shared" si="746"/>
        <v>0</v>
      </c>
      <c r="BQ210" s="421">
        <f t="shared" si="746"/>
        <v>3083557</v>
      </c>
      <c r="BR210" s="421">
        <f t="shared" si="747"/>
        <v>0</v>
      </c>
      <c r="BS210" s="421">
        <f t="shared" si="748"/>
        <v>0</v>
      </c>
      <c r="BT210" s="421">
        <f t="shared" si="748"/>
        <v>0</v>
      </c>
      <c r="BU210" s="421">
        <f t="shared" si="749"/>
        <v>1042242</v>
      </c>
      <c r="BV210" s="421">
        <f t="shared" si="749"/>
        <v>30836</v>
      </c>
      <c r="BW210" s="421">
        <f t="shared" si="750"/>
        <v>28318</v>
      </c>
      <c r="BX210" s="422">
        <f t="shared" si="751"/>
        <v>9.25</v>
      </c>
      <c r="BY210" s="422">
        <f t="shared" si="752"/>
        <v>0</v>
      </c>
      <c r="BZ210" s="611">
        <f t="shared" si="752"/>
        <v>9.25</v>
      </c>
      <c r="CA210" s="423"/>
      <c r="CB210" s="418"/>
      <c r="CC210" s="418"/>
      <c r="CD210" s="418"/>
      <c r="CE210" s="418"/>
      <c r="CF210" s="527"/>
    </row>
    <row r="211" spans="1:84" s="222" customFormat="1" ht="12.75" customHeight="1" x14ac:dyDescent="0.2">
      <c r="A211" s="210">
        <v>37</v>
      </c>
      <c r="B211" s="211">
        <v>4467</v>
      </c>
      <c r="C211" s="211">
        <v>600074935</v>
      </c>
      <c r="D211" s="211">
        <v>48282545</v>
      </c>
      <c r="E211" s="209" t="s">
        <v>804</v>
      </c>
      <c r="F211" s="211">
        <v>3143</v>
      </c>
      <c r="G211" s="165" t="s">
        <v>596</v>
      </c>
      <c r="H211" s="686" t="s">
        <v>271</v>
      </c>
      <c r="I211" s="528">
        <f t="shared" si="722"/>
        <v>4811717</v>
      </c>
      <c r="J211" s="418">
        <f t="shared" si="723"/>
        <v>3569523</v>
      </c>
      <c r="K211" s="418">
        <v>3569523</v>
      </c>
      <c r="L211" s="418">
        <v>0</v>
      </c>
      <c r="M211" s="418">
        <f t="shared" si="724"/>
        <v>0</v>
      </c>
      <c r="N211" s="418"/>
      <c r="O211" s="418"/>
      <c r="P211" s="68">
        <f t="shared" si="725"/>
        <v>1206499</v>
      </c>
      <c r="Q211" s="68">
        <f t="shared" si="726"/>
        <v>35695</v>
      </c>
      <c r="R211" s="418">
        <v>0</v>
      </c>
      <c r="S211" s="419">
        <f t="shared" si="727"/>
        <v>6.9642999999999997</v>
      </c>
      <c r="T211" s="420">
        <v>6.9642999999999997</v>
      </c>
      <c r="U211" s="527">
        <v>0</v>
      </c>
      <c r="V211" s="427">
        <f t="shared" si="728"/>
        <v>0</v>
      </c>
      <c r="W211" s="421">
        <f t="shared" si="728"/>
        <v>0</v>
      </c>
      <c r="X211" s="421">
        <v>0</v>
      </c>
      <c r="Y211" s="421">
        <v>0</v>
      </c>
      <c r="Z211" s="421">
        <v>0</v>
      </c>
      <c r="AA211" s="421">
        <v>0</v>
      </c>
      <c r="AB211" s="421">
        <v>0</v>
      </c>
      <c r="AC211" s="421">
        <v>0</v>
      </c>
      <c r="AD211" s="421">
        <v>0</v>
      </c>
      <c r="AE211" s="421">
        <v>0</v>
      </c>
      <c r="AF211" s="421">
        <f t="shared" si="729"/>
        <v>0</v>
      </c>
      <c r="AG211" s="421">
        <f t="shared" si="730"/>
        <v>0</v>
      </c>
      <c r="AH211" s="421">
        <f t="shared" si="731"/>
        <v>0</v>
      </c>
      <c r="AI211" s="421">
        <v>0</v>
      </c>
      <c r="AJ211" s="421">
        <v>0</v>
      </c>
      <c r="AK211" s="421">
        <v>0</v>
      </c>
      <c r="AL211" s="421">
        <v>0</v>
      </c>
      <c r="AM211" s="421">
        <v>0</v>
      </c>
      <c r="AN211" s="421">
        <v>0</v>
      </c>
      <c r="AO211" s="421">
        <f t="shared" si="732"/>
        <v>0</v>
      </c>
      <c r="AP211" s="421">
        <f t="shared" si="733"/>
        <v>0</v>
      </c>
      <c r="AQ211" s="421">
        <f t="shared" si="734"/>
        <v>0</v>
      </c>
      <c r="AR211" s="421">
        <f t="shared" si="735"/>
        <v>0</v>
      </c>
      <c r="AS211" s="421">
        <f t="shared" si="735"/>
        <v>0</v>
      </c>
      <c r="AT211" s="421">
        <f t="shared" si="736"/>
        <v>0</v>
      </c>
      <c r="AU211" s="68">
        <f t="shared" si="737"/>
        <v>0</v>
      </c>
      <c r="AV211" s="68">
        <f t="shared" si="738"/>
        <v>0</v>
      </c>
      <c r="AW211" s="421">
        <v>0</v>
      </c>
      <c r="AX211" s="421">
        <v>0</v>
      </c>
      <c r="AY211" s="421">
        <f t="shared" si="739"/>
        <v>0</v>
      </c>
      <c r="AZ211" s="421">
        <f t="shared" si="740"/>
        <v>0</v>
      </c>
      <c r="BA211" s="422">
        <v>0</v>
      </c>
      <c r="BB211" s="422">
        <v>0</v>
      </c>
      <c r="BC211" s="422">
        <v>0</v>
      </c>
      <c r="BD211" s="422">
        <v>0</v>
      </c>
      <c r="BE211" s="422">
        <v>0</v>
      </c>
      <c r="BF211" s="422">
        <v>0</v>
      </c>
      <c r="BG211" s="422">
        <v>0</v>
      </c>
      <c r="BH211" s="422">
        <v>0</v>
      </c>
      <c r="BI211" s="422">
        <v>0</v>
      </c>
      <c r="BJ211" s="422">
        <v>0</v>
      </c>
      <c r="BK211" s="422">
        <f t="shared" si="741"/>
        <v>0</v>
      </c>
      <c r="BL211" s="422">
        <f t="shared" si="742"/>
        <v>0</v>
      </c>
      <c r="BM211" s="611">
        <f t="shared" si="743"/>
        <v>0</v>
      </c>
      <c r="BN211" s="428">
        <f t="shared" si="744"/>
        <v>4811717</v>
      </c>
      <c r="BO211" s="421">
        <f t="shared" si="745"/>
        <v>3569523</v>
      </c>
      <c r="BP211" s="421">
        <f t="shared" si="746"/>
        <v>3569523</v>
      </c>
      <c r="BQ211" s="421">
        <f t="shared" si="746"/>
        <v>0</v>
      </c>
      <c r="BR211" s="421">
        <f t="shared" si="747"/>
        <v>0</v>
      </c>
      <c r="BS211" s="421">
        <f t="shared" si="748"/>
        <v>0</v>
      </c>
      <c r="BT211" s="421">
        <f t="shared" si="748"/>
        <v>0</v>
      </c>
      <c r="BU211" s="421">
        <f t="shared" si="749"/>
        <v>1206499</v>
      </c>
      <c r="BV211" s="421">
        <f t="shared" si="749"/>
        <v>35695</v>
      </c>
      <c r="BW211" s="421">
        <f t="shared" si="750"/>
        <v>0</v>
      </c>
      <c r="BX211" s="422">
        <f t="shared" si="751"/>
        <v>6.9642999999999997</v>
      </c>
      <c r="BY211" s="422">
        <f t="shared" si="752"/>
        <v>6.9642999999999997</v>
      </c>
      <c r="BZ211" s="611">
        <f t="shared" si="752"/>
        <v>0</v>
      </c>
      <c r="CA211" s="423"/>
      <c r="CB211" s="418"/>
      <c r="CC211" s="418"/>
      <c r="CD211" s="418"/>
      <c r="CE211" s="418"/>
      <c r="CF211" s="527"/>
    </row>
    <row r="212" spans="1:84" s="222" customFormat="1" ht="12.75" customHeight="1" x14ac:dyDescent="0.2">
      <c r="A212" s="210">
        <v>37</v>
      </c>
      <c r="B212" s="211">
        <v>4467</v>
      </c>
      <c r="C212" s="211">
        <v>600074935</v>
      </c>
      <c r="D212" s="211">
        <v>48282545</v>
      </c>
      <c r="E212" s="209" t="s">
        <v>804</v>
      </c>
      <c r="F212" s="211">
        <v>3143</v>
      </c>
      <c r="G212" s="165" t="s">
        <v>597</v>
      </c>
      <c r="H212" s="686" t="s">
        <v>272</v>
      </c>
      <c r="I212" s="528">
        <f t="shared" si="722"/>
        <v>100948</v>
      </c>
      <c r="J212" s="418">
        <f t="shared" si="723"/>
        <v>72256</v>
      </c>
      <c r="K212" s="418">
        <v>0</v>
      </c>
      <c r="L212" s="418">
        <v>72256</v>
      </c>
      <c r="M212" s="418">
        <f t="shared" si="724"/>
        <v>0</v>
      </c>
      <c r="N212" s="418"/>
      <c r="O212" s="418"/>
      <c r="P212" s="68">
        <f t="shared" si="725"/>
        <v>24423</v>
      </c>
      <c r="Q212" s="68">
        <f t="shared" si="726"/>
        <v>723</v>
      </c>
      <c r="R212" s="418">
        <v>3546</v>
      </c>
      <c r="S212" s="419">
        <f t="shared" si="727"/>
        <v>0.27</v>
      </c>
      <c r="T212" s="420">
        <v>0</v>
      </c>
      <c r="U212" s="527">
        <v>0.27</v>
      </c>
      <c r="V212" s="427">
        <f t="shared" si="728"/>
        <v>0</v>
      </c>
      <c r="W212" s="421">
        <f t="shared" si="728"/>
        <v>0</v>
      </c>
      <c r="X212" s="421">
        <v>0</v>
      </c>
      <c r="Y212" s="421">
        <v>0</v>
      </c>
      <c r="Z212" s="421">
        <v>0</v>
      </c>
      <c r="AA212" s="421">
        <v>0</v>
      </c>
      <c r="AB212" s="421">
        <v>0</v>
      </c>
      <c r="AC212" s="421">
        <v>0</v>
      </c>
      <c r="AD212" s="421">
        <v>0</v>
      </c>
      <c r="AE212" s="421">
        <v>0</v>
      </c>
      <c r="AF212" s="421">
        <f t="shared" si="729"/>
        <v>0</v>
      </c>
      <c r="AG212" s="421">
        <f t="shared" si="730"/>
        <v>0</v>
      </c>
      <c r="AH212" s="421">
        <f t="shared" si="731"/>
        <v>0</v>
      </c>
      <c r="AI212" s="421">
        <v>0</v>
      </c>
      <c r="AJ212" s="421">
        <v>0</v>
      </c>
      <c r="AK212" s="421">
        <v>0</v>
      </c>
      <c r="AL212" s="421">
        <v>0</v>
      </c>
      <c r="AM212" s="421">
        <v>0</v>
      </c>
      <c r="AN212" s="421">
        <v>0</v>
      </c>
      <c r="AO212" s="421">
        <f t="shared" si="732"/>
        <v>0</v>
      </c>
      <c r="AP212" s="421">
        <f t="shared" si="733"/>
        <v>0</v>
      </c>
      <c r="AQ212" s="421">
        <f t="shared" si="734"/>
        <v>0</v>
      </c>
      <c r="AR212" s="421">
        <f t="shared" si="735"/>
        <v>0</v>
      </c>
      <c r="AS212" s="421">
        <f t="shared" si="735"/>
        <v>0</v>
      </c>
      <c r="AT212" s="421">
        <f t="shared" si="736"/>
        <v>0</v>
      </c>
      <c r="AU212" s="68">
        <f t="shared" si="737"/>
        <v>0</v>
      </c>
      <c r="AV212" s="68">
        <f t="shared" si="738"/>
        <v>0</v>
      </c>
      <c r="AW212" s="421">
        <v>0</v>
      </c>
      <c r="AX212" s="421">
        <v>0</v>
      </c>
      <c r="AY212" s="421">
        <f t="shared" si="739"/>
        <v>0</v>
      </c>
      <c r="AZ212" s="421">
        <f t="shared" si="740"/>
        <v>0</v>
      </c>
      <c r="BA212" s="422">
        <v>0</v>
      </c>
      <c r="BB212" s="422">
        <v>0</v>
      </c>
      <c r="BC212" s="422">
        <v>0</v>
      </c>
      <c r="BD212" s="422">
        <v>0</v>
      </c>
      <c r="BE212" s="422">
        <v>0</v>
      </c>
      <c r="BF212" s="422">
        <v>0</v>
      </c>
      <c r="BG212" s="422">
        <v>0</v>
      </c>
      <c r="BH212" s="422">
        <v>0</v>
      </c>
      <c r="BI212" s="422">
        <v>0</v>
      </c>
      <c r="BJ212" s="422">
        <v>0</v>
      </c>
      <c r="BK212" s="422">
        <f t="shared" si="741"/>
        <v>0</v>
      </c>
      <c r="BL212" s="422">
        <f t="shared" si="742"/>
        <v>0</v>
      </c>
      <c r="BM212" s="611">
        <f t="shared" si="743"/>
        <v>0</v>
      </c>
      <c r="BN212" s="428">
        <f t="shared" si="744"/>
        <v>100948</v>
      </c>
      <c r="BO212" s="421">
        <f t="shared" si="745"/>
        <v>72256</v>
      </c>
      <c r="BP212" s="421">
        <f t="shared" si="746"/>
        <v>0</v>
      </c>
      <c r="BQ212" s="421">
        <f t="shared" si="746"/>
        <v>72256</v>
      </c>
      <c r="BR212" s="421">
        <f t="shared" si="747"/>
        <v>0</v>
      </c>
      <c r="BS212" s="421">
        <f t="shared" si="748"/>
        <v>0</v>
      </c>
      <c r="BT212" s="421">
        <f t="shared" si="748"/>
        <v>0</v>
      </c>
      <c r="BU212" s="421">
        <f t="shared" si="749"/>
        <v>24423</v>
      </c>
      <c r="BV212" s="421">
        <f t="shared" si="749"/>
        <v>723</v>
      </c>
      <c r="BW212" s="421">
        <f t="shared" si="750"/>
        <v>3546</v>
      </c>
      <c r="BX212" s="422">
        <f t="shared" si="751"/>
        <v>0.27</v>
      </c>
      <c r="BY212" s="422">
        <f t="shared" si="752"/>
        <v>0</v>
      </c>
      <c r="BZ212" s="611">
        <f t="shared" si="752"/>
        <v>0.27</v>
      </c>
      <c r="CA212" s="423"/>
      <c r="CB212" s="418"/>
      <c r="CC212" s="418"/>
      <c r="CD212" s="418"/>
      <c r="CE212" s="418"/>
      <c r="CF212" s="527"/>
    </row>
    <row r="213" spans="1:84" s="222" customFormat="1" ht="12.75" customHeight="1" x14ac:dyDescent="0.2">
      <c r="A213" s="210">
        <v>37</v>
      </c>
      <c r="B213" s="211">
        <v>4467</v>
      </c>
      <c r="C213" s="211">
        <v>600074935</v>
      </c>
      <c r="D213" s="211">
        <v>48282545</v>
      </c>
      <c r="E213" s="209" t="s">
        <v>804</v>
      </c>
      <c r="F213" s="211">
        <v>3233</v>
      </c>
      <c r="G213" s="165" t="s">
        <v>298</v>
      </c>
      <c r="H213" s="699" t="s">
        <v>272</v>
      </c>
      <c r="I213" s="528">
        <f t="shared" si="722"/>
        <v>2273313</v>
      </c>
      <c r="J213" s="418">
        <f t="shared" si="723"/>
        <v>1685250</v>
      </c>
      <c r="K213" s="418">
        <v>1463549</v>
      </c>
      <c r="L213" s="418">
        <v>221701</v>
      </c>
      <c r="M213" s="418">
        <f t="shared" si="724"/>
        <v>0</v>
      </c>
      <c r="N213" s="418"/>
      <c r="O213" s="418"/>
      <c r="P213" s="68">
        <f t="shared" si="725"/>
        <v>569615</v>
      </c>
      <c r="Q213" s="68">
        <f t="shared" si="726"/>
        <v>16853</v>
      </c>
      <c r="R213" s="418">
        <v>1595</v>
      </c>
      <c r="S213" s="419">
        <f t="shared" si="727"/>
        <v>3.36</v>
      </c>
      <c r="T213" s="420">
        <v>2.65</v>
      </c>
      <c r="U213" s="527">
        <v>0.71</v>
      </c>
      <c r="V213" s="427">
        <f t="shared" si="728"/>
        <v>-192000</v>
      </c>
      <c r="W213" s="421">
        <f t="shared" si="728"/>
        <v>-6400</v>
      </c>
      <c r="X213" s="421">
        <v>0</v>
      </c>
      <c r="Y213" s="421">
        <v>0</v>
      </c>
      <c r="Z213" s="421">
        <v>0</v>
      </c>
      <c r="AA213" s="421">
        <v>0</v>
      </c>
      <c r="AB213" s="421">
        <v>0</v>
      </c>
      <c r="AC213" s="421">
        <v>0</v>
      </c>
      <c r="AD213" s="421">
        <v>0</v>
      </c>
      <c r="AE213" s="421">
        <v>0</v>
      </c>
      <c r="AF213" s="421">
        <f t="shared" si="729"/>
        <v>-192000</v>
      </c>
      <c r="AG213" s="421">
        <f t="shared" si="730"/>
        <v>-6400</v>
      </c>
      <c r="AH213" s="421">
        <f t="shared" si="731"/>
        <v>-198400</v>
      </c>
      <c r="AI213" s="421">
        <v>192000</v>
      </c>
      <c r="AJ213" s="421">
        <v>6400</v>
      </c>
      <c r="AK213" s="421">
        <v>0</v>
      </c>
      <c r="AL213" s="421">
        <v>0</v>
      </c>
      <c r="AM213" s="421">
        <v>0</v>
      </c>
      <c r="AN213" s="421">
        <v>0</v>
      </c>
      <c r="AO213" s="421">
        <f t="shared" si="732"/>
        <v>192000</v>
      </c>
      <c r="AP213" s="421">
        <f t="shared" si="733"/>
        <v>6400</v>
      </c>
      <c r="AQ213" s="421">
        <f t="shared" si="734"/>
        <v>198400</v>
      </c>
      <c r="AR213" s="421">
        <f t="shared" si="735"/>
        <v>0</v>
      </c>
      <c r="AS213" s="421">
        <f t="shared" si="735"/>
        <v>0</v>
      </c>
      <c r="AT213" s="421">
        <f t="shared" si="736"/>
        <v>0</v>
      </c>
      <c r="AU213" s="68">
        <f t="shared" si="737"/>
        <v>0</v>
      </c>
      <c r="AV213" s="68">
        <f t="shared" si="738"/>
        <v>-1984</v>
      </c>
      <c r="AW213" s="421">
        <v>0</v>
      </c>
      <c r="AX213" s="421">
        <v>0</v>
      </c>
      <c r="AY213" s="421">
        <f t="shared" si="739"/>
        <v>0</v>
      </c>
      <c r="AZ213" s="421">
        <f t="shared" si="740"/>
        <v>-1984</v>
      </c>
      <c r="BA213" s="422">
        <v>-0.42</v>
      </c>
      <c r="BB213" s="422">
        <v>-0.02</v>
      </c>
      <c r="BC213" s="422">
        <v>0</v>
      </c>
      <c r="BD213" s="422">
        <v>0</v>
      </c>
      <c r="BE213" s="422">
        <v>0</v>
      </c>
      <c r="BF213" s="422">
        <v>0</v>
      </c>
      <c r="BG213" s="422">
        <v>0</v>
      </c>
      <c r="BH213" s="422">
        <v>0</v>
      </c>
      <c r="BI213" s="422">
        <v>0</v>
      </c>
      <c r="BJ213" s="422">
        <v>0</v>
      </c>
      <c r="BK213" s="422">
        <f t="shared" si="741"/>
        <v>-0.42</v>
      </c>
      <c r="BL213" s="422">
        <f t="shared" si="742"/>
        <v>-0.02</v>
      </c>
      <c r="BM213" s="611">
        <f t="shared" si="743"/>
        <v>-0.44</v>
      </c>
      <c r="BN213" s="428">
        <f t="shared" si="744"/>
        <v>2271329</v>
      </c>
      <c r="BO213" s="421">
        <f t="shared" si="745"/>
        <v>1486850</v>
      </c>
      <c r="BP213" s="421">
        <f t="shared" si="746"/>
        <v>1271549</v>
      </c>
      <c r="BQ213" s="421">
        <f t="shared" si="746"/>
        <v>215301</v>
      </c>
      <c r="BR213" s="421">
        <f t="shared" si="747"/>
        <v>198400</v>
      </c>
      <c r="BS213" s="421">
        <f t="shared" si="748"/>
        <v>192000</v>
      </c>
      <c r="BT213" s="421">
        <f t="shared" si="748"/>
        <v>6400</v>
      </c>
      <c r="BU213" s="421">
        <f t="shared" si="749"/>
        <v>569615</v>
      </c>
      <c r="BV213" s="421">
        <f t="shared" si="749"/>
        <v>14869</v>
      </c>
      <c r="BW213" s="421">
        <f t="shared" si="750"/>
        <v>1595</v>
      </c>
      <c r="BX213" s="422">
        <f t="shared" si="751"/>
        <v>2.92</v>
      </c>
      <c r="BY213" s="422">
        <f t="shared" si="752"/>
        <v>2.23</v>
      </c>
      <c r="BZ213" s="611">
        <f t="shared" si="752"/>
        <v>0.69</v>
      </c>
      <c r="CA213" s="423"/>
      <c r="CB213" s="418"/>
      <c r="CC213" s="418"/>
      <c r="CD213" s="418"/>
      <c r="CE213" s="418"/>
      <c r="CF213" s="527"/>
    </row>
    <row r="214" spans="1:84" s="222" customFormat="1" ht="12.75" customHeight="1" x14ac:dyDescent="0.2">
      <c r="A214" s="155">
        <v>37</v>
      </c>
      <c r="B214" s="18">
        <v>4467</v>
      </c>
      <c r="C214" s="18">
        <v>600074935</v>
      </c>
      <c r="D214" s="18">
        <v>48282545</v>
      </c>
      <c r="E214" s="164" t="s">
        <v>217</v>
      </c>
      <c r="F214" s="18"/>
      <c r="G214" s="154"/>
      <c r="H214" s="685"/>
      <c r="I214" s="458">
        <f t="shared" ref="I214:BT214" si="753">SUM(I206:I213)</f>
        <v>84644447</v>
      </c>
      <c r="J214" s="451">
        <f t="shared" si="753"/>
        <v>62167709</v>
      </c>
      <c r="K214" s="451">
        <f t="shared" si="753"/>
        <v>55196540</v>
      </c>
      <c r="L214" s="451">
        <f t="shared" si="753"/>
        <v>6971169</v>
      </c>
      <c r="M214" s="451">
        <f t="shared" si="753"/>
        <v>0</v>
      </c>
      <c r="N214" s="451">
        <f t="shared" si="753"/>
        <v>0</v>
      </c>
      <c r="O214" s="451">
        <f t="shared" si="753"/>
        <v>0</v>
      </c>
      <c r="P214" s="451">
        <f t="shared" si="753"/>
        <v>21012686</v>
      </c>
      <c r="Q214" s="451">
        <f t="shared" si="753"/>
        <v>621678</v>
      </c>
      <c r="R214" s="451">
        <f t="shared" si="753"/>
        <v>842374</v>
      </c>
      <c r="S214" s="452">
        <f t="shared" si="753"/>
        <v>109.20909999999999</v>
      </c>
      <c r="T214" s="452">
        <f t="shared" si="753"/>
        <v>87.106500000000011</v>
      </c>
      <c r="U214" s="39">
        <f t="shared" si="753"/>
        <v>22.102599999999999</v>
      </c>
      <c r="V214" s="458">
        <f t="shared" si="753"/>
        <v>-268800</v>
      </c>
      <c r="W214" s="451">
        <f t="shared" si="753"/>
        <v>-83200</v>
      </c>
      <c r="X214" s="451">
        <f t="shared" si="753"/>
        <v>5609074</v>
      </c>
      <c r="Y214" s="451">
        <f t="shared" si="753"/>
        <v>0</v>
      </c>
      <c r="Z214" s="451">
        <f t="shared" si="753"/>
        <v>0</v>
      </c>
      <c r="AA214" s="451">
        <f t="shared" si="753"/>
        <v>0</v>
      </c>
      <c r="AB214" s="451">
        <f t="shared" si="753"/>
        <v>0</v>
      </c>
      <c r="AC214" s="451">
        <f t="shared" si="753"/>
        <v>0</v>
      </c>
      <c r="AD214" s="451">
        <f t="shared" si="753"/>
        <v>-314886</v>
      </c>
      <c r="AE214" s="451">
        <f t="shared" si="753"/>
        <v>0</v>
      </c>
      <c r="AF214" s="451">
        <f t="shared" si="753"/>
        <v>5025388</v>
      </c>
      <c r="AG214" s="451">
        <f t="shared" si="753"/>
        <v>-83200</v>
      </c>
      <c r="AH214" s="451">
        <f t="shared" si="753"/>
        <v>4942188</v>
      </c>
      <c r="AI214" s="451">
        <f t="shared" si="753"/>
        <v>268800</v>
      </c>
      <c r="AJ214" s="451">
        <f t="shared" si="753"/>
        <v>83200</v>
      </c>
      <c r="AK214" s="451">
        <f t="shared" ref="AK214" si="754">SUM(AK206:AK213)</f>
        <v>0</v>
      </c>
      <c r="AL214" s="451">
        <f t="shared" si="753"/>
        <v>0</v>
      </c>
      <c r="AM214" s="451">
        <f t="shared" si="753"/>
        <v>0</v>
      </c>
      <c r="AN214" s="451">
        <f t="shared" si="753"/>
        <v>0</v>
      </c>
      <c r="AO214" s="451">
        <f t="shared" si="753"/>
        <v>268800</v>
      </c>
      <c r="AP214" s="451">
        <f t="shared" si="753"/>
        <v>83200</v>
      </c>
      <c r="AQ214" s="451">
        <f t="shared" si="753"/>
        <v>352000</v>
      </c>
      <c r="AR214" s="451">
        <f t="shared" si="753"/>
        <v>5294188</v>
      </c>
      <c r="AS214" s="451">
        <f t="shared" si="753"/>
        <v>0</v>
      </c>
      <c r="AT214" s="451">
        <f t="shared" si="753"/>
        <v>5294188</v>
      </c>
      <c r="AU214" s="451">
        <f t="shared" si="753"/>
        <v>1789436</v>
      </c>
      <c r="AV214" s="451">
        <f t="shared" si="753"/>
        <v>49422</v>
      </c>
      <c r="AW214" s="451">
        <f t="shared" si="753"/>
        <v>37500</v>
      </c>
      <c r="AX214" s="451">
        <f t="shared" si="753"/>
        <v>0</v>
      </c>
      <c r="AY214" s="451">
        <f t="shared" si="753"/>
        <v>37500</v>
      </c>
      <c r="AZ214" s="451">
        <f t="shared" si="753"/>
        <v>7170546</v>
      </c>
      <c r="BA214" s="452">
        <f t="shared" si="753"/>
        <v>-0.55000000000000004</v>
      </c>
      <c r="BB214" s="452">
        <f t="shared" si="753"/>
        <v>-0.30000000000000004</v>
      </c>
      <c r="BC214" s="452">
        <f t="shared" si="753"/>
        <v>15.45</v>
      </c>
      <c r="BD214" s="452">
        <f t="shared" si="753"/>
        <v>0</v>
      </c>
      <c r="BE214" s="452">
        <f t="shared" si="753"/>
        <v>0</v>
      </c>
      <c r="BF214" s="452">
        <f t="shared" si="753"/>
        <v>0</v>
      </c>
      <c r="BG214" s="452">
        <f t="shared" si="753"/>
        <v>0</v>
      </c>
      <c r="BH214" s="452">
        <f t="shared" si="753"/>
        <v>0</v>
      </c>
      <c r="BI214" s="452">
        <f t="shared" si="753"/>
        <v>-0.46</v>
      </c>
      <c r="BJ214" s="452">
        <f t="shared" si="753"/>
        <v>0</v>
      </c>
      <c r="BK214" s="452">
        <f t="shared" si="753"/>
        <v>14.44</v>
      </c>
      <c r="BL214" s="452">
        <f t="shared" si="753"/>
        <v>-0.30000000000000004</v>
      </c>
      <c r="BM214" s="456">
        <f t="shared" si="753"/>
        <v>14.139999999999999</v>
      </c>
      <c r="BN214" s="454">
        <f t="shared" si="753"/>
        <v>91814993</v>
      </c>
      <c r="BO214" s="451">
        <f t="shared" si="753"/>
        <v>67109897</v>
      </c>
      <c r="BP214" s="451">
        <f t="shared" si="753"/>
        <v>60221928</v>
      </c>
      <c r="BQ214" s="451">
        <f t="shared" si="753"/>
        <v>6887969</v>
      </c>
      <c r="BR214" s="451">
        <f t="shared" si="753"/>
        <v>352000</v>
      </c>
      <c r="BS214" s="451">
        <f t="shared" si="753"/>
        <v>268800</v>
      </c>
      <c r="BT214" s="451">
        <f t="shared" si="753"/>
        <v>83200</v>
      </c>
      <c r="BU214" s="451">
        <f t="shared" ref="BU214:CF214" si="755">SUM(BU206:BU213)</f>
        <v>22802122</v>
      </c>
      <c r="BV214" s="451">
        <f t="shared" si="755"/>
        <v>671100</v>
      </c>
      <c r="BW214" s="451">
        <f t="shared" si="755"/>
        <v>879874</v>
      </c>
      <c r="BX214" s="452">
        <f t="shared" si="755"/>
        <v>123.34910000000001</v>
      </c>
      <c r="BY214" s="452">
        <f t="shared" si="755"/>
        <v>101.54650000000001</v>
      </c>
      <c r="BZ214" s="456">
        <f t="shared" si="755"/>
        <v>21.802600000000002</v>
      </c>
      <c r="CA214" s="854">
        <f t="shared" si="755"/>
        <v>0</v>
      </c>
      <c r="CB214" s="852">
        <f t="shared" si="755"/>
        <v>0</v>
      </c>
      <c r="CC214" s="852">
        <f t="shared" si="755"/>
        <v>0</v>
      </c>
      <c r="CD214" s="852">
        <f t="shared" si="755"/>
        <v>0</v>
      </c>
      <c r="CE214" s="852">
        <f t="shared" si="755"/>
        <v>0</v>
      </c>
      <c r="CF214" s="848">
        <f t="shared" si="755"/>
        <v>0</v>
      </c>
    </row>
    <row r="215" spans="1:84" s="222" customFormat="1" ht="12.75" customHeight="1" x14ac:dyDescent="0.2">
      <c r="A215" s="210">
        <v>39</v>
      </c>
      <c r="B215" s="211">
        <v>4472</v>
      </c>
      <c r="C215" s="211">
        <v>600075095</v>
      </c>
      <c r="D215" s="211">
        <v>48282561</v>
      </c>
      <c r="E215" s="209" t="s">
        <v>218</v>
      </c>
      <c r="F215" s="211">
        <v>3231</v>
      </c>
      <c r="G215" s="165" t="s">
        <v>296</v>
      </c>
      <c r="H215" s="699" t="s">
        <v>271</v>
      </c>
      <c r="I215" s="528">
        <f>J215+P215+Q215+R215</f>
        <v>11996688</v>
      </c>
      <c r="J215" s="418">
        <f>K215+L215</f>
        <v>8888645</v>
      </c>
      <c r="K215" s="418">
        <v>8549329</v>
      </c>
      <c r="L215" s="418">
        <v>339316</v>
      </c>
      <c r="M215" s="418">
        <f>N215+O215</f>
        <v>0</v>
      </c>
      <c r="N215" s="418"/>
      <c r="O215" s="418"/>
      <c r="P215" s="68">
        <f>ROUND(J215*33.8%,0)</f>
        <v>3004362</v>
      </c>
      <c r="Q215" s="68">
        <f>ROUND(J215*1%,0)</f>
        <v>88886</v>
      </c>
      <c r="R215" s="418">
        <v>14795</v>
      </c>
      <c r="S215" s="419">
        <f>T215+U215</f>
        <v>14.502599999999999</v>
      </c>
      <c r="T215" s="420">
        <v>13.5505</v>
      </c>
      <c r="U215" s="527">
        <v>0.95209999999999995</v>
      </c>
      <c r="V215" s="427">
        <f>AI215*-1</f>
        <v>0</v>
      </c>
      <c r="W215" s="421">
        <f>AJ215*-1</f>
        <v>-25600</v>
      </c>
      <c r="X215" s="421">
        <v>0</v>
      </c>
      <c r="Y215" s="421">
        <v>0</v>
      </c>
      <c r="Z215" s="421">
        <v>0</v>
      </c>
      <c r="AA215" s="421">
        <v>0</v>
      </c>
      <c r="AB215" s="421">
        <v>0</v>
      </c>
      <c r="AC215" s="421">
        <v>0</v>
      </c>
      <c r="AD215" s="421">
        <v>0</v>
      </c>
      <c r="AE215" s="421">
        <v>0</v>
      </c>
      <c r="AF215" s="421">
        <f>V215+X215+Y215+AA215+AB215+AD215</f>
        <v>0</v>
      </c>
      <c r="AG215" s="421">
        <f>W215+Z215+AC215+AE215</f>
        <v>-25600</v>
      </c>
      <c r="AH215" s="421">
        <f>SUM(AF215:AG215)</f>
        <v>-25600</v>
      </c>
      <c r="AI215" s="421">
        <v>0</v>
      </c>
      <c r="AJ215" s="421">
        <v>25600</v>
      </c>
      <c r="AK215" s="421">
        <v>0</v>
      </c>
      <c r="AL215" s="421">
        <v>0</v>
      </c>
      <c r="AM215" s="421">
        <v>0</v>
      </c>
      <c r="AN215" s="421">
        <v>0</v>
      </c>
      <c r="AO215" s="421">
        <f>AI215+AK215+AL215+AM215</f>
        <v>0</v>
      </c>
      <c r="AP215" s="421">
        <f>AJ215+AN215</f>
        <v>25600</v>
      </c>
      <c r="AQ215" s="421">
        <f>SUM(AO215:AP215)</f>
        <v>25600</v>
      </c>
      <c r="AR215" s="421">
        <f>AF215+AO215</f>
        <v>0</v>
      </c>
      <c r="AS215" s="421">
        <f>AG215+AP215</f>
        <v>0</v>
      </c>
      <c r="AT215" s="421">
        <f>SUM(AR215:AS215)</f>
        <v>0</v>
      </c>
      <c r="AU215" s="68">
        <f>ROUND((AH215+AI215+AJ215+AK215+AL215)*33.8%,0)</f>
        <v>0</v>
      </c>
      <c r="AV215" s="68">
        <f>ROUND(AH215*1%,0)</f>
        <v>-256</v>
      </c>
      <c r="AW215" s="421">
        <v>0</v>
      </c>
      <c r="AX215" s="421">
        <v>0</v>
      </c>
      <c r="AY215" s="421">
        <f>AW215+AX215</f>
        <v>0</v>
      </c>
      <c r="AZ215" s="421">
        <f>AT215+AU215+AV215+AY215</f>
        <v>-256</v>
      </c>
      <c r="BA215" s="422">
        <v>0</v>
      </c>
      <c r="BB215" s="422">
        <v>-0.09</v>
      </c>
      <c r="BC215" s="422">
        <v>0</v>
      </c>
      <c r="BD215" s="422">
        <v>0</v>
      </c>
      <c r="BE215" s="422">
        <v>0</v>
      </c>
      <c r="BF215" s="422">
        <v>0</v>
      </c>
      <c r="BG215" s="422">
        <v>0</v>
      </c>
      <c r="BH215" s="422">
        <v>0</v>
      </c>
      <c r="BI215" s="422">
        <v>0</v>
      </c>
      <c r="BJ215" s="422">
        <v>0</v>
      </c>
      <c r="BK215" s="422">
        <f>BA215+BC215+BD215+BF215+BH215+BI215</f>
        <v>0</v>
      </c>
      <c r="BL215" s="422">
        <f>BB215+BE215+BG215+BJ215</f>
        <v>-0.09</v>
      </c>
      <c r="BM215" s="611">
        <f>SUM(BK215:BL215)</f>
        <v>-0.09</v>
      </c>
      <c r="BN215" s="428">
        <f>I215+AZ215</f>
        <v>11996432</v>
      </c>
      <c r="BO215" s="421">
        <f>J215+AH215</f>
        <v>8863045</v>
      </c>
      <c r="BP215" s="421">
        <f>K215+AF215</f>
        <v>8549329</v>
      </c>
      <c r="BQ215" s="421">
        <f>L215+AG215</f>
        <v>313716</v>
      </c>
      <c r="BR215" s="421">
        <f>M215+AQ215</f>
        <v>25600</v>
      </c>
      <c r="BS215" s="421">
        <f>N215+AO215</f>
        <v>0</v>
      </c>
      <c r="BT215" s="421">
        <f>O215+AP215</f>
        <v>25600</v>
      </c>
      <c r="BU215" s="421">
        <f>P215+AU215</f>
        <v>3004362</v>
      </c>
      <c r="BV215" s="421">
        <f>Q215+AV215</f>
        <v>88630</v>
      </c>
      <c r="BW215" s="421">
        <f>R215+AY215</f>
        <v>14795</v>
      </c>
      <c r="BX215" s="422">
        <f>S215+BM215</f>
        <v>14.412599999999999</v>
      </c>
      <c r="BY215" s="422">
        <f>T215+BK215</f>
        <v>13.5505</v>
      </c>
      <c r="BZ215" s="611">
        <f>U215+BL215</f>
        <v>0.86209999999999998</v>
      </c>
      <c r="CA215" s="423"/>
      <c r="CB215" s="418"/>
      <c r="CC215" s="418"/>
      <c r="CD215" s="418"/>
      <c r="CE215" s="418"/>
      <c r="CF215" s="527"/>
    </row>
    <row r="216" spans="1:84" s="222" customFormat="1" ht="12.75" customHeight="1" x14ac:dyDescent="0.2">
      <c r="A216" s="155">
        <v>39</v>
      </c>
      <c r="B216" s="18">
        <v>4472</v>
      </c>
      <c r="C216" s="18">
        <v>600075095</v>
      </c>
      <c r="D216" s="18">
        <v>48282561</v>
      </c>
      <c r="E216" s="164" t="s">
        <v>219</v>
      </c>
      <c r="F216" s="18"/>
      <c r="G216" s="154"/>
      <c r="H216" s="685"/>
      <c r="I216" s="458">
        <f t="shared" ref="I216:BU216" si="756">SUM(I215)</f>
        <v>11996688</v>
      </c>
      <c r="J216" s="451">
        <f t="shared" si="756"/>
        <v>8888645</v>
      </c>
      <c r="K216" s="451">
        <f t="shared" si="756"/>
        <v>8549329</v>
      </c>
      <c r="L216" s="451">
        <f t="shared" si="756"/>
        <v>339316</v>
      </c>
      <c r="M216" s="451">
        <f t="shared" si="756"/>
        <v>0</v>
      </c>
      <c r="N216" s="451">
        <f t="shared" si="756"/>
        <v>0</v>
      </c>
      <c r="O216" s="451">
        <f t="shared" si="756"/>
        <v>0</v>
      </c>
      <c r="P216" s="451">
        <f t="shared" si="756"/>
        <v>3004362</v>
      </c>
      <c r="Q216" s="451">
        <f t="shared" si="756"/>
        <v>88886</v>
      </c>
      <c r="R216" s="451">
        <f t="shared" si="756"/>
        <v>14795</v>
      </c>
      <c r="S216" s="452">
        <f t="shared" si="756"/>
        <v>14.502599999999999</v>
      </c>
      <c r="T216" s="452">
        <f t="shared" si="756"/>
        <v>13.5505</v>
      </c>
      <c r="U216" s="39">
        <f t="shared" si="756"/>
        <v>0.95209999999999995</v>
      </c>
      <c r="V216" s="458">
        <f t="shared" si="756"/>
        <v>0</v>
      </c>
      <c r="W216" s="451">
        <f t="shared" si="756"/>
        <v>-25600</v>
      </c>
      <c r="X216" s="451">
        <f t="shared" si="756"/>
        <v>0</v>
      </c>
      <c r="Y216" s="451">
        <f t="shared" si="756"/>
        <v>0</v>
      </c>
      <c r="Z216" s="451">
        <f t="shared" si="756"/>
        <v>0</v>
      </c>
      <c r="AA216" s="451">
        <f t="shared" si="756"/>
        <v>0</v>
      </c>
      <c r="AB216" s="451">
        <f t="shared" si="756"/>
        <v>0</v>
      </c>
      <c r="AC216" s="451">
        <f t="shared" si="756"/>
        <v>0</v>
      </c>
      <c r="AD216" s="451">
        <f t="shared" si="756"/>
        <v>0</v>
      </c>
      <c r="AE216" s="451">
        <f t="shared" si="756"/>
        <v>0</v>
      </c>
      <c r="AF216" s="451">
        <f t="shared" si="756"/>
        <v>0</v>
      </c>
      <c r="AG216" s="451">
        <f t="shared" si="756"/>
        <v>-25600</v>
      </c>
      <c r="AH216" s="451">
        <f t="shared" si="756"/>
        <v>-25600</v>
      </c>
      <c r="AI216" s="451">
        <f t="shared" si="756"/>
        <v>0</v>
      </c>
      <c r="AJ216" s="451">
        <f t="shared" si="756"/>
        <v>25600</v>
      </c>
      <c r="AK216" s="451">
        <f t="shared" ref="AK216" si="757">SUM(AK215)</f>
        <v>0</v>
      </c>
      <c r="AL216" s="451">
        <f t="shared" si="756"/>
        <v>0</v>
      </c>
      <c r="AM216" s="451">
        <f t="shared" si="756"/>
        <v>0</v>
      </c>
      <c r="AN216" s="451">
        <f t="shared" si="756"/>
        <v>0</v>
      </c>
      <c r="AO216" s="451">
        <f t="shared" si="756"/>
        <v>0</v>
      </c>
      <c r="AP216" s="451">
        <f t="shared" si="756"/>
        <v>25600</v>
      </c>
      <c r="AQ216" s="451">
        <f t="shared" si="756"/>
        <v>25600</v>
      </c>
      <c r="AR216" s="451">
        <f t="shared" si="756"/>
        <v>0</v>
      </c>
      <c r="AS216" s="451">
        <f t="shared" si="756"/>
        <v>0</v>
      </c>
      <c r="AT216" s="451">
        <f t="shared" si="756"/>
        <v>0</v>
      </c>
      <c r="AU216" s="451">
        <f t="shared" si="756"/>
        <v>0</v>
      </c>
      <c r="AV216" s="451">
        <f t="shared" si="756"/>
        <v>-256</v>
      </c>
      <c r="AW216" s="451">
        <f t="shared" si="756"/>
        <v>0</v>
      </c>
      <c r="AX216" s="451">
        <f t="shared" si="756"/>
        <v>0</v>
      </c>
      <c r="AY216" s="451">
        <f t="shared" si="756"/>
        <v>0</v>
      </c>
      <c r="AZ216" s="451">
        <f t="shared" si="756"/>
        <v>-256</v>
      </c>
      <c r="BA216" s="452">
        <f t="shared" si="756"/>
        <v>0</v>
      </c>
      <c r="BB216" s="452">
        <f t="shared" si="756"/>
        <v>-0.09</v>
      </c>
      <c r="BC216" s="452">
        <f t="shared" si="756"/>
        <v>0</v>
      </c>
      <c r="BD216" s="452">
        <f t="shared" si="756"/>
        <v>0</v>
      </c>
      <c r="BE216" s="452">
        <f t="shared" si="756"/>
        <v>0</v>
      </c>
      <c r="BF216" s="452">
        <f t="shared" si="756"/>
        <v>0</v>
      </c>
      <c r="BG216" s="452">
        <f t="shared" si="756"/>
        <v>0</v>
      </c>
      <c r="BH216" s="452">
        <f t="shared" si="756"/>
        <v>0</v>
      </c>
      <c r="BI216" s="452">
        <f t="shared" si="756"/>
        <v>0</v>
      </c>
      <c r="BJ216" s="452">
        <f t="shared" si="756"/>
        <v>0</v>
      </c>
      <c r="BK216" s="452">
        <f t="shared" si="756"/>
        <v>0</v>
      </c>
      <c r="BL216" s="452">
        <f t="shared" si="756"/>
        <v>-0.09</v>
      </c>
      <c r="BM216" s="456">
        <f t="shared" si="756"/>
        <v>-0.09</v>
      </c>
      <c r="BN216" s="454">
        <f t="shared" si="756"/>
        <v>11996432</v>
      </c>
      <c r="BO216" s="451">
        <f t="shared" si="756"/>
        <v>8863045</v>
      </c>
      <c r="BP216" s="451">
        <f t="shared" si="756"/>
        <v>8549329</v>
      </c>
      <c r="BQ216" s="451">
        <f t="shared" si="756"/>
        <v>313716</v>
      </c>
      <c r="BR216" s="451">
        <f t="shared" si="756"/>
        <v>25600</v>
      </c>
      <c r="BS216" s="451">
        <f t="shared" si="756"/>
        <v>0</v>
      </c>
      <c r="BT216" s="451">
        <f t="shared" si="756"/>
        <v>25600</v>
      </c>
      <c r="BU216" s="451">
        <f t="shared" si="756"/>
        <v>3004362</v>
      </c>
      <c r="BV216" s="451">
        <f t="shared" ref="BV216:CF216" si="758">SUM(BV215)</f>
        <v>88630</v>
      </c>
      <c r="BW216" s="451">
        <f t="shared" si="758"/>
        <v>14795</v>
      </c>
      <c r="BX216" s="452">
        <f t="shared" si="758"/>
        <v>14.412599999999999</v>
      </c>
      <c r="BY216" s="452">
        <f t="shared" si="758"/>
        <v>13.5505</v>
      </c>
      <c r="BZ216" s="456">
        <f t="shared" si="758"/>
        <v>0.86209999999999998</v>
      </c>
      <c r="CA216" s="854">
        <f t="shared" si="758"/>
        <v>0</v>
      </c>
      <c r="CB216" s="852">
        <f t="shared" si="758"/>
        <v>0</v>
      </c>
      <c r="CC216" s="852">
        <f t="shared" si="758"/>
        <v>0</v>
      </c>
      <c r="CD216" s="852">
        <f t="shared" si="758"/>
        <v>0</v>
      </c>
      <c r="CE216" s="852">
        <f t="shared" si="758"/>
        <v>0</v>
      </c>
      <c r="CF216" s="848">
        <f t="shared" si="758"/>
        <v>0</v>
      </c>
    </row>
    <row r="217" spans="1:84" s="222" customFormat="1" ht="12.75" customHeight="1" x14ac:dyDescent="0.2">
      <c r="A217" s="210">
        <v>40</v>
      </c>
      <c r="B217" s="211">
        <v>4418</v>
      </c>
      <c r="C217" s="211">
        <v>600074048</v>
      </c>
      <c r="D217" s="211">
        <v>72742411</v>
      </c>
      <c r="E217" s="209" t="s">
        <v>220</v>
      </c>
      <c r="F217" s="211">
        <v>3111</v>
      </c>
      <c r="G217" s="165" t="s">
        <v>291</v>
      </c>
      <c r="H217" s="699" t="s">
        <v>271</v>
      </c>
      <c r="I217" s="528">
        <f t="shared" ref="I217:I219" si="759">J217+P217+Q217+R217</f>
        <v>2039462</v>
      </c>
      <c r="J217" s="418">
        <f>K217+L217</f>
        <v>1509389</v>
      </c>
      <c r="K217" s="418">
        <v>1398512</v>
      </c>
      <c r="L217" s="418">
        <v>110877</v>
      </c>
      <c r="M217" s="418">
        <f>N217+O217</f>
        <v>0</v>
      </c>
      <c r="N217" s="418"/>
      <c r="O217" s="418"/>
      <c r="P217" s="68">
        <f t="shared" ref="P217:P219" si="760">ROUND(J217*33.8%,0)</f>
        <v>510173</v>
      </c>
      <c r="Q217" s="68">
        <f t="shared" ref="Q217:Q219" si="761">ROUND(J217*1%,0)</f>
        <v>15094</v>
      </c>
      <c r="R217" s="418">
        <v>4806</v>
      </c>
      <c r="S217" s="419">
        <f>T217+U217</f>
        <v>2.7441999999999998</v>
      </c>
      <c r="T217" s="420">
        <v>2.3708999999999998</v>
      </c>
      <c r="U217" s="527">
        <v>0.37329999999999997</v>
      </c>
      <c r="V217" s="427">
        <f t="shared" ref="V217:W219" si="762">AI217*-1</f>
        <v>-5824</v>
      </c>
      <c r="W217" s="421">
        <f t="shared" si="762"/>
        <v>-16000</v>
      </c>
      <c r="X217" s="421">
        <v>0</v>
      </c>
      <c r="Y217" s="421">
        <v>0</v>
      </c>
      <c r="Z217" s="421">
        <v>0</v>
      </c>
      <c r="AA217" s="421">
        <v>0</v>
      </c>
      <c r="AB217" s="421">
        <v>0</v>
      </c>
      <c r="AC217" s="421">
        <v>0</v>
      </c>
      <c r="AD217" s="421">
        <v>0</v>
      </c>
      <c r="AE217" s="421">
        <v>0</v>
      </c>
      <c r="AF217" s="421">
        <f>V217+X217+Y217+AA217+AB217+AD217</f>
        <v>-5824</v>
      </c>
      <c r="AG217" s="421">
        <f>W217+Z217+AC217+AE217</f>
        <v>-16000</v>
      </c>
      <c r="AH217" s="421">
        <f>SUM(AF217:AG217)</f>
        <v>-21824</v>
      </c>
      <c r="AI217" s="421">
        <v>5824</v>
      </c>
      <c r="AJ217" s="421">
        <v>16000</v>
      </c>
      <c r="AK217" s="421">
        <v>0</v>
      </c>
      <c r="AL217" s="421">
        <v>0</v>
      </c>
      <c r="AM217" s="421">
        <v>0</v>
      </c>
      <c r="AN217" s="421">
        <v>0</v>
      </c>
      <c r="AO217" s="421">
        <f t="shared" ref="AO217:AO219" si="763">AI217+AK217+AL217+AM217</f>
        <v>5824</v>
      </c>
      <c r="AP217" s="421">
        <f>AJ217+AN217</f>
        <v>16000</v>
      </c>
      <c r="AQ217" s="421">
        <f>SUM(AO217:AP217)</f>
        <v>21824</v>
      </c>
      <c r="AR217" s="421">
        <f t="shared" ref="AR217:AS219" si="764">AF217+AO217</f>
        <v>0</v>
      </c>
      <c r="AS217" s="421">
        <f t="shared" si="764"/>
        <v>0</v>
      </c>
      <c r="AT217" s="421">
        <f>SUM(AR217:AS217)</f>
        <v>0</v>
      </c>
      <c r="AU217" s="68">
        <f t="shared" ref="AU217:AU219" si="765">ROUND((AH217+AI217+AJ217+AK217+AL217)*33.8%,0)</f>
        <v>0</v>
      </c>
      <c r="AV217" s="68">
        <f>ROUND(AH217*1%,0)</f>
        <v>-218</v>
      </c>
      <c r="AW217" s="421">
        <v>0</v>
      </c>
      <c r="AX217" s="421">
        <v>0</v>
      </c>
      <c r="AY217" s="421">
        <f>AW217+AX217</f>
        <v>0</v>
      </c>
      <c r="AZ217" s="421">
        <f>AT217+AU217+AV217+AY217</f>
        <v>-218</v>
      </c>
      <c r="BA217" s="422">
        <v>0</v>
      </c>
      <c r="BB217" s="422">
        <v>-7.0000000000000007E-2</v>
      </c>
      <c r="BC217" s="422">
        <v>0</v>
      </c>
      <c r="BD217" s="422">
        <v>0</v>
      </c>
      <c r="BE217" s="422">
        <v>0</v>
      </c>
      <c r="BF217" s="422">
        <v>0</v>
      </c>
      <c r="BG217" s="422">
        <v>0</v>
      </c>
      <c r="BH217" s="422">
        <v>0</v>
      </c>
      <c r="BI217" s="422">
        <v>0</v>
      </c>
      <c r="BJ217" s="422">
        <v>0</v>
      </c>
      <c r="BK217" s="422">
        <f>BA217+BC217+BD217+BF217+BH217+BI217</f>
        <v>0</v>
      </c>
      <c r="BL217" s="422">
        <f>BB217+BE217+BG217+BJ217</f>
        <v>-7.0000000000000007E-2</v>
      </c>
      <c r="BM217" s="611">
        <f>SUM(BK217:BL217)</f>
        <v>-7.0000000000000007E-2</v>
      </c>
      <c r="BN217" s="428">
        <f>I217+AZ217</f>
        <v>2039244</v>
      </c>
      <c r="BO217" s="421">
        <f>J217+AH217</f>
        <v>1487565</v>
      </c>
      <c r="BP217" s="421">
        <f t="shared" ref="BP217:BQ219" si="766">K217+AF217</f>
        <v>1392688</v>
      </c>
      <c r="BQ217" s="421">
        <f t="shared" si="766"/>
        <v>94877</v>
      </c>
      <c r="BR217" s="421">
        <f>M217+AQ217</f>
        <v>21824</v>
      </c>
      <c r="BS217" s="421">
        <f t="shared" ref="BS217:BT219" si="767">N217+AO217</f>
        <v>5824</v>
      </c>
      <c r="BT217" s="421">
        <f t="shared" si="767"/>
        <v>16000</v>
      </c>
      <c r="BU217" s="421">
        <f t="shared" ref="BU217:BV219" si="768">P217+AU217</f>
        <v>510173</v>
      </c>
      <c r="BV217" s="421">
        <f t="shared" si="768"/>
        <v>14876</v>
      </c>
      <c r="BW217" s="421">
        <f>R217+AY217</f>
        <v>4806</v>
      </c>
      <c r="BX217" s="422">
        <f>S217+BM217</f>
        <v>2.6741999999999999</v>
      </c>
      <c r="BY217" s="422">
        <f t="shared" ref="BY217:BZ219" si="769">T217+BK217</f>
        <v>2.3708999999999998</v>
      </c>
      <c r="BZ217" s="611">
        <f t="shared" si="769"/>
        <v>0.30329999999999996</v>
      </c>
      <c r="CA217" s="423"/>
      <c r="CB217" s="418"/>
      <c r="CC217" s="418"/>
      <c r="CD217" s="418"/>
      <c r="CE217" s="418"/>
      <c r="CF217" s="527"/>
    </row>
    <row r="218" spans="1:84" s="222" customFormat="1" ht="12.75" customHeight="1" x14ac:dyDescent="0.2">
      <c r="A218" s="210">
        <v>40</v>
      </c>
      <c r="B218" s="211">
        <v>4418</v>
      </c>
      <c r="C218" s="211">
        <v>600074048</v>
      </c>
      <c r="D218" s="211">
        <v>72742411</v>
      </c>
      <c r="E218" s="209" t="s">
        <v>220</v>
      </c>
      <c r="F218" s="211">
        <v>3111</v>
      </c>
      <c r="G218" s="165" t="s">
        <v>292</v>
      </c>
      <c r="H218" s="699" t="s">
        <v>272</v>
      </c>
      <c r="I218" s="528">
        <f t="shared" si="759"/>
        <v>0</v>
      </c>
      <c r="J218" s="418">
        <f>K218+L218</f>
        <v>0</v>
      </c>
      <c r="K218" s="418">
        <v>0</v>
      </c>
      <c r="L218" s="418">
        <v>0</v>
      </c>
      <c r="M218" s="418">
        <f>N218+O218</f>
        <v>0</v>
      </c>
      <c r="N218" s="418"/>
      <c r="O218" s="418"/>
      <c r="P218" s="68">
        <f t="shared" si="760"/>
        <v>0</v>
      </c>
      <c r="Q218" s="68">
        <f t="shared" si="761"/>
        <v>0</v>
      </c>
      <c r="R218" s="418">
        <v>0</v>
      </c>
      <c r="S218" s="419">
        <f>T218+U218</f>
        <v>0</v>
      </c>
      <c r="T218" s="420">
        <v>0</v>
      </c>
      <c r="U218" s="527">
        <v>0</v>
      </c>
      <c r="V218" s="427">
        <f t="shared" si="762"/>
        <v>0</v>
      </c>
      <c r="W218" s="421">
        <f t="shared" si="762"/>
        <v>0</v>
      </c>
      <c r="X218" s="421">
        <v>0</v>
      </c>
      <c r="Y218" s="421">
        <v>0</v>
      </c>
      <c r="Z218" s="421">
        <v>0</v>
      </c>
      <c r="AA218" s="421">
        <v>0</v>
      </c>
      <c r="AB218" s="421">
        <v>0</v>
      </c>
      <c r="AC218" s="421">
        <v>0</v>
      </c>
      <c r="AD218" s="421">
        <v>0</v>
      </c>
      <c r="AE218" s="421">
        <v>0</v>
      </c>
      <c r="AF218" s="421">
        <f>V218+X218+Y218+AA218+AB218+AD218</f>
        <v>0</v>
      </c>
      <c r="AG218" s="421">
        <f>W218+Z218+AC218+AE218</f>
        <v>0</v>
      </c>
      <c r="AH218" s="421">
        <f>SUM(AF218:AG218)</f>
        <v>0</v>
      </c>
      <c r="AI218" s="421">
        <v>0</v>
      </c>
      <c r="AJ218" s="421">
        <v>0</v>
      </c>
      <c r="AK218" s="421">
        <v>0</v>
      </c>
      <c r="AL218" s="421">
        <v>0</v>
      </c>
      <c r="AM218" s="421">
        <v>0</v>
      </c>
      <c r="AN218" s="421">
        <v>0</v>
      </c>
      <c r="AO218" s="421">
        <f t="shared" si="763"/>
        <v>0</v>
      </c>
      <c r="AP218" s="421">
        <f>AJ218+AN218</f>
        <v>0</v>
      </c>
      <c r="AQ218" s="421">
        <f>SUM(AO218:AP218)</f>
        <v>0</v>
      </c>
      <c r="AR218" s="421">
        <f t="shared" si="764"/>
        <v>0</v>
      </c>
      <c r="AS218" s="421">
        <f t="shared" si="764"/>
        <v>0</v>
      </c>
      <c r="AT218" s="421">
        <f>SUM(AR218:AS218)</f>
        <v>0</v>
      </c>
      <c r="AU218" s="68">
        <f t="shared" si="765"/>
        <v>0</v>
      </c>
      <c r="AV218" s="68">
        <f>ROUND(AH218*1%,0)</f>
        <v>0</v>
      </c>
      <c r="AW218" s="421">
        <v>0</v>
      </c>
      <c r="AX218" s="421">
        <v>0</v>
      </c>
      <c r="AY218" s="421">
        <f>AW218+AX218</f>
        <v>0</v>
      </c>
      <c r="AZ218" s="421">
        <f>AT218+AU218+AV218+AY218</f>
        <v>0</v>
      </c>
      <c r="BA218" s="422">
        <v>0</v>
      </c>
      <c r="BB218" s="422">
        <v>0</v>
      </c>
      <c r="BC218" s="422">
        <v>0</v>
      </c>
      <c r="BD218" s="422">
        <v>0</v>
      </c>
      <c r="BE218" s="422">
        <v>0</v>
      </c>
      <c r="BF218" s="422">
        <v>0</v>
      </c>
      <c r="BG218" s="422">
        <v>0</v>
      </c>
      <c r="BH218" s="422">
        <v>0</v>
      </c>
      <c r="BI218" s="422">
        <v>0</v>
      </c>
      <c r="BJ218" s="422">
        <v>0</v>
      </c>
      <c r="BK218" s="422">
        <f>BA218+BC218+BD218+BF218+BH218+BI218</f>
        <v>0</v>
      </c>
      <c r="BL218" s="422">
        <f>BB218+BE218+BG218+BJ218</f>
        <v>0</v>
      </c>
      <c r="BM218" s="611">
        <f>SUM(BK218:BL218)</f>
        <v>0</v>
      </c>
      <c r="BN218" s="428">
        <f>I218+AZ218</f>
        <v>0</v>
      </c>
      <c r="BO218" s="421">
        <f>J218+AH218</f>
        <v>0</v>
      </c>
      <c r="BP218" s="421">
        <f t="shared" si="766"/>
        <v>0</v>
      </c>
      <c r="BQ218" s="421">
        <f t="shared" si="766"/>
        <v>0</v>
      </c>
      <c r="BR218" s="421">
        <f>M218+AQ218</f>
        <v>0</v>
      </c>
      <c r="BS218" s="421">
        <f t="shared" si="767"/>
        <v>0</v>
      </c>
      <c r="BT218" s="421">
        <f t="shared" si="767"/>
        <v>0</v>
      </c>
      <c r="BU218" s="421">
        <f t="shared" si="768"/>
        <v>0</v>
      </c>
      <c r="BV218" s="421">
        <f t="shared" si="768"/>
        <v>0</v>
      </c>
      <c r="BW218" s="421">
        <f>R218+AY218</f>
        <v>0</v>
      </c>
      <c r="BX218" s="422">
        <f>S218+BM218</f>
        <v>0</v>
      </c>
      <c r="BY218" s="422">
        <f t="shared" si="769"/>
        <v>0</v>
      </c>
      <c r="BZ218" s="611">
        <f t="shared" si="769"/>
        <v>0</v>
      </c>
      <c r="CA218" s="423"/>
      <c r="CB218" s="418"/>
      <c r="CC218" s="418"/>
      <c r="CD218" s="418"/>
      <c r="CE218" s="418"/>
      <c r="CF218" s="527"/>
    </row>
    <row r="219" spans="1:84" s="222" customFormat="1" ht="12.75" customHeight="1" x14ac:dyDescent="0.2">
      <c r="A219" s="210">
        <v>40</v>
      </c>
      <c r="B219" s="211">
        <v>4418</v>
      </c>
      <c r="C219" s="211">
        <v>600074048</v>
      </c>
      <c r="D219" s="211">
        <v>72742411</v>
      </c>
      <c r="E219" s="205" t="s">
        <v>220</v>
      </c>
      <c r="F219" s="211">
        <v>3141</v>
      </c>
      <c r="G219" s="165" t="s">
        <v>295</v>
      </c>
      <c r="H219" s="699" t="s">
        <v>272</v>
      </c>
      <c r="I219" s="528">
        <f t="shared" si="759"/>
        <v>216405</v>
      </c>
      <c r="J219" s="418">
        <f>K219+L219</f>
        <v>160070</v>
      </c>
      <c r="K219" s="418">
        <v>0</v>
      </c>
      <c r="L219" s="418">
        <v>160070</v>
      </c>
      <c r="M219" s="418">
        <f>N219+O219</f>
        <v>0</v>
      </c>
      <c r="N219" s="418"/>
      <c r="O219" s="418"/>
      <c r="P219" s="68">
        <f t="shared" si="760"/>
        <v>54104</v>
      </c>
      <c r="Q219" s="68">
        <f t="shared" si="761"/>
        <v>1601</v>
      </c>
      <c r="R219" s="418">
        <v>630</v>
      </c>
      <c r="S219" s="419">
        <f>T219+U219</f>
        <v>0.48</v>
      </c>
      <c r="T219" s="420">
        <v>0</v>
      </c>
      <c r="U219" s="527">
        <v>0.48</v>
      </c>
      <c r="V219" s="427">
        <f t="shared" si="762"/>
        <v>0</v>
      </c>
      <c r="W219" s="421">
        <f t="shared" si="762"/>
        <v>-4096</v>
      </c>
      <c r="X219" s="421">
        <v>0</v>
      </c>
      <c r="Y219" s="421">
        <v>0</v>
      </c>
      <c r="Z219" s="421">
        <v>0</v>
      </c>
      <c r="AA219" s="421">
        <v>0</v>
      </c>
      <c r="AB219" s="421">
        <v>0</v>
      </c>
      <c r="AC219" s="421">
        <v>0</v>
      </c>
      <c r="AD219" s="421">
        <v>0</v>
      </c>
      <c r="AE219" s="421">
        <v>0</v>
      </c>
      <c r="AF219" s="421">
        <f>V219+X219+Y219+AA219+AB219+AD219</f>
        <v>0</v>
      </c>
      <c r="AG219" s="421">
        <f>W219+Z219+AC219+AE219</f>
        <v>-4096</v>
      </c>
      <c r="AH219" s="421">
        <f>SUM(AF219:AG219)</f>
        <v>-4096</v>
      </c>
      <c r="AI219" s="421">
        <v>0</v>
      </c>
      <c r="AJ219" s="421">
        <v>4096</v>
      </c>
      <c r="AK219" s="421">
        <v>0</v>
      </c>
      <c r="AL219" s="421">
        <v>0</v>
      </c>
      <c r="AM219" s="421">
        <v>0</v>
      </c>
      <c r="AN219" s="421">
        <v>0</v>
      </c>
      <c r="AO219" s="421">
        <f t="shared" si="763"/>
        <v>0</v>
      </c>
      <c r="AP219" s="421">
        <f>AJ219+AN219</f>
        <v>4096</v>
      </c>
      <c r="AQ219" s="421">
        <f>SUM(AO219:AP219)</f>
        <v>4096</v>
      </c>
      <c r="AR219" s="421">
        <f t="shared" si="764"/>
        <v>0</v>
      </c>
      <c r="AS219" s="421">
        <f t="shared" si="764"/>
        <v>0</v>
      </c>
      <c r="AT219" s="421">
        <f>SUM(AR219:AS219)</f>
        <v>0</v>
      </c>
      <c r="AU219" s="68">
        <f t="shared" si="765"/>
        <v>0</v>
      </c>
      <c r="AV219" s="68">
        <f>ROUND(AH219*1%,0)</f>
        <v>-41</v>
      </c>
      <c r="AW219" s="421">
        <v>0</v>
      </c>
      <c r="AX219" s="421">
        <v>0</v>
      </c>
      <c r="AY219" s="421">
        <f>AW219+AX219</f>
        <v>0</v>
      </c>
      <c r="AZ219" s="421">
        <f>AT219+AU219+AV219+AY219</f>
        <v>-41</v>
      </c>
      <c r="BA219" s="422">
        <v>0</v>
      </c>
      <c r="BB219" s="422">
        <v>0</v>
      </c>
      <c r="BC219" s="422">
        <v>0</v>
      </c>
      <c r="BD219" s="422">
        <v>0</v>
      </c>
      <c r="BE219" s="422">
        <v>0</v>
      </c>
      <c r="BF219" s="422">
        <v>0</v>
      </c>
      <c r="BG219" s="422">
        <v>0</v>
      </c>
      <c r="BH219" s="422">
        <v>0</v>
      </c>
      <c r="BI219" s="422">
        <v>0</v>
      </c>
      <c r="BJ219" s="422">
        <v>0</v>
      </c>
      <c r="BK219" s="422">
        <f>BA219+BC219+BD219+BF219+BH219+BI219</f>
        <v>0</v>
      </c>
      <c r="BL219" s="422">
        <f>BB219+BE219+BG219+BJ219</f>
        <v>0</v>
      </c>
      <c r="BM219" s="611">
        <f>SUM(BK219:BL219)</f>
        <v>0</v>
      </c>
      <c r="BN219" s="428">
        <f>I219+AZ219</f>
        <v>216364</v>
      </c>
      <c r="BO219" s="421">
        <f>J219+AH219</f>
        <v>155974</v>
      </c>
      <c r="BP219" s="421">
        <f t="shared" si="766"/>
        <v>0</v>
      </c>
      <c r="BQ219" s="421">
        <f t="shared" si="766"/>
        <v>155974</v>
      </c>
      <c r="BR219" s="421">
        <f>M219+AQ219</f>
        <v>4096</v>
      </c>
      <c r="BS219" s="421">
        <f t="shared" si="767"/>
        <v>0</v>
      </c>
      <c r="BT219" s="421">
        <f t="shared" si="767"/>
        <v>4096</v>
      </c>
      <c r="BU219" s="421">
        <f t="shared" si="768"/>
        <v>54104</v>
      </c>
      <c r="BV219" s="421">
        <f t="shared" si="768"/>
        <v>1560</v>
      </c>
      <c r="BW219" s="421">
        <f>R219+AY219</f>
        <v>630</v>
      </c>
      <c r="BX219" s="422">
        <f>S219+BM219</f>
        <v>0.48</v>
      </c>
      <c r="BY219" s="422">
        <f t="shared" si="769"/>
        <v>0</v>
      </c>
      <c r="BZ219" s="611">
        <f t="shared" si="769"/>
        <v>0.48</v>
      </c>
      <c r="CA219" s="423"/>
      <c r="CB219" s="418"/>
      <c r="CC219" s="418"/>
      <c r="CD219" s="418"/>
      <c r="CE219" s="418"/>
      <c r="CF219" s="527"/>
    </row>
    <row r="220" spans="1:84" s="222" customFormat="1" ht="12.75" customHeight="1" x14ac:dyDescent="0.2">
      <c r="A220" s="155">
        <v>40</v>
      </c>
      <c r="B220" s="18">
        <v>4418</v>
      </c>
      <c r="C220" s="18">
        <v>600074048</v>
      </c>
      <c r="D220" s="18">
        <v>72742411</v>
      </c>
      <c r="E220" s="164" t="s">
        <v>221</v>
      </c>
      <c r="F220" s="18"/>
      <c r="G220" s="154"/>
      <c r="H220" s="685"/>
      <c r="I220" s="458">
        <f t="shared" ref="I220:BU220" si="770">SUM(I217:I219)</f>
        <v>2255867</v>
      </c>
      <c r="J220" s="451">
        <f t="shared" si="770"/>
        <v>1669459</v>
      </c>
      <c r="K220" s="451">
        <f t="shared" si="770"/>
        <v>1398512</v>
      </c>
      <c r="L220" s="451">
        <f t="shared" si="770"/>
        <v>270947</v>
      </c>
      <c r="M220" s="451">
        <f t="shared" si="770"/>
        <v>0</v>
      </c>
      <c r="N220" s="451">
        <f t="shared" si="770"/>
        <v>0</v>
      </c>
      <c r="O220" s="451">
        <f t="shared" si="770"/>
        <v>0</v>
      </c>
      <c r="P220" s="451">
        <f t="shared" si="770"/>
        <v>564277</v>
      </c>
      <c r="Q220" s="451">
        <f t="shared" si="770"/>
        <v>16695</v>
      </c>
      <c r="R220" s="451">
        <f t="shared" si="770"/>
        <v>5436</v>
      </c>
      <c r="S220" s="452">
        <f t="shared" si="770"/>
        <v>3.2241999999999997</v>
      </c>
      <c r="T220" s="452">
        <f t="shared" si="770"/>
        <v>2.3708999999999998</v>
      </c>
      <c r="U220" s="39">
        <f t="shared" si="770"/>
        <v>0.85329999999999995</v>
      </c>
      <c r="V220" s="458">
        <f t="shared" si="770"/>
        <v>-5824</v>
      </c>
      <c r="W220" s="451">
        <f t="shared" si="770"/>
        <v>-20096</v>
      </c>
      <c r="X220" s="451">
        <f t="shared" si="770"/>
        <v>0</v>
      </c>
      <c r="Y220" s="451">
        <f t="shared" si="770"/>
        <v>0</v>
      </c>
      <c r="Z220" s="451">
        <f t="shared" si="770"/>
        <v>0</v>
      </c>
      <c r="AA220" s="451">
        <f t="shared" si="770"/>
        <v>0</v>
      </c>
      <c r="AB220" s="451">
        <f t="shared" si="770"/>
        <v>0</v>
      </c>
      <c r="AC220" s="451">
        <f t="shared" si="770"/>
        <v>0</v>
      </c>
      <c r="AD220" s="451">
        <f t="shared" si="770"/>
        <v>0</v>
      </c>
      <c r="AE220" s="451">
        <f t="shared" si="770"/>
        <v>0</v>
      </c>
      <c r="AF220" s="451">
        <f t="shared" si="770"/>
        <v>-5824</v>
      </c>
      <c r="AG220" s="451">
        <f t="shared" si="770"/>
        <v>-20096</v>
      </c>
      <c r="AH220" s="451">
        <f t="shared" si="770"/>
        <v>-25920</v>
      </c>
      <c r="AI220" s="451">
        <f t="shared" si="770"/>
        <v>5824</v>
      </c>
      <c r="AJ220" s="451">
        <f t="shared" si="770"/>
        <v>20096</v>
      </c>
      <c r="AK220" s="451">
        <f t="shared" ref="AK220" si="771">SUM(AK217:AK219)</f>
        <v>0</v>
      </c>
      <c r="AL220" s="451">
        <f t="shared" si="770"/>
        <v>0</v>
      </c>
      <c r="AM220" s="451">
        <f t="shared" si="770"/>
        <v>0</v>
      </c>
      <c r="AN220" s="451">
        <f t="shared" si="770"/>
        <v>0</v>
      </c>
      <c r="AO220" s="451">
        <f t="shared" si="770"/>
        <v>5824</v>
      </c>
      <c r="AP220" s="451">
        <f t="shared" si="770"/>
        <v>20096</v>
      </c>
      <c r="AQ220" s="451">
        <f t="shared" si="770"/>
        <v>25920</v>
      </c>
      <c r="AR220" s="451">
        <f t="shared" si="770"/>
        <v>0</v>
      </c>
      <c r="AS220" s="451">
        <f t="shared" si="770"/>
        <v>0</v>
      </c>
      <c r="AT220" s="451">
        <f t="shared" si="770"/>
        <v>0</v>
      </c>
      <c r="AU220" s="451">
        <f t="shared" si="770"/>
        <v>0</v>
      </c>
      <c r="AV220" s="451">
        <f t="shared" si="770"/>
        <v>-259</v>
      </c>
      <c r="AW220" s="451">
        <f t="shared" si="770"/>
        <v>0</v>
      </c>
      <c r="AX220" s="451">
        <f t="shared" si="770"/>
        <v>0</v>
      </c>
      <c r="AY220" s="451">
        <f t="shared" si="770"/>
        <v>0</v>
      </c>
      <c r="AZ220" s="451">
        <f t="shared" si="770"/>
        <v>-259</v>
      </c>
      <c r="BA220" s="452">
        <f t="shared" si="770"/>
        <v>0</v>
      </c>
      <c r="BB220" s="452">
        <f t="shared" si="770"/>
        <v>-7.0000000000000007E-2</v>
      </c>
      <c r="BC220" s="452">
        <f t="shared" si="770"/>
        <v>0</v>
      </c>
      <c r="BD220" s="452">
        <f t="shared" si="770"/>
        <v>0</v>
      </c>
      <c r="BE220" s="452">
        <f t="shared" si="770"/>
        <v>0</v>
      </c>
      <c r="BF220" s="452">
        <f t="shared" si="770"/>
        <v>0</v>
      </c>
      <c r="BG220" s="452">
        <f t="shared" si="770"/>
        <v>0</v>
      </c>
      <c r="BH220" s="452">
        <f t="shared" si="770"/>
        <v>0</v>
      </c>
      <c r="BI220" s="452">
        <f t="shared" si="770"/>
        <v>0</v>
      </c>
      <c r="BJ220" s="452">
        <f t="shared" si="770"/>
        <v>0</v>
      </c>
      <c r="BK220" s="452">
        <f t="shared" si="770"/>
        <v>0</v>
      </c>
      <c r="BL220" s="452">
        <f t="shared" si="770"/>
        <v>-7.0000000000000007E-2</v>
      </c>
      <c r="BM220" s="456">
        <f t="shared" si="770"/>
        <v>-7.0000000000000007E-2</v>
      </c>
      <c r="BN220" s="454">
        <f t="shared" si="770"/>
        <v>2255608</v>
      </c>
      <c r="BO220" s="451">
        <f t="shared" si="770"/>
        <v>1643539</v>
      </c>
      <c r="BP220" s="451">
        <f t="shared" si="770"/>
        <v>1392688</v>
      </c>
      <c r="BQ220" s="451">
        <f t="shared" si="770"/>
        <v>250851</v>
      </c>
      <c r="BR220" s="451">
        <f t="shared" si="770"/>
        <v>25920</v>
      </c>
      <c r="BS220" s="451">
        <f t="shared" si="770"/>
        <v>5824</v>
      </c>
      <c r="BT220" s="451">
        <f t="shared" si="770"/>
        <v>20096</v>
      </c>
      <c r="BU220" s="451">
        <f t="shared" si="770"/>
        <v>564277</v>
      </c>
      <c r="BV220" s="451">
        <f t="shared" ref="BV220:CF220" si="772">SUM(BV217:BV219)</f>
        <v>16436</v>
      </c>
      <c r="BW220" s="451">
        <f t="shared" si="772"/>
        <v>5436</v>
      </c>
      <c r="BX220" s="452">
        <f t="shared" si="772"/>
        <v>3.1541999999999999</v>
      </c>
      <c r="BY220" s="452">
        <f t="shared" si="772"/>
        <v>2.3708999999999998</v>
      </c>
      <c r="BZ220" s="456">
        <f t="shared" si="772"/>
        <v>0.78329999999999989</v>
      </c>
      <c r="CA220" s="854">
        <f t="shared" si="772"/>
        <v>0</v>
      </c>
      <c r="CB220" s="852">
        <f t="shared" si="772"/>
        <v>0</v>
      </c>
      <c r="CC220" s="852">
        <f t="shared" si="772"/>
        <v>0</v>
      </c>
      <c r="CD220" s="852">
        <f t="shared" si="772"/>
        <v>0</v>
      </c>
      <c r="CE220" s="852">
        <f t="shared" si="772"/>
        <v>0</v>
      </c>
      <c r="CF220" s="848">
        <f t="shared" si="772"/>
        <v>0</v>
      </c>
    </row>
    <row r="221" spans="1:84" s="222" customFormat="1" ht="12.75" customHeight="1" x14ac:dyDescent="0.2">
      <c r="A221" s="210">
        <v>41</v>
      </c>
      <c r="B221" s="211">
        <v>4432</v>
      </c>
      <c r="C221" s="211">
        <v>600074625</v>
      </c>
      <c r="D221" s="211">
        <v>70695903</v>
      </c>
      <c r="E221" s="209" t="s">
        <v>222</v>
      </c>
      <c r="F221" s="211">
        <v>3111</v>
      </c>
      <c r="G221" s="165" t="s">
        <v>291</v>
      </c>
      <c r="H221" s="699" t="s">
        <v>271</v>
      </c>
      <c r="I221" s="528">
        <f t="shared" ref="I221:I226" si="773">J221+P221+Q221+R221</f>
        <v>1762905</v>
      </c>
      <c r="J221" s="418">
        <f t="shared" ref="J221:J226" si="774">K221+L221</f>
        <v>1303238</v>
      </c>
      <c r="K221" s="418">
        <v>1236670</v>
      </c>
      <c r="L221" s="418">
        <v>66568</v>
      </c>
      <c r="M221" s="418">
        <f t="shared" ref="M221:M226" si="775">N221+O221</f>
        <v>0</v>
      </c>
      <c r="N221" s="418"/>
      <c r="O221" s="418"/>
      <c r="P221" s="68">
        <f t="shared" ref="P221:P226" si="776">ROUND(J221*33.8%,0)</f>
        <v>440494</v>
      </c>
      <c r="Q221" s="68">
        <f t="shared" ref="Q221:Q226" si="777">ROUND(J221*1%,0)</f>
        <v>13032</v>
      </c>
      <c r="R221" s="418">
        <v>6141</v>
      </c>
      <c r="S221" s="419">
        <f t="shared" ref="S221:S226" si="778">T221+U221</f>
        <v>2.4279000000000002</v>
      </c>
      <c r="T221" s="420">
        <v>2.1612</v>
      </c>
      <c r="U221" s="527">
        <v>0.26669999999999999</v>
      </c>
      <c r="V221" s="427">
        <f t="shared" ref="V221:W226" si="779">AI221*-1</f>
        <v>0</v>
      </c>
      <c r="W221" s="421">
        <f t="shared" si="779"/>
        <v>0</v>
      </c>
      <c r="X221" s="421">
        <v>0</v>
      </c>
      <c r="Y221" s="421">
        <v>0</v>
      </c>
      <c r="Z221" s="421">
        <v>0</v>
      </c>
      <c r="AA221" s="421">
        <v>0</v>
      </c>
      <c r="AB221" s="421">
        <v>0</v>
      </c>
      <c r="AC221" s="421">
        <v>0</v>
      </c>
      <c r="AD221" s="421">
        <v>0</v>
      </c>
      <c r="AE221" s="421">
        <v>0</v>
      </c>
      <c r="AF221" s="421">
        <f t="shared" ref="AF221:AF226" si="780">V221+X221+Y221+AA221+AB221+AD221</f>
        <v>0</v>
      </c>
      <c r="AG221" s="421">
        <f t="shared" ref="AG221:AG226" si="781">W221+Z221+AC221+AE221</f>
        <v>0</v>
      </c>
      <c r="AH221" s="421">
        <f t="shared" ref="AH221:AH226" si="782">SUM(AF221:AG221)</f>
        <v>0</v>
      </c>
      <c r="AI221" s="421">
        <v>0</v>
      </c>
      <c r="AJ221" s="421">
        <v>0</v>
      </c>
      <c r="AK221" s="421">
        <v>0</v>
      </c>
      <c r="AL221" s="421">
        <v>0</v>
      </c>
      <c r="AM221" s="421">
        <v>0</v>
      </c>
      <c r="AN221" s="421">
        <v>0</v>
      </c>
      <c r="AO221" s="421">
        <f t="shared" ref="AO221:AO226" si="783">AI221+AK221+AL221+AM221</f>
        <v>0</v>
      </c>
      <c r="AP221" s="421">
        <f t="shared" ref="AP221:AP226" si="784">AJ221+AN221</f>
        <v>0</v>
      </c>
      <c r="AQ221" s="421">
        <f t="shared" ref="AQ221:AQ226" si="785">SUM(AO221:AP221)</f>
        <v>0</v>
      </c>
      <c r="AR221" s="421">
        <f t="shared" ref="AR221:AS226" si="786">AF221+AO221</f>
        <v>0</v>
      </c>
      <c r="AS221" s="421">
        <f t="shared" si="786"/>
        <v>0</v>
      </c>
      <c r="AT221" s="421">
        <f t="shared" ref="AT221:AT226" si="787">SUM(AR221:AS221)</f>
        <v>0</v>
      </c>
      <c r="AU221" s="68">
        <f t="shared" ref="AU221:AU226" si="788">ROUND((AH221+AI221+AJ221+AK221+AL221)*33.8%,0)</f>
        <v>0</v>
      </c>
      <c r="AV221" s="68">
        <f t="shared" ref="AV221:AV226" si="789">ROUND(AH221*1%,0)</f>
        <v>0</v>
      </c>
      <c r="AW221" s="421">
        <v>0</v>
      </c>
      <c r="AX221" s="421">
        <v>0</v>
      </c>
      <c r="AY221" s="421">
        <f t="shared" ref="AY221:AY226" si="790">AW221+AX221</f>
        <v>0</v>
      </c>
      <c r="AZ221" s="421">
        <f t="shared" ref="AZ221:AZ226" si="791">AT221+AU221+AV221+AY221</f>
        <v>0</v>
      </c>
      <c r="BA221" s="422">
        <v>0</v>
      </c>
      <c r="BB221" s="422">
        <v>0</v>
      </c>
      <c r="BC221" s="422">
        <v>0</v>
      </c>
      <c r="BD221" s="422">
        <v>0</v>
      </c>
      <c r="BE221" s="422">
        <v>0</v>
      </c>
      <c r="BF221" s="422">
        <v>0</v>
      </c>
      <c r="BG221" s="422">
        <v>0</v>
      </c>
      <c r="BH221" s="422">
        <v>0</v>
      </c>
      <c r="BI221" s="422">
        <v>0</v>
      </c>
      <c r="BJ221" s="422">
        <v>0</v>
      </c>
      <c r="BK221" s="422">
        <f t="shared" ref="BK221:BK226" si="792">BA221+BC221+BD221+BF221+BH221+BI221</f>
        <v>0</v>
      </c>
      <c r="BL221" s="422">
        <f t="shared" ref="BL221:BL226" si="793">BB221+BE221+BG221+BJ221</f>
        <v>0</v>
      </c>
      <c r="BM221" s="611">
        <f t="shared" ref="BM221:BM226" si="794">SUM(BK221:BL221)</f>
        <v>0</v>
      </c>
      <c r="BN221" s="428">
        <f t="shared" ref="BN221:BN226" si="795">I221+AZ221</f>
        <v>1762905</v>
      </c>
      <c r="BO221" s="421">
        <f t="shared" ref="BO221:BO226" si="796">J221+AH221</f>
        <v>1303238</v>
      </c>
      <c r="BP221" s="421">
        <f t="shared" ref="BP221:BQ226" si="797">K221+AF221</f>
        <v>1236670</v>
      </c>
      <c r="BQ221" s="421">
        <f t="shared" si="797"/>
        <v>66568</v>
      </c>
      <c r="BR221" s="421">
        <f t="shared" ref="BR221:BR226" si="798">M221+AQ221</f>
        <v>0</v>
      </c>
      <c r="BS221" s="421">
        <f t="shared" ref="BS221:BT226" si="799">N221+AO221</f>
        <v>0</v>
      </c>
      <c r="BT221" s="421">
        <f t="shared" si="799"/>
        <v>0</v>
      </c>
      <c r="BU221" s="421">
        <f t="shared" ref="BU221:BV226" si="800">P221+AU221</f>
        <v>440494</v>
      </c>
      <c r="BV221" s="421">
        <f t="shared" si="800"/>
        <v>13032</v>
      </c>
      <c r="BW221" s="421">
        <f t="shared" ref="BW221:BW226" si="801">R221+AY221</f>
        <v>6141</v>
      </c>
      <c r="BX221" s="422">
        <f t="shared" ref="BX221:BX226" si="802">S221+BM221</f>
        <v>2.4279000000000002</v>
      </c>
      <c r="BY221" s="422">
        <f t="shared" ref="BY221:BZ226" si="803">T221+BK221</f>
        <v>2.1612</v>
      </c>
      <c r="BZ221" s="611">
        <f t="shared" si="803"/>
        <v>0.26669999999999999</v>
      </c>
      <c r="CA221" s="423"/>
      <c r="CB221" s="418"/>
      <c r="CC221" s="418"/>
      <c r="CD221" s="418"/>
      <c r="CE221" s="418"/>
      <c r="CF221" s="527"/>
    </row>
    <row r="222" spans="1:84" s="222" customFormat="1" ht="12.75" customHeight="1" x14ac:dyDescent="0.2">
      <c r="A222" s="210">
        <v>41</v>
      </c>
      <c r="B222" s="211">
        <v>4432</v>
      </c>
      <c r="C222" s="211">
        <v>600074625</v>
      </c>
      <c r="D222" s="211">
        <v>70695903</v>
      </c>
      <c r="E222" s="209" t="s">
        <v>222</v>
      </c>
      <c r="F222" s="211">
        <v>3117</v>
      </c>
      <c r="G222" s="165" t="s">
        <v>294</v>
      </c>
      <c r="H222" s="699" t="s">
        <v>271</v>
      </c>
      <c r="I222" s="528">
        <f t="shared" si="773"/>
        <v>3274169</v>
      </c>
      <c r="J222" s="418">
        <f t="shared" si="774"/>
        <v>2399115</v>
      </c>
      <c r="K222" s="418">
        <v>2122282</v>
      </c>
      <c r="L222" s="418">
        <v>276833</v>
      </c>
      <c r="M222" s="418">
        <f t="shared" si="775"/>
        <v>0</v>
      </c>
      <c r="N222" s="418"/>
      <c r="O222" s="418"/>
      <c r="P222" s="68">
        <f t="shared" si="776"/>
        <v>810901</v>
      </c>
      <c r="Q222" s="68">
        <f>ROUND(J222*1%,0)+1</f>
        <v>23992</v>
      </c>
      <c r="R222" s="418">
        <v>40161</v>
      </c>
      <c r="S222" s="419">
        <f t="shared" si="778"/>
        <v>3.9469000000000003</v>
      </c>
      <c r="T222" s="420">
        <v>3.2351000000000001</v>
      </c>
      <c r="U222" s="527">
        <v>0.71179999999999999</v>
      </c>
      <c r="V222" s="427">
        <f t="shared" si="779"/>
        <v>0</v>
      </c>
      <c r="W222" s="421">
        <f t="shared" si="779"/>
        <v>0</v>
      </c>
      <c r="X222" s="421">
        <v>0</v>
      </c>
      <c r="Y222" s="421">
        <v>0</v>
      </c>
      <c r="Z222" s="421">
        <v>0</v>
      </c>
      <c r="AA222" s="421">
        <v>0</v>
      </c>
      <c r="AB222" s="421">
        <v>0</v>
      </c>
      <c r="AC222" s="421">
        <v>0</v>
      </c>
      <c r="AD222" s="421">
        <v>0</v>
      </c>
      <c r="AE222" s="421">
        <v>0</v>
      </c>
      <c r="AF222" s="421">
        <f t="shared" si="780"/>
        <v>0</v>
      </c>
      <c r="AG222" s="421">
        <f t="shared" si="781"/>
        <v>0</v>
      </c>
      <c r="AH222" s="421">
        <f t="shared" si="782"/>
        <v>0</v>
      </c>
      <c r="AI222" s="421">
        <v>0</v>
      </c>
      <c r="AJ222" s="421">
        <v>0</v>
      </c>
      <c r="AK222" s="421">
        <v>0</v>
      </c>
      <c r="AL222" s="421">
        <v>0</v>
      </c>
      <c r="AM222" s="421">
        <v>0</v>
      </c>
      <c r="AN222" s="421">
        <v>0</v>
      </c>
      <c r="AO222" s="421">
        <f t="shared" si="783"/>
        <v>0</v>
      </c>
      <c r="AP222" s="421">
        <f t="shared" si="784"/>
        <v>0</v>
      </c>
      <c r="AQ222" s="421">
        <f t="shared" si="785"/>
        <v>0</v>
      </c>
      <c r="AR222" s="421">
        <f t="shared" si="786"/>
        <v>0</v>
      </c>
      <c r="AS222" s="421">
        <f t="shared" si="786"/>
        <v>0</v>
      </c>
      <c r="AT222" s="421">
        <f t="shared" si="787"/>
        <v>0</v>
      </c>
      <c r="AU222" s="68">
        <f t="shared" si="788"/>
        <v>0</v>
      </c>
      <c r="AV222" s="68">
        <f t="shared" si="789"/>
        <v>0</v>
      </c>
      <c r="AW222" s="421">
        <v>0</v>
      </c>
      <c r="AX222" s="421">
        <v>0</v>
      </c>
      <c r="AY222" s="421">
        <f t="shared" si="790"/>
        <v>0</v>
      </c>
      <c r="AZ222" s="421">
        <f t="shared" si="791"/>
        <v>0</v>
      </c>
      <c r="BA222" s="422">
        <v>0</v>
      </c>
      <c r="BB222" s="422">
        <v>0</v>
      </c>
      <c r="BC222" s="422">
        <v>0</v>
      </c>
      <c r="BD222" s="422">
        <v>0</v>
      </c>
      <c r="BE222" s="422">
        <v>0</v>
      </c>
      <c r="BF222" s="422">
        <v>0</v>
      </c>
      <c r="BG222" s="422">
        <v>0</v>
      </c>
      <c r="BH222" s="422">
        <v>0</v>
      </c>
      <c r="BI222" s="422">
        <v>0</v>
      </c>
      <c r="BJ222" s="422">
        <v>0</v>
      </c>
      <c r="BK222" s="422">
        <f t="shared" si="792"/>
        <v>0</v>
      </c>
      <c r="BL222" s="422">
        <f t="shared" si="793"/>
        <v>0</v>
      </c>
      <c r="BM222" s="611">
        <f t="shared" si="794"/>
        <v>0</v>
      </c>
      <c r="BN222" s="428">
        <f t="shared" si="795"/>
        <v>3274169</v>
      </c>
      <c r="BO222" s="421">
        <f t="shared" si="796"/>
        <v>2399115</v>
      </c>
      <c r="BP222" s="421">
        <f t="shared" si="797"/>
        <v>2122282</v>
      </c>
      <c r="BQ222" s="421">
        <f t="shared" si="797"/>
        <v>276833</v>
      </c>
      <c r="BR222" s="421">
        <f t="shared" si="798"/>
        <v>0</v>
      </c>
      <c r="BS222" s="421">
        <f t="shared" si="799"/>
        <v>0</v>
      </c>
      <c r="BT222" s="421">
        <f t="shared" si="799"/>
        <v>0</v>
      </c>
      <c r="BU222" s="421">
        <f t="shared" si="800"/>
        <v>810901</v>
      </c>
      <c r="BV222" s="421">
        <f t="shared" si="800"/>
        <v>23992</v>
      </c>
      <c r="BW222" s="421">
        <f t="shared" si="801"/>
        <v>40161</v>
      </c>
      <c r="BX222" s="422">
        <f t="shared" si="802"/>
        <v>3.9469000000000003</v>
      </c>
      <c r="BY222" s="422">
        <f t="shared" si="803"/>
        <v>3.2351000000000001</v>
      </c>
      <c r="BZ222" s="611">
        <f t="shared" si="803"/>
        <v>0.71179999999999999</v>
      </c>
      <c r="CA222" s="423"/>
      <c r="CB222" s="418"/>
      <c r="CC222" s="418"/>
      <c r="CD222" s="418"/>
      <c r="CE222" s="418"/>
      <c r="CF222" s="527"/>
    </row>
    <row r="223" spans="1:84" s="222" customFormat="1" ht="12.75" customHeight="1" x14ac:dyDescent="0.2">
      <c r="A223" s="210">
        <v>41</v>
      </c>
      <c r="B223" s="211">
        <v>4432</v>
      </c>
      <c r="C223" s="211">
        <v>600074625</v>
      </c>
      <c r="D223" s="211">
        <v>70695903</v>
      </c>
      <c r="E223" s="209" t="s">
        <v>222</v>
      </c>
      <c r="F223" s="211">
        <v>3117</v>
      </c>
      <c r="G223" s="165" t="s">
        <v>292</v>
      </c>
      <c r="H223" s="699" t="s">
        <v>272</v>
      </c>
      <c r="I223" s="528">
        <f t="shared" si="773"/>
        <v>0</v>
      </c>
      <c r="J223" s="418">
        <f t="shared" si="774"/>
        <v>0</v>
      </c>
      <c r="K223" s="418">
        <v>0</v>
      </c>
      <c r="L223" s="418">
        <v>0</v>
      </c>
      <c r="M223" s="418">
        <f t="shared" si="775"/>
        <v>0</v>
      </c>
      <c r="N223" s="418"/>
      <c r="O223" s="418"/>
      <c r="P223" s="68">
        <f t="shared" si="776"/>
        <v>0</v>
      </c>
      <c r="Q223" s="68">
        <f t="shared" si="777"/>
        <v>0</v>
      </c>
      <c r="R223" s="418">
        <v>0</v>
      </c>
      <c r="S223" s="419">
        <f t="shared" si="778"/>
        <v>0</v>
      </c>
      <c r="T223" s="420">
        <v>0</v>
      </c>
      <c r="U223" s="527">
        <v>0</v>
      </c>
      <c r="V223" s="427">
        <f t="shared" si="779"/>
        <v>0</v>
      </c>
      <c r="W223" s="421">
        <f t="shared" si="779"/>
        <v>0</v>
      </c>
      <c r="X223" s="421">
        <v>1336961</v>
      </c>
      <c r="Y223" s="421">
        <v>0</v>
      </c>
      <c r="Z223" s="421">
        <v>0</v>
      </c>
      <c r="AA223" s="421">
        <v>0</v>
      </c>
      <c r="AB223" s="421">
        <v>0</v>
      </c>
      <c r="AC223" s="421">
        <v>0</v>
      </c>
      <c r="AD223" s="421">
        <v>0</v>
      </c>
      <c r="AE223" s="421">
        <v>0</v>
      </c>
      <c r="AF223" s="421">
        <f t="shared" si="780"/>
        <v>1336961</v>
      </c>
      <c r="AG223" s="421">
        <f t="shared" si="781"/>
        <v>0</v>
      </c>
      <c r="AH223" s="421">
        <f t="shared" si="782"/>
        <v>1336961</v>
      </c>
      <c r="AI223" s="421">
        <v>0</v>
      </c>
      <c r="AJ223" s="421">
        <v>0</v>
      </c>
      <c r="AK223" s="421">
        <v>0</v>
      </c>
      <c r="AL223" s="421">
        <v>0</v>
      </c>
      <c r="AM223" s="421">
        <v>0</v>
      </c>
      <c r="AN223" s="421">
        <v>0</v>
      </c>
      <c r="AO223" s="421">
        <f t="shared" si="783"/>
        <v>0</v>
      </c>
      <c r="AP223" s="421">
        <f t="shared" si="784"/>
        <v>0</v>
      </c>
      <c r="AQ223" s="421">
        <f t="shared" si="785"/>
        <v>0</v>
      </c>
      <c r="AR223" s="421">
        <f t="shared" si="786"/>
        <v>1336961</v>
      </c>
      <c r="AS223" s="421">
        <f t="shared" si="786"/>
        <v>0</v>
      </c>
      <c r="AT223" s="421">
        <f t="shared" si="787"/>
        <v>1336961</v>
      </c>
      <c r="AU223" s="68">
        <f t="shared" si="788"/>
        <v>451893</v>
      </c>
      <c r="AV223" s="68">
        <f t="shared" si="789"/>
        <v>13370</v>
      </c>
      <c r="AW223" s="421">
        <v>3000</v>
      </c>
      <c r="AX223" s="421">
        <v>0</v>
      </c>
      <c r="AY223" s="421">
        <f t="shared" si="790"/>
        <v>3000</v>
      </c>
      <c r="AZ223" s="421">
        <f t="shared" si="791"/>
        <v>1805224</v>
      </c>
      <c r="BA223" s="422">
        <v>0</v>
      </c>
      <c r="BB223" s="422">
        <v>0</v>
      </c>
      <c r="BC223" s="422">
        <v>3.81</v>
      </c>
      <c r="BD223" s="422">
        <v>0</v>
      </c>
      <c r="BE223" s="422">
        <v>0</v>
      </c>
      <c r="BF223" s="422">
        <v>0</v>
      </c>
      <c r="BG223" s="422">
        <v>0</v>
      </c>
      <c r="BH223" s="422">
        <v>0</v>
      </c>
      <c r="BI223" s="422">
        <v>0</v>
      </c>
      <c r="BJ223" s="422">
        <v>0</v>
      </c>
      <c r="BK223" s="422">
        <f t="shared" si="792"/>
        <v>3.81</v>
      </c>
      <c r="BL223" s="422">
        <f t="shared" si="793"/>
        <v>0</v>
      </c>
      <c r="BM223" s="611">
        <f t="shared" si="794"/>
        <v>3.81</v>
      </c>
      <c r="BN223" s="428">
        <f t="shared" si="795"/>
        <v>1805224</v>
      </c>
      <c r="BO223" s="421">
        <f t="shared" si="796"/>
        <v>1336961</v>
      </c>
      <c r="BP223" s="421">
        <f t="shared" si="797"/>
        <v>1336961</v>
      </c>
      <c r="BQ223" s="421">
        <f t="shared" si="797"/>
        <v>0</v>
      </c>
      <c r="BR223" s="421">
        <f t="shared" si="798"/>
        <v>0</v>
      </c>
      <c r="BS223" s="421">
        <f t="shared" si="799"/>
        <v>0</v>
      </c>
      <c r="BT223" s="421">
        <f t="shared" si="799"/>
        <v>0</v>
      </c>
      <c r="BU223" s="421">
        <f t="shared" si="800"/>
        <v>451893</v>
      </c>
      <c r="BV223" s="421">
        <f t="shared" si="800"/>
        <v>13370</v>
      </c>
      <c r="BW223" s="421">
        <f t="shared" si="801"/>
        <v>3000</v>
      </c>
      <c r="BX223" s="422">
        <f t="shared" si="802"/>
        <v>3.81</v>
      </c>
      <c r="BY223" s="422">
        <f t="shared" si="803"/>
        <v>3.81</v>
      </c>
      <c r="BZ223" s="611">
        <f t="shared" si="803"/>
        <v>0</v>
      </c>
      <c r="CA223" s="423"/>
      <c r="CB223" s="418"/>
      <c r="CC223" s="418"/>
      <c r="CD223" s="418"/>
      <c r="CE223" s="418"/>
      <c r="CF223" s="527"/>
    </row>
    <row r="224" spans="1:84" s="222" customFormat="1" ht="12.75" customHeight="1" x14ac:dyDescent="0.2">
      <c r="A224" s="210">
        <v>41</v>
      </c>
      <c r="B224" s="211">
        <v>4432</v>
      </c>
      <c r="C224" s="211">
        <v>600074625</v>
      </c>
      <c r="D224" s="211">
        <v>70695903</v>
      </c>
      <c r="E224" s="209" t="s">
        <v>222</v>
      </c>
      <c r="F224" s="211">
        <v>3141</v>
      </c>
      <c r="G224" s="165" t="s">
        <v>295</v>
      </c>
      <c r="H224" s="699" t="s">
        <v>272</v>
      </c>
      <c r="I224" s="528">
        <f t="shared" si="773"/>
        <v>529395</v>
      </c>
      <c r="J224" s="418">
        <f t="shared" si="774"/>
        <v>391272</v>
      </c>
      <c r="K224" s="418">
        <v>0</v>
      </c>
      <c r="L224" s="418">
        <v>391272</v>
      </c>
      <c r="M224" s="418">
        <f t="shared" si="775"/>
        <v>0</v>
      </c>
      <c r="N224" s="418"/>
      <c r="O224" s="418"/>
      <c r="P224" s="68">
        <f t="shared" si="776"/>
        <v>132250</v>
      </c>
      <c r="Q224" s="68">
        <f t="shared" si="777"/>
        <v>3913</v>
      </c>
      <c r="R224" s="418">
        <v>1960</v>
      </c>
      <c r="S224" s="419">
        <f t="shared" si="778"/>
        <v>1.17</v>
      </c>
      <c r="T224" s="420">
        <v>0</v>
      </c>
      <c r="U224" s="527">
        <v>1.17</v>
      </c>
      <c r="V224" s="427">
        <f t="shared" si="779"/>
        <v>0</v>
      </c>
      <c r="W224" s="421">
        <f t="shared" si="779"/>
        <v>0</v>
      </c>
      <c r="X224" s="421">
        <v>0</v>
      </c>
      <c r="Y224" s="421">
        <v>0</v>
      </c>
      <c r="Z224" s="421">
        <v>0</v>
      </c>
      <c r="AA224" s="421">
        <v>0</v>
      </c>
      <c r="AB224" s="421">
        <v>0</v>
      </c>
      <c r="AC224" s="421">
        <v>0</v>
      </c>
      <c r="AD224" s="421">
        <v>0</v>
      </c>
      <c r="AE224" s="421">
        <v>0</v>
      </c>
      <c r="AF224" s="421">
        <f t="shared" si="780"/>
        <v>0</v>
      </c>
      <c r="AG224" s="421">
        <f t="shared" si="781"/>
        <v>0</v>
      </c>
      <c r="AH224" s="421">
        <f t="shared" si="782"/>
        <v>0</v>
      </c>
      <c r="AI224" s="421">
        <v>0</v>
      </c>
      <c r="AJ224" s="421">
        <v>0</v>
      </c>
      <c r="AK224" s="421">
        <v>0</v>
      </c>
      <c r="AL224" s="421">
        <v>0</v>
      </c>
      <c r="AM224" s="421">
        <v>0</v>
      </c>
      <c r="AN224" s="421">
        <v>0</v>
      </c>
      <c r="AO224" s="421">
        <f t="shared" si="783"/>
        <v>0</v>
      </c>
      <c r="AP224" s="421">
        <f t="shared" si="784"/>
        <v>0</v>
      </c>
      <c r="AQ224" s="421">
        <f t="shared" si="785"/>
        <v>0</v>
      </c>
      <c r="AR224" s="421">
        <f t="shared" si="786"/>
        <v>0</v>
      </c>
      <c r="AS224" s="421">
        <f t="shared" si="786"/>
        <v>0</v>
      </c>
      <c r="AT224" s="421">
        <f t="shared" si="787"/>
        <v>0</v>
      </c>
      <c r="AU224" s="68">
        <f t="shared" si="788"/>
        <v>0</v>
      </c>
      <c r="AV224" s="68">
        <f t="shared" si="789"/>
        <v>0</v>
      </c>
      <c r="AW224" s="421">
        <v>0</v>
      </c>
      <c r="AX224" s="421">
        <v>0</v>
      </c>
      <c r="AY224" s="421">
        <f t="shared" si="790"/>
        <v>0</v>
      </c>
      <c r="AZ224" s="421">
        <f t="shared" si="791"/>
        <v>0</v>
      </c>
      <c r="BA224" s="422">
        <v>0</v>
      </c>
      <c r="BB224" s="422">
        <v>0</v>
      </c>
      <c r="BC224" s="422">
        <v>0</v>
      </c>
      <c r="BD224" s="422">
        <v>0</v>
      </c>
      <c r="BE224" s="422">
        <v>0</v>
      </c>
      <c r="BF224" s="422">
        <v>0</v>
      </c>
      <c r="BG224" s="422">
        <v>0</v>
      </c>
      <c r="BH224" s="422">
        <v>0</v>
      </c>
      <c r="BI224" s="422">
        <v>0</v>
      </c>
      <c r="BJ224" s="422">
        <v>0</v>
      </c>
      <c r="BK224" s="422">
        <f t="shared" si="792"/>
        <v>0</v>
      </c>
      <c r="BL224" s="422">
        <f t="shared" si="793"/>
        <v>0</v>
      </c>
      <c r="BM224" s="611">
        <f t="shared" si="794"/>
        <v>0</v>
      </c>
      <c r="BN224" s="428">
        <f t="shared" si="795"/>
        <v>529395</v>
      </c>
      <c r="BO224" s="421">
        <f t="shared" si="796"/>
        <v>391272</v>
      </c>
      <c r="BP224" s="421">
        <f t="shared" si="797"/>
        <v>0</v>
      </c>
      <c r="BQ224" s="421">
        <f t="shared" si="797"/>
        <v>391272</v>
      </c>
      <c r="BR224" s="421">
        <f t="shared" si="798"/>
        <v>0</v>
      </c>
      <c r="BS224" s="421">
        <f t="shared" si="799"/>
        <v>0</v>
      </c>
      <c r="BT224" s="421">
        <f t="shared" si="799"/>
        <v>0</v>
      </c>
      <c r="BU224" s="421">
        <f t="shared" si="800"/>
        <v>132250</v>
      </c>
      <c r="BV224" s="421">
        <f t="shared" si="800"/>
        <v>3913</v>
      </c>
      <c r="BW224" s="421">
        <f t="shared" si="801"/>
        <v>1960</v>
      </c>
      <c r="BX224" s="422">
        <f t="shared" si="802"/>
        <v>1.17</v>
      </c>
      <c r="BY224" s="422">
        <f t="shared" si="803"/>
        <v>0</v>
      </c>
      <c r="BZ224" s="611">
        <f t="shared" si="803"/>
        <v>1.17</v>
      </c>
      <c r="CA224" s="423"/>
      <c r="CB224" s="418"/>
      <c r="CC224" s="418"/>
      <c r="CD224" s="418"/>
      <c r="CE224" s="418"/>
      <c r="CF224" s="527"/>
    </row>
    <row r="225" spans="1:84" s="222" customFormat="1" ht="12.75" customHeight="1" x14ac:dyDescent="0.2">
      <c r="A225" s="210">
        <v>41</v>
      </c>
      <c r="B225" s="211">
        <v>4432</v>
      </c>
      <c r="C225" s="211">
        <v>600074625</v>
      </c>
      <c r="D225" s="211">
        <v>70695903</v>
      </c>
      <c r="E225" s="209" t="s">
        <v>222</v>
      </c>
      <c r="F225" s="211">
        <v>3143</v>
      </c>
      <c r="G225" s="165" t="s">
        <v>596</v>
      </c>
      <c r="H225" s="686" t="s">
        <v>271</v>
      </c>
      <c r="I225" s="528">
        <f t="shared" si="773"/>
        <v>797668</v>
      </c>
      <c r="J225" s="418">
        <f t="shared" si="774"/>
        <v>591742</v>
      </c>
      <c r="K225" s="418">
        <v>591742</v>
      </c>
      <c r="L225" s="418">
        <v>0</v>
      </c>
      <c r="M225" s="418">
        <f t="shared" si="775"/>
        <v>0</v>
      </c>
      <c r="N225" s="418"/>
      <c r="O225" s="418"/>
      <c r="P225" s="68">
        <f t="shared" si="776"/>
        <v>200009</v>
      </c>
      <c r="Q225" s="68">
        <f t="shared" si="777"/>
        <v>5917</v>
      </c>
      <c r="R225" s="418">
        <v>0</v>
      </c>
      <c r="S225" s="419">
        <f t="shared" si="778"/>
        <v>1.2000999999999999</v>
      </c>
      <c r="T225" s="420">
        <v>1.2000999999999999</v>
      </c>
      <c r="U225" s="527">
        <v>0</v>
      </c>
      <c r="V225" s="427">
        <f t="shared" si="779"/>
        <v>0</v>
      </c>
      <c r="W225" s="421">
        <f t="shared" si="779"/>
        <v>0</v>
      </c>
      <c r="X225" s="421">
        <v>0</v>
      </c>
      <c r="Y225" s="421">
        <v>0</v>
      </c>
      <c r="Z225" s="421">
        <v>0</v>
      </c>
      <c r="AA225" s="421">
        <v>0</v>
      </c>
      <c r="AB225" s="421">
        <v>0</v>
      </c>
      <c r="AC225" s="421">
        <v>0</v>
      </c>
      <c r="AD225" s="421">
        <v>0</v>
      </c>
      <c r="AE225" s="421">
        <v>0</v>
      </c>
      <c r="AF225" s="421">
        <f t="shared" si="780"/>
        <v>0</v>
      </c>
      <c r="AG225" s="421">
        <f t="shared" si="781"/>
        <v>0</v>
      </c>
      <c r="AH225" s="421">
        <f t="shared" si="782"/>
        <v>0</v>
      </c>
      <c r="AI225" s="421">
        <v>0</v>
      </c>
      <c r="AJ225" s="421">
        <v>0</v>
      </c>
      <c r="AK225" s="421">
        <v>0</v>
      </c>
      <c r="AL225" s="421">
        <v>0</v>
      </c>
      <c r="AM225" s="421">
        <v>0</v>
      </c>
      <c r="AN225" s="421">
        <v>0</v>
      </c>
      <c r="AO225" s="421">
        <f t="shared" si="783"/>
        <v>0</v>
      </c>
      <c r="AP225" s="421">
        <f t="shared" si="784"/>
        <v>0</v>
      </c>
      <c r="AQ225" s="421">
        <f t="shared" si="785"/>
        <v>0</v>
      </c>
      <c r="AR225" s="421">
        <f t="shared" si="786"/>
        <v>0</v>
      </c>
      <c r="AS225" s="421">
        <f t="shared" si="786"/>
        <v>0</v>
      </c>
      <c r="AT225" s="421">
        <f t="shared" si="787"/>
        <v>0</v>
      </c>
      <c r="AU225" s="68">
        <f t="shared" si="788"/>
        <v>0</v>
      </c>
      <c r="AV225" s="68">
        <f t="shared" si="789"/>
        <v>0</v>
      </c>
      <c r="AW225" s="421">
        <v>0</v>
      </c>
      <c r="AX225" s="421">
        <v>0</v>
      </c>
      <c r="AY225" s="421">
        <f t="shared" si="790"/>
        <v>0</v>
      </c>
      <c r="AZ225" s="421">
        <f t="shared" si="791"/>
        <v>0</v>
      </c>
      <c r="BA225" s="422">
        <v>0</v>
      </c>
      <c r="BB225" s="422">
        <v>0</v>
      </c>
      <c r="BC225" s="422">
        <v>0</v>
      </c>
      <c r="BD225" s="422">
        <v>0</v>
      </c>
      <c r="BE225" s="422">
        <v>0</v>
      </c>
      <c r="BF225" s="422">
        <v>0</v>
      </c>
      <c r="BG225" s="422">
        <v>0</v>
      </c>
      <c r="BH225" s="422">
        <v>0</v>
      </c>
      <c r="BI225" s="422">
        <v>0</v>
      </c>
      <c r="BJ225" s="422">
        <v>0</v>
      </c>
      <c r="BK225" s="422">
        <f t="shared" si="792"/>
        <v>0</v>
      </c>
      <c r="BL225" s="422">
        <f t="shared" si="793"/>
        <v>0</v>
      </c>
      <c r="BM225" s="611">
        <f t="shared" si="794"/>
        <v>0</v>
      </c>
      <c r="BN225" s="428">
        <f t="shared" si="795"/>
        <v>797668</v>
      </c>
      <c r="BO225" s="421">
        <f t="shared" si="796"/>
        <v>591742</v>
      </c>
      <c r="BP225" s="421">
        <f t="shared" si="797"/>
        <v>591742</v>
      </c>
      <c r="BQ225" s="421">
        <f t="shared" si="797"/>
        <v>0</v>
      </c>
      <c r="BR225" s="421">
        <f t="shared" si="798"/>
        <v>0</v>
      </c>
      <c r="BS225" s="421">
        <f t="shared" si="799"/>
        <v>0</v>
      </c>
      <c r="BT225" s="421">
        <f t="shared" si="799"/>
        <v>0</v>
      </c>
      <c r="BU225" s="421">
        <f t="shared" si="800"/>
        <v>200009</v>
      </c>
      <c r="BV225" s="421">
        <f t="shared" si="800"/>
        <v>5917</v>
      </c>
      <c r="BW225" s="421">
        <f t="shared" si="801"/>
        <v>0</v>
      </c>
      <c r="BX225" s="422">
        <f t="shared" si="802"/>
        <v>1.2000999999999999</v>
      </c>
      <c r="BY225" s="422">
        <f t="shared" si="803"/>
        <v>1.2000999999999999</v>
      </c>
      <c r="BZ225" s="611">
        <f t="shared" si="803"/>
        <v>0</v>
      </c>
      <c r="CA225" s="423"/>
      <c r="CB225" s="418"/>
      <c r="CC225" s="418"/>
      <c r="CD225" s="418"/>
      <c r="CE225" s="418"/>
      <c r="CF225" s="527"/>
    </row>
    <row r="226" spans="1:84" s="222" customFormat="1" ht="12.75" customHeight="1" x14ac:dyDescent="0.2">
      <c r="A226" s="210">
        <v>41</v>
      </c>
      <c r="B226" s="211">
        <v>4432</v>
      </c>
      <c r="C226" s="211">
        <v>600074625</v>
      </c>
      <c r="D226" s="211">
        <v>70695903</v>
      </c>
      <c r="E226" s="209" t="s">
        <v>222</v>
      </c>
      <c r="F226" s="211">
        <v>3143</v>
      </c>
      <c r="G226" s="165" t="s">
        <v>597</v>
      </c>
      <c r="H226" s="686" t="s">
        <v>272</v>
      </c>
      <c r="I226" s="528">
        <f t="shared" si="773"/>
        <v>10253</v>
      </c>
      <c r="J226" s="418">
        <f t="shared" si="774"/>
        <v>7339</v>
      </c>
      <c r="K226" s="418">
        <v>0</v>
      </c>
      <c r="L226" s="418">
        <v>7339</v>
      </c>
      <c r="M226" s="418">
        <f t="shared" si="775"/>
        <v>0</v>
      </c>
      <c r="N226" s="418"/>
      <c r="O226" s="418"/>
      <c r="P226" s="68">
        <f t="shared" si="776"/>
        <v>2481</v>
      </c>
      <c r="Q226" s="68">
        <f t="shared" si="777"/>
        <v>73</v>
      </c>
      <c r="R226" s="418">
        <v>360</v>
      </c>
      <c r="S226" s="419">
        <f t="shared" si="778"/>
        <v>0.03</v>
      </c>
      <c r="T226" s="420">
        <v>0</v>
      </c>
      <c r="U226" s="527">
        <v>0.03</v>
      </c>
      <c r="V226" s="427">
        <f t="shared" si="779"/>
        <v>0</v>
      </c>
      <c r="W226" s="421">
        <f t="shared" si="779"/>
        <v>0</v>
      </c>
      <c r="X226" s="421">
        <v>0</v>
      </c>
      <c r="Y226" s="421">
        <v>0</v>
      </c>
      <c r="Z226" s="421">
        <v>0</v>
      </c>
      <c r="AA226" s="421">
        <v>0</v>
      </c>
      <c r="AB226" s="421">
        <v>0</v>
      </c>
      <c r="AC226" s="421">
        <v>0</v>
      </c>
      <c r="AD226" s="421">
        <v>0</v>
      </c>
      <c r="AE226" s="421">
        <v>0</v>
      </c>
      <c r="AF226" s="421">
        <f t="shared" si="780"/>
        <v>0</v>
      </c>
      <c r="AG226" s="421">
        <f t="shared" si="781"/>
        <v>0</v>
      </c>
      <c r="AH226" s="421">
        <f t="shared" si="782"/>
        <v>0</v>
      </c>
      <c r="AI226" s="421">
        <v>0</v>
      </c>
      <c r="AJ226" s="421">
        <v>0</v>
      </c>
      <c r="AK226" s="421">
        <v>0</v>
      </c>
      <c r="AL226" s="421">
        <v>0</v>
      </c>
      <c r="AM226" s="421">
        <v>0</v>
      </c>
      <c r="AN226" s="421">
        <v>0</v>
      </c>
      <c r="AO226" s="421">
        <f t="shared" si="783"/>
        <v>0</v>
      </c>
      <c r="AP226" s="421">
        <f t="shared" si="784"/>
        <v>0</v>
      </c>
      <c r="AQ226" s="421">
        <f t="shared" si="785"/>
        <v>0</v>
      </c>
      <c r="AR226" s="421">
        <f t="shared" si="786"/>
        <v>0</v>
      </c>
      <c r="AS226" s="421">
        <f t="shared" si="786"/>
        <v>0</v>
      </c>
      <c r="AT226" s="421">
        <f t="shared" si="787"/>
        <v>0</v>
      </c>
      <c r="AU226" s="68">
        <f t="shared" si="788"/>
        <v>0</v>
      </c>
      <c r="AV226" s="68">
        <f t="shared" si="789"/>
        <v>0</v>
      </c>
      <c r="AW226" s="421">
        <v>0</v>
      </c>
      <c r="AX226" s="421">
        <v>0</v>
      </c>
      <c r="AY226" s="421">
        <f t="shared" si="790"/>
        <v>0</v>
      </c>
      <c r="AZ226" s="421">
        <f t="shared" si="791"/>
        <v>0</v>
      </c>
      <c r="BA226" s="422">
        <v>0</v>
      </c>
      <c r="BB226" s="422">
        <v>0</v>
      </c>
      <c r="BC226" s="422">
        <v>0</v>
      </c>
      <c r="BD226" s="422">
        <v>0</v>
      </c>
      <c r="BE226" s="422">
        <v>0</v>
      </c>
      <c r="BF226" s="422">
        <v>0</v>
      </c>
      <c r="BG226" s="422">
        <v>0</v>
      </c>
      <c r="BH226" s="422">
        <v>0</v>
      </c>
      <c r="BI226" s="422">
        <v>0</v>
      </c>
      <c r="BJ226" s="422">
        <v>0</v>
      </c>
      <c r="BK226" s="422">
        <f t="shared" si="792"/>
        <v>0</v>
      </c>
      <c r="BL226" s="422">
        <f t="shared" si="793"/>
        <v>0</v>
      </c>
      <c r="BM226" s="611">
        <f t="shared" si="794"/>
        <v>0</v>
      </c>
      <c r="BN226" s="428">
        <f t="shared" si="795"/>
        <v>10253</v>
      </c>
      <c r="BO226" s="421">
        <f t="shared" si="796"/>
        <v>7339</v>
      </c>
      <c r="BP226" s="421">
        <f t="shared" si="797"/>
        <v>0</v>
      </c>
      <c r="BQ226" s="421">
        <f t="shared" si="797"/>
        <v>7339</v>
      </c>
      <c r="BR226" s="421">
        <f t="shared" si="798"/>
        <v>0</v>
      </c>
      <c r="BS226" s="421">
        <f t="shared" si="799"/>
        <v>0</v>
      </c>
      <c r="BT226" s="421">
        <f t="shared" si="799"/>
        <v>0</v>
      </c>
      <c r="BU226" s="421">
        <f t="shared" si="800"/>
        <v>2481</v>
      </c>
      <c r="BV226" s="421">
        <f t="shared" si="800"/>
        <v>73</v>
      </c>
      <c r="BW226" s="421">
        <f t="shared" si="801"/>
        <v>360</v>
      </c>
      <c r="BX226" s="422">
        <f t="shared" si="802"/>
        <v>0.03</v>
      </c>
      <c r="BY226" s="422">
        <f t="shared" si="803"/>
        <v>0</v>
      </c>
      <c r="BZ226" s="611">
        <f t="shared" si="803"/>
        <v>0.03</v>
      </c>
      <c r="CA226" s="423"/>
      <c r="CB226" s="418"/>
      <c r="CC226" s="418"/>
      <c r="CD226" s="418"/>
      <c r="CE226" s="418"/>
      <c r="CF226" s="527"/>
    </row>
    <row r="227" spans="1:84" s="222" customFormat="1" ht="12.75" customHeight="1" x14ac:dyDescent="0.2">
      <c r="A227" s="155">
        <v>41</v>
      </c>
      <c r="B227" s="18">
        <v>4432</v>
      </c>
      <c r="C227" s="18">
        <v>600074625</v>
      </c>
      <c r="D227" s="18">
        <v>70695903</v>
      </c>
      <c r="E227" s="164" t="s">
        <v>223</v>
      </c>
      <c r="F227" s="18"/>
      <c r="G227" s="154"/>
      <c r="H227" s="685"/>
      <c r="I227" s="458">
        <f t="shared" ref="I227:BT227" si="804">SUM(I221:I226)</f>
        <v>6374390</v>
      </c>
      <c r="J227" s="451">
        <f t="shared" si="804"/>
        <v>4692706</v>
      </c>
      <c r="K227" s="451">
        <f t="shared" si="804"/>
        <v>3950694</v>
      </c>
      <c r="L227" s="451">
        <f t="shared" si="804"/>
        <v>742012</v>
      </c>
      <c r="M227" s="451">
        <f t="shared" si="804"/>
        <v>0</v>
      </c>
      <c r="N227" s="451">
        <f t="shared" si="804"/>
        <v>0</v>
      </c>
      <c r="O227" s="451">
        <f t="shared" si="804"/>
        <v>0</v>
      </c>
      <c r="P227" s="451">
        <f t="shared" si="804"/>
        <v>1586135</v>
      </c>
      <c r="Q227" s="451">
        <f t="shared" si="804"/>
        <v>46927</v>
      </c>
      <c r="R227" s="451">
        <f t="shared" si="804"/>
        <v>48622</v>
      </c>
      <c r="S227" s="452">
        <f t="shared" si="804"/>
        <v>8.7749000000000006</v>
      </c>
      <c r="T227" s="452">
        <f t="shared" si="804"/>
        <v>6.5964</v>
      </c>
      <c r="U227" s="39">
        <f t="shared" si="804"/>
        <v>2.1784999999999997</v>
      </c>
      <c r="V227" s="458">
        <f t="shared" si="804"/>
        <v>0</v>
      </c>
      <c r="W227" s="451">
        <f t="shared" si="804"/>
        <v>0</v>
      </c>
      <c r="X227" s="451">
        <f t="shared" si="804"/>
        <v>1336961</v>
      </c>
      <c r="Y227" s="451">
        <f t="shared" si="804"/>
        <v>0</v>
      </c>
      <c r="Z227" s="451">
        <f t="shared" si="804"/>
        <v>0</v>
      </c>
      <c r="AA227" s="451">
        <f t="shared" si="804"/>
        <v>0</v>
      </c>
      <c r="AB227" s="451">
        <f t="shared" si="804"/>
        <v>0</v>
      </c>
      <c r="AC227" s="451">
        <f t="shared" si="804"/>
        <v>0</v>
      </c>
      <c r="AD227" s="451">
        <f t="shared" si="804"/>
        <v>0</v>
      </c>
      <c r="AE227" s="451">
        <f t="shared" si="804"/>
        <v>0</v>
      </c>
      <c r="AF227" s="451">
        <f t="shared" si="804"/>
        <v>1336961</v>
      </c>
      <c r="AG227" s="451">
        <f t="shared" si="804"/>
        <v>0</v>
      </c>
      <c r="AH227" s="451">
        <f t="shared" si="804"/>
        <v>1336961</v>
      </c>
      <c r="AI227" s="451">
        <f t="shared" si="804"/>
        <v>0</v>
      </c>
      <c r="AJ227" s="451">
        <f t="shared" si="804"/>
        <v>0</v>
      </c>
      <c r="AK227" s="451">
        <f t="shared" ref="AK227" si="805">SUM(AK221:AK226)</f>
        <v>0</v>
      </c>
      <c r="AL227" s="451">
        <f t="shared" si="804"/>
        <v>0</v>
      </c>
      <c r="AM227" s="451">
        <f t="shared" si="804"/>
        <v>0</v>
      </c>
      <c r="AN227" s="451">
        <f t="shared" si="804"/>
        <v>0</v>
      </c>
      <c r="AO227" s="451">
        <f t="shared" si="804"/>
        <v>0</v>
      </c>
      <c r="AP227" s="451">
        <f t="shared" si="804"/>
        <v>0</v>
      </c>
      <c r="AQ227" s="451">
        <f t="shared" si="804"/>
        <v>0</v>
      </c>
      <c r="AR227" s="451">
        <f t="shared" si="804"/>
        <v>1336961</v>
      </c>
      <c r="AS227" s="451">
        <f t="shared" si="804"/>
        <v>0</v>
      </c>
      <c r="AT227" s="451">
        <f t="shared" si="804"/>
        <v>1336961</v>
      </c>
      <c r="AU227" s="451">
        <f t="shared" si="804"/>
        <v>451893</v>
      </c>
      <c r="AV227" s="451">
        <f t="shared" si="804"/>
        <v>13370</v>
      </c>
      <c r="AW227" s="451">
        <f t="shared" si="804"/>
        <v>3000</v>
      </c>
      <c r="AX227" s="451">
        <f t="shared" si="804"/>
        <v>0</v>
      </c>
      <c r="AY227" s="451">
        <f t="shared" si="804"/>
        <v>3000</v>
      </c>
      <c r="AZ227" s="451">
        <f t="shared" si="804"/>
        <v>1805224</v>
      </c>
      <c r="BA227" s="452">
        <f t="shared" si="804"/>
        <v>0</v>
      </c>
      <c r="BB227" s="452">
        <f t="shared" si="804"/>
        <v>0</v>
      </c>
      <c r="BC227" s="452">
        <f t="shared" si="804"/>
        <v>3.81</v>
      </c>
      <c r="BD227" s="452">
        <f t="shared" si="804"/>
        <v>0</v>
      </c>
      <c r="BE227" s="452">
        <f t="shared" si="804"/>
        <v>0</v>
      </c>
      <c r="BF227" s="452">
        <f t="shared" si="804"/>
        <v>0</v>
      </c>
      <c r="BG227" s="452">
        <f t="shared" si="804"/>
        <v>0</v>
      </c>
      <c r="BH227" s="452">
        <f t="shared" si="804"/>
        <v>0</v>
      </c>
      <c r="BI227" s="452">
        <f t="shared" si="804"/>
        <v>0</v>
      </c>
      <c r="BJ227" s="452">
        <f t="shared" si="804"/>
        <v>0</v>
      </c>
      <c r="BK227" s="452">
        <f t="shared" si="804"/>
        <v>3.81</v>
      </c>
      <c r="BL227" s="452">
        <f t="shared" si="804"/>
        <v>0</v>
      </c>
      <c r="BM227" s="456">
        <f t="shared" si="804"/>
        <v>3.81</v>
      </c>
      <c r="BN227" s="454">
        <f t="shared" si="804"/>
        <v>8179614</v>
      </c>
      <c r="BO227" s="451">
        <f t="shared" si="804"/>
        <v>6029667</v>
      </c>
      <c r="BP227" s="451">
        <f t="shared" si="804"/>
        <v>5287655</v>
      </c>
      <c r="BQ227" s="451">
        <f t="shared" si="804"/>
        <v>742012</v>
      </c>
      <c r="BR227" s="451">
        <f t="shared" si="804"/>
        <v>0</v>
      </c>
      <c r="BS227" s="451">
        <f t="shared" si="804"/>
        <v>0</v>
      </c>
      <c r="BT227" s="451">
        <f t="shared" si="804"/>
        <v>0</v>
      </c>
      <c r="BU227" s="451">
        <f t="shared" ref="BU227:CF227" si="806">SUM(BU221:BU226)</f>
        <v>2038028</v>
      </c>
      <c r="BV227" s="451">
        <f t="shared" si="806"/>
        <v>60297</v>
      </c>
      <c r="BW227" s="451">
        <f t="shared" si="806"/>
        <v>51622</v>
      </c>
      <c r="BX227" s="452">
        <f t="shared" si="806"/>
        <v>12.584899999999999</v>
      </c>
      <c r="BY227" s="452">
        <f t="shared" si="806"/>
        <v>10.406400000000001</v>
      </c>
      <c r="BZ227" s="456">
        <f t="shared" si="806"/>
        <v>2.1784999999999997</v>
      </c>
      <c r="CA227" s="854">
        <f t="shared" si="806"/>
        <v>0</v>
      </c>
      <c r="CB227" s="852">
        <f t="shared" si="806"/>
        <v>0</v>
      </c>
      <c r="CC227" s="852">
        <f t="shared" si="806"/>
        <v>0</v>
      </c>
      <c r="CD227" s="852">
        <f t="shared" si="806"/>
        <v>0</v>
      </c>
      <c r="CE227" s="852">
        <f t="shared" si="806"/>
        <v>0</v>
      </c>
      <c r="CF227" s="848">
        <f t="shared" si="806"/>
        <v>0</v>
      </c>
    </row>
    <row r="228" spans="1:84" s="222" customFormat="1" ht="12.75" customHeight="1" x14ac:dyDescent="0.2">
      <c r="A228" s="210">
        <v>42</v>
      </c>
      <c r="B228" s="211">
        <v>4459</v>
      </c>
      <c r="C228" s="211">
        <v>650037171</v>
      </c>
      <c r="D228" s="211">
        <v>72742356</v>
      </c>
      <c r="E228" s="209" t="s">
        <v>224</v>
      </c>
      <c r="F228" s="211">
        <v>3111</v>
      </c>
      <c r="G228" s="165" t="s">
        <v>291</v>
      </c>
      <c r="H228" s="699" t="s">
        <v>271</v>
      </c>
      <c r="I228" s="528">
        <f t="shared" ref="I228:I233" si="807">J228+P228+Q228+R228</f>
        <v>3191985</v>
      </c>
      <c r="J228" s="418">
        <f t="shared" ref="J228:J233" si="808">K228+L228</f>
        <v>2358434</v>
      </c>
      <c r="K228" s="418">
        <v>2225298</v>
      </c>
      <c r="L228" s="418">
        <v>133136</v>
      </c>
      <c r="M228" s="418">
        <f t="shared" ref="M228:M233" si="809">N228+O228</f>
        <v>0</v>
      </c>
      <c r="N228" s="418"/>
      <c r="O228" s="418"/>
      <c r="P228" s="68">
        <f t="shared" ref="P228:P233" si="810">ROUND(J228*33.8%,0)</f>
        <v>797151</v>
      </c>
      <c r="Q228" s="68">
        <f t="shared" ref="Q228:Q233" si="811">ROUND(J228*1%,0)</f>
        <v>23584</v>
      </c>
      <c r="R228" s="418">
        <v>12816</v>
      </c>
      <c r="S228" s="419">
        <f t="shared" ref="S228:S233" si="812">T228+U228</f>
        <v>4.3236999999999997</v>
      </c>
      <c r="T228" s="420">
        <v>3.7902999999999998</v>
      </c>
      <c r="U228" s="527">
        <v>0.53339999999999999</v>
      </c>
      <c r="V228" s="427">
        <f t="shared" ref="V228:W233" si="813">AI228*-1</f>
        <v>0</v>
      </c>
      <c r="W228" s="421">
        <f t="shared" si="813"/>
        <v>0</v>
      </c>
      <c r="X228" s="421">
        <v>0</v>
      </c>
      <c r="Y228" s="421">
        <v>0</v>
      </c>
      <c r="Z228" s="421">
        <v>0</v>
      </c>
      <c r="AA228" s="421">
        <v>0</v>
      </c>
      <c r="AB228" s="421">
        <v>0</v>
      </c>
      <c r="AC228" s="421">
        <v>0</v>
      </c>
      <c r="AD228" s="421">
        <v>0</v>
      </c>
      <c r="AE228" s="421">
        <v>0</v>
      </c>
      <c r="AF228" s="421">
        <f t="shared" ref="AF228:AF233" si="814">V228+X228+Y228+AA228+AB228+AD228</f>
        <v>0</v>
      </c>
      <c r="AG228" s="421">
        <f t="shared" ref="AG228:AG233" si="815">W228+Z228+AC228+AE228</f>
        <v>0</v>
      </c>
      <c r="AH228" s="421">
        <f t="shared" ref="AH228:AH233" si="816">SUM(AF228:AG228)</f>
        <v>0</v>
      </c>
      <c r="AI228" s="421">
        <v>0</v>
      </c>
      <c r="AJ228" s="421">
        <v>0</v>
      </c>
      <c r="AK228" s="421">
        <v>0</v>
      </c>
      <c r="AL228" s="421">
        <v>0</v>
      </c>
      <c r="AM228" s="421">
        <v>0</v>
      </c>
      <c r="AN228" s="421">
        <v>0</v>
      </c>
      <c r="AO228" s="421">
        <f t="shared" ref="AO228:AO233" si="817">AI228+AK228+AL228+AM228</f>
        <v>0</v>
      </c>
      <c r="AP228" s="421">
        <f t="shared" ref="AP228:AP233" si="818">AJ228+AN228</f>
        <v>0</v>
      </c>
      <c r="AQ228" s="421">
        <f t="shared" ref="AQ228:AQ233" si="819">SUM(AO228:AP228)</f>
        <v>0</v>
      </c>
      <c r="AR228" s="421">
        <f t="shared" ref="AR228:AS233" si="820">AF228+AO228</f>
        <v>0</v>
      </c>
      <c r="AS228" s="421">
        <f t="shared" si="820"/>
        <v>0</v>
      </c>
      <c r="AT228" s="421">
        <f t="shared" ref="AT228:AT233" si="821">SUM(AR228:AS228)</f>
        <v>0</v>
      </c>
      <c r="AU228" s="68">
        <f t="shared" ref="AU228:AU233" si="822">ROUND((AH228+AI228+AJ228+AK228+AL228)*33.8%,0)</f>
        <v>0</v>
      </c>
      <c r="AV228" s="68">
        <f t="shared" ref="AV228:AV233" si="823">ROUND(AH228*1%,0)</f>
        <v>0</v>
      </c>
      <c r="AW228" s="421">
        <v>0</v>
      </c>
      <c r="AX228" s="421">
        <v>0</v>
      </c>
      <c r="AY228" s="421">
        <f t="shared" ref="AY228:AY233" si="824">AW228+AX228</f>
        <v>0</v>
      </c>
      <c r="AZ228" s="421">
        <f t="shared" ref="AZ228:AZ233" si="825">AT228+AU228+AV228+AY228</f>
        <v>0</v>
      </c>
      <c r="BA228" s="422">
        <v>0</v>
      </c>
      <c r="BB228" s="422">
        <v>0</v>
      </c>
      <c r="BC228" s="422">
        <v>0</v>
      </c>
      <c r="BD228" s="422">
        <v>0</v>
      </c>
      <c r="BE228" s="422">
        <v>0</v>
      </c>
      <c r="BF228" s="422">
        <v>0</v>
      </c>
      <c r="BG228" s="422">
        <v>0</v>
      </c>
      <c r="BH228" s="422">
        <v>0</v>
      </c>
      <c r="BI228" s="422">
        <v>0</v>
      </c>
      <c r="BJ228" s="422">
        <v>0</v>
      </c>
      <c r="BK228" s="422">
        <f t="shared" ref="BK228:BK233" si="826">BA228+BC228+BD228+BF228+BH228+BI228</f>
        <v>0</v>
      </c>
      <c r="BL228" s="422">
        <f t="shared" ref="BL228:BL233" si="827">BB228+BE228+BG228+BJ228</f>
        <v>0</v>
      </c>
      <c r="BM228" s="611">
        <f t="shared" ref="BM228:BM233" si="828">SUM(BK228:BL228)</f>
        <v>0</v>
      </c>
      <c r="BN228" s="428">
        <f t="shared" ref="BN228:BN233" si="829">I228+AZ228</f>
        <v>3191985</v>
      </c>
      <c r="BO228" s="421">
        <f t="shared" ref="BO228:BO233" si="830">J228+AH228</f>
        <v>2358434</v>
      </c>
      <c r="BP228" s="421">
        <f t="shared" ref="BP228:BQ233" si="831">K228+AF228</f>
        <v>2225298</v>
      </c>
      <c r="BQ228" s="421">
        <f t="shared" si="831"/>
        <v>133136</v>
      </c>
      <c r="BR228" s="421">
        <f t="shared" ref="BR228:BR233" si="832">M228+AQ228</f>
        <v>0</v>
      </c>
      <c r="BS228" s="421">
        <f t="shared" ref="BS228:BT233" si="833">N228+AO228</f>
        <v>0</v>
      </c>
      <c r="BT228" s="421">
        <f t="shared" si="833"/>
        <v>0</v>
      </c>
      <c r="BU228" s="421">
        <f t="shared" ref="BU228:BV233" si="834">P228+AU228</f>
        <v>797151</v>
      </c>
      <c r="BV228" s="421">
        <f t="shared" si="834"/>
        <v>23584</v>
      </c>
      <c r="BW228" s="421">
        <f t="shared" ref="BW228:BW233" si="835">R228+AY228</f>
        <v>12816</v>
      </c>
      <c r="BX228" s="422">
        <f t="shared" ref="BX228:BX233" si="836">S228+BM228</f>
        <v>4.3236999999999997</v>
      </c>
      <c r="BY228" s="422">
        <f t="shared" ref="BY228:BZ233" si="837">T228+BK228</f>
        <v>3.7902999999999998</v>
      </c>
      <c r="BZ228" s="611">
        <f t="shared" si="837"/>
        <v>0.53339999999999999</v>
      </c>
      <c r="CA228" s="423"/>
      <c r="CB228" s="418"/>
      <c r="CC228" s="418"/>
      <c r="CD228" s="418"/>
      <c r="CE228" s="418"/>
      <c r="CF228" s="527"/>
    </row>
    <row r="229" spans="1:84" s="222" customFormat="1" ht="12.75" customHeight="1" x14ac:dyDescent="0.2">
      <c r="A229" s="210">
        <v>42</v>
      </c>
      <c r="B229" s="211">
        <v>4459</v>
      </c>
      <c r="C229" s="211">
        <v>650037171</v>
      </c>
      <c r="D229" s="211">
        <v>72742356</v>
      </c>
      <c r="E229" s="209" t="s">
        <v>224</v>
      </c>
      <c r="F229" s="211">
        <v>3113</v>
      </c>
      <c r="G229" s="165" t="s">
        <v>294</v>
      </c>
      <c r="H229" s="699" t="s">
        <v>271</v>
      </c>
      <c r="I229" s="528">
        <f t="shared" si="807"/>
        <v>13074087</v>
      </c>
      <c r="J229" s="418">
        <f t="shared" si="808"/>
        <v>9553473</v>
      </c>
      <c r="K229" s="418">
        <v>8501799</v>
      </c>
      <c r="L229" s="418">
        <v>1051674</v>
      </c>
      <c r="M229" s="418">
        <f t="shared" si="809"/>
        <v>0</v>
      </c>
      <c r="N229" s="418"/>
      <c r="O229" s="418"/>
      <c r="P229" s="68">
        <f>ROUND(J229*33.8%,0)-1</f>
        <v>3229073</v>
      </c>
      <c r="Q229" s="68">
        <f t="shared" si="811"/>
        <v>95535</v>
      </c>
      <c r="R229" s="418">
        <v>196006</v>
      </c>
      <c r="S229" s="419">
        <f t="shared" si="812"/>
        <v>16.1404</v>
      </c>
      <c r="T229" s="420">
        <v>13.034000000000001</v>
      </c>
      <c r="U229" s="527">
        <v>3.1063999999999998</v>
      </c>
      <c r="V229" s="427">
        <f t="shared" si="813"/>
        <v>0</v>
      </c>
      <c r="W229" s="421">
        <f t="shared" si="813"/>
        <v>0</v>
      </c>
      <c r="X229" s="421">
        <v>0</v>
      </c>
      <c r="Y229" s="421">
        <v>0</v>
      </c>
      <c r="Z229" s="421">
        <v>0</v>
      </c>
      <c r="AA229" s="421">
        <v>66200</v>
      </c>
      <c r="AB229" s="421">
        <v>0</v>
      </c>
      <c r="AC229" s="421">
        <v>0</v>
      </c>
      <c r="AD229" s="421">
        <v>0</v>
      </c>
      <c r="AE229" s="421">
        <v>0</v>
      </c>
      <c r="AF229" s="421">
        <f t="shared" si="814"/>
        <v>66200</v>
      </c>
      <c r="AG229" s="421">
        <f t="shared" si="815"/>
        <v>0</v>
      </c>
      <c r="AH229" s="421">
        <f t="shared" si="816"/>
        <v>66200</v>
      </c>
      <c r="AI229" s="421">
        <v>0</v>
      </c>
      <c r="AJ229" s="421">
        <v>0</v>
      </c>
      <c r="AK229" s="421">
        <v>0</v>
      </c>
      <c r="AL229" s="421">
        <v>0</v>
      </c>
      <c r="AM229" s="421">
        <v>0</v>
      </c>
      <c r="AN229" s="421">
        <v>0</v>
      </c>
      <c r="AO229" s="421">
        <f t="shared" si="817"/>
        <v>0</v>
      </c>
      <c r="AP229" s="421">
        <f t="shared" si="818"/>
        <v>0</v>
      </c>
      <c r="AQ229" s="421">
        <f t="shared" si="819"/>
        <v>0</v>
      </c>
      <c r="AR229" s="421">
        <f t="shared" si="820"/>
        <v>66200</v>
      </c>
      <c r="AS229" s="421">
        <f t="shared" si="820"/>
        <v>0</v>
      </c>
      <c r="AT229" s="421">
        <f t="shared" si="821"/>
        <v>66200</v>
      </c>
      <c r="AU229" s="68">
        <f t="shared" si="822"/>
        <v>22376</v>
      </c>
      <c r="AV229" s="68">
        <f t="shared" si="823"/>
        <v>662</v>
      </c>
      <c r="AW229" s="421">
        <v>0</v>
      </c>
      <c r="AX229" s="421">
        <v>0</v>
      </c>
      <c r="AY229" s="421">
        <f t="shared" si="824"/>
        <v>0</v>
      </c>
      <c r="AZ229" s="421">
        <f t="shared" si="825"/>
        <v>89238</v>
      </c>
      <c r="BA229" s="422">
        <v>0</v>
      </c>
      <c r="BB229" s="422">
        <v>0</v>
      </c>
      <c r="BC229" s="422">
        <v>0</v>
      </c>
      <c r="BD229" s="422">
        <v>0</v>
      </c>
      <c r="BE229" s="422">
        <v>0</v>
      </c>
      <c r="BF229" s="422">
        <v>0</v>
      </c>
      <c r="BG229" s="422">
        <v>0</v>
      </c>
      <c r="BH229" s="422">
        <v>0.09</v>
      </c>
      <c r="BI229" s="422">
        <v>0</v>
      </c>
      <c r="BJ229" s="422">
        <v>0</v>
      </c>
      <c r="BK229" s="422">
        <f t="shared" si="826"/>
        <v>0.09</v>
      </c>
      <c r="BL229" s="422">
        <f t="shared" si="827"/>
        <v>0</v>
      </c>
      <c r="BM229" s="611">
        <f t="shared" si="828"/>
        <v>0.09</v>
      </c>
      <c r="BN229" s="428">
        <f t="shared" si="829"/>
        <v>13163325</v>
      </c>
      <c r="BO229" s="421">
        <f t="shared" si="830"/>
        <v>9619673</v>
      </c>
      <c r="BP229" s="421">
        <f t="shared" si="831"/>
        <v>8567999</v>
      </c>
      <c r="BQ229" s="421">
        <f t="shared" si="831"/>
        <v>1051674</v>
      </c>
      <c r="BR229" s="421">
        <f t="shared" si="832"/>
        <v>0</v>
      </c>
      <c r="BS229" s="421">
        <f t="shared" si="833"/>
        <v>0</v>
      </c>
      <c r="BT229" s="421">
        <f t="shared" si="833"/>
        <v>0</v>
      </c>
      <c r="BU229" s="421">
        <f t="shared" si="834"/>
        <v>3251449</v>
      </c>
      <c r="BV229" s="421">
        <f t="shared" si="834"/>
        <v>96197</v>
      </c>
      <c r="BW229" s="421">
        <f t="shared" si="835"/>
        <v>196006</v>
      </c>
      <c r="BX229" s="422">
        <f t="shared" si="836"/>
        <v>16.230399999999999</v>
      </c>
      <c r="BY229" s="422">
        <f t="shared" si="837"/>
        <v>13.124000000000001</v>
      </c>
      <c r="BZ229" s="611">
        <f t="shared" si="837"/>
        <v>3.1063999999999998</v>
      </c>
      <c r="CA229" s="423"/>
      <c r="CB229" s="418"/>
      <c r="CC229" s="418"/>
      <c r="CD229" s="418"/>
      <c r="CE229" s="418"/>
      <c r="CF229" s="527"/>
    </row>
    <row r="230" spans="1:84" s="222" customFormat="1" ht="12.75" customHeight="1" x14ac:dyDescent="0.2">
      <c r="A230" s="210">
        <v>42</v>
      </c>
      <c r="B230" s="211">
        <v>4459</v>
      </c>
      <c r="C230" s="211">
        <v>650037171</v>
      </c>
      <c r="D230" s="211">
        <v>72742356</v>
      </c>
      <c r="E230" s="209" t="s">
        <v>224</v>
      </c>
      <c r="F230" s="211">
        <v>3113</v>
      </c>
      <c r="G230" s="165" t="s">
        <v>292</v>
      </c>
      <c r="H230" s="699" t="s">
        <v>272</v>
      </c>
      <c r="I230" s="528">
        <f t="shared" si="807"/>
        <v>0</v>
      </c>
      <c r="J230" s="418">
        <f t="shared" si="808"/>
        <v>0</v>
      </c>
      <c r="K230" s="418">
        <v>0</v>
      </c>
      <c r="L230" s="418">
        <v>0</v>
      </c>
      <c r="M230" s="418">
        <f t="shared" si="809"/>
        <v>0</v>
      </c>
      <c r="N230" s="418"/>
      <c r="O230" s="418"/>
      <c r="P230" s="68">
        <f t="shared" si="810"/>
        <v>0</v>
      </c>
      <c r="Q230" s="68">
        <f t="shared" si="811"/>
        <v>0</v>
      </c>
      <c r="R230" s="418">
        <v>0</v>
      </c>
      <c r="S230" s="419">
        <f t="shared" si="812"/>
        <v>0</v>
      </c>
      <c r="T230" s="420">
        <v>0</v>
      </c>
      <c r="U230" s="527">
        <v>0</v>
      </c>
      <c r="V230" s="427">
        <f t="shared" si="813"/>
        <v>0</v>
      </c>
      <c r="W230" s="421">
        <f t="shared" si="813"/>
        <v>0</v>
      </c>
      <c r="X230" s="421">
        <v>2039409</v>
      </c>
      <c r="Y230" s="421">
        <v>0</v>
      </c>
      <c r="Z230" s="421">
        <v>0</v>
      </c>
      <c r="AA230" s="421">
        <v>0</v>
      </c>
      <c r="AB230" s="421">
        <v>0</v>
      </c>
      <c r="AC230" s="421">
        <v>0</v>
      </c>
      <c r="AD230" s="421">
        <v>0</v>
      </c>
      <c r="AE230" s="421">
        <v>0</v>
      </c>
      <c r="AF230" s="421">
        <f t="shared" si="814"/>
        <v>2039409</v>
      </c>
      <c r="AG230" s="421">
        <f t="shared" si="815"/>
        <v>0</v>
      </c>
      <c r="AH230" s="421">
        <f t="shared" si="816"/>
        <v>2039409</v>
      </c>
      <c r="AI230" s="421">
        <v>0</v>
      </c>
      <c r="AJ230" s="421">
        <v>0</v>
      </c>
      <c r="AK230" s="421">
        <v>0</v>
      </c>
      <c r="AL230" s="421">
        <v>0</v>
      </c>
      <c r="AM230" s="421">
        <v>0</v>
      </c>
      <c r="AN230" s="421">
        <v>0</v>
      </c>
      <c r="AO230" s="421">
        <f t="shared" si="817"/>
        <v>0</v>
      </c>
      <c r="AP230" s="421">
        <f t="shared" si="818"/>
        <v>0</v>
      </c>
      <c r="AQ230" s="421">
        <f t="shared" si="819"/>
        <v>0</v>
      </c>
      <c r="AR230" s="421">
        <f t="shared" si="820"/>
        <v>2039409</v>
      </c>
      <c r="AS230" s="421">
        <f t="shared" si="820"/>
        <v>0</v>
      </c>
      <c r="AT230" s="421">
        <f t="shared" si="821"/>
        <v>2039409</v>
      </c>
      <c r="AU230" s="68">
        <f t="shared" si="822"/>
        <v>689320</v>
      </c>
      <c r="AV230" s="68">
        <f t="shared" si="823"/>
        <v>20394</v>
      </c>
      <c r="AW230" s="421">
        <v>0</v>
      </c>
      <c r="AX230" s="421">
        <v>0</v>
      </c>
      <c r="AY230" s="421">
        <f t="shared" si="824"/>
        <v>0</v>
      </c>
      <c r="AZ230" s="421">
        <f t="shared" si="825"/>
        <v>2749123</v>
      </c>
      <c r="BA230" s="422">
        <v>0</v>
      </c>
      <c r="BB230" s="422">
        <v>0</v>
      </c>
      <c r="BC230" s="422">
        <v>5.5</v>
      </c>
      <c r="BD230" s="422">
        <v>0</v>
      </c>
      <c r="BE230" s="422">
        <v>0</v>
      </c>
      <c r="BF230" s="422">
        <v>0</v>
      </c>
      <c r="BG230" s="422">
        <v>0</v>
      </c>
      <c r="BH230" s="422">
        <v>0</v>
      </c>
      <c r="BI230" s="422">
        <v>0</v>
      </c>
      <c r="BJ230" s="422">
        <v>0</v>
      </c>
      <c r="BK230" s="422">
        <f t="shared" si="826"/>
        <v>5.5</v>
      </c>
      <c r="BL230" s="422">
        <f t="shared" si="827"/>
        <v>0</v>
      </c>
      <c r="BM230" s="611">
        <f t="shared" si="828"/>
        <v>5.5</v>
      </c>
      <c r="BN230" s="428">
        <f t="shared" si="829"/>
        <v>2749123</v>
      </c>
      <c r="BO230" s="421">
        <f t="shared" si="830"/>
        <v>2039409</v>
      </c>
      <c r="BP230" s="421">
        <f t="shared" si="831"/>
        <v>2039409</v>
      </c>
      <c r="BQ230" s="421">
        <f t="shared" si="831"/>
        <v>0</v>
      </c>
      <c r="BR230" s="421">
        <f t="shared" si="832"/>
        <v>0</v>
      </c>
      <c r="BS230" s="421">
        <f t="shared" si="833"/>
        <v>0</v>
      </c>
      <c r="BT230" s="421">
        <f t="shared" si="833"/>
        <v>0</v>
      </c>
      <c r="BU230" s="421">
        <f t="shared" si="834"/>
        <v>689320</v>
      </c>
      <c r="BV230" s="421">
        <f t="shared" si="834"/>
        <v>20394</v>
      </c>
      <c r="BW230" s="421">
        <f t="shared" si="835"/>
        <v>0</v>
      </c>
      <c r="BX230" s="422">
        <f t="shared" si="836"/>
        <v>5.5</v>
      </c>
      <c r="BY230" s="422">
        <f t="shared" si="837"/>
        <v>5.5</v>
      </c>
      <c r="BZ230" s="611">
        <f t="shared" si="837"/>
        <v>0</v>
      </c>
      <c r="CA230" s="423"/>
      <c r="CB230" s="418"/>
      <c r="CC230" s="418"/>
      <c r="CD230" s="418"/>
      <c r="CE230" s="418"/>
      <c r="CF230" s="527"/>
    </row>
    <row r="231" spans="1:84" s="222" customFormat="1" ht="12.75" customHeight="1" x14ac:dyDescent="0.2">
      <c r="A231" s="210">
        <v>42</v>
      </c>
      <c r="B231" s="211">
        <v>4459</v>
      </c>
      <c r="C231" s="211">
        <v>650037171</v>
      </c>
      <c r="D231" s="211">
        <v>72742356</v>
      </c>
      <c r="E231" s="205" t="s">
        <v>224</v>
      </c>
      <c r="F231" s="211">
        <v>3141</v>
      </c>
      <c r="G231" s="165" t="s">
        <v>295</v>
      </c>
      <c r="H231" s="699" t="s">
        <v>272</v>
      </c>
      <c r="I231" s="528">
        <f t="shared" si="807"/>
        <v>1135326</v>
      </c>
      <c r="J231" s="418">
        <f t="shared" si="808"/>
        <v>838135</v>
      </c>
      <c r="K231" s="418">
        <v>0</v>
      </c>
      <c r="L231" s="418">
        <v>838135</v>
      </c>
      <c r="M231" s="418">
        <f t="shared" si="809"/>
        <v>0</v>
      </c>
      <c r="N231" s="418"/>
      <c r="O231" s="418"/>
      <c r="P231" s="68">
        <f t="shared" si="810"/>
        <v>283290</v>
      </c>
      <c r="Q231" s="68">
        <f t="shared" si="811"/>
        <v>8381</v>
      </c>
      <c r="R231" s="418">
        <v>5520</v>
      </c>
      <c r="S231" s="419">
        <f t="shared" si="812"/>
        <v>2.5099999999999998</v>
      </c>
      <c r="T231" s="420">
        <v>0</v>
      </c>
      <c r="U231" s="527">
        <v>2.5099999999999998</v>
      </c>
      <c r="V231" s="427">
        <f t="shared" si="813"/>
        <v>0</v>
      </c>
      <c r="W231" s="421">
        <f t="shared" si="813"/>
        <v>0</v>
      </c>
      <c r="X231" s="421">
        <v>0</v>
      </c>
      <c r="Y231" s="421">
        <v>0</v>
      </c>
      <c r="Z231" s="421">
        <v>0</v>
      </c>
      <c r="AA231" s="421">
        <v>0</v>
      </c>
      <c r="AB231" s="421">
        <v>0</v>
      </c>
      <c r="AC231" s="421">
        <v>0</v>
      </c>
      <c r="AD231" s="421">
        <v>0</v>
      </c>
      <c r="AE231" s="421">
        <v>0</v>
      </c>
      <c r="AF231" s="421">
        <f t="shared" si="814"/>
        <v>0</v>
      </c>
      <c r="AG231" s="421">
        <f t="shared" si="815"/>
        <v>0</v>
      </c>
      <c r="AH231" s="421">
        <f t="shared" si="816"/>
        <v>0</v>
      </c>
      <c r="AI231" s="421">
        <v>0</v>
      </c>
      <c r="AJ231" s="421">
        <v>0</v>
      </c>
      <c r="AK231" s="421">
        <v>0</v>
      </c>
      <c r="AL231" s="421">
        <v>0</v>
      </c>
      <c r="AM231" s="421">
        <v>0</v>
      </c>
      <c r="AN231" s="421">
        <v>0</v>
      </c>
      <c r="AO231" s="421">
        <f t="shared" si="817"/>
        <v>0</v>
      </c>
      <c r="AP231" s="421">
        <f t="shared" si="818"/>
        <v>0</v>
      </c>
      <c r="AQ231" s="421">
        <f t="shared" si="819"/>
        <v>0</v>
      </c>
      <c r="AR231" s="421">
        <f t="shared" si="820"/>
        <v>0</v>
      </c>
      <c r="AS231" s="421">
        <f t="shared" si="820"/>
        <v>0</v>
      </c>
      <c r="AT231" s="421">
        <f t="shared" si="821"/>
        <v>0</v>
      </c>
      <c r="AU231" s="68">
        <f t="shared" si="822"/>
        <v>0</v>
      </c>
      <c r="AV231" s="68">
        <f t="shared" si="823"/>
        <v>0</v>
      </c>
      <c r="AW231" s="421">
        <v>0</v>
      </c>
      <c r="AX231" s="421">
        <v>0</v>
      </c>
      <c r="AY231" s="421">
        <f t="shared" si="824"/>
        <v>0</v>
      </c>
      <c r="AZ231" s="421">
        <f t="shared" si="825"/>
        <v>0</v>
      </c>
      <c r="BA231" s="422">
        <v>0</v>
      </c>
      <c r="BB231" s="422">
        <v>0</v>
      </c>
      <c r="BC231" s="422">
        <v>0</v>
      </c>
      <c r="BD231" s="422">
        <v>0</v>
      </c>
      <c r="BE231" s="422">
        <v>0</v>
      </c>
      <c r="BF231" s="422">
        <v>0</v>
      </c>
      <c r="BG231" s="422">
        <v>0</v>
      </c>
      <c r="BH231" s="422">
        <v>0</v>
      </c>
      <c r="BI231" s="422">
        <v>0</v>
      </c>
      <c r="BJ231" s="422">
        <v>0</v>
      </c>
      <c r="BK231" s="422">
        <f t="shared" si="826"/>
        <v>0</v>
      </c>
      <c r="BL231" s="422">
        <f t="shared" si="827"/>
        <v>0</v>
      </c>
      <c r="BM231" s="611">
        <f t="shared" si="828"/>
        <v>0</v>
      </c>
      <c r="BN231" s="428">
        <f t="shared" si="829"/>
        <v>1135326</v>
      </c>
      <c r="BO231" s="421">
        <f t="shared" si="830"/>
        <v>838135</v>
      </c>
      <c r="BP231" s="421">
        <f t="shared" si="831"/>
        <v>0</v>
      </c>
      <c r="BQ231" s="421">
        <f t="shared" si="831"/>
        <v>838135</v>
      </c>
      <c r="BR231" s="421">
        <f t="shared" si="832"/>
        <v>0</v>
      </c>
      <c r="BS231" s="421">
        <f t="shared" si="833"/>
        <v>0</v>
      </c>
      <c r="BT231" s="421">
        <f t="shared" si="833"/>
        <v>0</v>
      </c>
      <c r="BU231" s="421">
        <f t="shared" si="834"/>
        <v>283290</v>
      </c>
      <c r="BV231" s="421">
        <f t="shared" si="834"/>
        <v>8381</v>
      </c>
      <c r="BW231" s="421">
        <f t="shared" si="835"/>
        <v>5520</v>
      </c>
      <c r="BX231" s="422">
        <f t="shared" si="836"/>
        <v>2.5099999999999998</v>
      </c>
      <c r="BY231" s="422">
        <f t="shared" si="837"/>
        <v>0</v>
      </c>
      <c r="BZ231" s="611">
        <f t="shared" si="837"/>
        <v>2.5099999999999998</v>
      </c>
      <c r="CA231" s="423"/>
      <c r="CB231" s="418"/>
      <c r="CC231" s="418"/>
      <c r="CD231" s="418"/>
      <c r="CE231" s="418"/>
      <c r="CF231" s="527"/>
    </row>
    <row r="232" spans="1:84" s="222" customFormat="1" ht="12.75" customHeight="1" x14ac:dyDescent="0.2">
      <c r="A232" s="210">
        <v>42</v>
      </c>
      <c r="B232" s="211">
        <v>4459</v>
      </c>
      <c r="C232" s="211">
        <v>650037171</v>
      </c>
      <c r="D232" s="211">
        <v>72742356</v>
      </c>
      <c r="E232" s="209" t="s">
        <v>224</v>
      </c>
      <c r="F232" s="211">
        <v>3143</v>
      </c>
      <c r="G232" s="165" t="s">
        <v>596</v>
      </c>
      <c r="H232" s="686" t="s">
        <v>271</v>
      </c>
      <c r="I232" s="528">
        <f t="shared" si="807"/>
        <v>1726288</v>
      </c>
      <c r="J232" s="418">
        <f t="shared" si="808"/>
        <v>1280629</v>
      </c>
      <c r="K232" s="418">
        <v>1280629</v>
      </c>
      <c r="L232" s="418">
        <v>0</v>
      </c>
      <c r="M232" s="418">
        <f t="shared" si="809"/>
        <v>0</v>
      </c>
      <c r="N232" s="418"/>
      <c r="O232" s="418"/>
      <c r="P232" s="68">
        <f t="shared" si="810"/>
        <v>432853</v>
      </c>
      <c r="Q232" s="68">
        <f t="shared" si="811"/>
        <v>12806</v>
      </c>
      <c r="R232" s="418">
        <v>0</v>
      </c>
      <c r="S232" s="419">
        <f t="shared" si="812"/>
        <v>2.8572000000000002</v>
      </c>
      <c r="T232" s="420">
        <v>2.8572000000000002</v>
      </c>
      <c r="U232" s="527">
        <v>0</v>
      </c>
      <c r="V232" s="427">
        <f t="shared" si="813"/>
        <v>0</v>
      </c>
      <c r="W232" s="421">
        <f t="shared" si="813"/>
        <v>0</v>
      </c>
      <c r="X232" s="421">
        <v>0</v>
      </c>
      <c r="Y232" s="421">
        <v>0</v>
      </c>
      <c r="Z232" s="421">
        <v>0</v>
      </c>
      <c r="AA232" s="421">
        <v>0</v>
      </c>
      <c r="AB232" s="421">
        <v>0</v>
      </c>
      <c r="AC232" s="421">
        <v>0</v>
      </c>
      <c r="AD232" s="421">
        <v>0</v>
      </c>
      <c r="AE232" s="421">
        <v>0</v>
      </c>
      <c r="AF232" s="421">
        <f t="shared" si="814"/>
        <v>0</v>
      </c>
      <c r="AG232" s="421">
        <f t="shared" si="815"/>
        <v>0</v>
      </c>
      <c r="AH232" s="421">
        <f t="shared" si="816"/>
        <v>0</v>
      </c>
      <c r="AI232" s="421">
        <v>0</v>
      </c>
      <c r="AJ232" s="421">
        <v>0</v>
      </c>
      <c r="AK232" s="421">
        <v>0</v>
      </c>
      <c r="AL232" s="421">
        <v>0</v>
      </c>
      <c r="AM232" s="421">
        <v>0</v>
      </c>
      <c r="AN232" s="421">
        <v>0</v>
      </c>
      <c r="AO232" s="421">
        <f t="shared" si="817"/>
        <v>0</v>
      </c>
      <c r="AP232" s="421">
        <f t="shared" si="818"/>
        <v>0</v>
      </c>
      <c r="AQ232" s="421">
        <f t="shared" si="819"/>
        <v>0</v>
      </c>
      <c r="AR232" s="421">
        <f t="shared" si="820"/>
        <v>0</v>
      </c>
      <c r="AS232" s="421">
        <f t="shared" si="820"/>
        <v>0</v>
      </c>
      <c r="AT232" s="421">
        <f t="shared" si="821"/>
        <v>0</v>
      </c>
      <c r="AU232" s="68">
        <f t="shared" si="822"/>
        <v>0</v>
      </c>
      <c r="AV232" s="68">
        <f t="shared" si="823"/>
        <v>0</v>
      </c>
      <c r="AW232" s="421">
        <v>0</v>
      </c>
      <c r="AX232" s="421">
        <v>0</v>
      </c>
      <c r="AY232" s="421">
        <f t="shared" si="824"/>
        <v>0</v>
      </c>
      <c r="AZ232" s="421">
        <f t="shared" si="825"/>
        <v>0</v>
      </c>
      <c r="BA232" s="422">
        <v>0</v>
      </c>
      <c r="BB232" s="422">
        <v>0</v>
      </c>
      <c r="BC232" s="422">
        <v>0</v>
      </c>
      <c r="BD232" s="422">
        <v>0</v>
      </c>
      <c r="BE232" s="422">
        <v>0</v>
      </c>
      <c r="BF232" s="422">
        <v>0</v>
      </c>
      <c r="BG232" s="422">
        <v>0</v>
      </c>
      <c r="BH232" s="422">
        <v>0</v>
      </c>
      <c r="BI232" s="422">
        <v>0</v>
      </c>
      <c r="BJ232" s="422">
        <v>0</v>
      </c>
      <c r="BK232" s="422">
        <f t="shared" si="826"/>
        <v>0</v>
      </c>
      <c r="BL232" s="422">
        <f t="shared" si="827"/>
        <v>0</v>
      </c>
      <c r="BM232" s="611">
        <f t="shared" si="828"/>
        <v>0</v>
      </c>
      <c r="BN232" s="428">
        <f t="shared" si="829"/>
        <v>1726288</v>
      </c>
      <c r="BO232" s="421">
        <f t="shared" si="830"/>
        <v>1280629</v>
      </c>
      <c r="BP232" s="421">
        <f t="shared" si="831"/>
        <v>1280629</v>
      </c>
      <c r="BQ232" s="421">
        <f t="shared" si="831"/>
        <v>0</v>
      </c>
      <c r="BR232" s="421">
        <f t="shared" si="832"/>
        <v>0</v>
      </c>
      <c r="BS232" s="421">
        <f t="shared" si="833"/>
        <v>0</v>
      </c>
      <c r="BT232" s="421">
        <f t="shared" si="833"/>
        <v>0</v>
      </c>
      <c r="BU232" s="421">
        <f t="shared" si="834"/>
        <v>432853</v>
      </c>
      <c r="BV232" s="421">
        <f t="shared" si="834"/>
        <v>12806</v>
      </c>
      <c r="BW232" s="421">
        <f t="shared" si="835"/>
        <v>0</v>
      </c>
      <c r="BX232" s="422">
        <f t="shared" si="836"/>
        <v>2.8572000000000002</v>
      </c>
      <c r="BY232" s="422">
        <f t="shared" si="837"/>
        <v>2.8572000000000002</v>
      </c>
      <c r="BZ232" s="611">
        <f t="shared" si="837"/>
        <v>0</v>
      </c>
      <c r="CA232" s="423"/>
      <c r="CB232" s="418"/>
      <c r="CC232" s="418"/>
      <c r="CD232" s="418"/>
      <c r="CE232" s="418"/>
      <c r="CF232" s="527"/>
    </row>
    <row r="233" spans="1:84" s="222" customFormat="1" ht="12.75" customHeight="1" x14ac:dyDescent="0.2">
      <c r="A233" s="210">
        <v>42</v>
      </c>
      <c r="B233" s="211">
        <v>4459</v>
      </c>
      <c r="C233" s="211">
        <v>650037171</v>
      </c>
      <c r="D233" s="211">
        <v>72742356</v>
      </c>
      <c r="E233" s="209" t="s">
        <v>224</v>
      </c>
      <c r="F233" s="211">
        <v>3143</v>
      </c>
      <c r="G233" s="165" t="s">
        <v>597</v>
      </c>
      <c r="H233" s="686" t="s">
        <v>272</v>
      </c>
      <c r="I233" s="528">
        <f t="shared" si="807"/>
        <v>35851</v>
      </c>
      <c r="J233" s="418">
        <f t="shared" si="808"/>
        <v>25661</v>
      </c>
      <c r="K233" s="418">
        <v>0</v>
      </c>
      <c r="L233" s="418">
        <v>25661</v>
      </c>
      <c r="M233" s="418">
        <f t="shared" si="809"/>
        <v>0</v>
      </c>
      <c r="N233" s="418"/>
      <c r="O233" s="418"/>
      <c r="P233" s="68">
        <f t="shared" si="810"/>
        <v>8673</v>
      </c>
      <c r="Q233" s="68">
        <f t="shared" si="811"/>
        <v>257</v>
      </c>
      <c r="R233" s="418">
        <v>1260</v>
      </c>
      <c r="S233" s="419">
        <f t="shared" si="812"/>
        <v>0.1</v>
      </c>
      <c r="T233" s="420">
        <v>0</v>
      </c>
      <c r="U233" s="527">
        <v>0.1</v>
      </c>
      <c r="V233" s="427">
        <f t="shared" si="813"/>
        <v>0</v>
      </c>
      <c r="W233" s="421">
        <f t="shared" si="813"/>
        <v>0</v>
      </c>
      <c r="X233" s="421">
        <v>0</v>
      </c>
      <c r="Y233" s="421">
        <v>0</v>
      </c>
      <c r="Z233" s="421">
        <v>0</v>
      </c>
      <c r="AA233" s="421">
        <v>0</v>
      </c>
      <c r="AB233" s="421">
        <v>0</v>
      </c>
      <c r="AC233" s="421">
        <v>0</v>
      </c>
      <c r="AD233" s="421">
        <v>0</v>
      </c>
      <c r="AE233" s="421">
        <v>0</v>
      </c>
      <c r="AF233" s="421">
        <f t="shared" si="814"/>
        <v>0</v>
      </c>
      <c r="AG233" s="421">
        <f t="shared" si="815"/>
        <v>0</v>
      </c>
      <c r="AH233" s="421">
        <f t="shared" si="816"/>
        <v>0</v>
      </c>
      <c r="AI233" s="421">
        <v>0</v>
      </c>
      <c r="AJ233" s="421">
        <v>0</v>
      </c>
      <c r="AK233" s="421">
        <v>0</v>
      </c>
      <c r="AL233" s="421">
        <v>0</v>
      </c>
      <c r="AM233" s="421">
        <v>0</v>
      </c>
      <c r="AN233" s="421">
        <v>0</v>
      </c>
      <c r="AO233" s="421">
        <f t="shared" si="817"/>
        <v>0</v>
      </c>
      <c r="AP233" s="421">
        <f t="shared" si="818"/>
        <v>0</v>
      </c>
      <c r="AQ233" s="421">
        <f t="shared" si="819"/>
        <v>0</v>
      </c>
      <c r="AR233" s="421">
        <f t="shared" si="820"/>
        <v>0</v>
      </c>
      <c r="AS233" s="421">
        <f t="shared" si="820"/>
        <v>0</v>
      </c>
      <c r="AT233" s="421">
        <f t="shared" si="821"/>
        <v>0</v>
      </c>
      <c r="AU233" s="68">
        <f t="shared" si="822"/>
        <v>0</v>
      </c>
      <c r="AV233" s="68">
        <f t="shared" si="823"/>
        <v>0</v>
      </c>
      <c r="AW233" s="421">
        <v>0</v>
      </c>
      <c r="AX233" s="421">
        <v>0</v>
      </c>
      <c r="AY233" s="421">
        <f t="shared" si="824"/>
        <v>0</v>
      </c>
      <c r="AZ233" s="421">
        <f t="shared" si="825"/>
        <v>0</v>
      </c>
      <c r="BA233" s="422">
        <v>0</v>
      </c>
      <c r="BB233" s="422">
        <v>0</v>
      </c>
      <c r="BC233" s="422">
        <v>0</v>
      </c>
      <c r="BD233" s="422">
        <v>0</v>
      </c>
      <c r="BE233" s="422">
        <v>0</v>
      </c>
      <c r="BF233" s="422">
        <v>0</v>
      </c>
      <c r="BG233" s="422">
        <v>0</v>
      </c>
      <c r="BH233" s="422">
        <v>0</v>
      </c>
      <c r="BI233" s="422">
        <v>0</v>
      </c>
      <c r="BJ233" s="422">
        <v>0</v>
      </c>
      <c r="BK233" s="422">
        <f t="shared" si="826"/>
        <v>0</v>
      </c>
      <c r="BL233" s="422">
        <f t="shared" si="827"/>
        <v>0</v>
      </c>
      <c r="BM233" s="611">
        <f t="shared" si="828"/>
        <v>0</v>
      </c>
      <c r="BN233" s="428">
        <f t="shared" si="829"/>
        <v>35851</v>
      </c>
      <c r="BO233" s="421">
        <f t="shared" si="830"/>
        <v>25661</v>
      </c>
      <c r="BP233" s="421">
        <f t="shared" si="831"/>
        <v>0</v>
      </c>
      <c r="BQ233" s="421">
        <f t="shared" si="831"/>
        <v>25661</v>
      </c>
      <c r="BR233" s="421">
        <f t="shared" si="832"/>
        <v>0</v>
      </c>
      <c r="BS233" s="421">
        <f t="shared" si="833"/>
        <v>0</v>
      </c>
      <c r="BT233" s="421">
        <f t="shared" si="833"/>
        <v>0</v>
      </c>
      <c r="BU233" s="421">
        <f t="shared" si="834"/>
        <v>8673</v>
      </c>
      <c r="BV233" s="421">
        <f t="shared" si="834"/>
        <v>257</v>
      </c>
      <c r="BW233" s="421">
        <f t="shared" si="835"/>
        <v>1260</v>
      </c>
      <c r="BX233" s="422">
        <f t="shared" si="836"/>
        <v>0.1</v>
      </c>
      <c r="BY233" s="422">
        <f t="shared" si="837"/>
        <v>0</v>
      </c>
      <c r="BZ233" s="611">
        <f t="shared" si="837"/>
        <v>0.1</v>
      </c>
      <c r="CA233" s="423"/>
      <c r="CB233" s="418"/>
      <c r="CC233" s="418"/>
      <c r="CD233" s="418"/>
      <c r="CE233" s="418"/>
      <c r="CF233" s="527"/>
    </row>
    <row r="234" spans="1:84" s="222" customFormat="1" ht="12.75" customHeight="1" x14ac:dyDescent="0.2">
      <c r="A234" s="155">
        <v>42</v>
      </c>
      <c r="B234" s="18">
        <v>4459</v>
      </c>
      <c r="C234" s="18">
        <v>650037171</v>
      </c>
      <c r="D234" s="18">
        <v>72742356</v>
      </c>
      <c r="E234" s="164" t="s">
        <v>225</v>
      </c>
      <c r="F234" s="18"/>
      <c r="G234" s="154"/>
      <c r="H234" s="685"/>
      <c r="I234" s="458">
        <f t="shared" ref="I234:BT234" si="838">SUM(I228:I233)</f>
        <v>19163537</v>
      </c>
      <c r="J234" s="451">
        <f t="shared" si="838"/>
        <v>14056332</v>
      </c>
      <c r="K234" s="451">
        <f t="shared" si="838"/>
        <v>12007726</v>
      </c>
      <c r="L234" s="451">
        <f t="shared" si="838"/>
        <v>2048606</v>
      </c>
      <c r="M234" s="451">
        <f t="shared" si="838"/>
        <v>0</v>
      </c>
      <c r="N234" s="451">
        <f t="shared" si="838"/>
        <v>0</v>
      </c>
      <c r="O234" s="451">
        <f t="shared" si="838"/>
        <v>0</v>
      </c>
      <c r="P234" s="451">
        <f t="shared" si="838"/>
        <v>4751040</v>
      </c>
      <c r="Q234" s="451">
        <f t="shared" si="838"/>
        <v>140563</v>
      </c>
      <c r="R234" s="451">
        <f t="shared" si="838"/>
        <v>215602</v>
      </c>
      <c r="S234" s="452">
        <f t="shared" si="838"/>
        <v>25.9313</v>
      </c>
      <c r="T234" s="452">
        <f t="shared" si="838"/>
        <v>19.6815</v>
      </c>
      <c r="U234" s="39">
        <f t="shared" si="838"/>
        <v>6.2497999999999987</v>
      </c>
      <c r="V234" s="458">
        <f t="shared" si="838"/>
        <v>0</v>
      </c>
      <c r="W234" s="451">
        <f t="shared" si="838"/>
        <v>0</v>
      </c>
      <c r="X234" s="451">
        <f t="shared" si="838"/>
        <v>2039409</v>
      </c>
      <c r="Y234" s="451">
        <f t="shared" si="838"/>
        <v>0</v>
      </c>
      <c r="Z234" s="451">
        <f t="shared" si="838"/>
        <v>0</v>
      </c>
      <c r="AA234" s="451">
        <f t="shared" si="838"/>
        <v>66200</v>
      </c>
      <c r="AB234" s="451">
        <f t="shared" si="838"/>
        <v>0</v>
      </c>
      <c r="AC234" s="451">
        <f t="shared" si="838"/>
        <v>0</v>
      </c>
      <c r="AD234" s="451">
        <f t="shared" si="838"/>
        <v>0</v>
      </c>
      <c r="AE234" s="451">
        <f t="shared" si="838"/>
        <v>0</v>
      </c>
      <c r="AF234" s="451">
        <f t="shared" si="838"/>
        <v>2105609</v>
      </c>
      <c r="AG234" s="451">
        <f t="shared" si="838"/>
        <v>0</v>
      </c>
      <c r="AH234" s="451">
        <f t="shared" si="838"/>
        <v>2105609</v>
      </c>
      <c r="AI234" s="451">
        <f t="shared" si="838"/>
        <v>0</v>
      </c>
      <c r="AJ234" s="451">
        <f t="shared" si="838"/>
        <v>0</v>
      </c>
      <c r="AK234" s="451">
        <f t="shared" ref="AK234" si="839">SUM(AK228:AK233)</f>
        <v>0</v>
      </c>
      <c r="AL234" s="451">
        <f t="shared" si="838"/>
        <v>0</v>
      </c>
      <c r="AM234" s="451">
        <f t="shared" si="838"/>
        <v>0</v>
      </c>
      <c r="AN234" s="451">
        <f t="shared" si="838"/>
        <v>0</v>
      </c>
      <c r="AO234" s="451">
        <f t="shared" si="838"/>
        <v>0</v>
      </c>
      <c r="AP234" s="451">
        <f t="shared" si="838"/>
        <v>0</v>
      </c>
      <c r="AQ234" s="451">
        <f t="shared" si="838"/>
        <v>0</v>
      </c>
      <c r="AR234" s="451">
        <f t="shared" si="838"/>
        <v>2105609</v>
      </c>
      <c r="AS234" s="451">
        <f t="shared" si="838"/>
        <v>0</v>
      </c>
      <c r="AT234" s="451">
        <f t="shared" si="838"/>
        <v>2105609</v>
      </c>
      <c r="AU234" s="451">
        <f t="shared" si="838"/>
        <v>711696</v>
      </c>
      <c r="AV234" s="451">
        <f t="shared" si="838"/>
        <v>21056</v>
      </c>
      <c r="AW234" s="451">
        <f t="shared" si="838"/>
        <v>0</v>
      </c>
      <c r="AX234" s="451">
        <f t="shared" si="838"/>
        <v>0</v>
      </c>
      <c r="AY234" s="451">
        <f t="shared" si="838"/>
        <v>0</v>
      </c>
      <c r="AZ234" s="451">
        <f t="shared" si="838"/>
        <v>2838361</v>
      </c>
      <c r="BA234" s="452">
        <f t="shared" si="838"/>
        <v>0</v>
      </c>
      <c r="BB234" s="452">
        <f t="shared" si="838"/>
        <v>0</v>
      </c>
      <c r="BC234" s="452">
        <f t="shared" si="838"/>
        <v>5.5</v>
      </c>
      <c r="BD234" s="452">
        <f t="shared" si="838"/>
        <v>0</v>
      </c>
      <c r="BE234" s="452">
        <f t="shared" si="838"/>
        <v>0</v>
      </c>
      <c r="BF234" s="452">
        <f t="shared" si="838"/>
        <v>0</v>
      </c>
      <c r="BG234" s="452">
        <f t="shared" si="838"/>
        <v>0</v>
      </c>
      <c r="BH234" s="452">
        <f t="shared" si="838"/>
        <v>0.09</v>
      </c>
      <c r="BI234" s="452">
        <f t="shared" si="838"/>
        <v>0</v>
      </c>
      <c r="BJ234" s="452">
        <f t="shared" si="838"/>
        <v>0</v>
      </c>
      <c r="BK234" s="452">
        <f t="shared" si="838"/>
        <v>5.59</v>
      </c>
      <c r="BL234" s="452">
        <f t="shared" si="838"/>
        <v>0</v>
      </c>
      <c r="BM234" s="456">
        <f t="shared" si="838"/>
        <v>5.59</v>
      </c>
      <c r="BN234" s="454">
        <f t="shared" si="838"/>
        <v>22001898</v>
      </c>
      <c r="BO234" s="451">
        <f t="shared" si="838"/>
        <v>16161941</v>
      </c>
      <c r="BP234" s="451">
        <f t="shared" si="838"/>
        <v>14113335</v>
      </c>
      <c r="BQ234" s="451">
        <f t="shared" si="838"/>
        <v>2048606</v>
      </c>
      <c r="BR234" s="451">
        <f t="shared" si="838"/>
        <v>0</v>
      </c>
      <c r="BS234" s="451">
        <f t="shared" si="838"/>
        <v>0</v>
      </c>
      <c r="BT234" s="451">
        <f t="shared" si="838"/>
        <v>0</v>
      </c>
      <c r="BU234" s="451">
        <f t="shared" ref="BU234:CF234" si="840">SUM(BU228:BU233)</f>
        <v>5462736</v>
      </c>
      <c r="BV234" s="451">
        <f t="shared" si="840"/>
        <v>161619</v>
      </c>
      <c r="BW234" s="451">
        <f t="shared" si="840"/>
        <v>215602</v>
      </c>
      <c r="BX234" s="452">
        <f t="shared" si="840"/>
        <v>31.521299999999997</v>
      </c>
      <c r="BY234" s="452">
        <f t="shared" si="840"/>
        <v>25.2715</v>
      </c>
      <c r="BZ234" s="456">
        <f t="shared" si="840"/>
        <v>6.2497999999999987</v>
      </c>
      <c r="CA234" s="854">
        <f t="shared" si="840"/>
        <v>0</v>
      </c>
      <c r="CB234" s="852">
        <f t="shared" si="840"/>
        <v>0</v>
      </c>
      <c r="CC234" s="852">
        <f t="shared" si="840"/>
        <v>0</v>
      </c>
      <c r="CD234" s="852">
        <f t="shared" si="840"/>
        <v>0</v>
      </c>
      <c r="CE234" s="852">
        <f t="shared" si="840"/>
        <v>0</v>
      </c>
      <c r="CF234" s="848">
        <f t="shared" si="840"/>
        <v>0</v>
      </c>
    </row>
    <row r="235" spans="1:84" s="222" customFormat="1" ht="12.75" customHeight="1" x14ac:dyDescent="0.2">
      <c r="A235" s="210">
        <v>43</v>
      </c>
      <c r="B235" s="211">
        <v>4424</v>
      </c>
      <c r="C235" s="211">
        <v>600074170</v>
      </c>
      <c r="D235" s="211">
        <v>72741562</v>
      </c>
      <c r="E235" s="209" t="s">
        <v>226</v>
      </c>
      <c r="F235" s="211">
        <v>3111</v>
      </c>
      <c r="G235" s="165" t="s">
        <v>291</v>
      </c>
      <c r="H235" s="699" t="s">
        <v>271</v>
      </c>
      <c r="I235" s="528">
        <f t="shared" ref="I235:I237" si="841">J235+P235+Q235+R235</f>
        <v>3414418</v>
      </c>
      <c r="J235" s="418">
        <f>K235+L235</f>
        <v>2526613</v>
      </c>
      <c r="K235" s="418">
        <v>2304821</v>
      </c>
      <c r="L235" s="418">
        <v>221792</v>
      </c>
      <c r="M235" s="418">
        <f>N235+O235</f>
        <v>0</v>
      </c>
      <c r="N235" s="418"/>
      <c r="O235" s="418"/>
      <c r="P235" s="68">
        <f t="shared" ref="P235:P237" si="842">ROUND(J235*33.8%,0)</f>
        <v>853995</v>
      </c>
      <c r="Q235" s="68">
        <f t="shared" ref="Q235:Q237" si="843">ROUND(J235*1%,0)</f>
        <v>25266</v>
      </c>
      <c r="R235" s="418">
        <v>8544</v>
      </c>
      <c r="S235" s="419">
        <f>T235+U235</f>
        <v>4.9724999999999993</v>
      </c>
      <c r="T235" s="420">
        <v>4.2257999999999996</v>
      </c>
      <c r="U235" s="527">
        <v>0.74669999999999992</v>
      </c>
      <c r="V235" s="427">
        <f t="shared" ref="V235:W237" si="844">AI235*-1</f>
        <v>0</v>
      </c>
      <c r="W235" s="421">
        <f t="shared" si="844"/>
        <v>0</v>
      </c>
      <c r="X235" s="421">
        <v>0</v>
      </c>
      <c r="Y235" s="421">
        <v>0</v>
      </c>
      <c r="Z235" s="421">
        <v>0</v>
      </c>
      <c r="AA235" s="421">
        <v>0</v>
      </c>
      <c r="AB235" s="421">
        <v>0</v>
      </c>
      <c r="AC235" s="421">
        <v>0</v>
      </c>
      <c r="AD235" s="421">
        <v>0</v>
      </c>
      <c r="AE235" s="421">
        <v>0</v>
      </c>
      <c r="AF235" s="421">
        <f>V235+X235+Y235+AA235+AB235+AD235</f>
        <v>0</v>
      </c>
      <c r="AG235" s="421">
        <f>W235+Z235+AC235+AE235</f>
        <v>0</v>
      </c>
      <c r="AH235" s="421">
        <f>SUM(AF235:AG235)</f>
        <v>0</v>
      </c>
      <c r="AI235" s="421">
        <v>0</v>
      </c>
      <c r="AJ235" s="421">
        <v>0</v>
      </c>
      <c r="AK235" s="421">
        <v>0</v>
      </c>
      <c r="AL235" s="421">
        <v>0</v>
      </c>
      <c r="AM235" s="421">
        <v>0</v>
      </c>
      <c r="AN235" s="421">
        <v>0</v>
      </c>
      <c r="AO235" s="421">
        <f t="shared" ref="AO235:AO237" si="845">AI235+AK235+AL235+AM235</f>
        <v>0</v>
      </c>
      <c r="AP235" s="421">
        <f>AJ235+AN235</f>
        <v>0</v>
      </c>
      <c r="AQ235" s="421">
        <f>SUM(AO235:AP235)</f>
        <v>0</v>
      </c>
      <c r="AR235" s="421">
        <f t="shared" ref="AR235:AS237" si="846">AF235+AO235</f>
        <v>0</v>
      </c>
      <c r="AS235" s="421">
        <f t="shared" si="846"/>
        <v>0</v>
      </c>
      <c r="AT235" s="421">
        <f>SUM(AR235:AS235)</f>
        <v>0</v>
      </c>
      <c r="AU235" s="68">
        <f t="shared" ref="AU235:AU237" si="847">ROUND((AH235+AI235+AJ235+AK235+AL235)*33.8%,0)</f>
        <v>0</v>
      </c>
      <c r="AV235" s="68">
        <f>ROUND(AH235*1%,0)</f>
        <v>0</v>
      </c>
      <c r="AW235" s="421">
        <v>0</v>
      </c>
      <c r="AX235" s="421">
        <v>0</v>
      </c>
      <c r="AY235" s="421">
        <f>AW235+AX235</f>
        <v>0</v>
      </c>
      <c r="AZ235" s="421">
        <f>AT235+AU235+AV235+AY235</f>
        <v>0</v>
      </c>
      <c r="BA235" s="422">
        <v>0</v>
      </c>
      <c r="BB235" s="422">
        <v>0</v>
      </c>
      <c r="BC235" s="422">
        <v>0</v>
      </c>
      <c r="BD235" s="422">
        <v>0</v>
      </c>
      <c r="BE235" s="422">
        <v>0</v>
      </c>
      <c r="BF235" s="422">
        <v>0</v>
      </c>
      <c r="BG235" s="422">
        <v>0</v>
      </c>
      <c r="BH235" s="422">
        <v>0</v>
      </c>
      <c r="BI235" s="422">
        <v>0</v>
      </c>
      <c r="BJ235" s="422">
        <v>0</v>
      </c>
      <c r="BK235" s="422">
        <f>BA235+BC235+BD235+BF235+BH235+BI235</f>
        <v>0</v>
      </c>
      <c r="BL235" s="422">
        <f>BB235+BE235+BG235+BJ235</f>
        <v>0</v>
      </c>
      <c r="BM235" s="611">
        <f>SUM(BK235:BL235)</f>
        <v>0</v>
      </c>
      <c r="BN235" s="428">
        <f>I235+AZ235</f>
        <v>3414418</v>
      </c>
      <c r="BO235" s="421">
        <f>J235+AH235</f>
        <v>2526613</v>
      </c>
      <c r="BP235" s="421">
        <f t="shared" ref="BP235:BQ237" si="848">K235+AF235</f>
        <v>2304821</v>
      </c>
      <c r="BQ235" s="421">
        <f t="shared" si="848"/>
        <v>221792</v>
      </c>
      <c r="BR235" s="421">
        <f>M235+AQ235</f>
        <v>0</v>
      </c>
      <c r="BS235" s="421">
        <f t="shared" ref="BS235:BT237" si="849">N235+AO235</f>
        <v>0</v>
      </c>
      <c r="BT235" s="421">
        <f t="shared" si="849"/>
        <v>0</v>
      </c>
      <c r="BU235" s="421">
        <f t="shared" ref="BU235:BV237" si="850">P235+AU235</f>
        <v>853995</v>
      </c>
      <c r="BV235" s="421">
        <f t="shared" si="850"/>
        <v>25266</v>
      </c>
      <c r="BW235" s="421">
        <f>R235+AY235</f>
        <v>8544</v>
      </c>
      <c r="BX235" s="422">
        <f>S235+BM235</f>
        <v>4.9724999999999993</v>
      </c>
      <c r="BY235" s="422">
        <f t="shared" ref="BY235:BZ237" si="851">T235+BK235</f>
        <v>4.2257999999999996</v>
      </c>
      <c r="BZ235" s="611">
        <f t="shared" si="851"/>
        <v>0.74669999999999992</v>
      </c>
      <c r="CA235" s="423"/>
      <c r="CB235" s="418"/>
      <c r="CC235" s="418"/>
      <c r="CD235" s="418"/>
      <c r="CE235" s="418"/>
      <c r="CF235" s="527"/>
    </row>
    <row r="236" spans="1:84" s="222" customFormat="1" ht="12.75" customHeight="1" x14ac:dyDescent="0.2">
      <c r="A236" s="210">
        <v>43</v>
      </c>
      <c r="B236" s="211">
        <v>4424</v>
      </c>
      <c r="C236" s="211">
        <v>600074170</v>
      </c>
      <c r="D236" s="211">
        <v>72741562</v>
      </c>
      <c r="E236" s="209" t="s">
        <v>226</v>
      </c>
      <c r="F236" s="211">
        <v>3111</v>
      </c>
      <c r="G236" s="165" t="s">
        <v>292</v>
      </c>
      <c r="H236" s="699" t="s">
        <v>272</v>
      </c>
      <c r="I236" s="528">
        <f t="shared" si="841"/>
        <v>0</v>
      </c>
      <c r="J236" s="418">
        <f>K236+L236</f>
        <v>0</v>
      </c>
      <c r="K236" s="418">
        <v>0</v>
      </c>
      <c r="L236" s="418">
        <v>0</v>
      </c>
      <c r="M236" s="418">
        <f>N236+O236</f>
        <v>0</v>
      </c>
      <c r="N236" s="418"/>
      <c r="O236" s="418"/>
      <c r="P236" s="68">
        <f t="shared" si="842"/>
        <v>0</v>
      </c>
      <c r="Q236" s="68">
        <f t="shared" si="843"/>
        <v>0</v>
      </c>
      <c r="R236" s="418">
        <v>0</v>
      </c>
      <c r="S236" s="419">
        <f>T236+U236</f>
        <v>0</v>
      </c>
      <c r="T236" s="420">
        <v>0</v>
      </c>
      <c r="U236" s="527">
        <v>0</v>
      </c>
      <c r="V236" s="427">
        <f t="shared" si="844"/>
        <v>0</v>
      </c>
      <c r="W236" s="421">
        <f t="shared" si="844"/>
        <v>0</v>
      </c>
      <c r="X236" s="421">
        <v>0</v>
      </c>
      <c r="Y236" s="421">
        <v>0</v>
      </c>
      <c r="Z236" s="421">
        <v>0</v>
      </c>
      <c r="AA236" s="421">
        <v>0</v>
      </c>
      <c r="AB236" s="421">
        <v>0</v>
      </c>
      <c r="AC236" s="421">
        <v>0</v>
      </c>
      <c r="AD236" s="421">
        <v>0</v>
      </c>
      <c r="AE236" s="421">
        <v>0</v>
      </c>
      <c r="AF236" s="421">
        <f>V236+X236+Y236+AA236+AB236+AD236</f>
        <v>0</v>
      </c>
      <c r="AG236" s="421">
        <f>W236+Z236+AC236+AE236</f>
        <v>0</v>
      </c>
      <c r="AH236" s="421">
        <f>SUM(AF236:AG236)</f>
        <v>0</v>
      </c>
      <c r="AI236" s="421">
        <v>0</v>
      </c>
      <c r="AJ236" s="421">
        <v>0</v>
      </c>
      <c r="AK236" s="421">
        <v>0</v>
      </c>
      <c r="AL236" s="421">
        <v>0</v>
      </c>
      <c r="AM236" s="421">
        <v>0</v>
      </c>
      <c r="AN236" s="421">
        <v>0</v>
      </c>
      <c r="AO236" s="421">
        <f t="shared" si="845"/>
        <v>0</v>
      </c>
      <c r="AP236" s="421">
        <f>AJ236+AN236</f>
        <v>0</v>
      </c>
      <c r="AQ236" s="421">
        <f>SUM(AO236:AP236)</f>
        <v>0</v>
      </c>
      <c r="AR236" s="421">
        <f t="shared" si="846"/>
        <v>0</v>
      </c>
      <c r="AS236" s="421">
        <f t="shared" si="846"/>
        <v>0</v>
      </c>
      <c r="AT236" s="421">
        <f>SUM(AR236:AS236)</f>
        <v>0</v>
      </c>
      <c r="AU236" s="68">
        <f t="shared" si="847"/>
        <v>0</v>
      </c>
      <c r="AV236" s="68">
        <f>ROUND(AH236*1%,0)</f>
        <v>0</v>
      </c>
      <c r="AW236" s="421">
        <v>0</v>
      </c>
      <c r="AX236" s="421">
        <v>0</v>
      </c>
      <c r="AY236" s="421">
        <f>AW236+AX236</f>
        <v>0</v>
      </c>
      <c r="AZ236" s="421">
        <f>AT236+AU236+AV236+AY236</f>
        <v>0</v>
      </c>
      <c r="BA236" s="422">
        <v>0</v>
      </c>
      <c r="BB236" s="422">
        <v>0</v>
      </c>
      <c r="BC236" s="422">
        <v>0</v>
      </c>
      <c r="BD236" s="422">
        <v>0</v>
      </c>
      <c r="BE236" s="422">
        <v>0</v>
      </c>
      <c r="BF236" s="422">
        <v>0</v>
      </c>
      <c r="BG236" s="422">
        <v>0</v>
      </c>
      <c r="BH236" s="422">
        <v>0</v>
      </c>
      <c r="BI236" s="422">
        <v>0</v>
      </c>
      <c r="BJ236" s="422">
        <v>0</v>
      </c>
      <c r="BK236" s="422">
        <f>BA236+BC236+BD236+BF236+BH236+BI236</f>
        <v>0</v>
      </c>
      <c r="BL236" s="422">
        <f>BB236+BE236+BG236+BJ236</f>
        <v>0</v>
      </c>
      <c r="BM236" s="611">
        <f>SUM(BK236:BL236)</f>
        <v>0</v>
      </c>
      <c r="BN236" s="428">
        <f>I236+AZ236</f>
        <v>0</v>
      </c>
      <c r="BO236" s="421">
        <f>J236+AH236</f>
        <v>0</v>
      </c>
      <c r="BP236" s="421">
        <f t="shared" si="848"/>
        <v>0</v>
      </c>
      <c r="BQ236" s="421">
        <f t="shared" si="848"/>
        <v>0</v>
      </c>
      <c r="BR236" s="421">
        <f>M236+AQ236</f>
        <v>0</v>
      </c>
      <c r="BS236" s="421">
        <f t="shared" si="849"/>
        <v>0</v>
      </c>
      <c r="BT236" s="421">
        <f t="shared" si="849"/>
        <v>0</v>
      </c>
      <c r="BU236" s="421">
        <f t="shared" si="850"/>
        <v>0</v>
      </c>
      <c r="BV236" s="421">
        <f t="shared" si="850"/>
        <v>0</v>
      </c>
      <c r="BW236" s="421">
        <f>R236+AY236</f>
        <v>0</v>
      </c>
      <c r="BX236" s="422">
        <f>S236+BM236</f>
        <v>0</v>
      </c>
      <c r="BY236" s="422">
        <f t="shared" si="851"/>
        <v>0</v>
      </c>
      <c r="BZ236" s="611">
        <f t="shared" si="851"/>
        <v>0</v>
      </c>
      <c r="CA236" s="423"/>
      <c r="CB236" s="418"/>
      <c r="CC236" s="418"/>
      <c r="CD236" s="418"/>
      <c r="CE236" s="418"/>
      <c r="CF236" s="527"/>
    </row>
    <row r="237" spans="1:84" s="222" customFormat="1" ht="12.75" customHeight="1" x14ac:dyDescent="0.2">
      <c r="A237" s="210">
        <v>43</v>
      </c>
      <c r="B237" s="211">
        <v>4424</v>
      </c>
      <c r="C237" s="211">
        <v>600074170</v>
      </c>
      <c r="D237" s="211">
        <v>72741562</v>
      </c>
      <c r="E237" s="209" t="s">
        <v>226</v>
      </c>
      <c r="F237" s="211">
        <v>3141</v>
      </c>
      <c r="G237" s="165" t="s">
        <v>295</v>
      </c>
      <c r="H237" s="699" t="s">
        <v>272</v>
      </c>
      <c r="I237" s="528">
        <f t="shared" si="841"/>
        <v>640854</v>
      </c>
      <c r="J237" s="418">
        <f>K237+L237</f>
        <v>473542</v>
      </c>
      <c r="K237" s="418">
        <v>0</v>
      </c>
      <c r="L237" s="418">
        <v>473542</v>
      </c>
      <c r="M237" s="418">
        <f>N237+O237</f>
        <v>0</v>
      </c>
      <c r="N237" s="418"/>
      <c r="O237" s="418"/>
      <c r="P237" s="68">
        <f t="shared" si="842"/>
        <v>160057</v>
      </c>
      <c r="Q237" s="68">
        <f t="shared" si="843"/>
        <v>4735</v>
      </c>
      <c r="R237" s="418">
        <v>2520</v>
      </c>
      <c r="S237" s="419">
        <f>T237+U237</f>
        <v>1.42</v>
      </c>
      <c r="T237" s="420">
        <v>0</v>
      </c>
      <c r="U237" s="527">
        <v>1.42</v>
      </c>
      <c r="V237" s="427">
        <f t="shared" si="844"/>
        <v>0</v>
      </c>
      <c r="W237" s="421">
        <f t="shared" si="844"/>
        <v>0</v>
      </c>
      <c r="X237" s="421">
        <v>0</v>
      </c>
      <c r="Y237" s="421">
        <v>0</v>
      </c>
      <c r="Z237" s="421">
        <v>0</v>
      </c>
      <c r="AA237" s="421">
        <v>0</v>
      </c>
      <c r="AB237" s="421">
        <v>0</v>
      </c>
      <c r="AC237" s="421">
        <v>0</v>
      </c>
      <c r="AD237" s="421">
        <v>0</v>
      </c>
      <c r="AE237" s="421">
        <v>0</v>
      </c>
      <c r="AF237" s="421">
        <f>V237+X237+Y237+AA237+AB237+AD237</f>
        <v>0</v>
      </c>
      <c r="AG237" s="421">
        <f>W237+Z237+AC237+AE237</f>
        <v>0</v>
      </c>
      <c r="AH237" s="421">
        <f>SUM(AF237:AG237)</f>
        <v>0</v>
      </c>
      <c r="AI237" s="421">
        <v>0</v>
      </c>
      <c r="AJ237" s="421">
        <v>0</v>
      </c>
      <c r="AK237" s="421">
        <v>0</v>
      </c>
      <c r="AL237" s="421">
        <v>0</v>
      </c>
      <c r="AM237" s="421">
        <v>0</v>
      </c>
      <c r="AN237" s="421">
        <v>0</v>
      </c>
      <c r="AO237" s="421">
        <f t="shared" si="845"/>
        <v>0</v>
      </c>
      <c r="AP237" s="421">
        <f>AJ237+AN237</f>
        <v>0</v>
      </c>
      <c r="AQ237" s="421">
        <f>SUM(AO237:AP237)</f>
        <v>0</v>
      </c>
      <c r="AR237" s="421">
        <f t="shared" si="846"/>
        <v>0</v>
      </c>
      <c r="AS237" s="421">
        <f t="shared" si="846"/>
        <v>0</v>
      </c>
      <c r="AT237" s="421">
        <f>SUM(AR237:AS237)</f>
        <v>0</v>
      </c>
      <c r="AU237" s="68">
        <f t="shared" si="847"/>
        <v>0</v>
      </c>
      <c r="AV237" s="68">
        <f>ROUND(AH237*1%,0)</f>
        <v>0</v>
      </c>
      <c r="AW237" s="421">
        <v>0</v>
      </c>
      <c r="AX237" s="421">
        <v>0</v>
      </c>
      <c r="AY237" s="421">
        <f>AW237+AX237</f>
        <v>0</v>
      </c>
      <c r="AZ237" s="421">
        <f>AT237+AU237+AV237+AY237</f>
        <v>0</v>
      </c>
      <c r="BA237" s="422">
        <v>0</v>
      </c>
      <c r="BB237" s="422">
        <v>0</v>
      </c>
      <c r="BC237" s="422">
        <v>0</v>
      </c>
      <c r="BD237" s="422">
        <v>0</v>
      </c>
      <c r="BE237" s="422">
        <v>0</v>
      </c>
      <c r="BF237" s="422">
        <v>0</v>
      </c>
      <c r="BG237" s="422">
        <v>0</v>
      </c>
      <c r="BH237" s="422">
        <v>0</v>
      </c>
      <c r="BI237" s="422">
        <v>0</v>
      </c>
      <c r="BJ237" s="422">
        <v>0</v>
      </c>
      <c r="BK237" s="422">
        <f>BA237+BC237+BD237+BF237+BH237+BI237</f>
        <v>0</v>
      </c>
      <c r="BL237" s="422">
        <f>BB237+BE237+BG237+BJ237</f>
        <v>0</v>
      </c>
      <c r="BM237" s="611">
        <f>SUM(BK237:BL237)</f>
        <v>0</v>
      </c>
      <c r="BN237" s="428">
        <f>I237+AZ237</f>
        <v>640854</v>
      </c>
      <c r="BO237" s="421">
        <f>J237+AH237</f>
        <v>473542</v>
      </c>
      <c r="BP237" s="421">
        <f t="shared" si="848"/>
        <v>0</v>
      </c>
      <c r="BQ237" s="421">
        <f t="shared" si="848"/>
        <v>473542</v>
      </c>
      <c r="BR237" s="421">
        <f>M237+AQ237</f>
        <v>0</v>
      </c>
      <c r="BS237" s="421">
        <f t="shared" si="849"/>
        <v>0</v>
      </c>
      <c r="BT237" s="421">
        <f t="shared" si="849"/>
        <v>0</v>
      </c>
      <c r="BU237" s="421">
        <f t="shared" si="850"/>
        <v>160057</v>
      </c>
      <c r="BV237" s="421">
        <f t="shared" si="850"/>
        <v>4735</v>
      </c>
      <c r="BW237" s="421">
        <f>R237+AY237</f>
        <v>2520</v>
      </c>
      <c r="BX237" s="422">
        <f>S237+BM237</f>
        <v>1.42</v>
      </c>
      <c r="BY237" s="422">
        <f t="shared" si="851"/>
        <v>0</v>
      </c>
      <c r="BZ237" s="611">
        <f t="shared" si="851"/>
        <v>1.42</v>
      </c>
      <c r="CA237" s="423"/>
      <c r="CB237" s="418"/>
      <c r="CC237" s="418"/>
      <c r="CD237" s="418"/>
      <c r="CE237" s="418"/>
      <c r="CF237" s="527"/>
    </row>
    <row r="238" spans="1:84" s="222" customFormat="1" ht="12.75" customHeight="1" x14ac:dyDescent="0.2">
      <c r="A238" s="155">
        <v>43</v>
      </c>
      <c r="B238" s="18">
        <v>4424</v>
      </c>
      <c r="C238" s="18">
        <v>600074170</v>
      </c>
      <c r="D238" s="18">
        <v>72741562</v>
      </c>
      <c r="E238" s="164" t="s">
        <v>227</v>
      </c>
      <c r="F238" s="18"/>
      <c r="G238" s="154"/>
      <c r="H238" s="685"/>
      <c r="I238" s="458">
        <f t="shared" ref="I238:BU238" si="852">SUM(I235:I237)</f>
        <v>4055272</v>
      </c>
      <c r="J238" s="451">
        <f t="shared" si="852"/>
        <v>3000155</v>
      </c>
      <c r="K238" s="451">
        <f t="shared" si="852"/>
        <v>2304821</v>
      </c>
      <c r="L238" s="451">
        <f t="shared" si="852"/>
        <v>695334</v>
      </c>
      <c r="M238" s="451">
        <f t="shared" si="852"/>
        <v>0</v>
      </c>
      <c r="N238" s="451">
        <f t="shared" si="852"/>
        <v>0</v>
      </c>
      <c r="O238" s="451">
        <f t="shared" si="852"/>
        <v>0</v>
      </c>
      <c r="P238" s="451">
        <f t="shared" si="852"/>
        <v>1014052</v>
      </c>
      <c r="Q238" s="451">
        <f t="shared" si="852"/>
        <v>30001</v>
      </c>
      <c r="R238" s="451">
        <f t="shared" si="852"/>
        <v>11064</v>
      </c>
      <c r="S238" s="452">
        <f t="shared" si="852"/>
        <v>6.3924999999999992</v>
      </c>
      <c r="T238" s="452">
        <f t="shared" si="852"/>
        <v>4.2257999999999996</v>
      </c>
      <c r="U238" s="39">
        <f t="shared" si="852"/>
        <v>2.1666999999999996</v>
      </c>
      <c r="V238" s="458">
        <f t="shared" si="852"/>
        <v>0</v>
      </c>
      <c r="W238" s="451">
        <f t="shared" si="852"/>
        <v>0</v>
      </c>
      <c r="X238" s="451">
        <f t="shared" si="852"/>
        <v>0</v>
      </c>
      <c r="Y238" s="451">
        <f t="shared" si="852"/>
        <v>0</v>
      </c>
      <c r="Z238" s="451">
        <f t="shared" si="852"/>
        <v>0</v>
      </c>
      <c r="AA238" s="451">
        <f t="shared" si="852"/>
        <v>0</v>
      </c>
      <c r="AB238" s="451">
        <f t="shared" si="852"/>
        <v>0</v>
      </c>
      <c r="AC238" s="451">
        <f t="shared" si="852"/>
        <v>0</v>
      </c>
      <c r="AD238" s="451">
        <f t="shared" si="852"/>
        <v>0</v>
      </c>
      <c r="AE238" s="451">
        <f t="shared" si="852"/>
        <v>0</v>
      </c>
      <c r="AF238" s="451">
        <f t="shared" si="852"/>
        <v>0</v>
      </c>
      <c r="AG238" s="451">
        <f t="shared" si="852"/>
        <v>0</v>
      </c>
      <c r="AH238" s="451">
        <f t="shared" si="852"/>
        <v>0</v>
      </c>
      <c r="AI238" s="451">
        <f t="shared" si="852"/>
        <v>0</v>
      </c>
      <c r="AJ238" s="451">
        <f t="shared" si="852"/>
        <v>0</v>
      </c>
      <c r="AK238" s="451">
        <f t="shared" ref="AK238" si="853">SUM(AK235:AK237)</f>
        <v>0</v>
      </c>
      <c r="AL238" s="451">
        <f t="shared" si="852"/>
        <v>0</v>
      </c>
      <c r="AM238" s="451">
        <f t="shared" si="852"/>
        <v>0</v>
      </c>
      <c r="AN238" s="451">
        <f t="shared" si="852"/>
        <v>0</v>
      </c>
      <c r="AO238" s="451">
        <f t="shared" si="852"/>
        <v>0</v>
      </c>
      <c r="AP238" s="451">
        <f t="shared" si="852"/>
        <v>0</v>
      </c>
      <c r="AQ238" s="451">
        <f t="shared" si="852"/>
        <v>0</v>
      </c>
      <c r="AR238" s="451">
        <f t="shared" si="852"/>
        <v>0</v>
      </c>
      <c r="AS238" s="451">
        <f t="shared" si="852"/>
        <v>0</v>
      </c>
      <c r="AT238" s="451">
        <f t="shared" si="852"/>
        <v>0</v>
      </c>
      <c r="AU238" s="451">
        <f t="shared" si="852"/>
        <v>0</v>
      </c>
      <c r="AV238" s="451">
        <f t="shared" si="852"/>
        <v>0</v>
      </c>
      <c r="AW238" s="451">
        <f t="shared" si="852"/>
        <v>0</v>
      </c>
      <c r="AX238" s="451">
        <f t="shared" si="852"/>
        <v>0</v>
      </c>
      <c r="AY238" s="451">
        <f t="shared" si="852"/>
        <v>0</v>
      </c>
      <c r="AZ238" s="451">
        <f t="shared" si="852"/>
        <v>0</v>
      </c>
      <c r="BA238" s="452">
        <f t="shared" si="852"/>
        <v>0</v>
      </c>
      <c r="BB238" s="452">
        <f t="shared" si="852"/>
        <v>0</v>
      </c>
      <c r="BC238" s="452">
        <f t="shared" si="852"/>
        <v>0</v>
      </c>
      <c r="BD238" s="452">
        <f t="shared" si="852"/>
        <v>0</v>
      </c>
      <c r="BE238" s="452">
        <f t="shared" si="852"/>
        <v>0</v>
      </c>
      <c r="BF238" s="452">
        <f t="shared" si="852"/>
        <v>0</v>
      </c>
      <c r="BG238" s="452">
        <f t="shared" si="852"/>
        <v>0</v>
      </c>
      <c r="BH238" s="452">
        <f t="shared" si="852"/>
        <v>0</v>
      </c>
      <c r="BI238" s="452">
        <f t="shared" si="852"/>
        <v>0</v>
      </c>
      <c r="BJ238" s="452">
        <f t="shared" si="852"/>
        <v>0</v>
      </c>
      <c r="BK238" s="452">
        <f t="shared" si="852"/>
        <v>0</v>
      </c>
      <c r="BL238" s="452">
        <f t="shared" si="852"/>
        <v>0</v>
      </c>
      <c r="BM238" s="456">
        <f t="shared" si="852"/>
        <v>0</v>
      </c>
      <c r="BN238" s="454">
        <f t="shared" si="852"/>
        <v>4055272</v>
      </c>
      <c r="BO238" s="451">
        <f t="shared" si="852"/>
        <v>3000155</v>
      </c>
      <c r="BP238" s="451">
        <f t="shared" si="852"/>
        <v>2304821</v>
      </c>
      <c r="BQ238" s="451">
        <f t="shared" si="852"/>
        <v>695334</v>
      </c>
      <c r="BR238" s="451">
        <f t="shared" si="852"/>
        <v>0</v>
      </c>
      <c r="BS238" s="451">
        <f t="shared" si="852"/>
        <v>0</v>
      </c>
      <c r="BT238" s="451">
        <f t="shared" si="852"/>
        <v>0</v>
      </c>
      <c r="BU238" s="451">
        <f t="shared" si="852"/>
        <v>1014052</v>
      </c>
      <c r="BV238" s="451">
        <f t="shared" ref="BV238:CF238" si="854">SUM(BV235:BV237)</f>
        <v>30001</v>
      </c>
      <c r="BW238" s="451">
        <f t="shared" si="854"/>
        <v>11064</v>
      </c>
      <c r="BX238" s="452">
        <f t="shared" si="854"/>
        <v>6.3924999999999992</v>
      </c>
      <c r="BY238" s="452">
        <f t="shared" si="854"/>
        <v>4.2257999999999996</v>
      </c>
      <c r="BZ238" s="456">
        <f t="shared" si="854"/>
        <v>2.1666999999999996</v>
      </c>
      <c r="CA238" s="854">
        <f t="shared" si="854"/>
        <v>0</v>
      </c>
      <c r="CB238" s="852">
        <f t="shared" si="854"/>
        <v>0</v>
      </c>
      <c r="CC238" s="852">
        <f t="shared" si="854"/>
        <v>0</v>
      </c>
      <c r="CD238" s="852">
        <f t="shared" si="854"/>
        <v>0</v>
      </c>
      <c r="CE238" s="852">
        <f t="shared" si="854"/>
        <v>0</v>
      </c>
      <c r="CF238" s="848">
        <f t="shared" si="854"/>
        <v>0</v>
      </c>
    </row>
    <row r="239" spans="1:84" s="222" customFormat="1" ht="12.75" customHeight="1" x14ac:dyDescent="0.2">
      <c r="A239" s="210">
        <v>44</v>
      </c>
      <c r="B239" s="211">
        <v>4489</v>
      </c>
      <c r="C239" s="211">
        <v>600075036</v>
      </c>
      <c r="D239" s="211">
        <v>72742607</v>
      </c>
      <c r="E239" s="209" t="s">
        <v>228</v>
      </c>
      <c r="F239" s="211">
        <v>3111</v>
      </c>
      <c r="G239" s="165" t="s">
        <v>291</v>
      </c>
      <c r="H239" s="699" t="s">
        <v>271</v>
      </c>
      <c r="I239" s="528">
        <f t="shared" ref="I239:I244" si="855">J239+P239+Q239+R239</f>
        <v>3370399</v>
      </c>
      <c r="J239" s="418">
        <f t="shared" ref="J239:J244" si="856">K239+L239</f>
        <v>2491779</v>
      </c>
      <c r="K239" s="418">
        <v>2358643</v>
      </c>
      <c r="L239" s="418">
        <v>133136</v>
      </c>
      <c r="M239" s="418">
        <f t="shared" ref="M239:M244" si="857">N239+O239</f>
        <v>0</v>
      </c>
      <c r="N239" s="418"/>
      <c r="O239" s="418"/>
      <c r="P239" s="68">
        <f t="shared" ref="P239:P244" si="858">ROUND(J239*33.8%,0)</f>
        <v>842221</v>
      </c>
      <c r="Q239" s="68">
        <f t="shared" ref="Q239:Q244" si="859">ROUND(J239*1%,0)</f>
        <v>24918</v>
      </c>
      <c r="R239" s="418">
        <v>11481</v>
      </c>
      <c r="S239" s="419">
        <f t="shared" ref="S239:S244" si="860">T239+U239</f>
        <v>4.5334000000000003</v>
      </c>
      <c r="T239" s="420">
        <v>4</v>
      </c>
      <c r="U239" s="527">
        <v>0.53339999999999999</v>
      </c>
      <c r="V239" s="427">
        <f t="shared" ref="V239:W244" si="861">AI239*-1</f>
        <v>0</v>
      </c>
      <c r="W239" s="421">
        <f t="shared" si="861"/>
        <v>0</v>
      </c>
      <c r="X239" s="421">
        <v>0</v>
      </c>
      <c r="Y239" s="421">
        <v>0</v>
      </c>
      <c r="Z239" s="421">
        <v>0</v>
      </c>
      <c r="AA239" s="421">
        <v>0</v>
      </c>
      <c r="AB239" s="421">
        <v>0</v>
      </c>
      <c r="AC239" s="421">
        <v>0</v>
      </c>
      <c r="AD239" s="421">
        <v>0</v>
      </c>
      <c r="AE239" s="421">
        <v>0</v>
      </c>
      <c r="AF239" s="421">
        <f t="shared" ref="AF239:AF244" si="862">V239+X239+Y239+AA239+AB239+AD239</f>
        <v>0</v>
      </c>
      <c r="AG239" s="421">
        <f t="shared" ref="AG239:AG244" si="863">W239+Z239+AC239+AE239</f>
        <v>0</v>
      </c>
      <c r="AH239" s="421">
        <f t="shared" ref="AH239:AH244" si="864">SUM(AF239:AG239)</f>
        <v>0</v>
      </c>
      <c r="AI239" s="421">
        <v>0</v>
      </c>
      <c r="AJ239" s="421">
        <v>0</v>
      </c>
      <c r="AK239" s="421">
        <v>0</v>
      </c>
      <c r="AL239" s="421">
        <v>0</v>
      </c>
      <c r="AM239" s="421">
        <v>0</v>
      </c>
      <c r="AN239" s="421">
        <v>0</v>
      </c>
      <c r="AO239" s="421">
        <f t="shared" ref="AO239:AO244" si="865">AI239+AK239+AL239+AM239</f>
        <v>0</v>
      </c>
      <c r="AP239" s="421">
        <f t="shared" ref="AP239:AP244" si="866">AJ239+AN239</f>
        <v>0</v>
      </c>
      <c r="AQ239" s="421">
        <f t="shared" ref="AQ239:AQ244" si="867">SUM(AO239:AP239)</f>
        <v>0</v>
      </c>
      <c r="AR239" s="421">
        <f t="shared" ref="AR239:AS244" si="868">AF239+AO239</f>
        <v>0</v>
      </c>
      <c r="AS239" s="421">
        <f t="shared" si="868"/>
        <v>0</v>
      </c>
      <c r="AT239" s="421">
        <f t="shared" ref="AT239:AT244" si="869">SUM(AR239:AS239)</f>
        <v>0</v>
      </c>
      <c r="AU239" s="68">
        <f t="shared" ref="AU239:AU244" si="870">ROUND((AH239+AI239+AJ239+AK239+AL239)*33.8%,0)</f>
        <v>0</v>
      </c>
      <c r="AV239" s="68">
        <f t="shared" ref="AV239:AV244" si="871">ROUND(AH239*1%,0)</f>
        <v>0</v>
      </c>
      <c r="AW239" s="421">
        <v>0</v>
      </c>
      <c r="AX239" s="421">
        <v>0</v>
      </c>
      <c r="AY239" s="421">
        <f t="shared" ref="AY239:AY244" si="872">AW239+AX239</f>
        <v>0</v>
      </c>
      <c r="AZ239" s="421">
        <f t="shared" ref="AZ239:AZ244" si="873">AT239+AU239+AV239+AY239</f>
        <v>0</v>
      </c>
      <c r="BA239" s="422">
        <v>0</v>
      </c>
      <c r="BB239" s="422">
        <v>0</v>
      </c>
      <c r="BC239" s="422">
        <v>0</v>
      </c>
      <c r="BD239" s="422">
        <v>0</v>
      </c>
      <c r="BE239" s="422">
        <v>0</v>
      </c>
      <c r="BF239" s="422">
        <v>0</v>
      </c>
      <c r="BG239" s="422">
        <v>0</v>
      </c>
      <c r="BH239" s="422">
        <v>0</v>
      </c>
      <c r="BI239" s="422">
        <v>0</v>
      </c>
      <c r="BJ239" s="422">
        <v>0</v>
      </c>
      <c r="BK239" s="422">
        <f t="shared" ref="BK239:BK244" si="874">BA239+BC239+BD239+BF239+BH239+BI239</f>
        <v>0</v>
      </c>
      <c r="BL239" s="422">
        <f t="shared" ref="BL239:BL244" si="875">BB239+BE239+BG239+BJ239</f>
        <v>0</v>
      </c>
      <c r="BM239" s="611">
        <f t="shared" ref="BM239:BM244" si="876">SUM(BK239:BL239)</f>
        <v>0</v>
      </c>
      <c r="BN239" s="428">
        <f t="shared" ref="BN239:BN244" si="877">I239+AZ239</f>
        <v>3370399</v>
      </c>
      <c r="BO239" s="421">
        <f t="shared" ref="BO239:BO244" si="878">J239+AH239</f>
        <v>2491779</v>
      </c>
      <c r="BP239" s="421">
        <f t="shared" ref="BP239:BQ244" si="879">K239+AF239</f>
        <v>2358643</v>
      </c>
      <c r="BQ239" s="421">
        <f t="shared" si="879"/>
        <v>133136</v>
      </c>
      <c r="BR239" s="421">
        <f t="shared" ref="BR239:BR244" si="880">M239+AQ239</f>
        <v>0</v>
      </c>
      <c r="BS239" s="421">
        <f t="shared" ref="BS239:BT244" si="881">N239+AO239</f>
        <v>0</v>
      </c>
      <c r="BT239" s="421">
        <f t="shared" si="881"/>
        <v>0</v>
      </c>
      <c r="BU239" s="421">
        <f t="shared" ref="BU239:BV244" si="882">P239+AU239</f>
        <v>842221</v>
      </c>
      <c r="BV239" s="421">
        <f t="shared" si="882"/>
        <v>24918</v>
      </c>
      <c r="BW239" s="421">
        <f t="shared" ref="BW239:BW244" si="883">R239+AY239</f>
        <v>11481</v>
      </c>
      <c r="BX239" s="422">
        <f t="shared" ref="BX239:BX244" si="884">S239+BM239</f>
        <v>4.5334000000000003</v>
      </c>
      <c r="BY239" s="422">
        <f t="shared" ref="BY239:BZ244" si="885">T239+BK239</f>
        <v>4</v>
      </c>
      <c r="BZ239" s="611">
        <f t="shared" si="885"/>
        <v>0.53339999999999999</v>
      </c>
      <c r="CA239" s="423"/>
      <c r="CB239" s="418"/>
      <c r="CC239" s="418"/>
      <c r="CD239" s="418"/>
      <c r="CE239" s="418"/>
      <c r="CF239" s="527"/>
    </row>
    <row r="240" spans="1:84" s="222" customFormat="1" ht="12.75" customHeight="1" x14ac:dyDescent="0.2">
      <c r="A240" s="210">
        <v>44</v>
      </c>
      <c r="B240" s="211">
        <v>4489</v>
      </c>
      <c r="C240" s="211">
        <v>600075036</v>
      </c>
      <c r="D240" s="211">
        <v>72742607</v>
      </c>
      <c r="E240" s="209" t="s">
        <v>228</v>
      </c>
      <c r="F240" s="211">
        <v>3117</v>
      </c>
      <c r="G240" s="165" t="s">
        <v>294</v>
      </c>
      <c r="H240" s="699" t="s">
        <v>271</v>
      </c>
      <c r="I240" s="528">
        <f t="shared" si="855"/>
        <v>3761781</v>
      </c>
      <c r="J240" s="418">
        <f t="shared" si="856"/>
        <v>2749109</v>
      </c>
      <c r="K240" s="418">
        <v>2391765</v>
      </c>
      <c r="L240" s="418">
        <v>357344</v>
      </c>
      <c r="M240" s="418">
        <f t="shared" si="857"/>
        <v>0</v>
      </c>
      <c r="N240" s="418"/>
      <c r="O240" s="418"/>
      <c r="P240" s="68">
        <f t="shared" si="858"/>
        <v>929199</v>
      </c>
      <c r="Q240" s="68">
        <f t="shared" si="859"/>
        <v>27491</v>
      </c>
      <c r="R240" s="418">
        <v>55982</v>
      </c>
      <c r="S240" s="419">
        <f t="shared" si="860"/>
        <v>4.8690999999999995</v>
      </c>
      <c r="T240" s="420">
        <v>3.9089999999999998</v>
      </c>
      <c r="U240" s="527">
        <v>0.96009999999999995</v>
      </c>
      <c r="V240" s="427">
        <f t="shared" si="861"/>
        <v>-23040</v>
      </c>
      <c r="W240" s="421">
        <f t="shared" si="861"/>
        <v>0</v>
      </c>
      <c r="X240" s="421">
        <v>0</v>
      </c>
      <c r="Y240" s="421">
        <v>0</v>
      </c>
      <c r="Z240" s="421">
        <v>0</v>
      </c>
      <c r="AA240" s="421">
        <v>0</v>
      </c>
      <c r="AB240" s="421">
        <v>0</v>
      </c>
      <c r="AC240" s="421">
        <v>0</v>
      </c>
      <c r="AD240" s="421">
        <v>0</v>
      </c>
      <c r="AE240" s="421">
        <v>0</v>
      </c>
      <c r="AF240" s="421">
        <f t="shared" si="862"/>
        <v>-23040</v>
      </c>
      <c r="AG240" s="421">
        <f t="shared" si="863"/>
        <v>0</v>
      </c>
      <c r="AH240" s="421">
        <f t="shared" si="864"/>
        <v>-23040</v>
      </c>
      <c r="AI240" s="421">
        <v>23040</v>
      </c>
      <c r="AJ240" s="421">
        <v>0</v>
      </c>
      <c r="AK240" s="421">
        <v>0</v>
      </c>
      <c r="AL240" s="421">
        <v>0</v>
      </c>
      <c r="AM240" s="421">
        <v>0</v>
      </c>
      <c r="AN240" s="421">
        <v>0</v>
      </c>
      <c r="AO240" s="421">
        <f t="shared" si="865"/>
        <v>23040</v>
      </c>
      <c r="AP240" s="421">
        <f t="shared" si="866"/>
        <v>0</v>
      </c>
      <c r="AQ240" s="421">
        <f t="shared" si="867"/>
        <v>23040</v>
      </c>
      <c r="AR240" s="421">
        <f t="shared" si="868"/>
        <v>0</v>
      </c>
      <c r="AS240" s="421">
        <f t="shared" si="868"/>
        <v>0</v>
      </c>
      <c r="AT240" s="421">
        <f t="shared" si="869"/>
        <v>0</v>
      </c>
      <c r="AU240" s="68">
        <f t="shared" si="870"/>
        <v>0</v>
      </c>
      <c r="AV240" s="68">
        <f t="shared" si="871"/>
        <v>-230</v>
      </c>
      <c r="AW240" s="421">
        <v>0</v>
      </c>
      <c r="AX240" s="421">
        <v>0</v>
      </c>
      <c r="AY240" s="421">
        <f t="shared" si="872"/>
        <v>0</v>
      </c>
      <c r="AZ240" s="421">
        <f t="shared" si="873"/>
        <v>-230</v>
      </c>
      <c r="BA240" s="422">
        <v>-0.04</v>
      </c>
      <c r="BB240" s="422">
        <v>0</v>
      </c>
      <c r="BC240" s="422">
        <v>0</v>
      </c>
      <c r="BD240" s="422">
        <v>0</v>
      </c>
      <c r="BE240" s="422">
        <v>0</v>
      </c>
      <c r="BF240" s="422">
        <v>0</v>
      </c>
      <c r="BG240" s="422">
        <v>0</v>
      </c>
      <c r="BH240" s="422">
        <v>0</v>
      </c>
      <c r="BI240" s="422">
        <v>0</v>
      </c>
      <c r="BJ240" s="422">
        <v>0</v>
      </c>
      <c r="BK240" s="422">
        <f t="shared" si="874"/>
        <v>-0.04</v>
      </c>
      <c r="BL240" s="422">
        <f t="shared" si="875"/>
        <v>0</v>
      </c>
      <c r="BM240" s="611">
        <f t="shared" si="876"/>
        <v>-0.04</v>
      </c>
      <c r="BN240" s="428">
        <f t="shared" si="877"/>
        <v>3761551</v>
      </c>
      <c r="BO240" s="421">
        <f t="shared" si="878"/>
        <v>2726069</v>
      </c>
      <c r="BP240" s="421">
        <f t="shared" si="879"/>
        <v>2368725</v>
      </c>
      <c r="BQ240" s="421">
        <f t="shared" si="879"/>
        <v>357344</v>
      </c>
      <c r="BR240" s="421">
        <f t="shared" si="880"/>
        <v>23040</v>
      </c>
      <c r="BS240" s="421">
        <f t="shared" si="881"/>
        <v>23040</v>
      </c>
      <c r="BT240" s="421">
        <f t="shared" si="881"/>
        <v>0</v>
      </c>
      <c r="BU240" s="421">
        <f t="shared" si="882"/>
        <v>929199</v>
      </c>
      <c r="BV240" s="421">
        <f t="shared" si="882"/>
        <v>27261</v>
      </c>
      <c r="BW240" s="421">
        <f t="shared" si="883"/>
        <v>55982</v>
      </c>
      <c r="BX240" s="422">
        <f t="shared" si="884"/>
        <v>4.8290999999999995</v>
      </c>
      <c r="BY240" s="422">
        <f t="shared" si="885"/>
        <v>3.8689999999999998</v>
      </c>
      <c r="BZ240" s="611">
        <f t="shared" si="885"/>
        <v>0.96009999999999995</v>
      </c>
      <c r="CA240" s="423"/>
      <c r="CB240" s="418"/>
      <c r="CC240" s="418"/>
      <c r="CD240" s="418"/>
      <c r="CE240" s="418"/>
      <c r="CF240" s="527"/>
    </row>
    <row r="241" spans="1:84" s="222" customFormat="1" ht="12.75" customHeight="1" x14ac:dyDescent="0.2">
      <c r="A241" s="210">
        <v>44</v>
      </c>
      <c r="B241" s="211">
        <v>4489</v>
      </c>
      <c r="C241" s="211">
        <v>600075036</v>
      </c>
      <c r="D241" s="211">
        <v>72742607</v>
      </c>
      <c r="E241" s="209" t="s">
        <v>228</v>
      </c>
      <c r="F241" s="211">
        <v>3117</v>
      </c>
      <c r="G241" s="165" t="s">
        <v>292</v>
      </c>
      <c r="H241" s="699" t="s">
        <v>272</v>
      </c>
      <c r="I241" s="528">
        <f t="shared" si="855"/>
        <v>0</v>
      </c>
      <c r="J241" s="418">
        <f t="shared" si="856"/>
        <v>0</v>
      </c>
      <c r="K241" s="418">
        <v>0</v>
      </c>
      <c r="L241" s="418">
        <v>0</v>
      </c>
      <c r="M241" s="418">
        <f t="shared" si="857"/>
        <v>0</v>
      </c>
      <c r="N241" s="418"/>
      <c r="O241" s="418"/>
      <c r="P241" s="68">
        <f t="shared" si="858"/>
        <v>0</v>
      </c>
      <c r="Q241" s="68">
        <f t="shared" si="859"/>
        <v>0</v>
      </c>
      <c r="R241" s="418">
        <v>0</v>
      </c>
      <c r="S241" s="419">
        <f t="shared" si="860"/>
        <v>0</v>
      </c>
      <c r="T241" s="420">
        <v>0</v>
      </c>
      <c r="U241" s="527">
        <v>0</v>
      </c>
      <c r="V241" s="427">
        <f t="shared" si="861"/>
        <v>0</v>
      </c>
      <c r="W241" s="421">
        <f t="shared" si="861"/>
        <v>0</v>
      </c>
      <c r="X241" s="421">
        <v>1112404</v>
      </c>
      <c r="Y241" s="421">
        <v>0</v>
      </c>
      <c r="Z241" s="421">
        <v>0</v>
      </c>
      <c r="AA241" s="421">
        <v>0</v>
      </c>
      <c r="AB241" s="421">
        <v>0</v>
      </c>
      <c r="AC241" s="421">
        <v>0</v>
      </c>
      <c r="AD241" s="421">
        <v>0</v>
      </c>
      <c r="AE241" s="421">
        <v>0</v>
      </c>
      <c r="AF241" s="421">
        <f t="shared" si="862"/>
        <v>1112404</v>
      </c>
      <c r="AG241" s="421">
        <f t="shared" si="863"/>
        <v>0</v>
      </c>
      <c r="AH241" s="421">
        <f t="shared" si="864"/>
        <v>1112404</v>
      </c>
      <c r="AI241" s="421">
        <v>0</v>
      </c>
      <c r="AJ241" s="421">
        <v>0</v>
      </c>
      <c r="AK241" s="421">
        <v>0</v>
      </c>
      <c r="AL241" s="421">
        <v>0</v>
      </c>
      <c r="AM241" s="421">
        <v>0</v>
      </c>
      <c r="AN241" s="421">
        <v>0</v>
      </c>
      <c r="AO241" s="421">
        <f t="shared" si="865"/>
        <v>0</v>
      </c>
      <c r="AP241" s="421">
        <f t="shared" si="866"/>
        <v>0</v>
      </c>
      <c r="AQ241" s="421">
        <f t="shared" si="867"/>
        <v>0</v>
      </c>
      <c r="AR241" s="421">
        <f t="shared" si="868"/>
        <v>1112404</v>
      </c>
      <c r="AS241" s="421">
        <f t="shared" si="868"/>
        <v>0</v>
      </c>
      <c r="AT241" s="421">
        <f t="shared" si="869"/>
        <v>1112404</v>
      </c>
      <c r="AU241" s="68">
        <f t="shared" si="870"/>
        <v>375993</v>
      </c>
      <c r="AV241" s="68">
        <f t="shared" si="871"/>
        <v>11124</v>
      </c>
      <c r="AW241" s="421">
        <v>0</v>
      </c>
      <c r="AX241" s="421">
        <v>0</v>
      </c>
      <c r="AY241" s="421">
        <f t="shared" si="872"/>
        <v>0</v>
      </c>
      <c r="AZ241" s="421">
        <f t="shared" si="873"/>
        <v>1499521</v>
      </c>
      <c r="BA241" s="422">
        <v>0</v>
      </c>
      <c r="BB241" s="422">
        <v>0</v>
      </c>
      <c r="BC241" s="422">
        <v>3</v>
      </c>
      <c r="BD241" s="422">
        <v>0</v>
      </c>
      <c r="BE241" s="422">
        <v>0</v>
      </c>
      <c r="BF241" s="422">
        <v>0</v>
      </c>
      <c r="BG241" s="422">
        <v>0</v>
      </c>
      <c r="BH241" s="422">
        <v>0</v>
      </c>
      <c r="BI241" s="422">
        <v>0</v>
      </c>
      <c r="BJ241" s="422">
        <v>0</v>
      </c>
      <c r="BK241" s="422">
        <f t="shared" si="874"/>
        <v>3</v>
      </c>
      <c r="BL241" s="422">
        <f t="shared" si="875"/>
        <v>0</v>
      </c>
      <c r="BM241" s="611">
        <f t="shared" si="876"/>
        <v>3</v>
      </c>
      <c r="BN241" s="428">
        <f t="shared" si="877"/>
        <v>1499521</v>
      </c>
      <c r="BO241" s="421">
        <f t="shared" si="878"/>
        <v>1112404</v>
      </c>
      <c r="BP241" s="421">
        <f t="shared" si="879"/>
        <v>1112404</v>
      </c>
      <c r="BQ241" s="421">
        <f t="shared" si="879"/>
        <v>0</v>
      </c>
      <c r="BR241" s="421">
        <f t="shared" si="880"/>
        <v>0</v>
      </c>
      <c r="BS241" s="421">
        <f t="shared" si="881"/>
        <v>0</v>
      </c>
      <c r="BT241" s="421">
        <f t="shared" si="881"/>
        <v>0</v>
      </c>
      <c r="BU241" s="421">
        <f t="shared" si="882"/>
        <v>375993</v>
      </c>
      <c r="BV241" s="421">
        <f t="shared" si="882"/>
        <v>11124</v>
      </c>
      <c r="BW241" s="421">
        <f t="shared" si="883"/>
        <v>0</v>
      </c>
      <c r="BX241" s="422">
        <f t="shared" si="884"/>
        <v>3</v>
      </c>
      <c r="BY241" s="422">
        <f t="shared" si="885"/>
        <v>3</v>
      </c>
      <c r="BZ241" s="611">
        <f t="shared" si="885"/>
        <v>0</v>
      </c>
      <c r="CA241" s="423"/>
      <c r="CB241" s="418"/>
      <c r="CC241" s="418"/>
      <c r="CD241" s="418"/>
      <c r="CE241" s="418"/>
      <c r="CF241" s="527"/>
    </row>
    <row r="242" spans="1:84" s="222" customFormat="1" ht="12.75" customHeight="1" x14ac:dyDescent="0.2">
      <c r="A242" s="210">
        <v>44</v>
      </c>
      <c r="B242" s="211">
        <v>4489</v>
      </c>
      <c r="C242" s="211">
        <v>600075036</v>
      </c>
      <c r="D242" s="211">
        <v>72742607</v>
      </c>
      <c r="E242" s="209" t="s">
        <v>228</v>
      </c>
      <c r="F242" s="211">
        <v>3141</v>
      </c>
      <c r="G242" s="165" t="s">
        <v>295</v>
      </c>
      <c r="H242" s="699" t="s">
        <v>272</v>
      </c>
      <c r="I242" s="528">
        <f t="shared" si="855"/>
        <v>682935</v>
      </c>
      <c r="J242" s="418">
        <f t="shared" si="856"/>
        <v>504655</v>
      </c>
      <c r="K242" s="418">
        <v>0</v>
      </c>
      <c r="L242" s="418">
        <v>504655</v>
      </c>
      <c r="M242" s="418">
        <f t="shared" si="857"/>
        <v>0</v>
      </c>
      <c r="N242" s="418"/>
      <c r="O242" s="418"/>
      <c r="P242" s="68">
        <f t="shared" si="858"/>
        <v>170573</v>
      </c>
      <c r="Q242" s="68">
        <f t="shared" si="859"/>
        <v>5047</v>
      </c>
      <c r="R242" s="418">
        <v>2660</v>
      </c>
      <c r="S242" s="419">
        <f t="shared" si="860"/>
        <v>1.51</v>
      </c>
      <c r="T242" s="420">
        <v>0</v>
      </c>
      <c r="U242" s="527">
        <v>1.51</v>
      </c>
      <c r="V242" s="427">
        <f t="shared" si="861"/>
        <v>0</v>
      </c>
      <c r="W242" s="421">
        <f t="shared" si="861"/>
        <v>-10240</v>
      </c>
      <c r="X242" s="421">
        <v>0</v>
      </c>
      <c r="Y242" s="421">
        <v>0</v>
      </c>
      <c r="Z242" s="421">
        <v>0</v>
      </c>
      <c r="AA242" s="421">
        <v>0</v>
      </c>
      <c r="AB242" s="421">
        <v>0</v>
      </c>
      <c r="AC242" s="421">
        <v>0</v>
      </c>
      <c r="AD242" s="421">
        <v>0</v>
      </c>
      <c r="AE242" s="421">
        <v>0</v>
      </c>
      <c r="AF242" s="421">
        <f t="shared" si="862"/>
        <v>0</v>
      </c>
      <c r="AG242" s="421">
        <f t="shared" si="863"/>
        <v>-10240</v>
      </c>
      <c r="AH242" s="421">
        <f t="shared" si="864"/>
        <v>-10240</v>
      </c>
      <c r="AI242" s="421">
        <v>0</v>
      </c>
      <c r="AJ242" s="421">
        <v>10240</v>
      </c>
      <c r="AK242" s="421">
        <v>0</v>
      </c>
      <c r="AL242" s="421">
        <v>0</v>
      </c>
      <c r="AM242" s="421">
        <v>0</v>
      </c>
      <c r="AN242" s="421">
        <v>0</v>
      </c>
      <c r="AO242" s="421">
        <f t="shared" si="865"/>
        <v>0</v>
      </c>
      <c r="AP242" s="421">
        <f t="shared" si="866"/>
        <v>10240</v>
      </c>
      <c r="AQ242" s="421">
        <f t="shared" si="867"/>
        <v>10240</v>
      </c>
      <c r="AR242" s="421">
        <f t="shared" si="868"/>
        <v>0</v>
      </c>
      <c r="AS242" s="421">
        <f t="shared" si="868"/>
        <v>0</v>
      </c>
      <c r="AT242" s="421">
        <f t="shared" si="869"/>
        <v>0</v>
      </c>
      <c r="AU242" s="68">
        <f t="shared" si="870"/>
        <v>0</v>
      </c>
      <c r="AV242" s="68">
        <f t="shared" si="871"/>
        <v>-102</v>
      </c>
      <c r="AW242" s="421">
        <v>0</v>
      </c>
      <c r="AX242" s="421">
        <v>0</v>
      </c>
      <c r="AY242" s="421">
        <f t="shared" si="872"/>
        <v>0</v>
      </c>
      <c r="AZ242" s="421">
        <f t="shared" si="873"/>
        <v>-102</v>
      </c>
      <c r="BA242" s="422">
        <v>0</v>
      </c>
      <c r="BB242" s="422">
        <v>0</v>
      </c>
      <c r="BC242" s="422">
        <v>0</v>
      </c>
      <c r="BD242" s="422">
        <v>0</v>
      </c>
      <c r="BE242" s="422">
        <v>0</v>
      </c>
      <c r="BF242" s="422">
        <v>0</v>
      </c>
      <c r="BG242" s="422">
        <v>0</v>
      </c>
      <c r="BH242" s="422">
        <v>0</v>
      </c>
      <c r="BI242" s="422">
        <v>0</v>
      </c>
      <c r="BJ242" s="422">
        <v>0</v>
      </c>
      <c r="BK242" s="422">
        <f t="shared" si="874"/>
        <v>0</v>
      </c>
      <c r="BL242" s="422">
        <f t="shared" si="875"/>
        <v>0</v>
      </c>
      <c r="BM242" s="611">
        <f t="shared" si="876"/>
        <v>0</v>
      </c>
      <c r="BN242" s="428">
        <f t="shared" si="877"/>
        <v>682833</v>
      </c>
      <c r="BO242" s="421">
        <f t="shared" si="878"/>
        <v>494415</v>
      </c>
      <c r="BP242" s="421">
        <f t="shared" si="879"/>
        <v>0</v>
      </c>
      <c r="BQ242" s="421">
        <f t="shared" si="879"/>
        <v>494415</v>
      </c>
      <c r="BR242" s="421">
        <f t="shared" si="880"/>
        <v>10240</v>
      </c>
      <c r="BS242" s="421">
        <f t="shared" si="881"/>
        <v>0</v>
      </c>
      <c r="BT242" s="421">
        <f t="shared" si="881"/>
        <v>10240</v>
      </c>
      <c r="BU242" s="421">
        <f t="shared" si="882"/>
        <v>170573</v>
      </c>
      <c r="BV242" s="421">
        <f t="shared" si="882"/>
        <v>4945</v>
      </c>
      <c r="BW242" s="421">
        <f t="shared" si="883"/>
        <v>2660</v>
      </c>
      <c r="BX242" s="422">
        <f t="shared" si="884"/>
        <v>1.51</v>
      </c>
      <c r="BY242" s="422">
        <f t="shared" si="885"/>
        <v>0</v>
      </c>
      <c r="BZ242" s="611">
        <f t="shared" si="885"/>
        <v>1.51</v>
      </c>
      <c r="CA242" s="423"/>
      <c r="CB242" s="418"/>
      <c r="CC242" s="418"/>
      <c r="CD242" s="418"/>
      <c r="CE242" s="418"/>
      <c r="CF242" s="527"/>
    </row>
    <row r="243" spans="1:84" s="222" customFormat="1" ht="12.75" customHeight="1" x14ac:dyDescent="0.2">
      <c r="A243" s="210">
        <v>44</v>
      </c>
      <c r="B243" s="211">
        <v>4489</v>
      </c>
      <c r="C243" s="211">
        <v>600075036</v>
      </c>
      <c r="D243" s="211">
        <v>72742607</v>
      </c>
      <c r="E243" s="209" t="s">
        <v>228</v>
      </c>
      <c r="F243" s="211">
        <v>3143</v>
      </c>
      <c r="G243" s="165" t="s">
        <v>596</v>
      </c>
      <c r="H243" s="686" t="s">
        <v>271</v>
      </c>
      <c r="I243" s="528">
        <f t="shared" si="855"/>
        <v>1119146</v>
      </c>
      <c r="J243" s="418">
        <f t="shared" si="856"/>
        <v>830227</v>
      </c>
      <c r="K243" s="418">
        <v>830227</v>
      </c>
      <c r="L243" s="418">
        <v>0</v>
      </c>
      <c r="M243" s="418">
        <f t="shared" si="857"/>
        <v>0</v>
      </c>
      <c r="N243" s="418"/>
      <c r="O243" s="418"/>
      <c r="P243" s="68">
        <f t="shared" si="858"/>
        <v>280617</v>
      </c>
      <c r="Q243" s="68">
        <f t="shared" si="859"/>
        <v>8302</v>
      </c>
      <c r="R243" s="418">
        <v>0</v>
      </c>
      <c r="S243" s="419">
        <f t="shared" si="860"/>
        <v>1.6667000000000001</v>
      </c>
      <c r="T243" s="420">
        <v>1.6667000000000001</v>
      </c>
      <c r="U243" s="527">
        <v>0</v>
      </c>
      <c r="V243" s="427">
        <f t="shared" si="861"/>
        <v>-6400</v>
      </c>
      <c r="W243" s="421">
        <f t="shared" si="861"/>
        <v>0</v>
      </c>
      <c r="X243" s="421">
        <v>0</v>
      </c>
      <c r="Y243" s="421">
        <v>0</v>
      </c>
      <c r="Z243" s="421">
        <v>0</v>
      </c>
      <c r="AA243" s="421">
        <v>0</v>
      </c>
      <c r="AB243" s="421">
        <v>0</v>
      </c>
      <c r="AC243" s="421">
        <v>0</v>
      </c>
      <c r="AD243" s="421">
        <v>0</v>
      </c>
      <c r="AE243" s="421">
        <v>0</v>
      </c>
      <c r="AF243" s="421">
        <f t="shared" si="862"/>
        <v>-6400</v>
      </c>
      <c r="AG243" s="421">
        <f t="shared" si="863"/>
        <v>0</v>
      </c>
      <c r="AH243" s="421">
        <f t="shared" si="864"/>
        <v>-6400</v>
      </c>
      <c r="AI243" s="421">
        <v>6400</v>
      </c>
      <c r="AJ243" s="421">
        <v>0</v>
      </c>
      <c r="AK243" s="421">
        <v>0</v>
      </c>
      <c r="AL243" s="421">
        <v>0</v>
      </c>
      <c r="AM243" s="421">
        <v>0</v>
      </c>
      <c r="AN243" s="421">
        <v>0</v>
      </c>
      <c r="AO243" s="421">
        <f t="shared" si="865"/>
        <v>6400</v>
      </c>
      <c r="AP243" s="421">
        <f t="shared" si="866"/>
        <v>0</v>
      </c>
      <c r="AQ243" s="421">
        <f t="shared" si="867"/>
        <v>6400</v>
      </c>
      <c r="AR243" s="421">
        <f t="shared" si="868"/>
        <v>0</v>
      </c>
      <c r="AS243" s="421">
        <f t="shared" si="868"/>
        <v>0</v>
      </c>
      <c r="AT243" s="421">
        <f t="shared" si="869"/>
        <v>0</v>
      </c>
      <c r="AU243" s="68">
        <f t="shared" si="870"/>
        <v>0</v>
      </c>
      <c r="AV243" s="68">
        <f t="shared" si="871"/>
        <v>-64</v>
      </c>
      <c r="AW243" s="421">
        <v>0</v>
      </c>
      <c r="AX243" s="421">
        <v>0</v>
      </c>
      <c r="AY243" s="421">
        <f t="shared" si="872"/>
        <v>0</v>
      </c>
      <c r="AZ243" s="421">
        <f t="shared" si="873"/>
        <v>-64</v>
      </c>
      <c r="BA243" s="422">
        <v>-0.02</v>
      </c>
      <c r="BB243" s="422">
        <v>0</v>
      </c>
      <c r="BC243" s="422">
        <v>0</v>
      </c>
      <c r="BD243" s="422">
        <v>0</v>
      </c>
      <c r="BE243" s="422">
        <v>0</v>
      </c>
      <c r="BF243" s="422">
        <v>0</v>
      </c>
      <c r="BG243" s="422">
        <v>0</v>
      </c>
      <c r="BH243" s="422">
        <v>0</v>
      </c>
      <c r="BI243" s="422">
        <v>0</v>
      </c>
      <c r="BJ243" s="422">
        <v>0</v>
      </c>
      <c r="BK243" s="422">
        <f t="shared" si="874"/>
        <v>-0.02</v>
      </c>
      <c r="BL243" s="422">
        <f t="shared" si="875"/>
        <v>0</v>
      </c>
      <c r="BM243" s="611">
        <f t="shared" si="876"/>
        <v>-0.02</v>
      </c>
      <c r="BN243" s="428">
        <f t="shared" si="877"/>
        <v>1119082</v>
      </c>
      <c r="BO243" s="421">
        <f t="shared" si="878"/>
        <v>823827</v>
      </c>
      <c r="BP243" s="421">
        <f t="shared" si="879"/>
        <v>823827</v>
      </c>
      <c r="BQ243" s="421">
        <f t="shared" si="879"/>
        <v>0</v>
      </c>
      <c r="BR243" s="421">
        <f t="shared" si="880"/>
        <v>6400</v>
      </c>
      <c r="BS243" s="421">
        <f t="shared" si="881"/>
        <v>6400</v>
      </c>
      <c r="BT243" s="421">
        <f t="shared" si="881"/>
        <v>0</v>
      </c>
      <c r="BU243" s="421">
        <f t="shared" si="882"/>
        <v>280617</v>
      </c>
      <c r="BV243" s="421">
        <f t="shared" si="882"/>
        <v>8238</v>
      </c>
      <c r="BW243" s="421">
        <f t="shared" si="883"/>
        <v>0</v>
      </c>
      <c r="BX243" s="422">
        <f t="shared" si="884"/>
        <v>1.6467000000000001</v>
      </c>
      <c r="BY243" s="422">
        <f t="shared" si="885"/>
        <v>1.6467000000000001</v>
      </c>
      <c r="BZ243" s="611">
        <f t="shared" si="885"/>
        <v>0</v>
      </c>
      <c r="CA243" s="423"/>
      <c r="CB243" s="418"/>
      <c r="CC243" s="418"/>
      <c r="CD243" s="418"/>
      <c r="CE243" s="418"/>
      <c r="CF243" s="527"/>
    </row>
    <row r="244" spans="1:84" s="222" customFormat="1" ht="12.75" customHeight="1" x14ac:dyDescent="0.2">
      <c r="A244" s="210">
        <v>44</v>
      </c>
      <c r="B244" s="211">
        <v>4489</v>
      </c>
      <c r="C244" s="211">
        <v>600075036</v>
      </c>
      <c r="D244" s="211">
        <v>72742607</v>
      </c>
      <c r="E244" s="209" t="s">
        <v>228</v>
      </c>
      <c r="F244" s="211">
        <v>3143</v>
      </c>
      <c r="G244" s="165" t="s">
        <v>597</v>
      </c>
      <c r="H244" s="686" t="s">
        <v>272</v>
      </c>
      <c r="I244" s="528">
        <f t="shared" si="855"/>
        <v>22020</v>
      </c>
      <c r="J244" s="418">
        <f t="shared" si="856"/>
        <v>15761</v>
      </c>
      <c r="K244" s="418">
        <v>0</v>
      </c>
      <c r="L244" s="418">
        <v>15761</v>
      </c>
      <c r="M244" s="418">
        <f t="shared" si="857"/>
        <v>0</v>
      </c>
      <c r="N244" s="418"/>
      <c r="O244" s="418"/>
      <c r="P244" s="68">
        <f t="shared" si="858"/>
        <v>5327</v>
      </c>
      <c r="Q244" s="68">
        <f t="shared" si="859"/>
        <v>158</v>
      </c>
      <c r="R244" s="418">
        <v>774</v>
      </c>
      <c r="S244" s="419">
        <f t="shared" si="860"/>
        <v>0.06</v>
      </c>
      <c r="T244" s="420">
        <v>0</v>
      </c>
      <c r="U244" s="527">
        <v>0.06</v>
      </c>
      <c r="V244" s="427">
        <f t="shared" si="861"/>
        <v>0</v>
      </c>
      <c r="W244" s="421">
        <f t="shared" si="861"/>
        <v>0</v>
      </c>
      <c r="X244" s="421">
        <v>0</v>
      </c>
      <c r="Y244" s="421">
        <v>0</v>
      </c>
      <c r="Z244" s="421">
        <v>0</v>
      </c>
      <c r="AA244" s="421">
        <v>0</v>
      </c>
      <c r="AB244" s="421">
        <v>0</v>
      </c>
      <c r="AC244" s="421">
        <v>0</v>
      </c>
      <c r="AD244" s="421">
        <v>0</v>
      </c>
      <c r="AE244" s="421">
        <v>0</v>
      </c>
      <c r="AF244" s="421">
        <f t="shared" si="862"/>
        <v>0</v>
      </c>
      <c r="AG244" s="421">
        <f t="shared" si="863"/>
        <v>0</v>
      </c>
      <c r="AH244" s="421">
        <f t="shared" si="864"/>
        <v>0</v>
      </c>
      <c r="AI244" s="421">
        <v>0</v>
      </c>
      <c r="AJ244" s="421">
        <v>0</v>
      </c>
      <c r="AK244" s="421">
        <v>0</v>
      </c>
      <c r="AL244" s="421">
        <v>0</v>
      </c>
      <c r="AM244" s="421">
        <v>0</v>
      </c>
      <c r="AN244" s="421">
        <v>0</v>
      </c>
      <c r="AO244" s="421">
        <f t="shared" si="865"/>
        <v>0</v>
      </c>
      <c r="AP244" s="421">
        <f t="shared" si="866"/>
        <v>0</v>
      </c>
      <c r="AQ244" s="421">
        <f t="shared" si="867"/>
        <v>0</v>
      </c>
      <c r="AR244" s="421">
        <f t="shared" si="868"/>
        <v>0</v>
      </c>
      <c r="AS244" s="421">
        <f t="shared" si="868"/>
        <v>0</v>
      </c>
      <c r="AT244" s="421">
        <f t="shared" si="869"/>
        <v>0</v>
      </c>
      <c r="AU244" s="68">
        <f t="shared" si="870"/>
        <v>0</v>
      </c>
      <c r="AV244" s="68">
        <f t="shared" si="871"/>
        <v>0</v>
      </c>
      <c r="AW244" s="421">
        <v>0</v>
      </c>
      <c r="AX244" s="421">
        <v>0</v>
      </c>
      <c r="AY244" s="421">
        <f t="shared" si="872"/>
        <v>0</v>
      </c>
      <c r="AZ244" s="421">
        <f t="shared" si="873"/>
        <v>0</v>
      </c>
      <c r="BA244" s="422">
        <v>0</v>
      </c>
      <c r="BB244" s="422">
        <v>0</v>
      </c>
      <c r="BC244" s="422">
        <v>0</v>
      </c>
      <c r="BD244" s="422">
        <v>0</v>
      </c>
      <c r="BE244" s="422">
        <v>0</v>
      </c>
      <c r="BF244" s="422">
        <v>0</v>
      </c>
      <c r="BG244" s="422">
        <v>0</v>
      </c>
      <c r="BH244" s="422">
        <v>0</v>
      </c>
      <c r="BI244" s="422">
        <v>0</v>
      </c>
      <c r="BJ244" s="422">
        <v>0</v>
      </c>
      <c r="BK244" s="422">
        <f t="shared" si="874"/>
        <v>0</v>
      </c>
      <c r="BL244" s="422">
        <f t="shared" si="875"/>
        <v>0</v>
      </c>
      <c r="BM244" s="611">
        <f t="shared" si="876"/>
        <v>0</v>
      </c>
      <c r="BN244" s="428">
        <f t="shared" si="877"/>
        <v>22020</v>
      </c>
      <c r="BO244" s="421">
        <f t="shared" si="878"/>
        <v>15761</v>
      </c>
      <c r="BP244" s="421">
        <f t="shared" si="879"/>
        <v>0</v>
      </c>
      <c r="BQ244" s="421">
        <f t="shared" si="879"/>
        <v>15761</v>
      </c>
      <c r="BR244" s="421">
        <f t="shared" si="880"/>
        <v>0</v>
      </c>
      <c r="BS244" s="421">
        <f t="shared" si="881"/>
        <v>0</v>
      </c>
      <c r="BT244" s="421">
        <f t="shared" si="881"/>
        <v>0</v>
      </c>
      <c r="BU244" s="421">
        <f t="shared" si="882"/>
        <v>5327</v>
      </c>
      <c r="BV244" s="421">
        <f t="shared" si="882"/>
        <v>158</v>
      </c>
      <c r="BW244" s="421">
        <f t="shared" si="883"/>
        <v>774</v>
      </c>
      <c r="BX244" s="422">
        <f t="shared" si="884"/>
        <v>0.06</v>
      </c>
      <c r="BY244" s="422">
        <f t="shared" si="885"/>
        <v>0</v>
      </c>
      <c r="BZ244" s="611">
        <f t="shared" si="885"/>
        <v>0.06</v>
      </c>
      <c r="CA244" s="423"/>
      <c r="CB244" s="418"/>
      <c r="CC244" s="418"/>
      <c r="CD244" s="418"/>
      <c r="CE244" s="418"/>
      <c r="CF244" s="527"/>
    </row>
    <row r="245" spans="1:84" s="222" customFormat="1" ht="12.75" customHeight="1" x14ac:dyDescent="0.2">
      <c r="A245" s="155">
        <v>44</v>
      </c>
      <c r="B245" s="18">
        <v>4489</v>
      </c>
      <c r="C245" s="18">
        <v>600075036</v>
      </c>
      <c r="D245" s="18">
        <v>72742607</v>
      </c>
      <c r="E245" s="164" t="s">
        <v>229</v>
      </c>
      <c r="F245" s="18"/>
      <c r="G245" s="154"/>
      <c r="H245" s="685"/>
      <c r="I245" s="458">
        <f t="shared" ref="I245:BU245" si="886">SUM(I239:I244)</f>
        <v>8956281</v>
      </c>
      <c r="J245" s="451">
        <f t="shared" si="886"/>
        <v>6591531</v>
      </c>
      <c r="K245" s="451">
        <f t="shared" si="886"/>
        <v>5580635</v>
      </c>
      <c r="L245" s="451">
        <f t="shared" si="886"/>
        <v>1010896</v>
      </c>
      <c r="M245" s="451">
        <f t="shared" si="886"/>
        <v>0</v>
      </c>
      <c r="N245" s="451">
        <f t="shared" si="886"/>
        <v>0</v>
      </c>
      <c r="O245" s="451">
        <f t="shared" si="886"/>
        <v>0</v>
      </c>
      <c r="P245" s="451">
        <f t="shared" si="886"/>
        <v>2227937</v>
      </c>
      <c r="Q245" s="451">
        <f t="shared" si="886"/>
        <v>65916</v>
      </c>
      <c r="R245" s="451">
        <f t="shared" si="886"/>
        <v>70897</v>
      </c>
      <c r="S245" s="452">
        <f t="shared" si="886"/>
        <v>12.639200000000001</v>
      </c>
      <c r="T245" s="452">
        <f t="shared" si="886"/>
        <v>9.5756999999999994</v>
      </c>
      <c r="U245" s="39">
        <f t="shared" si="886"/>
        <v>3.0634999999999999</v>
      </c>
      <c r="V245" s="458">
        <f t="shared" si="886"/>
        <v>-29440</v>
      </c>
      <c r="W245" s="451">
        <f t="shared" si="886"/>
        <v>-10240</v>
      </c>
      <c r="X245" s="451">
        <f t="shared" si="886"/>
        <v>1112404</v>
      </c>
      <c r="Y245" s="451">
        <f t="shared" si="886"/>
        <v>0</v>
      </c>
      <c r="Z245" s="451">
        <f t="shared" si="886"/>
        <v>0</v>
      </c>
      <c r="AA245" s="451">
        <f t="shared" si="886"/>
        <v>0</v>
      </c>
      <c r="AB245" s="451">
        <f t="shared" si="886"/>
        <v>0</v>
      </c>
      <c r="AC245" s="451">
        <f t="shared" si="886"/>
        <v>0</v>
      </c>
      <c r="AD245" s="451">
        <f t="shared" si="886"/>
        <v>0</v>
      </c>
      <c r="AE245" s="451">
        <f t="shared" si="886"/>
        <v>0</v>
      </c>
      <c r="AF245" s="451">
        <f t="shared" si="886"/>
        <v>1082964</v>
      </c>
      <c r="AG245" s="451">
        <f t="shared" si="886"/>
        <v>-10240</v>
      </c>
      <c r="AH245" s="451">
        <f t="shared" si="886"/>
        <v>1072724</v>
      </c>
      <c r="AI245" s="451">
        <f t="shared" si="886"/>
        <v>29440</v>
      </c>
      <c r="AJ245" s="451">
        <f t="shared" si="886"/>
        <v>10240</v>
      </c>
      <c r="AK245" s="451">
        <f t="shared" ref="AK245" si="887">SUM(AK239:AK244)</f>
        <v>0</v>
      </c>
      <c r="AL245" s="451">
        <f t="shared" si="886"/>
        <v>0</v>
      </c>
      <c r="AM245" s="451">
        <f t="shared" si="886"/>
        <v>0</v>
      </c>
      <c r="AN245" s="451">
        <f t="shared" si="886"/>
        <v>0</v>
      </c>
      <c r="AO245" s="451">
        <f t="shared" si="886"/>
        <v>29440</v>
      </c>
      <c r="AP245" s="451">
        <f t="shared" si="886"/>
        <v>10240</v>
      </c>
      <c r="AQ245" s="451">
        <f t="shared" si="886"/>
        <v>39680</v>
      </c>
      <c r="AR245" s="451">
        <f t="shared" si="886"/>
        <v>1112404</v>
      </c>
      <c r="AS245" s="451">
        <f t="shared" si="886"/>
        <v>0</v>
      </c>
      <c r="AT245" s="451">
        <f t="shared" si="886"/>
        <v>1112404</v>
      </c>
      <c r="AU245" s="451">
        <f t="shared" si="886"/>
        <v>375993</v>
      </c>
      <c r="AV245" s="451">
        <f t="shared" si="886"/>
        <v>10728</v>
      </c>
      <c r="AW245" s="451">
        <f t="shared" si="886"/>
        <v>0</v>
      </c>
      <c r="AX245" s="451">
        <f t="shared" si="886"/>
        <v>0</v>
      </c>
      <c r="AY245" s="451">
        <f t="shared" si="886"/>
        <v>0</v>
      </c>
      <c r="AZ245" s="451">
        <f t="shared" si="886"/>
        <v>1499125</v>
      </c>
      <c r="BA245" s="452">
        <f t="shared" si="886"/>
        <v>-0.06</v>
      </c>
      <c r="BB245" s="452">
        <f t="shared" si="886"/>
        <v>0</v>
      </c>
      <c r="BC245" s="452">
        <f t="shared" si="886"/>
        <v>3</v>
      </c>
      <c r="BD245" s="452">
        <f t="shared" si="886"/>
        <v>0</v>
      </c>
      <c r="BE245" s="452">
        <f t="shared" si="886"/>
        <v>0</v>
      </c>
      <c r="BF245" s="452">
        <f t="shared" si="886"/>
        <v>0</v>
      </c>
      <c r="BG245" s="452">
        <f t="shared" si="886"/>
        <v>0</v>
      </c>
      <c r="BH245" s="452">
        <f t="shared" si="886"/>
        <v>0</v>
      </c>
      <c r="BI245" s="452">
        <f t="shared" si="886"/>
        <v>0</v>
      </c>
      <c r="BJ245" s="452">
        <f t="shared" si="886"/>
        <v>0</v>
      </c>
      <c r="BK245" s="452">
        <f t="shared" si="886"/>
        <v>2.94</v>
      </c>
      <c r="BL245" s="452">
        <f t="shared" si="886"/>
        <v>0</v>
      </c>
      <c r="BM245" s="456">
        <f t="shared" si="886"/>
        <v>2.94</v>
      </c>
      <c r="BN245" s="454">
        <f t="shared" si="886"/>
        <v>10455406</v>
      </c>
      <c r="BO245" s="451">
        <f t="shared" si="886"/>
        <v>7664255</v>
      </c>
      <c r="BP245" s="451">
        <f t="shared" si="886"/>
        <v>6663599</v>
      </c>
      <c r="BQ245" s="451">
        <f t="shared" si="886"/>
        <v>1000656</v>
      </c>
      <c r="BR245" s="451">
        <f t="shared" si="886"/>
        <v>39680</v>
      </c>
      <c r="BS245" s="451">
        <f t="shared" si="886"/>
        <v>29440</v>
      </c>
      <c r="BT245" s="451">
        <f t="shared" si="886"/>
        <v>10240</v>
      </c>
      <c r="BU245" s="451">
        <f t="shared" si="886"/>
        <v>2603930</v>
      </c>
      <c r="BV245" s="451">
        <f t="shared" ref="BV245:CF245" si="888">SUM(BV239:BV244)</f>
        <v>76644</v>
      </c>
      <c r="BW245" s="451">
        <f t="shared" si="888"/>
        <v>70897</v>
      </c>
      <c r="BX245" s="452">
        <f t="shared" si="888"/>
        <v>15.579200000000002</v>
      </c>
      <c r="BY245" s="452">
        <f t="shared" si="888"/>
        <v>12.515699999999999</v>
      </c>
      <c r="BZ245" s="456">
        <f t="shared" si="888"/>
        <v>3.0634999999999999</v>
      </c>
      <c r="CA245" s="854">
        <f t="shared" si="888"/>
        <v>0</v>
      </c>
      <c r="CB245" s="852">
        <f t="shared" si="888"/>
        <v>0</v>
      </c>
      <c r="CC245" s="852">
        <f t="shared" si="888"/>
        <v>0</v>
      </c>
      <c r="CD245" s="852">
        <f t="shared" si="888"/>
        <v>0</v>
      </c>
      <c r="CE245" s="852">
        <f t="shared" si="888"/>
        <v>0</v>
      </c>
      <c r="CF245" s="848">
        <f t="shared" si="888"/>
        <v>0</v>
      </c>
    </row>
    <row r="246" spans="1:84" s="222" customFormat="1" ht="12.75" customHeight="1" x14ac:dyDescent="0.2">
      <c r="A246" s="210">
        <v>45</v>
      </c>
      <c r="B246" s="211">
        <v>4426</v>
      </c>
      <c r="C246" s="211">
        <v>600074129</v>
      </c>
      <c r="D246" s="211">
        <v>72742160</v>
      </c>
      <c r="E246" s="209" t="s">
        <v>230</v>
      </c>
      <c r="F246" s="211">
        <v>3111</v>
      </c>
      <c r="G246" s="165" t="s">
        <v>291</v>
      </c>
      <c r="H246" s="699" t="s">
        <v>271</v>
      </c>
      <c r="I246" s="528">
        <f t="shared" ref="I246:I247" si="889">J246+P246+Q246+R246</f>
        <v>3314455</v>
      </c>
      <c r="J246" s="418">
        <f>K246+L246</f>
        <v>2453447</v>
      </c>
      <c r="K246" s="418">
        <v>2231655</v>
      </c>
      <c r="L246" s="418">
        <v>221792</v>
      </c>
      <c r="M246" s="418">
        <f>N246+O246</f>
        <v>0</v>
      </c>
      <c r="N246" s="418"/>
      <c r="O246" s="418"/>
      <c r="P246" s="68">
        <f t="shared" ref="P246:P247" si="890">ROUND(J246*33.8%,0)</f>
        <v>829265</v>
      </c>
      <c r="Q246" s="68">
        <f t="shared" ref="Q246:Q247" si="891">ROUND(J246*1%,0)</f>
        <v>24534</v>
      </c>
      <c r="R246" s="418">
        <v>7209</v>
      </c>
      <c r="S246" s="419">
        <f>T246+U246</f>
        <v>4.7466999999999997</v>
      </c>
      <c r="T246" s="420">
        <v>4</v>
      </c>
      <c r="U246" s="527">
        <v>0.74669999999999992</v>
      </c>
      <c r="V246" s="427">
        <f>AI246*-1</f>
        <v>0</v>
      </c>
      <c r="W246" s="421">
        <f>AJ246*-1</f>
        <v>0</v>
      </c>
      <c r="X246" s="421">
        <v>0</v>
      </c>
      <c r="Y246" s="421">
        <v>0</v>
      </c>
      <c r="Z246" s="421">
        <v>0</v>
      </c>
      <c r="AA246" s="421">
        <v>0</v>
      </c>
      <c r="AB246" s="421">
        <v>0</v>
      </c>
      <c r="AC246" s="421">
        <v>0</v>
      </c>
      <c r="AD246" s="421">
        <v>0</v>
      </c>
      <c r="AE246" s="421">
        <v>0</v>
      </c>
      <c r="AF246" s="421">
        <f>V246+X246+Y246+AA246+AB246+AD246</f>
        <v>0</v>
      </c>
      <c r="AG246" s="421">
        <f>W246+Z246+AC246+AE246</f>
        <v>0</v>
      </c>
      <c r="AH246" s="421">
        <f>SUM(AF246:AG246)</f>
        <v>0</v>
      </c>
      <c r="AI246" s="421">
        <v>0</v>
      </c>
      <c r="AJ246" s="421">
        <v>0</v>
      </c>
      <c r="AK246" s="421">
        <v>0</v>
      </c>
      <c r="AL246" s="421">
        <v>0</v>
      </c>
      <c r="AM246" s="421">
        <v>0</v>
      </c>
      <c r="AN246" s="421">
        <v>0</v>
      </c>
      <c r="AO246" s="421">
        <f t="shared" ref="AO246:AO247" si="892">AI246+AK246+AL246+AM246</f>
        <v>0</v>
      </c>
      <c r="AP246" s="421">
        <f>AJ246+AN246</f>
        <v>0</v>
      </c>
      <c r="AQ246" s="421">
        <f>SUM(AO246:AP246)</f>
        <v>0</v>
      </c>
      <c r="AR246" s="421">
        <f>AF246+AO246</f>
        <v>0</v>
      </c>
      <c r="AS246" s="421">
        <f>AG246+AP246</f>
        <v>0</v>
      </c>
      <c r="AT246" s="421">
        <f>SUM(AR246:AS246)</f>
        <v>0</v>
      </c>
      <c r="AU246" s="68">
        <f t="shared" ref="AU246:AU247" si="893">ROUND((AH246+AI246+AJ246+AK246+AL246)*33.8%,0)</f>
        <v>0</v>
      </c>
      <c r="AV246" s="68">
        <f>ROUND(AH246*1%,0)</f>
        <v>0</v>
      </c>
      <c r="AW246" s="421">
        <v>0</v>
      </c>
      <c r="AX246" s="421">
        <v>0</v>
      </c>
      <c r="AY246" s="421">
        <f>AW246+AX246</f>
        <v>0</v>
      </c>
      <c r="AZ246" s="421">
        <f>AT246+AU246+AV246+AY246</f>
        <v>0</v>
      </c>
      <c r="BA246" s="422">
        <v>0</v>
      </c>
      <c r="BB246" s="422">
        <v>0</v>
      </c>
      <c r="BC246" s="422">
        <v>0</v>
      </c>
      <c r="BD246" s="422">
        <v>0</v>
      </c>
      <c r="BE246" s="422">
        <v>0</v>
      </c>
      <c r="BF246" s="422">
        <v>0</v>
      </c>
      <c r="BG246" s="422">
        <v>0</v>
      </c>
      <c r="BH246" s="422">
        <v>0</v>
      </c>
      <c r="BI246" s="422">
        <v>0</v>
      </c>
      <c r="BJ246" s="422">
        <v>0</v>
      </c>
      <c r="BK246" s="422">
        <f>BA246+BC246+BD246+BF246+BH246+BI246</f>
        <v>0</v>
      </c>
      <c r="BL246" s="422">
        <f>BB246+BE246+BG246+BJ246</f>
        <v>0</v>
      </c>
      <c r="BM246" s="611">
        <f>SUM(BK246:BL246)</f>
        <v>0</v>
      </c>
      <c r="BN246" s="428">
        <f>I246+AZ246</f>
        <v>3314455</v>
      </c>
      <c r="BO246" s="421">
        <f>J246+AH246</f>
        <v>2453447</v>
      </c>
      <c r="BP246" s="421">
        <f>K246+AF246</f>
        <v>2231655</v>
      </c>
      <c r="BQ246" s="421">
        <f>L246+AG246</f>
        <v>221792</v>
      </c>
      <c r="BR246" s="421">
        <f>M246+AQ246</f>
        <v>0</v>
      </c>
      <c r="BS246" s="421">
        <f>N246+AO246</f>
        <v>0</v>
      </c>
      <c r="BT246" s="421">
        <f>O246+AP246</f>
        <v>0</v>
      </c>
      <c r="BU246" s="421">
        <f>P246+AU246</f>
        <v>829265</v>
      </c>
      <c r="BV246" s="421">
        <f>Q246+AV246</f>
        <v>24534</v>
      </c>
      <c r="BW246" s="421">
        <f>R246+AY246</f>
        <v>7209</v>
      </c>
      <c r="BX246" s="422">
        <f>S246+BM246</f>
        <v>4.7466999999999997</v>
      </c>
      <c r="BY246" s="422">
        <f>T246+BK246</f>
        <v>4</v>
      </c>
      <c r="BZ246" s="611">
        <f>U246+BL246</f>
        <v>0.74669999999999992</v>
      </c>
      <c r="CA246" s="423"/>
      <c r="CB246" s="418"/>
      <c r="CC246" s="418"/>
      <c r="CD246" s="418"/>
      <c r="CE246" s="418"/>
      <c r="CF246" s="527"/>
    </row>
    <row r="247" spans="1:84" s="222" customFormat="1" ht="12.75" customHeight="1" x14ac:dyDescent="0.2">
      <c r="A247" s="210">
        <v>45</v>
      </c>
      <c r="B247" s="211">
        <v>4426</v>
      </c>
      <c r="C247" s="211">
        <v>600074129</v>
      </c>
      <c r="D247" s="211">
        <v>72742160</v>
      </c>
      <c r="E247" s="209" t="s">
        <v>230</v>
      </c>
      <c r="F247" s="211">
        <v>3141</v>
      </c>
      <c r="G247" s="165" t="s">
        <v>295</v>
      </c>
      <c r="H247" s="699" t="s">
        <v>272</v>
      </c>
      <c r="I247" s="528">
        <f t="shared" si="889"/>
        <v>297636</v>
      </c>
      <c r="J247" s="418">
        <f>K247+L247</f>
        <v>220097</v>
      </c>
      <c r="K247" s="418">
        <v>0</v>
      </c>
      <c r="L247" s="418">
        <v>220097</v>
      </c>
      <c r="M247" s="418">
        <f>N247+O247</f>
        <v>0</v>
      </c>
      <c r="N247" s="418"/>
      <c r="O247" s="418"/>
      <c r="P247" s="68">
        <f t="shared" si="890"/>
        <v>74393</v>
      </c>
      <c r="Q247" s="68">
        <f t="shared" si="891"/>
        <v>2201</v>
      </c>
      <c r="R247" s="418">
        <v>945</v>
      </c>
      <c r="S247" s="419">
        <f>T247+U247</f>
        <v>0.66</v>
      </c>
      <c r="T247" s="420">
        <v>0</v>
      </c>
      <c r="U247" s="527">
        <v>0.66</v>
      </c>
      <c r="V247" s="427">
        <f>AI247*-1</f>
        <v>0</v>
      </c>
      <c r="W247" s="421">
        <f>AJ247*-1</f>
        <v>0</v>
      </c>
      <c r="X247" s="421">
        <v>0</v>
      </c>
      <c r="Y247" s="421">
        <v>0</v>
      </c>
      <c r="Z247" s="421">
        <v>0</v>
      </c>
      <c r="AA247" s="421">
        <v>0</v>
      </c>
      <c r="AB247" s="421">
        <v>0</v>
      </c>
      <c r="AC247" s="421">
        <v>0</v>
      </c>
      <c r="AD247" s="421">
        <v>0</v>
      </c>
      <c r="AE247" s="421">
        <v>0</v>
      </c>
      <c r="AF247" s="421">
        <f>V247+X247+Y247+AA247+AB247+AD247</f>
        <v>0</v>
      </c>
      <c r="AG247" s="421">
        <f>W247+Z247+AC247+AE247</f>
        <v>0</v>
      </c>
      <c r="AH247" s="421">
        <f>SUM(AF247:AG247)</f>
        <v>0</v>
      </c>
      <c r="AI247" s="421">
        <v>0</v>
      </c>
      <c r="AJ247" s="421">
        <v>0</v>
      </c>
      <c r="AK247" s="421">
        <v>0</v>
      </c>
      <c r="AL247" s="421">
        <v>0</v>
      </c>
      <c r="AM247" s="421">
        <v>0</v>
      </c>
      <c r="AN247" s="421">
        <v>0</v>
      </c>
      <c r="AO247" s="421">
        <f t="shared" si="892"/>
        <v>0</v>
      </c>
      <c r="AP247" s="421">
        <f>AJ247+AN247</f>
        <v>0</v>
      </c>
      <c r="AQ247" s="421">
        <f>SUM(AO247:AP247)</f>
        <v>0</v>
      </c>
      <c r="AR247" s="421">
        <f>AF247+AO247</f>
        <v>0</v>
      </c>
      <c r="AS247" s="421">
        <f>AG247+AP247</f>
        <v>0</v>
      </c>
      <c r="AT247" s="421">
        <f>SUM(AR247:AS247)</f>
        <v>0</v>
      </c>
      <c r="AU247" s="68">
        <f t="shared" si="893"/>
        <v>0</v>
      </c>
      <c r="AV247" s="68">
        <f>ROUND(AH247*1%,0)</f>
        <v>0</v>
      </c>
      <c r="AW247" s="421">
        <v>0</v>
      </c>
      <c r="AX247" s="421">
        <v>0</v>
      </c>
      <c r="AY247" s="421">
        <f>AW247+AX247</f>
        <v>0</v>
      </c>
      <c r="AZ247" s="421">
        <f>AT247+AU247+AV247+AY247</f>
        <v>0</v>
      </c>
      <c r="BA247" s="422">
        <v>0</v>
      </c>
      <c r="BB247" s="422">
        <v>0</v>
      </c>
      <c r="BC247" s="422">
        <v>0</v>
      </c>
      <c r="BD247" s="422">
        <v>0</v>
      </c>
      <c r="BE247" s="422">
        <v>0</v>
      </c>
      <c r="BF247" s="422">
        <v>0</v>
      </c>
      <c r="BG247" s="422">
        <v>0</v>
      </c>
      <c r="BH247" s="422">
        <v>0</v>
      </c>
      <c r="BI247" s="422">
        <v>0</v>
      </c>
      <c r="BJ247" s="422">
        <v>0</v>
      </c>
      <c r="BK247" s="422">
        <f>BA247+BC247+BD247+BF247+BH247+BI247</f>
        <v>0</v>
      </c>
      <c r="BL247" s="422">
        <f>BB247+BE247+BG247+BJ247</f>
        <v>0</v>
      </c>
      <c r="BM247" s="611">
        <f>SUM(BK247:BL247)</f>
        <v>0</v>
      </c>
      <c r="BN247" s="428">
        <f>I247+AZ247</f>
        <v>297636</v>
      </c>
      <c r="BO247" s="421">
        <f>J247+AH247</f>
        <v>220097</v>
      </c>
      <c r="BP247" s="421">
        <f>K247+AF247</f>
        <v>0</v>
      </c>
      <c r="BQ247" s="421">
        <f>L247+AG247</f>
        <v>220097</v>
      </c>
      <c r="BR247" s="421">
        <f>M247+AQ247</f>
        <v>0</v>
      </c>
      <c r="BS247" s="421">
        <f>N247+AO247</f>
        <v>0</v>
      </c>
      <c r="BT247" s="421">
        <f>O247+AP247</f>
        <v>0</v>
      </c>
      <c r="BU247" s="421">
        <f>P247+AU247</f>
        <v>74393</v>
      </c>
      <c r="BV247" s="421">
        <f>Q247+AV247</f>
        <v>2201</v>
      </c>
      <c r="BW247" s="421">
        <f>R247+AY247</f>
        <v>945</v>
      </c>
      <c r="BX247" s="422">
        <f>S247+BM247</f>
        <v>0.66</v>
      </c>
      <c r="BY247" s="422">
        <f>T247+BK247</f>
        <v>0</v>
      </c>
      <c r="BZ247" s="611">
        <f>U247+BL247</f>
        <v>0.66</v>
      </c>
      <c r="CA247" s="423"/>
      <c r="CB247" s="418"/>
      <c r="CC247" s="418"/>
      <c r="CD247" s="418"/>
      <c r="CE247" s="418"/>
      <c r="CF247" s="527"/>
    </row>
    <row r="248" spans="1:84" s="222" customFormat="1" ht="12.75" customHeight="1" x14ac:dyDescent="0.2">
      <c r="A248" s="155">
        <v>45</v>
      </c>
      <c r="B248" s="18">
        <v>4426</v>
      </c>
      <c r="C248" s="18">
        <v>600074129</v>
      </c>
      <c r="D248" s="18">
        <v>72742160</v>
      </c>
      <c r="E248" s="164" t="s">
        <v>231</v>
      </c>
      <c r="F248" s="18"/>
      <c r="G248" s="154"/>
      <c r="H248" s="685"/>
      <c r="I248" s="457">
        <f t="shared" ref="I248:BU248" si="894">SUM(I246:I247)</f>
        <v>3612091</v>
      </c>
      <c r="J248" s="449">
        <f t="shared" si="894"/>
        <v>2673544</v>
      </c>
      <c r="K248" s="449">
        <f t="shared" si="894"/>
        <v>2231655</v>
      </c>
      <c r="L248" s="449">
        <f t="shared" si="894"/>
        <v>441889</v>
      </c>
      <c r="M248" s="449">
        <f t="shared" si="894"/>
        <v>0</v>
      </c>
      <c r="N248" s="449">
        <f t="shared" si="894"/>
        <v>0</v>
      </c>
      <c r="O248" s="449">
        <f t="shared" si="894"/>
        <v>0</v>
      </c>
      <c r="P248" s="449">
        <f t="shared" si="894"/>
        <v>903658</v>
      </c>
      <c r="Q248" s="449">
        <f t="shared" si="894"/>
        <v>26735</v>
      </c>
      <c r="R248" s="449">
        <f t="shared" si="894"/>
        <v>8154</v>
      </c>
      <c r="S248" s="450">
        <f t="shared" si="894"/>
        <v>5.4066999999999998</v>
      </c>
      <c r="T248" s="450">
        <f t="shared" si="894"/>
        <v>4</v>
      </c>
      <c r="U248" s="40">
        <f t="shared" si="894"/>
        <v>1.4066999999999998</v>
      </c>
      <c r="V248" s="457">
        <f t="shared" si="894"/>
        <v>0</v>
      </c>
      <c r="W248" s="449">
        <f t="shared" si="894"/>
        <v>0</v>
      </c>
      <c r="X248" s="449">
        <f t="shared" si="894"/>
        <v>0</v>
      </c>
      <c r="Y248" s="449">
        <f t="shared" si="894"/>
        <v>0</v>
      </c>
      <c r="Z248" s="449">
        <f t="shared" si="894"/>
        <v>0</v>
      </c>
      <c r="AA248" s="449">
        <f t="shared" si="894"/>
        <v>0</v>
      </c>
      <c r="AB248" s="449">
        <f t="shared" si="894"/>
        <v>0</v>
      </c>
      <c r="AC248" s="449">
        <f t="shared" si="894"/>
        <v>0</v>
      </c>
      <c r="AD248" s="449">
        <f t="shared" si="894"/>
        <v>0</v>
      </c>
      <c r="AE248" s="449">
        <f t="shared" si="894"/>
        <v>0</v>
      </c>
      <c r="AF248" s="449">
        <f t="shared" si="894"/>
        <v>0</v>
      </c>
      <c r="AG248" s="449">
        <f t="shared" si="894"/>
        <v>0</v>
      </c>
      <c r="AH248" s="449">
        <f t="shared" si="894"/>
        <v>0</v>
      </c>
      <c r="AI248" s="449">
        <f t="shared" si="894"/>
        <v>0</v>
      </c>
      <c r="AJ248" s="449">
        <f t="shared" si="894"/>
        <v>0</v>
      </c>
      <c r="AK248" s="449">
        <f t="shared" ref="AK248" si="895">SUM(AK246:AK247)</f>
        <v>0</v>
      </c>
      <c r="AL248" s="449">
        <f t="shared" si="894"/>
        <v>0</v>
      </c>
      <c r="AM248" s="449">
        <f t="shared" si="894"/>
        <v>0</v>
      </c>
      <c r="AN248" s="449">
        <f t="shared" si="894"/>
        <v>0</v>
      </c>
      <c r="AO248" s="449">
        <f t="shared" si="894"/>
        <v>0</v>
      </c>
      <c r="AP248" s="449">
        <f t="shared" si="894"/>
        <v>0</v>
      </c>
      <c r="AQ248" s="449">
        <f t="shared" si="894"/>
        <v>0</v>
      </c>
      <c r="AR248" s="449">
        <f t="shared" si="894"/>
        <v>0</v>
      </c>
      <c r="AS248" s="449">
        <f t="shared" si="894"/>
        <v>0</v>
      </c>
      <c r="AT248" s="449">
        <f t="shared" si="894"/>
        <v>0</v>
      </c>
      <c r="AU248" s="449">
        <f t="shared" si="894"/>
        <v>0</v>
      </c>
      <c r="AV248" s="449">
        <f t="shared" si="894"/>
        <v>0</v>
      </c>
      <c r="AW248" s="449">
        <f t="shared" si="894"/>
        <v>0</v>
      </c>
      <c r="AX248" s="449">
        <f t="shared" si="894"/>
        <v>0</v>
      </c>
      <c r="AY248" s="449">
        <f t="shared" si="894"/>
        <v>0</v>
      </c>
      <c r="AZ248" s="449">
        <f t="shared" si="894"/>
        <v>0</v>
      </c>
      <c r="BA248" s="450">
        <f t="shared" si="894"/>
        <v>0</v>
      </c>
      <c r="BB248" s="450">
        <f t="shared" si="894"/>
        <v>0</v>
      </c>
      <c r="BC248" s="450">
        <f t="shared" si="894"/>
        <v>0</v>
      </c>
      <c r="BD248" s="450">
        <f t="shared" si="894"/>
        <v>0</v>
      </c>
      <c r="BE248" s="450">
        <f t="shared" si="894"/>
        <v>0</v>
      </c>
      <c r="BF248" s="450">
        <f t="shared" si="894"/>
        <v>0</v>
      </c>
      <c r="BG248" s="450">
        <f t="shared" si="894"/>
        <v>0</v>
      </c>
      <c r="BH248" s="450">
        <f t="shared" si="894"/>
        <v>0</v>
      </c>
      <c r="BI248" s="450">
        <f t="shared" si="894"/>
        <v>0</v>
      </c>
      <c r="BJ248" s="450">
        <f t="shared" si="894"/>
        <v>0</v>
      </c>
      <c r="BK248" s="450">
        <f t="shared" si="894"/>
        <v>0</v>
      </c>
      <c r="BL248" s="450">
        <f t="shared" si="894"/>
        <v>0</v>
      </c>
      <c r="BM248" s="455">
        <f t="shared" si="894"/>
        <v>0</v>
      </c>
      <c r="BN248" s="453">
        <f t="shared" si="894"/>
        <v>3612091</v>
      </c>
      <c r="BO248" s="449">
        <f t="shared" si="894"/>
        <v>2673544</v>
      </c>
      <c r="BP248" s="449">
        <f t="shared" si="894"/>
        <v>2231655</v>
      </c>
      <c r="BQ248" s="449">
        <f t="shared" si="894"/>
        <v>441889</v>
      </c>
      <c r="BR248" s="449">
        <f t="shared" si="894"/>
        <v>0</v>
      </c>
      <c r="BS248" s="449">
        <f t="shared" si="894"/>
        <v>0</v>
      </c>
      <c r="BT248" s="449">
        <f t="shared" si="894"/>
        <v>0</v>
      </c>
      <c r="BU248" s="449">
        <f t="shared" si="894"/>
        <v>903658</v>
      </c>
      <c r="BV248" s="449">
        <f t="shared" ref="BV248:CF248" si="896">SUM(BV246:BV247)</f>
        <v>26735</v>
      </c>
      <c r="BW248" s="449">
        <f t="shared" si="896"/>
        <v>8154</v>
      </c>
      <c r="BX248" s="450">
        <f t="shared" si="896"/>
        <v>5.4066999999999998</v>
      </c>
      <c r="BY248" s="450">
        <f t="shared" si="896"/>
        <v>4</v>
      </c>
      <c r="BZ248" s="455">
        <f t="shared" si="896"/>
        <v>1.4066999999999998</v>
      </c>
      <c r="CA248" s="853">
        <f t="shared" si="896"/>
        <v>0</v>
      </c>
      <c r="CB248" s="851">
        <f t="shared" si="896"/>
        <v>0</v>
      </c>
      <c r="CC248" s="851">
        <f t="shared" si="896"/>
        <v>0</v>
      </c>
      <c r="CD248" s="851">
        <f t="shared" si="896"/>
        <v>0</v>
      </c>
      <c r="CE248" s="851">
        <f t="shared" si="896"/>
        <v>0</v>
      </c>
      <c r="CF248" s="849">
        <f t="shared" si="896"/>
        <v>0</v>
      </c>
    </row>
    <row r="249" spans="1:84" s="222" customFormat="1" ht="12.75" customHeight="1" x14ac:dyDescent="0.2">
      <c r="A249" s="210">
        <v>46</v>
      </c>
      <c r="B249" s="211">
        <v>4461</v>
      </c>
      <c r="C249" s="211">
        <v>600074765</v>
      </c>
      <c r="D249" s="211">
        <v>46750088</v>
      </c>
      <c r="E249" s="209" t="s">
        <v>232</v>
      </c>
      <c r="F249" s="211">
        <v>3111</v>
      </c>
      <c r="G249" s="165" t="s">
        <v>291</v>
      </c>
      <c r="H249" s="699" t="s">
        <v>271</v>
      </c>
      <c r="I249" s="528">
        <f t="shared" ref="I249:I254" si="897">J249+P249+Q249+R249</f>
        <v>9551888</v>
      </c>
      <c r="J249" s="418">
        <f t="shared" ref="J249:J254" si="898">K249+L249</f>
        <v>7062004</v>
      </c>
      <c r="K249" s="418">
        <v>6702580</v>
      </c>
      <c r="L249" s="418">
        <v>359424</v>
      </c>
      <c r="M249" s="418">
        <f t="shared" ref="M249:M254" si="899">N249+O249</f>
        <v>0</v>
      </c>
      <c r="N249" s="418"/>
      <c r="O249" s="418"/>
      <c r="P249" s="68">
        <f t="shared" ref="P249:P254" si="900">ROUND(J249*33.8%,0)</f>
        <v>2386957</v>
      </c>
      <c r="Q249" s="68">
        <f t="shared" ref="Q249:Q254" si="901">ROUND(J249*1%,0)</f>
        <v>70620</v>
      </c>
      <c r="R249" s="418">
        <v>32307</v>
      </c>
      <c r="S249" s="419">
        <f t="shared" ref="S249:S254" si="902">T249+U249</f>
        <v>13.213199999999999</v>
      </c>
      <c r="T249" s="420">
        <v>11.773199999999999</v>
      </c>
      <c r="U249" s="527">
        <v>1.44</v>
      </c>
      <c r="V249" s="427">
        <f t="shared" ref="V249:W254" si="903">AI249*-1</f>
        <v>-6400</v>
      </c>
      <c r="W249" s="421">
        <f t="shared" si="903"/>
        <v>0</v>
      </c>
      <c r="X249" s="421">
        <v>0</v>
      </c>
      <c r="Y249" s="421">
        <v>0</v>
      </c>
      <c r="Z249" s="421">
        <v>0</v>
      </c>
      <c r="AA249" s="421">
        <v>0</v>
      </c>
      <c r="AB249" s="421">
        <v>0</v>
      </c>
      <c r="AC249" s="421">
        <v>0</v>
      </c>
      <c r="AD249" s="421">
        <v>0</v>
      </c>
      <c r="AE249" s="421">
        <v>0</v>
      </c>
      <c r="AF249" s="421">
        <f t="shared" ref="AF249:AF254" si="904">V249+X249+Y249+AA249+AB249+AD249</f>
        <v>-6400</v>
      </c>
      <c r="AG249" s="421">
        <f t="shared" ref="AG249:AG254" si="905">W249+Z249+AC249+AE249</f>
        <v>0</v>
      </c>
      <c r="AH249" s="421">
        <f t="shared" ref="AH249:AH254" si="906">SUM(AF249:AG249)</f>
        <v>-6400</v>
      </c>
      <c r="AI249" s="421">
        <v>6400</v>
      </c>
      <c r="AJ249" s="421">
        <v>0</v>
      </c>
      <c r="AK249" s="421">
        <v>0</v>
      </c>
      <c r="AL249" s="421">
        <v>0</v>
      </c>
      <c r="AM249" s="421">
        <v>0</v>
      </c>
      <c r="AN249" s="421">
        <v>0</v>
      </c>
      <c r="AO249" s="421">
        <f t="shared" ref="AO249:AO254" si="907">AI249+AK249+AL249+AM249</f>
        <v>6400</v>
      </c>
      <c r="AP249" s="421">
        <f t="shared" ref="AP249:AP254" si="908">AJ249+AN249</f>
        <v>0</v>
      </c>
      <c r="AQ249" s="421">
        <f t="shared" ref="AQ249:AQ254" si="909">SUM(AO249:AP249)</f>
        <v>6400</v>
      </c>
      <c r="AR249" s="421">
        <f t="shared" ref="AR249:AS254" si="910">AF249+AO249</f>
        <v>0</v>
      </c>
      <c r="AS249" s="421">
        <f t="shared" si="910"/>
        <v>0</v>
      </c>
      <c r="AT249" s="421">
        <f t="shared" ref="AT249:AT254" si="911">SUM(AR249:AS249)</f>
        <v>0</v>
      </c>
      <c r="AU249" s="68">
        <f t="shared" ref="AU249:AU254" si="912">ROUND((AH249+AI249+AJ249+AK249+AL249)*33.8%,0)</f>
        <v>0</v>
      </c>
      <c r="AV249" s="68">
        <f t="shared" ref="AV249:AV254" si="913">ROUND(AH249*1%,0)</f>
        <v>-64</v>
      </c>
      <c r="AW249" s="421">
        <v>0</v>
      </c>
      <c r="AX249" s="421">
        <v>0</v>
      </c>
      <c r="AY249" s="421">
        <f t="shared" ref="AY249:AY254" si="914">AW249+AX249</f>
        <v>0</v>
      </c>
      <c r="AZ249" s="421">
        <f t="shared" ref="AZ249:AZ254" si="915">AT249+AU249+AV249+AY249</f>
        <v>-64</v>
      </c>
      <c r="BA249" s="422">
        <v>0</v>
      </c>
      <c r="BB249" s="422">
        <v>0</v>
      </c>
      <c r="BC249" s="422">
        <v>0</v>
      </c>
      <c r="BD249" s="422">
        <v>0</v>
      </c>
      <c r="BE249" s="422">
        <v>0</v>
      </c>
      <c r="BF249" s="422">
        <v>0</v>
      </c>
      <c r="BG249" s="422">
        <v>0</v>
      </c>
      <c r="BH249" s="422">
        <v>0</v>
      </c>
      <c r="BI249" s="422">
        <v>0</v>
      </c>
      <c r="BJ249" s="422">
        <v>0</v>
      </c>
      <c r="BK249" s="422">
        <f t="shared" ref="BK249:BK254" si="916">BA249+BC249+BD249+BF249+BH249+BI249</f>
        <v>0</v>
      </c>
      <c r="BL249" s="422">
        <f t="shared" ref="BL249:BL254" si="917">BB249+BE249+BG249+BJ249</f>
        <v>0</v>
      </c>
      <c r="BM249" s="611">
        <f t="shared" ref="BM249:BM254" si="918">SUM(BK249:BL249)</f>
        <v>0</v>
      </c>
      <c r="BN249" s="428">
        <f t="shared" ref="BN249:BN254" si="919">I249+AZ249</f>
        <v>9551824</v>
      </c>
      <c r="BO249" s="421">
        <f t="shared" ref="BO249:BO254" si="920">J249+AH249</f>
        <v>7055604</v>
      </c>
      <c r="BP249" s="421">
        <f t="shared" ref="BP249:BQ254" si="921">K249+AF249</f>
        <v>6696180</v>
      </c>
      <c r="BQ249" s="421">
        <f t="shared" si="921"/>
        <v>359424</v>
      </c>
      <c r="BR249" s="421">
        <f t="shared" ref="BR249:BR254" si="922">M249+AQ249</f>
        <v>6400</v>
      </c>
      <c r="BS249" s="421">
        <f t="shared" ref="BS249:BT254" si="923">N249+AO249</f>
        <v>6400</v>
      </c>
      <c r="BT249" s="421">
        <f t="shared" si="923"/>
        <v>0</v>
      </c>
      <c r="BU249" s="421">
        <f t="shared" ref="BU249:BV254" si="924">P249+AU249</f>
        <v>2386957</v>
      </c>
      <c r="BV249" s="421">
        <f t="shared" si="924"/>
        <v>70556</v>
      </c>
      <c r="BW249" s="421">
        <f t="shared" ref="BW249:BW254" si="925">R249+AY249</f>
        <v>32307</v>
      </c>
      <c r="BX249" s="422">
        <f t="shared" ref="BX249:BX254" si="926">S249+BM249</f>
        <v>13.213199999999999</v>
      </c>
      <c r="BY249" s="422">
        <f t="shared" ref="BY249:BZ254" si="927">T249+BK249</f>
        <v>11.773199999999999</v>
      </c>
      <c r="BZ249" s="611">
        <f t="shared" si="927"/>
        <v>1.44</v>
      </c>
      <c r="CA249" s="423"/>
      <c r="CB249" s="418"/>
      <c r="CC249" s="418"/>
      <c r="CD249" s="418"/>
      <c r="CE249" s="418"/>
      <c r="CF249" s="527"/>
    </row>
    <row r="250" spans="1:84" s="222" customFormat="1" ht="12.75" customHeight="1" x14ac:dyDescent="0.2">
      <c r="A250" s="210">
        <v>46</v>
      </c>
      <c r="B250" s="211">
        <v>4461</v>
      </c>
      <c r="C250" s="211">
        <v>600074765</v>
      </c>
      <c r="D250" s="211">
        <v>46750088</v>
      </c>
      <c r="E250" s="209" t="s">
        <v>232</v>
      </c>
      <c r="F250" s="211">
        <v>3113</v>
      </c>
      <c r="G250" s="165" t="s">
        <v>294</v>
      </c>
      <c r="H250" s="699" t="s">
        <v>271</v>
      </c>
      <c r="I250" s="528">
        <f t="shared" si="897"/>
        <v>29232310</v>
      </c>
      <c r="J250" s="418">
        <f t="shared" si="898"/>
        <v>21378152</v>
      </c>
      <c r="K250" s="418">
        <v>19689052</v>
      </c>
      <c r="L250" s="418">
        <v>1689100</v>
      </c>
      <c r="M250" s="418">
        <f t="shared" si="899"/>
        <v>0</v>
      </c>
      <c r="N250" s="418"/>
      <c r="O250" s="418"/>
      <c r="P250" s="68">
        <f>ROUND(J250*33.8%,0)+1</f>
        <v>7225816</v>
      </c>
      <c r="Q250" s="68">
        <f t="shared" si="901"/>
        <v>213782</v>
      </c>
      <c r="R250" s="418">
        <v>414560</v>
      </c>
      <c r="S250" s="419">
        <f t="shared" si="902"/>
        <v>32.522199999999998</v>
      </c>
      <c r="T250" s="420">
        <v>27.408899999999999</v>
      </c>
      <c r="U250" s="527">
        <v>5.1133000000000006</v>
      </c>
      <c r="V250" s="427">
        <f t="shared" si="903"/>
        <v>-7680</v>
      </c>
      <c r="W250" s="421">
        <f t="shared" si="903"/>
        <v>-87040</v>
      </c>
      <c r="X250" s="421">
        <v>0</v>
      </c>
      <c r="Y250" s="421">
        <v>0</v>
      </c>
      <c r="Z250" s="421">
        <v>0</v>
      </c>
      <c r="AA250" s="421">
        <v>29128</v>
      </c>
      <c r="AB250" s="421">
        <v>0</v>
      </c>
      <c r="AC250" s="421">
        <v>0</v>
      </c>
      <c r="AD250" s="421">
        <v>0</v>
      </c>
      <c r="AE250" s="421">
        <v>0</v>
      </c>
      <c r="AF250" s="421">
        <f t="shared" si="904"/>
        <v>21448</v>
      </c>
      <c r="AG250" s="421">
        <f t="shared" si="905"/>
        <v>-87040</v>
      </c>
      <c r="AH250" s="421">
        <f t="shared" si="906"/>
        <v>-65592</v>
      </c>
      <c r="AI250" s="421">
        <v>7680</v>
      </c>
      <c r="AJ250" s="421">
        <v>87040</v>
      </c>
      <c r="AK250" s="421">
        <v>0</v>
      </c>
      <c r="AL250" s="421">
        <v>0</v>
      </c>
      <c r="AM250" s="421">
        <v>0</v>
      </c>
      <c r="AN250" s="421">
        <v>0</v>
      </c>
      <c r="AO250" s="421">
        <f t="shared" si="907"/>
        <v>7680</v>
      </c>
      <c r="AP250" s="421">
        <f t="shared" si="908"/>
        <v>87040</v>
      </c>
      <c r="AQ250" s="421">
        <f t="shared" si="909"/>
        <v>94720</v>
      </c>
      <c r="AR250" s="421">
        <f t="shared" si="910"/>
        <v>29128</v>
      </c>
      <c r="AS250" s="421">
        <f t="shared" si="910"/>
        <v>0</v>
      </c>
      <c r="AT250" s="421">
        <f t="shared" si="911"/>
        <v>29128</v>
      </c>
      <c r="AU250" s="68">
        <f t="shared" si="912"/>
        <v>9845</v>
      </c>
      <c r="AV250" s="68">
        <f t="shared" si="913"/>
        <v>-656</v>
      </c>
      <c r="AW250" s="421">
        <v>0</v>
      </c>
      <c r="AX250" s="421">
        <v>0</v>
      </c>
      <c r="AY250" s="421">
        <f t="shared" si="914"/>
        <v>0</v>
      </c>
      <c r="AZ250" s="421">
        <f t="shared" si="915"/>
        <v>38317</v>
      </c>
      <c r="BA250" s="422">
        <v>0</v>
      </c>
      <c r="BB250" s="422">
        <v>-0.31</v>
      </c>
      <c r="BC250" s="422">
        <v>0</v>
      </c>
      <c r="BD250" s="422">
        <v>0</v>
      </c>
      <c r="BE250" s="422">
        <v>0</v>
      </c>
      <c r="BF250" s="422">
        <v>0</v>
      </c>
      <c r="BG250" s="422">
        <v>0</v>
      </c>
      <c r="BH250" s="422">
        <v>0.05</v>
      </c>
      <c r="BI250" s="422">
        <v>0</v>
      </c>
      <c r="BJ250" s="422">
        <v>0</v>
      </c>
      <c r="BK250" s="422">
        <f t="shared" si="916"/>
        <v>0.05</v>
      </c>
      <c r="BL250" s="422">
        <f t="shared" si="917"/>
        <v>-0.31</v>
      </c>
      <c r="BM250" s="611">
        <f t="shared" si="918"/>
        <v>-0.26</v>
      </c>
      <c r="BN250" s="428">
        <f t="shared" si="919"/>
        <v>29270627</v>
      </c>
      <c r="BO250" s="421">
        <f t="shared" si="920"/>
        <v>21312560</v>
      </c>
      <c r="BP250" s="421">
        <f t="shared" si="921"/>
        <v>19710500</v>
      </c>
      <c r="BQ250" s="421">
        <f t="shared" si="921"/>
        <v>1602060</v>
      </c>
      <c r="BR250" s="421">
        <f t="shared" si="922"/>
        <v>94720</v>
      </c>
      <c r="BS250" s="421">
        <f t="shared" si="923"/>
        <v>7680</v>
      </c>
      <c r="BT250" s="421">
        <f t="shared" si="923"/>
        <v>87040</v>
      </c>
      <c r="BU250" s="421">
        <f t="shared" si="924"/>
        <v>7235661</v>
      </c>
      <c r="BV250" s="421">
        <f t="shared" si="924"/>
        <v>213126</v>
      </c>
      <c r="BW250" s="421">
        <f t="shared" si="925"/>
        <v>414560</v>
      </c>
      <c r="BX250" s="422">
        <f t="shared" si="926"/>
        <v>32.2622</v>
      </c>
      <c r="BY250" s="422">
        <f t="shared" si="927"/>
        <v>27.4589</v>
      </c>
      <c r="BZ250" s="611">
        <f t="shared" si="927"/>
        <v>4.803300000000001</v>
      </c>
      <c r="CA250" s="423"/>
      <c r="CB250" s="418"/>
      <c r="CC250" s="418"/>
      <c r="CD250" s="418"/>
      <c r="CE250" s="418"/>
      <c r="CF250" s="527"/>
    </row>
    <row r="251" spans="1:84" s="222" customFormat="1" ht="12.75" customHeight="1" x14ac:dyDescent="0.2">
      <c r="A251" s="210">
        <v>46</v>
      </c>
      <c r="B251" s="211">
        <v>4461</v>
      </c>
      <c r="C251" s="211">
        <v>600074765</v>
      </c>
      <c r="D251" s="211">
        <v>46750088</v>
      </c>
      <c r="E251" s="209" t="s">
        <v>232</v>
      </c>
      <c r="F251" s="211">
        <v>3113</v>
      </c>
      <c r="G251" s="165" t="s">
        <v>292</v>
      </c>
      <c r="H251" s="699" t="s">
        <v>272</v>
      </c>
      <c r="I251" s="528">
        <f t="shared" si="897"/>
        <v>0</v>
      </c>
      <c r="J251" s="418">
        <f t="shared" si="898"/>
        <v>0</v>
      </c>
      <c r="K251" s="418">
        <v>0</v>
      </c>
      <c r="L251" s="418">
        <v>0</v>
      </c>
      <c r="M251" s="418">
        <f t="shared" si="899"/>
        <v>0</v>
      </c>
      <c r="N251" s="418"/>
      <c r="O251" s="418"/>
      <c r="P251" s="68">
        <f t="shared" si="900"/>
        <v>0</v>
      </c>
      <c r="Q251" s="68">
        <f t="shared" si="901"/>
        <v>0</v>
      </c>
      <c r="R251" s="418">
        <v>0</v>
      </c>
      <c r="S251" s="419">
        <f t="shared" si="902"/>
        <v>0</v>
      </c>
      <c r="T251" s="420">
        <v>0</v>
      </c>
      <c r="U251" s="527">
        <v>0</v>
      </c>
      <c r="V251" s="427">
        <f t="shared" si="903"/>
        <v>0</v>
      </c>
      <c r="W251" s="421">
        <f t="shared" si="903"/>
        <v>0</v>
      </c>
      <c r="X251" s="421">
        <v>1538839</v>
      </c>
      <c r="Y251" s="421">
        <v>0</v>
      </c>
      <c r="Z251" s="421">
        <v>0</v>
      </c>
      <c r="AA251" s="421">
        <v>0</v>
      </c>
      <c r="AB251" s="421">
        <v>0</v>
      </c>
      <c r="AC251" s="421">
        <v>0</v>
      </c>
      <c r="AD251" s="421">
        <v>0</v>
      </c>
      <c r="AE251" s="421">
        <v>0</v>
      </c>
      <c r="AF251" s="421">
        <f t="shared" si="904"/>
        <v>1538839</v>
      </c>
      <c r="AG251" s="421">
        <f t="shared" si="905"/>
        <v>0</v>
      </c>
      <c r="AH251" s="421">
        <f t="shared" si="906"/>
        <v>1538839</v>
      </c>
      <c r="AI251" s="421">
        <v>0</v>
      </c>
      <c r="AJ251" s="421">
        <v>0</v>
      </c>
      <c r="AK251" s="421">
        <v>0</v>
      </c>
      <c r="AL251" s="421">
        <v>0</v>
      </c>
      <c r="AM251" s="421">
        <v>0</v>
      </c>
      <c r="AN251" s="421">
        <v>0</v>
      </c>
      <c r="AO251" s="421">
        <f t="shared" si="907"/>
        <v>0</v>
      </c>
      <c r="AP251" s="421">
        <f t="shared" si="908"/>
        <v>0</v>
      </c>
      <c r="AQ251" s="421">
        <f t="shared" si="909"/>
        <v>0</v>
      </c>
      <c r="AR251" s="421">
        <f t="shared" si="910"/>
        <v>1538839</v>
      </c>
      <c r="AS251" s="421">
        <f t="shared" si="910"/>
        <v>0</v>
      </c>
      <c r="AT251" s="421">
        <f t="shared" si="911"/>
        <v>1538839</v>
      </c>
      <c r="AU251" s="68">
        <f t="shared" si="912"/>
        <v>520128</v>
      </c>
      <c r="AV251" s="68">
        <f t="shared" si="913"/>
        <v>15388</v>
      </c>
      <c r="AW251" s="421">
        <v>0</v>
      </c>
      <c r="AX251" s="421">
        <v>0</v>
      </c>
      <c r="AY251" s="421">
        <f t="shared" si="914"/>
        <v>0</v>
      </c>
      <c r="AZ251" s="421">
        <f t="shared" si="915"/>
        <v>2074355</v>
      </c>
      <c r="BA251" s="422">
        <v>0</v>
      </c>
      <c r="BB251" s="422">
        <v>0</v>
      </c>
      <c r="BC251" s="422">
        <v>4.42</v>
      </c>
      <c r="BD251" s="422">
        <v>0</v>
      </c>
      <c r="BE251" s="422">
        <v>0</v>
      </c>
      <c r="BF251" s="422">
        <v>0</v>
      </c>
      <c r="BG251" s="422">
        <v>0</v>
      </c>
      <c r="BH251" s="422">
        <v>0</v>
      </c>
      <c r="BI251" s="422">
        <v>0</v>
      </c>
      <c r="BJ251" s="422">
        <v>0</v>
      </c>
      <c r="BK251" s="422">
        <f t="shared" si="916"/>
        <v>4.42</v>
      </c>
      <c r="BL251" s="422">
        <f t="shared" si="917"/>
        <v>0</v>
      </c>
      <c r="BM251" s="611">
        <f t="shared" si="918"/>
        <v>4.42</v>
      </c>
      <c r="BN251" s="428">
        <f t="shared" si="919"/>
        <v>2074355</v>
      </c>
      <c r="BO251" s="421">
        <f t="shared" si="920"/>
        <v>1538839</v>
      </c>
      <c r="BP251" s="421">
        <f t="shared" si="921"/>
        <v>1538839</v>
      </c>
      <c r="BQ251" s="421">
        <f t="shared" si="921"/>
        <v>0</v>
      </c>
      <c r="BR251" s="421">
        <f t="shared" si="922"/>
        <v>0</v>
      </c>
      <c r="BS251" s="421">
        <f t="shared" si="923"/>
        <v>0</v>
      </c>
      <c r="BT251" s="421">
        <f t="shared" si="923"/>
        <v>0</v>
      </c>
      <c r="BU251" s="421">
        <f t="shared" si="924"/>
        <v>520128</v>
      </c>
      <c r="BV251" s="421">
        <f t="shared" si="924"/>
        <v>15388</v>
      </c>
      <c r="BW251" s="421">
        <f t="shared" si="925"/>
        <v>0</v>
      </c>
      <c r="BX251" s="422">
        <f t="shared" si="926"/>
        <v>4.42</v>
      </c>
      <c r="BY251" s="422">
        <f t="shared" si="927"/>
        <v>4.42</v>
      </c>
      <c r="BZ251" s="611">
        <f t="shared" si="927"/>
        <v>0</v>
      </c>
      <c r="CA251" s="423"/>
      <c r="CB251" s="418"/>
      <c r="CC251" s="418"/>
      <c r="CD251" s="418"/>
      <c r="CE251" s="418"/>
      <c r="CF251" s="527"/>
    </row>
    <row r="252" spans="1:84" s="222" customFormat="1" ht="12.75" customHeight="1" x14ac:dyDescent="0.2">
      <c r="A252" s="210">
        <v>46</v>
      </c>
      <c r="B252" s="211">
        <v>4461</v>
      </c>
      <c r="C252" s="211">
        <v>600074765</v>
      </c>
      <c r="D252" s="211">
        <v>46750088</v>
      </c>
      <c r="E252" s="205" t="s">
        <v>232</v>
      </c>
      <c r="F252" s="211">
        <v>3141</v>
      </c>
      <c r="G252" s="165" t="s">
        <v>295</v>
      </c>
      <c r="H252" s="699" t="s">
        <v>272</v>
      </c>
      <c r="I252" s="528">
        <f t="shared" si="897"/>
        <v>2070064</v>
      </c>
      <c r="J252" s="418">
        <f t="shared" si="898"/>
        <v>1525104</v>
      </c>
      <c r="K252" s="418">
        <v>0</v>
      </c>
      <c r="L252" s="418">
        <v>1525104</v>
      </c>
      <c r="M252" s="418">
        <f t="shared" si="899"/>
        <v>0</v>
      </c>
      <c r="N252" s="418"/>
      <c r="O252" s="418"/>
      <c r="P252" s="68">
        <f t="shared" si="900"/>
        <v>515485</v>
      </c>
      <c r="Q252" s="68">
        <f t="shared" si="901"/>
        <v>15251</v>
      </c>
      <c r="R252" s="418">
        <v>14224</v>
      </c>
      <c r="S252" s="419">
        <f t="shared" si="902"/>
        <v>4.57</v>
      </c>
      <c r="T252" s="420">
        <v>0</v>
      </c>
      <c r="U252" s="527">
        <v>4.57</v>
      </c>
      <c r="V252" s="427">
        <f t="shared" si="903"/>
        <v>0</v>
      </c>
      <c r="W252" s="421">
        <f t="shared" si="903"/>
        <v>-23040</v>
      </c>
      <c r="X252" s="421">
        <v>0</v>
      </c>
      <c r="Y252" s="421">
        <v>0</v>
      </c>
      <c r="Z252" s="421">
        <v>0</v>
      </c>
      <c r="AA252" s="421">
        <v>0</v>
      </c>
      <c r="AB252" s="421">
        <v>0</v>
      </c>
      <c r="AC252" s="421">
        <v>0</v>
      </c>
      <c r="AD252" s="421">
        <v>0</v>
      </c>
      <c r="AE252" s="421">
        <v>0</v>
      </c>
      <c r="AF252" s="421">
        <f t="shared" si="904"/>
        <v>0</v>
      </c>
      <c r="AG252" s="421">
        <f t="shared" si="905"/>
        <v>-23040</v>
      </c>
      <c r="AH252" s="421">
        <f t="shared" si="906"/>
        <v>-23040</v>
      </c>
      <c r="AI252" s="421">
        <v>0</v>
      </c>
      <c r="AJ252" s="421">
        <v>23040</v>
      </c>
      <c r="AK252" s="421">
        <v>0</v>
      </c>
      <c r="AL252" s="421">
        <v>0</v>
      </c>
      <c r="AM252" s="421">
        <v>0</v>
      </c>
      <c r="AN252" s="421">
        <v>0</v>
      </c>
      <c r="AO252" s="421">
        <f t="shared" si="907"/>
        <v>0</v>
      </c>
      <c r="AP252" s="421">
        <f t="shared" si="908"/>
        <v>23040</v>
      </c>
      <c r="AQ252" s="421">
        <f t="shared" si="909"/>
        <v>23040</v>
      </c>
      <c r="AR252" s="421">
        <f t="shared" si="910"/>
        <v>0</v>
      </c>
      <c r="AS252" s="421">
        <f t="shared" si="910"/>
        <v>0</v>
      </c>
      <c r="AT252" s="421">
        <f t="shared" si="911"/>
        <v>0</v>
      </c>
      <c r="AU252" s="68">
        <f t="shared" si="912"/>
        <v>0</v>
      </c>
      <c r="AV252" s="68">
        <f t="shared" si="913"/>
        <v>-230</v>
      </c>
      <c r="AW252" s="421">
        <v>0</v>
      </c>
      <c r="AX252" s="421">
        <v>0</v>
      </c>
      <c r="AY252" s="421">
        <f t="shared" si="914"/>
        <v>0</v>
      </c>
      <c r="AZ252" s="421">
        <f t="shared" si="915"/>
        <v>-230</v>
      </c>
      <c r="BA252" s="422">
        <v>0</v>
      </c>
      <c r="BB252" s="422">
        <v>-0.08</v>
      </c>
      <c r="BC252" s="422">
        <v>0</v>
      </c>
      <c r="BD252" s="422">
        <v>0</v>
      </c>
      <c r="BE252" s="422">
        <v>0</v>
      </c>
      <c r="BF252" s="422">
        <v>0</v>
      </c>
      <c r="BG252" s="422">
        <v>0</v>
      </c>
      <c r="BH252" s="422">
        <v>0</v>
      </c>
      <c r="BI252" s="422">
        <v>0</v>
      </c>
      <c r="BJ252" s="422">
        <v>0</v>
      </c>
      <c r="BK252" s="422">
        <f t="shared" si="916"/>
        <v>0</v>
      </c>
      <c r="BL252" s="422">
        <f t="shared" si="917"/>
        <v>-0.08</v>
      </c>
      <c r="BM252" s="611">
        <f t="shared" si="918"/>
        <v>-0.08</v>
      </c>
      <c r="BN252" s="428">
        <f t="shared" si="919"/>
        <v>2069834</v>
      </c>
      <c r="BO252" s="421">
        <f t="shared" si="920"/>
        <v>1502064</v>
      </c>
      <c r="BP252" s="421">
        <f t="shared" si="921"/>
        <v>0</v>
      </c>
      <c r="BQ252" s="421">
        <f t="shared" si="921"/>
        <v>1502064</v>
      </c>
      <c r="BR252" s="421">
        <f t="shared" si="922"/>
        <v>23040</v>
      </c>
      <c r="BS252" s="421">
        <f t="shared" si="923"/>
        <v>0</v>
      </c>
      <c r="BT252" s="421">
        <f t="shared" si="923"/>
        <v>23040</v>
      </c>
      <c r="BU252" s="421">
        <f t="shared" si="924"/>
        <v>515485</v>
      </c>
      <c r="BV252" s="421">
        <f t="shared" si="924"/>
        <v>15021</v>
      </c>
      <c r="BW252" s="421">
        <f t="shared" si="925"/>
        <v>14224</v>
      </c>
      <c r="BX252" s="422">
        <f t="shared" si="926"/>
        <v>4.49</v>
      </c>
      <c r="BY252" s="422">
        <f t="shared" si="927"/>
        <v>0</v>
      </c>
      <c r="BZ252" s="611">
        <f t="shared" si="927"/>
        <v>4.49</v>
      </c>
      <c r="CA252" s="423"/>
      <c r="CB252" s="418"/>
      <c r="CC252" s="418"/>
      <c r="CD252" s="418"/>
      <c r="CE252" s="418"/>
      <c r="CF252" s="527"/>
    </row>
    <row r="253" spans="1:84" s="222" customFormat="1" ht="12.75" customHeight="1" x14ac:dyDescent="0.2">
      <c r="A253" s="210">
        <v>46</v>
      </c>
      <c r="B253" s="211">
        <v>4461</v>
      </c>
      <c r="C253" s="211">
        <v>600074765</v>
      </c>
      <c r="D253" s="211">
        <v>46750088</v>
      </c>
      <c r="E253" s="209" t="s">
        <v>232</v>
      </c>
      <c r="F253" s="211">
        <v>3143</v>
      </c>
      <c r="G253" s="165" t="s">
        <v>596</v>
      </c>
      <c r="H253" s="686" t="s">
        <v>271</v>
      </c>
      <c r="I253" s="528">
        <f t="shared" si="897"/>
        <v>2319251</v>
      </c>
      <c r="J253" s="418">
        <f t="shared" si="898"/>
        <v>1720513</v>
      </c>
      <c r="K253" s="418">
        <v>1720513</v>
      </c>
      <c r="L253" s="418">
        <v>0</v>
      </c>
      <c r="M253" s="418">
        <f t="shared" si="899"/>
        <v>0</v>
      </c>
      <c r="N253" s="418"/>
      <c r="O253" s="418"/>
      <c r="P253" s="68">
        <f t="shared" si="900"/>
        <v>581533</v>
      </c>
      <c r="Q253" s="68">
        <f t="shared" si="901"/>
        <v>17205</v>
      </c>
      <c r="R253" s="418">
        <v>0</v>
      </c>
      <c r="S253" s="419">
        <f t="shared" si="902"/>
        <v>3.3214000000000001</v>
      </c>
      <c r="T253" s="420">
        <v>3.3214000000000001</v>
      </c>
      <c r="U253" s="527">
        <v>0</v>
      </c>
      <c r="V253" s="427">
        <f t="shared" si="903"/>
        <v>-12800</v>
      </c>
      <c r="W253" s="421">
        <f t="shared" si="903"/>
        <v>0</v>
      </c>
      <c r="X253" s="421">
        <v>0</v>
      </c>
      <c r="Y253" s="421">
        <v>0</v>
      </c>
      <c r="Z253" s="421">
        <v>0</v>
      </c>
      <c r="AA253" s="421">
        <v>0</v>
      </c>
      <c r="AB253" s="421">
        <v>0</v>
      </c>
      <c r="AC253" s="421">
        <v>0</v>
      </c>
      <c r="AD253" s="421">
        <v>0</v>
      </c>
      <c r="AE253" s="421">
        <v>0</v>
      </c>
      <c r="AF253" s="421">
        <f t="shared" si="904"/>
        <v>-12800</v>
      </c>
      <c r="AG253" s="421">
        <f t="shared" si="905"/>
        <v>0</v>
      </c>
      <c r="AH253" s="421">
        <f t="shared" si="906"/>
        <v>-12800</v>
      </c>
      <c r="AI253" s="421">
        <v>12800</v>
      </c>
      <c r="AJ253" s="421">
        <v>0</v>
      </c>
      <c r="AK253" s="421">
        <v>0</v>
      </c>
      <c r="AL253" s="421">
        <v>0</v>
      </c>
      <c r="AM253" s="421">
        <v>0</v>
      </c>
      <c r="AN253" s="421">
        <v>0</v>
      </c>
      <c r="AO253" s="421">
        <f t="shared" si="907"/>
        <v>12800</v>
      </c>
      <c r="AP253" s="421">
        <f t="shared" si="908"/>
        <v>0</v>
      </c>
      <c r="AQ253" s="421">
        <f t="shared" si="909"/>
        <v>12800</v>
      </c>
      <c r="AR253" s="421">
        <f t="shared" si="910"/>
        <v>0</v>
      </c>
      <c r="AS253" s="421">
        <f t="shared" si="910"/>
        <v>0</v>
      </c>
      <c r="AT253" s="421">
        <f t="shared" si="911"/>
        <v>0</v>
      </c>
      <c r="AU253" s="68">
        <f t="shared" si="912"/>
        <v>0</v>
      </c>
      <c r="AV253" s="68">
        <f t="shared" si="913"/>
        <v>-128</v>
      </c>
      <c r="AW253" s="421">
        <v>0</v>
      </c>
      <c r="AX253" s="421">
        <v>0</v>
      </c>
      <c r="AY253" s="421">
        <f t="shared" si="914"/>
        <v>0</v>
      </c>
      <c r="AZ253" s="421">
        <f t="shared" si="915"/>
        <v>-128</v>
      </c>
      <c r="BA253" s="422">
        <v>-0.02</v>
      </c>
      <c r="BB253" s="422">
        <v>0</v>
      </c>
      <c r="BC253" s="422">
        <v>0</v>
      </c>
      <c r="BD253" s="422">
        <v>0</v>
      </c>
      <c r="BE253" s="422">
        <v>0</v>
      </c>
      <c r="BF253" s="422">
        <v>0</v>
      </c>
      <c r="BG253" s="422">
        <v>0</v>
      </c>
      <c r="BH253" s="422">
        <v>0</v>
      </c>
      <c r="BI253" s="422">
        <v>0</v>
      </c>
      <c r="BJ253" s="422">
        <v>0</v>
      </c>
      <c r="BK253" s="422">
        <f t="shared" si="916"/>
        <v>-0.02</v>
      </c>
      <c r="BL253" s="422">
        <f t="shared" si="917"/>
        <v>0</v>
      </c>
      <c r="BM253" s="611">
        <f t="shared" si="918"/>
        <v>-0.02</v>
      </c>
      <c r="BN253" s="428">
        <f t="shared" si="919"/>
        <v>2319123</v>
      </c>
      <c r="BO253" s="421">
        <f t="shared" si="920"/>
        <v>1707713</v>
      </c>
      <c r="BP253" s="421">
        <f t="shared" si="921"/>
        <v>1707713</v>
      </c>
      <c r="BQ253" s="421">
        <f t="shared" si="921"/>
        <v>0</v>
      </c>
      <c r="BR253" s="421">
        <f t="shared" si="922"/>
        <v>12800</v>
      </c>
      <c r="BS253" s="421">
        <f t="shared" si="923"/>
        <v>12800</v>
      </c>
      <c r="BT253" s="421">
        <f t="shared" si="923"/>
        <v>0</v>
      </c>
      <c r="BU253" s="421">
        <f t="shared" si="924"/>
        <v>581533</v>
      </c>
      <c r="BV253" s="421">
        <f t="shared" si="924"/>
        <v>17077</v>
      </c>
      <c r="BW253" s="421">
        <f t="shared" si="925"/>
        <v>0</v>
      </c>
      <c r="BX253" s="422">
        <f t="shared" si="926"/>
        <v>3.3014000000000001</v>
      </c>
      <c r="BY253" s="422">
        <f t="shared" si="927"/>
        <v>3.3014000000000001</v>
      </c>
      <c r="BZ253" s="611">
        <f t="shared" si="927"/>
        <v>0</v>
      </c>
      <c r="CA253" s="423"/>
      <c r="CB253" s="418"/>
      <c r="CC253" s="418"/>
      <c r="CD253" s="418"/>
      <c r="CE253" s="418"/>
      <c r="CF253" s="527"/>
    </row>
    <row r="254" spans="1:84" s="222" customFormat="1" ht="12.75" customHeight="1" x14ac:dyDescent="0.2">
      <c r="A254" s="210">
        <v>46</v>
      </c>
      <c r="B254" s="211">
        <v>4461</v>
      </c>
      <c r="C254" s="211">
        <v>600074765</v>
      </c>
      <c r="D254" s="211">
        <v>46750088</v>
      </c>
      <c r="E254" s="209" t="s">
        <v>232</v>
      </c>
      <c r="F254" s="211">
        <v>3143</v>
      </c>
      <c r="G254" s="165" t="s">
        <v>597</v>
      </c>
      <c r="H254" s="686" t="s">
        <v>272</v>
      </c>
      <c r="I254" s="528">
        <f t="shared" si="897"/>
        <v>56874</v>
      </c>
      <c r="J254" s="418">
        <f t="shared" si="898"/>
        <v>40709</v>
      </c>
      <c r="K254" s="418">
        <v>0</v>
      </c>
      <c r="L254" s="418">
        <v>40709</v>
      </c>
      <c r="M254" s="418">
        <f t="shared" si="899"/>
        <v>0</v>
      </c>
      <c r="N254" s="418"/>
      <c r="O254" s="418"/>
      <c r="P254" s="68">
        <f t="shared" si="900"/>
        <v>13760</v>
      </c>
      <c r="Q254" s="68">
        <f t="shared" si="901"/>
        <v>407</v>
      </c>
      <c r="R254" s="418">
        <v>1998</v>
      </c>
      <c r="S254" s="419">
        <f t="shared" si="902"/>
        <v>0.15</v>
      </c>
      <c r="T254" s="420">
        <v>0</v>
      </c>
      <c r="U254" s="527">
        <v>0.15</v>
      </c>
      <c r="V254" s="427">
        <f t="shared" si="903"/>
        <v>0</v>
      </c>
      <c r="W254" s="421">
        <f t="shared" si="903"/>
        <v>0</v>
      </c>
      <c r="X254" s="421">
        <v>0</v>
      </c>
      <c r="Y254" s="421">
        <v>0</v>
      </c>
      <c r="Z254" s="421">
        <v>0</v>
      </c>
      <c r="AA254" s="421">
        <v>0</v>
      </c>
      <c r="AB254" s="421">
        <v>0</v>
      </c>
      <c r="AC254" s="421">
        <v>0</v>
      </c>
      <c r="AD254" s="421">
        <v>0</v>
      </c>
      <c r="AE254" s="421">
        <v>0</v>
      </c>
      <c r="AF254" s="421">
        <f t="shared" si="904"/>
        <v>0</v>
      </c>
      <c r="AG254" s="421">
        <f t="shared" si="905"/>
        <v>0</v>
      </c>
      <c r="AH254" s="421">
        <f t="shared" si="906"/>
        <v>0</v>
      </c>
      <c r="AI254" s="421">
        <v>0</v>
      </c>
      <c r="AJ254" s="421">
        <v>0</v>
      </c>
      <c r="AK254" s="421">
        <v>0</v>
      </c>
      <c r="AL254" s="421">
        <v>0</v>
      </c>
      <c r="AM254" s="421">
        <v>0</v>
      </c>
      <c r="AN254" s="421">
        <v>0</v>
      </c>
      <c r="AO254" s="421">
        <f t="shared" si="907"/>
        <v>0</v>
      </c>
      <c r="AP254" s="421">
        <f t="shared" si="908"/>
        <v>0</v>
      </c>
      <c r="AQ254" s="421">
        <f t="shared" si="909"/>
        <v>0</v>
      </c>
      <c r="AR254" s="421">
        <f t="shared" si="910"/>
        <v>0</v>
      </c>
      <c r="AS254" s="421">
        <f t="shared" si="910"/>
        <v>0</v>
      </c>
      <c r="AT254" s="421">
        <f t="shared" si="911"/>
        <v>0</v>
      </c>
      <c r="AU254" s="68">
        <f t="shared" si="912"/>
        <v>0</v>
      </c>
      <c r="AV254" s="68">
        <f t="shared" si="913"/>
        <v>0</v>
      </c>
      <c r="AW254" s="421">
        <v>0</v>
      </c>
      <c r="AX254" s="421">
        <v>0</v>
      </c>
      <c r="AY254" s="421">
        <f t="shared" si="914"/>
        <v>0</v>
      </c>
      <c r="AZ254" s="421">
        <f t="shared" si="915"/>
        <v>0</v>
      </c>
      <c r="BA254" s="422">
        <v>0</v>
      </c>
      <c r="BB254" s="422">
        <v>0</v>
      </c>
      <c r="BC254" s="422">
        <v>0</v>
      </c>
      <c r="BD254" s="422">
        <v>0</v>
      </c>
      <c r="BE254" s="422">
        <v>0</v>
      </c>
      <c r="BF254" s="422">
        <v>0</v>
      </c>
      <c r="BG254" s="422">
        <v>0</v>
      </c>
      <c r="BH254" s="422">
        <v>0</v>
      </c>
      <c r="BI254" s="422">
        <v>0</v>
      </c>
      <c r="BJ254" s="422">
        <v>0</v>
      </c>
      <c r="BK254" s="422">
        <f t="shared" si="916"/>
        <v>0</v>
      </c>
      <c r="BL254" s="422">
        <f t="shared" si="917"/>
        <v>0</v>
      </c>
      <c r="BM254" s="611">
        <f t="shared" si="918"/>
        <v>0</v>
      </c>
      <c r="BN254" s="428">
        <f t="shared" si="919"/>
        <v>56874</v>
      </c>
      <c r="BO254" s="421">
        <f t="shared" si="920"/>
        <v>40709</v>
      </c>
      <c r="BP254" s="421">
        <f t="shared" si="921"/>
        <v>0</v>
      </c>
      <c r="BQ254" s="421">
        <f t="shared" si="921"/>
        <v>40709</v>
      </c>
      <c r="BR254" s="421">
        <f t="shared" si="922"/>
        <v>0</v>
      </c>
      <c r="BS254" s="421">
        <f t="shared" si="923"/>
        <v>0</v>
      </c>
      <c r="BT254" s="421">
        <f t="shared" si="923"/>
        <v>0</v>
      </c>
      <c r="BU254" s="421">
        <f t="shared" si="924"/>
        <v>13760</v>
      </c>
      <c r="BV254" s="421">
        <f t="shared" si="924"/>
        <v>407</v>
      </c>
      <c r="BW254" s="421">
        <f t="shared" si="925"/>
        <v>1998</v>
      </c>
      <c r="BX254" s="422">
        <f t="shared" si="926"/>
        <v>0.15</v>
      </c>
      <c r="BY254" s="422">
        <f t="shared" si="927"/>
        <v>0</v>
      </c>
      <c r="BZ254" s="611">
        <f t="shared" si="927"/>
        <v>0.15</v>
      </c>
      <c r="CA254" s="423"/>
      <c r="CB254" s="418"/>
      <c r="CC254" s="418"/>
      <c r="CD254" s="418"/>
      <c r="CE254" s="418"/>
      <c r="CF254" s="527"/>
    </row>
    <row r="255" spans="1:84" s="222" customFormat="1" ht="12.75" customHeight="1" x14ac:dyDescent="0.2">
      <c r="A255" s="155">
        <v>46</v>
      </c>
      <c r="B255" s="18">
        <v>4461</v>
      </c>
      <c r="C255" s="18">
        <v>600074765</v>
      </c>
      <c r="D255" s="18">
        <v>46750088</v>
      </c>
      <c r="E255" s="164" t="s">
        <v>233</v>
      </c>
      <c r="F255" s="18"/>
      <c r="G255" s="154"/>
      <c r="H255" s="685"/>
      <c r="I255" s="458">
        <f t="shared" ref="I255:BT255" si="928">SUM(I249:I254)</f>
        <v>43230387</v>
      </c>
      <c r="J255" s="451">
        <f t="shared" si="928"/>
        <v>31726482</v>
      </c>
      <c r="K255" s="451">
        <f t="shared" si="928"/>
        <v>28112145</v>
      </c>
      <c r="L255" s="451">
        <f t="shared" si="928"/>
        <v>3614337</v>
      </c>
      <c r="M255" s="451">
        <f t="shared" si="928"/>
        <v>0</v>
      </c>
      <c r="N255" s="451">
        <f t="shared" si="928"/>
        <v>0</v>
      </c>
      <c r="O255" s="451">
        <f t="shared" si="928"/>
        <v>0</v>
      </c>
      <c r="P255" s="451">
        <f t="shared" si="928"/>
        <v>10723551</v>
      </c>
      <c r="Q255" s="451">
        <f t="shared" si="928"/>
        <v>317265</v>
      </c>
      <c r="R255" s="451">
        <f t="shared" si="928"/>
        <v>463089</v>
      </c>
      <c r="S255" s="452">
        <f t="shared" si="928"/>
        <v>53.776799999999994</v>
      </c>
      <c r="T255" s="452">
        <f t="shared" si="928"/>
        <v>42.503499999999995</v>
      </c>
      <c r="U255" s="39">
        <f t="shared" si="928"/>
        <v>11.273300000000001</v>
      </c>
      <c r="V255" s="458">
        <f t="shared" si="928"/>
        <v>-26880</v>
      </c>
      <c r="W255" s="451">
        <f t="shared" si="928"/>
        <v>-110080</v>
      </c>
      <c r="X255" s="451">
        <f t="shared" si="928"/>
        <v>1538839</v>
      </c>
      <c r="Y255" s="451">
        <f t="shared" si="928"/>
        <v>0</v>
      </c>
      <c r="Z255" s="451">
        <f t="shared" si="928"/>
        <v>0</v>
      </c>
      <c r="AA255" s="451">
        <f t="shared" si="928"/>
        <v>29128</v>
      </c>
      <c r="AB255" s="451">
        <f t="shared" si="928"/>
        <v>0</v>
      </c>
      <c r="AC255" s="451">
        <f t="shared" si="928"/>
        <v>0</v>
      </c>
      <c r="AD255" s="451">
        <f t="shared" si="928"/>
        <v>0</v>
      </c>
      <c r="AE255" s="451">
        <f t="shared" si="928"/>
        <v>0</v>
      </c>
      <c r="AF255" s="451">
        <f t="shared" si="928"/>
        <v>1541087</v>
      </c>
      <c r="AG255" s="451">
        <f t="shared" si="928"/>
        <v>-110080</v>
      </c>
      <c r="AH255" s="451">
        <f t="shared" si="928"/>
        <v>1431007</v>
      </c>
      <c r="AI255" s="451">
        <f t="shared" si="928"/>
        <v>26880</v>
      </c>
      <c r="AJ255" s="451">
        <f t="shared" si="928"/>
        <v>110080</v>
      </c>
      <c r="AK255" s="451">
        <f t="shared" ref="AK255" si="929">SUM(AK249:AK254)</f>
        <v>0</v>
      </c>
      <c r="AL255" s="451">
        <f t="shared" si="928"/>
        <v>0</v>
      </c>
      <c r="AM255" s="451">
        <f t="shared" si="928"/>
        <v>0</v>
      </c>
      <c r="AN255" s="451">
        <f t="shared" si="928"/>
        <v>0</v>
      </c>
      <c r="AO255" s="451">
        <f t="shared" si="928"/>
        <v>26880</v>
      </c>
      <c r="AP255" s="451">
        <f t="shared" si="928"/>
        <v>110080</v>
      </c>
      <c r="AQ255" s="451">
        <f t="shared" si="928"/>
        <v>136960</v>
      </c>
      <c r="AR255" s="451">
        <f t="shared" si="928"/>
        <v>1567967</v>
      </c>
      <c r="AS255" s="451">
        <f t="shared" si="928"/>
        <v>0</v>
      </c>
      <c r="AT255" s="451">
        <f t="shared" si="928"/>
        <v>1567967</v>
      </c>
      <c r="AU255" s="451">
        <f t="shared" si="928"/>
        <v>529973</v>
      </c>
      <c r="AV255" s="451">
        <f t="shared" si="928"/>
        <v>14310</v>
      </c>
      <c r="AW255" s="451">
        <f t="shared" si="928"/>
        <v>0</v>
      </c>
      <c r="AX255" s="451">
        <f t="shared" si="928"/>
        <v>0</v>
      </c>
      <c r="AY255" s="451">
        <f t="shared" si="928"/>
        <v>0</v>
      </c>
      <c r="AZ255" s="451">
        <f t="shared" si="928"/>
        <v>2112250</v>
      </c>
      <c r="BA255" s="452">
        <f t="shared" si="928"/>
        <v>-0.02</v>
      </c>
      <c r="BB255" s="452">
        <f t="shared" si="928"/>
        <v>-0.39</v>
      </c>
      <c r="BC255" s="452">
        <f t="shared" si="928"/>
        <v>4.42</v>
      </c>
      <c r="BD255" s="452">
        <f t="shared" si="928"/>
        <v>0</v>
      </c>
      <c r="BE255" s="452">
        <f t="shared" si="928"/>
        <v>0</v>
      </c>
      <c r="BF255" s="452">
        <f t="shared" si="928"/>
        <v>0</v>
      </c>
      <c r="BG255" s="452">
        <f t="shared" si="928"/>
        <v>0</v>
      </c>
      <c r="BH255" s="452">
        <f t="shared" si="928"/>
        <v>0.05</v>
      </c>
      <c r="BI255" s="452">
        <f t="shared" si="928"/>
        <v>0</v>
      </c>
      <c r="BJ255" s="452">
        <f t="shared" si="928"/>
        <v>0</v>
      </c>
      <c r="BK255" s="452">
        <f t="shared" si="928"/>
        <v>4.45</v>
      </c>
      <c r="BL255" s="452">
        <f t="shared" si="928"/>
        <v>-0.39</v>
      </c>
      <c r="BM255" s="456">
        <f t="shared" si="928"/>
        <v>4.0600000000000005</v>
      </c>
      <c r="BN255" s="454">
        <f t="shared" si="928"/>
        <v>45342637</v>
      </c>
      <c r="BO255" s="451">
        <f t="shared" si="928"/>
        <v>33157489</v>
      </c>
      <c r="BP255" s="451">
        <f t="shared" si="928"/>
        <v>29653232</v>
      </c>
      <c r="BQ255" s="451">
        <f t="shared" si="928"/>
        <v>3504257</v>
      </c>
      <c r="BR255" s="451">
        <f t="shared" si="928"/>
        <v>136960</v>
      </c>
      <c r="BS255" s="451">
        <f t="shared" si="928"/>
        <v>26880</v>
      </c>
      <c r="BT255" s="451">
        <f t="shared" si="928"/>
        <v>110080</v>
      </c>
      <c r="BU255" s="451">
        <f t="shared" ref="BU255:CF255" si="930">SUM(BU249:BU254)</f>
        <v>11253524</v>
      </c>
      <c r="BV255" s="451">
        <f t="shared" si="930"/>
        <v>331575</v>
      </c>
      <c r="BW255" s="451">
        <f t="shared" si="930"/>
        <v>463089</v>
      </c>
      <c r="BX255" s="452">
        <f t="shared" si="930"/>
        <v>57.836800000000004</v>
      </c>
      <c r="BY255" s="452">
        <f t="shared" si="930"/>
        <v>46.953500000000005</v>
      </c>
      <c r="BZ255" s="456">
        <f t="shared" si="930"/>
        <v>10.883300000000002</v>
      </c>
      <c r="CA255" s="854">
        <f t="shared" si="930"/>
        <v>0</v>
      </c>
      <c r="CB255" s="852">
        <f t="shared" si="930"/>
        <v>0</v>
      </c>
      <c r="CC255" s="852">
        <f t="shared" si="930"/>
        <v>0</v>
      </c>
      <c r="CD255" s="852">
        <f t="shared" si="930"/>
        <v>0</v>
      </c>
      <c r="CE255" s="852">
        <f t="shared" si="930"/>
        <v>0</v>
      </c>
      <c r="CF255" s="848">
        <f t="shared" si="930"/>
        <v>0</v>
      </c>
    </row>
    <row r="256" spans="1:84" s="222" customFormat="1" ht="12.75" customHeight="1" x14ac:dyDescent="0.2">
      <c r="A256" s="210">
        <v>47</v>
      </c>
      <c r="B256" s="211">
        <v>4427</v>
      </c>
      <c r="C256" s="211">
        <v>600074188</v>
      </c>
      <c r="D256" s="211">
        <v>70982678</v>
      </c>
      <c r="E256" s="209" t="s">
        <v>788</v>
      </c>
      <c r="F256" s="211">
        <v>3111</v>
      </c>
      <c r="G256" s="165" t="s">
        <v>291</v>
      </c>
      <c r="H256" s="699" t="s">
        <v>271</v>
      </c>
      <c r="I256" s="528">
        <f t="shared" ref="I256:I261" si="931">J256+P256+Q256+R256</f>
        <v>3634446</v>
      </c>
      <c r="J256" s="418">
        <f t="shared" ref="J256:J261" si="932">K256+L256</f>
        <v>2688847</v>
      </c>
      <c r="K256" s="418">
        <v>2569039</v>
      </c>
      <c r="L256" s="418">
        <v>119808</v>
      </c>
      <c r="M256" s="418">
        <f t="shared" ref="M256:M261" si="933">N256+O256</f>
        <v>0</v>
      </c>
      <c r="N256" s="418"/>
      <c r="O256" s="418"/>
      <c r="P256" s="68">
        <f>ROUND(J256*33.8%,0)+1</f>
        <v>908831</v>
      </c>
      <c r="Q256" s="68">
        <f>ROUND(J256*1%,0)+1</f>
        <v>26889</v>
      </c>
      <c r="R256" s="418">
        <v>9879</v>
      </c>
      <c r="S256" s="419">
        <f t="shared" ref="S256:S261" si="934">T256+U256</f>
        <v>4.9639000000000006</v>
      </c>
      <c r="T256" s="420">
        <v>4.4839000000000002</v>
      </c>
      <c r="U256" s="527">
        <v>0.48</v>
      </c>
      <c r="V256" s="427">
        <f t="shared" ref="V256:W261" si="935">AI256*-1</f>
        <v>0</v>
      </c>
      <c r="W256" s="421">
        <f t="shared" si="935"/>
        <v>-6400</v>
      </c>
      <c r="X256" s="421">
        <v>0</v>
      </c>
      <c r="Y256" s="421">
        <v>0</v>
      </c>
      <c r="Z256" s="421">
        <v>0</v>
      </c>
      <c r="AA256" s="421">
        <v>0</v>
      </c>
      <c r="AB256" s="421">
        <v>0</v>
      </c>
      <c r="AC256" s="421">
        <v>0</v>
      </c>
      <c r="AD256" s="421">
        <v>0</v>
      </c>
      <c r="AE256" s="421">
        <v>0</v>
      </c>
      <c r="AF256" s="421">
        <f t="shared" ref="AF256:AF261" si="936">V256+X256+Y256+AA256+AB256+AD256</f>
        <v>0</v>
      </c>
      <c r="AG256" s="421">
        <f t="shared" ref="AG256:AG261" si="937">W256+Z256+AC256+AE256</f>
        <v>-6400</v>
      </c>
      <c r="AH256" s="421">
        <f t="shared" ref="AH256:AH261" si="938">SUM(AF256:AG256)</f>
        <v>-6400</v>
      </c>
      <c r="AI256" s="421">
        <v>0</v>
      </c>
      <c r="AJ256" s="421">
        <v>6400</v>
      </c>
      <c r="AK256" s="421">
        <v>0</v>
      </c>
      <c r="AL256" s="421">
        <v>0</v>
      </c>
      <c r="AM256" s="421">
        <v>0</v>
      </c>
      <c r="AN256" s="421">
        <v>0</v>
      </c>
      <c r="AO256" s="421">
        <f t="shared" ref="AO256:AO261" si="939">AI256+AK256+AL256+AM256</f>
        <v>0</v>
      </c>
      <c r="AP256" s="421">
        <f t="shared" ref="AP256:AP261" si="940">AJ256+AN256</f>
        <v>6400</v>
      </c>
      <c r="AQ256" s="421">
        <f t="shared" ref="AQ256:AQ261" si="941">SUM(AO256:AP256)</f>
        <v>6400</v>
      </c>
      <c r="AR256" s="421">
        <f t="shared" ref="AR256:AS261" si="942">AF256+AO256</f>
        <v>0</v>
      </c>
      <c r="AS256" s="421">
        <f t="shared" si="942"/>
        <v>0</v>
      </c>
      <c r="AT256" s="421">
        <f t="shared" ref="AT256:AT261" si="943">SUM(AR256:AS256)</f>
        <v>0</v>
      </c>
      <c r="AU256" s="68">
        <f t="shared" ref="AU256:AU261" si="944">ROUND((AH256+AI256+AJ256+AK256+AL256)*33.8%,0)</f>
        <v>0</v>
      </c>
      <c r="AV256" s="68">
        <f t="shared" ref="AV256:AV261" si="945">ROUND(AH256*1%,0)</f>
        <v>-64</v>
      </c>
      <c r="AW256" s="421">
        <v>0</v>
      </c>
      <c r="AX256" s="421">
        <v>0</v>
      </c>
      <c r="AY256" s="421">
        <f t="shared" ref="AY256:AY261" si="946">AW256+AX256</f>
        <v>0</v>
      </c>
      <c r="AZ256" s="421">
        <f t="shared" ref="AZ256:AZ261" si="947">AT256+AU256+AV256+AY256</f>
        <v>-64</v>
      </c>
      <c r="BA256" s="422">
        <v>0</v>
      </c>
      <c r="BB256" s="422">
        <v>0</v>
      </c>
      <c r="BC256" s="422">
        <v>0</v>
      </c>
      <c r="BD256" s="422">
        <v>0</v>
      </c>
      <c r="BE256" s="422">
        <v>0</v>
      </c>
      <c r="BF256" s="422">
        <v>0</v>
      </c>
      <c r="BG256" s="422">
        <v>0</v>
      </c>
      <c r="BH256" s="422">
        <v>0</v>
      </c>
      <c r="BI256" s="422">
        <v>0</v>
      </c>
      <c r="BJ256" s="422">
        <v>0</v>
      </c>
      <c r="BK256" s="422">
        <f t="shared" ref="BK256:BK261" si="948">BA256+BC256+BD256+BF256+BH256+BI256</f>
        <v>0</v>
      </c>
      <c r="BL256" s="422">
        <f t="shared" ref="BL256:BL261" si="949">BB256+BE256+BG256+BJ256</f>
        <v>0</v>
      </c>
      <c r="BM256" s="611">
        <f t="shared" ref="BM256:BM261" si="950">SUM(BK256:BL256)</f>
        <v>0</v>
      </c>
      <c r="BN256" s="428">
        <f t="shared" ref="BN256:BN261" si="951">I256+AZ256</f>
        <v>3634382</v>
      </c>
      <c r="BO256" s="421">
        <f t="shared" ref="BO256:BO261" si="952">J256+AH256</f>
        <v>2682447</v>
      </c>
      <c r="BP256" s="421">
        <f t="shared" ref="BP256:BQ261" si="953">K256+AF256</f>
        <v>2569039</v>
      </c>
      <c r="BQ256" s="421">
        <f t="shared" si="953"/>
        <v>113408</v>
      </c>
      <c r="BR256" s="421">
        <f t="shared" ref="BR256:BR261" si="954">M256+AQ256</f>
        <v>6400</v>
      </c>
      <c r="BS256" s="421">
        <f t="shared" ref="BS256:BT261" si="955">N256+AO256</f>
        <v>0</v>
      </c>
      <c r="BT256" s="421">
        <f t="shared" si="955"/>
        <v>6400</v>
      </c>
      <c r="BU256" s="421">
        <f t="shared" ref="BU256:BV261" si="956">P256+AU256</f>
        <v>908831</v>
      </c>
      <c r="BV256" s="421">
        <f t="shared" si="956"/>
        <v>26825</v>
      </c>
      <c r="BW256" s="421">
        <f t="shared" ref="BW256:BW261" si="957">R256+AY256</f>
        <v>9879</v>
      </c>
      <c r="BX256" s="422">
        <f t="shared" ref="BX256:BX261" si="958">S256+BM256</f>
        <v>4.9639000000000006</v>
      </c>
      <c r="BY256" s="422">
        <f t="shared" ref="BY256:BZ261" si="959">T256+BK256</f>
        <v>4.4839000000000002</v>
      </c>
      <c r="BZ256" s="611">
        <f t="shared" si="959"/>
        <v>0.48</v>
      </c>
      <c r="CA256" s="423"/>
      <c r="CB256" s="418"/>
      <c r="CC256" s="418"/>
      <c r="CD256" s="418"/>
      <c r="CE256" s="418"/>
      <c r="CF256" s="527"/>
    </row>
    <row r="257" spans="1:84" s="222" customFormat="1" ht="12.75" customHeight="1" x14ac:dyDescent="0.2">
      <c r="A257" s="210">
        <v>47</v>
      </c>
      <c r="B257" s="211">
        <v>4427</v>
      </c>
      <c r="C257" s="211">
        <v>600074188</v>
      </c>
      <c r="D257" s="211">
        <v>70982678</v>
      </c>
      <c r="E257" s="209" t="s">
        <v>785</v>
      </c>
      <c r="F257" s="211">
        <v>3117</v>
      </c>
      <c r="G257" s="165" t="s">
        <v>294</v>
      </c>
      <c r="H257" s="699" t="s">
        <v>271</v>
      </c>
      <c r="I257" s="528">
        <f t="shared" si="931"/>
        <v>2031508</v>
      </c>
      <c r="J257" s="418">
        <f t="shared" si="932"/>
        <v>1490803</v>
      </c>
      <c r="K257" s="418">
        <v>1164797</v>
      </c>
      <c r="L257" s="418">
        <v>326006</v>
      </c>
      <c r="M257" s="418">
        <f t="shared" si="933"/>
        <v>0</v>
      </c>
      <c r="N257" s="418"/>
      <c r="O257" s="418"/>
      <c r="P257" s="68">
        <f t="shared" ref="P257:P261" si="960">ROUND(J257*33.8%,0)</f>
        <v>503891</v>
      </c>
      <c r="Q257" s="68">
        <f t="shared" ref="Q257:Q261" si="961">ROUND(J257*1%,0)</f>
        <v>14908</v>
      </c>
      <c r="R257" s="418">
        <v>21906</v>
      </c>
      <c r="S257" s="419">
        <f t="shared" si="934"/>
        <v>2.9165999999999999</v>
      </c>
      <c r="T257" s="420">
        <v>2</v>
      </c>
      <c r="U257" s="527">
        <v>0.91660000000000008</v>
      </c>
      <c r="V257" s="427">
        <f t="shared" si="935"/>
        <v>0</v>
      </c>
      <c r="W257" s="421">
        <f t="shared" si="935"/>
        <v>-25600</v>
      </c>
      <c r="X257" s="421">
        <v>0</v>
      </c>
      <c r="Y257" s="421">
        <v>0</v>
      </c>
      <c r="Z257" s="421">
        <v>0</v>
      </c>
      <c r="AA257" s="421">
        <v>0</v>
      </c>
      <c r="AB257" s="421">
        <v>0</v>
      </c>
      <c r="AC257" s="421">
        <v>0</v>
      </c>
      <c r="AD257" s="421">
        <v>0</v>
      </c>
      <c r="AE257" s="421">
        <v>0</v>
      </c>
      <c r="AF257" s="421">
        <f t="shared" si="936"/>
        <v>0</v>
      </c>
      <c r="AG257" s="421">
        <f t="shared" si="937"/>
        <v>-25600</v>
      </c>
      <c r="AH257" s="421">
        <f t="shared" si="938"/>
        <v>-25600</v>
      </c>
      <c r="AI257" s="421">
        <v>0</v>
      </c>
      <c r="AJ257" s="421">
        <v>25600</v>
      </c>
      <c r="AK257" s="421">
        <v>0</v>
      </c>
      <c r="AL257" s="421">
        <v>0</v>
      </c>
      <c r="AM257" s="421">
        <v>0</v>
      </c>
      <c r="AN257" s="421">
        <v>0</v>
      </c>
      <c r="AO257" s="421">
        <f t="shared" si="939"/>
        <v>0</v>
      </c>
      <c r="AP257" s="421">
        <f t="shared" si="940"/>
        <v>25600</v>
      </c>
      <c r="AQ257" s="421">
        <f t="shared" si="941"/>
        <v>25600</v>
      </c>
      <c r="AR257" s="421">
        <f t="shared" si="942"/>
        <v>0</v>
      </c>
      <c r="AS257" s="421">
        <f t="shared" si="942"/>
        <v>0</v>
      </c>
      <c r="AT257" s="421">
        <f t="shared" si="943"/>
        <v>0</v>
      </c>
      <c r="AU257" s="68">
        <f t="shared" si="944"/>
        <v>0</v>
      </c>
      <c r="AV257" s="68">
        <f t="shared" si="945"/>
        <v>-256</v>
      </c>
      <c r="AW257" s="421">
        <v>0</v>
      </c>
      <c r="AX257" s="421">
        <v>0</v>
      </c>
      <c r="AY257" s="421">
        <f t="shared" si="946"/>
        <v>0</v>
      </c>
      <c r="AZ257" s="421">
        <f t="shared" si="947"/>
        <v>-256</v>
      </c>
      <c r="BA257" s="422">
        <v>0</v>
      </c>
      <c r="BB257" s="422">
        <v>-0.09</v>
      </c>
      <c r="BC257" s="422">
        <v>0</v>
      </c>
      <c r="BD257" s="422">
        <v>0</v>
      </c>
      <c r="BE257" s="422">
        <v>0</v>
      </c>
      <c r="BF257" s="422">
        <v>0</v>
      </c>
      <c r="BG257" s="422">
        <v>0</v>
      </c>
      <c r="BH257" s="422">
        <v>0</v>
      </c>
      <c r="BI257" s="422">
        <v>0</v>
      </c>
      <c r="BJ257" s="422">
        <v>0</v>
      </c>
      <c r="BK257" s="422">
        <f t="shared" si="948"/>
        <v>0</v>
      </c>
      <c r="BL257" s="422">
        <f t="shared" si="949"/>
        <v>-0.09</v>
      </c>
      <c r="BM257" s="611">
        <f t="shared" si="950"/>
        <v>-0.09</v>
      </c>
      <c r="BN257" s="428">
        <f t="shared" si="951"/>
        <v>2031252</v>
      </c>
      <c r="BO257" s="421">
        <f t="shared" si="952"/>
        <v>1465203</v>
      </c>
      <c r="BP257" s="421">
        <f t="shared" si="953"/>
        <v>1164797</v>
      </c>
      <c r="BQ257" s="421">
        <f t="shared" si="953"/>
        <v>300406</v>
      </c>
      <c r="BR257" s="421">
        <f t="shared" si="954"/>
        <v>25600</v>
      </c>
      <c r="BS257" s="421">
        <f t="shared" si="955"/>
        <v>0</v>
      </c>
      <c r="BT257" s="421">
        <f t="shared" si="955"/>
        <v>25600</v>
      </c>
      <c r="BU257" s="421">
        <f t="shared" si="956"/>
        <v>503891</v>
      </c>
      <c r="BV257" s="421">
        <f t="shared" si="956"/>
        <v>14652</v>
      </c>
      <c r="BW257" s="421">
        <f t="shared" si="957"/>
        <v>21906</v>
      </c>
      <c r="BX257" s="422">
        <f t="shared" si="958"/>
        <v>2.8266</v>
      </c>
      <c r="BY257" s="422">
        <f t="shared" si="959"/>
        <v>2</v>
      </c>
      <c r="BZ257" s="611">
        <f t="shared" si="959"/>
        <v>0.82660000000000011</v>
      </c>
      <c r="CA257" s="423"/>
      <c r="CB257" s="418"/>
      <c r="CC257" s="418"/>
      <c r="CD257" s="418"/>
      <c r="CE257" s="418"/>
      <c r="CF257" s="527"/>
    </row>
    <row r="258" spans="1:84" s="222" customFormat="1" ht="12.75" customHeight="1" x14ac:dyDescent="0.2">
      <c r="A258" s="210">
        <v>47</v>
      </c>
      <c r="B258" s="211">
        <v>4427</v>
      </c>
      <c r="C258" s="211">
        <v>600074188</v>
      </c>
      <c r="D258" s="211">
        <v>70982678</v>
      </c>
      <c r="E258" s="209" t="s">
        <v>785</v>
      </c>
      <c r="F258" s="211">
        <v>3117</v>
      </c>
      <c r="G258" s="165" t="s">
        <v>292</v>
      </c>
      <c r="H258" s="699" t="s">
        <v>272</v>
      </c>
      <c r="I258" s="528">
        <f t="shared" si="931"/>
        <v>0</v>
      </c>
      <c r="J258" s="418">
        <f t="shared" si="932"/>
        <v>0</v>
      </c>
      <c r="K258" s="418">
        <v>0</v>
      </c>
      <c r="L258" s="418">
        <v>0</v>
      </c>
      <c r="M258" s="418">
        <f t="shared" si="933"/>
        <v>0</v>
      </c>
      <c r="N258" s="418"/>
      <c r="O258" s="418"/>
      <c r="P258" s="68">
        <f t="shared" si="960"/>
        <v>0</v>
      </c>
      <c r="Q258" s="68">
        <f t="shared" si="961"/>
        <v>0</v>
      </c>
      <c r="R258" s="418">
        <v>0</v>
      </c>
      <c r="S258" s="419">
        <f t="shared" si="934"/>
        <v>0</v>
      </c>
      <c r="T258" s="420">
        <v>0</v>
      </c>
      <c r="U258" s="527">
        <v>0</v>
      </c>
      <c r="V258" s="427">
        <f t="shared" si="935"/>
        <v>0</v>
      </c>
      <c r="W258" s="421">
        <f t="shared" si="935"/>
        <v>0</v>
      </c>
      <c r="X258" s="421">
        <v>370801</v>
      </c>
      <c r="Y258" s="421">
        <v>0</v>
      </c>
      <c r="Z258" s="421">
        <v>0</v>
      </c>
      <c r="AA258" s="421">
        <v>0</v>
      </c>
      <c r="AB258" s="421">
        <v>0</v>
      </c>
      <c r="AC258" s="421">
        <v>0</v>
      </c>
      <c r="AD258" s="421">
        <v>0</v>
      </c>
      <c r="AE258" s="421">
        <v>0</v>
      </c>
      <c r="AF258" s="421">
        <f t="shared" si="936"/>
        <v>370801</v>
      </c>
      <c r="AG258" s="421">
        <f t="shared" si="937"/>
        <v>0</v>
      </c>
      <c r="AH258" s="421">
        <f t="shared" si="938"/>
        <v>370801</v>
      </c>
      <c r="AI258" s="421">
        <v>0</v>
      </c>
      <c r="AJ258" s="421">
        <v>0</v>
      </c>
      <c r="AK258" s="421">
        <v>0</v>
      </c>
      <c r="AL258" s="421">
        <v>0</v>
      </c>
      <c r="AM258" s="421">
        <v>0</v>
      </c>
      <c r="AN258" s="421">
        <v>0</v>
      </c>
      <c r="AO258" s="421">
        <f t="shared" si="939"/>
        <v>0</v>
      </c>
      <c r="AP258" s="421">
        <f t="shared" si="940"/>
        <v>0</v>
      </c>
      <c r="AQ258" s="421">
        <f t="shared" si="941"/>
        <v>0</v>
      </c>
      <c r="AR258" s="421">
        <f t="shared" si="942"/>
        <v>370801</v>
      </c>
      <c r="AS258" s="421">
        <f t="shared" si="942"/>
        <v>0</v>
      </c>
      <c r="AT258" s="421">
        <f t="shared" si="943"/>
        <v>370801</v>
      </c>
      <c r="AU258" s="68">
        <f t="shared" si="944"/>
        <v>125331</v>
      </c>
      <c r="AV258" s="68">
        <f t="shared" si="945"/>
        <v>3708</v>
      </c>
      <c r="AW258" s="421">
        <v>0</v>
      </c>
      <c r="AX258" s="421">
        <v>0</v>
      </c>
      <c r="AY258" s="421">
        <f t="shared" si="946"/>
        <v>0</v>
      </c>
      <c r="AZ258" s="421">
        <f t="shared" si="947"/>
        <v>499840</v>
      </c>
      <c r="BA258" s="422">
        <v>0</v>
      </c>
      <c r="BB258" s="422">
        <v>0</v>
      </c>
      <c r="BC258" s="422">
        <v>1</v>
      </c>
      <c r="BD258" s="422">
        <v>0</v>
      </c>
      <c r="BE258" s="422">
        <v>0</v>
      </c>
      <c r="BF258" s="422">
        <v>0</v>
      </c>
      <c r="BG258" s="422">
        <v>0</v>
      </c>
      <c r="BH258" s="422">
        <v>0</v>
      </c>
      <c r="BI258" s="422">
        <v>0</v>
      </c>
      <c r="BJ258" s="422">
        <v>0</v>
      </c>
      <c r="BK258" s="422">
        <f t="shared" si="948"/>
        <v>1</v>
      </c>
      <c r="BL258" s="422">
        <f t="shared" si="949"/>
        <v>0</v>
      </c>
      <c r="BM258" s="611">
        <f t="shared" si="950"/>
        <v>1</v>
      </c>
      <c r="BN258" s="428">
        <f t="shared" si="951"/>
        <v>499840</v>
      </c>
      <c r="BO258" s="421">
        <f t="shared" si="952"/>
        <v>370801</v>
      </c>
      <c r="BP258" s="421">
        <f t="shared" si="953"/>
        <v>370801</v>
      </c>
      <c r="BQ258" s="421">
        <f t="shared" si="953"/>
        <v>0</v>
      </c>
      <c r="BR258" s="421">
        <f t="shared" si="954"/>
        <v>0</v>
      </c>
      <c r="BS258" s="421">
        <f t="shared" si="955"/>
        <v>0</v>
      </c>
      <c r="BT258" s="421">
        <f t="shared" si="955"/>
        <v>0</v>
      </c>
      <c r="BU258" s="421">
        <f t="shared" si="956"/>
        <v>125331</v>
      </c>
      <c r="BV258" s="421">
        <f t="shared" si="956"/>
        <v>3708</v>
      </c>
      <c r="BW258" s="421">
        <f t="shared" si="957"/>
        <v>0</v>
      </c>
      <c r="BX258" s="422">
        <f t="shared" si="958"/>
        <v>1</v>
      </c>
      <c r="BY258" s="422">
        <f t="shared" si="959"/>
        <v>1</v>
      </c>
      <c r="BZ258" s="611">
        <f t="shared" si="959"/>
        <v>0</v>
      </c>
      <c r="CA258" s="423"/>
      <c r="CB258" s="418"/>
      <c r="CC258" s="418"/>
      <c r="CD258" s="418"/>
      <c r="CE258" s="418"/>
      <c r="CF258" s="527"/>
    </row>
    <row r="259" spans="1:84" s="222" customFormat="1" ht="12.75" customHeight="1" x14ac:dyDescent="0.2">
      <c r="A259" s="210">
        <v>47</v>
      </c>
      <c r="B259" s="211">
        <v>4427</v>
      </c>
      <c r="C259" s="211">
        <v>600074188</v>
      </c>
      <c r="D259" s="211">
        <v>70982678</v>
      </c>
      <c r="E259" s="209" t="s">
        <v>785</v>
      </c>
      <c r="F259" s="211">
        <v>3141</v>
      </c>
      <c r="G259" s="165" t="s">
        <v>295</v>
      </c>
      <c r="H259" s="699" t="s">
        <v>272</v>
      </c>
      <c r="I259" s="528">
        <f t="shared" si="931"/>
        <v>514544</v>
      </c>
      <c r="J259" s="418">
        <f t="shared" si="932"/>
        <v>380168</v>
      </c>
      <c r="K259" s="418">
        <v>0</v>
      </c>
      <c r="L259" s="418">
        <v>380168</v>
      </c>
      <c r="M259" s="418">
        <f t="shared" si="933"/>
        <v>0</v>
      </c>
      <c r="N259" s="418"/>
      <c r="O259" s="418"/>
      <c r="P259" s="68">
        <f t="shared" si="960"/>
        <v>128497</v>
      </c>
      <c r="Q259" s="68">
        <f t="shared" si="961"/>
        <v>3802</v>
      </c>
      <c r="R259" s="418">
        <v>2077</v>
      </c>
      <c r="S259" s="419">
        <f t="shared" si="934"/>
        <v>1.1399999999999999</v>
      </c>
      <c r="T259" s="420">
        <v>0</v>
      </c>
      <c r="U259" s="527">
        <v>1.1399999999999999</v>
      </c>
      <c r="V259" s="427">
        <f t="shared" si="935"/>
        <v>0</v>
      </c>
      <c r="W259" s="421">
        <f t="shared" si="935"/>
        <v>0</v>
      </c>
      <c r="X259" s="421">
        <v>0</v>
      </c>
      <c r="Y259" s="421">
        <v>0</v>
      </c>
      <c r="Z259" s="421">
        <v>0</v>
      </c>
      <c r="AA259" s="421">
        <v>0</v>
      </c>
      <c r="AB259" s="421">
        <v>0</v>
      </c>
      <c r="AC259" s="421">
        <v>0</v>
      </c>
      <c r="AD259" s="421">
        <v>0</v>
      </c>
      <c r="AE259" s="421">
        <v>0</v>
      </c>
      <c r="AF259" s="421">
        <f t="shared" si="936"/>
        <v>0</v>
      </c>
      <c r="AG259" s="421">
        <f t="shared" si="937"/>
        <v>0</v>
      </c>
      <c r="AH259" s="421">
        <f t="shared" si="938"/>
        <v>0</v>
      </c>
      <c r="AI259" s="421">
        <v>0</v>
      </c>
      <c r="AJ259" s="421">
        <v>0</v>
      </c>
      <c r="AK259" s="421">
        <v>0</v>
      </c>
      <c r="AL259" s="421">
        <v>0</v>
      </c>
      <c r="AM259" s="421">
        <v>0</v>
      </c>
      <c r="AN259" s="421">
        <v>0</v>
      </c>
      <c r="AO259" s="421">
        <f t="shared" si="939"/>
        <v>0</v>
      </c>
      <c r="AP259" s="421">
        <f t="shared" si="940"/>
        <v>0</v>
      </c>
      <c r="AQ259" s="421">
        <f t="shared" si="941"/>
        <v>0</v>
      </c>
      <c r="AR259" s="421">
        <f t="shared" si="942"/>
        <v>0</v>
      </c>
      <c r="AS259" s="421">
        <f t="shared" si="942"/>
        <v>0</v>
      </c>
      <c r="AT259" s="421">
        <f t="shared" si="943"/>
        <v>0</v>
      </c>
      <c r="AU259" s="68">
        <f t="shared" si="944"/>
        <v>0</v>
      </c>
      <c r="AV259" s="68">
        <f t="shared" si="945"/>
        <v>0</v>
      </c>
      <c r="AW259" s="421">
        <v>0</v>
      </c>
      <c r="AX259" s="421">
        <v>0</v>
      </c>
      <c r="AY259" s="421">
        <f t="shared" si="946"/>
        <v>0</v>
      </c>
      <c r="AZ259" s="421">
        <f t="shared" si="947"/>
        <v>0</v>
      </c>
      <c r="BA259" s="422">
        <v>0</v>
      </c>
      <c r="BB259" s="422">
        <v>0</v>
      </c>
      <c r="BC259" s="422">
        <v>0</v>
      </c>
      <c r="BD259" s="422">
        <v>0</v>
      </c>
      <c r="BE259" s="422">
        <v>0</v>
      </c>
      <c r="BF259" s="422">
        <v>0</v>
      </c>
      <c r="BG259" s="422">
        <v>0</v>
      </c>
      <c r="BH259" s="422">
        <v>0</v>
      </c>
      <c r="BI259" s="422">
        <v>0</v>
      </c>
      <c r="BJ259" s="422">
        <v>0</v>
      </c>
      <c r="BK259" s="422">
        <f t="shared" si="948"/>
        <v>0</v>
      </c>
      <c r="BL259" s="422">
        <f t="shared" si="949"/>
        <v>0</v>
      </c>
      <c r="BM259" s="611">
        <f t="shared" si="950"/>
        <v>0</v>
      </c>
      <c r="BN259" s="428">
        <f t="shared" si="951"/>
        <v>514544</v>
      </c>
      <c r="BO259" s="421">
        <f t="shared" si="952"/>
        <v>380168</v>
      </c>
      <c r="BP259" s="421">
        <f t="shared" si="953"/>
        <v>0</v>
      </c>
      <c r="BQ259" s="421">
        <f t="shared" si="953"/>
        <v>380168</v>
      </c>
      <c r="BR259" s="421">
        <f t="shared" si="954"/>
        <v>0</v>
      </c>
      <c r="BS259" s="421">
        <f t="shared" si="955"/>
        <v>0</v>
      </c>
      <c r="BT259" s="421">
        <f t="shared" si="955"/>
        <v>0</v>
      </c>
      <c r="BU259" s="421">
        <f t="shared" si="956"/>
        <v>128497</v>
      </c>
      <c r="BV259" s="421">
        <f t="shared" si="956"/>
        <v>3802</v>
      </c>
      <c r="BW259" s="421">
        <f t="shared" si="957"/>
        <v>2077</v>
      </c>
      <c r="BX259" s="422">
        <f t="shared" si="958"/>
        <v>1.1399999999999999</v>
      </c>
      <c r="BY259" s="422">
        <f t="shared" si="959"/>
        <v>0</v>
      </c>
      <c r="BZ259" s="611">
        <f t="shared" si="959"/>
        <v>1.1399999999999999</v>
      </c>
      <c r="CA259" s="423"/>
      <c r="CB259" s="418"/>
      <c r="CC259" s="418"/>
      <c r="CD259" s="418"/>
      <c r="CE259" s="418"/>
      <c r="CF259" s="527"/>
    </row>
    <row r="260" spans="1:84" s="222" customFormat="1" ht="12.75" customHeight="1" x14ac:dyDescent="0.2">
      <c r="A260" s="210">
        <v>47</v>
      </c>
      <c r="B260" s="211">
        <v>4427</v>
      </c>
      <c r="C260" s="211">
        <v>600074188</v>
      </c>
      <c r="D260" s="211">
        <v>70982678</v>
      </c>
      <c r="E260" s="209" t="s">
        <v>785</v>
      </c>
      <c r="F260" s="211">
        <v>3143</v>
      </c>
      <c r="G260" s="165" t="s">
        <v>596</v>
      </c>
      <c r="H260" s="686" t="s">
        <v>271</v>
      </c>
      <c r="I260" s="528">
        <f t="shared" si="931"/>
        <v>593524</v>
      </c>
      <c r="J260" s="418">
        <f t="shared" si="932"/>
        <v>440300</v>
      </c>
      <c r="K260" s="418">
        <v>440300</v>
      </c>
      <c r="L260" s="418">
        <v>0</v>
      </c>
      <c r="M260" s="418">
        <f t="shared" si="933"/>
        <v>0</v>
      </c>
      <c r="N260" s="418"/>
      <c r="O260" s="418"/>
      <c r="P260" s="68">
        <f t="shared" si="960"/>
        <v>148821</v>
      </c>
      <c r="Q260" s="68">
        <f t="shared" si="961"/>
        <v>4403</v>
      </c>
      <c r="R260" s="418">
        <v>0</v>
      </c>
      <c r="S260" s="419">
        <f t="shared" si="934"/>
        <v>0.97409999999999997</v>
      </c>
      <c r="T260" s="420">
        <v>0.97409999999999997</v>
      </c>
      <c r="U260" s="527">
        <v>0</v>
      </c>
      <c r="V260" s="427">
        <f t="shared" si="935"/>
        <v>0</v>
      </c>
      <c r="W260" s="421">
        <f t="shared" si="935"/>
        <v>0</v>
      </c>
      <c r="X260" s="421">
        <v>0</v>
      </c>
      <c r="Y260" s="421">
        <v>0</v>
      </c>
      <c r="Z260" s="421">
        <v>0</v>
      </c>
      <c r="AA260" s="421">
        <v>0</v>
      </c>
      <c r="AB260" s="421">
        <v>0</v>
      </c>
      <c r="AC260" s="421">
        <v>0</v>
      </c>
      <c r="AD260" s="421">
        <v>0</v>
      </c>
      <c r="AE260" s="421">
        <v>0</v>
      </c>
      <c r="AF260" s="421">
        <f t="shared" si="936"/>
        <v>0</v>
      </c>
      <c r="AG260" s="421">
        <f t="shared" si="937"/>
        <v>0</v>
      </c>
      <c r="AH260" s="421">
        <f t="shared" si="938"/>
        <v>0</v>
      </c>
      <c r="AI260" s="421">
        <v>0</v>
      </c>
      <c r="AJ260" s="421">
        <v>0</v>
      </c>
      <c r="AK260" s="421">
        <v>0</v>
      </c>
      <c r="AL260" s="421">
        <v>0</v>
      </c>
      <c r="AM260" s="421">
        <v>0</v>
      </c>
      <c r="AN260" s="421">
        <v>0</v>
      </c>
      <c r="AO260" s="421">
        <f t="shared" si="939"/>
        <v>0</v>
      </c>
      <c r="AP260" s="421">
        <f t="shared" si="940"/>
        <v>0</v>
      </c>
      <c r="AQ260" s="421">
        <f t="shared" si="941"/>
        <v>0</v>
      </c>
      <c r="AR260" s="421">
        <f t="shared" si="942"/>
        <v>0</v>
      </c>
      <c r="AS260" s="421">
        <f t="shared" si="942"/>
        <v>0</v>
      </c>
      <c r="AT260" s="421">
        <f t="shared" si="943"/>
        <v>0</v>
      </c>
      <c r="AU260" s="68">
        <f t="shared" si="944"/>
        <v>0</v>
      </c>
      <c r="AV260" s="68">
        <f t="shared" si="945"/>
        <v>0</v>
      </c>
      <c r="AW260" s="421">
        <v>0</v>
      </c>
      <c r="AX260" s="421">
        <v>0</v>
      </c>
      <c r="AY260" s="421">
        <f t="shared" si="946"/>
        <v>0</v>
      </c>
      <c r="AZ260" s="421">
        <f t="shared" si="947"/>
        <v>0</v>
      </c>
      <c r="BA260" s="422">
        <v>0</v>
      </c>
      <c r="BB260" s="422">
        <v>0</v>
      </c>
      <c r="BC260" s="422">
        <v>0</v>
      </c>
      <c r="BD260" s="422">
        <v>0</v>
      </c>
      <c r="BE260" s="422">
        <v>0</v>
      </c>
      <c r="BF260" s="422">
        <v>0</v>
      </c>
      <c r="BG260" s="422">
        <v>0</v>
      </c>
      <c r="BH260" s="422">
        <v>0</v>
      </c>
      <c r="BI260" s="422">
        <v>0</v>
      </c>
      <c r="BJ260" s="422">
        <v>0</v>
      </c>
      <c r="BK260" s="422">
        <f t="shared" si="948"/>
        <v>0</v>
      </c>
      <c r="BL260" s="422">
        <f t="shared" si="949"/>
        <v>0</v>
      </c>
      <c r="BM260" s="611">
        <f t="shared" si="950"/>
        <v>0</v>
      </c>
      <c r="BN260" s="428">
        <f t="shared" si="951"/>
        <v>593524</v>
      </c>
      <c r="BO260" s="421">
        <f t="shared" si="952"/>
        <v>440300</v>
      </c>
      <c r="BP260" s="421">
        <f t="shared" si="953"/>
        <v>440300</v>
      </c>
      <c r="BQ260" s="421">
        <f t="shared" si="953"/>
        <v>0</v>
      </c>
      <c r="BR260" s="421">
        <f t="shared" si="954"/>
        <v>0</v>
      </c>
      <c r="BS260" s="421">
        <f t="shared" si="955"/>
        <v>0</v>
      </c>
      <c r="BT260" s="421">
        <f t="shared" si="955"/>
        <v>0</v>
      </c>
      <c r="BU260" s="421">
        <f t="shared" si="956"/>
        <v>148821</v>
      </c>
      <c r="BV260" s="421">
        <f t="shared" si="956"/>
        <v>4403</v>
      </c>
      <c r="BW260" s="421">
        <f t="shared" si="957"/>
        <v>0</v>
      </c>
      <c r="BX260" s="422">
        <f t="shared" si="958"/>
        <v>0.97409999999999997</v>
      </c>
      <c r="BY260" s="422">
        <f t="shared" si="959"/>
        <v>0.97409999999999997</v>
      </c>
      <c r="BZ260" s="611">
        <f t="shared" si="959"/>
        <v>0</v>
      </c>
      <c r="CA260" s="423"/>
      <c r="CB260" s="418"/>
      <c r="CC260" s="418"/>
      <c r="CD260" s="418"/>
      <c r="CE260" s="418"/>
      <c r="CF260" s="527"/>
    </row>
    <row r="261" spans="1:84" s="222" customFormat="1" ht="12.75" customHeight="1" x14ac:dyDescent="0.2">
      <c r="A261" s="210">
        <v>47</v>
      </c>
      <c r="B261" s="211">
        <v>4427</v>
      </c>
      <c r="C261" s="211">
        <v>600074188</v>
      </c>
      <c r="D261" s="211">
        <v>70982678</v>
      </c>
      <c r="E261" s="209" t="s">
        <v>785</v>
      </c>
      <c r="F261" s="211">
        <v>3143</v>
      </c>
      <c r="G261" s="165" t="s">
        <v>597</v>
      </c>
      <c r="H261" s="686" t="s">
        <v>272</v>
      </c>
      <c r="I261" s="528">
        <f t="shared" si="931"/>
        <v>8704</v>
      </c>
      <c r="J261" s="418">
        <f t="shared" si="932"/>
        <v>6230</v>
      </c>
      <c r="K261" s="418">
        <v>0</v>
      </c>
      <c r="L261" s="418">
        <v>6230</v>
      </c>
      <c r="M261" s="418">
        <f t="shared" si="933"/>
        <v>0</v>
      </c>
      <c r="N261" s="418"/>
      <c r="O261" s="418"/>
      <c r="P261" s="68">
        <f t="shared" si="960"/>
        <v>2106</v>
      </c>
      <c r="Q261" s="68">
        <f t="shared" si="961"/>
        <v>62</v>
      </c>
      <c r="R261" s="418">
        <v>306</v>
      </c>
      <c r="S261" s="419">
        <f t="shared" si="934"/>
        <v>0.02</v>
      </c>
      <c r="T261" s="420">
        <v>0</v>
      </c>
      <c r="U261" s="527">
        <v>0.02</v>
      </c>
      <c r="V261" s="427">
        <f t="shared" si="935"/>
        <v>0</v>
      </c>
      <c r="W261" s="421">
        <f t="shared" si="935"/>
        <v>0</v>
      </c>
      <c r="X261" s="421">
        <v>0</v>
      </c>
      <c r="Y261" s="421">
        <v>0</v>
      </c>
      <c r="Z261" s="421">
        <v>0</v>
      </c>
      <c r="AA261" s="421">
        <v>0</v>
      </c>
      <c r="AB261" s="421">
        <v>0</v>
      </c>
      <c r="AC261" s="421">
        <v>0</v>
      </c>
      <c r="AD261" s="421">
        <v>0</v>
      </c>
      <c r="AE261" s="421">
        <v>0</v>
      </c>
      <c r="AF261" s="421">
        <f t="shared" si="936"/>
        <v>0</v>
      </c>
      <c r="AG261" s="421">
        <f t="shared" si="937"/>
        <v>0</v>
      </c>
      <c r="AH261" s="421">
        <f t="shared" si="938"/>
        <v>0</v>
      </c>
      <c r="AI261" s="421">
        <v>0</v>
      </c>
      <c r="AJ261" s="421">
        <v>0</v>
      </c>
      <c r="AK261" s="421">
        <v>0</v>
      </c>
      <c r="AL261" s="421">
        <v>0</v>
      </c>
      <c r="AM261" s="421">
        <v>0</v>
      </c>
      <c r="AN261" s="421">
        <v>0</v>
      </c>
      <c r="AO261" s="421">
        <f t="shared" si="939"/>
        <v>0</v>
      </c>
      <c r="AP261" s="421">
        <f t="shared" si="940"/>
        <v>0</v>
      </c>
      <c r="AQ261" s="421">
        <f t="shared" si="941"/>
        <v>0</v>
      </c>
      <c r="AR261" s="421">
        <f t="shared" si="942"/>
        <v>0</v>
      </c>
      <c r="AS261" s="421">
        <f t="shared" si="942"/>
        <v>0</v>
      </c>
      <c r="AT261" s="421">
        <f t="shared" si="943"/>
        <v>0</v>
      </c>
      <c r="AU261" s="68">
        <f t="shared" si="944"/>
        <v>0</v>
      </c>
      <c r="AV261" s="68">
        <f t="shared" si="945"/>
        <v>0</v>
      </c>
      <c r="AW261" s="421">
        <v>0</v>
      </c>
      <c r="AX261" s="421">
        <v>0</v>
      </c>
      <c r="AY261" s="421">
        <f t="shared" si="946"/>
        <v>0</v>
      </c>
      <c r="AZ261" s="421">
        <f t="shared" si="947"/>
        <v>0</v>
      </c>
      <c r="BA261" s="422">
        <v>0</v>
      </c>
      <c r="BB261" s="422">
        <v>0</v>
      </c>
      <c r="BC261" s="422">
        <v>0</v>
      </c>
      <c r="BD261" s="422">
        <v>0</v>
      </c>
      <c r="BE261" s="422">
        <v>0</v>
      </c>
      <c r="BF261" s="422">
        <v>0</v>
      </c>
      <c r="BG261" s="422">
        <v>0</v>
      </c>
      <c r="BH261" s="422">
        <v>0</v>
      </c>
      <c r="BI261" s="422">
        <v>0</v>
      </c>
      <c r="BJ261" s="422">
        <v>0</v>
      </c>
      <c r="BK261" s="422">
        <f t="shared" si="948"/>
        <v>0</v>
      </c>
      <c r="BL261" s="422">
        <f t="shared" si="949"/>
        <v>0</v>
      </c>
      <c r="BM261" s="611">
        <f t="shared" si="950"/>
        <v>0</v>
      </c>
      <c r="BN261" s="428">
        <f t="shared" si="951"/>
        <v>8704</v>
      </c>
      <c r="BO261" s="421">
        <f t="shared" si="952"/>
        <v>6230</v>
      </c>
      <c r="BP261" s="421">
        <f t="shared" si="953"/>
        <v>0</v>
      </c>
      <c r="BQ261" s="421">
        <f t="shared" si="953"/>
        <v>6230</v>
      </c>
      <c r="BR261" s="421">
        <f t="shared" si="954"/>
        <v>0</v>
      </c>
      <c r="BS261" s="421">
        <f t="shared" si="955"/>
        <v>0</v>
      </c>
      <c r="BT261" s="421">
        <f t="shared" si="955"/>
        <v>0</v>
      </c>
      <c r="BU261" s="421">
        <f t="shared" si="956"/>
        <v>2106</v>
      </c>
      <c r="BV261" s="421">
        <f t="shared" si="956"/>
        <v>62</v>
      </c>
      <c r="BW261" s="421">
        <f t="shared" si="957"/>
        <v>306</v>
      </c>
      <c r="BX261" s="422">
        <f t="shared" si="958"/>
        <v>0.02</v>
      </c>
      <c r="BY261" s="422">
        <f t="shared" si="959"/>
        <v>0</v>
      </c>
      <c r="BZ261" s="611">
        <f t="shared" si="959"/>
        <v>0.02</v>
      </c>
      <c r="CA261" s="423"/>
      <c r="CB261" s="418"/>
      <c r="CC261" s="418"/>
      <c r="CD261" s="418"/>
      <c r="CE261" s="418"/>
      <c r="CF261" s="527"/>
    </row>
    <row r="262" spans="1:84" s="222" customFormat="1" ht="12.75" customHeight="1" x14ac:dyDescent="0.2">
      <c r="A262" s="155">
        <v>47</v>
      </c>
      <c r="B262" s="18">
        <v>4427</v>
      </c>
      <c r="C262" s="18">
        <v>600074188</v>
      </c>
      <c r="D262" s="18">
        <v>70982678</v>
      </c>
      <c r="E262" s="164" t="s">
        <v>786</v>
      </c>
      <c r="F262" s="18"/>
      <c r="G262" s="154"/>
      <c r="H262" s="685"/>
      <c r="I262" s="458">
        <f t="shared" ref="I262:BT262" si="962">SUM(I256:I261)</f>
        <v>6782726</v>
      </c>
      <c r="J262" s="451">
        <f t="shared" si="962"/>
        <v>5006348</v>
      </c>
      <c r="K262" s="451">
        <f t="shared" si="962"/>
        <v>4174136</v>
      </c>
      <c r="L262" s="451">
        <f t="shared" si="962"/>
        <v>832212</v>
      </c>
      <c r="M262" s="451">
        <f t="shared" si="962"/>
        <v>0</v>
      </c>
      <c r="N262" s="451">
        <f t="shared" si="962"/>
        <v>0</v>
      </c>
      <c r="O262" s="451">
        <f t="shared" si="962"/>
        <v>0</v>
      </c>
      <c r="P262" s="451">
        <f t="shared" si="962"/>
        <v>1692146</v>
      </c>
      <c r="Q262" s="451">
        <f t="shared" si="962"/>
        <v>50064</v>
      </c>
      <c r="R262" s="451">
        <f t="shared" si="962"/>
        <v>34168</v>
      </c>
      <c r="S262" s="452">
        <f t="shared" si="962"/>
        <v>10.0146</v>
      </c>
      <c r="T262" s="452">
        <f t="shared" si="962"/>
        <v>7.4580000000000002</v>
      </c>
      <c r="U262" s="39">
        <f t="shared" si="962"/>
        <v>2.5566</v>
      </c>
      <c r="V262" s="458">
        <f t="shared" si="962"/>
        <v>0</v>
      </c>
      <c r="W262" s="451">
        <f t="shared" si="962"/>
        <v>-32000</v>
      </c>
      <c r="X262" s="451">
        <f t="shared" si="962"/>
        <v>370801</v>
      </c>
      <c r="Y262" s="451">
        <f t="shared" si="962"/>
        <v>0</v>
      </c>
      <c r="Z262" s="451">
        <f t="shared" si="962"/>
        <v>0</v>
      </c>
      <c r="AA262" s="451">
        <f t="shared" si="962"/>
        <v>0</v>
      </c>
      <c r="AB262" s="451">
        <f t="shared" si="962"/>
        <v>0</v>
      </c>
      <c r="AC262" s="451">
        <f t="shared" si="962"/>
        <v>0</v>
      </c>
      <c r="AD262" s="451">
        <f t="shared" si="962"/>
        <v>0</v>
      </c>
      <c r="AE262" s="451">
        <f t="shared" si="962"/>
        <v>0</v>
      </c>
      <c r="AF262" s="451">
        <f t="shared" si="962"/>
        <v>370801</v>
      </c>
      <c r="AG262" s="451">
        <f t="shared" si="962"/>
        <v>-32000</v>
      </c>
      <c r="AH262" s="451">
        <f t="shared" si="962"/>
        <v>338801</v>
      </c>
      <c r="AI262" s="451">
        <f t="shared" si="962"/>
        <v>0</v>
      </c>
      <c r="AJ262" s="451">
        <f t="shared" si="962"/>
        <v>32000</v>
      </c>
      <c r="AK262" s="451">
        <f t="shared" ref="AK262" si="963">SUM(AK256:AK261)</f>
        <v>0</v>
      </c>
      <c r="AL262" s="451">
        <f t="shared" si="962"/>
        <v>0</v>
      </c>
      <c r="AM262" s="451">
        <f t="shared" si="962"/>
        <v>0</v>
      </c>
      <c r="AN262" s="451">
        <f t="shared" si="962"/>
        <v>0</v>
      </c>
      <c r="AO262" s="451">
        <f t="shared" si="962"/>
        <v>0</v>
      </c>
      <c r="AP262" s="451">
        <f t="shared" si="962"/>
        <v>32000</v>
      </c>
      <c r="AQ262" s="451">
        <f t="shared" si="962"/>
        <v>32000</v>
      </c>
      <c r="AR262" s="451">
        <f t="shared" si="962"/>
        <v>370801</v>
      </c>
      <c r="AS262" s="451">
        <f t="shared" si="962"/>
        <v>0</v>
      </c>
      <c r="AT262" s="451">
        <f t="shared" si="962"/>
        <v>370801</v>
      </c>
      <c r="AU262" s="451">
        <f t="shared" si="962"/>
        <v>125331</v>
      </c>
      <c r="AV262" s="451">
        <f t="shared" si="962"/>
        <v>3388</v>
      </c>
      <c r="AW262" s="451">
        <f t="shared" si="962"/>
        <v>0</v>
      </c>
      <c r="AX262" s="451">
        <f t="shared" si="962"/>
        <v>0</v>
      </c>
      <c r="AY262" s="451">
        <f t="shared" si="962"/>
        <v>0</v>
      </c>
      <c r="AZ262" s="451">
        <f t="shared" si="962"/>
        <v>499520</v>
      </c>
      <c r="BA262" s="452">
        <f t="shared" si="962"/>
        <v>0</v>
      </c>
      <c r="BB262" s="452">
        <f t="shared" si="962"/>
        <v>-0.09</v>
      </c>
      <c r="BC262" s="452">
        <f t="shared" si="962"/>
        <v>1</v>
      </c>
      <c r="BD262" s="452">
        <f t="shared" si="962"/>
        <v>0</v>
      </c>
      <c r="BE262" s="452">
        <f t="shared" si="962"/>
        <v>0</v>
      </c>
      <c r="BF262" s="452">
        <f t="shared" si="962"/>
        <v>0</v>
      </c>
      <c r="BG262" s="452">
        <f t="shared" si="962"/>
        <v>0</v>
      </c>
      <c r="BH262" s="452">
        <f t="shared" si="962"/>
        <v>0</v>
      </c>
      <c r="BI262" s="452">
        <f t="shared" si="962"/>
        <v>0</v>
      </c>
      <c r="BJ262" s="452">
        <f t="shared" si="962"/>
        <v>0</v>
      </c>
      <c r="BK262" s="452">
        <f t="shared" si="962"/>
        <v>1</v>
      </c>
      <c r="BL262" s="452">
        <f t="shared" si="962"/>
        <v>-0.09</v>
      </c>
      <c r="BM262" s="456">
        <f t="shared" si="962"/>
        <v>0.91</v>
      </c>
      <c r="BN262" s="454">
        <f t="shared" si="962"/>
        <v>7282246</v>
      </c>
      <c r="BO262" s="451">
        <f t="shared" si="962"/>
        <v>5345149</v>
      </c>
      <c r="BP262" s="451">
        <f t="shared" si="962"/>
        <v>4544937</v>
      </c>
      <c r="BQ262" s="451">
        <f t="shared" si="962"/>
        <v>800212</v>
      </c>
      <c r="BR262" s="451">
        <f t="shared" si="962"/>
        <v>32000</v>
      </c>
      <c r="BS262" s="451">
        <f t="shared" si="962"/>
        <v>0</v>
      </c>
      <c r="BT262" s="451">
        <f t="shared" si="962"/>
        <v>32000</v>
      </c>
      <c r="BU262" s="451">
        <f t="shared" ref="BU262:CF262" si="964">SUM(BU256:BU261)</f>
        <v>1817477</v>
      </c>
      <c r="BV262" s="451">
        <f t="shared" si="964"/>
        <v>53452</v>
      </c>
      <c r="BW262" s="451">
        <f t="shared" si="964"/>
        <v>34168</v>
      </c>
      <c r="BX262" s="452">
        <f t="shared" si="964"/>
        <v>10.924600000000002</v>
      </c>
      <c r="BY262" s="452">
        <f t="shared" si="964"/>
        <v>8.4580000000000002</v>
      </c>
      <c r="BZ262" s="456">
        <f t="shared" si="964"/>
        <v>2.4666000000000001</v>
      </c>
      <c r="CA262" s="854">
        <f t="shared" si="964"/>
        <v>0</v>
      </c>
      <c r="CB262" s="852">
        <f t="shared" si="964"/>
        <v>0</v>
      </c>
      <c r="CC262" s="852">
        <f t="shared" si="964"/>
        <v>0</v>
      </c>
      <c r="CD262" s="852">
        <f t="shared" si="964"/>
        <v>0</v>
      </c>
      <c r="CE262" s="852">
        <f t="shared" si="964"/>
        <v>0</v>
      </c>
      <c r="CF262" s="848">
        <f t="shared" si="964"/>
        <v>0</v>
      </c>
    </row>
    <row r="263" spans="1:84" s="222" customFormat="1" ht="12.75" customHeight="1" x14ac:dyDescent="0.2">
      <c r="A263" s="210">
        <v>49</v>
      </c>
      <c r="B263" s="211">
        <v>4490</v>
      </c>
      <c r="C263" s="211">
        <v>600074692</v>
      </c>
      <c r="D263" s="211">
        <v>72745088</v>
      </c>
      <c r="E263" s="209" t="s">
        <v>234</v>
      </c>
      <c r="F263" s="211">
        <v>3111</v>
      </c>
      <c r="G263" s="165" t="s">
        <v>291</v>
      </c>
      <c r="H263" s="699" t="s">
        <v>271</v>
      </c>
      <c r="I263" s="528">
        <f t="shared" ref="I263:I268" si="965">J263+P263+Q263+R263</f>
        <v>1373157</v>
      </c>
      <c r="J263" s="418">
        <f t="shared" ref="J263:J268" si="966">K263+L263</f>
        <v>1015295</v>
      </c>
      <c r="K263" s="418">
        <v>955391</v>
      </c>
      <c r="L263" s="418">
        <v>59904</v>
      </c>
      <c r="M263" s="418">
        <f t="shared" ref="M263:M268" si="967">N263+O263</f>
        <v>0</v>
      </c>
      <c r="N263" s="418"/>
      <c r="O263" s="418"/>
      <c r="P263" s="68">
        <f t="shared" ref="P263:P268" si="968">ROUND(J263*33.8%,0)</f>
        <v>343170</v>
      </c>
      <c r="Q263" s="68">
        <f t="shared" ref="Q263:Q268" si="969">ROUND(J263*1%,0)</f>
        <v>10153</v>
      </c>
      <c r="R263" s="418">
        <v>4539</v>
      </c>
      <c r="S263" s="419">
        <f t="shared" ref="S263:S268" si="970">T263+U263</f>
        <v>2.1755</v>
      </c>
      <c r="T263" s="420">
        <v>1.9355</v>
      </c>
      <c r="U263" s="527">
        <v>0.24</v>
      </c>
      <c r="V263" s="427">
        <f t="shared" ref="V263:W268" si="971">AI263*-1</f>
        <v>-1280</v>
      </c>
      <c r="W263" s="421">
        <f t="shared" si="971"/>
        <v>0</v>
      </c>
      <c r="X263" s="421">
        <v>0</v>
      </c>
      <c r="Y263" s="421">
        <v>0</v>
      </c>
      <c r="Z263" s="421">
        <v>0</v>
      </c>
      <c r="AA263" s="421">
        <v>0</v>
      </c>
      <c r="AB263" s="421">
        <v>0</v>
      </c>
      <c r="AC263" s="421">
        <v>0</v>
      </c>
      <c r="AD263" s="421">
        <v>0</v>
      </c>
      <c r="AE263" s="421">
        <v>0</v>
      </c>
      <c r="AF263" s="421">
        <f t="shared" ref="AF263:AF268" si="972">V263+X263+Y263+AA263+AB263+AD263</f>
        <v>-1280</v>
      </c>
      <c r="AG263" s="421">
        <f t="shared" ref="AG263:AG268" si="973">W263+Z263+AC263+AE263</f>
        <v>0</v>
      </c>
      <c r="AH263" s="421">
        <f t="shared" ref="AH263:AH268" si="974">SUM(AF263:AG263)</f>
        <v>-1280</v>
      </c>
      <c r="AI263" s="421">
        <v>1280</v>
      </c>
      <c r="AJ263" s="421">
        <v>0</v>
      </c>
      <c r="AK263" s="421">
        <v>0</v>
      </c>
      <c r="AL263" s="421">
        <v>0</v>
      </c>
      <c r="AM263" s="421">
        <v>0</v>
      </c>
      <c r="AN263" s="421">
        <v>0</v>
      </c>
      <c r="AO263" s="421">
        <f t="shared" ref="AO263:AO268" si="975">AI263+AK263+AL263+AM263</f>
        <v>1280</v>
      </c>
      <c r="AP263" s="421">
        <f t="shared" ref="AP263:AP268" si="976">AJ263+AN263</f>
        <v>0</v>
      </c>
      <c r="AQ263" s="421">
        <f t="shared" ref="AQ263:AQ268" si="977">SUM(AO263:AP263)</f>
        <v>1280</v>
      </c>
      <c r="AR263" s="421">
        <f t="shared" ref="AR263:AS268" si="978">AF263+AO263</f>
        <v>0</v>
      </c>
      <c r="AS263" s="421">
        <f t="shared" si="978"/>
        <v>0</v>
      </c>
      <c r="AT263" s="421">
        <f t="shared" ref="AT263:AT268" si="979">SUM(AR263:AS263)</f>
        <v>0</v>
      </c>
      <c r="AU263" s="68">
        <f t="shared" ref="AU263:AU268" si="980">ROUND((AH263+AI263+AJ263+AK263+AL263)*33.8%,0)</f>
        <v>0</v>
      </c>
      <c r="AV263" s="68">
        <f t="shared" ref="AV263:AV268" si="981">ROUND(AH263*1%,0)</f>
        <v>-13</v>
      </c>
      <c r="AW263" s="421">
        <v>0</v>
      </c>
      <c r="AX263" s="421">
        <v>0</v>
      </c>
      <c r="AY263" s="421">
        <f t="shared" ref="AY263:AY268" si="982">AW263+AX263</f>
        <v>0</v>
      </c>
      <c r="AZ263" s="421">
        <f t="shared" ref="AZ263:AZ268" si="983">AT263+AU263+AV263+AY263</f>
        <v>-13</v>
      </c>
      <c r="BA263" s="422">
        <v>0</v>
      </c>
      <c r="BB263" s="422">
        <v>0</v>
      </c>
      <c r="BC263" s="422">
        <v>0</v>
      </c>
      <c r="BD263" s="422">
        <v>0</v>
      </c>
      <c r="BE263" s="422">
        <v>0</v>
      </c>
      <c r="BF263" s="422">
        <v>0</v>
      </c>
      <c r="BG263" s="422">
        <v>0</v>
      </c>
      <c r="BH263" s="422">
        <v>0</v>
      </c>
      <c r="BI263" s="422">
        <v>0</v>
      </c>
      <c r="BJ263" s="422">
        <v>0</v>
      </c>
      <c r="BK263" s="422">
        <f t="shared" ref="BK263:BK268" si="984">BA263+BC263+BD263+BF263+BH263+BI263</f>
        <v>0</v>
      </c>
      <c r="BL263" s="422">
        <f t="shared" ref="BL263:BL268" si="985">BB263+BE263+BG263+BJ263</f>
        <v>0</v>
      </c>
      <c r="BM263" s="611">
        <f t="shared" ref="BM263:BM268" si="986">SUM(BK263:BL263)</f>
        <v>0</v>
      </c>
      <c r="BN263" s="428">
        <f t="shared" ref="BN263:BN268" si="987">I263+AZ263</f>
        <v>1373144</v>
      </c>
      <c r="BO263" s="421">
        <f t="shared" ref="BO263:BO268" si="988">J263+AH263</f>
        <v>1014015</v>
      </c>
      <c r="BP263" s="421">
        <f t="shared" ref="BP263:BQ268" si="989">K263+AF263</f>
        <v>954111</v>
      </c>
      <c r="BQ263" s="421">
        <f t="shared" si="989"/>
        <v>59904</v>
      </c>
      <c r="BR263" s="421">
        <f t="shared" ref="BR263:BR268" si="990">M263+AQ263</f>
        <v>1280</v>
      </c>
      <c r="BS263" s="421">
        <f t="shared" ref="BS263:BT268" si="991">N263+AO263</f>
        <v>1280</v>
      </c>
      <c r="BT263" s="421">
        <f t="shared" si="991"/>
        <v>0</v>
      </c>
      <c r="BU263" s="421">
        <f t="shared" ref="BU263:BV268" si="992">P263+AU263</f>
        <v>343170</v>
      </c>
      <c r="BV263" s="421">
        <f t="shared" si="992"/>
        <v>10140</v>
      </c>
      <c r="BW263" s="421">
        <f t="shared" ref="BW263:BW268" si="993">R263+AY263</f>
        <v>4539</v>
      </c>
      <c r="BX263" s="422">
        <f t="shared" ref="BX263:BX268" si="994">S263+BM263</f>
        <v>2.1755</v>
      </c>
      <c r="BY263" s="422">
        <f t="shared" ref="BY263:BZ268" si="995">T263+BK263</f>
        <v>1.9355</v>
      </c>
      <c r="BZ263" s="611">
        <f t="shared" si="995"/>
        <v>0.24</v>
      </c>
      <c r="CA263" s="423"/>
      <c r="CB263" s="418"/>
      <c r="CC263" s="418"/>
      <c r="CD263" s="418"/>
      <c r="CE263" s="418"/>
      <c r="CF263" s="527"/>
    </row>
    <row r="264" spans="1:84" s="222" customFormat="1" ht="12.75" customHeight="1" x14ac:dyDescent="0.2">
      <c r="A264" s="210">
        <v>49</v>
      </c>
      <c r="B264" s="211">
        <v>4490</v>
      </c>
      <c r="C264" s="211">
        <v>600074692</v>
      </c>
      <c r="D264" s="211">
        <v>72745088</v>
      </c>
      <c r="E264" s="209" t="s">
        <v>234</v>
      </c>
      <c r="F264" s="211">
        <v>3117</v>
      </c>
      <c r="G264" s="165" t="s">
        <v>294</v>
      </c>
      <c r="H264" s="699" t="s">
        <v>271</v>
      </c>
      <c r="I264" s="528">
        <f t="shared" si="965"/>
        <v>2088873</v>
      </c>
      <c r="J264" s="418">
        <f t="shared" si="966"/>
        <v>1534261</v>
      </c>
      <c r="K264" s="418">
        <v>1334819</v>
      </c>
      <c r="L264" s="418">
        <v>199442</v>
      </c>
      <c r="M264" s="418">
        <f t="shared" si="967"/>
        <v>0</v>
      </c>
      <c r="N264" s="418"/>
      <c r="O264" s="418"/>
      <c r="P264" s="68">
        <f t="shared" si="968"/>
        <v>518580</v>
      </c>
      <c r="Q264" s="68">
        <f t="shared" si="969"/>
        <v>15343</v>
      </c>
      <c r="R264" s="418">
        <v>20689</v>
      </c>
      <c r="S264" s="419">
        <f t="shared" si="970"/>
        <v>2.9628000000000001</v>
      </c>
      <c r="T264" s="420">
        <v>2.4518</v>
      </c>
      <c r="U264" s="527">
        <v>0.51100000000000001</v>
      </c>
      <c r="V264" s="427">
        <f t="shared" si="971"/>
        <v>-1280</v>
      </c>
      <c r="W264" s="421">
        <f t="shared" si="971"/>
        <v>0</v>
      </c>
      <c r="X264" s="421">
        <v>0</v>
      </c>
      <c r="Y264" s="421">
        <v>0</v>
      </c>
      <c r="Z264" s="421">
        <v>0</v>
      </c>
      <c r="AA264" s="421">
        <v>0</v>
      </c>
      <c r="AB264" s="421">
        <v>0</v>
      </c>
      <c r="AC264" s="421">
        <v>0</v>
      </c>
      <c r="AD264" s="421">
        <v>0</v>
      </c>
      <c r="AE264" s="421">
        <v>0</v>
      </c>
      <c r="AF264" s="421">
        <f t="shared" si="972"/>
        <v>-1280</v>
      </c>
      <c r="AG264" s="421">
        <f t="shared" si="973"/>
        <v>0</v>
      </c>
      <c r="AH264" s="421">
        <f t="shared" si="974"/>
        <v>-1280</v>
      </c>
      <c r="AI264" s="421">
        <v>1280</v>
      </c>
      <c r="AJ264" s="421">
        <v>0</v>
      </c>
      <c r="AK264" s="421">
        <v>0</v>
      </c>
      <c r="AL264" s="421">
        <v>0</v>
      </c>
      <c r="AM264" s="421">
        <v>0</v>
      </c>
      <c r="AN264" s="421">
        <v>0</v>
      </c>
      <c r="AO264" s="421">
        <f t="shared" si="975"/>
        <v>1280</v>
      </c>
      <c r="AP264" s="421">
        <f t="shared" si="976"/>
        <v>0</v>
      </c>
      <c r="AQ264" s="421">
        <f t="shared" si="977"/>
        <v>1280</v>
      </c>
      <c r="AR264" s="421">
        <f t="shared" si="978"/>
        <v>0</v>
      </c>
      <c r="AS264" s="421">
        <f t="shared" si="978"/>
        <v>0</v>
      </c>
      <c r="AT264" s="421">
        <f t="shared" si="979"/>
        <v>0</v>
      </c>
      <c r="AU264" s="68">
        <f t="shared" si="980"/>
        <v>0</v>
      </c>
      <c r="AV264" s="68">
        <f t="shared" si="981"/>
        <v>-13</v>
      </c>
      <c r="AW264" s="421">
        <v>0</v>
      </c>
      <c r="AX264" s="421">
        <v>0</v>
      </c>
      <c r="AY264" s="421">
        <f t="shared" si="982"/>
        <v>0</v>
      </c>
      <c r="AZ264" s="421">
        <f t="shared" si="983"/>
        <v>-13</v>
      </c>
      <c r="BA264" s="422">
        <v>0</v>
      </c>
      <c r="BB264" s="422">
        <v>0</v>
      </c>
      <c r="BC264" s="422">
        <v>0</v>
      </c>
      <c r="BD264" s="422">
        <v>0</v>
      </c>
      <c r="BE264" s="422">
        <v>0</v>
      </c>
      <c r="BF264" s="422">
        <v>0</v>
      </c>
      <c r="BG264" s="422">
        <v>0</v>
      </c>
      <c r="BH264" s="422">
        <v>0</v>
      </c>
      <c r="BI264" s="422">
        <v>0</v>
      </c>
      <c r="BJ264" s="422">
        <v>0</v>
      </c>
      <c r="BK264" s="422">
        <f t="shared" si="984"/>
        <v>0</v>
      </c>
      <c r="BL264" s="422">
        <f t="shared" si="985"/>
        <v>0</v>
      </c>
      <c r="BM264" s="611">
        <f t="shared" si="986"/>
        <v>0</v>
      </c>
      <c r="BN264" s="428">
        <f t="shared" si="987"/>
        <v>2088860</v>
      </c>
      <c r="BO264" s="421">
        <f t="shared" si="988"/>
        <v>1532981</v>
      </c>
      <c r="BP264" s="421">
        <f t="shared" si="989"/>
        <v>1333539</v>
      </c>
      <c r="BQ264" s="421">
        <f t="shared" si="989"/>
        <v>199442</v>
      </c>
      <c r="BR264" s="421">
        <f t="shared" si="990"/>
        <v>1280</v>
      </c>
      <c r="BS264" s="421">
        <f t="shared" si="991"/>
        <v>1280</v>
      </c>
      <c r="BT264" s="421">
        <f t="shared" si="991"/>
        <v>0</v>
      </c>
      <c r="BU264" s="421">
        <f t="shared" si="992"/>
        <v>518580</v>
      </c>
      <c r="BV264" s="421">
        <f t="shared" si="992"/>
        <v>15330</v>
      </c>
      <c r="BW264" s="421">
        <f t="shared" si="993"/>
        <v>20689</v>
      </c>
      <c r="BX264" s="422">
        <f t="shared" si="994"/>
        <v>2.9628000000000001</v>
      </c>
      <c r="BY264" s="422">
        <f t="shared" si="995"/>
        <v>2.4518</v>
      </c>
      <c r="BZ264" s="611">
        <f t="shared" si="995"/>
        <v>0.51100000000000001</v>
      </c>
      <c r="CA264" s="423"/>
      <c r="CB264" s="418"/>
      <c r="CC264" s="418"/>
      <c r="CD264" s="418"/>
      <c r="CE264" s="418"/>
      <c r="CF264" s="527"/>
    </row>
    <row r="265" spans="1:84" s="222" customFormat="1" ht="12.75" customHeight="1" x14ac:dyDescent="0.2">
      <c r="A265" s="210">
        <v>49</v>
      </c>
      <c r="B265" s="211">
        <v>4490</v>
      </c>
      <c r="C265" s="211">
        <v>600074692</v>
      </c>
      <c r="D265" s="211">
        <v>72745088</v>
      </c>
      <c r="E265" s="209" t="s">
        <v>234</v>
      </c>
      <c r="F265" s="211">
        <v>3117</v>
      </c>
      <c r="G265" s="165" t="s">
        <v>292</v>
      </c>
      <c r="H265" s="699" t="s">
        <v>272</v>
      </c>
      <c r="I265" s="528">
        <f t="shared" si="965"/>
        <v>0</v>
      </c>
      <c r="J265" s="418">
        <f t="shared" si="966"/>
        <v>0</v>
      </c>
      <c r="K265" s="418">
        <v>0</v>
      </c>
      <c r="L265" s="418">
        <v>0</v>
      </c>
      <c r="M265" s="418">
        <f t="shared" si="967"/>
        <v>0</v>
      </c>
      <c r="N265" s="418"/>
      <c r="O265" s="418"/>
      <c r="P265" s="68">
        <f t="shared" si="968"/>
        <v>0</v>
      </c>
      <c r="Q265" s="68">
        <f t="shared" si="969"/>
        <v>0</v>
      </c>
      <c r="R265" s="418">
        <v>0</v>
      </c>
      <c r="S265" s="419">
        <f t="shared" si="970"/>
        <v>0</v>
      </c>
      <c r="T265" s="420">
        <v>0</v>
      </c>
      <c r="U265" s="527">
        <v>0</v>
      </c>
      <c r="V265" s="427">
        <f t="shared" si="971"/>
        <v>0</v>
      </c>
      <c r="W265" s="421">
        <f t="shared" si="971"/>
        <v>0</v>
      </c>
      <c r="X265" s="421">
        <v>0</v>
      </c>
      <c r="Y265" s="421">
        <v>0</v>
      </c>
      <c r="Z265" s="421">
        <v>0</v>
      </c>
      <c r="AA265" s="421">
        <v>0</v>
      </c>
      <c r="AB265" s="421">
        <v>0</v>
      </c>
      <c r="AC265" s="421">
        <v>0</v>
      </c>
      <c r="AD265" s="421">
        <v>0</v>
      </c>
      <c r="AE265" s="421">
        <v>0</v>
      </c>
      <c r="AF265" s="421">
        <f t="shared" si="972"/>
        <v>0</v>
      </c>
      <c r="AG265" s="421">
        <f t="shared" si="973"/>
        <v>0</v>
      </c>
      <c r="AH265" s="421">
        <f t="shared" si="974"/>
        <v>0</v>
      </c>
      <c r="AI265" s="421">
        <v>0</v>
      </c>
      <c r="AJ265" s="421">
        <v>0</v>
      </c>
      <c r="AK265" s="421">
        <v>0</v>
      </c>
      <c r="AL265" s="421">
        <v>0</v>
      </c>
      <c r="AM265" s="421">
        <v>0</v>
      </c>
      <c r="AN265" s="421">
        <v>0</v>
      </c>
      <c r="AO265" s="421">
        <f t="shared" si="975"/>
        <v>0</v>
      </c>
      <c r="AP265" s="421">
        <f t="shared" si="976"/>
        <v>0</v>
      </c>
      <c r="AQ265" s="421">
        <f t="shared" si="977"/>
        <v>0</v>
      </c>
      <c r="AR265" s="421">
        <f t="shared" si="978"/>
        <v>0</v>
      </c>
      <c r="AS265" s="421">
        <f t="shared" si="978"/>
        <v>0</v>
      </c>
      <c r="AT265" s="421">
        <f t="shared" si="979"/>
        <v>0</v>
      </c>
      <c r="AU265" s="68">
        <f t="shared" si="980"/>
        <v>0</v>
      </c>
      <c r="AV265" s="68">
        <f t="shared" si="981"/>
        <v>0</v>
      </c>
      <c r="AW265" s="421">
        <v>0</v>
      </c>
      <c r="AX265" s="421">
        <v>0</v>
      </c>
      <c r="AY265" s="421">
        <f t="shared" si="982"/>
        <v>0</v>
      </c>
      <c r="AZ265" s="421">
        <f t="shared" si="983"/>
        <v>0</v>
      </c>
      <c r="BA265" s="422">
        <v>0</v>
      </c>
      <c r="BB265" s="422">
        <v>0</v>
      </c>
      <c r="BC265" s="422">
        <v>0</v>
      </c>
      <c r="BD265" s="422">
        <v>0</v>
      </c>
      <c r="BE265" s="422">
        <v>0</v>
      </c>
      <c r="BF265" s="422">
        <v>0</v>
      </c>
      <c r="BG265" s="422">
        <v>0</v>
      </c>
      <c r="BH265" s="422">
        <v>0</v>
      </c>
      <c r="BI265" s="422">
        <v>0</v>
      </c>
      <c r="BJ265" s="422">
        <v>0</v>
      </c>
      <c r="BK265" s="422">
        <f t="shared" si="984"/>
        <v>0</v>
      </c>
      <c r="BL265" s="422">
        <f t="shared" si="985"/>
        <v>0</v>
      </c>
      <c r="BM265" s="611">
        <f t="shared" si="986"/>
        <v>0</v>
      </c>
      <c r="BN265" s="428">
        <f t="shared" si="987"/>
        <v>0</v>
      </c>
      <c r="BO265" s="421">
        <f t="shared" si="988"/>
        <v>0</v>
      </c>
      <c r="BP265" s="421">
        <f t="shared" si="989"/>
        <v>0</v>
      </c>
      <c r="BQ265" s="421">
        <f t="shared" si="989"/>
        <v>0</v>
      </c>
      <c r="BR265" s="421">
        <f t="shared" si="990"/>
        <v>0</v>
      </c>
      <c r="BS265" s="421">
        <f t="shared" si="991"/>
        <v>0</v>
      </c>
      <c r="BT265" s="421">
        <f t="shared" si="991"/>
        <v>0</v>
      </c>
      <c r="BU265" s="421">
        <f t="shared" si="992"/>
        <v>0</v>
      </c>
      <c r="BV265" s="421">
        <f t="shared" si="992"/>
        <v>0</v>
      </c>
      <c r="BW265" s="421">
        <f t="shared" si="993"/>
        <v>0</v>
      </c>
      <c r="BX265" s="422">
        <f t="shared" si="994"/>
        <v>0</v>
      </c>
      <c r="BY265" s="422">
        <f t="shared" si="995"/>
        <v>0</v>
      </c>
      <c r="BZ265" s="611">
        <f t="shared" si="995"/>
        <v>0</v>
      </c>
      <c r="CA265" s="423"/>
      <c r="CB265" s="418"/>
      <c r="CC265" s="418"/>
      <c r="CD265" s="418"/>
      <c r="CE265" s="418"/>
      <c r="CF265" s="527"/>
    </row>
    <row r="266" spans="1:84" s="222" customFormat="1" ht="12.75" customHeight="1" x14ac:dyDescent="0.2">
      <c r="A266" s="210">
        <v>49</v>
      </c>
      <c r="B266" s="211">
        <v>4490</v>
      </c>
      <c r="C266" s="211">
        <v>600074692</v>
      </c>
      <c r="D266" s="211">
        <v>72745088</v>
      </c>
      <c r="E266" s="209" t="s">
        <v>234</v>
      </c>
      <c r="F266" s="211">
        <v>3141</v>
      </c>
      <c r="G266" s="165" t="s">
        <v>295</v>
      </c>
      <c r="H266" s="699" t="s">
        <v>272</v>
      </c>
      <c r="I266" s="528">
        <f t="shared" si="965"/>
        <v>330761</v>
      </c>
      <c r="J266" s="418">
        <f t="shared" si="966"/>
        <v>244541</v>
      </c>
      <c r="K266" s="418">
        <v>0</v>
      </c>
      <c r="L266" s="418">
        <v>244541</v>
      </c>
      <c r="M266" s="418">
        <f t="shared" si="967"/>
        <v>0</v>
      </c>
      <c r="N266" s="418"/>
      <c r="O266" s="418"/>
      <c r="P266" s="68">
        <f t="shared" si="968"/>
        <v>82655</v>
      </c>
      <c r="Q266" s="68">
        <f t="shared" si="969"/>
        <v>2445</v>
      </c>
      <c r="R266" s="418">
        <v>1120</v>
      </c>
      <c r="S266" s="419">
        <f t="shared" si="970"/>
        <v>0.73</v>
      </c>
      <c r="T266" s="420">
        <v>0</v>
      </c>
      <c r="U266" s="527">
        <v>0.73</v>
      </c>
      <c r="V266" s="427">
        <f t="shared" si="971"/>
        <v>0</v>
      </c>
      <c r="W266" s="421">
        <f t="shared" si="971"/>
        <v>-2560</v>
      </c>
      <c r="X266" s="421">
        <v>0</v>
      </c>
      <c r="Y266" s="421">
        <v>0</v>
      </c>
      <c r="Z266" s="421">
        <v>0</v>
      </c>
      <c r="AA266" s="421">
        <v>0</v>
      </c>
      <c r="AB266" s="421">
        <v>0</v>
      </c>
      <c r="AC266" s="421">
        <v>0</v>
      </c>
      <c r="AD266" s="421">
        <v>0</v>
      </c>
      <c r="AE266" s="421">
        <v>0</v>
      </c>
      <c r="AF266" s="421">
        <f t="shared" si="972"/>
        <v>0</v>
      </c>
      <c r="AG266" s="421">
        <f t="shared" si="973"/>
        <v>-2560</v>
      </c>
      <c r="AH266" s="421">
        <f t="shared" si="974"/>
        <v>-2560</v>
      </c>
      <c r="AI266" s="421">
        <v>0</v>
      </c>
      <c r="AJ266" s="421">
        <v>2560</v>
      </c>
      <c r="AK266" s="421">
        <v>0</v>
      </c>
      <c r="AL266" s="421">
        <v>0</v>
      </c>
      <c r="AM266" s="421">
        <v>0</v>
      </c>
      <c r="AN266" s="421">
        <v>0</v>
      </c>
      <c r="AO266" s="421">
        <f t="shared" si="975"/>
        <v>0</v>
      </c>
      <c r="AP266" s="421">
        <f t="shared" si="976"/>
        <v>2560</v>
      </c>
      <c r="AQ266" s="421">
        <f t="shared" si="977"/>
        <v>2560</v>
      </c>
      <c r="AR266" s="421">
        <f t="shared" si="978"/>
        <v>0</v>
      </c>
      <c r="AS266" s="421">
        <f t="shared" si="978"/>
        <v>0</v>
      </c>
      <c r="AT266" s="421">
        <f t="shared" si="979"/>
        <v>0</v>
      </c>
      <c r="AU266" s="68">
        <f t="shared" si="980"/>
        <v>0</v>
      </c>
      <c r="AV266" s="68">
        <f t="shared" si="981"/>
        <v>-26</v>
      </c>
      <c r="AW266" s="421">
        <v>0</v>
      </c>
      <c r="AX266" s="421">
        <v>0</v>
      </c>
      <c r="AY266" s="421">
        <f t="shared" si="982"/>
        <v>0</v>
      </c>
      <c r="AZ266" s="421">
        <f t="shared" si="983"/>
        <v>-26</v>
      </c>
      <c r="BA266" s="422">
        <v>0</v>
      </c>
      <c r="BB266" s="422">
        <v>0</v>
      </c>
      <c r="BC266" s="422">
        <v>0</v>
      </c>
      <c r="BD266" s="422">
        <v>0</v>
      </c>
      <c r="BE266" s="422">
        <v>0</v>
      </c>
      <c r="BF266" s="422">
        <v>0</v>
      </c>
      <c r="BG266" s="422">
        <v>0</v>
      </c>
      <c r="BH266" s="422">
        <v>0</v>
      </c>
      <c r="BI266" s="422">
        <v>0</v>
      </c>
      <c r="BJ266" s="422">
        <v>0</v>
      </c>
      <c r="BK266" s="422">
        <f t="shared" si="984"/>
        <v>0</v>
      </c>
      <c r="BL266" s="422">
        <f t="shared" si="985"/>
        <v>0</v>
      </c>
      <c r="BM266" s="611">
        <f t="shared" si="986"/>
        <v>0</v>
      </c>
      <c r="BN266" s="428">
        <f t="shared" si="987"/>
        <v>330735</v>
      </c>
      <c r="BO266" s="421">
        <f t="shared" si="988"/>
        <v>241981</v>
      </c>
      <c r="BP266" s="421">
        <f t="shared" si="989"/>
        <v>0</v>
      </c>
      <c r="BQ266" s="421">
        <f t="shared" si="989"/>
        <v>241981</v>
      </c>
      <c r="BR266" s="421">
        <f t="shared" si="990"/>
        <v>2560</v>
      </c>
      <c r="BS266" s="421">
        <f t="shared" si="991"/>
        <v>0</v>
      </c>
      <c r="BT266" s="421">
        <f t="shared" si="991"/>
        <v>2560</v>
      </c>
      <c r="BU266" s="421">
        <f t="shared" si="992"/>
        <v>82655</v>
      </c>
      <c r="BV266" s="421">
        <f t="shared" si="992"/>
        <v>2419</v>
      </c>
      <c r="BW266" s="421">
        <f t="shared" si="993"/>
        <v>1120</v>
      </c>
      <c r="BX266" s="422">
        <f t="shared" si="994"/>
        <v>0.73</v>
      </c>
      <c r="BY266" s="422">
        <f t="shared" si="995"/>
        <v>0</v>
      </c>
      <c r="BZ266" s="611">
        <f t="shared" si="995"/>
        <v>0.73</v>
      </c>
      <c r="CA266" s="423"/>
      <c r="CB266" s="418"/>
      <c r="CC266" s="418"/>
      <c r="CD266" s="418"/>
      <c r="CE266" s="418"/>
      <c r="CF266" s="527"/>
    </row>
    <row r="267" spans="1:84" s="222" customFormat="1" ht="12.75" customHeight="1" x14ac:dyDescent="0.2">
      <c r="A267" s="210">
        <v>49</v>
      </c>
      <c r="B267" s="211">
        <v>4490</v>
      </c>
      <c r="C267" s="211">
        <v>600074692</v>
      </c>
      <c r="D267" s="211">
        <v>72745088</v>
      </c>
      <c r="E267" s="209" t="s">
        <v>234</v>
      </c>
      <c r="F267" s="211">
        <v>3143</v>
      </c>
      <c r="G267" s="165" t="s">
        <v>596</v>
      </c>
      <c r="H267" s="686" t="s">
        <v>271</v>
      </c>
      <c r="I267" s="528">
        <f t="shared" si="965"/>
        <v>695580</v>
      </c>
      <c r="J267" s="418">
        <f t="shared" si="966"/>
        <v>516009</v>
      </c>
      <c r="K267" s="418">
        <v>516009</v>
      </c>
      <c r="L267" s="418">
        <v>0</v>
      </c>
      <c r="M267" s="418">
        <f t="shared" si="967"/>
        <v>0</v>
      </c>
      <c r="N267" s="418"/>
      <c r="O267" s="418"/>
      <c r="P267" s="68">
        <f t="shared" si="968"/>
        <v>174411</v>
      </c>
      <c r="Q267" s="68">
        <f t="shared" si="969"/>
        <v>5160</v>
      </c>
      <c r="R267" s="418">
        <v>0</v>
      </c>
      <c r="S267" s="419">
        <f t="shared" si="970"/>
        <v>1.0476000000000001</v>
      </c>
      <c r="T267" s="420">
        <v>1.0476000000000001</v>
      </c>
      <c r="U267" s="527">
        <v>0</v>
      </c>
      <c r="V267" s="427">
        <f t="shared" si="971"/>
        <v>-640</v>
      </c>
      <c r="W267" s="421">
        <f t="shared" si="971"/>
        <v>0</v>
      </c>
      <c r="X267" s="421">
        <v>0</v>
      </c>
      <c r="Y267" s="421">
        <v>0</v>
      </c>
      <c r="Z267" s="421">
        <v>0</v>
      </c>
      <c r="AA267" s="421">
        <v>0</v>
      </c>
      <c r="AB267" s="421">
        <v>0</v>
      </c>
      <c r="AC267" s="421">
        <v>0</v>
      </c>
      <c r="AD267" s="421">
        <v>0</v>
      </c>
      <c r="AE267" s="421">
        <v>0</v>
      </c>
      <c r="AF267" s="421">
        <f t="shared" si="972"/>
        <v>-640</v>
      </c>
      <c r="AG267" s="421">
        <f t="shared" si="973"/>
        <v>0</v>
      </c>
      <c r="AH267" s="421">
        <f t="shared" si="974"/>
        <v>-640</v>
      </c>
      <c r="AI267" s="421">
        <v>640</v>
      </c>
      <c r="AJ267" s="421">
        <v>0</v>
      </c>
      <c r="AK267" s="421">
        <v>0</v>
      </c>
      <c r="AL267" s="421">
        <v>0</v>
      </c>
      <c r="AM267" s="421">
        <v>0</v>
      </c>
      <c r="AN267" s="421">
        <v>0</v>
      </c>
      <c r="AO267" s="421">
        <f t="shared" si="975"/>
        <v>640</v>
      </c>
      <c r="AP267" s="421">
        <f t="shared" si="976"/>
        <v>0</v>
      </c>
      <c r="AQ267" s="421">
        <f t="shared" si="977"/>
        <v>640</v>
      </c>
      <c r="AR267" s="421">
        <f t="shared" si="978"/>
        <v>0</v>
      </c>
      <c r="AS267" s="421">
        <f t="shared" si="978"/>
        <v>0</v>
      </c>
      <c r="AT267" s="421">
        <f t="shared" si="979"/>
        <v>0</v>
      </c>
      <c r="AU267" s="68">
        <f t="shared" si="980"/>
        <v>0</v>
      </c>
      <c r="AV267" s="68">
        <f t="shared" si="981"/>
        <v>-6</v>
      </c>
      <c r="AW267" s="421">
        <v>0</v>
      </c>
      <c r="AX267" s="421">
        <v>0</v>
      </c>
      <c r="AY267" s="421">
        <f t="shared" si="982"/>
        <v>0</v>
      </c>
      <c r="AZ267" s="421">
        <f t="shared" si="983"/>
        <v>-6</v>
      </c>
      <c r="BA267" s="422">
        <v>0</v>
      </c>
      <c r="BB267" s="422">
        <v>0</v>
      </c>
      <c r="BC267" s="422">
        <v>0</v>
      </c>
      <c r="BD267" s="422">
        <v>0</v>
      </c>
      <c r="BE267" s="422">
        <v>0</v>
      </c>
      <c r="BF267" s="422">
        <v>0</v>
      </c>
      <c r="BG267" s="422">
        <v>0</v>
      </c>
      <c r="BH267" s="422">
        <v>0</v>
      </c>
      <c r="BI267" s="422">
        <v>0</v>
      </c>
      <c r="BJ267" s="422">
        <v>0</v>
      </c>
      <c r="BK267" s="422">
        <f t="shared" si="984"/>
        <v>0</v>
      </c>
      <c r="BL267" s="422">
        <f t="shared" si="985"/>
        <v>0</v>
      </c>
      <c r="BM267" s="611">
        <f t="shared" si="986"/>
        <v>0</v>
      </c>
      <c r="BN267" s="428">
        <f t="shared" si="987"/>
        <v>695574</v>
      </c>
      <c r="BO267" s="421">
        <f t="shared" si="988"/>
        <v>515369</v>
      </c>
      <c r="BP267" s="421">
        <f t="shared" si="989"/>
        <v>515369</v>
      </c>
      <c r="BQ267" s="421">
        <f t="shared" si="989"/>
        <v>0</v>
      </c>
      <c r="BR267" s="421">
        <f t="shared" si="990"/>
        <v>640</v>
      </c>
      <c r="BS267" s="421">
        <f t="shared" si="991"/>
        <v>640</v>
      </c>
      <c r="BT267" s="421">
        <f t="shared" si="991"/>
        <v>0</v>
      </c>
      <c r="BU267" s="421">
        <f t="shared" si="992"/>
        <v>174411</v>
      </c>
      <c r="BV267" s="421">
        <f t="shared" si="992"/>
        <v>5154</v>
      </c>
      <c r="BW267" s="421">
        <f t="shared" si="993"/>
        <v>0</v>
      </c>
      <c r="BX267" s="422">
        <f t="shared" si="994"/>
        <v>1.0476000000000001</v>
      </c>
      <c r="BY267" s="422">
        <f t="shared" si="995"/>
        <v>1.0476000000000001</v>
      </c>
      <c r="BZ267" s="611">
        <f t="shared" si="995"/>
        <v>0</v>
      </c>
      <c r="CA267" s="423"/>
      <c r="CB267" s="418"/>
      <c r="CC267" s="418"/>
      <c r="CD267" s="418"/>
      <c r="CE267" s="418"/>
      <c r="CF267" s="527"/>
    </row>
    <row r="268" spans="1:84" s="222" customFormat="1" ht="12.75" customHeight="1" x14ac:dyDescent="0.2">
      <c r="A268" s="210">
        <v>49</v>
      </c>
      <c r="B268" s="211">
        <v>4490</v>
      </c>
      <c r="C268" s="211">
        <v>600074692</v>
      </c>
      <c r="D268" s="211">
        <v>72745088</v>
      </c>
      <c r="E268" s="209" t="s">
        <v>234</v>
      </c>
      <c r="F268" s="211">
        <v>3143</v>
      </c>
      <c r="G268" s="165" t="s">
        <v>597</v>
      </c>
      <c r="H268" s="686" t="s">
        <v>272</v>
      </c>
      <c r="I268" s="528">
        <f t="shared" si="965"/>
        <v>8189</v>
      </c>
      <c r="J268" s="418">
        <f t="shared" si="966"/>
        <v>5861</v>
      </c>
      <c r="K268" s="418">
        <v>0</v>
      </c>
      <c r="L268" s="418">
        <v>5861</v>
      </c>
      <c r="M268" s="418">
        <f t="shared" si="967"/>
        <v>0</v>
      </c>
      <c r="N268" s="418"/>
      <c r="O268" s="418"/>
      <c r="P268" s="68">
        <f t="shared" si="968"/>
        <v>1981</v>
      </c>
      <c r="Q268" s="68">
        <f t="shared" si="969"/>
        <v>59</v>
      </c>
      <c r="R268" s="418">
        <v>288</v>
      </c>
      <c r="S268" s="419">
        <f t="shared" si="970"/>
        <v>0.02</v>
      </c>
      <c r="T268" s="420">
        <v>0</v>
      </c>
      <c r="U268" s="527">
        <v>0.02</v>
      </c>
      <c r="V268" s="427">
        <f t="shared" si="971"/>
        <v>0</v>
      </c>
      <c r="W268" s="421">
        <f t="shared" si="971"/>
        <v>0</v>
      </c>
      <c r="X268" s="421">
        <v>0</v>
      </c>
      <c r="Y268" s="421">
        <v>0</v>
      </c>
      <c r="Z268" s="421">
        <v>0</v>
      </c>
      <c r="AA268" s="421">
        <v>0</v>
      </c>
      <c r="AB268" s="421">
        <v>0</v>
      </c>
      <c r="AC268" s="421">
        <v>0</v>
      </c>
      <c r="AD268" s="421">
        <v>0</v>
      </c>
      <c r="AE268" s="421">
        <v>0</v>
      </c>
      <c r="AF268" s="421">
        <f t="shared" si="972"/>
        <v>0</v>
      </c>
      <c r="AG268" s="421">
        <f t="shared" si="973"/>
        <v>0</v>
      </c>
      <c r="AH268" s="421">
        <f t="shared" si="974"/>
        <v>0</v>
      </c>
      <c r="AI268" s="421">
        <v>0</v>
      </c>
      <c r="AJ268" s="421">
        <v>0</v>
      </c>
      <c r="AK268" s="421">
        <v>0</v>
      </c>
      <c r="AL268" s="421">
        <v>0</v>
      </c>
      <c r="AM268" s="421">
        <v>0</v>
      </c>
      <c r="AN268" s="421">
        <v>0</v>
      </c>
      <c r="AO268" s="421">
        <f t="shared" si="975"/>
        <v>0</v>
      </c>
      <c r="AP268" s="421">
        <f t="shared" si="976"/>
        <v>0</v>
      </c>
      <c r="AQ268" s="421">
        <f t="shared" si="977"/>
        <v>0</v>
      </c>
      <c r="AR268" s="421">
        <f t="shared" si="978"/>
        <v>0</v>
      </c>
      <c r="AS268" s="421">
        <f t="shared" si="978"/>
        <v>0</v>
      </c>
      <c r="AT268" s="421">
        <f t="shared" si="979"/>
        <v>0</v>
      </c>
      <c r="AU268" s="68">
        <f t="shared" si="980"/>
        <v>0</v>
      </c>
      <c r="AV268" s="68">
        <f t="shared" si="981"/>
        <v>0</v>
      </c>
      <c r="AW268" s="421">
        <v>0</v>
      </c>
      <c r="AX268" s="421">
        <v>0</v>
      </c>
      <c r="AY268" s="421">
        <f t="shared" si="982"/>
        <v>0</v>
      </c>
      <c r="AZ268" s="421">
        <f t="shared" si="983"/>
        <v>0</v>
      </c>
      <c r="BA268" s="422">
        <v>0</v>
      </c>
      <c r="BB268" s="422">
        <v>0</v>
      </c>
      <c r="BC268" s="422">
        <v>0</v>
      </c>
      <c r="BD268" s="422">
        <v>0</v>
      </c>
      <c r="BE268" s="422">
        <v>0</v>
      </c>
      <c r="BF268" s="422">
        <v>0</v>
      </c>
      <c r="BG268" s="422">
        <v>0</v>
      </c>
      <c r="BH268" s="422">
        <v>0</v>
      </c>
      <c r="BI268" s="422">
        <v>0</v>
      </c>
      <c r="BJ268" s="422">
        <v>0</v>
      </c>
      <c r="BK268" s="422">
        <f t="shared" si="984"/>
        <v>0</v>
      </c>
      <c r="BL268" s="422">
        <f t="shared" si="985"/>
        <v>0</v>
      </c>
      <c r="BM268" s="611">
        <f t="shared" si="986"/>
        <v>0</v>
      </c>
      <c r="BN268" s="428">
        <f t="shared" si="987"/>
        <v>8189</v>
      </c>
      <c r="BO268" s="421">
        <f t="shared" si="988"/>
        <v>5861</v>
      </c>
      <c r="BP268" s="421">
        <f t="shared" si="989"/>
        <v>0</v>
      </c>
      <c r="BQ268" s="421">
        <f t="shared" si="989"/>
        <v>5861</v>
      </c>
      <c r="BR268" s="421">
        <f t="shared" si="990"/>
        <v>0</v>
      </c>
      <c r="BS268" s="421">
        <f t="shared" si="991"/>
        <v>0</v>
      </c>
      <c r="BT268" s="421">
        <f t="shared" si="991"/>
        <v>0</v>
      </c>
      <c r="BU268" s="421">
        <f t="shared" si="992"/>
        <v>1981</v>
      </c>
      <c r="BV268" s="421">
        <f t="shared" si="992"/>
        <v>59</v>
      </c>
      <c r="BW268" s="421">
        <f t="shared" si="993"/>
        <v>288</v>
      </c>
      <c r="BX268" s="422">
        <f t="shared" si="994"/>
        <v>0.02</v>
      </c>
      <c r="BY268" s="422">
        <f t="shared" si="995"/>
        <v>0</v>
      </c>
      <c r="BZ268" s="611">
        <f t="shared" si="995"/>
        <v>0.02</v>
      </c>
      <c r="CA268" s="423"/>
      <c r="CB268" s="418"/>
      <c r="CC268" s="418"/>
      <c r="CD268" s="418"/>
      <c r="CE268" s="418"/>
      <c r="CF268" s="527"/>
    </row>
    <row r="269" spans="1:84" s="222" customFormat="1" ht="12.75" customHeight="1" x14ac:dyDescent="0.2">
      <c r="A269" s="155">
        <v>49</v>
      </c>
      <c r="B269" s="18">
        <v>4490</v>
      </c>
      <c r="C269" s="18">
        <v>600074692</v>
      </c>
      <c r="D269" s="18">
        <v>72745088</v>
      </c>
      <c r="E269" s="164" t="s">
        <v>235</v>
      </c>
      <c r="F269" s="18"/>
      <c r="G269" s="154"/>
      <c r="H269" s="685"/>
      <c r="I269" s="457">
        <f t="shared" ref="I269:BU269" si="996">SUM(I263:I268)</f>
        <v>4496560</v>
      </c>
      <c r="J269" s="449">
        <f t="shared" si="996"/>
        <v>3315967</v>
      </c>
      <c r="K269" s="449">
        <f t="shared" si="996"/>
        <v>2806219</v>
      </c>
      <c r="L269" s="449">
        <f t="shared" si="996"/>
        <v>509748</v>
      </c>
      <c r="M269" s="449">
        <f t="shared" si="996"/>
        <v>0</v>
      </c>
      <c r="N269" s="449">
        <f t="shared" si="996"/>
        <v>0</v>
      </c>
      <c r="O269" s="449">
        <f t="shared" si="996"/>
        <v>0</v>
      </c>
      <c r="P269" s="449">
        <f t="shared" si="996"/>
        <v>1120797</v>
      </c>
      <c r="Q269" s="449">
        <f t="shared" si="996"/>
        <v>33160</v>
      </c>
      <c r="R269" s="449">
        <f t="shared" si="996"/>
        <v>26636</v>
      </c>
      <c r="S269" s="450">
        <f t="shared" si="996"/>
        <v>6.9358999999999993</v>
      </c>
      <c r="T269" s="450">
        <f t="shared" si="996"/>
        <v>5.4348999999999998</v>
      </c>
      <c r="U269" s="40">
        <f t="shared" si="996"/>
        <v>1.5009999999999999</v>
      </c>
      <c r="V269" s="457">
        <f t="shared" si="996"/>
        <v>-3200</v>
      </c>
      <c r="W269" s="449">
        <f t="shared" si="996"/>
        <v>-2560</v>
      </c>
      <c r="X269" s="449">
        <f t="shared" si="996"/>
        <v>0</v>
      </c>
      <c r="Y269" s="449">
        <f t="shared" si="996"/>
        <v>0</v>
      </c>
      <c r="Z269" s="449">
        <f t="shared" si="996"/>
        <v>0</v>
      </c>
      <c r="AA269" s="449">
        <f t="shared" si="996"/>
        <v>0</v>
      </c>
      <c r="AB269" s="449">
        <f t="shared" si="996"/>
        <v>0</v>
      </c>
      <c r="AC269" s="449">
        <f t="shared" si="996"/>
        <v>0</v>
      </c>
      <c r="AD269" s="449">
        <f t="shared" si="996"/>
        <v>0</v>
      </c>
      <c r="AE269" s="449">
        <f t="shared" si="996"/>
        <v>0</v>
      </c>
      <c r="AF269" s="449">
        <f t="shared" si="996"/>
        <v>-3200</v>
      </c>
      <c r="AG269" s="449">
        <f t="shared" si="996"/>
        <v>-2560</v>
      </c>
      <c r="AH269" s="449">
        <f t="shared" si="996"/>
        <v>-5760</v>
      </c>
      <c r="AI269" s="449">
        <f t="shared" si="996"/>
        <v>3200</v>
      </c>
      <c r="AJ269" s="449">
        <f t="shared" si="996"/>
        <v>2560</v>
      </c>
      <c r="AK269" s="449">
        <f t="shared" ref="AK269" si="997">SUM(AK263:AK268)</f>
        <v>0</v>
      </c>
      <c r="AL269" s="449">
        <f t="shared" si="996"/>
        <v>0</v>
      </c>
      <c r="AM269" s="449">
        <f t="shared" si="996"/>
        <v>0</v>
      </c>
      <c r="AN269" s="449">
        <f t="shared" si="996"/>
        <v>0</v>
      </c>
      <c r="AO269" s="449">
        <f t="shared" si="996"/>
        <v>3200</v>
      </c>
      <c r="AP269" s="449">
        <f t="shared" si="996"/>
        <v>2560</v>
      </c>
      <c r="AQ269" s="449">
        <f t="shared" si="996"/>
        <v>5760</v>
      </c>
      <c r="AR269" s="449">
        <f t="shared" si="996"/>
        <v>0</v>
      </c>
      <c r="AS269" s="449">
        <f t="shared" si="996"/>
        <v>0</v>
      </c>
      <c r="AT269" s="449">
        <f t="shared" si="996"/>
        <v>0</v>
      </c>
      <c r="AU269" s="449">
        <f t="shared" si="996"/>
        <v>0</v>
      </c>
      <c r="AV269" s="449">
        <f t="shared" si="996"/>
        <v>-58</v>
      </c>
      <c r="AW269" s="449">
        <f t="shared" si="996"/>
        <v>0</v>
      </c>
      <c r="AX269" s="449">
        <f t="shared" si="996"/>
        <v>0</v>
      </c>
      <c r="AY269" s="449">
        <f t="shared" si="996"/>
        <v>0</v>
      </c>
      <c r="AZ269" s="449">
        <f t="shared" si="996"/>
        <v>-58</v>
      </c>
      <c r="BA269" s="450">
        <f t="shared" si="996"/>
        <v>0</v>
      </c>
      <c r="BB269" s="450">
        <f t="shared" si="996"/>
        <v>0</v>
      </c>
      <c r="BC269" s="450">
        <f t="shared" si="996"/>
        <v>0</v>
      </c>
      <c r="BD269" s="450">
        <f t="shared" si="996"/>
        <v>0</v>
      </c>
      <c r="BE269" s="450">
        <f t="shared" si="996"/>
        <v>0</v>
      </c>
      <c r="BF269" s="450">
        <f t="shared" si="996"/>
        <v>0</v>
      </c>
      <c r="BG269" s="450">
        <f t="shared" si="996"/>
        <v>0</v>
      </c>
      <c r="BH269" s="450">
        <f t="shared" si="996"/>
        <v>0</v>
      </c>
      <c r="BI269" s="450">
        <f t="shared" si="996"/>
        <v>0</v>
      </c>
      <c r="BJ269" s="450">
        <f t="shared" si="996"/>
        <v>0</v>
      </c>
      <c r="BK269" s="450">
        <f t="shared" si="996"/>
        <v>0</v>
      </c>
      <c r="BL269" s="450">
        <f t="shared" si="996"/>
        <v>0</v>
      </c>
      <c r="BM269" s="455">
        <f t="shared" si="996"/>
        <v>0</v>
      </c>
      <c r="BN269" s="453">
        <f t="shared" si="996"/>
        <v>4496502</v>
      </c>
      <c r="BO269" s="449">
        <f t="shared" si="996"/>
        <v>3310207</v>
      </c>
      <c r="BP269" s="449">
        <f t="shared" si="996"/>
        <v>2803019</v>
      </c>
      <c r="BQ269" s="449">
        <f t="shared" si="996"/>
        <v>507188</v>
      </c>
      <c r="BR269" s="449">
        <f t="shared" si="996"/>
        <v>5760</v>
      </c>
      <c r="BS269" s="449">
        <f t="shared" si="996"/>
        <v>3200</v>
      </c>
      <c r="BT269" s="449">
        <f t="shared" si="996"/>
        <v>2560</v>
      </c>
      <c r="BU269" s="449">
        <f t="shared" si="996"/>
        <v>1120797</v>
      </c>
      <c r="BV269" s="449">
        <f t="shared" ref="BV269:CF269" si="998">SUM(BV263:BV268)</f>
        <v>33102</v>
      </c>
      <c r="BW269" s="449">
        <f t="shared" si="998"/>
        <v>26636</v>
      </c>
      <c r="BX269" s="450">
        <f t="shared" si="998"/>
        <v>6.9358999999999993</v>
      </c>
      <c r="BY269" s="450">
        <f t="shared" si="998"/>
        <v>5.4348999999999998</v>
      </c>
      <c r="BZ269" s="455">
        <f t="shared" si="998"/>
        <v>1.5009999999999999</v>
      </c>
      <c r="CA269" s="853">
        <f t="shared" si="998"/>
        <v>0</v>
      </c>
      <c r="CB269" s="851">
        <f t="shared" si="998"/>
        <v>0</v>
      </c>
      <c r="CC269" s="851">
        <f t="shared" si="998"/>
        <v>0</v>
      </c>
      <c r="CD269" s="851">
        <f t="shared" si="998"/>
        <v>0</v>
      </c>
      <c r="CE269" s="851">
        <f t="shared" si="998"/>
        <v>0</v>
      </c>
      <c r="CF269" s="849">
        <f t="shared" si="998"/>
        <v>0</v>
      </c>
    </row>
    <row r="270" spans="1:84" s="222" customFormat="1" ht="12.75" customHeight="1" x14ac:dyDescent="0.2">
      <c r="A270" s="210">
        <v>50</v>
      </c>
      <c r="B270" s="211">
        <v>4491</v>
      </c>
      <c r="C270" s="211">
        <v>650050517</v>
      </c>
      <c r="D270" s="211">
        <v>72742437</v>
      </c>
      <c r="E270" s="209" t="s">
        <v>236</v>
      </c>
      <c r="F270" s="211">
        <v>3111</v>
      </c>
      <c r="G270" s="165" t="s">
        <v>291</v>
      </c>
      <c r="H270" s="699" t="s">
        <v>271</v>
      </c>
      <c r="I270" s="528">
        <f t="shared" ref="I270:I275" si="999">J270+P270+Q270+R270</f>
        <v>1713523</v>
      </c>
      <c r="J270" s="418">
        <f t="shared" ref="J270:J275" si="1000">K270+L270</f>
        <v>1266604</v>
      </c>
      <c r="K270" s="418">
        <v>1200036</v>
      </c>
      <c r="L270" s="418">
        <v>66568</v>
      </c>
      <c r="M270" s="418">
        <f t="shared" ref="M270:M275" si="1001">N270+O270</f>
        <v>0</v>
      </c>
      <c r="N270" s="418"/>
      <c r="O270" s="418"/>
      <c r="P270" s="68">
        <f t="shared" ref="P270:P275" si="1002">ROUND(J270*33.8%,0)</f>
        <v>428112</v>
      </c>
      <c r="Q270" s="68">
        <f t="shared" ref="Q270:Q275" si="1003">ROUND(J270*1%,0)</f>
        <v>12666</v>
      </c>
      <c r="R270" s="418">
        <v>6141</v>
      </c>
      <c r="S270" s="419">
        <f t="shared" ref="S270:S275" si="1004">T270+U270</f>
        <v>2.2667000000000002</v>
      </c>
      <c r="T270" s="420">
        <v>2</v>
      </c>
      <c r="U270" s="527">
        <v>0.26669999999999999</v>
      </c>
      <c r="V270" s="427">
        <f t="shared" ref="V270:W275" si="1005">AI270*-1</f>
        <v>-1600</v>
      </c>
      <c r="W270" s="421">
        <f t="shared" si="1005"/>
        <v>0</v>
      </c>
      <c r="X270" s="421">
        <v>0</v>
      </c>
      <c r="Y270" s="421">
        <v>0</v>
      </c>
      <c r="Z270" s="421">
        <v>0</v>
      </c>
      <c r="AA270" s="421">
        <v>0</v>
      </c>
      <c r="AB270" s="421">
        <v>0</v>
      </c>
      <c r="AC270" s="421">
        <v>0</v>
      </c>
      <c r="AD270" s="421">
        <v>0</v>
      </c>
      <c r="AE270" s="421">
        <v>0</v>
      </c>
      <c r="AF270" s="421">
        <f t="shared" ref="AF270:AF275" si="1006">V270+X270+Y270+AA270+AB270+AD270</f>
        <v>-1600</v>
      </c>
      <c r="AG270" s="421">
        <f t="shared" ref="AG270:AG275" si="1007">W270+Z270+AC270+AE270</f>
        <v>0</v>
      </c>
      <c r="AH270" s="421">
        <f t="shared" ref="AH270:AH275" si="1008">SUM(AF270:AG270)</f>
        <v>-1600</v>
      </c>
      <c r="AI270" s="421">
        <v>1600</v>
      </c>
      <c r="AJ270" s="421">
        <v>0</v>
      </c>
      <c r="AK270" s="421">
        <v>0</v>
      </c>
      <c r="AL270" s="421">
        <v>0</v>
      </c>
      <c r="AM270" s="421">
        <v>0</v>
      </c>
      <c r="AN270" s="421">
        <v>0</v>
      </c>
      <c r="AO270" s="421">
        <f t="shared" ref="AO270:AO275" si="1009">AI270+AK270+AL270+AM270</f>
        <v>1600</v>
      </c>
      <c r="AP270" s="421">
        <f t="shared" ref="AP270:AP275" si="1010">AJ270+AN270</f>
        <v>0</v>
      </c>
      <c r="AQ270" s="421">
        <f t="shared" ref="AQ270:AQ275" si="1011">SUM(AO270:AP270)</f>
        <v>1600</v>
      </c>
      <c r="AR270" s="421">
        <f t="shared" ref="AR270:AS275" si="1012">AF270+AO270</f>
        <v>0</v>
      </c>
      <c r="AS270" s="421">
        <f t="shared" si="1012"/>
        <v>0</v>
      </c>
      <c r="AT270" s="421">
        <f t="shared" ref="AT270:AT275" si="1013">SUM(AR270:AS270)</f>
        <v>0</v>
      </c>
      <c r="AU270" s="68">
        <f t="shared" ref="AU270:AU275" si="1014">ROUND((AH270+AI270+AJ270+AK270+AL270)*33.8%,0)</f>
        <v>0</v>
      </c>
      <c r="AV270" s="68">
        <f t="shared" ref="AV270:AV275" si="1015">ROUND(AH270*1%,0)</f>
        <v>-16</v>
      </c>
      <c r="AW270" s="421">
        <v>0</v>
      </c>
      <c r="AX270" s="421">
        <v>0</v>
      </c>
      <c r="AY270" s="421">
        <f t="shared" ref="AY270:AY275" si="1016">AW270+AX270</f>
        <v>0</v>
      </c>
      <c r="AZ270" s="421">
        <f t="shared" ref="AZ270:AZ275" si="1017">AT270+AU270+AV270+AY270</f>
        <v>-16</v>
      </c>
      <c r="BA270" s="422">
        <v>0</v>
      </c>
      <c r="BB270" s="422">
        <v>0</v>
      </c>
      <c r="BC270" s="422">
        <v>0</v>
      </c>
      <c r="BD270" s="422">
        <v>0</v>
      </c>
      <c r="BE270" s="422">
        <v>0</v>
      </c>
      <c r="BF270" s="422">
        <v>0</v>
      </c>
      <c r="BG270" s="422">
        <v>0</v>
      </c>
      <c r="BH270" s="422">
        <v>0</v>
      </c>
      <c r="BI270" s="422">
        <v>0</v>
      </c>
      <c r="BJ270" s="422">
        <v>0</v>
      </c>
      <c r="BK270" s="422">
        <f t="shared" ref="BK270:BK275" si="1018">BA270+BC270+BD270+BF270+BH270+BI270</f>
        <v>0</v>
      </c>
      <c r="BL270" s="422">
        <f t="shared" ref="BL270:BL275" si="1019">BB270+BE270+BG270+BJ270</f>
        <v>0</v>
      </c>
      <c r="BM270" s="611">
        <f t="shared" ref="BM270:BM275" si="1020">SUM(BK270:BL270)</f>
        <v>0</v>
      </c>
      <c r="BN270" s="428">
        <f t="shared" ref="BN270:BN275" si="1021">I270+AZ270</f>
        <v>1713507</v>
      </c>
      <c r="BO270" s="421">
        <f t="shared" ref="BO270:BO275" si="1022">J270+AH270</f>
        <v>1265004</v>
      </c>
      <c r="BP270" s="421">
        <f t="shared" ref="BP270:BQ275" si="1023">K270+AF270</f>
        <v>1198436</v>
      </c>
      <c r="BQ270" s="421">
        <f t="shared" si="1023"/>
        <v>66568</v>
      </c>
      <c r="BR270" s="421">
        <f t="shared" ref="BR270:BR275" si="1024">M270+AQ270</f>
        <v>1600</v>
      </c>
      <c r="BS270" s="421">
        <f t="shared" ref="BS270:BT275" si="1025">N270+AO270</f>
        <v>1600</v>
      </c>
      <c r="BT270" s="421">
        <f t="shared" si="1025"/>
        <v>0</v>
      </c>
      <c r="BU270" s="421">
        <f t="shared" ref="BU270:BV275" si="1026">P270+AU270</f>
        <v>428112</v>
      </c>
      <c r="BV270" s="421">
        <f t="shared" si="1026"/>
        <v>12650</v>
      </c>
      <c r="BW270" s="421">
        <f t="shared" ref="BW270:BW275" si="1027">R270+AY270</f>
        <v>6141</v>
      </c>
      <c r="BX270" s="422">
        <f t="shared" ref="BX270:BX275" si="1028">S270+BM270</f>
        <v>2.2667000000000002</v>
      </c>
      <c r="BY270" s="422">
        <f t="shared" ref="BY270:BZ275" si="1029">T270+BK270</f>
        <v>2</v>
      </c>
      <c r="BZ270" s="611">
        <f t="shared" si="1029"/>
        <v>0.26669999999999999</v>
      </c>
      <c r="CA270" s="423"/>
      <c r="CB270" s="418"/>
      <c r="CC270" s="418"/>
      <c r="CD270" s="418"/>
      <c r="CE270" s="418"/>
      <c r="CF270" s="527"/>
    </row>
    <row r="271" spans="1:84" s="222" customFormat="1" ht="12.75" customHeight="1" x14ac:dyDescent="0.2">
      <c r="A271" s="210">
        <v>50</v>
      </c>
      <c r="B271" s="211">
        <v>4491</v>
      </c>
      <c r="C271" s="211">
        <v>650050517</v>
      </c>
      <c r="D271" s="211">
        <v>72742437</v>
      </c>
      <c r="E271" s="209" t="s">
        <v>236</v>
      </c>
      <c r="F271" s="211">
        <v>3117</v>
      </c>
      <c r="G271" s="165" t="s">
        <v>294</v>
      </c>
      <c r="H271" s="699" t="s">
        <v>271</v>
      </c>
      <c r="I271" s="528">
        <f t="shared" si="999"/>
        <v>3423032</v>
      </c>
      <c r="J271" s="418">
        <f t="shared" si="1000"/>
        <v>2511353</v>
      </c>
      <c r="K271" s="418">
        <v>2235775</v>
      </c>
      <c r="L271" s="418">
        <v>275578</v>
      </c>
      <c r="M271" s="418">
        <f t="shared" si="1001"/>
        <v>0</v>
      </c>
      <c r="N271" s="418"/>
      <c r="O271" s="418"/>
      <c r="P271" s="68">
        <f>ROUND(J271*33.8%,0)+1</f>
        <v>848838</v>
      </c>
      <c r="Q271" s="68">
        <f t="shared" si="1003"/>
        <v>25114</v>
      </c>
      <c r="R271" s="418">
        <v>37727</v>
      </c>
      <c r="S271" s="419">
        <f t="shared" si="1004"/>
        <v>3.8434999999999997</v>
      </c>
      <c r="T271" s="420">
        <v>3.1364999999999998</v>
      </c>
      <c r="U271" s="527">
        <v>0.70699999999999996</v>
      </c>
      <c r="V271" s="427">
        <f t="shared" si="1005"/>
        <v>-4800</v>
      </c>
      <c r="W271" s="421">
        <f t="shared" si="1005"/>
        <v>0</v>
      </c>
      <c r="X271" s="421">
        <v>0</v>
      </c>
      <c r="Y271" s="421">
        <v>0</v>
      </c>
      <c r="Z271" s="421">
        <v>0</v>
      </c>
      <c r="AA271" s="421">
        <v>0</v>
      </c>
      <c r="AB271" s="421">
        <v>0</v>
      </c>
      <c r="AC271" s="421">
        <v>0</v>
      </c>
      <c r="AD271" s="421">
        <v>0</v>
      </c>
      <c r="AE271" s="421">
        <v>0</v>
      </c>
      <c r="AF271" s="421">
        <f t="shared" si="1006"/>
        <v>-4800</v>
      </c>
      <c r="AG271" s="421">
        <f t="shared" si="1007"/>
        <v>0</v>
      </c>
      <c r="AH271" s="421">
        <f t="shared" si="1008"/>
        <v>-4800</v>
      </c>
      <c r="AI271" s="421">
        <v>4800</v>
      </c>
      <c r="AJ271" s="421">
        <v>0</v>
      </c>
      <c r="AK271" s="421">
        <v>0</v>
      </c>
      <c r="AL271" s="421">
        <v>0</v>
      </c>
      <c r="AM271" s="421">
        <v>0</v>
      </c>
      <c r="AN271" s="421">
        <v>0</v>
      </c>
      <c r="AO271" s="421">
        <f t="shared" si="1009"/>
        <v>4800</v>
      </c>
      <c r="AP271" s="421">
        <f t="shared" si="1010"/>
        <v>0</v>
      </c>
      <c r="AQ271" s="421">
        <f t="shared" si="1011"/>
        <v>4800</v>
      </c>
      <c r="AR271" s="421">
        <f t="shared" si="1012"/>
        <v>0</v>
      </c>
      <c r="AS271" s="421">
        <f t="shared" si="1012"/>
        <v>0</v>
      </c>
      <c r="AT271" s="421">
        <f t="shared" si="1013"/>
        <v>0</v>
      </c>
      <c r="AU271" s="68">
        <f t="shared" si="1014"/>
        <v>0</v>
      </c>
      <c r="AV271" s="68">
        <f t="shared" si="1015"/>
        <v>-48</v>
      </c>
      <c r="AW271" s="421">
        <v>0</v>
      </c>
      <c r="AX271" s="421">
        <v>0</v>
      </c>
      <c r="AY271" s="421">
        <f t="shared" si="1016"/>
        <v>0</v>
      </c>
      <c r="AZ271" s="421">
        <f t="shared" si="1017"/>
        <v>-48</v>
      </c>
      <c r="BA271" s="422">
        <v>-0.01</v>
      </c>
      <c r="BB271" s="422">
        <v>0</v>
      </c>
      <c r="BC271" s="422">
        <v>0</v>
      </c>
      <c r="BD271" s="422">
        <v>0</v>
      </c>
      <c r="BE271" s="422">
        <v>0</v>
      </c>
      <c r="BF271" s="422">
        <v>0</v>
      </c>
      <c r="BG271" s="422">
        <v>0</v>
      </c>
      <c r="BH271" s="422">
        <v>0</v>
      </c>
      <c r="BI271" s="422">
        <v>0</v>
      </c>
      <c r="BJ271" s="422">
        <v>0</v>
      </c>
      <c r="BK271" s="422">
        <f t="shared" si="1018"/>
        <v>-0.01</v>
      </c>
      <c r="BL271" s="422">
        <f t="shared" si="1019"/>
        <v>0</v>
      </c>
      <c r="BM271" s="611">
        <f t="shared" si="1020"/>
        <v>-0.01</v>
      </c>
      <c r="BN271" s="428">
        <f t="shared" si="1021"/>
        <v>3422984</v>
      </c>
      <c r="BO271" s="421">
        <f t="shared" si="1022"/>
        <v>2506553</v>
      </c>
      <c r="BP271" s="421">
        <f t="shared" si="1023"/>
        <v>2230975</v>
      </c>
      <c r="BQ271" s="421">
        <f t="shared" si="1023"/>
        <v>275578</v>
      </c>
      <c r="BR271" s="421">
        <f t="shared" si="1024"/>
        <v>4800</v>
      </c>
      <c r="BS271" s="421">
        <f t="shared" si="1025"/>
        <v>4800</v>
      </c>
      <c r="BT271" s="421">
        <f t="shared" si="1025"/>
        <v>0</v>
      </c>
      <c r="BU271" s="421">
        <f t="shared" si="1026"/>
        <v>848838</v>
      </c>
      <c r="BV271" s="421">
        <f t="shared" si="1026"/>
        <v>25066</v>
      </c>
      <c r="BW271" s="421">
        <f t="shared" si="1027"/>
        <v>37727</v>
      </c>
      <c r="BX271" s="422">
        <f t="shared" si="1028"/>
        <v>3.8334999999999999</v>
      </c>
      <c r="BY271" s="422">
        <f t="shared" si="1029"/>
        <v>3.1265000000000001</v>
      </c>
      <c r="BZ271" s="611">
        <f t="shared" si="1029"/>
        <v>0.70699999999999996</v>
      </c>
      <c r="CA271" s="423"/>
      <c r="CB271" s="418"/>
      <c r="CC271" s="418"/>
      <c r="CD271" s="418"/>
      <c r="CE271" s="418"/>
      <c r="CF271" s="527"/>
    </row>
    <row r="272" spans="1:84" s="222" customFormat="1" ht="12.75" customHeight="1" x14ac:dyDescent="0.2">
      <c r="A272" s="210">
        <v>50</v>
      </c>
      <c r="B272" s="211">
        <v>4491</v>
      </c>
      <c r="C272" s="211">
        <v>650050517</v>
      </c>
      <c r="D272" s="211">
        <v>72742437</v>
      </c>
      <c r="E272" s="209" t="s">
        <v>236</v>
      </c>
      <c r="F272" s="211">
        <v>3117</v>
      </c>
      <c r="G272" s="165" t="s">
        <v>292</v>
      </c>
      <c r="H272" s="699" t="s">
        <v>272</v>
      </c>
      <c r="I272" s="528">
        <f t="shared" si="999"/>
        <v>0</v>
      </c>
      <c r="J272" s="418">
        <f t="shared" si="1000"/>
        <v>0</v>
      </c>
      <c r="K272" s="418">
        <v>0</v>
      </c>
      <c r="L272" s="418">
        <v>0</v>
      </c>
      <c r="M272" s="418">
        <f t="shared" si="1001"/>
        <v>0</v>
      </c>
      <c r="N272" s="418"/>
      <c r="O272" s="418"/>
      <c r="P272" s="68">
        <f t="shared" si="1002"/>
        <v>0</v>
      </c>
      <c r="Q272" s="68">
        <f t="shared" si="1003"/>
        <v>0</v>
      </c>
      <c r="R272" s="418">
        <v>0</v>
      </c>
      <c r="S272" s="419">
        <f t="shared" si="1004"/>
        <v>0</v>
      </c>
      <c r="T272" s="420">
        <v>0</v>
      </c>
      <c r="U272" s="527">
        <v>0</v>
      </c>
      <c r="V272" s="427">
        <f t="shared" si="1005"/>
        <v>0</v>
      </c>
      <c r="W272" s="421">
        <f t="shared" si="1005"/>
        <v>0</v>
      </c>
      <c r="X272" s="421">
        <v>0</v>
      </c>
      <c r="Y272" s="421">
        <v>0</v>
      </c>
      <c r="Z272" s="421">
        <v>0</v>
      </c>
      <c r="AA272" s="421">
        <v>0</v>
      </c>
      <c r="AB272" s="421">
        <v>0</v>
      </c>
      <c r="AC272" s="421">
        <v>0</v>
      </c>
      <c r="AD272" s="421">
        <v>0</v>
      </c>
      <c r="AE272" s="421">
        <v>0</v>
      </c>
      <c r="AF272" s="421">
        <f t="shared" si="1006"/>
        <v>0</v>
      </c>
      <c r="AG272" s="421">
        <f t="shared" si="1007"/>
        <v>0</v>
      </c>
      <c r="AH272" s="421">
        <f t="shared" si="1008"/>
        <v>0</v>
      </c>
      <c r="AI272" s="421">
        <v>0</v>
      </c>
      <c r="AJ272" s="421">
        <v>0</v>
      </c>
      <c r="AK272" s="421">
        <v>0</v>
      </c>
      <c r="AL272" s="421">
        <v>0</v>
      </c>
      <c r="AM272" s="421">
        <v>0</v>
      </c>
      <c r="AN272" s="421">
        <v>0</v>
      </c>
      <c r="AO272" s="421">
        <f t="shared" si="1009"/>
        <v>0</v>
      </c>
      <c r="AP272" s="421">
        <f t="shared" si="1010"/>
        <v>0</v>
      </c>
      <c r="AQ272" s="421">
        <f t="shared" si="1011"/>
        <v>0</v>
      </c>
      <c r="AR272" s="421">
        <f t="shared" si="1012"/>
        <v>0</v>
      </c>
      <c r="AS272" s="421">
        <f t="shared" si="1012"/>
        <v>0</v>
      </c>
      <c r="AT272" s="421">
        <f t="shared" si="1013"/>
        <v>0</v>
      </c>
      <c r="AU272" s="68">
        <f t="shared" si="1014"/>
        <v>0</v>
      </c>
      <c r="AV272" s="68">
        <f t="shared" si="1015"/>
        <v>0</v>
      </c>
      <c r="AW272" s="421">
        <v>0</v>
      </c>
      <c r="AX272" s="421">
        <v>0</v>
      </c>
      <c r="AY272" s="421">
        <f t="shared" si="1016"/>
        <v>0</v>
      </c>
      <c r="AZ272" s="421">
        <f t="shared" si="1017"/>
        <v>0</v>
      </c>
      <c r="BA272" s="422">
        <v>0</v>
      </c>
      <c r="BB272" s="422">
        <v>0</v>
      </c>
      <c r="BC272" s="422">
        <v>0</v>
      </c>
      <c r="BD272" s="422">
        <v>0</v>
      </c>
      <c r="BE272" s="422">
        <v>0</v>
      </c>
      <c r="BF272" s="422">
        <v>0</v>
      </c>
      <c r="BG272" s="422">
        <v>0</v>
      </c>
      <c r="BH272" s="422">
        <v>0</v>
      </c>
      <c r="BI272" s="422">
        <v>0</v>
      </c>
      <c r="BJ272" s="422">
        <v>0</v>
      </c>
      <c r="BK272" s="422">
        <f t="shared" si="1018"/>
        <v>0</v>
      </c>
      <c r="BL272" s="422">
        <f t="shared" si="1019"/>
        <v>0</v>
      </c>
      <c r="BM272" s="611">
        <f t="shared" si="1020"/>
        <v>0</v>
      </c>
      <c r="BN272" s="428">
        <f t="shared" si="1021"/>
        <v>0</v>
      </c>
      <c r="BO272" s="421">
        <f t="shared" si="1022"/>
        <v>0</v>
      </c>
      <c r="BP272" s="421">
        <f t="shared" si="1023"/>
        <v>0</v>
      </c>
      <c r="BQ272" s="421">
        <f t="shared" si="1023"/>
        <v>0</v>
      </c>
      <c r="BR272" s="421">
        <f t="shared" si="1024"/>
        <v>0</v>
      </c>
      <c r="BS272" s="421">
        <f t="shared" si="1025"/>
        <v>0</v>
      </c>
      <c r="BT272" s="421">
        <f t="shared" si="1025"/>
        <v>0</v>
      </c>
      <c r="BU272" s="421">
        <f t="shared" si="1026"/>
        <v>0</v>
      </c>
      <c r="BV272" s="421">
        <f t="shared" si="1026"/>
        <v>0</v>
      </c>
      <c r="BW272" s="421">
        <f t="shared" si="1027"/>
        <v>0</v>
      </c>
      <c r="BX272" s="422">
        <f t="shared" si="1028"/>
        <v>0</v>
      </c>
      <c r="BY272" s="422">
        <f t="shared" si="1029"/>
        <v>0</v>
      </c>
      <c r="BZ272" s="611">
        <f t="shared" si="1029"/>
        <v>0</v>
      </c>
      <c r="CA272" s="423"/>
      <c r="CB272" s="418"/>
      <c r="CC272" s="418"/>
      <c r="CD272" s="418"/>
      <c r="CE272" s="418"/>
      <c r="CF272" s="527"/>
    </row>
    <row r="273" spans="1:84" s="222" customFormat="1" ht="12.75" customHeight="1" x14ac:dyDescent="0.2">
      <c r="A273" s="210">
        <v>50</v>
      </c>
      <c r="B273" s="211">
        <v>4491</v>
      </c>
      <c r="C273" s="211">
        <v>650050517</v>
      </c>
      <c r="D273" s="211">
        <v>72742437</v>
      </c>
      <c r="E273" s="209" t="s">
        <v>236</v>
      </c>
      <c r="F273" s="211">
        <v>3141</v>
      </c>
      <c r="G273" s="165" t="s">
        <v>295</v>
      </c>
      <c r="H273" s="699" t="s">
        <v>272</v>
      </c>
      <c r="I273" s="528">
        <f t="shared" si="999"/>
        <v>517962</v>
      </c>
      <c r="J273" s="418">
        <f t="shared" si="1000"/>
        <v>382402</v>
      </c>
      <c r="K273" s="418">
        <v>0</v>
      </c>
      <c r="L273" s="418">
        <v>382402</v>
      </c>
      <c r="M273" s="418">
        <f t="shared" si="1001"/>
        <v>0</v>
      </c>
      <c r="N273" s="418"/>
      <c r="O273" s="418"/>
      <c r="P273" s="68">
        <f t="shared" si="1002"/>
        <v>129252</v>
      </c>
      <c r="Q273" s="68">
        <f t="shared" si="1003"/>
        <v>3824</v>
      </c>
      <c r="R273" s="418">
        <v>2484</v>
      </c>
      <c r="S273" s="419">
        <f t="shared" si="1004"/>
        <v>1.1499999999999999</v>
      </c>
      <c r="T273" s="420">
        <v>0</v>
      </c>
      <c r="U273" s="527">
        <v>1.1499999999999999</v>
      </c>
      <c r="V273" s="427">
        <f t="shared" si="1005"/>
        <v>0</v>
      </c>
      <c r="W273" s="421">
        <f t="shared" si="1005"/>
        <v>0</v>
      </c>
      <c r="X273" s="421">
        <v>0</v>
      </c>
      <c r="Y273" s="421">
        <v>0</v>
      </c>
      <c r="Z273" s="421">
        <v>0</v>
      </c>
      <c r="AA273" s="421">
        <v>0</v>
      </c>
      <c r="AB273" s="421">
        <v>0</v>
      </c>
      <c r="AC273" s="421">
        <v>0</v>
      </c>
      <c r="AD273" s="421">
        <v>0</v>
      </c>
      <c r="AE273" s="421">
        <v>0</v>
      </c>
      <c r="AF273" s="421">
        <f t="shared" si="1006"/>
        <v>0</v>
      </c>
      <c r="AG273" s="421">
        <f t="shared" si="1007"/>
        <v>0</v>
      </c>
      <c r="AH273" s="421">
        <f t="shared" si="1008"/>
        <v>0</v>
      </c>
      <c r="AI273" s="421">
        <v>0</v>
      </c>
      <c r="AJ273" s="421">
        <v>0</v>
      </c>
      <c r="AK273" s="421">
        <v>0</v>
      </c>
      <c r="AL273" s="421">
        <v>0</v>
      </c>
      <c r="AM273" s="421">
        <v>0</v>
      </c>
      <c r="AN273" s="421">
        <v>0</v>
      </c>
      <c r="AO273" s="421">
        <f t="shared" si="1009"/>
        <v>0</v>
      </c>
      <c r="AP273" s="421">
        <f t="shared" si="1010"/>
        <v>0</v>
      </c>
      <c r="AQ273" s="421">
        <f t="shared" si="1011"/>
        <v>0</v>
      </c>
      <c r="AR273" s="421">
        <f t="shared" si="1012"/>
        <v>0</v>
      </c>
      <c r="AS273" s="421">
        <f t="shared" si="1012"/>
        <v>0</v>
      </c>
      <c r="AT273" s="421">
        <f t="shared" si="1013"/>
        <v>0</v>
      </c>
      <c r="AU273" s="68">
        <f t="shared" si="1014"/>
        <v>0</v>
      </c>
      <c r="AV273" s="68">
        <f t="shared" si="1015"/>
        <v>0</v>
      </c>
      <c r="AW273" s="421">
        <v>0</v>
      </c>
      <c r="AX273" s="421">
        <v>0</v>
      </c>
      <c r="AY273" s="421">
        <f t="shared" si="1016"/>
        <v>0</v>
      </c>
      <c r="AZ273" s="421">
        <f t="shared" si="1017"/>
        <v>0</v>
      </c>
      <c r="BA273" s="422">
        <v>0</v>
      </c>
      <c r="BB273" s="422">
        <v>0</v>
      </c>
      <c r="BC273" s="422">
        <v>0</v>
      </c>
      <c r="BD273" s="422">
        <v>0</v>
      </c>
      <c r="BE273" s="422">
        <v>0</v>
      </c>
      <c r="BF273" s="422">
        <v>0</v>
      </c>
      <c r="BG273" s="422">
        <v>0</v>
      </c>
      <c r="BH273" s="422">
        <v>0</v>
      </c>
      <c r="BI273" s="422">
        <v>0</v>
      </c>
      <c r="BJ273" s="422">
        <v>0</v>
      </c>
      <c r="BK273" s="422">
        <f t="shared" si="1018"/>
        <v>0</v>
      </c>
      <c r="BL273" s="422">
        <f t="shared" si="1019"/>
        <v>0</v>
      </c>
      <c r="BM273" s="611">
        <f t="shared" si="1020"/>
        <v>0</v>
      </c>
      <c r="BN273" s="428">
        <f t="shared" si="1021"/>
        <v>517962</v>
      </c>
      <c r="BO273" s="421">
        <f t="shared" si="1022"/>
        <v>382402</v>
      </c>
      <c r="BP273" s="421">
        <f t="shared" si="1023"/>
        <v>0</v>
      </c>
      <c r="BQ273" s="421">
        <f t="shared" si="1023"/>
        <v>382402</v>
      </c>
      <c r="BR273" s="421">
        <f t="shared" si="1024"/>
        <v>0</v>
      </c>
      <c r="BS273" s="421">
        <f t="shared" si="1025"/>
        <v>0</v>
      </c>
      <c r="BT273" s="421">
        <f t="shared" si="1025"/>
        <v>0</v>
      </c>
      <c r="BU273" s="421">
        <f t="shared" si="1026"/>
        <v>129252</v>
      </c>
      <c r="BV273" s="421">
        <f t="shared" si="1026"/>
        <v>3824</v>
      </c>
      <c r="BW273" s="421">
        <f t="shared" si="1027"/>
        <v>2484</v>
      </c>
      <c r="BX273" s="422">
        <f t="shared" si="1028"/>
        <v>1.1499999999999999</v>
      </c>
      <c r="BY273" s="422">
        <f t="shared" si="1029"/>
        <v>0</v>
      </c>
      <c r="BZ273" s="611">
        <f t="shared" si="1029"/>
        <v>1.1499999999999999</v>
      </c>
      <c r="CA273" s="423"/>
      <c r="CB273" s="418"/>
      <c r="CC273" s="418"/>
      <c r="CD273" s="418"/>
      <c r="CE273" s="418"/>
      <c r="CF273" s="527"/>
    </row>
    <row r="274" spans="1:84" s="222" customFormat="1" ht="12.75" customHeight="1" x14ac:dyDescent="0.2">
      <c r="A274" s="210">
        <v>50</v>
      </c>
      <c r="B274" s="211">
        <v>4491</v>
      </c>
      <c r="C274" s="211">
        <v>650050517</v>
      </c>
      <c r="D274" s="211">
        <v>72742437</v>
      </c>
      <c r="E274" s="209" t="s">
        <v>236</v>
      </c>
      <c r="F274" s="211">
        <v>3143</v>
      </c>
      <c r="G274" s="165" t="s">
        <v>596</v>
      </c>
      <c r="H274" s="686" t="s">
        <v>271</v>
      </c>
      <c r="I274" s="528">
        <f t="shared" si="999"/>
        <v>653573</v>
      </c>
      <c r="J274" s="418">
        <f t="shared" si="1000"/>
        <v>484847</v>
      </c>
      <c r="K274" s="418">
        <v>484847</v>
      </c>
      <c r="L274" s="418">
        <v>0</v>
      </c>
      <c r="M274" s="418">
        <f t="shared" si="1001"/>
        <v>0</v>
      </c>
      <c r="N274" s="418"/>
      <c r="O274" s="418"/>
      <c r="P274" s="68">
        <f t="shared" si="1002"/>
        <v>163878</v>
      </c>
      <c r="Q274" s="68">
        <f t="shared" si="1003"/>
        <v>4848</v>
      </c>
      <c r="R274" s="418">
        <v>0</v>
      </c>
      <c r="S274" s="419">
        <f t="shared" si="1004"/>
        <v>0.92859999999999998</v>
      </c>
      <c r="T274" s="420">
        <v>0.92859999999999998</v>
      </c>
      <c r="U274" s="527">
        <v>0</v>
      </c>
      <c r="V274" s="427">
        <f t="shared" si="1005"/>
        <v>0</v>
      </c>
      <c r="W274" s="421">
        <f t="shared" si="1005"/>
        <v>0</v>
      </c>
      <c r="X274" s="421">
        <v>0</v>
      </c>
      <c r="Y274" s="421">
        <v>0</v>
      </c>
      <c r="Z274" s="421">
        <v>0</v>
      </c>
      <c r="AA274" s="421">
        <v>0</v>
      </c>
      <c r="AB274" s="421">
        <v>0</v>
      </c>
      <c r="AC274" s="421">
        <v>0</v>
      </c>
      <c r="AD274" s="421">
        <v>0</v>
      </c>
      <c r="AE274" s="421">
        <v>0</v>
      </c>
      <c r="AF274" s="421">
        <f t="shared" si="1006"/>
        <v>0</v>
      </c>
      <c r="AG274" s="421">
        <f t="shared" si="1007"/>
        <v>0</v>
      </c>
      <c r="AH274" s="421">
        <f t="shared" si="1008"/>
        <v>0</v>
      </c>
      <c r="AI274" s="421">
        <v>0</v>
      </c>
      <c r="AJ274" s="421">
        <v>0</v>
      </c>
      <c r="AK274" s="421">
        <v>0</v>
      </c>
      <c r="AL274" s="421">
        <v>0</v>
      </c>
      <c r="AM274" s="421">
        <v>0</v>
      </c>
      <c r="AN274" s="421">
        <v>0</v>
      </c>
      <c r="AO274" s="421">
        <f t="shared" si="1009"/>
        <v>0</v>
      </c>
      <c r="AP274" s="421">
        <f t="shared" si="1010"/>
        <v>0</v>
      </c>
      <c r="AQ274" s="421">
        <f t="shared" si="1011"/>
        <v>0</v>
      </c>
      <c r="AR274" s="421">
        <f t="shared" si="1012"/>
        <v>0</v>
      </c>
      <c r="AS274" s="421">
        <f t="shared" si="1012"/>
        <v>0</v>
      </c>
      <c r="AT274" s="421">
        <f t="shared" si="1013"/>
        <v>0</v>
      </c>
      <c r="AU274" s="68">
        <f t="shared" si="1014"/>
        <v>0</v>
      </c>
      <c r="AV274" s="68">
        <f t="shared" si="1015"/>
        <v>0</v>
      </c>
      <c r="AW274" s="421">
        <v>0</v>
      </c>
      <c r="AX274" s="421">
        <v>0</v>
      </c>
      <c r="AY274" s="421">
        <f t="shared" si="1016"/>
        <v>0</v>
      </c>
      <c r="AZ274" s="421">
        <f t="shared" si="1017"/>
        <v>0</v>
      </c>
      <c r="BA274" s="422">
        <v>0</v>
      </c>
      <c r="BB274" s="422">
        <v>0</v>
      </c>
      <c r="BC274" s="422">
        <v>0</v>
      </c>
      <c r="BD274" s="422">
        <v>0</v>
      </c>
      <c r="BE274" s="422">
        <v>0</v>
      </c>
      <c r="BF274" s="422">
        <v>0</v>
      </c>
      <c r="BG274" s="422">
        <v>0</v>
      </c>
      <c r="BH274" s="422">
        <v>0</v>
      </c>
      <c r="BI274" s="422">
        <v>0</v>
      </c>
      <c r="BJ274" s="422">
        <v>0</v>
      </c>
      <c r="BK274" s="422">
        <f t="shared" si="1018"/>
        <v>0</v>
      </c>
      <c r="BL274" s="422">
        <f t="shared" si="1019"/>
        <v>0</v>
      </c>
      <c r="BM274" s="611">
        <f t="shared" si="1020"/>
        <v>0</v>
      </c>
      <c r="BN274" s="428">
        <f t="shared" si="1021"/>
        <v>653573</v>
      </c>
      <c r="BO274" s="421">
        <f t="shared" si="1022"/>
        <v>484847</v>
      </c>
      <c r="BP274" s="421">
        <f t="shared" si="1023"/>
        <v>484847</v>
      </c>
      <c r="BQ274" s="421">
        <f t="shared" si="1023"/>
        <v>0</v>
      </c>
      <c r="BR274" s="421">
        <f t="shared" si="1024"/>
        <v>0</v>
      </c>
      <c r="BS274" s="421">
        <f t="shared" si="1025"/>
        <v>0</v>
      </c>
      <c r="BT274" s="421">
        <f t="shared" si="1025"/>
        <v>0</v>
      </c>
      <c r="BU274" s="421">
        <f t="shared" si="1026"/>
        <v>163878</v>
      </c>
      <c r="BV274" s="421">
        <f t="shared" si="1026"/>
        <v>4848</v>
      </c>
      <c r="BW274" s="421">
        <f t="shared" si="1027"/>
        <v>0</v>
      </c>
      <c r="BX274" s="422">
        <f t="shared" si="1028"/>
        <v>0.92859999999999998</v>
      </c>
      <c r="BY274" s="422">
        <f t="shared" si="1029"/>
        <v>0.92859999999999998</v>
      </c>
      <c r="BZ274" s="611">
        <f t="shared" si="1029"/>
        <v>0</v>
      </c>
      <c r="CA274" s="423"/>
      <c r="CB274" s="418"/>
      <c r="CC274" s="418"/>
      <c r="CD274" s="418"/>
      <c r="CE274" s="418"/>
      <c r="CF274" s="527"/>
    </row>
    <row r="275" spans="1:84" s="222" customFormat="1" ht="12.75" customHeight="1" x14ac:dyDescent="0.2">
      <c r="A275" s="210">
        <v>50</v>
      </c>
      <c r="B275" s="211">
        <v>4491</v>
      </c>
      <c r="C275" s="211">
        <v>650050517</v>
      </c>
      <c r="D275" s="211">
        <v>72742437</v>
      </c>
      <c r="E275" s="209" t="s">
        <v>236</v>
      </c>
      <c r="F275" s="211">
        <v>3143</v>
      </c>
      <c r="G275" s="165" t="s">
        <v>597</v>
      </c>
      <c r="H275" s="686" t="s">
        <v>272</v>
      </c>
      <c r="I275" s="528">
        <f t="shared" si="999"/>
        <v>15380</v>
      </c>
      <c r="J275" s="418">
        <f t="shared" si="1000"/>
        <v>11009</v>
      </c>
      <c r="K275" s="418">
        <v>0</v>
      </c>
      <c r="L275" s="418">
        <v>11009</v>
      </c>
      <c r="M275" s="418">
        <f t="shared" si="1001"/>
        <v>0</v>
      </c>
      <c r="N275" s="418"/>
      <c r="O275" s="418"/>
      <c r="P275" s="68">
        <f t="shared" si="1002"/>
        <v>3721</v>
      </c>
      <c r="Q275" s="68">
        <f t="shared" si="1003"/>
        <v>110</v>
      </c>
      <c r="R275" s="418">
        <v>540</v>
      </c>
      <c r="S275" s="419">
        <f t="shared" si="1004"/>
        <v>0.04</v>
      </c>
      <c r="T275" s="420">
        <v>0</v>
      </c>
      <c r="U275" s="527">
        <v>0.04</v>
      </c>
      <c r="V275" s="427">
        <f t="shared" si="1005"/>
        <v>0</v>
      </c>
      <c r="W275" s="421">
        <f t="shared" si="1005"/>
        <v>0</v>
      </c>
      <c r="X275" s="421">
        <v>0</v>
      </c>
      <c r="Y275" s="421">
        <v>0</v>
      </c>
      <c r="Z275" s="421">
        <v>0</v>
      </c>
      <c r="AA275" s="421">
        <v>0</v>
      </c>
      <c r="AB275" s="421">
        <v>0</v>
      </c>
      <c r="AC275" s="421">
        <v>0</v>
      </c>
      <c r="AD275" s="421">
        <v>0</v>
      </c>
      <c r="AE275" s="421">
        <v>0</v>
      </c>
      <c r="AF275" s="421">
        <f t="shared" si="1006"/>
        <v>0</v>
      </c>
      <c r="AG275" s="421">
        <f t="shared" si="1007"/>
        <v>0</v>
      </c>
      <c r="AH275" s="421">
        <f t="shared" si="1008"/>
        <v>0</v>
      </c>
      <c r="AI275" s="421">
        <v>0</v>
      </c>
      <c r="AJ275" s="421">
        <v>0</v>
      </c>
      <c r="AK275" s="421">
        <v>0</v>
      </c>
      <c r="AL275" s="421">
        <v>0</v>
      </c>
      <c r="AM275" s="421">
        <v>0</v>
      </c>
      <c r="AN275" s="421">
        <v>0</v>
      </c>
      <c r="AO275" s="421">
        <f t="shared" si="1009"/>
        <v>0</v>
      </c>
      <c r="AP275" s="421">
        <f t="shared" si="1010"/>
        <v>0</v>
      </c>
      <c r="AQ275" s="421">
        <f t="shared" si="1011"/>
        <v>0</v>
      </c>
      <c r="AR275" s="421">
        <f t="shared" si="1012"/>
        <v>0</v>
      </c>
      <c r="AS275" s="421">
        <f t="shared" si="1012"/>
        <v>0</v>
      </c>
      <c r="AT275" s="421">
        <f t="shared" si="1013"/>
        <v>0</v>
      </c>
      <c r="AU275" s="68">
        <f t="shared" si="1014"/>
        <v>0</v>
      </c>
      <c r="AV275" s="68">
        <f t="shared" si="1015"/>
        <v>0</v>
      </c>
      <c r="AW275" s="421">
        <v>0</v>
      </c>
      <c r="AX275" s="421">
        <v>0</v>
      </c>
      <c r="AY275" s="421">
        <f t="shared" si="1016"/>
        <v>0</v>
      </c>
      <c r="AZ275" s="421">
        <f t="shared" si="1017"/>
        <v>0</v>
      </c>
      <c r="BA275" s="422">
        <v>0</v>
      </c>
      <c r="BB275" s="422">
        <v>0</v>
      </c>
      <c r="BC275" s="422">
        <v>0</v>
      </c>
      <c r="BD275" s="422">
        <v>0</v>
      </c>
      <c r="BE275" s="422">
        <v>0</v>
      </c>
      <c r="BF275" s="422">
        <v>0</v>
      </c>
      <c r="BG275" s="422">
        <v>0</v>
      </c>
      <c r="BH275" s="422">
        <v>0</v>
      </c>
      <c r="BI275" s="422">
        <v>0</v>
      </c>
      <c r="BJ275" s="422">
        <v>0</v>
      </c>
      <c r="BK275" s="422">
        <f t="shared" si="1018"/>
        <v>0</v>
      </c>
      <c r="BL275" s="422">
        <f t="shared" si="1019"/>
        <v>0</v>
      </c>
      <c r="BM275" s="611">
        <f t="shared" si="1020"/>
        <v>0</v>
      </c>
      <c r="BN275" s="428">
        <f t="shared" si="1021"/>
        <v>15380</v>
      </c>
      <c r="BO275" s="421">
        <f t="shared" si="1022"/>
        <v>11009</v>
      </c>
      <c r="BP275" s="421">
        <f t="shared" si="1023"/>
        <v>0</v>
      </c>
      <c r="BQ275" s="421">
        <f t="shared" si="1023"/>
        <v>11009</v>
      </c>
      <c r="BR275" s="421">
        <f t="shared" si="1024"/>
        <v>0</v>
      </c>
      <c r="BS275" s="421">
        <f t="shared" si="1025"/>
        <v>0</v>
      </c>
      <c r="BT275" s="421">
        <f t="shared" si="1025"/>
        <v>0</v>
      </c>
      <c r="BU275" s="421">
        <f t="shared" si="1026"/>
        <v>3721</v>
      </c>
      <c r="BV275" s="421">
        <f t="shared" si="1026"/>
        <v>110</v>
      </c>
      <c r="BW275" s="421">
        <f t="shared" si="1027"/>
        <v>540</v>
      </c>
      <c r="BX275" s="422">
        <f t="shared" si="1028"/>
        <v>0.04</v>
      </c>
      <c r="BY275" s="422">
        <f t="shared" si="1029"/>
        <v>0</v>
      </c>
      <c r="BZ275" s="611">
        <f t="shared" si="1029"/>
        <v>0.04</v>
      </c>
      <c r="CA275" s="423"/>
      <c r="CB275" s="418"/>
      <c r="CC275" s="418"/>
      <c r="CD275" s="418"/>
      <c r="CE275" s="418"/>
      <c r="CF275" s="527"/>
    </row>
    <row r="276" spans="1:84" s="222" customFormat="1" ht="12.75" customHeight="1" x14ac:dyDescent="0.2">
      <c r="A276" s="155">
        <v>50</v>
      </c>
      <c r="B276" s="18">
        <v>4491</v>
      </c>
      <c r="C276" s="18">
        <v>650050517</v>
      </c>
      <c r="D276" s="18">
        <v>72742437</v>
      </c>
      <c r="E276" s="164" t="s">
        <v>237</v>
      </c>
      <c r="F276" s="18"/>
      <c r="G276" s="154"/>
      <c r="H276" s="685"/>
      <c r="I276" s="458">
        <f t="shared" ref="I276:BT276" si="1030">SUM(I270:I275)</f>
        <v>6323470</v>
      </c>
      <c r="J276" s="451">
        <f t="shared" si="1030"/>
        <v>4656215</v>
      </c>
      <c r="K276" s="451">
        <f t="shared" si="1030"/>
        <v>3920658</v>
      </c>
      <c r="L276" s="451">
        <f t="shared" si="1030"/>
        <v>735557</v>
      </c>
      <c r="M276" s="451">
        <f t="shared" si="1030"/>
        <v>0</v>
      </c>
      <c r="N276" s="451">
        <f t="shared" si="1030"/>
        <v>0</v>
      </c>
      <c r="O276" s="451">
        <f t="shared" si="1030"/>
        <v>0</v>
      </c>
      <c r="P276" s="451">
        <f t="shared" si="1030"/>
        <v>1573801</v>
      </c>
      <c r="Q276" s="451">
        <f t="shared" si="1030"/>
        <v>46562</v>
      </c>
      <c r="R276" s="451">
        <f t="shared" si="1030"/>
        <v>46892</v>
      </c>
      <c r="S276" s="452">
        <f t="shared" si="1030"/>
        <v>8.2287999999999979</v>
      </c>
      <c r="T276" s="452">
        <f t="shared" si="1030"/>
        <v>6.0651000000000002</v>
      </c>
      <c r="U276" s="39">
        <f t="shared" si="1030"/>
        <v>2.1637</v>
      </c>
      <c r="V276" s="458">
        <f t="shared" si="1030"/>
        <v>-6400</v>
      </c>
      <c r="W276" s="451">
        <f t="shared" si="1030"/>
        <v>0</v>
      </c>
      <c r="X276" s="451">
        <f t="shared" si="1030"/>
        <v>0</v>
      </c>
      <c r="Y276" s="451">
        <f t="shared" si="1030"/>
        <v>0</v>
      </c>
      <c r="Z276" s="451">
        <f t="shared" si="1030"/>
        <v>0</v>
      </c>
      <c r="AA276" s="451">
        <f t="shared" si="1030"/>
        <v>0</v>
      </c>
      <c r="AB276" s="451">
        <f t="shared" si="1030"/>
        <v>0</v>
      </c>
      <c r="AC276" s="451">
        <f t="shared" si="1030"/>
        <v>0</v>
      </c>
      <c r="AD276" s="451">
        <f t="shared" si="1030"/>
        <v>0</v>
      </c>
      <c r="AE276" s="451">
        <f t="shared" si="1030"/>
        <v>0</v>
      </c>
      <c r="AF276" s="451">
        <f t="shared" si="1030"/>
        <v>-6400</v>
      </c>
      <c r="AG276" s="451">
        <f t="shared" si="1030"/>
        <v>0</v>
      </c>
      <c r="AH276" s="451">
        <f t="shared" si="1030"/>
        <v>-6400</v>
      </c>
      <c r="AI276" s="451">
        <f t="shared" si="1030"/>
        <v>6400</v>
      </c>
      <c r="AJ276" s="451">
        <f t="shared" si="1030"/>
        <v>0</v>
      </c>
      <c r="AK276" s="451">
        <f t="shared" ref="AK276" si="1031">SUM(AK270:AK275)</f>
        <v>0</v>
      </c>
      <c r="AL276" s="451">
        <f t="shared" si="1030"/>
        <v>0</v>
      </c>
      <c r="AM276" s="451">
        <f t="shared" si="1030"/>
        <v>0</v>
      </c>
      <c r="AN276" s="451">
        <f t="shared" si="1030"/>
        <v>0</v>
      </c>
      <c r="AO276" s="451">
        <f t="shared" si="1030"/>
        <v>6400</v>
      </c>
      <c r="AP276" s="451">
        <f t="shared" si="1030"/>
        <v>0</v>
      </c>
      <c r="AQ276" s="451">
        <f t="shared" si="1030"/>
        <v>6400</v>
      </c>
      <c r="AR276" s="451">
        <f t="shared" si="1030"/>
        <v>0</v>
      </c>
      <c r="AS276" s="451">
        <f t="shared" si="1030"/>
        <v>0</v>
      </c>
      <c r="AT276" s="451">
        <f t="shared" si="1030"/>
        <v>0</v>
      </c>
      <c r="AU276" s="451">
        <f t="shared" si="1030"/>
        <v>0</v>
      </c>
      <c r="AV276" s="451">
        <f t="shared" si="1030"/>
        <v>-64</v>
      </c>
      <c r="AW276" s="451">
        <f t="shared" si="1030"/>
        <v>0</v>
      </c>
      <c r="AX276" s="451">
        <f t="shared" si="1030"/>
        <v>0</v>
      </c>
      <c r="AY276" s="451">
        <f t="shared" si="1030"/>
        <v>0</v>
      </c>
      <c r="AZ276" s="451">
        <f t="shared" si="1030"/>
        <v>-64</v>
      </c>
      <c r="BA276" s="452">
        <f t="shared" si="1030"/>
        <v>-0.01</v>
      </c>
      <c r="BB276" s="452">
        <f t="shared" si="1030"/>
        <v>0</v>
      </c>
      <c r="BC276" s="452">
        <f t="shared" si="1030"/>
        <v>0</v>
      </c>
      <c r="BD276" s="452">
        <f t="shared" si="1030"/>
        <v>0</v>
      </c>
      <c r="BE276" s="452">
        <f t="shared" si="1030"/>
        <v>0</v>
      </c>
      <c r="BF276" s="452">
        <f t="shared" si="1030"/>
        <v>0</v>
      </c>
      <c r="BG276" s="452">
        <f t="shared" si="1030"/>
        <v>0</v>
      </c>
      <c r="BH276" s="452">
        <f t="shared" si="1030"/>
        <v>0</v>
      </c>
      <c r="BI276" s="452">
        <f t="shared" si="1030"/>
        <v>0</v>
      </c>
      <c r="BJ276" s="452">
        <f t="shared" si="1030"/>
        <v>0</v>
      </c>
      <c r="BK276" s="452">
        <f t="shared" si="1030"/>
        <v>-0.01</v>
      </c>
      <c r="BL276" s="452">
        <f t="shared" si="1030"/>
        <v>0</v>
      </c>
      <c r="BM276" s="456">
        <f t="shared" si="1030"/>
        <v>-0.01</v>
      </c>
      <c r="BN276" s="454">
        <f t="shared" si="1030"/>
        <v>6323406</v>
      </c>
      <c r="BO276" s="451">
        <f t="shared" si="1030"/>
        <v>4649815</v>
      </c>
      <c r="BP276" s="451">
        <f t="shared" si="1030"/>
        <v>3914258</v>
      </c>
      <c r="BQ276" s="451">
        <f t="shared" si="1030"/>
        <v>735557</v>
      </c>
      <c r="BR276" s="451">
        <f t="shared" si="1030"/>
        <v>6400</v>
      </c>
      <c r="BS276" s="451">
        <f t="shared" si="1030"/>
        <v>6400</v>
      </c>
      <c r="BT276" s="451">
        <f t="shared" si="1030"/>
        <v>0</v>
      </c>
      <c r="BU276" s="451">
        <f t="shared" ref="BU276:CF276" si="1032">SUM(BU270:BU275)</f>
        <v>1573801</v>
      </c>
      <c r="BV276" s="451">
        <f t="shared" si="1032"/>
        <v>46498</v>
      </c>
      <c r="BW276" s="451">
        <f t="shared" si="1032"/>
        <v>46892</v>
      </c>
      <c r="BX276" s="452">
        <f t="shared" si="1032"/>
        <v>8.2187999999999981</v>
      </c>
      <c r="BY276" s="452">
        <f t="shared" si="1032"/>
        <v>6.0551000000000004</v>
      </c>
      <c r="BZ276" s="456">
        <f t="shared" si="1032"/>
        <v>2.1637</v>
      </c>
      <c r="CA276" s="854">
        <f t="shared" si="1032"/>
        <v>0</v>
      </c>
      <c r="CB276" s="852">
        <f t="shared" si="1032"/>
        <v>0</v>
      </c>
      <c r="CC276" s="852">
        <f t="shared" si="1032"/>
        <v>0</v>
      </c>
      <c r="CD276" s="852">
        <f t="shared" si="1032"/>
        <v>0</v>
      </c>
      <c r="CE276" s="852">
        <f t="shared" si="1032"/>
        <v>0</v>
      </c>
      <c r="CF276" s="848">
        <f t="shared" si="1032"/>
        <v>0</v>
      </c>
    </row>
    <row r="277" spans="1:84" s="222" customFormat="1" ht="12.75" customHeight="1" x14ac:dyDescent="0.2">
      <c r="A277" s="210">
        <v>51</v>
      </c>
      <c r="B277" s="211">
        <v>4465</v>
      </c>
      <c r="C277" s="211">
        <v>600074757</v>
      </c>
      <c r="D277" s="211">
        <v>46750428</v>
      </c>
      <c r="E277" s="209" t="s">
        <v>238</v>
      </c>
      <c r="F277" s="211">
        <v>3111</v>
      </c>
      <c r="G277" s="165" t="s">
        <v>291</v>
      </c>
      <c r="H277" s="699" t="s">
        <v>271</v>
      </c>
      <c r="I277" s="528">
        <f t="shared" ref="I277:I282" si="1033">J277+P277+Q277+R277</f>
        <v>8210006</v>
      </c>
      <c r="J277" s="418">
        <f t="shared" ref="J277:J282" si="1034">K277+L277</f>
        <v>6067486</v>
      </c>
      <c r="K277" s="418">
        <v>5734646</v>
      </c>
      <c r="L277" s="418">
        <v>332840</v>
      </c>
      <c r="M277" s="418">
        <f t="shared" ref="M277:M282" si="1035">N277+O277</f>
        <v>0</v>
      </c>
      <c r="N277" s="418"/>
      <c r="O277" s="418"/>
      <c r="P277" s="68">
        <f t="shared" ref="P277:P282" si="1036">ROUND(J277*33.8%,0)</f>
        <v>2050810</v>
      </c>
      <c r="Q277" s="68">
        <f t="shared" ref="Q277:Q282" si="1037">ROUND(J277*1%,0)</f>
        <v>60675</v>
      </c>
      <c r="R277" s="418">
        <v>31035</v>
      </c>
      <c r="S277" s="419">
        <f t="shared" ref="S277:S282" si="1038">T277+U277</f>
        <v>11.2851</v>
      </c>
      <c r="T277" s="420">
        <v>9.9515999999999991</v>
      </c>
      <c r="U277" s="527">
        <v>1.3334999999999999</v>
      </c>
      <c r="V277" s="427">
        <f t="shared" ref="V277:W282" si="1039">AI277*-1</f>
        <v>0</v>
      </c>
      <c r="W277" s="421">
        <f t="shared" si="1039"/>
        <v>0</v>
      </c>
      <c r="X277" s="421">
        <v>0</v>
      </c>
      <c r="Y277" s="421">
        <v>0</v>
      </c>
      <c r="Z277" s="421">
        <v>0</v>
      </c>
      <c r="AA277" s="421">
        <v>0</v>
      </c>
      <c r="AB277" s="421">
        <v>0</v>
      </c>
      <c r="AC277" s="421">
        <v>0</v>
      </c>
      <c r="AD277" s="421">
        <v>0</v>
      </c>
      <c r="AE277" s="421">
        <v>0</v>
      </c>
      <c r="AF277" s="421">
        <f t="shared" ref="AF277:AF282" si="1040">V277+X277+Y277+AA277+AB277+AD277</f>
        <v>0</v>
      </c>
      <c r="AG277" s="421">
        <f t="shared" ref="AG277:AG282" si="1041">W277+Z277+AC277+AE277</f>
        <v>0</v>
      </c>
      <c r="AH277" s="421">
        <f t="shared" ref="AH277:AH282" si="1042">SUM(AF277:AG277)</f>
        <v>0</v>
      </c>
      <c r="AI277" s="421">
        <v>0</v>
      </c>
      <c r="AJ277" s="421">
        <v>0</v>
      </c>
      <c r="AK277" s="421">
        <v>0</v>
      </c>
      <c r="AL277" s="421">
        <v>0</v>
      </c>
      <c r="AM277" s="421">
        <v>0</v>
      </c>
      <c r="AN277" s="421">
        <v>0</v>
      </c>
      <c r="AO277" s="421">
        <f t="shared" ref="AO277:AO282" si="1043">AI277+AK277+AL277+AM277</f>
        <v>0</v>
      </c>
      <c r="AP277" s="421">
        <f t="shared" ref="AP277:AP282" si="1044">AJ277+AN277</f>
        <v>0</v>
      </c>
      <c r="AQ277" s="421">
        <f t="shared" ref="AQ277:AQ282" si="1045">SUM(AO277:AP277)</f>
        <v>0</v>
      </c>
      <c r="AR277" s="421">
        <f t="shared" ref="AR277:AS282" si="1046">AF277+AO277</f>
        <v>0</v>
      </c>
      <c r="AS277" s="421">
        <f t="shared" si="1046"/>
        <v>0</v>
      </c>
      <c r="AT277" s="421">
        <f t="shared" ref="AT277:AT282" si="1047">SUM(AR277:AS277)</f>
        <v>0</v>
      </c>
      <c r="AU277" s="68">
        <f t="shared" ref="AU277:AU282" si="1048">ROUND((AH277+AI277+AJ277+AK277+AL277)*33.8%,0)</f>
        <v>0</v>
      </c>
      <c r="AV277" s="68">
        <f t="shared" ref="AV277:AV282" si="1049">ROUND(AH277*1%,0)</f>
        <v>0</v>
      </c>
      <c r="AW277" s="421">
        <v>0</v>
      </c>
      <c r="AX277" s="421">
        <v>0</v>
      </c>
      <c r="AY277" s="421">
        <f t="shared" ref="AY277:AY282" si="1050">AW277+AX277</f>
        <v>0</v>
      </c>
      <c r="AZ277" s="421">
        <f t="shared" ref="AZ277:AZ282" si="1051">AT277+AU277+AV277+AY277</f>
        <v>0</v>
      </c>
      <c r="BA277" s="422">
        <v>0</v>
      </c>
      <c r="BB277" s="422">
        <v>0</v>
      </c>
      <c r="BC277" s="422">
        <v>0</v>
      </c>
      <c r="BD277" s="422">
        <v>0</v>
      </c>
      <c r="BE277" s="422">
        <v>0</v>
      </c>
      <c r="BF277" s="422">
        <v>0</v>
      </c>
      <c r="BG277" s="422">
        <v>0</v>
      </c>
      <c r="BH277" s="422">
        <v>0</v>
      </c>
      <c r="BI277" s="422">
        <v>0</v>
      </c>
      <c r="BJ277" s="422">
        <v>0</v>
      </c>
      <c r="BK277" s="422">
        <f t="shared" ref="BK277:BK282" si="1052">BA277+BC277+BD277+BF277+BH277+BI277</f>
        <v>0</v>
      </c>
      <c r="BL277" s="422">
        <f t="shared" ref="BL277:BL282" si="1053">BB277+BE277+BG277+BJ277</f>
        <v>0</v>
      </c>
      <c r="BM277" s="611">
        <f t="shared" ref="BM277:BM282" si="1054">SUM(BK277:BL277)</f>
        <v>0</v>
      </c>
      <c r="BN277" s="428">
        <f t="shared" ref="BN277:BN282" si="1055">I277+AZ277</f>
        <v>8210006</v>
      </c>
      <c r="BO277" s="421">
        <f t="shared" ref="BO277:BO282" si="1056">J277+AH277</f>
        <v>6067486</v>
      </c>
      <c r="BP277" s="421">
        <f t="shared" ref="BP277:BQ282" si="1057">K277+AF277</f>
        <v>5734646</v>
      </c>
      <c r="BQ277" s="421">
        <f t="shared" si="1057"/>
        <v>332840</v>
      </c>
      <c r="BR277" s="421">
        <f t="shared" ref="BR277:BR282" si="1058">M277+AQ277</f>
        <v>0</v>
      </c>
      <c r="BS277" s="421">
        <f t="shared" ref="BS277:BT282" si="1059">N277+AO277</f>
        <v>0</v>
      </c>
      <c r="BT277" s="421">
        <f t="shared" si="1059"/>
        <v>0</v>
      </c>
      <c r="BU277" s="421">
        <f t="shared" ref="BU277:BV282" si="1060">P277+AU277</f>
        <v>2050810</v>
      </c>
      <c r="BV277" s="421">
        <f t="shared" si="1060"/>
        <v>60675</v>
      </c>
      <c r="BW277" s="421">
        <f t="shared" ref="BW277:BW282" si="1061">R277+AY277</f>
        <v>31035</v>
      </c>
      <c r="BX277" s="422">
        <f t="shared" ref="BX277:BX282" si="1062">S277+BM277</f>
        <v>11.2851</v>
      </c>
      <c r="BY277" s="422">
        <f t="shared" ref="BY277:BZ282" si="1063">T277+BK277</f>
        <v>9.9515999999999991</v>
      </c>
      <c r="BZ277" s="611">
        <f t="shared" si="1063"/>
        <v>1.3334999999999999</v>
      </c>
      <c r="CA277" s="423"/>
      <c r="CB277" s="418"/>
      <c r="CC277" s="418"/>
      <c r="CD277" s="418"/>
      <c r="CE277" s="418"/>
      <c r="CF277" s="527"/>
    </row>
    <row r="278" spans="1:84" s="222" customFormat="1" ht="12.75" customHeight="1" x14ac:dyDescent="0.2">
      <c r="A278" s="210">
        <v>51</v>
      </c>
      <c r="B278" s="211">
        <v>4465</v>
      </c>
      <c r="C278" s="211">
        <v>600074757</v>
      </c>
      <c r="D278" s="211">
        <v>46750428</v>
      </c>
      <c r="E278" s="209" t="s">
        <v>238</v>
      </c>
      <c r="F278" s="211">
        <v>3113</v>
      </c>
      <c r="G278" s="165" t="s">
        <v>294</v>
      </c>
      <c r="H278" s="699" t="s">
        <v>271</v>
      </c>
      <c r="I278" s="528">
        <f t="shared" si="1033"/>
        <v>25867875</v>
      </c>
      <c r="J278" s="418">
        <f t="shared" si="1034"/>
        <v>18928403</v>
      </c>
      <c r="K278" s="418">
        <v>17373653</v>
      </c>
      <c r="L278" s="418">
        <v>1554750</v>
      </c>
      <c r="M278" s="418">
        <f t="shared" si="1035"/>
        <v>0</v>
      </c>
      <c r="N278" s="418"/>
      <c r="O278" s="418"/>
      <c r="P278" s="68">
        <f>ROUND(J278*33.8%,0)+1</f>
        <v>6397801</v>
      </c>
      <c r="Q278" s="68">
        <f t="shared" si="1037"/>
        <v>189284</v>
      </c>
      <c r="R278" s="418">
        <v>352387</v>
      </c>
      <c r="S278" s="419">
        <f t="shared" si="1038"/>
        <v>29.385400000000001</v>
      </c>
      <c r="T278" s="420">
        <v>24.7727</v>
      </c>
      <c r="U278" s="527">
        <v>4.6127000000000002</v>
      </c>
      <c r="V278" s="427">
        <f t="shared" si="1039"/>
        <v>-64000</v>
      </c>
      <c r="W278" s="421">
        <f t="shared" si="1039"/>
        <v>0</v>
      </c>
      <c r="X278" s="421">
        <v>0</v>
      </c>
      <c r="Y278" s="421">
        <v>0</v>
      </c>
      <c r="Z278" s="421">
        <v>0</v>
      </c>
      <c r="AA278" s="421">
        <v>0</v>
      </c>
      <c r="AB278" s="421">
        <v>0</v>
      </c>
      <c r="AC278" s="421">
        <v>0</v>
      </c>
      <c r="AD278" s="421">
        <v>0</v>
      </c>
      <c r="AE278" s="421">
        <v>0</v>
      </c>
      <c r="AF278" s="421">
        <f t="shared" si="1040"/>
        <v>-64000</v>
      </c>
      <c r="AG278" s="421">
        <f t="shared" si="1041"/>
        <v>0</v>
      </c>
      <c r="AH278" s="421">
        <f t="shared" si="1042"/>
        <v>-64000</v>
      </c>
      <c r="AI278" s="421">
        <v>64000</v>
      </c>
      <c r="AJ278" s="421">
        <v>0</v>
      </c>
      <c r="AK278" s="421">
        <v>0</v>
      </c>
      <c r="AL278" s="421">
        <v>0</v>
      </c>
      <c r="AM278" s="421">
        <v>0</v>
      </c>
      <c r="AN278" s="421">
        <v>0</v>
      </c>
      <c r="AO278" s="421">
        <f t="shared" si="1043"/>
        <v>64000</v>
      </c>
      <c r="AP278" s="421">
        <f t="shared" si="1044"/>
        <v>0</v>
      </c>
      <c r="AQ278" s="421">
        <f t="shared" si="1045"/>
        <v>64000</v>
      </c>
      <c r="AR278" s="421">
        <f t="shared" si="1046"/>
        <v>0</v>
      </c>
      <c r="AS278" s="421">
        <f t="shared" si="1046"/>
        <v>0</v>
      </c>
      <c r="AT278" s="421">
        <f t="shared" si="1047"/>
        <v>0</v>
      </c>
      <c r="AU278" s="68">
        <f t="shared" si="1048"/>
        <v>0</v>
      </c>
      <c r="AV278" s="68">
        <f t="shared" si="1049"/>
        <v>-640</v>
      </c>
      <c r="AW278" s="421">
        <v>0</v>
      </c>
      <c r="AX278" s="421">
        <v>0</v>
      </c>
      <c r="AY278" s="421">
        <f t="shared" si="1050"/>
        <v>0</v>
      </c>
      <c r="AZ278" s="421">
        <f t="shared" si="1051"/>
        <v>-640</v>
      </c>
      <c r="BA278" s="422">
        <v>-0.11</v>
      </c>
      <c r="BB278" s="422">
        <v>0</v>
      </c>
      <c r="BC278" s="422">
        <v>0</v>
      </c>
      <c r="BD278" s="422">
        <v>0</v>
      </c>
      <c r="BE278" s="422">
        <v>0</v>
      </c>
      <c r="BF278" s="422">
        <v>0</v>
      </c>
      <c r="BG278" s="422">
        <v>0</v>
      </c>
      <c r="BH278" s="422">
        <v>0</v>
      </c>
      <c r="BI278" s="422">
        <v>0</v>
      </c>
      <c r="BJ278" s="422">
        <v>0</v>
      </c>
      <c r="BK278" s="422">
        <f t="shared" si="1052"/>
        <v>-0.11</v>
      </c>
      <c r="BL278" s="422">
        <f t="shared" si="1053"/>
        <v>0</v>
      </c>
      <c r="BM278" s="611">
        <f t="shared" si="1054"/>
        <v>-0.11</v>
      </c>
      <c r="BN278" s="428">
        <f t="shared" si="1055"/>
        <v>25867235</v>
      </c>
      <c r="BO278" s="421">
        <f t="shared" si="1056"/>
        <v>18864403</v>
      </c>
      <c r="BP278" s="421">
        <f t="shared" si="1057"/>
        <v>17309653</v>
      </c>
      <c r="BQ278" s="421">
        <f t="shared" si="1057"/>
        <v>1554750</v>
      </c>
      <c r="BR278" s="421">
        <f t="shared" si="1058"/>
        <v>64000</v>
      </c>
      <c r="BS278" s="421">
        <f t="shared" si="1059"/>
        <v>64000</v>
      </c>
      <c r="BT278" s="421">
        <f t="shared" si="1059"/>
        <v>0</v>
      </c>
      <c r="BU278" s="421">
        <f t="shared" si="1060"/>
        <v>6397801</v>
      </c>
      <c r="BV278" s="421">
        <f t="shared" si="1060"/>
        <v>188644</v>
      </c>
      <c r="BW278" s="421">
        <f t="shared" si="1061"/>
        <v>352387</v>
      </c>
      <c r="BX278" s="422">
        <f t="shared" si="1062"/>
        <v>29.275400000000001</v>
      </c>
      <c r="BY278" s="422">
        <f t="shared" si="1063"/>
        <v>24.662700000000001</v>
      </c>
      <c r="BZ278" s="611">
        <f t="shared" si="1063"/>
        <v>4.6127000000000002</v>
      </c>
      <c r="CA278" s="423"/>
      <c r="CB278" s="418"/>
      <c r="CC278" s="418"/>
      <c r="CD278" s="418"/>
      <c r="CE278" s="418"/>
      <c r="CF278" s="527"/>
    </row>
    <row r="279" spans="1:84" s="222" customFormat="1" ht="12.75" customHeight="1" x14ac:dyDescent="0.2">
      <c r="A279" s="210">
        <v>51</v>
      </c>
      <c r="B279" s="211">
        <v>4465</v>
      </c>
      <c r="C279" s="211">
        <v>600074757</v>
      </c>
      <c r="D279" s="211">
        <v>46750428</v>
      </c>
      <c r="E279" s="209" t="s">
        <v>238</v>
      </c>
      <c r="F279" s="211">
        <v>3113</v>
      </c>
      <c r="G279" s="165" t="s">
        <v>292</v>
      </c>
      <c r="H279" s="699" t="s">
        <v>272</v>
      </c>
      <c r="I279" s="528">
        <f t="shared" si="1033"/>
        <v>0</v>
      </c>
      <c r="J279" s="418">
        <f t="shared" si="1034"/>
        <v>0</v>
      </c>
      <c r="K279" s="418">
        <v>0</v>
      </c>
      <c r="L279" s="418">
        <v>0</v>
      </c>
      <c r="M279" s="418">
        <f t="shared" si="1035"/>
        <v>0</v>
      </c>
      <c r="N279" s="418"/>
      <c r="O279" s="418"/>
      <c r="P279" s="68">
        <f t="shared" si="1036"/>
        <v>0</v>
      </c>
      <c r="Q279" s="68">
        <f t="shared" si="1037"/>
        <v>0</v>
      </c>
      <c r="R279" s="418">
        <v>0</v>
      </c>
      <c r="S279" s="419">
        <f t="shared" si="1038"/>
        <v>0</v>
      </c>
      <c r="T279" s="420">
        <v>0</v>
      </c>
      <c r="U279" s="527">
        <v>0</v>
      </c>
      <c r="V279" s="427">
        <f t="shared" si="1039"/>
        <v>0</v>
      </c>
      <c r="W279" s="421">
        <f t="shared" si="1039"/>
        <v>0</v>
      </c>
      <c r="X279" s="421">
        <v>1545019</v>
      </c>
      <c r="Y279" s="421">
        <v>0</v>
      </c>
      <c r="Z279" s="421">
        <v>0</v>
      </c>
      <c r="AA279" s="421">
        <v>0</v>
      </c>
      <c r="AB279" s="421">
        <v>0</v>
      </c>
      <c r="AC279" s="421">
        <v>0</v>
      </c>
      <c r="AD279" s="421">
        <v>0</v>
      </c>
      <c r="AE279" s="421">
        <v>0</v>
      </c>
      <c r="AF279" s="421">
        <f t="shared" si="1040"/>
        <v>1545019</v>
      </c>
      <c r="AG279" s="421">
        <f t="shared" si="1041"/>
        <v>0</v>
      </c>
      <c r="AH279" s="421">
        <f t="shared" si="1042"/>
        <v>1545019</v>
      </c>
      <c r="AI279" s="421">
        <v>0</v>
      </c>
      <c r="AJ279" s="421">
        <v>0</v>
      </c>
      <c r="AK279" s="421">
        <v>0</v>
      </c>
      <c r="AL279" s="421">
        <v>0</v>
      </c>
      <c r="AM279" s="421">
        <v>0</v>
      </c>
      <c r="AN279" s="421">
        <v>0</v>
      </c>
      <c r="AO279" s="421">
        <f t="shared" si="1043"/>
        <v>0</v>
      </c>
      <c r="AP279" s="421">
        <f t="shared" si="1044"/>
        <v>0</v>
      </c>
      <c r="AQ279" s="421">
        <f t="shared" si="1045"/>
        <v>0</v>
      </c>
      <c r="AR279" s="421">
        <f t="shared" si="1046"/>
        <v>1545019</v>
      </c>
      <c r="AS279" s="421">
        <f t="shared" si="1046"/>
        <v>0</v>
      </c>
      <c r="AT279" s="421">
        <f t="shared" si="1047"/>
        <v>1545019</v>
      </c>
      <c r="AU279" s="68">
        <f t="shared" si="1048"/>
        <v>522216</v>
      </c>
      <c r="AV279" s="68">
        <f t="shared" si="1049"/>
        <v>15450</v>
      </c>
      <c r="AW279" s="421">
        <v>0</v>
      </c>
      <c r="AX279" s="421">
        <v>0</v>
      </c>
      <c r="AY279" s="421">
        <f t="shared" si="1050"/>
        <v>0</v>
      </c>
      <c r="AZ279" s="421">
        <f t="shared" si="1051"/>
        <v>2082685</v>
      </c>
      <c r="BA279" s="422">
        <v>0</v>
      </c>
      <c r="BB279" s="422">
        <v>0</v>
      </c>
      <c r="BC279" s="422">
        <v>4.17</v>
      </c>
      <c r="BD279" s="422">
        <v>0</v>
      </c>
      <c r="BE279" s="422">
        <v>0</v>
      </c>
      <c r="BF279" s="422">
        <v>0</v>
      </c>
      <c r="BG279" s="422">
        <v>0</v>
      </c>
      <c r="BH279" s="422">
        <v>0</v>
      </c>
      <c r="BI279" s="422">
        <v>0</v>
      </c>
      <c r="BJ279" s="422">
        <v>0</v>
      </c>
      <c r="BK279" s="422">
        <f t="shared" si="1052"/>
        <v>4.17</v>
      </c>
      <c r="BL279" s="422">
        <f t="shared" si="1053"/>
        <v>0</v>
      </c>
      <c r="BM279" s="611">
        <f t="shared" si="1054"/>
        <v>4.17</v>
      </c>
      <c r="BN279" s="428">
        <f t="shared" si="1055"/>
        <v>2082685</v>
      </c>
      <c r="BO279" s="421">
        <f t="shared" si="1056"/>
        <v>1545019</v>
      </c>
      <c r="BP279" s="421">
        <f t="shared" si="1057"/>
        <v>1545019</v>
      </c>
      <c r="BQ279" s="421">
        <f t="shared" si="1057"/>
        <v>0</v>
      </c>
      <c r="BR279" s="421">
        <f t="shared" si="1058"/>
        <v>0</v>
      </c>
      <c r="BS279" s="421">
        <f t="shared" si="1059"/>
        <v>0</v>
      </c>
      <c r="BT279" s="421">
        <f t="shared" si="1059"/>
        <v>0</v>
      </c>
      <c r="BU279" s="421">
        <f t="shared" si="1060"/>
        <v>522216</v>
      </c>
      <c r="BV279" s="421">
        <f t="shared" si="1060"/>
        <v>15450</v>
      </c>
      <c r="BW279" s="421">
        <f t="shared" si="1061"/>
        <v>0</v>
      </c>
      <c r="BX279" s="422">
        <f t="shared" si="1062"/>
        <v>4.17</v>
      </c>
      <c r="BY279" s="422">
        <f t="shared" si="1063"/>
        <v>4.17</v>
      </c>
      <c r="BZ279" s="611">
        <f t="shared" si="1063"/>
        <v>0</v>
      </c>
      <c r="CA279" s="423"/>
      <c r="CB279" s="418"/>
      <c r="CC279" s="418"/>
      <c r="CD279" s="418"/>
      <c r="CE279" s="418"/>
      <c r="CF279" s="527"/>
    </row>
    <row r="280" spans="1:84" s="222" customFormat="1" ht="12.75" customHeight="1" x14ac:dyDescent="0.2">
      <c r="A280" s="210">
        <v>51</v>
      </c>
      <c r="B280" s="211">
        <v>4465</v>
      </c>
      <c r="C280" s="211">
        <v>600074757</v>
      </c>
      <c r="D280" s="211">
        <v>46750428</v>
      </c>
      <c r="E280" s="209" t="s">
        <v>238</v>
      </c>
      <c r="F280" s="211">
        <v>3141</v>
      </c>
      <c r="G280" s="165" t="s">
        <v>295</v>
      </c>
      <c r="H280" s="699" t="s">
        <v>272</v>
      </c>
      <c r="I280" s="528">
        <f t="shared" si="1033"/>
        <v>2306722</v>
      </c>
      <c r="J280" s="418">
        <f t="shared" si="1034"/>
        <v>1700748</v>
      </c>
      <c r="K280" s="418">
        <v>0</v>
      </c>
      <c r="L280" s="418">
        <v>1700748</v>
      </c>
      <c r="M280" s="418">
        <f t="shared" si="1035"/>
        <v>0</v>
      </c>
      <c r="N280" s="418"/>
      <c r="O280" s="418"/>
      <c r="P280" s="68">
        <f t="shared" si="1036"/>
        <v>574853</v>
      </c>
      <c r="Q280" s="68">
        <f t="shared" si="1037"/>
        <v>17007</v>
      </c>
      <c r="R280" s="418">
        <v>14114</v>
      </c>
      <c r="S280" s="419">
        <f t="shared" si="1038"/>
        <v>5.0999999999999996</v>
      </c>
      <c r="T280" s="420">
        <v>0</v>
      </c>
      <c r="U280" s="527">
        <v>5.0999999999999996</v>
      </c>
      <c r="V280" s="427">
        <f t="shared" si="1039"/>
        <v>0</v>
      </c>
      <c r="W280" s="421">
        <f t="shared" si="1039"/>
        <v>0</v>
      </c>
      <c r="X280" s="421">
        <v>0</v>
      </c>
      <c r="Y280" s="421">
        <v>0</v>
      </c>
      <c r="Z280" s="421">
        <v>0</v>
      </c>
      <c r="AA280" s="421">
        <v>0</v>
      </c>
      <c r="AB280" s="421">
        <v>0</v>
      </c>
      <c r="AC280" s="421">
        <v>0</v>
      </c>
      <c r="AD280" s="421">
        <v>0</v>
      </c>
      <c r="AE280" s="421">
        <v>0</v>
      </c>
      <c r="AF280" s="421">
        <f t="shared" si="1040"/>
        <v>0</v>
      </c>
      <c r="AG280" s="421">
        <f t="shared" si="1041"/>
        <v>0</v>
      </c>
      <c r="AH280" s="421">
        <f t="shared" si="1042"/>
        <v>0</v>
      </c>
      <c r="AI280" s="421">
        <v>0</v>
      </c>
      <c r="AJ280" s="421">
        <v>0</v>
      </c>
      <c r="AK280" s="421">
        <v>0</v>
      </c>
      <c r="AL280" s="421">
        <v>0</v>
      </c>
      <c r="AM280" s="421">
        <v>0</v>
      </c>
      <c r="AN280" s="421">
        <v>0</v>
      </c>
      <c r="AO280" s="421">
        <f t="shared" si="1043"/>
        <v>0</v>
      </c>
      <c r="AP280" s="421">
        <f t="shared" si="1044"/>
        <v>0</v>
      </c>
      <c r="AQ280" s="421">
        <f t="shared" si="1045"/>
        <v>0</v>
      </c>
      <c r="AR280" s="421">
        <f t="shared" si="1046"/>
        <v>0</v>
      </c>
      <c r="AS280" s="421">
        <f t="shared" si="1046"/>
        <v>0</v>
      </c>
      <c r="AT280" s="421">
        <f t="shared" si="1047"/>
        <v>0</v>
      </c>
      <c r="AU280" s="68">
        <f t="shared" si="1048"/>
        <v>0</v>
      </c>
      <c r="AV280" s="68">
        <f t="shared" si="1049"/>
        <v>0</v>
      </c>
      <c r="AW280" s="421">
        <v>0</v>
      </c>
      <c r="AX280" s="421">
        <v>0</v>
      </c>
      <c r="AY280" s="421">
        <f t="shared" si="1050"/>
        <v>0</v>
      </c>
      <c r="AZ280" s="421">
        <f t="shared" si="1051"/>
        <v>0</v>
      </c>
      <c r="BA280" s="422">
        <v>0</v>
      </c>
      <c r="BB280" s="422">
        <v>0</v>
      </c>
      <c r="BC280" s="422">
        <v>0</v>
      </c>
      <c r="BD280" s="422">
        <v>0</v>
      </c>
      <c r="BE280" s="422">
        <v>0</v>
      </c>
      <c r="BF280" s="422">
        <v>0</v>
      </c>
      <c r="BG280" s="422">
        <v>0</v>
      </c>
      <c r="BH280" s="422">
        <v>0</v>
      </c>
      <c r="BI280" s="422">
        <v>0</v>
      </c>
      <c r="BJ280" s="422">
        <v>0</v>
      </c>
      <c r="BK280" s="422">
        <f t="shared" si="1052"/>
        <v>0</v>
      </c>
      <c r="BL280" s="422">
        <f t="shared" si="1053"/>
        <v>0</v>
      </c>
      <c r="BM280" s="611">
        <f t="shared" si="1054"/>
        <v>0</v>
      </c>
      <c r="BN280" s="428">
        <f t="shared" si="1055"/>
        <v>2306722</v>
      </c>
      <c r="BO280" s="421">
        <f t="shared" si="1056"/>
        <v>1700748</v>
      </c>
      <c r="BP280" s="421">
        <f t="shared" si="1057"/>
        <v>0</v>
      </c>
      <c r="BQ280" s="421">
        <f t="shared" si="1057"/>
        <v>1700748</v>
      </c>
      <c r="BR280" s="421">
        <f t="shared" si="1058"/>
        <v>0</v>
      </c>
      <c r="BS280" s="421">
        <f t="shared" si="1059"/>
        <v>0</v>
      </c>
      <c r="BT280" s="421">
        <f t="shared" si="1059"/>
        <v>0</v>
      </c>
      <c r="BU280" s="421">
        <f t="shared" si="1060"/>
        <v>574853</v>
      </c>
      <c r="BV280" s="421">
        <f t="shared" si="1060"/>
        <v>17007</v>
      </c>
      <c r="BW280" s="421">
        <f t="shared" si="1061"/>
        <v>14114</v>
      </c>
      <c r="BX280" s="422">
        <f t="shared" si="1062"/>
        <v>5.0999999999999996</v>
      </c>
      <c r="BY280" s="422">
        <f t="shared" si="1063"/>
        <v>0</v>
      </c>
      <c r="BZ280" s="611">
        <f t="shared" si="1063"/>
        <v>5.0999999999999996</v>
      </c>
      <c r="CA280" s="423"/>
      <c r="CB280" s="418"/>
      <c r="CC280" s="418"/>
      <c r="CD280" s="418"/>
      <c r="CE280" s="418"/>
      <c r="CF280" s="527"/>
    </row>
    <row r="281" spans="1:84" s="222" customFormat="1" ht="12.75" customHeight="1" x14ac:dyDescent="0.2">
      <c r="A281" s="210">
        <v>51</v>
      </c>
      <c r="B281" s="211">
        <v>4465</v>
      </c>
      <c r="C281" s="211">
        <v>600074757</v>
      </c>
      <c r="D281" s="211">
        <v>46750428</v>
      </c>
      <c r="E281" s="209" t="s">
        <v>238</v>
      </c>
      <c r="F281" s="211">
        <v>3143</v>
      </c>
      <c r="G281" s="165" t="s">
        <v>596</v>
      </c>
      <c r="H281" s="686" t="s">
        <v>271</v>
      </c>
      <c r="I281" s="528">
        <f t="shared" si="1033"/>
        <v>2429679</v>
      </c>
      <c r="J281" s="418">
        <f t="shared" si="1034"/>
        <v>1802433</v>
      </c>
      <c r="K281" s="418">
        <v>1802433</v>
      </c>
      <c r="L281" s="418">
        <v>0</v>
      </c>
      <c r="M281" s="418">
        <f t="shared" si="1035"/>
        <v>0</v>
      </c>
      <c r="N281" s="418"/>
      <c r="O281" s="418"/>
      <c r="P281" s="68">
        <f t="shared" si="1036"/>
        <v>609222</v>
      </c>
      <c r="Q281" s="68">
        <f t="shared" si="1037"/>
        <v>18024</v>
      </c>
      <c r="R281" s="418">
        <v>0</v>
      </c>
      <c r="S281" s="419">
        <f t="shared" si="1038"/>
        <v>3.5691000000000002</v>
      </c>
      <c r="T281" s="420">
        <v>3.5691000000000002</v>
      </c>
      <c r="U281" s="527">
        <v>0</v>
      </c>
      <c r="V281" s="427">
        <f t="shared" si="1039"/>
        <v>-12800</v>
      </c>
      <c r="W281" s="421">
        <f t="shared" si="1039"/>
        <v>0</v>
      </c>
      <c r="X281" s="421">
        <v>0</v>
      </c>
      <c r="Y281" s="421">
        <v>0</v>
      </c>
      <c r="Z281" s="421">
        <v>0</v>
      </c>
      <c r="AA281" s="421">
        <v>0</v>
      </c>
      <c r="AB281" s="421">
        <v>0</v>
      </c>
      <c r="AC281" s="421">
        <v>0</v>
      </c>
      <c r="AD281" s="421">
        <v>0</v>
      </c>
      <c r="AE281" s="421">
        <v>0</v>
      </c>
      <c r="AF281" s="421">
        <f t="shared" si="1040"/>
        <v>-12800</v>
      </c>
      <c r="AG281" s="421">
        <f t="shared" si="1041"/>
        <v>0</v>
      </c>
      <c r="AH281" s="421">
        <f t="shared" si="1042"/>
        <v>-12800</v>
      </c>
      <c r="AI281" s="421">
        <v>12800</v>
      </c>
      <c r="AJ281" s="421">
        <v>0</v>
      </c>
      <c r="AK281" s="421">
        <v>0</v>
      </c>
      <c r="AL281" s="421">
        <v>0</v>
      </c>
      <c r="AM281" s="421">
        <v>0</v>
      </c>
      <c r="AN281" s="421">
        <v>0</v>
      </c>
      <c r="AO281" s="421">
        <f t="shared" si="1043"/>
        <v>12800</v>
      </c>
      <c r="AP281" s="421">
        <f t="shared" si="1044"/>
        <v>0</v>
      </c>
      <c r="AQ281" s="421">
        <f t="shared" si="1045"/>
        <v>12800</v>
      </c>
      <c r="AR281" s="421">
        <f t="shared" si="1046"/>
        <v>0</v>
      </c>
      <c r="AS281" s="421">
        <f t="shared" si="1046"/>
        <v>0</v>
      </c>
      <c r="AT281" s="421">
        <f t="shared" si="1047"/>
        <v>0</v>
      </c>
      <c r="AU281" s="68">
        <f t="shared" si="1048"/>
        <v>0</v>
      </c>
      <c r="AV281" s="68">
        <f t="shared" si="1049"/>
        <v>-128</v>
      </c>
      <c r="AW281" s="421">
        <v>0</v>
      </c>
      <c r="AX281" s="421">
        <v>0</v>
      </c>
      <c r="AY281" s="421">
        <f t="shared" si="1050"/>
        <v>0</v>
      </c>
      <c r="AZ281" s="421">
        <f t="shared" si="1051"/>
        <v>-128</v>
      </c>
      <c r="BA281" s="422">
        <v>0</v>
      </c>
      <c r="BB281" s="422">
        <v>0</v>
      </c>
      <c r="BC281" s="422">
        <v>0</v>
      </c>
      <c r="BD281" s="422">
        <v>0</v>
      </c>
      <c r="BE281" s="422">
        <v>0</v>
      </c>
      <c r="BF281" s="422">
        <v>0</v>
      </c>
      <c r="BG281" s="422">
        <v>0</v>
      </c>
      <c r="BH281" s="422">
        <v>0</v>
      </c>
      <c r="BI281" s="422">
        <v>0</v>
      </c>
      <c r="BJ281" s="422">
        <v>0</v>
      </c>
      <c r="BK281" s="422">
        <f t="shared" si="1052"/>
        <v>0</v>
      </c>
      <c r="BL281" s="422">
        <f t="shared" si="1053"/>
        <v>0</v>
      </c>
      <c r="BM281" s="611">
        <f t="shared" si="1054"/>
        <v>0</v>
      </c>
      <c r="BN281" s="428">
        <f t="shared" si="1055"/>
        <v>2429551</v>
      </c>
      <c r="BO281" s="421">
        <f t="shared" si="1056"/>
        <v>1789633</v>
      </c>
      <c r="BP281" s="421">
        <f t="shared" si="1057"/>
        <v>1789633</v>
      </c>
      <c r="BQ281" s="421">
        <f t="shared" si="1057"/>
        <v>0</v>
      </c>
      <c r="BR281" s="421">
        <f t="shared" si="1058"/>
        <v>12800</v>
      </c>
      <c r="BS281" s="421">
        <f t="shared" si="1059"/>
        <v>12800</v>
      </c>
      <c r="BT281" s="421">
        <f t="shared" si="1059"/>
        <v>0</v>
      </c>
      <c r="BU281" s="421">
        <f t="shared" si="1060"/>
        <v>609222</v>
      </c>
      <c r="BV281" s="421">
        <f t="shared" si="1060"/>
        <v>17896</v>
      </c>
      <c r="BW281" s="421">
        <f t="shared" si="1061"/>
        <v>0</v>
      </c>
      <c r="BX281" s="422">
        <f t="shared" si="1062"/>
        <v>3.5691000000000002</v>
      </c>
      <c r="BY281" s="422">
        <f t="shared" si="1063"/>
        <v>3.5691000000000002</v>
      </c>
      <c r="BZ281" s="611">
        <f t="shared" si="1063"/>
        <v>0</v>
      </c>
      <c r="CA281" s="423"/>
      <c r="CB281" s="418"/>
      <c r="CC281" s="418"/>
      <c r="CD281" s="418"/>
      <c r="CE281" s="418"/>
      <c r="CF281" s="527"/>
    </row>
    <row r="282" spans="1:84" s="222" customFormat="1" ht="12.75" customHeight="1" x14ac:dyDescent="0.2">
      <c r="A282" s="210">
        <v>51</v>
      </c>
      <c r="B282" s="211">
        <v>4465</v>
      </c>
      <c r="C282" s="211">
        <v>600074757</v>
      </c>
      <c r="D282" s="211">
        <v>46750428</v>
      </c>
      <c r="E282" s="209" t="s">
        <v>238</v>
      </c>
      <c r="F282" s="211">
        <v>3143</v>
      </c>
      <c r="G282" s="165" t="s">
        <v>597</v>
      </c>
      <c r="H282" s="686" t="s">
        <v>272</v>
      </c>
      <c r="I282" s="528">
        <f t="shared" si="1033"/>
        <v>57389</v>
      </c>
      <c r="J282" s="418">
        <f t="shared" si="1034"/>
        <v>41078</v>
      </c>
      <c r="K282" s="418">
        <v>0</v>
      </c>
      <c r="L282" s="418">
        <v>41078</v>
      </c>
      <c r="M282" s="418">
        <f t="shared" si="1035"/>
        <v>0</v>
      </c>
      <c r="N282" s="418"/>
      <c r="O282" s="418"/>
      <c r="P282" s="68">
        <f t="shared" si="1036"/>
        <v>13884</v>
      </c>
      <c r="Q282" s="68">
        <f t="shared" si="1037"/>
        <v>411</v>
      </c>
      <c r="R282" s="418">
        <v>2016</v>
      </c>
      <c r="S282" s="419">
        <f t="shared" si="1038"/>
        <v>0.16</v>
      </c>
      <c r="T282" s="420">
        <v>0</v>
      </c>
      <c r="U282" s="527">
        <v>0.16</v>
      </c>
      <c r="V282" s="427">
        <f t="shared" si="1039"/>
        <v>0</v>
      </c>
      <c r="W282" s="421">
        <f t="shared" si="1039"/>
        <v>0</v>
      </c>
      <c r="X282" s="421">
        <v>0</v>
      </c>
      <c r="Y282" s="421">
        <v>0</v>
      </c>
      <c r="Z282" s="421">
        <v>0</v>
      </c>
      <c r="AA282" s="421">
        <v>0</v>
      </c>
      <c r="AB282" s="421">
        <v>0</v>
      </c>
      <c r="AC282" s="421">
        <v>0</v>
      </c>
      <c r="AD282" s="421">
        <v>0</v>
      </c>
      <c r="AE282" s="421">
        <v>0</v>
      </c>
      <c r="AF282" s="421">
        <f t="shared" si="1040"/>
        <v>0</v>
      </c>
      <c r="AG282" s="421">
        <f t="shared" si="1041"/>
        <v>0</v>
      </c>
      <c r="AH282" s="421">
        <f t="shared" si="1042"/>
        <v>0</v>
      </c>
      <c r="AI282" s="421">
        <v>0</v>
      </c>
      <c r="AJ282" s="421">
        <v>0</v>
      </c>
      <c r="AK282" s="421">
        <v>0</v>
      </c>
      <c r="AL282" s="421">
        <v>0</v>
      </c>
      <c r="AM282" s="421">
        <v>0</v>
      </c>
      <c r="AN282" s="421">
        <v>0</v>
      </c>
      <c r="AO282" s="421">
        <f t="shared" si="1043"/>
        <v>0</v>
      </c>
      <c r="AP282" s="421">
        <f t="shared" si="1044"/>
        <v>0</v>
      </c>
      <c r="AQ282" s="421">
        <f t="shared" si="1045"/>
        <v>0</v>
      </c>
      <c r="AR282" s="421">
        <f t="shared" si="1046"/>
        <v>0</v>
      </c>
      <c r="AS282" s="421">
        <f t="shared" si="1046"/>
        <v>0</v>
      </c>
      <c r="AT282" s="421">
        <f t="shared" si="1047"/>
        <v>0</v>
      </c>
      <c r="AU282" s="68">
        <f t="shared" si="1048"/>
        <v>0</v>
      </c>
      <c r="AV282" s="68">
        <f t="shared" si="1049"/>
        <v>0</v>
      </c>
      <c r="AW282" s="421">
        <v>0</v>
      </c>
      <c r="AX282" s="421">
        <v>0</v>
      </c>
      <c r="AY282" s="421">
        <f t="shared" si="1050"/>
        <v>0</v>
      </c>
      <c r="AZ282" s="421">
        <f t="shared" si="1051"/>
        <v>0</v>
      </c>
      <c r="BA282" s="422">
        <v>0</v>
      </c>
      <c r="BB282" s="422">
        <v>0</v>
      </c>
      <c r="BC282" s="422">
        <v>0</v>
      </c>
      <c r="BD282" s="422">
        <v>0</v>
      </c>
      <c r="BE282" s="422">
        <v>0</v>
      </c>
      <c r="BF282" s="422">
        <v>0</v>
      </c>
      <c r="BG282" s="422">
        <v>0</v>
      </c>
      <c r="BH282" s="422">
        <v>0</v>
      </c>
      <c r="BI282" s="422">
        <v>0</v>
      </c>
      <c r="BJ282" s="422">
        <v>0</v>
      </c>
      <c r="BK282" s="422">
        <f t="shared" si="1052"/>
        <v>0</v>
      </c>
      <c r="BL282" s="422">
        <f t="shared" si="1053"/>
        <v>0</v>
      </c>
      <c r="BM282" s="611">
        <f t="shared" si="1054"/>
        <v>0</v>
      </c>
      <c r="BN282" s="428">
        <f t="shared" si="1055"/>
        <v>57389</v>
      </c>
      <c r="BO282" s="421">
        <f t="shared" si="1056"/>
        <v>41078</v>
      </c>
      <c r="BP282" s="421">
        <f t="shared" si="1057"/>
        <v>0</v>
      </c>
      <c r="BQ282" s="421">
        <f t="shared" si="1057"/>
        <v>41078</v>
      </c>
      <c r="BR282" s="421">
        <f t="shared" si="1058"/>
        <v>0</v>
      </c>
      <c r="BS282" s="421">
        <f t="shared" si="1059"/>
        <v>0</v>
      </c>
      <c r="BT282" s="421">
        <f t="shared" si="1059"/>
        <v>0</v>
      </c>
      <c r="BU282" s="421">
        <f t="shared" si="1060"/>
        <v>13884</v>
      </c>
      <c r="BV282" s="421">
        <f t="shared" si="1060"/>
        <v>411</v>
      </c>
      <c r="BW282" s="421">
        <f t="shared" si="1061"/>
        <v>2016</v>
      </c>
      <c r="BX282" s="422">
        <f t="shared" si="1062"/>
        <v>0.16</v>
      </c>
      <c r="BY282" s="422">
        <f t="shared" si="1063"/>
        <v>0</v>
      </c>
      <c r="BZ282" s="611">
        <f t="shared" si="1063"/>
        <v>0.16</v>
      </c>
      <c r="CA282" s="423"/>
      <c r="CB282" s="418"/>
      <c r="CC282" s="418"/>
      <c r="CD282" s="418"/>
      <c r="CE282" s="418"/>
      <c r="CF282" s="527"/>
    </row>
    <row r="283" spans="1:84" s="222" customFormat="1" ht="12.75" customHeight="1" x14ac:dyDescent="0.2">
      <c r="A283" s="155">
        <v>51</v>
      </c>
      <c r="B283" s="18">
        <v>4465</v>
      </c>
      <c r="C283" s="18">
        <v>600074757</v>
      </c>
      <c r="D283" s="18">
        <v>46750428</v>
      </c>
      <c r="E283" s="164" t="s">
        <v>239</v>
      </c>
      <c r="F283" s="18"/>
      <c r="G283" s="154"/>
      <c r="H283" s="685"/>
      <c r="I283" s="458">
        <f t="shared" ref="I283:BT283" si="1064">SUM(I277:I282)</f>
        <v>38871671</v>
      </c>
      <c r="J283" s="451">
        <f t="shared" si="1064"/>
        <v>28540148</v>
      </c>
      <c r="K283" s="451">
        <f t="shared" si="1064"/>
        <v>24910732</v>
      </c>
      <c r="L283" s="451">
        <f t="shared" si="1064"/>
        <v>3629416</v>
      </c>
      <c r="M283" s="451">
        <f t="shared" si="1064"/>
        <v>0</v>
      </c>
      <c r="N283" s="451">
        <f t="shared" si="1064"/>
        <v>0</v>
      </c>
      <c r="O283" s="451">
        <f t="shared" si="1064"/>
        <v>0</v>
      </c>
      <c r="P283" s="451">
        <f t="shared" si="1064"/>
        <v>9646570</v>
      </c>
      <c r="Q283" s="451">
        <f t="shared" si="1064"/>
        <v>285401</v>
      </c>
      <c r="R283" s="451">
        <f t="shared" si="1064"/>
        <v>399552</v>
      </c>
      <c r="S283" s="452">
        <f t="shared" si="1064"/>
        <v>49.499600000000001</v>
      </c>
      <c r="T283" s="452">
        <f t="shared" si="1064"/>
        <v>38.293399999999998</v>
      </c>
      <c r="U283" s="39">
        <f t="shared" si="1064"/>
        <v>11.206199999999999</v>
      </c>
      <c r="V283" s="458">
        <f t="shared" si="1064"/>
        <v>-76800</v>
      </c>
      <c r="W283" s="451">
        <f t="shared" si="1064"/>
        <v>0</v>
      </c>
      <c r="X283" s="451">
        <f t="shared" si="1064"/>
        <v>1545019</v>
      </c>
      <c r="Y283" s="451">
        <f t="shared" si="1064"/>
        <v>0</v>
      </c>
      <c r="Z283" s="451">
        <f t="shared" si="1064"/>
        <v>0</v>
      </c>
      <c r="AA283" s="451">
        <f t="shared" si="1064"/>
        <v>0</v>
      </c>
      <c r="AB283" s="451">
        <f t="shared" si="1064"/>
        <v>0</v>
      </c>
      <c r="AC283" s="451">
        <f t="shared" si="1064"/>
        <v>0</v>
      </c>
      <c r="AD283" s="451">
        <f t="shared" si="1064"/>
        <v>0</v>
      </c>
      <c r="AE283" s="451">
        <f t="shared" si="1064"/>
        <v>0</v>
      </c>
      <c r="AF283" s="451">
        <f t="shared" si="1064"/>
        <v>1468219</v>
      </c>
      <c r="AG283" s="451">
        <f t="shared" si="1064"/>
        <v>0</v>
      </c>
      <c r="AH283" s="451">
        <f t="shared" si="1064"/>
        <v>1468219</v>
      </c>
      <c r="AI283" s="451">
        <f t="shared" si="1064"/>
        <v>76800</v>
      </c>
      <c r="AJ283" s="451">
        <f t="shared" si="1064"/>
        <v>0</v>
      </c>
      <c r="AK283" s="451">
        <f t="shared" ref="AK283" si="1065">SUM(AK277:AK282)</f>
        <v>0</v>
      </c>
      <c r="AL283" s="451">
        <f t="shared" si="1064"/>
        <v>0</v>
      </c>
      <c r="AM283" s="451">
        <f t="shared" si="1064"/>
        <v>0</v>
      </c>
      <c r="AN283" s="451">
        <f t="shared" si="1064"/>
        <v>0</v>
      </c>
      <c r="AO283" s="451">
        <f t="shared" si="1064"/>
        <v>76800</v>
      </c>
      <c r="AP283" s="451">
        <f t="shared" si="1064"/>
        <v>0</v>
      </c>
      <c r="AQ283" s="451">
        <f t="shared" si="1064"/>
        <v>76800</v>
      </c>
      <c r="AR283" s="451">
        <f t="shared" si="1064"/>
        <v>1545019</v>
      </c>
      <c r="AS283" s="451">
        <f t="shared" si="1064"/>
        <v>0</v>
      </c>
      <c r="AT283" s="451">
        <f t="shared" si="1064"/>
        <v>1545019</v>
      </c>
      <c r="AU283" s="451">
        <f t="shared" si="1064"/>
        <v>522216</v>
      </c>
      <c r="AV283" s="451">
        <f t="shared" si="1064"/>
        <v>14682</v>
      </c>
      <c r="AW283" s="451">
        <f t="shared" si="1064"/>
        <v>0</v>
      </c>
      <c r="AX283" s="451">
        <f t="shared" si="1064"/>
        <v>0</v>
      </c>
      <c r="AY283" s="451">
        <f t="shared" si="1064"/>
        <v>0</v>
      </c>
      <c r="AZ283" s="451">
        <f t="shared" si="1064"/>
        <v>2081917</v>
      </c>
      <c r="BA283" s="452">
        <f t="shared" si="1064"/>
        <v>-0.11</v>
      </c>
      <c r="BB283" s="452">
        <f t="shared" si="1064"/>
        <v>0</v>
      </c>
      <c r="BC283" s="452">
        <f t="shared" si="1064"/>
        <v>4.17</v>
      </c>
      <c r="BD283" s="452">
        <f t="shared" si="1064"/>
        <v>0</v>
      </c>
      <c r="BE283" s="452">
        <f t="shared" si="1064"/>
        <v>0</v>
      </c>
      <c r="BF283" s="452">
        <f t="shared" si="1064"/>
        <v>0</v>
      </c>
      <c r="BG283" s="452">
        <f t="shared" si="1064"/>
        <v>0</v>
      </c>
      <c r="BH283" s="452">
        <f t="shared" si="1064"/>
        <v>0</v>
      </c>
      <c r="BI283" s="452">
        <f t="shared" si="1064"/>
        <v>0</v>
      </c>
      <c r="BJ283" s="452">
        <f t="shared" si="1064"/>
        <v>0</v>
      </c>
      <c r="BK283" s="452">
        <f t="shared" si="1064"/>
        <v>4.0599999999999996</v>
      </c>
      <c r="BL283" s="452">
        <f t="shared" si="1064"/>
        <v>0</v>
      </c>
      <c r="BM283" s="456">
        <f t="shared" si="1064"/>
        <v>4.0599999999999996</v>
      </c>
      <c r="BN283" s="454">
        <f t="shared" si="1064"/>
        <v>40953588</v>
      </c>
      <c r="BO283" s="451">
        <f t="shared" si="1064"/>
        <v>30008367</v>
      </c>
      <c r="BP283" s="451">
        <f t="shared" si="1064"/>
        <v>26378951</v>
      </c>
      <c r="BQ283" s="451">
        <f t="shared" si="1064"/>
        <v>3629416</v>
      </c>
      <c r="BR283" s="451">
        <f t="shared" si="1064"/>
        <v>76800</v>
      </c>
      <c r="BS283" s="451">
        <f t="shared" si="1064"/>
        <v>76800</v>
      </c>
      <c r="BT283" s="451">
        <f t="shared" si="1064"/>
        <v>0</v>
      </c>
      <c r="BU283" s="451">
        <f t="shared" ref="BU283:CF283" si="1066">SUM(BU277:BU282)</f>
        <v>10168786</v>
      </c>
      <c r="BV283" s="451">
        <f t="shared" si="1066"/>
        <v>300083</v>
      </c>
      <c r="BW283" s="451">
        <f t="shared" si="1066"/>
        <v>399552</v>
      </c>
      <c r="BX283" s="452">
        <f t="shared" si="1066"/>
        <v>53.559600000000003</v>
      </c>
      <c r="BY283" s="452">
        <f t="shared" si="1066"/>
        <v>42.353400000000001</v>
      </c>
      <c r="BZ283" s="456">
        <f t="shared" si="1066"/>
        <v>11.206199999999999</v>
      </c>
      <c r="CA283" s="854">
        <f t="shared" si="1066"/>
        <v>0</v>
      </c>
      <c r="CB283" s="852">
        <f t="shared" si="1066"/>
        <v>0</v>
      </c>
      <c r="CC283" s="852">
        <f t="shared" si="1066"/>
        <v>0</v>
      </c>
      <c r="CD283" s="852">
        <f t="shared" si="1066"/>
        <v>0</v>
      </c>
      <c r="CE283" s="852">
        <f t="shared" si="1066"/>
        <v>0</v>
      </c>
      <c r="CF283" s="848">
        <f t="shared" si="1066"/>
        <v>0</v>
      </c>
    </row>
    <row r="284" spans="1:84" s="222" customFormat="1" ht="12.75" customHeight="1" x14ac:dyDescent="0.2">
      <c r="A284" s="210">
        <v>52</v>
      </c>
      <c r="B284" s="211">
        <v>4466</v>
      </c>
      <c r="C284" s="211">
        <v>650039017</v>
      </c>
      <c r="D284" s="211">
        <v>70982074</v>
      </c>
      <c r="E284" s="209" t="s">
        <v>240</v>
      </c>
      <c r="F284" s="211">
        <v>3111</v>
      </c>
      <c r="G284" s="165" t="s">
        <v>291</v>
      </c>
      <c r="H284" s="699" t="s">
        <v>271</v>
      </c>
      <c r="I284" s="528">
        <f t="shared" ref="I284:I289" si="1067">J284+P284+Q284+R284</f>
        <v>5908242</v>
      </c>
      <c r="J284" s="418">
        <f t="shared" ref="J284:J289" si="1068">K284+L284</f>
        <v>4369896</v>
      </c>
      <c r="K284" s="418">
        <v>4130280</v>
      </c>
      <c r="L284" s="418">
        <v>239616</v>
      </c>
      <c r="M284" s="418">
        <f t="shared" ref="M284:M289" si="1069">N284+O284</f>
        <v>0</v>
      </c>
      <c r="N284" s="418"/>
      <c r="O284" s="418"/>
      <c r="P284" s="68">
        <f t="shared" ref="P284:P289" si="1070">ROUND(J284*33.8%,0)</f>
        <v>1477025</v>
      </c>
      <c r="Q284" s="68">
        <f t="shared" ref="Q284:Q289" si="1071">ROUND(J284*1%,0)</f>
        <v>43699</v>
      </c>
      <c r="R284" s="418">
        <v>17622</v>
      </c>
      <c r="S284" s="419">
        <f t="shared" ref="S284:S289" si="1072">T284+U284</f>
        <v>8.8925000000000001</v>
      </c>
      <c r="T284" s="420">
        <v>7.9325000000000001</v>
      </c>
      <c r="U284" s="527">
        <v>0.96</v>
      </c>
      <c r="V284" s="427">
        <f t="shared" ref="V284:W289" si="1073">AI284*-1</f>
        <v>0</v>
      </c>
      <c r="W284" s="421">
        <f t="shared" si="1073"/>
        <v>0</v>
      </c>
      <c r="X284" s="421">
        <v>0</v>
      </c>
      <c r="Y284" s="421">
        <v>0</v>
      </c>
      <c r="Z284" s="421">
        <v>0</v>
      </c>
      <c r="AA284" s="421">
        <v>0</v>
      </c>
      <c r="AB284" s="421">
        <v>0</v>
      </c>
      <c r="AC284" s="421">
        <v>0</v>
      </c>
      <c r="AD284" s="421">
        <v>0</v>
      </c>
      <c r="AE284" s="421">
        <v>0</v>
      </c>
      <c r="AF284" s="421">
        <f t="shared" ref="AF284:AF289" si="1074">V284+X284+Y284+AA284+AB284+AD284</f>
        <v>0</v>
      </c>
      <c r="AG284" s="421">
        <f t="shared" ref="AG284:AG289" si="1075">W284+Z284+AC284+AE284</f>
        <v>0</v>
      </c>
      <c r="AH284" s="421">
        <f t="shared" ref="AH284:AH289" si="1076">SUM(AF284:AG284)</f>
        <v>0</v>
      </c>
      <c r="AI284" s="421">
        <v>0</v>
      </c>
      <c r="AJ284" s="421">
        <v>0</v>
      </c>
      <c r="AK284" s="421">
        <v>0</v>
      </c>
      <c r="AL284" s="421">
        <v>0</v>
      </c>
      <c r="AM284" s="421">
        <v>0</v>
      </c>
      <c r="AN284" s="421">
        <v>0</v>
      </c>
      <c r="AO284" s="421">
        <f t="shared" ref="AO284:AO289" si="1077">AI284+AK284+AL284+AM284</f>
        <v>0</v>
      </c>
      <c r="AP284" s="421">
        <f t="shared" ref="AP284:AP289" si="1078">AJ284+AN284</f>
        <v>0</v>
      </c>
      <c r="AQ284" s="421">
        <f t="shared" ref="AQ284:AQ289" si="1079">SUM(AO284:AP284)</f>
        <v>0</v>
      </c>
      <c r="AR284" s="421">
        <f t="shared" ref="AR284:AS289" si="1080">AF284+AO284</f>
        <v>0</v>
      </c>
      <c r="AS284" s="421">
        <f t="shared" si="1080"/>
        <v>0</v>
      </c>
      <c r="AT284" s="421">
        <f t="shared" ref="AT284:AT289" si="1081">SUM(AR284:AS284)</f>
        <v>0</v>
      </c>
      <c r="AU284" s="68">
        <f t="shared" ref="AU284:AU289" si="1082">ROUND((AH284+AI284+AJ284+AK284+AL284)*33.8%,0)</f>
        <v>0</v>
      </c>
      <c r="AV284" s="68">
        <f t="shared" ref="AV284:AV289" si="1083">ROUND(AH284*1%,0)</f>
        <v>0</v>
      </c>
      <c r="AW284" s="421">
        <v>0</v>
      </c>
      <c r="AX284" s="421">
        <v>0</v>
      </c>
      <c r="AY284" s="421">
        <f t="shared" ref="AY284:AY289" si="1084">AW284+AX284</f>
        <v>0</v>
      </c>
      <c r="AZ284" s="421">
        <f t="shared" ref="AZ284:AZ289" si="1085">AT284+AU284+AV284+AY284</f>
        <v>0</v>
      </c>
      <c r="BA284" s="422">
        <v>0</v>
      </c>
      <c r="BB284" s="422">
        <v>0</v>
      </c>
      <c r="BC284" s="422">
        <v>0</v>
      </c>
      <c r="BD284" s="422">
        <v>0</v>
      </c>
      <c r="BE284" s="422">
        <v>0</v>
      </c>
      <c r="BF284" s="422">
        <v>0</v>
      </c>
      <c r="BG284" s="422">
        <v>0</v>
      </c>
      <c r="BH284" s="422">
        <v>0</v>
      </c>
      <c r="BI284" s="422">
        <v>0</v>
      </c>
      <c r="BJ284" s="422">
        <v>0</v>
      </c>
      <c r="BK284" s="422">
        <f t="shared" ref="BK284:BK289" si="1086">BA284+BC284+BD284+BF284+BH284+BI284</f>
        <v>0</v>
      </c>
      <c r="BL284" s="422">
        <f t="shared" ref="BL284:BL289" si="1087">BB284+BE284+BG284+BJ284</f>
        <v>0</v>
      </c>
      <c r="BM284" s="611">
        <f t="shared" ref="BM284:BM289" si="1088">SUM(BK284:BL284)</f>
        <v>0</v>
      </c>
      <c r="BN284" s="428">
        <f t="shared" ref="BN284:BN289" si="1089">I284+AZ284</f>
        <v>5908242</v>
      </c>
      <c r="BO284" s="421">
        <f t="shared" ref="BO284:BO289" si="1090">J284+AH284</f>
        <v>4369896</v>
      </c>
      <c r="BP284" s="421">
        <f t="shared" ref="BP284:BQ289" si="1091">K284+AF284</f>
        <v>4130280</v>
      </c>
      <c r="BQ284" s="421">
        <f t="shared" si="1091"/>
        <v>239616</v>
      </c>
      <c r="BR284" s="421">
        <f t="shared" ref="BR284:BR289" si="1092">M284+AQ284</f>
        <v>0</v>
      </c>
      <c r="BS284" s="421">
        <f t="shared" ref="BS284:BT289" si="1093">N284+AO284</f>
        <v>0</v>
      </c>
      <c r="BT284" s="421">
        <f t="shared" si="1093"/>
        <v>0</v>
      </c>
      <c r="BU284" s="421">
        <f t="shared" ref="BU284:BV289" si="1094">P284+AU284</f>
        <v>1477025</v>
      </c>
      <c r="BV284" s="421">
        <f t="shared" si="1094"/>
        <v>43699</v>
      </c>
      <c r="BW284" s="421">
        <f t="shared" ref="BW284:BW289" si="1095">R284+AY284</f>
        <v>17622</v>
      </c>
      <c r="BX284" s="422">
        <f t="shared" ref="BX284:BX289" si="1096">S284+BM284</f>
        <v>8.8925000000000001</v>
      </c>
      <c r="BY284" s="422">
        <f t="shared" ref="BY284:BZ289" si="1097">T284+BK284</f>
        <v>7.9325000000000001</v>
      </c>
      <c r="BZ284" s="611">
        <f t="shared" si="1097"/>
        <v>0.96</v>
      </c>
      <c r="CA284" s="423"/>
      <c r="CB284" s="418"/>
      <c r="CC284" s="418"/>
      <c r="CD284" s="418"/>
      <c r="CE284" s="418"/>
      <c r="CF284" s="527"/>
    </row>
    <row r="285" spans="1:84" s="222" customFormat="1" ht="12.75" customHeight="1" x14ac:dyDescent="0.2">
      <c r="A285" s="210">
        <v>52</v>
      </c>
      <c r="B285" s="211">
        <v>4466</v>
      </c>
      <c r="C285" s="211">
        <v>650039017</v>
      </c>
      <c r="D285" s="211">
        <v>70982074</v>
      </c>
      <c r="E285" s="205" t="s">
        <v>240</v>
      </c>
      <c r="F285" s="211">
        <v>3117</v>
      </c>
      <c r="G285" s="165" t="s">
        <v>294</v>
      </c>
      <c r="H285" s="699" t="s">
        <v>271</v>
      </c>
      <c r="I285" s="528">
        <f t="shared" si="1067"/>
        <v>6992552</v>
      </c>
      <c r="J285" s="418">
        <f t="shared" si="1068"/>
        <v>5106099</v>
      </c>
      <c r="K285" s="418">
        <v>4423406</v>
      </c>
      <c r="L285" s="418">
        <v>682693</v>
      </c>
      <c r="M285" s="418">
        <f t="shared" si="1069"/>
        <v>0</v>
      </c>
      <c r="N285" s="418"/>
      <c r="O285" s="418"/>
      <c r="P285" s="68">
        <f>ROUND(J285*33.8%,0)+1</f>
        <v>1725862</v>
      </c>
      <c r="Q285" s="68">
        <f t="shared" si="1071"/>
        <v>51061</v>
      </c>
      <c r="R285" s="418">
        <v>109530</v>
      </c>
      <c r="S285" s="419">
        <f t="shared" si="1072"/>
        <v>8.5185999999999993</v>
      </c>
      <c r="T285" s="420">
        <v>6.5453999999999999</v>
      </c>
      <c r="U285" s="527">
        <v>1.9731999999999998</v>
      </c>
      <c r="V285" s="427">
        <f t="shared" si="1073"/>
        <v>0</v>
      </c>
      <c r="W285" s="421">
        <f t="shared" si="1073"/>
        <v>0</v>
      </c>
      <c r="X285" s="421">
        <v>0</v>
      </c>
      <c r="Y285" s="421">
        <v>0</v>
      </c>
      <c r="Z285" s="421">
        <v>0</v>
      </c>
      <c r="AA285" s="421">
        <v>0</v>
      </c>
      <c r="AB285" s="421">
        <v>0</v>
      </c>
      <c r="AC285" s="421">
        <v>0</v>
      </c>
      <c r="AD285" s="421">
        <v>0</v>
      </c>
      <c r="AE285" s="421">
        <v>0</v>
      </c>
      <c r="AF285" s="421">
        <f t="shared" si="1074"/>
        <v>0</v>
      </c>
      <c r="AG285" s="421">
        <f t="shared" si="1075"/>
        <v>0</v>
      </c>
      <c r="AH285" s="421">
        <f t="shared" si="1076"/>
        <v>0</v>
      </c>
      <c r="AI285" s="421">
        <v>0</v>
      </c>
      <c r="AJ285" s="421">
        <v>0</v>
      </c>
      <c r="AK285" s="421">
        <v>0</v>
      </c>
      <c r="AL285" s="421">
        <v>0</v>
      </c>
      <c r="AM285" s="421">
        <v>0</v>
      </c>
      <c r="AN285" s="421">
        <v>0</v>
      </c>
      <c r="AO285" s="421">
        <f t="shared" si="1077"/>
        <v>0</v>
      </c>
      <c r="AP285" s="421">
        <f t="shared" si="1078"/>
        <v>0</v>
      </c>
      <c r="AQ285" s="421">
        <f t="shared" si="1079"/>
        <v>0</v>
      </c>
      <c r="AR285" s="421">
        <f t="shared" si="1080"/>
        <v>0</v>
      </c>
      <c r="AS285" s="421">
        <f t="shared" si="1080"/>
        <v>0</v>
      </c>
      <c r="AT285" s="421">
        <f t="shared" si="1081"/>
        <v>0</v>
      </c>
      <c r="AU285" s="68">
        <f t="shared" si="1082"/>
        <v>0</v>
      </c>
      <c r="AV285" s="68">
        <f t="shared" si="1083"/>
        <v>0</v>
      </c>
      <c r="AW285" s="421">
        <v>0</v>
      </c>
      <c r="AX285" s="421">
        <v>0</v>
      </c>
      <c r="AY285" s="421">
        <f t="shared" si="1084"/>
        <v>0</v>
      </c>
      <c r="AZ285" s="421">
        <f t="shared" si="1085"/>
        <v>0</v>
      </c>
      <c r="BA285" s="422">
        <v>0</v>
      </c>
      <c r="BB285" s="422">
        <v>0</v>
      </c>
      <c r="BC285" s="422">
        <v>0</v>
      </c>
      <c r="BD285" s="422">
        <v>0</v>
      </c>
      <c r="BE285" s="422">
        <v>0</v>
      </c>
      <c r="BF285" s="422">
        <v>0</v>
      </c>
      <c r="BG285" s="422">
        <v>0</v>
      </c>
      <c r="BH285" s="422">
        <v>0</v>
      </c>
      <c r="BI285" s="422">
        <v>0</v>
      </c>
      <c r="BJ285" s="422">
        <v>0</v>
      </c>
      <c r="BK285" s="422">
        <f t="shared" si="1086"/>
        <v>0</v>
      </c>
      <c r="BL285" s="422">
        <f t="shared" si="1087"/>
        <v>0</v>
      </c>
      <c r="BM285" s="611">
        <f t="shared" si="1088"/>
        <v>0</v>
      </c>
      <c r="BN285" s="428">
        <f t="shared" si="1089"/>
        <v>6992552</v>
      </c>
      <c r="BO285" s="421">
        <f t="shared" si="1090"/>
        <v>5106099</v>
      </c>
      <c r="BP285" s="421">
        <f t="shared" si="1091"/>
        <v>4423406</v>
      </c>
      <c r="BQ285" s="421">
        <f t="shared" si="1091"/>
        <v>682693</v>
      </c>
      <c r="BR285" s="421">
        <f t="shared" si="1092"/>
        <v>0</v>
      </c>
      <c r="BS285" s="421">
        <f t="shared" si="1093"/>
        <v>0</v>
      </c>
      <c r="BT285" s="421">
        <f t="shared" si="1093"/>
        <v>0</v>
      </c>
      <c r="BU285" s="421">
        <f t="shared" si="1094"/>
        <v>1725862</v>
      </c>
      <c r="BV285" s="421">
        <f t="shared" si="1094"/>
        <v>51061</v>
      </c>
      <c r="BW285" s="421">
        <f t="shared" si="1095"/>
        <v>109530</v>
      </c>
      <c r="BX285" s="422">
        <f t="shared" si="1096"/>
        <v>8.5185999999999993</v>
      </c>
      <c r="BY285" s="422">
        <f t="shared" si="1097"/>
        <v>6.5453999999999999</v>
      </c>
      <c r="BZ285" s="611">
        <f t="shared" si="1097"/>
        <v>1.9731999999999998</v>
      </c>
      <c r="CA285" s="423"/>
      <c r="CB285" s="418"/>
      <c r="CC285" s="418"/>
      <c r="CD285" s="418"/>
      <c r="CE285" s="418"/>
      <c r="CF285" s="527"/>
    </row>
    <row r="286" spans="1:84" s="222" customFormat="1" ht="12.75" customHeight="1" x14ac:dyDescent="0.2">
      <c r="A286" s="210">
        <v>52</v>
      </c>
      <c r="B286" s="211">
        <v>4466</v>
      </c>
      <c r="C286" s="211">
        <v>650039017</v>
      </c>
      <c r="D286" s="211">
        <v>70982074</v>
      </c>
      <c r="E286" s="205" t="s">
        <v>240</v>
      </c>
      <c r="F286" s="211">
        <v>3117</v>
      </c>
      <c r="G286" s="165" t="s">
        <v>292</v>
      </c>
      <c r="H286" s="699" t="s">
        <v>272</v>
      </c>
      <c r="I286" s="528">
        <f t="shared" si="1067"/>
        <v>0</v>
      </c>
      <c r="J286" s="418">
        <f t="shared" si="1068"/>
        <v>0</v>
      </c>
      <c r="K286" s="418">
        <v>0</v>
      </c>
      <c r="L286" s="418">
        <v>0</v>
      </c>
      <c r="M286" s="418">
        <f t="shared" si="1069"/>
        <v>0</v>
      </c>
      <c r="N286" s="418"/>
      <c r="O286" s="418"/>
      <c r="P286" s="68">
        <f t="shared" si="1070"/>
        <v>0</v>
      </c>
      <c r="Q286" s="68">
        <f t="shared" si="1071"/>
        <v>0</v>
      </c>
      <c r="R286" s="418">
        <v>0</v>
      </c>
      <c r="S286" s="419">
        <f t="shared" si="1072"/>
        <v>0</v>
      </c>
      <c r="T286" s="420">
        <v>0</v>
      </c>
      <c r="U286" s="527">
        <v>0</v>
      </c>
      <c r="V286" s="427">
        <f t="shared" si="1073"/>
        <v>0</v>
      </c>
      <c r="W286" s="421">
        <f t="shared" si="1073"/>
        <v>0</v>
      </c>
      <c r="X286" s="421">
        <v>1946707</v>
      </c>
      <c r="Y286" s="421">
        <v>0</v>
      </c>
      <c r="Z286" s="421">
        <v>0</v>
      </c>
      <c r="AA286" s="421">
        <v>0</v>
      </c>
      <c r="AB286" s="421">
        <v>0</v>
      </c>
      <c r="AC286" s="421">
        <v>0</v>
      </c>
      <c r="AD286" s="421">
        <v>0</v>
      </c>
      <c r="AE286" s="421">
        <v>0</v>
      </c>
      <c r="AF286" s="421">
        <f t="shared" si="1074"/>
        <v>1946707</v>
      </c>
      <c r="AG286" s="421">
        <f t="shared" si="1075"/>
        <v>0</v>
      </c>
      <c r="AH286" s="421">
        <f t="shared" si="1076"/>
        <v>1946707</v>
      </c>
      <c r="AI286" s="421">
        <v>0</v>
      </c>
      <c r="AJ286" s="421">
        <v>0</v>
      </c>
      <c r="AK286" s="421">
        <v>0</v>
      </c>
      <c r="AL286" s="421">
        <v>0</v>
      </c>
      <c r="AM286" s="421">
        <v>0</v>
      </c>
      <c r="AN286" s="421">
        <v>0</v>
      </c>
      <c r="AO286" s="421">
        <f t="shared" si="1077"/>
        <v>0</v>
      </c>
      <c r="AP286" s="421">
        <f t="shared" si="1078"/>
        <v>0</v>
      </c>
      <c r="AQ286" s="421">
        <f t="shared" si="1079"/>
        <v>0</v>
      </c>
      <c r="AR286" s="421">
        <f t="shared" si="1080"/>
        <v>1946707</v>
      </c>
      <c r="AS286" s="421">
        <f t="shared" si="1080"/>
        <v>0</v>
      </c>
      <c r="AT286" s="421">
        <f t="shared" si="1081"/>
        <v>1946707</v>
      </c>
      <c r="AU286" s="68">
        <f t="shared" si="1082"/>
        <v>657987</v>
      </c>
      <c r="AV286" s="68">
        <f t="shared" si="1083"/>
        <v>19467</v>
      </c>
      <c r="AW286" s="421">
        <v>0</v>
      </c>
      <c r="AX286" s="421">
        <v>0</v>
      </c>
      <c r="AY286" s="421">
        <f t="shared" si="1084"/>
        <v>0</v>
      </c>
      <c r="AZ286" s="421">
        <f t="shared" si="1085"/>
        <v>2624161</v>
      </c>
      <c r="BA286" s="422">
        <v>0</v>
      </c>
      <c r="BB286" s="422">
        <v>0</v>
      </c>
      <c r="BC286" s="422">
        <v>5.25</v>
      </c>
      <c r="BD286" s="422">
        <v>0</v>
      </c>
      <c r="BE286" s="422">
        <v>0</v>
      </c>
      <c r="BF286" s="422">
        <v>0</v>
      </c>
      <c r="BG286" s="422">
        <v>0</v>
      </c>
      <c r="BH286" s="422">
        <v>0</v>
      </c>
      <c r="BI286" s="422">
        <v>0</v>
      </c>
      <c r="BJ286" s="422">
        <v>0</v>
      </c>
      <c r="BK286" s="422">
        <f t="shared" si="1086"/>
        <v>5.25</v>
      </c>
      <c r="BL286" s="422">
        <f t="shared" si="1087"/>
        <v>0</v>
      </c>
      <c r="BM286" s="611">
        <f t="shared" si="1088"/>
        <v>5.25</v>
      </c>
      <c r="BN286" s="428">
        <f t="shared" si="1089"/>
        <v>2624161</v>
      </c>
      <c r="BO286" s="421">
        <f t="shared" si="1090"/>
        <v>1946707</v>
      </c>
      <c r="BP286" s="421">
        <f t="shared" si="1091"/>
        <v>1946707</v>
      </c>
      <c r="BQ286" s="421">
        <f t="shared" si="1091"/>
        <v>0</v>
      </c>
      <c r="BR286" s="421">
        <f t="shared" si="1092"/>
        <v>0</v>
      </c>
      <c r="BS286" s="421">
        <f t="shared" si="1093"/>
        <v>0</v>
      </c>
      <c r="BT286" s="421">
        <f t="shared" si="1093"/>
        <v>0</v>
      </c>
      <c r="BU286" s="421">
        <f t="shared" si="1094"/>
        <v>657987</v>
      </c>
      <c r="BV286" s="421">
        <f t="shared" si="1094"/>
        <v>19467</v>
      </c>
      <c r="BW286" s="421">
        <f t="shared" si="1095"/>
        <v>0</v>
      </c>
      <c r="BX286" s="422">
        <f t="shared" si="1096"/>
        <v>5.25</v>
      </c>
      <c r="BY286" s="422">
        <f t="shared" si="1097"/>
        <v>5.25</v>
      </c>
      <c r="BZ286" s="611">
        <f t="shared" si="1097"/>
        <v>0</v>
      </c>
      <c r="CA286" s="423"/>
      <c r="CB286" s="418"/>
      <c r="CC286" s="418"/>
      <c r="CD286" s="418"/>
      <c r="CE286" s="418"/>
      <c r="CF286" s="527"/>
    </row>
    <row r="287" spans="1:84" s="222" customFormat="1" ht="12.75" customHeight="1" x14ac:dyDescent="0.2">
      <c r="A287" s="210">
        <v>52</v>
      </c>
      <c r="B287" s="211">
        <v>4466</v>
      </c>
      <c r="C287" s="211">
        <v>650039017</v>
      </c>
      <c r="D287" s="211">
        <v>70982074</v>
      </c>
      <c r="E287" s="209" t="s">
        <v>240</v>
      </c>
      <c r="F287" s="211">
        <v>3141</v>
      </c>
      <c r="G287" s="165" t="s">
        <v>295</v>
      </c>
      <c r="H287" s="699" t="s">
        <v>272</v>
      </c>
      <c r="I287" s="528">
        <f t="shared" si="1067"/>
        <v>1072051</v>
      </c>
      <c r="J287" s="418">
        <f t="shared" si="1068"/>
        <v>791448</v>
      </c>
      <c r="K287" s="418">
        <v>0</v>
      </c>
      <c r="L287" s="418">
        <v>791448</v>
      </c>
      <c r="M287" s="418">
        <f t="shared" si="1069"/>
        <v>0</v>
      </c>
      <c r="N287" s="418"/>
      <c r="O287" s="418"/>
      <c r="P287" s="68">
        <f t="shared" si="1070"/>
        <v>267509</v>
      </c>
      <c r="Q287" s="68">
        <f t="shared" si="1071"/>
        <v>7914</v>
      </c>
      <c r="R287" s="418">
        <v>5180</v>
      </c>
      <c r="S287" s="419">
        <f t="shared" si="1072"/>
        <v>2.37</v>
      </c>
      <c r="T287" s="420">
        <v>0</v>
      </c>
      <c r="U287" s="527">
        <v>2.37</v>
      </c>
      <c r="V287" s="427">
        <f t="shared" si="1073"/>
        <v>0</v>
      </c>
      <c r="W287" s="421">
        <f t="shared" si="1073"/>
        <v>-22400</v>
      </c>
      <c r="X287" s="421">
        <v>0</v>
      </c>
      <c r="Y287" s="421">
        <v>0</v>
      </c>
      <c r="Z287" s="421">
        <v>0</v>
      </c>
      <c r="AA287" s="421">
        <v>0</v>
      </c>
      <c r="AB287" s="421">
        <v>0</v>
      </c>
      <c r="AC287" s="421">
        <v>0</v>
      </c>
      <c r="AD287" s="421">
        <v>0</v>
      </c>
      <c r="AE287" s="421">
        <v>0</v>
      </c>
      <c r="AF287" s="421">
        <f t="shared" si="1074"/>
        <v>0</v>
      </c>
      <c r="AG287" s="421">
        <f t="shared" si="1075"/>
        <v>-22400</v>
      </c>
      <c r="AH287" s="421">
        <f t="shared" si="1076"/>
        <v>-22400</v>
      </c>
      <c r="AI287" s="421">
        <v>0</v>
      </c>
      <c r="AJ287" s="421">
        <v>22400</v>
      </c>
      <c r="AK287" s="421">
        <v>0</v>
      </c>
      <c r="AL287" s="421">
        <v>0</v>
      </c>
      <c r="AM287" s="421">
        <v>0</v>
      </c>
      <c r="AN287" s="421">
        <v>0</v>
      </c>
      <c r="AO287" s="421">
        <f t="shared" si="1077"/>
        <v>0</v>
      </c>
      <c r="AP287" s="421">
        <f t="shared" si="1078"/>
        <v>22400</v>
      </c>
      <c r="AQ287" s="421">
        <f t="shared" si="1079"/>
        <v>22400</v>
      </c>
      <c r="AR287" s="421">
        <f t="shared" si="1080"/>
        <v>0</v>
      </c>
      <c r="AS287" s="421">
        <f t="shared" si="1080"/>
        <v>0</v>
      </c>
      <c r="AT287" s="421">
        <f t="shared" si="1081"/>
        <v>0</v>
      </c>
      <c r="AU287" s="68">
        <f t="shared" si="1082"/>
        <v>0</v>
      </c>
      <c r="AV287" s="68">
        <f t="shared" si="1083"/>
        <v>-224</v>
      </c>
      <c r="AW287" s="421">
        <v>0</v>
      </c>
      <c r="AX287" s="421">
        <v>0</v>
      </c>
      <c r="AY287" s="421">
        <f t="shared" si="1084"/>
        <v>0</v>
      </c>
      <c r="AZ287" s="421">
        <f t="shared" si="1085"/>
        <v>-224</v>
      </c>
      <c r="BA287" s="422">
        <v>0</v>
      </c>
      <c r="BB287" s="422">
        <v>-0.05</v>
      </c>
      <c r="BC287" s="422">
        <v>0</v>
      </c>
      <c r="BD287" s="422">
        <v>0</v>
      </c>
      <c r="BE287" s="422">
        <v>0</v>
      </c>
      <c r="BF287" s="422">
        <v>0</v>
      </c>
      <c r="BG287" s="422">
        <v>0</v>
      </c>
      <c r="BH287" s="422">
        <v>0</v>
      </c>
      <c r="BI287" s="422">
        <v>0</v>
      </c>
      <c r="BJ287" s="422">
        <v>0</v>
      </c>
      <c r="BK287" s="422">
        <f t="shared" si="1086"/>
        <v>0</v>
      </c>
      <c r="BL287" s="422">
        <f t="shared" si="1087"/>
        <v>-0.05</v>
      </c>
      <c r="BM287" s="611">
        <f t="shared" si="1088"/>
        <v>-0.05</v>
      </c>
      <c r="BN287" s="428">
        <f t="shared" si="1089"/>
        <v>1071827</v>
      </c>
      <c r="BO287" s="421">
        <f t="shared" si="1090"/>
        <v>769048</v>
      </c>
      <c r="BP287" s="421">
        <f t="shared" si="1091"/>
        <v>0</v>
      </c>
      <c r="BQ287" s="421">
        <f t="shared" si="1091"/>
        <v>769048</v>
      </c>
      <c r="BR287" s="421">
        <f t="shared" si="1092"/>
        <v>22400</v>
      </c>
      <c r="BS287" s="421">
        <f t="shared" si="1093"/>
        <v>0</v>
      </c>
      <c r="BT287" s="421">
        <f t="shared" si="1093"/>
        <v>22400</v>
      </c>
      <c r="BU287" s="421">
        <f t="shared" si="1094"/>
        <v>267509</v>
      </c>
      <c r="BV287" s="421">
        <f t="shared" si="1094"/>
        <v>7690</v>
      </c>
      <c r="BW287" s="421">
        <f t="shared" si="1095"/>
        <v>5180</v>
      </c>
      <c r="BX287" s="422">
        <f t="shared" si="1096"/>
        <v>2.3200000000000003</v>
      </c>
      <c r="BY287" s="422">
        <f t="shared" si="1097"/>
        <v>0</v>
      </c>
      <c r="BZ287" s="611">
        <f t="shared" si="1097"/>
        <v>2.3200000000000003</v>
      </c>
      <c r="CA287" s="423"/>
      <c r="CB287" s="418"/>
      <c r="CC287" s="418"/>
      <c r="CD287" s="418"/>
      <c r="CE287" s="418"/>
      <c r="CF287" s="527"/>
    </row>
    <row r="288" spans="1:84" s="222" customFormat="1" ht="12.75" customHeight="1" x14ac:dyDescent="0.2">
      <c r="A288" s="210">
        <v>52</v>
      </c>
      <c r="B288" s="211">
        <v>4466</v>
      </c>
      <c r="C288" s="211">
        <v>650039017</v>
      </c>
      <c r="D288" s="211">
        <v>70982074</v>
      </c>
      <c r="E288" s="209" t="s">
        <v>240</v>
      </c>
      <c r="F288" s="211">
        <v>3143</v>
      </c>
      <c r="G288" s="165" t="s">
        <v>596</v>
      </c>
      <c r="H288" s="686" t="s">
        <v>271</v>
      </c>
      <c r="I288" s="528">
        <f t="shared" si="1067"/>
        <v>916637</v>
      </c>
      <c r="J288" s="418">
        <f t="shared" si="1068"/>
        <v>679998</v>
      </c>
      <c r="K288" s="418">
        <v>679998</v>
      </c>
      <c r="L288" s="418">
        <v>0</v>
      </c>
      <c r="M288" s="418">
        <f t="shared" si="1069"/>
        <v>0</v>
      </c>
      <c r="N288" s="418"/>
      <c r="O288" s="418"/>
      <c r="P288" s="68">
        <f t="shared" si="1070"/>
        <v>229839</v>
      </c>
      <c r="Q288" s="68">
        <f t="shared" si="1071"/>
        <v>6800</v>
      </c>
      <c r="R288" s="418">
        <v>0</v>
      </c>
      <c r="S288" s="419">
        <f t="shared" si="1072"/>
        <v>1.4</v>
      </c>
      <c r="T288" s="420">
        <v>1.4</v>
      </c>
      <c r="U288" s="527">
        <v>0</v>
      </c>
      <c r="V288" s="427">
        <f t="shared" si="1073"/>
        <v>-16000</v>
      </c>
      <c r="W288" s="421">
        <f t="shared" si="1073"/>
        <v>0</v>
      </c>
      <c r="X288" s="421">
        <v>0</v>
      </c>
      <c r="Y288" s="421">
        <v>0</v>
      </c>
      <c r="Z288" s="421">
        <v>0</v>
      </c>
      <c r="AA288" s="421">
        <v>0</v>
      </c>
      <c r="AB288" s="421">
        <v>0</v>
      </c>
      <c r="AC288" s="421">
        <v>0</v>
      </c>
      <c r="AD288" s="421">
        <v>0</v>
      </c>
      <c r="AE288" s="421">
        <v>0</v>
      </c>
      <c r="AF288" s="421">
        <f t="shared" si="1074"/>
        <v>-16000</v>
      </c>
      <c r="AG288" s="421">
        <f t="shared" si="1075"/>
        <v>0</v>
      </c>
      <c r="AH288" s="421">
        <f t="shared" si="1076"/>
        <v>-16000</v>
      </c>
      <c r="AI288" s="421">
        <v>16000</v>
      </c>
      <c r="AJ288" s="421">
        <v>0</v>
      </c>
      <c r="AK288" s="421">
        <v>0</v>
      </c>
      <c r="AL288" s="421">
        <v>0</v>
      </c>
      <c r="AM288" s="421">
        <v>0</v>
      </c>
      <c r="AN288" s="421">
        <v>0</v>
      </c>
      <c r="AO288" s="421">
        <f t="shared" si="1077"/>
        <v>16000</v>
      </c>
      <c r="AP288" s="421">
        <f t="shared" si="1078"/>
        <v>0</v>
      </c>
      <c r="AQ288" s="421">
        <f t="shared" si="1079"/>
        <v>16000</v>
      </c>
      <c r="AR288" s="421">
        <f t="shared" si="1080"/>
        <v>0</v>
      </c>
      <c r="AS288" s="421">
        <f t="shared" si="1080"/>
        <v>0</v>
      </c>
      <c r="AT288" s="421">
        <f t="shared" si="1081"/>
        <v>0</v>
      </c>
      <c r="AU288" s="68">
        <f t="shared" si="1082"/>
        <v>0</v>
      </c>
      <c r="AV288" s="68">
        <f t="shared" si="1083"/>
        <v>-160</v>
      </c>
      <c r="AW288" s="421">
        <v>0</v>
      </c>
      <c r="AX288" s="421">
        <v>0</v>
      </c>
      <c r="AY288" s="421">
        <f t="shared" si="1084"/>
        <v>0</v>
      </c>
      <c r="AZ288" s="421">
        <f t="shared" si="1085"/>
        <v>-160</v>
      </c>
      <c r="BA288" s="422">
        <v>0</v>
      </c>
      <c r="BB288" s="422">
        <v>0</v>
      </c>
      <c r="BC288" s="422">
        <v>0</v>
      </c>
      <c r="BD288" s="422">
        <v>0</v>
      </c>
      <c r="BE288" s="422">
        <v>0</v>
      </c>
      <c r="BF288" s="422">
        <v>0</v>
      </c>
      <c r="BG288" s="422">
        <v>0</v>
      </c>
      <c r="BH288" s="422">
        <v>0</v>
      </c>
      <c r="BI288" s="422">
        <v>0</v>
      </c>
      <c r="BJ288" s="422">
        <v>0</v>
      </c>
      <c r="BK288" s="422">
        <f t="shared" si="1086"/>
        <v>0</v>
      </c>
      <c r="BL288" s="422">
        <f t="shared" si="1087"/>
        <v>0</v>
      </c>
      <c r="BM288" s="611">
        <f t="shared" si="1088"/>
        <v>0</v>
      </c>
      <c r="BN288" s="428">
        <f t="shared" si="1089"/>
        <v>916477</v>
      </c>
      <c r="BO288" s="421">
        <f t="shared" si="1090"/>
        <v>663998</v>
      </c>
      <c r="BP288" s="421">
        <f t="shared" si="1091"/>
        <v>663998</v>
      </c>
      <c r="BQ288" s="421">
        <f t="shared" si="1091"/>
        <v>0</v>
      </c>
      <c r="BR288" s="421">
        <f t="shared" si="1092"/>
        <v>16000</v>
      </c>
      <c r="BS288" s="421">
        <f t="shared" si="1093"/>
        <v>16000</v>
      </c>
      <c r="BT288" s="421">
        <f t="shared" si="1093"/>
        <v>0</v>
      </c>
      <c r="BU288" s="421">
        <f t="shared" si="1094"/>
        <v>229839</v>
      </c>
      <c r="BV288" s="421">
        <f t="shared" si="1094"/>
        <v>6640</v>
      </c>
      <c r="BW288" s="421">
        <f t="shared" si="1095"/>
        <v>0</v>
      </c>
      <c r="BX288" s="422">
        <f t="shared" si="1096"/>
        <v>1.4</v>
      </c>
      <c r="BY288" s="422">
        <f t="shared" si="1097"/>
        <v>1.4</v>
      </c>
      <c r="BZ288" s="611">
        <f t="shared" si="1097"/>
        <v>0</v>
      </c>
      <c r="CA288" s="423"/>
      <c r="CB288" s="418"/>
      <c r="CC288" s="418"/>
      <c r="CD288" s="418"/>
      <c r="CE288" s="418"/>
      <c r="CF288" s="527"/>
    </row>
    <row r="289" spans="1:84" s="222" customFormat="1" ht="12.75" customHeight="1" x14ac:dyDescent="0.2">
      <c r="A289" s="210">
        <v>52</v>
      </c>
      <c r="B289" s="211">
        <v>4466</v>
      </c>
      <c r="C289" s="211">
        <v>650039017</v>
      </c>
      <c r="D289" s="211">
        <v>70982074</v>
      </c>
      <c r="E289" s="209" t="s">
        <v>240</v>
      </c>
      <c r="F289" s="211">
        <v>3143</v>
      </c>
      <c r="G289" s="165" t="s">
        <v>597</v>
      </c>
      <c r="H289" s="686" t="s">
        <v>272</v>
      </c>
      <c r="I289" s="528">
        <f t="shared" si="1067"/>
        <v>25598</v>
      </c>
      <c r="J289" s="418">
        <f t="shared" si="1068"/>
        <v>18322</v>
      </c>
      <c r="K289" s="418">
        <v>0</v>
      </c>
      <c r="L289" s="418">
        <v>18322</v>
      </c>
      <c r="M289" s="418">
        <f t="shared" si="1069"/>
        <v>0</v>
      </c>
      <c r="N289" s="418"/>
      <c r="O289" s="418"/>
      <c r="P289" s="68">
        <f t="shared" si="1070"/>
        <v>6193</v>
      </c>
      <c r="Q289" s="68">
        <f t="shared" si="1071"/>
        <v>183</v>
      </c>
      <c r="R289" s="418">
        <v>900</v>
      </c>
      <c r="S289" s="419">
        <f t="shared" si="1072"/>
        <v>7.0000000000000007E-2</v>
      </c>
      <c r="T289" s="420">
        <v>0</v>
      </c>
      <c r="U289" s="527">
        <v>7.0000000000000007E-2</v>
      </c>
      <c r="V289" s="427">
        <f t="shared" si="1073"/>
        <v>0</v>
      </c>
      <c r="W289" s="421">
        <f t="shared" si="1073"/>
        <v>0</v>
      </c>
      <c r="X289" s="421">
        <v>0</v>
      </c>
      <c r="Y289" s="421">
        <v>0</v>
      </c>
      <c r="Z289" s="421">
        <v>0</v>
      </c>
      <c r="AA289" s="421">
        <v>0</v>
      </c>
      <c r="AB289" s="421">
        <v>0</v>
      </c>
      <c r="AC289" s="421">
        <v>0</v>
      </c>
      <c r="AD289" s="421">
        <v>0</v>
      </c>
      <c r="AE289" s="421">
        <v>0</v>
      </c>
      <c r="AF289" s="421">
        <f t="shared" si="1074"/>
        <v>0</v>
      </c>
      <c r="AG289" s="421">
        <f t="shared" si="1075"/>
        <v>0</v>
      </c>
      <c r="AH289" s="421">
        <f t="shared" si="1076"/>
        <v>0</v>
      </c>
      <c r="AI289" s="421">
        <v>0</v>
      </c>
      <c r="AJ289" s="421">
        <v>0</v>
      </c>
      <c r="AK289" s="421">
        <v>0</v>
      </c>
      <c r="AL289" s="421">
        <v>0</v>
      </c>
      <c r="AM289" s="421">
        <v>0</v>
      </c>
      <c r="AN289" s="421">
        <v>0</v>
      </c>
      <c r="AO289" s="421">
        <f t="shared" si="1077"/>
        <v>0</v>
      </c>
      <c r="AP289" s="421">
        <f t="shared" si="1078"/>
        <v>0</v>
      </c>
      <c r="AQ289" s="421">
        <f t="shared" si="1079"/>
        <v>0</v>
      </c>
      <c r="AR289" s="421">
        <f t="shared" si="1080"/>
        <v>0</v>
      </c>
      <c r="AS289" s="421">
        <f t="shared" si="1080"/>
        <v>0</v>
      </c>
      <c r="AT289" s="421">
        <f t="shared" si="1081"/>
        <v>0</v>
      </c>
      <c r="AU289" s="68">
        <f t="shared" si="1082"/>
        <v>0</v>
      </c>
      <c r="AV289" s="68">
        <f t="shared" si="1083"/>
        <v>0</v>
      </c>
      <c r="AW289" s="421">
        <v>0</v>
      </c>
      <c r="AX289" s="421">
        <v>0</v>
      </c>
      <c r="AY289" s="421">
        <f t="shared" si="1084"/>
        <v>0</v>
      </c>
      <c r="AZ289" s="421">
        <f t="shared" si="1085"/>
        <v>0</v>
      </c>
      <c r="BA289" s="422">
        <v>0</v>
      </c>
      <c r="BB289" s="422">
        <v>0</v>
      </c>
      <c r="BC289" s="422">
        <v>0</v>
      </c>
      <c r="BD289" s="422">
        <v>0</v>
      </c>
      <c r="BE289" s="422">
        <v>0</v>
      </c>
      <c r="BF289" s="422">
        <v>0</v>
      </c>
      <c r="BG289" s="422">
        <v>0</v>
      </c>
      <c r="BH289" s="422">
        <v>0</v>
      </c>
      <c r="BI289" s="422">
        <v>0</v>
      </c>
      <c r="BJ289" s="422">
        <v>0</v>
      </c>
      <c r="BK289" s="422">
        <f t="shared" si="1086"/>
        <v>0</v>
      </c>
      <c r="BL289" s="422">
        <f t="shared" si="1087"/>
        <v>0</v>
      </c>
      <c r="BM289" s="611">
        <f t="shared" si="1088"/>
        <v>0</v>
      </c>
      <c r="BN289" s="428">
        <f t="shared" si="1089"/>
        <v>25598</v>
      </c>
      <c r="BO289" s="421">
        <f t="shared" si="1090"/>
        <v>18322</v>
      </c>
      <c r="BP289" s="421">
        <f t="shared" si="1091"/>
        <v>0</v>
      </c>
      <c r="BQ289" s="421">
        <f t="shared" si="1091"/>
        <v>18322</v>
      </c>
      <c r="BR289" s="421">
        <f t="shared" si="1092"/>
        <v>0</v>
      </c>
      <c r="BS289" s="421">
        <f t="shared" si="1093"/>
        <v>0</v>
      </c>
      <c r="BT289" s="421">
        <f t="shared" si="1093"/>
        <v>0</v>
      </c>
      <c r="BU289" s="421">
        <f t="shared" si="1094"/>
        <v>6193</v>
      </c>
      <c r="BV289" s="421">
        <f t="shared" si="1094"/>
        <v>183</v>
      </c>
      <c r="BW289" s="421">
        <f t="shared" si="1095"/>
        <v>900</v>
      </c>
      <c r="BX289" s="422">
        <f t="shared" si="1096"/>
        <v>7.0000000000000007E-2</v>
      </c>
      <c r="BY289" s="422">
        <f t="shared" si="1097"/>
        <v>0</v>
      </c>
      <c r="BZ289" s="611">
        <f t="shared" si="1097"/>
        <v>7.0000000000000007E-2</v>
      </c>
      <c r="CA289" s="423"/>
      <c r="CB289" s="418"/>
      <c r="CC289" s="418"/>
      <c r="CD289" s="418"/>
      <c r="CE289" s="418"/>
      <c r="CF289" s="527"/>
    </row>
    <row r="290" spans="1:84" s="222" customFormat="1" x14ac:dyDescent="0.2">
      <c r="A290" s="155">
        <v>52</v>
      </c>
      <c r="B290" s="18">
        <v>4466</v>
      </c>
      <c r="C290" s="18">
        <v>650039017</v>
      </c>
      <c r="D290" s="18">
        <v>70982074</v>
      </c>
      <c r="E290" s="164" t="s">
        <v>241</v>
      </c>
      <c r="F290" s="18"/>
      <c r="G290" s="154"/>
      <c r="H290" s="685"/>
      <c r="I290" s="458">
        <f t="shared" ref="I290:BT290" si="1098">SUM(I284:I289)</f>
        <v>14915080</v>
      </c>
      <c r="J290" s="451">
        <f t="shared" si="1098"/>
        <v>10965763</v>
      </c>
      <c r="K290" s="451">
        <f t="shared" si="1098"/>
        <v>9233684</v>
      </c>
      <c r="L290" s="451">
        <f t="shared" si="1098"/>
        <v>1732079</v>
      </c>
      <c r="M290" s="451">
        <f t="shared" si="1098"/>
        <v>0</v>
      </c>
      <c r="N290" s="451">
        <f t="shared" si="1098"/>
        <v>0</v>
      </c>
      <c r="O290" s="451">
        <f t="shared" si="1098"/>
        <v>0</v>
      </c>
      <c r="P290" s="451">
        <f t="shared" si="1098"/>
        <v>3706428</v>
      </c>
      <c r="Q290" s="451">
        <f t="shared" si="1098"/>
        <v>109657</v>
      </c>
      <c r="R290" s="451">
        <f t="shared" si="1098"/>
        <v>133232</v>
      </c>
      <c r="S290" s="452">
        <f t="shared" si="1098"/>
        <v>21.251099999999997</v>
      </c>
      <c r="T290" s="452">
        <f t="shared" si="1098"/>
        <v>15.8779</v>
      </c>
      <c r="U290" s="39">
        <f t="shared" si="1098"/>
        <v>5.3732000000000006</v>
      </c>
      <c r="V290" s="458">
        <f t="shared" si="1098"/>
        <v>-16000</v>
      </c>
      <c r="W290" s="451">
        <f t="shared" si="1098"/>
        <v>-22400</v>
      </c>
      <c r="X290" s="451">
        <f t="shared" si="1098"/>
        <v>1946707</v>
      </c>
      <c r="Y290" s="451">
        <f t="shared" si="1098"/>
        <v>0</v>
      </c>
      <c r="Z290" s="451">
        <f t="shared" si="1098"/>
        <v>0</v>
      </c>
      <c r="AA290" s="451">
        <f t="shared" si="1098"/>
        <v>0</v>
      </c>
      <c r="AB290" s="451">
        <f t="shared" si="1098"/>
        <v>0</v>
      </c>
      <c r="AC290" s="451">
        <f t="shared" si="1098"/>
        <v>0</v>
      </c>
      <c r="AD290" s="451">
        <f t="shared" si="1098"/>
        <v>0</v>
      </c>
      <c r="AE290" s="451">
        <f t="shared" si="1098"/>
        <v>0</v>
      </c>
      <c r="AF290" s="451">
        <f t="shared" si="1098"/>
        <v>1930707</v>
      </c>
      <c r="AG290" s="451">
        <f t="shared" si="1098"/>
        <v>-22400</v>
      </c>
      <c r="AH290" s="451">
        <f t="shared" si="1098"/>
        <v>1908307</v>
      </c>
      <c r="AI290" s="451">
        <f t="shared" si="1098"/>
        <v>16000</v>
      </c>
      <c r="AJ290" s="451">
        <f t="shared" si="1098"/>
        <v>22400</v>
      </c>
      <c r="AK290" s="451">
        <f t="shared" ref="AK290" si="1099">SUM(AK284:AK289)</f>
        <v>0</v>
      </c>
      <c r="AL290" s="451">
        <f t="shared" si="1098"/>
        <v>0</v>
      </c>
      <c r="AM290" s="451">
        <f t="shared" si="1098"/>
        <v>0</v>
      </c>
      <c r="AN290" s="451">
        <f t="shared" si="1098"/>
        <v>0</v>
      </c>
      <c r="AO290" s="451">
        <f t="shared" si="1098"/>
        <v>16000</v>
      </c>
      <c r="AP290" s="451">
        <f t="shared" si="1098"/>
        <v>22400</v>
      </c>
      <c r="AQ290" s="451">
        <f t="shared" si="1098"/>
        <v>38400</v>
      </c>
      <c r="AR290" s="451">
        <f t="shared" si="1098"/>
        <v>1946707</v>
      </c>
      <c r="AS290" s="451">
        <f t="shared" si="1098"/>
        <v>0</v>
      </c>
      <c r="AT290" s="451">
        <f t="shared" si="1098"/>
        <v>1946707</v>
      </c>
      <c r="AU290" s="451">
        <f t="shared" si="1098"/>
        <v>657987</v>
      </c>
      <c r="AV290" s="451">
        <f t="shared" si="1098"/>
        <v>19083</v>
      </c>
      <c r="AW290" s="451">
        <f t="shared" si="1098"/>
        <v>0</v>
      </c>
      <c r="AX290" s="451">
        <f t="shared" si="1098"/>
        <v>0</v>
      </c>
      <c r="AY290" s="451">
        <f t="shared" si="1098"/>
        <v>0</v>
      </c>
      <c r="AZ290" s="451">
        <f t="shared" si="1098"/>
        <v>2623777</v>
      </c>
      <c r="BA290" s="452">
        <f t="shared" si="1098"/>
        <v>0</v>
      </c>
      <c r="BB290" s="452">
        <f t="shared" si="1098"/>
        <v>-0.05</v>
      </c>
      <c r="BC290" s="452">
        <f t="shared" si="1098"/>
        <v>5.25</v>
      </c>
      <c r="BD290" s="452">
        <f t="shared" si="1098"/>
        <v>0</v>
      </c>
      <c r="BE290" s="452">
        <f t="shared" si="1098"/>
        <v>0</v>
      </c>
      <c r="BF290" s="452">
        <f t="shared" si="1098"/>
        <v>0</v>
      </c>
      <c r="BG290" s="452">
        <f t="shared" si="1098"/>
        <v>0</v>
      </c>
      <c r="BH290" s="452">
        <f t="shared" si="1098"/>
        <v>0</v>
      </c>
      <c r="BI290" s="452">
        <f t="shared" si="1098"/>
        <v>0</v>
      </c>
      <c r="BJ290" s="452">
        <f t="shared" si="1098"/>
        <v>0</v>
      </c>
      <c r="BK290" s="452">
        <f t="shared" si="1098"/>
        <v>5.25</v>
      </c>
      <c r="BL290" s="452">
        <f t="shared" si="1098"/>
        <v>-0.05</v>
      </c>
      <c r="BM290" s="456">
        <f t="shared" si="1098"/>
        <v>5.2</v>
      </c>
      <c r="BN290" s="454">
        <f t="shared" si="1098"/>
        <v>17538857</v>
      </c>
      <c r="BO290" s="451">
        <f t="shared" si="1098"/>
        <v>12874070</v>
      </c>
      <c r="BP290" s="451">
        <f t="shared" si="1098"/>
        <v>11164391</v>
      </c>
      <c r="BQ290" s="451">
        <f t="shared" si="1098"/>
        <v>1709679</v>
      </c>
      <c r="BR290" s="451">
        <f t="shared" si="1098"/>
        <v>38400</v>
      </c>
      <c r="BS290" s="451">
        <f t="shared" si="1098"/>
        <v>16000</v>
      </c>
      <c r="BT290" s="451">
        <f t="shared" si="1098"/>
        <v>22400</v>
      </c>
      <c r="BU290" s="451">
        <f t="shared" ref="BU290:CF290" si="1100">SUM(BU284:BU289)</f>
        <v>4364415</v>
      </c>
      <c r="BV290" s="451">
        <f t="shared" si="1100"/>
        <v>128740</v>
      </c>
      <c r="BW290" s="451">
        <f t="shared" si="1100"/>
        <v>133232</v>
      </c>
      <c r="BX290" s="452">
        <f t="shared" si="1100"/>
        <v>26.451099999999997</v>
      </c>
      <c r="BY290" s="452">
        <f t="shared" si="1100"/>
        <v>21.127899999999997</v>
      </c>
      <c r="BZ290" s="456">
        <f t="shared" si="1100"/>
        <v>5.3231999999999999</v>
      </c>
      <c r="CA290" s="854">
        <f t="shared" si="1100"/>
        <v>0</v>
      </c>
      <c r="CB290" s="852">
        <f t="shared" si="1100"/>
        <v>0</v>
      </c>
      <c r="CC290" s="852">
        <f t="shared" si="1100"/>
        <v>0</v>
      </c>
      <c r="CD290" s="852">
        <f t="shared" si="1100"/>
        <v>0</v>
      </c>
      <c r="CE290" s="852">
        <f t="shared" si="1100"/>
        <v>0</v>
      </c>
      <c r="CF290" s="848">
        <f t="shared" si="1100"/>
        <v>0</v>
      </c>
    </row>
    <row r="291" spans="1:84" s="222" customFormat="1" ht="13.5" thickBot="1" x14ac:dyDescent="0.25">
      <c r="A291" s="210">
        <v>53</v>
      </c>
      <c r="B291" s="211">
        <v>4470</v>
      </c>
      <c r="C291" s="211">
        <v>600075109</v>
      </c>
      <c r="D291" s="211">
        <v>70982112</v>
      </c>
      <c r="E291" s="209" t="s">
        <v>242</v>
      </c>
      <c r="F291" s="211">
        <v>3231</v>
      </c>
      <c r="G291" s="165" t="s">
        <v>296</v>
      </c>
      <c r="H291" s="699" t="s">
        <v>271</v>
      </c>
      <c r="I291" s="528">
        <f>J291+P291+Q291+R291</f>
        <v>9847417</v>
      </c>
      <c r="J291" s="418">
        <f>K291+L291</f>
        <v>7296561</v>
      </c>
      <c r="K291" s="418">
        <v>7024499</v>
      </c>
      <c r="L291" s="418">
        <v>272062</v>
      </c>
      <c r="M291" s="418">
        <f>N291+O291</f>
        <v>0</v>
      </c>
      <c r="N291" s="418"/>
      <c r="O291" s="418"/>
      <c r="P291" s="68">
        <f>ROUND(J291*33.8%,0)</f>
        <v>2466238</v>
      </c>
      <c r="Q291" s="68">
        <f>ROUND(J291*1%,0)</f>
        <v>72966</v>
      </c>
      <c r="R291" s="418">
        <v>11652</v>
      </c>
      <c r="S291" s="419">
        <f>T291+U291</f>
        <v>11.859</v>
      </c>
      <c r="T291" s="420">
        <v>11.095599999999999</v>
      </c>
      <c r="U291" s="527">
        <v>0.76339999999999997</v>
      </c>
      <c r="V291" s="427">
        <f>AI291*-1</f>
        <v>0</v>
      </c>
      <c r="W291" s="421">
        <f>AJ291*-1</f>
        <v>0</v>
      </c>
      <c r="X291" s="421">
        <v>0</v>
      </c>
      <c r="Y291" s="421">
        <v>0</v>
      </c>
      <c r="Z291" s="421">
        <v>0</v>
      </c>
      <c r="AA291" s="421">
        <v>0</v>
      </c>
      <c r="AB291" s="421">
        <v>0</v>
      </c>
      <c r="AC291" s="421">
        <v>0</v>
      </c>
      <c r="AD291" s="421">
        <v>0</v>
      </c>
      <c r="AE291" s="421">
        <v>0</v>
      </c>
      <c r="AF291" s="421">
        <f>V291+X291+Y291+AA291+AB291+AD291</f>
        <v>0</v>
      </c>
      <c r="AG291" s="421">
        <f>W291+Z291+AC291+AE291</f>
        <v>0</v>
      </c>
      <c r="AH291" s="421">
        <f>SUM(AF291:AG291)</f>
        <v>0</v>
      </c>
      <c r="AI291" s="421">
        <v>0</v>
      </c>
      <c r="AJ291" s="421">
        <v>0</v>
      </c>
      <c r="AK291" s="421">
        <v>0</v>
      </c>
      <c r="AL291" s="421">
        <v>0</v>
      </c>
      <c r="AM291" s="421">
        <v>0</v>
      </c>
      <c r="AN291" s="421">
        <v>0</v>
      </c>
      <c r="AO291" s="421">
        <f>AI291+AK291+AL291+AM291</f>
        <v>0</v>
      </c>
      <c r="AP291" s="421">
        <f>AJ291+AN291</f>
        <v>0</v>
      </c>
      <c r="AQ291" s="421">
        <f>SUM(AO291:AP291)</f>
        <v>0</v>
      </c>
      <c r="AR291" s="421">
        <f>AF291+AO291</f>
        <v>0</v>
      </c>
      <c r="AS291" s="421">
        <f>AG291+AP291</f>
        <v>0</v>
      </c>
      <c r="AT291" s="421">
        <f>SUM(AR291:AS291)</f>
        <v>0</v>
      </c>
      <c r="AU291" s="68">
        <f>ROUND((AH291+AI291+AJ291+AK291+AL291)*33.8%,0)</f>
        <v>0</v>
      </c>
      <c r="AV291" s="68">
        <f>ROUND(AH291*1%,0)</f>
        <v>0</v>
      </c>
      <c r="AW291" s="421">
        <v>0</v>
      </c>
      <c r="AX291" s="421">
        <v>0</v>
      </c>
      <c r="AY291" s="421">
        <f>AW291+AX291</f>
        <v>0</v>
      </c>
      <c r="AZ291" s="421">
        <f>AT291+AU291+AV291+AY291</f>
        <v>0</v>
      </c>
      <c r="BA291" s="422">
        <v>0</v>
      </c>
      <c r="BB291" s="422">
        <v>0</v>
      </c>
      <c r="BC291" s="422">
        <v>0</v>
      </c>
      <c r="BD291" s="422">
        <v>0</v>
      </c>
      <c r="BE291" s="422">
        <v>0</v>
      </c>
      <c r="BF291" s="422">
        <v>0</v>
      </c>
      <c r="BG291" s="422">
        <v>0</v>
      </c>
      <c r="BH291" s="422">
        <v>0</v>
      </c>
      <c r="BI291" s="422">
        <v>0</v>
      </c>
      <c r="BJ291" s="422">
        <v>0</v>
      </c>
      <c r="BK291" s="422">
        <f>BA291+BC291+BD291+BF291+BH291+BI291</f>
        <v>0</v>
      </c>
      <c r="BL291" s="422">
        <f>BB291+BE291+BG291+BJ291</f>
        <v>0</v>
      </c>
      <c r="BM291" s="611">
        <f>SUM(BK291:BL291)</f>
        <v>0</v>
      </c>
      <c r="BN291" s="428">
        <f>I291+AZ291</f>
        <v>9847417</v>
      </c>
      <c r="BO291" s="421">
        <f>J291+AH291</f>
        <v>7296561</v>
      </c>
      <c r="BP291" s="421">
        <f>K291+AF291</f>
        <v>7024499</v>
      </c>
      <c r="BQ291" s="421">
        <f>L291+AG291</f>
        <v>272062</v>
      </c>
      <c r="BR291" s="421">
        <f>M291+AQ291</f>
        <v>0</v>
      </c>
      <c r="BS291" s="421">
        <f>N291+AO291</f>
        <v>0</v>
      </c>
      <c r="BT291" s="421">
        <f>O291+AP291</f>
        <v>0</v>
      </c>
      <c r="BU291" s="421">
        <f>P291+AU291</f>
        <v>2466238</v>
      </c>
      <c r="BV291" s="421">
        <f>Q291+AV291</f>
        <v>72966</v>
      </c>
      <c r="BW291" s="421">
        <f>R291+AY291</f>
        <v>11652</v>
      </c>
      <c r="BX291" s="422">
        <f>S291+BM291</f>
        <v>11.859</v>
      </c>
      <c r="BY291" s="422">
        <f>T291+BK291</f>
        <v>11.095599999999999</v>
      </c>
      <c r="BZ291" s="611">
        <f>U291+BL291</f>
        <v>0.76339999999999997</v>
      </c>
      <c r="CA291" s="643"/>
      <c r="CB291" s="644"/>
      <c r="CC291" s="644"/>
      <c r="CD291" s="644"/>
      <c r="CE291" s="644"/>
      <c r="CF291" s="649"/>
    </row>
    <row r="292" spans="1:84" s="222" customFormat="1" ht="12.75" customHeight="1" thickBot="1" x14ac:dyDescent="0.25">
      <c r="A292" s="159">
        <v>53</v>
      </c>
      <c r="B292" s="33">
        <v>4470</v>
      </c>
      <c r="C292" s="33">
        <v>600075109</v>
      </c>
      <c r="D292" s="33">
        <v>70982112</v>
      </c>
      <c r="E292" s="235" t="s">
        <v>243</v>
      </c>
      <c r="F292" s="33"/>
      <c r="G292" s="160"/>
      <c r="H292" s="687"/>
      <c r="I292" s="622">
        <f t="shared" ref="I292:BU292" si="1101">SUM(I291)</f>
        <v>9847417</v>
      </c>
      <c r="J292" s="530">
        <f t="shared" si="1101"/>
        <v>7296561</v>
      </c>
      <c r="K292" s="530">
        <f t="shared" si="1101"/>
        <v>7024499</v>
      </c>
      <c r="L292" s="530">
        <f t="shared" si="1101"/>
        <v>272062</v>
      </c>
      <c r="M292" s="530">
        <f t="shared" si="1101"/>
        <v>0</v>
      </c>
      <c r="N292" s="530">
        <f t="shared" si="1101"/>
        <v>0</v>
      </c>
      <c r="O292" s="530">
        <f t="shared" si="1101"/>
        <v>0</v>
      </c>
      <c r="P292" s="530">
        <f t="shared" si="1101"/>
        <v>2466238</v>
      </c>
      <c r="Q292" s="530">
        <f t="shared" si="1101"/>
        <v>72966</v>
      </c>
      <c r="R292" s="530">
        <f t="shared" si="1101"/>
        <v>11652</v>
      </c>
      <c r="S292" s="531">
        <f t="shared" si="1101"/>
        <v>11.859</v>
      </c>
      <c r="T292" s="531">
        <f t="shared" si="1101"/>
        <v>11.095599999999999</v>
      </c>
      <c r="U292" s="532">
        <f t="shared" si="1101"/>
        <v>0.76339999999999997</v>
      </c>
      <c r="V292" s="622">
        <f t="shared" si="1101"/>
        <v>0</v>
      </c>
      <c r="W292" s="530">
        <f t="shared" si="1101"/>
        <v>0</v>
      </c>
      <c r="X292" s="530">
        <f t="shared" si="1101"/>
        <v>0</v>
      </c>
      <c r="Y292" s="530">
        <f t="shared" si="1101"/>
        <v>0</v>
      </c>
      <c r="Z292" s="530">
        <f t="shared" si="1101"/>
        <v>0</v>
      </c>
      <c r="AA292" s="530">
        <f t="shared" si="1101"/>
        <v>0</v>
      </c>
      <c r="AB292" s="530">
        <f t="shared" si="1101"/>
        <v>0</v>
      </c>
      <c r="AC292" s="530">
        <f t="shared" si="1101"/>
        <v>0</v>
      </c>
      <c r="AD292" s="530">
        <f t="shared" si="1101"/>
        <v>0</v>
      </c>
      <c r="AE292" s="530">
        <f t="shared" si="1101"/>
        <v>0</v>
      </c>
      <c r="AF292" s="530">
        <f t="shared" si="1101"/>
        <v>0</v>
      </c>
      <c r="AG292" s="530">
        <f t="shared" si="1101"/>
        <v>0</v>
      </c>
      <c r="AH292" s="530">
        <f t="shared" si="1101"/>
        <v>0</v>
      </c>
      <c r="AI292" s="530">
        <f t="shared" si="1101"/>
        <v>0</v>
      </c>
      <c r="AJ292" s="530">
        <f t="shared" si="1101"/>
        <v>0</v>
      </c>
      <c r="AK292" s="530">
        <f t="shared" ref="AK292" si="1102">SUM(AK291)</f>
        <v>0</v>
      </c>
      <c r="AL292" s="530">
        <f t="shared" si="1101"/>
        <v>0</v>
      </c>
      <c r="AM292" s="530">
        <f t="shared" si="1101"/>
        <v>0</v>
      </c>
      <c r="AN292" s="530">
        <f t="shared" si="1101"/>
        <v>0</v>
      </c>
      <c r="AO292" s="530">
        <f t="shared" si="1101"/>
        <v>0</v>
      </c>
      <c r="AP292" s="530">
        <f t="shared" si="1101"/>
        <v>0</v>
      </c>
      <c r="AQ292" s="530">
        <f t="shared" si="1101"/>
        <v>0</v>
      </c>
      <c r="AR292" s="530">
        <f t="shared" si="1101"/>
        <v>0</v>
      </c>
      <c r="AS292" s="530">
        <f t="shared" si="1101"/>
        <v>0</v>
      </c>
      <c r="AT292" s="530">
        <f t="shared" si="1101"/>
        <v>0</v>
      </c>
      <c r="AU292" s="530">
        <f t="shared" si="1101"/>
        <v>0</v>
      </c>
      <c r="AV292" s="530">
        <f t="shared" si="1101"/>
        <v>0</v>
      </c>
      <c r="AW292" s="530">
        <f t="shared" si="1101"/>
        <v>0</v>
      </c>
      <c r="AX292" s="530">
        <f t="shared" si="1101"/>
        <v>0</v>
      </c>
      <c r="AY292" s="530">
        <f t="shared" si="1101"/>
        <v>0</v>
      </c>
      <c r="AZ292" s="530">
        <f t="shared" si="1101"/>
        <v>0</v>
      </c>
      <c r="BA292" s="531">
        <f t="shared" si="1101"/>
        <v>0</v>
      </c>
      <c r="BB292" s="531">
        <f t="shared" si="1101"/>
        <v>0</v>
      </c>
      <c r="BC292" s="531">
        <f t="shared" si="1101"/>
        <v>0</v>
      </c>
      <c r="BD292" s="531">
        <f t="shared" si="1101"/>
        <v>0</v>
      </c>
      <c r="BE292" s="531">
        <f t="shared" si="1101"/>
        <v>0</v>
      </c>
      <c r="BF292" s="531">
        <f t="shared" si="1101"/>
        <v>0</v>
      </c>
      <c r="BG292" s="531">
        <f t="shared" si="1101"/>
        <v>0</v>
      </c>
      <c r="BH292" s="531">
        <f t="shared" si="1101"/>
        <v>0</v>
      </c>
      <c r="BI292" s="531">
        <f t="shared" si="1101"/>
        <v>0</v>
      </c>
      <c r="BJ292" s="531">
        <f t="shared" si="1101"/>
        <v>0</v>
      </c>
      <c r="BK292" s="531">
        <f t="shared" si="1101"/>
        <v>0</v>
      </c>
      <c r="BL292" s="531">
        <f t="shared" si="1101"/>
        <v>0</v>
      </c>
      <c r="BM292" s="623">
        <f t="shared" si="1101"/>
        <v>0</v>
      </c>
      <c r="BN292" s="529">
        <f t="shared" si="1101"/>
        <v>9847417</v>
      </c>
      <c r="BO292" s="530">
        <f t="shared" si="1101"/>
        <v>7296561</v>
      </c>
      <c r="BP292" s="530">
        <f t="shared" si="1101"/>
        <v>7024499</v>
      </c>
      <c r="BQ292" s="530">
        <f t="shared" si="1101"/>
        <v>272062</v>
      </c>
      <c r="BR292" s="530">
        <f t="shared" si="1101"/>
        <v>0</v>
      </c>
      <c r="BS292" s="530">
        <f t="shared" si="1101"/>
        <v>0</v>
      </c>
      <c r="BT292" s="530">
        <f t="shared" si="1101"/>
        <v>0</v>
      </c>
      <c r="BU292" s="530">
        <f t="shared" si="1101"/>
        <v>2466238</v>
      </c>
      <c r="BV292" s="530">
        <f t="shared" ref="BV292:CF292" si="1103">SUM(BV291)</f>
        <v>72966</v>
      </c>
      <c r="BW292" s="530">
        <f t="shared" si="1103"/>
        <v>11652</v>
      </c>
      <c r="BX292" s="531">
        <f t="shared" si="1103"/>
        <v>11.859</v>
      </c>
      <c r="BY292" s="531">
        <f t="shared" si="1103"/>
        <v>11.095599999999999</v>
      </c>
      <c r="BZ292" s="623">
        <f t="shared" si="1103"/>
        <v>0.76339999999999997</v>
      </c>
      <c r="CA292" s="865">
        <f t="shared" si="1103"/>
        <v>0</v>
      </c>
      <c r="CB292" s="866">
        <f t="shared" si="1103"/>
        <v>0</v>
      </c>
      <c r="CC292" s="866">
        <f t="shared" si="1103"/>
        <v>0</v>
      </c>
      <c r="CD292" s="866">
        <f t="shared" si="1103"/>
        <v>0</v>
      </c>
      <c r="CE292" s="866">
        <f t="shared" si="1103"/>
        <v>0</v>
      </c>
      <c r="CF292" s="867">
        <f t="shared" si="1103"/>
        <v>0</v>
      </c>
    </row>
    <row r="293" spans="1:84" s="222" customFormat="1" ht="12.75" customHeight="1" thickBot="1" x14ac:dyDescent="0.25">
      <c r="A293" s="161"/>
      <c r="B293" s="30"/>
      <c r="C293" s="30"/>
      <c r="D293" s="30"/>
      <c r="E293" s="85" t="s">
        <v>757</v>
      </c>
      <c r="F293" s="30"/>
      <c r="G293" s="162"/>
      <c r="H293" s="688"/>
      <c r="I293" s="552">
        <f t="shared" ref="I293:AZ293" si="1104">I13+I17+I22+I27+I31+I35+I39+I43+I45+I52+I58+I65+I71+I77+I84+I90+I96+I107+I109+I113+I120+I124+I130+I137+I144+I146+I150+I157+I164+I171+I178+I182+I188+I195+I199+I205+I214+I216+I220+I227+I234+I238+I245+I248+I255+I262+I269+I276+I283+I290+I292</f>
        <v>957145975</v>
      </c>
      <c r="J293" s="552">
        <f t="shared" si="1104"/>
        <v>703752738</v>
      </c>
      <c r="K293" s="552">
        <f t="shared" si="1104"/>
        <v>620688368</v>
      </c>
      <c r="L293" s="552">
        <f t="shared" si="1104"/>
        <v>83064370</v>
      </c>
      <c r="M293" s="552">
        <f t="shared" si="1104"/>
        <v>0</v>
      </c>
      <c r="N293" s="552">
        <f t="shared" si="1104"/>
        <v>0</v>
      </c>
      <c r="O293" s="552">
        <f t="shared" si="1104"/>
        <v>0</v>
      </c>
      <c r="P293" s="552">
        <f t="shared" si="1104"/>
        <v>237868423</v>
      </c>
      <c r="Q293" s="552">
        <f t="shared" si="1104"/>
        <v>7037523</v>
      </c>
      <c r="R293" s="552">
        <f t="shared" si="1104"/>
        <v>8487291</v>
      </c>
      <c r="S293" s="605">
        <f t="shared" si="1104"/>
        <v>1228.6273000000001</v>
      </c>
      <c r="T293" s="605">
        <f t="shared" si="1104"/>
        <v>973.42289999999991</v>
      </c>
      <c r="U293" s="605">
        <f t="shared" si="1104"/>
        <v>255.20439999999999</v>
      </c>
      <c r="V293" s="552">
        <f t="shared" si="1104"/>
        <v>-1458035</v>
      </c>
      <c r="W293" s="552">
        <f t="shared" si="1104"/>
        <v>-781248</v>
      </c>
      <c r="X293" s="552">
        <f t="shared" si="1104"/>
        <v>59593898</v>
      </c>
      <c r="Y293" s="552">
        <f t="shared" si="1104"/>
        <v>0</v>
      </c>
      <c r="Z293" s="552">
        <f t="shared" si="1104"/>
        <v>0</v>
      </c>
      <c r="AA293" s="552">
        <f t="shared" si="1104"/>
        <v>983732</v>
      </c>
      <c r="AB293" s="771">
        <f t="shared" si="1104"/>
        <v>1410000</v>
      </c>
      <c r="AC293" s="552">
        <f t="shared" si="1104"/>
        <v>0</v>
      </c>
      <c r="AD293" s="552">
        <f t="shared" si="1104"/>
        <v>-283448</v>
      </c>
      <c r="AE293" s="552">
        <f t="shared" si="1104"/>
        <v>231213</v>
      </c>
      <c r="AF293" s="552">
        <f t="shared" si="1104"/>
        <v>60246147</v>
      </c>
      <c r="AG293" s="552">
        <f t="shared" si="1104"/>
        <v>-550035</v>
      </c>
      <c r="AH293" s="552">
        <f t="shared" si="1104"/>
        <v>59696112</v>
      </c>
      <c r="AI293" s="552">
        <f t="shared" si="1104"/>
        <v>1458035</v>
      </c>
      <c r="AJ293" s="552">
        <f t="shared" si="1104"/>
        <v>781248</v>
      </c>
      <c r="AK293" s="771">
        <f t="shared" ref="AK293" si="1105">AK13+AK17+AK22+AK27+AK31+AK35+AK39+AK43+AK45+AK52+AK58+AK65+AK71+AK77+AK84+AK90+AK96+AK107+AK109+AK113+AK120+AK124+AK130+AK137+AK144+AK146+AK150+AK157+AK164+AK171+AK178+AK182+AK188+AK195+AK199+AK205+AK214+AK216+AK220+AK227+AK234+AK238+AK245+AK248+AK255+AK262+AK269+AK276+AK283+AK290+AK292</f>
        <v>112800</v>
      </c>
      <c r="AL293" s="552">
        <f t="shared" si="1104"/>
        <v>317760</v>
      </c>
      <c r="AM293" s="552">
        <f t="shared" si="1104"/>
        <v>0</v>
      </c>
      <c r="AN293" s="552">
        <f t="shared" si="1104"/>
        <v>0</v>
      </c>
      <c r="AO293" s="552">
        <f t="shared" si="1104"/>
        <v>1888595</v>
      </c>
      <c r="AP293" s="552">
        <f t="shared" si="1104"/>
        <v>781248</v>
      </c>
      <c r="AQ293" s="552">
        <f t="shared" si="1104"/>
        <v>2669843</v>
      </c>
      <c r="AR293" s="552">
        <f t="shared" si="1104"/>
        <v>62134742</v>
      </c>
      <c r="AS293" s="552">
        <f t="shared" si="1104"/>
        <v>231213</v>
      </c>
      <c r="AT293" s="552">
        <f t="shared" si="1104"/>
        <v>62365955</v>
      </c>
      <c r="AU293" s="552">
        <f t="shared" si="1104"/>
        <v>21079696</v>
      </c>
      <c r="AV293" s="552">
        <f t="shared" si="1104"/>
        <v>596961</v>
      </c>
      <c r="AW293" s="552">
        <f t="shared" si="1104"/>
        <v>83700</v>
      </c>
      <c r="AX293" s="552">
        <f t="shared" si="1104"/>
        <v>0</v>
      </c>
      <c r="AY293" s="552">
        <f t="shared" si="1104"/>
        <v>83700</v>
      </c>
      <c r="AZ293" s="552">
        <f t="shared" si="1104"/>
        <v>84126312</v>
      </c>
      <c r="BA293" s="605">
        <f t="shared" ref="BA293:BW293" si="1106">BA13+BA17+BA22+BA27+BA31+BA35+BA39+BA43+BA45+BA52+BA58+BA65+BA71+BA77+BA84+BA90+BA96+BA107+BA109+BA113+BA120+BA124+BA130+BA137+BA144+BA146+BA150+BA157+BA164+BA171+BA178+BA182+BA188+BA195+BA199+BA205+BA214++BA216+BA220+BA227+BA234+BA238+BA245+BA248+BA255+BA262+BA269+BA276+BA283+BA290+BA292</f>
        <v>-2.3199999999999998</v>
      </c>
      <c r="BB293" s="605">
        <f t="shared" si="1106"/>
        <v>-2.48</v>
      </c>
      <c r="BC293" s="605">
        <f t="shared" si="1106"/>
        <v>162.01999999999995</v>
      </c>
      <c r="BD293" s="605">
        <f t="shared" si="1106"/>
        <v>2.5</v>
      </c>
      <c r="BE293" s="605">
        <f t="shared" si="1106"/>
        <v>0</v>
      </c>
      <c r="BF293" s="605">
        <f t="shared" si="1106"/>
        <v>0</v>
      </c>
      <c r="BG293" s="605">
        <f t="shared" si="1106"/>
        <v>0</v>
      </c>
      <c r="BH293" s="605">
        <f t="shared" si="1106"/>
        <v>1.4100000000000004</v>
      </c>
      <c r="BI293" s="605">
        <f t="shared" si="1106"/>
        <v>-0.41000000000000003</v>
      </c>
      <c r="BJ293" s="605">
        <f t="shared" si="1106"/>
        <v>0.69</v>
      </c>
      <c r="BK293" s="605">
        <f t="shared" si="1106"/>
        <v>163.19999999999999</v>
      </c>
      <c r="BL293" s="605">
        <f t="shared" si="1106"/>
        <v>-1.7900000000000005</v>
      </c>
      <c r="BM293" s="605">
        <f t="shared" si="1106"/>
        <v>161.41</v>
      </c>
      <c r="BN293" s="624">
        <f t="shared" si="1106"/>
        <v>1041272287</v>
      </c>
      <c r="BO293" s="552">
        <f t="shared" si="1106"/>
        <v>763448850</v>
      </c>
      <c r="BP293" s="552">
        <f t="shared" si="1106"/>
        <v>680934515</v>
      </c>
      <c r="BQ293" s="552">
        <f t="shared" si="1106"/>
        <v>82514335</v>
      </c>
      <c r="BR293" s="552">
        <f t="shared" si="1106"/>
        <v>2669843</v>
      </c>
      <c r="BS293" s="552">
        <f t="shared" si="1106"/>
        <v>1888595</v>
      </c>
      <c r="BT293" s="552">
        <f t="shared" si="1106"/>
        <v>781248</v>
      </c>
      <c r="BU293" s="552">
        <f t="shared" si="1106"/>
        <v>258948119</v>
      </c>
      <c r="BV293" s="552">
        <f t="shared" si="1106"/>
        <v>7634484</v>
      </c>
      <c r="BW293" s="552">
        <f t="shared" si="1106"/>
        <v>8570991</v>
      </c>
      <c r="BX293" s="605">
        <f>BX13+BX17+BX22+BX27+BX31+BX35+BX39+BX43+BX45+BX52+BX58+BX65+BX71+BX77+BX84+BX90+BX96+BX107+BX109+BX113+BX120+BX124+BX130+BX137+BX144+BX146+BX150+BX157+BX164+BX171+BX178+BX182+BX188+BX195+BX199+BX205+BX214+BX216+BX220+BX227+BX234+BX238+BX245+BX248+BX255+BX262+BX269+BX276+BX283+BX290+BX292</f>
        <v>1390.0373000000002</v>
      </c>
      <c r="BY293" s="605">
        <f>BY13+BY17+BY22+BY27+BY31+BY35+BY39+BY43+BY45+BY52+BY58+BY65+BY71+BY77+BY84+BY90+BY96+BY107+BY109+BY113+BY120+BY124+BY130+BY137+BY144+BY146+BY150+BY157+BY164+BY171+BY178+BY182+BY188+BY195+BY199+BY205+BY214+BY216+BY220+BY227+BY234+BY238+BY245+BY248+BY255+BY262+BY269+BY276+BY283+BY290+BY292</f>
        <v>1136.6228999999998</v>
      </c>
      <c r="BZ293" s="864">
        <f>BZ13+BZ17+BZ22+BZ27+BZ31+BZ35+BZ39+BZ43+BZ45+BZ52+BZ58+BZ65+BZ71+BZ77+BZ84+BZ90+BZ96+BZ107+BZ109+BZ113+BZ120+BZ124+BZ130+BZ137+BZ144+BZ146+BZ150+BZ157+BZ164+BZ171+BZ178+BZ182+BZ188+BZ195+BZ199+BZ205+BZ214+BZ216+BZ220+BZ227+BZ234+BZ238+BZ245+BZ248+BZ255+BZ262+BZ269+BZ276+BZ283+BZ290+BZ292</f>
        <v>253.4144</v>
      </c>
      <c r="CA293" s="868">
        <f t="shared" ref="CA293:CF293" si="1107">CA13+CA17+CA22+CA27+CA31+CA35+CA39+CA43+CA45+CA52+CA58+CA65+CA71+CA77+CA84+CA90+CA96+CA107+CA109+CA113+CA120+CA124+CA130+CA137+CA144+CA146+CA150+CA157+CA164+CA171+CA178+CA182+CA188+CA195+CA199+CA205+CA214+CA216+CA220+CA227+CA234+CA238+CA245+CA248+CA255+CA262+CA269+CA276+CA283+CA290+CA292</f>
        <v>2051606</v>
      </c>
      <c r="CB293" s="869">
        <f t="shared" si="1107"/>
        <v>1410000</v>
      </c>
      <c r="CC293" s="869">
        <f t="shared" si="1107"/>
        <v>112800</v>
      </c>
      <c r="CD293" s="869">
        <f t="shared" si="1107"/>
        <v>514706</v>
      </c>
      <c r="CE293" s="869">
        <f t="shared" si="1107"/>
        <v>14100</v>
      </c>
      <c r="CF293" s="870">
        <f t="shared" si="1107"/>
        <v>2.5</v>
      </c>
    </row>
    <row r="294" spans="1:84" s="222" customFormat="1" x14ac:dyDescent="0.2">
      <c r="D294" s="9"/>
      <c r="E294" s="5"/>
      <c r="F294" s="9"/>
      <c r="G294" s="20"/>
      <c r="H294" s="5"/>
      <c r="I294" s="432">
        <f>J293+M293+P293+Q293+R293</f>
        <v>957145975</v>
      </c>
      <c r="J294" s="432">
        <f>SUM(K293:L293)</f>
        <v>703752738</v>
      </c>
      <c r="K294" s="432"/>
      <c r="L294" s="432"/>
      <c r="M294" s="432">
        <f>SUM(N293:O293)</f>
        <v>0</v>
      </c>
      <c r="N294" s="432"/>
      <c r="O294" s="432"/>
      <c r="P294" s="432"/>
      <c r="Q294" s="432"/>
      <c r="R294" s="432"/>
      <c r="S294" s="433">
        <f>SUM(T293:U293)</f>
        <v>1228.6272999999999</v>
      </c>
      <c r="T294" s="433"/>
      <c r="U294" s="433"/>
      <c r="V294" s="432">
        <f>AI293</f>
        <v>1458035</v>
      </c>
      <c r="W294" s="432">
        <f>AJ293</f>
        <v>781248</v>
      </c>
      <c r="X294" s="433"/>
      <c r="Y294" s="432"/>
      <c r="Z294" s="432"/>
      <c r="AA294" s="433"/>
      <c r="AB294" s="433"/>
      <c r="AC294" s="433"/>
      <c r="AD294" s="433"/>
      <c r="AE294" s="433"/>
      <c r="AF294" s="434"/>
      <c r="AG294" s="434"/>
      <c r="AH294" s="434">
        <f>SUM(AF293:AG293)</f>
        <v>59696112</v>
      </c>
      <c r="AI294" s="434">
        <f>V293</f>
        <v>-1458035</v>
      </c>
      <c r="AJ294" s="434">
        <f>W293</f>
        <v>-781248</v>
      </c>
      <c r="AK294" s="434"/>
      <c r="AL294" s="435"/>
      <c r="AM294" s="435"/>
      <c r="AN294" s="435"/>
      <c r="AO294" s="434"/>
      <c r="AP294" s="434"/>
      <c r="AQ294" s="434">
        <f>SUM(AO293:AP293)</f>
        <v>2669843</v>
      </c>
      <c r="AR294" s="434"/>
      <c r="AS294" s="434"/>
      <c r="AT294" s="434">
        <f>SUM(AR293:AS293)</f>
        <v>62365955</v>
      </c>
      <c r="AU294" s="436"/>
      <c r="AV294" s="436"/>
      <c r="AW294" s="435"/>
      <c r="AX294" s="435"/>
      <c r="AY294" s="434">
        <f>SUM(AW293:AX293)</f>
        <v>83700</v>
      </c>
      <c r="AZ294" s="434">
        <f>AH293+AQ293+AU293+AV293+AY293</f>
        <v>84126312</v>
      </c>
      <c r="BA294" s="437"/>
      <c r="BB294" s="437"/>
      <c r="BC294" s="437"/>
      <c r="BD294" s="437"/>
      <c r="BE294" s="437"/>
      <c r="BF294" s="437"/>
      <c r="BG294" s="437"/>
      <c r="BH294" s="437"/>
      <c r="BI294" s="437"/>
      <c r="BJ294" s="437"/>
      <c r="BK294" s="525">
        <f>BA293+BC293+BD293+BF293+BH293+BI293</f>
        <v>163.19999999999996</v>
      </c>
      <c r="BL294" s="525">
        <f>BB293+BE293+BG293+BJ293</f>
        <v>-1.79</v>
      </c>
      <c r="BM294" s="525">
        <f>SUM(BK293:BL293)</f>
        <v>161.41</v>
      </c>
      <c r="BN294" s="432">
        <f>BO293+BR293+BU293+BV293+BW293</f>
        <v>1041272287</v>
      </c>
      <c r="BO294" s="432">
        <f>SUM(BP293:BQ293)</f>
        <v>763448850</v>
      </c>
      <c r="BP294" s="435">
        <f>K293+AF293</f>
        <v>680934515</v>
      </c>
      <c r="BQ294" s="435">
        <f>L293+AG293</f>
        <v>82514335</v>
      </c>
      <c r="BR294" s="86">
        <f>SUM(BS293:BT293)</f>
        <v>2669843</v>
      </c>
      <c r="BS294" s="435">
        <f>N293+AO293</f>
        <v>1888595</v>
      </c>
      <c r="BT294" s="435">
        <f>O293+AP293</f>
        <v>781248</v>
      </c>
      <c r="BU294" s="435">
        <f>P293+AU293</f>
        <v>258948119</v>
      </c>
      <c r="BV294" s="435">
        <f>Q293+AV293</f>
        <v>7634484</v>
      </c>
      <c r="BW294" s="435">
        <f>R293+AY293</f>
        <v>8570991</v>
      </c>
      <c r="BX294" s="433">
        <f>SUM(BY293:BZ293)</f>
        <v>1390.0373</v>
      </c>
      <c r="BY294" s="437">
        <f>T293+BK293</f>
        <v>1136.6228999999998</v>
      </c>
      <c r="BZ294" s="437">
        <f>U293+BL293</f>
        <v>253.4144</v>
      </c>
      <c r="CA294" s="236">
        <f>SUM(CB293:CE293)</f>
        <v>2051606</v>
      </c>
      <c r="CB294" s="8"/>
      <c r="CC294" s="8"/>
      <c r="CD294" s="8"/>
      <c r="CE294" s="8"/>
      <c r="CF294" s="7"/>
    </row>
    <row r="295" spans="1:84" ht="12.75" customHeight="1" thickBot="1" x14ac:dyDescent="0.25">
      <c r="D295" s="9"/>
      <c r="E295" s="5"/>
      <c r="F295" s="236"/>
      <c r="G295" s="20"/>
      <c r="H295" s="5"/>
      <c r="I295" s="432">
        <f>J296+M296+P296+Q296+R296</f>
        <v>957145975</v>
      </c>
      <c r="J295" s="432">
        <f>SUM(K296:L296)</f>
        <v>703752738</v>
      </c>
      <c r="K295" s="432"/>
      <c r="L295" s="432"/>
      <c r="M295" s="432">
        <f>SUM(N296:O296)</f>
        <v>0</v>
      </c>
      <c r="N295" s="432"/>
      <c r="O295" s="432"/>
      <c r="P295" s="432"/>
      <c r="Q295" s="432"/>
      <c r="R295" s="432"/>
      <c r="S295" s="433">
        <f>SUM(T296:U296)</f>
        <v>1228.6272999999999</v>
      </c>
      <c r="T295" s="433"/>
      <c r="U295" s="433"/>
      <c r="V295" s="432">
        <f>AI296</f>
        <v>1458035</v>
      </c>
      <c r="W295" s="432">
        <f>AJ296</f>
        <v>781248</v>
      </c>
      <c r="X295" s="433"/>
      <c r="Y295" s="432"/>
      <c r="Z295" s="432"/>
      <c r="AA295" s="433"/>
      <c r="AB295" s="433"/>
      <c r="AC295" s="433"/>
      <c r="AD295" s="433"/>
      <c r="AE295" s="433"/>
      <c r="AF295" s="434"/>
      <c r="AG295" s="434"/>
      <c r="AH295" s="434">
        <f>SUM(AF296:AG296)</f>
        <v>59696112</v>
      </c>
      <c r="AI295" s="434"/>
      <c r="AJ295" s="434"/>
      <c r="AK295" s="434"/>
      <c r="AL295" s="435"/>
      <c r="AM295" s="435"/>
      <c r="AN295" s="435"/>
      <c r="AO295" s="434"/>
      <c r="AP295" s="434"/>
      <c r="AQ295" s="434">
        <f>SUM(AO296:AP296)</f>
        <v>2669843</v>
      </c>
      <c r="AR295" s="434"/>
      <c r="AS295" s="434"/>
      <c r="AT295" s="434">
        <f>SUM(AR296:AS296)</f>
        <v>62365955</v>
      </c>
      <c r="AU295" s="436"/>
      <c r="AV295" s="436"/>
      <c r="AW295" s="435"/>
      <c r="AX295" s="435"/>
      <c r="AY295" s="434">
        <f>SUM(AW296:AX296)</f>
        <v>83700</v>
      </c>
      <c r="AZ295" s="434">
        <f>AH296+AQ296+AU296+AV296+AY296</f>
        <v>84126312</v>
      </c>
      <c r="BA295" s="437"/>
      <c r="BB295" s="437"/>
      <c r="BC295" s="437"/>
      <c r="BD295" s="437"/>
      <c r="BE295" s="437"/>
      <c r="BF295" s="437"/>
      <c r="BG295" s="437"/>
      <c r="BH295" s="437"/>
      <c r="BI295" s="437"/>
      <c r="BJ295" s="437"/>
      <c r="BK295" s="525">
        <f>BA296+BC296+BD296+BF296+BH296+BI296</f>
        <v>163.20000000000005</v>
      </c>
      <c r="BL295" s="525">
        <f>BB296+BE296+BG296+BJ296</f>
        <v>-1.7900000000000005</v>
      </c>
      <c r="BM295" s="525">
        <f>SUM(BK296:BL296)</f>
        <v>161.41000000000003</v>
      </c>
      <c r="BN295" s="432">
        <f>BO296+BR296+BU296+BV296+BW296</f>
        <v>1041272287</v>
      </c>
      <c r="BO295" s="432">
        <f>SUM(BP296:BQ296)</f>
        <v>763448850</v>
      </c>
      <c r="BP295" s="53"/>
      <c r="BQ295" s="53"/>
      <c r="BR295" s="86">
        <f>SUM(BS296:BT296)</f>
        <v>2669843</v>
      </c>
      <c r="BS295" s="53"/>
      <c r="BT295" s="53"/>
      <c r="BU295" s="53"/>
      <c r="BV295" s="53"/>
      <c r="BW295" s="53"/>
      <c r="BX295" s="433">
        <f>SUM(BY296:BZ296)</f>
        <v>1390.0373</v>
      </c>
      <c r="BY295" s="87"/>
      <c r="BZ295" s="87"/>
      <c r="CA295" s="236">
        <f>SUM(CB296:CE296)</f>
        <v>2051606</v>
      </c>
    </row>
    <row r="296" spans="1:84" ht="12.75" customHeight="1" thickBot="1" x14ac:dyDescent="0.25">
      <c r="D296" s="9"/>
      <c r="E296" s="5"/>
      <c r="F296" s="9"/>
      <c r="G296" s="20"/>
      <c r="H296" s="446" t="s">
        <v>0</v>
      </c>
      <c r="I296" s="139">
        <f t="shared" ref="I296:BU296" si="1108">SUM(I297:I306)</f>
        <v>957145975</v>
      </c>
      <c r="J296" s="34">
        <f t="shared" si="1108"/>
        <v>703752738</v>
      </c>
      <c r="K296" s="34">
        <f t="shared" si="1108"/>
        <v>620688368</v>
      </c>
      <c r="L296" s="34">
        <f t="shared" si="1108"/>
        <v>83064370</v>
      </c>
      <c r="M296" s="34">
        <f t="shared" si="1108"/>
        <v>0</v>
      </c>
      <c r="N296" s="34">
        <f t="shared" si="1108"/>
        <v>0</v>
      </c>
      <c r="O296" s="34">
        <f t="shared" si="1108"/>
        <v>0</v>
      </c>
      <c r="P296" s="34">
        <f t="shared" si="1108"/>
        <v>237868423</v>
      </c>
      <c r="Q296" s="34">
        <f t="shared" si="1108"/>
        <v>7037523</v>
      </c>
      <c r="R296" s="34">
        <f t="shared" si="1108"/>
        <v>8487291</v>
      </c>
      <c r="S296" s="35">
        <f t="shared" si="1108"/>
        <v>1228.6272999999997</v>
      </c>
      <c r="T296" s="35">
        <f t="shared" si="1108"/>
        <v>973.42289999999991</v>
      </c>
      <c r="U296" s="36">
        <f t="shared" si="1108"/>
        <v>255.20440000000002</v>
      </c>
      <c r="V296" s="149">
        <f t="shared" si="1108"/>
        <v>-1458035</v>
      </c>
      <c r="W296" s="34">
        <f t="shared" si="1108"/>
        <v>-781248</v>
      </c>
      <c r="X296" s="34">
        <f t="shared" si="1108"/>
        <v>59593898</v>
      </c>
      <c r="Y296" s="34">
        <f t="shared" si="1108"/>
        <v>0</v>
      </c>
      <c r="Z296" s="34">
        <f t="shared" si="1108"/>
        <v>0</v>
      </c>
      <c r="AA296" s="34">
        <f t="shared" si="1108"/>
        <v>983732</v>
      </c>
      <c r="AB296" s="768">
        <f t="shared" si="1108"/>
        <v>1410000</v>
      </c>
      <c r="AC296" s="34">
        <f t="shared" si="1108"/>
        <v>0</v>
      </c>
      <c r="AD296" s="34">
        <f t="shared" si="1108"/>
        <v>-283448</v>
      </c>
      <c r="AE296" s="34">
        <f t="shared" si="1108"/>
        <v>231213</v>
      </c>
      <c r="AF296" s="34">
        <f t="shared" si="1108"/>
        <v>60246147</v>
      </c>
      <c r="AG296" s="34">
        <f t="shared" si="1108"/>
        <v>-550035</v>
      </c>
      <c r="AH296" s="34">
        <f t="shared" si="1108"/>
        <v>59696112</v>
      </c>
      <c r="AI296" s="34">
        <f t="shared" si="1108"/>
        <v>1458035</v>
      </c>
      <c r="AJ296" s="34">
        <f t="shared" si="1108"/>
        <v>781248</v>
      </c>
      <c r="AK296" s="768">
        <f t="shared" ref="AK296" si="1109">SUM(AK297:AK306)</f>
        <v>112800</v>
      </c>
      <c r="AL296" s="34">
        <f t="shared" si="1108"/>
        <v>317760</v>
      </c>
      <c r="AM296" s="34">
        <f t="shared" si="1108"/>
        <v>0</v>
      </c>
      <c r="AN296" s="34">
        <f t="shared" si="1108"/>
        <v>0</v>
      </c>
      <c r="AO296" s="34">
        <f t="shared" si="1108"/>
        <v>1888595</v>
      </c>
      <c r="AP296" s="34">
        <f t="shared" si="1108"/>
        <v>781248</v>
      </c>
      <c r="AQ296" s="34">
        <f t="shared" si="1108"/>
        <v>2669843</v>
      </c>
      <c r="AR296" s="34">
        <f t="shared" si="1108"/>
        <v>62134742</v>
      </c>
      <c r="AS296" s="34">
        <f t="shared" si="1108"/>
        <v>231213</v>
      </c>
      <c r="AT296" s="34">
        <f t="shared" si="1108"/>
        <v>62365955</v>
      </c>
      <c r="AU296" s="34">
        <f t="shared" si="1108"/>
        <v>21079696</v>
      </c>
      <c r="AV296" s="34">
        <f t="shared" si="1108"/>
        <v>596961</v>
      </c>
      <c r="AW296" s="34">
        <f t="shared" si="1108"/>
        <v>83700</v>
      </c>
      <c r="AX296" s="34">
        <f t="shared" si="1108"/>
        <v>0</v>
      </c>
      <c r="AY296" s="34">
        <f t="shared" si="1108"/>
        <v>83700</v>
      </c>
      <c r="AZ296" s="34">
        <f t="shared" si="1108"/>
        <v>84126312</v>
      </c>
      <c r="BA296" s="35">
        <f t="shared" si="1108"/>
        <v>-2.3200000000000003</v>
      </c>
      <c r="BB296" s="35">
        <f t="shared" si="1108"/>
        <v>-2.4800000000000004</v>
      </c>
      <c r="BC296" s="35">
        <f t="shared" si="1108"/>
        <v>162.02000000000004</v>
      </c>
      <c r="BD296" s="35">
        <f t="shared" si="1108"/>
        <v>2.5</v>
      </c>
      <c r="BE296" s="35">
        <f t="shared" si="1108"/>
        <v>0</v>
      </c>
      <c r="BF296" s="35">
        <f t="shared" si="1108"/>
        <v>0</v>
      </c>
      <c r="BG296" s="35">
        <f t="shared" si="1108"/>
        <v>0</v>
      </c>
      <c r="BH296" s="35">
        <f t="shared" si="1108"/>
        <v>1.4100000000000004</v>
      </c>
      <c r="BI296" s="35">
        <f t="shared" si="1108"/>
        <v>-0.41000000000000003</v>
      </c>
      <c r="BJ296" s="35">
        <f t="shared" si="1108"/>
        <v>0.69</v>
      </c>
      <c r="BK296" s="35">
        <f t="shared" si="1108"/>
        <v>163.20000000000002</v>
      </c>
      <c r="BL296" s="35">
        <f t="shared" si="1108"/>
        <v>-1.7900000000000005</v>
      </c>
      <c r="BM296" s="148">
        <f t="shared" si="1108"/>
        <v>161.41000000000003</v>
      </c>
      <c r="BN296" s="139">
        <f t="shared" si="1108"/>
        <v>1041272287</v>
      </c>
      <c r="BO296" s="34">
        <f t="shared" si="1108"/>
        <v>763448850</v>
      </c>
      <c r="BP296" s="34">
        <f t="shared" si="1108"/>
        <v>680934515</v>
      </c>
      <c r="BQ296" s="34">
        <f t="shared" si="1108"/>
        <v>82514335</v>
      </c>
      <c r="BR296" s="34">
        <f t="shared" si="1108"/>
        <v>2669843</v>
      </c>
      <c r="BS296" s="34">
        <f t="shared" si="1108"/>
        <v>1888595</v>
      </c>
      <c r="BT296" s="34">
        <f t="shared" si="1108"/>
        <v>781248</v>
      </c>
      <c r="BU296" s="34">
        <f t="shared" si="1108"/>
        <v>258948119</v>
      </c>
      <c r="BV296" s="34">
        <f t="shared" ref="BV296:BZ296" si="1110">SUM(BV297:BV306)</f>
        <v>7634484</v>
      </c>
      <c r="BW296" s="34">
        <f t="shared" si="1110"/>
        <v>8570991</v>
      </c>
      <c r="BX296" s="35">
        <f t="shared" si="1110"/>
        <v>1390.0372999999997</v>
      </c>
      <c r="BY296" s="35">
        <f t="shared" si="1110"/>
        <v>1136.6228999999998</v>
      </c>
      <c r="BZ296" s="148">
        <f t="shared" si="1110"/>
        <v>253.41440000000003</v>
      </c>
      <c r="CA296" s="779">
        <f t="shared" ref="CA296:CF296" si="1111">SUM(CA297:CA306)</f>
        <v>2051606</v>
      </c>
      <c r="CB296" s="768">
        <f t="shared" si="1111"/>
        <v>1410000</v>
      </c>
      <c r="CC296" s="768">
        <f t="shared" si="1111"/>
        <v>112800</v>
      </c>
      <c r="CD296" s="768">
        <f t="shared" si="1111"/>
        <v>514706</v>
      </c>
      <c r="CE296" s="768">
        <f t="shared" si="1111"/>
        <v>14100</v>
      </c>
      <c r="CF296" s="781">
        <f t="shared" si="1111"/>
        <v>2.5</v>
      </c>
    </row>
    <row r="297" spans="1:84" x14ac:dyDescent="0.2">
      <c r="D297" s="9"/>
      <c r="E297" s="5"/>
      <c r="F297" s="9"/>
      <c r="G297" s="20"/>
      <c r="H297" s="447">
        <v>3111</v>
      </c>
      <c r="I297" s="503">
        <f t="shared" ref="I297:BU297" si="1112">SUMIF($F$12:$F$451,"=3111",I$12:I$451)</f>
        <v>201553733</v>
      </c>
      <c r="J297" s="504">
        <f t="shared" si="1112"/>
        <v>149020482</v>
      </c>
      <c r="K297" s="504">
        <f t="shared" si="1112"/>
        <v>137996334</v>
      </c>
      <c r="L297" s="504">
        <f t="shared" si="1112"/>
        <v>11024148</v>
      </c>
      <c r="M297" s="504">
        <f t="shared" si="1112"/>
        <v>0</v>
      </c>
      <c r="N297" s="504">
        <f t="shared" si="1112"/>
        <v>0</v>
      </c>
      <c r="O297" s="504">
        <f t="shared" si="1112"/>
        <v>0</v>
      </c>
      <c r="P297" s="504">
        <f t="shared" si="1112"/>
        <v>50368924</v>
      </c>
      <c r="Q297" s="504">
        <f t="shared" si="1112"/>
        <v>1490203</v>
      </c>
      <c r="R297" s="504">
        <f t="shared" si="1112"/>
        <v>674124</v>
      </c>
      <c r="S297" s="507">
        <f t="shared" si="1112"/>
        <v>279.2</v>
      </c>
      <c r="T297" s="507">
        <f t="shared" si="1112"/>
        <v>239.55760000000004</v>
      </c>
      <c r="U297" s="510">
        <f t="shared" si="1112"/>
        <v>39.642399999999995</v>
      </c>
      <c r="V297" s="505">
        <f t="shared" si="1112"/>
        <v>-139264</v>
      </c>
      <c r="W297" s="504">
        <f t="shared" si="1112"/>
        <v>-213120</v>
      </c>
      <c r="X297" s="504">
        <f t="shared" si="1112"/>
        <v>10495775</v>
      </c>
      <c r="Y297" s="504">
        <f t="shared" si="1112"/>
        <v>0</v>
      </c>
      <c r="Z297" s="504">
        <f t="shared" si="1112"/>
        <v>0</v>
      </c>
      <c r="AA297" s="504">
        <f t="shared" si="1112"/>
        <v>0</v>
      </c>
      <c r="AB297" s="504">
        <f t="shared" si="1112"/>
        <v>0</v>
      </c>
      <c r="AC297" s="504">
        <f t="shared" si="1112"/>
        <v>0</v>
      </c>
      <c r="AD297" s="504">
        <f t="shared" si="1112"/>
        <v>0</v>
      </c>
      <c r="AE297" s="504">
        <f t="shared" si="1112"/>
        <v>0</v>
      </c>
      <c r="AF297" s="504">
        <f t="shared" si="1112"/>
        <v>10356511</v>
      </c>
      <c r="AG297" s="504">
        <f t="shared" si="1112"/>
        <v>-213120</v>
      </c>
      <c r="AH297" s="504">
        <f t="shared" si="1112"/>
        <v>10143391</v>
      </c>
      <c r="AI297" s="504">
        <f t="shared" si="1112"/>
        <v>139264</v>
      </c>
      <c r="AJ297" s="504">
        <f t="shared" si="1112"/>
        <v>213120</v>
      </c>
      <c r="AK297" s="504">
        <f t="shared" si="1112"/>
        <v>0</v>
      </c>
      <c r="AL297" s="504">
        <f t="shared" si="1112"/>
        <v>0</v>
      </c>
      <c r="AM297" s="504">
        <f t="shared" si="1112"/>
        <v>0</v>
      </c>
      <c r="AN297" s="504">
        <f t="shared" si="1112"/>
        <v>0</v>
      </c>
      <c r="AO297" s="504">
        <f t="shared" si="1112"/>
        <v>139264</v>
      </c>
      <c r="AP297" s="504">
        <f t="shared" si="1112"/>
        <v>213120</v>
      </c>
      <c r="AQ297" s="504">
        <f t="shared" si="1112"/>
        <v>352384</v>
      </c>
      <c r="AR297" s="504">
        <f t="shared" si="1112"/>
        <v>10495775</v>
      </c>
      <c r="AS297" s="504">
        <f t="shared" si="1112"/>
        <v>0</v>
      </c>
      <c r="AT297" s="504">
        <f t="shared" si="1112"/>
        <v>10495775</v>
      </c>
      <c r="AU297" s="504">
        <f t="shared" si="1112"/>
        <v>3547572</v>
      </c>
      <c r="AV297" s="504">
        <f t="shared" si="1112"/>
        <v>101434</v>
      </c>
      <c r="AW297" s="504">
        <f t="shared" si="1112"/>
        <v>4000</v>
      </c>
      <c r="AX297" s="504">
        <f t="shared" si="1112"/>
        <v>0</v>
      </c>
      <c r="AY297" s="504">
        <f t="shared" si="1112"/>
        <v>4000</v>
      </c>
      <c r="AZ297" s="504">
        <f t="shared" si="1112"/>
        <v>14148781</v>
      </c>
      <c r="BA297" s="507">
        <f t="shared" si="1112"/>
        <v>-0.18</v>
      </c>
      <c r="BB297" s="507">
        <f t="shared" si="1112"/>
        <v>-0.77</v>
      </c>
      <c r="BC297" s="507">
        <f t="shared" si="1112"/>
        <v>28.69</v>
      </c>
      <c r="BD297" s="507">
        <f t="shared" si="1112"/>
        <v>0</v>
      </c>
      <c r="BE297" s="507">
        <f t="shared" si="1112"/>
        <v>0</v>
      </c>
      <c r="BF297" s="507">
        <f t="shared" si="1112"/>
        <v>0</v>
      </c>
      <c r="BG297" s="507">
        <f t="shared" si="1112"/>
        <v>0</v>
      </c>
      <c r="BH297" s="507">
        <f t="shared" si="1112"/>
        <v>0</v>
      </c>
      <c r="BI297" s="507">
        <f t="shared" si="1112"/>
        <v>0</v>
      </c>
      <c r="BJ297" s="507">
        <f t="shared" si="1112"/>
        <v>0</v>
      </c>
      <c r="BK297" s="507">
        <f t="shared" si="1112"/>
        <v>28.51</v>
      </c>
      <c r="BL297" s="507">
        <f t="shared" si="1112"/>
        <v>-0.77</v>
      </c>
      <c r="BM297" s="508">
        <f t="shared" si="1112"/>
        <v>27.740000000000002</v>
      </c>
      <c r="BN297" s="503">
        <f t="shared" si="1112"/>
        <v>215702514</v>
      </c>
      <c r="BO297" s="504">
        <f t="shared" si="1112"/>
        <v>159163873</v>
      </c>
      <c r="BP297" s="504">
        <f t="shared" si="1112"/>
        <v>148352845</v>
      </c>
      <c r="BQ297" s="504">
        <f t="shared" si="1112"/>
        <v>10811028</v>
      </c>
      <c r="BR297" s="504">
        <f t="shared" si="1112"/>
        <v>352384</v>
      </c>
      <c r="BS297" s="504">
        <f t="shared" si="1112"/>
        <v>139264</v>
      </c>
      <c r="BT297" s="504">
        <f t="shared" si="1112"/>
        <v>213120</v>
      </c>
      <c r="BU297" s="504">
        <f t="shared" si="1112"/>
        <v>53916496</v>
      </c>
      <c r="BV297" s="504">
        <f t="shared" ref="BV297:CF297" si="1113">SUMIF($F$12:$F$451,"=3111",BV$12:BV$451)</f>
        <v>1591637</v>
      </c>
      <c r="BW297" s="504">
        <f t="shared" si="1113"/>
        <v>678124</v>
      </c>
      <c r="BX297" s="507">
        <f t="shared" si="1113"/>
        <v>306.93999999999994</v>
      </c>
      <c r="BY297" s="507">
        <f t="shared" si="1113"/>
        <v>268.06759999999997</v>
      </c>
      <c r="BZ297" s="508">
        <f t="shared" si="1113"/>
        <v>38.872399999999999</v>
      </c>
      <c r="CA297" s="503">
        <f t="shared" si="1113"/>
        <v>0</v>
      </c>
      <c r="CB297" s="504">
        <f t="shared" si="1113"/>
        <v>0</v>
      </c>
      <c r="CC297" s="504">
        <f t="shared" si="1113"/>
        <v>0</v>
      </c>
      <c r="CD297" s="504">
        <f t="shared" si="1113"/>
        <v>0</v>
      </c>
      <c r="CE297" s="504">
        <f t="shared" si="1113"/>
        <v>0</v>
      </c>
      <c r="CF297" s="510">
        <f t="shared" si="1113"/>
        <v>0</v>
      </c>
    </row>
    <row r="298" spans="1:84" x14ac:dyDescent="0.2">
      <c r="D298" s="9"/>
      <c r="E298" s="5"/>
      <c r="F298" s="9"/>
      <c r="G298" s="20"/>
      <c r="H298" s="2">
        <v>3113</v>
      </c>
      <c r="I298" s="167">
        <f t="shared" ref="I298:BU298" si="1114">SUMIF($F$12:$F$451,"=3113",I$12:I$451)</f>
        <v>481404100</v>
      </c>
      <c r="J298" s="16">
        <f t="shared" si="1114"/>
        <v>352290935</v>
      </c>
      <c r="K298" s="16">
        <f t="shared" si="1114"/>
        <v>326548314</v>
      </c>
      <c r="L298" s="16">
        <f t="shared" si="1114"/>
        <v>25742621</v>
      </c>
      <c r="M298" s="16">
        <f t="shared" si="1114"/>
        <v>0</v>
      </c>
      <c r="N298" s="16">
        <f t="shared" si="1114"/>
        <v>0</v>
      </c>
      <c r="O298" s="16">
        <f t="shared" si="1114"/>
        <v>0</v>
      </c>
      <c r="P298" s="16">
        <f t="shared" si="1114"/>
        <v>119074334</v>
      </c>
      <c r="Q298" s="16">
        <f t="shared" si="1114"/>
        <v>3522908</v>
      </c>
      <c r="R298" s="16">
        <f t="shared" si="1114"/>
        <v>6515923</v>
      </c>
      <c r="S298" s="13">
        <f t="shared" si="1114"/>
        <v>543.98709999999994</v>
      </c>
      <c r="T298" s="13">
        <f t="shared" si="1114"/>
        <v>466.90960000000001</v>
      </c>
      <c r="U298" s="17">
        <f t="shared" si="1114"/>
        <v>77.077500000000001</v>
      </c>
      <c r="V298" s="168">
        <f t="shared" si="1114"/>
        <v>-551731</v>
      </c>
      <c r="W298" s="16">
        <f t="shared" si="1114"/>
        <v>-275840</v>
      </c>
      <c r="X298" s="16">
        <f t="shared" si="1114"/>
        <v>40486541</v>
      </c>
      <c r="Y298" s="16">
        <f t="shared" si="1114"/>
        <v>0</v>
      </c>
      <c r="Z298" s="16">
        <f t="shared" si="1114"/>
        <v>0</v>
      </c>
      <c r="AA298" s="16">
        <f t="shared" si="1114"/>
        <v>983732</v>
      </c>
      <c r="AB298" s="16">
        <f t="shared" si="1114"/>
        <v>1410000</v>
      </c>
      <c r="AC298" s="16">
        <f t="shared" si="1114"/>
        <v>0</v>
      </c>
      <c r="AD298" s="16">
        <f t="shared" si="1114"/>
        <v>-314886</v>
      </c>
      <c r="AE298" s="16">
        <f t="shared" si="1114"/>
        <v>0</v>
      </c>
      <c r="AF298" s="16">
        <f t="shared" si="1114"/>
        <v>42013656</v>
      </c>
      <c r="AG298" s="16">
        <f t="shared" si="1114"/>
        <v>-275840</v>
      </c>
      <c r="AH298" s="16">
        <f t="shared" si="1114"/>
        <v>41737816</v>
      </c>
      <c r="AI298" s="16">
        <f t="shared" si="1114"/>
        <v>551731</v>
      </c>
      <c r="AJ298" s="16">
        <f t="shared" si="1114"/>
        <v>275840</v>
      </c>
      <c r="AK298" s="16">
        <f t="shared" si="1114"/>
        <v>112800</v>
      </c>
      <c r="AL298" s="16">
        <f t="shared" si="1114"/>
        <v>105920</v>
      </c>
      <c r="AM298" s="16">
        <f t="shared" si="1114"/>
        <v>0</v>
      </c>
      <c r="AN298" s="16">
        <f t="shared" si="1114"/>
        <v>0</v>
      </c>
      <c r="AO298" s="16">
        <f t="shared" si="1114"/>
        <v>770451</v>
      </c>
      <c r="AP298" s="16">
        <f t="shared" si="1114"/>
        <v>275840</v>
      </c>
      <c r="AQ298" s="16">
        <f t="shared" si="1114"/>
        <v>1046291</v>
      </c>
      <c r="AR298" s="16">
        <f t="shared" si="1114"/>
        <v>42784107</v>
      </c>
      <c r="AS298" s="16">
        <f t="shared" si="1114"/>
        <v>0</v>
      </c>
      <c r="AT298" s="16">
        <f t="shared" si="1114"/>
        <v>42784107</v>
      </c>
      <c r="AU298" s="16">
        <f t="shared" si="1114"/>
        <v>14461030</v>
      </c>
      <c r="AV298" s="16">
        <f t="shared" si="1114"/>
        <v>417377</v>
      </c>
      <c r="AW298" s="16">
        <f t="shared" si="1114"/>
        <v>76700</v>
      </c>
      <c r="AX298" s="16">
        <f t="shared" si="1114"/>
        <v>0</v>
      </c>
      <c r="AY298" s="16">
        <f t="shared" si="1114"/>
        <v>76700</v>
      </c>
      <c r="AZ298" s="16">
        <f t="shared" si="1114"/>
        <v>57739214</v>
      </c>
      <c r="BA298" s="13">
        <f t="shared" si="1114"/>
        <v>-0.8600000000000001</v>
      </c>
      <c r="BB298" s="13">
        <f t="shared" si="1114"/>
        <v>-0.93000000000000016</v>
      </c>
      <c r="BC298" s="13">
        <f t="shared" si="1114"/>
        <v>109.78000000000002</v>
      </c>
      <c r="BD298" s="13">
        <f t="shared" si="1114"/>
        <v>2.5</v>
      </c>
      <c r="BE298" s="13">
        <f t="shared" si="1114"/>
        <v>0</v>
      </c>
      <c r="BF298" s="13">
        <f t="shared" si="1114"/>
        <v>0</v>
      </c>
      <c r="BG298" s="13">
        <f t="shared" si="1114"/>
        <v>0</v>
      </c>
      <c r="BH298" s="13">
        <f t="shared" si="1114"/>
        <v>1.4100000000000004</v>
      </c>
      <c r="BI298" s="13">
        <f t="shared" si="1114"/>
        <v>-0.46</v>
      </c>
      <c r="BJ298" s="13">
        <f t="shared" si="1114"/>
        <v>0</v>
      </c>
      <c r="BK298" s="13">
        <f t="shared" si="1114"/>
        <v>112.37000000000002</v>
      </c>
      <c r="BL298" s="13">
        <f t="shared" si="1114"/>
        <v>-0.93000000000000016</v>
      </c>
      <c r="BM298" s="169">
        <f t="shared" si="1114"/>
        <v>111.44000000000004</v>
      </c>
      <c r="BN298" s="167">
        <f t="shared" si="1114"/>
        <v>539143314</v>
      </c>
      <c r="BO298" s="16">
        <f t="shared" si="1114"/>
        <v>394028751</v>
      </c>
      <c r="BP298" s="16">
        <f t="shared" si="1114"/>
        <v>368561970</v>
      </c>
      <c r="BQ298" s="16">
        <f t="shared" si="1114"/>
        <v>25466781</v>
      </c>
      <c r="BR298" s="16">
        <f t="shared" si="1114"/>
        <v>1046291</v>
      </c>
      <c r="BS298" s="16">
        <f t="shared" si="1114"/>
        <v>770451</v>
      </c>
      <c r="BT298" s="16">
        <f t="shared" si="1114"/>
        <v>275840</v>
      </c>
      <c r="BU298" s="16">
        <f t="shared" si="1114"/>
        <v>133535364</v>
      </c>
      <c r="BV298" s="16">
        <f t="shared" ref="BV298:CF298" si="1115">SUMIF($F$12:$F$451,"=3113",BV$12:BV$451)</f>
        <v>3940285</v>
      </c>
      <c r="BW298" s="16">
        <f t="shared" si="1115"/>
        <v>6592623</v>
      </c>
      <c r="BX298" s="13">
        <f t="shared" si="1115"/>
        <v>655.4271</v>
      </c>
      <c r="BY298" s="13">
        <f t="shared" si="1115"/>
        <v>579.27959999999985</v>
      </c>
      <c r="BZ298" s="169">
        <f t="shared" si="1115"/>
        <v>76.147500000000022</v>
      </c>
      <c r="CA298" s="167">
        <f t="shared" si="1115"/>
        <v>2051606</v>
      </c>
      <c r="CB298" s="16">
        <f t="shared" si="1115"/>
        <v>1410000</v>
      </c>
      <c r="CC298" s="16">
        <f t="shared" si="1115"/>
        <v>112800</v>
      </c>
      <c r="CD298" s="16">
        <f t="shared" si="1115"/>
        <v>514706</v>
      </c>
      <c r="CE298" s="16">
        <f t="shared" si="1115"/>
        <v>14100</v>
      </c>
      <c r="CF298" s="17">
        <f t="shared" si="1115"/>
        <v>2.5</v>
      </c>
    </row>
    <row r="299" spans="1:84" x14ac:dyDescent="0.2">
      <c r="D299" s="9"/>
      <c r="E299" s="5"/>
      <c r="F299" s="9"/>
      <c r="G299" s="20"/>
      <c r="H299" s="2">
        <v>3114</v>
      </c>
      <c r="I299" s="167">
        <f t="shared" ref="I299:BU299" si="1116">SUMIF($F$12:$F$451,"=3114",I$12:I$451)</f>
        <v>50051497</v>
      </c>
      <c r="J299" s="16">
        <f t="shared" si="1116"/>
        <v>36900014</v>
      </c>
      <c r="K299" s="16">
        <f t="shared" si="1116"/>
        <v>34673926</v>
      </c>
      <c r="L299" s="16">
        <f t="shared" si="1116"/>
        <v>2226088</v>
      </c>
      <c r="M299" s="16">
        <f t="shared" si="1116"/>
        <v>0</v>
      </c>
      <c r="N299" s="16">
        <f t="shared" si="1116"/>
        <v>0</v>
      </c>
      <c r="O299" s="16">
        <f t="shared" si="1116"/>
        <v>0</v>
      </c>
      <c r="P299" s="16">
        <f t="shared" si="1116"/>
        <v>12472204</v>
      </c>
      <c r="Q299" s="16">
        <f t="shared" si="1116"/>
        <v>369001</v>
      </c>
      <c r="R299" s="16">
        <f t="shared" si="1116"/>
        <v>310278</v>
      </c>
      <c r="S299" s="13">
        <f t="shared" si="1116"/>
        <v>62.489999999999995</v>
      </c>
      <c r="T299" s="13">
        <f t="shared" si="1116"/>
        <v>55.669899999999998</v>
      </c>
      <c r="U299" s="17">
        <f t="shared" si="1116"/>
        <v>6.8201000000000001</v>
      </c>
      <c r="V299" s="168">
        <f t="shared" si="1116"/>
        <v>0</v>
      </c>
      <c r="W299" s="16">
        <f t="shared" si="1116"/>
        <v>0</v>
      </c>
      <c r="X299" s="16">
        <f t="shared" si="1116"/>
        <v>0</v>
      </c>
      <c r="Y299" s="16">
        <f t="shared" si="1116"/>
        <v>0</v>
      </c>
      <c r="Z299" s="16">
        <f t="shared" si="1116"/>
        <v>0</v>
      </c>
      <c r="AA299" s="16">
        <f t="shared" si="1116"/>
        <v>0</v>
      </c>
      <c r="AB299" s="16">
        <f t="shared" si="1116"/>
        <v>0</v>
      </c>
      <c r="AC299" s="16">
        <f t="shared" si="1116"/>
        <v>0</v>
      </c>
      <c r="AD299" s="16">
        <f t="shared" si="1116"/>
        <v>31438</v>
      </c>
      <c r="AE299" s="16">
        <f t="shared" si="1116"/>
        <v>0</v>
      </c>
      <c r="AF299" s="16">
        <f t="shared" si="1116"/>
        <v>31438</v>
      </c>
      <c r="AG299" s="16">
        <f t="shared" si="1116"/>
        <v>0</v>
      </c>
      <c r="AH299" s="16">
        <f t="shared" si="1116"/>
        <v>31438</v>
      </c>
      <c r="AI299" s="16">
        <f t="shared" si="1116"/>
        <v>0</v>
      </c>
      <c r="AJ299" s="16">
        <f t="shared" si="1116"/>
        <v>0</v>
      </c>
      <c r="AK299" s="16">
        <f t="shared" si="1116"/>
        <v>0</v>
      </c>
      <c r="AL299" s="16">
        <f t="shared" si="1116"/>
        <v>0</v>
      </c>
      <c r="AM299" s="16">
        <f t="shared" si="1116"/>
        <v>0</v>
      </c>
      <c r="AN299" s="16">
        <f t="shared" si="1116"/>
        <v>0</v>
      </c>
      <c r="AO299" s="16">
        <f t="shared" si="1116"/>
        <v>0</v>
      </c>
      <c r="AP299" s="16">
        <f t="shared" si="1116"/>
        <v>0</v>
      </c>
      <c r="AQ299" s="16">
        <f t="shared" si="1116"/>
        <v>0</v>
      </c>
      <c r="AR299" s="16">
        <f t="shared" si="1116"/>
        <v>31438</v>
      </c>
      <c r="AS299" s="16">
        <f t="shared" si="1116"/>
        <v>0</v>
      </c>
      <c r="AT299" s="16">
        <f t="shared" si="1116"/>
        <v>31438</v>
      </c>
      <c r="AU299" s="16">
        <f t="shared" si="1116"/>
        <v>10626</v>
      </c>
      <c r="AV299" s="16">
        <f t="shared" si="1116"/>
        <v>314</v>
      </c>
      <c r="AW299" s="16">
        <f t="shared" si="1116"/>
        <v>0</v>
      </c>
      <c r="AX299" s="16">
        <f t="shared" si="1116"/>
        <v>0</v>
      </c>
      <c r="AY299" s="16">
        <f t="shared" si="1116"/>
        <v>0</v>
      </c>
      <c r="AZ299" s="16">
        <f t="shared" si="1116"/>
        <v>42378</v>
      </c>
      <c r="BA299" s="13">
        <f t="shared" si="1116"/>
        <v>0</v>
      </c>
      <c r="BB299" s="13">
        <f t="shared" si="1116"/>
        <v>0</v>
      </c>
      <c r="BC299" s="13">
        <f t="shared" si="1116"/>
        <v>0</v>
      </c>
      <c r="BD299" s="13">
        <f t="shared" si="1116"/>
        <v>0</v>
      </c>
      <c r="BE299" s="13">
        <f t="shared" si="1116"/>
        <v>0</v>
      </c>
      <c r="BF299" s="13">
        <f t="shared" si="1116"/>
        <v>0</v>
      </c>
      <c r="BG299" s="13">
        <f t="shared" si="1116"/>
        <v>0</v>
      </c>
      <c r="BH299" s="13">
        <f t="shared" si="1116"/>
        <v>0</v>
      </c>
      <c r="BI299" s="13">
        <f t="shared" si="1116"/>
        <v>0.05</v>
      </c>
      <c r="BJ299" s="13">
        <f t="shared" si="1116"/>
        <v>0</v>
      </c>
      <c r="BK299" s="13">
        <f t="shared" si="1116"/>
        <v>0.05</v>
      </c>
      <c r="BL299" s="13">
        <f t="shared" si="1116"/>
        <v>0</v>
      </c>
      <c r="BM299" s="169">
        <f t="shared" si="1116"/>
        <v>0.05</v>
      </c>
      <c r="BN299" s="167">
        <f t="shared" si="1116"/>
        <v>50093875</v>
      </c>
      <c r="BO299" s="16">
        <f t="shared" si="1116"/>
        <v>36931452</v>
      </c>
      <c r="BP299" s="16">
        <f t="shared" si="1116"/>
        <v>34705364</v>
      </c>
      <c r="BQ299" s="16">
        <f t="shared" si="1116"/>
        <v>2226088</v>
      </c>
      <c r="BR299" s="16">
        <f t="shared" si="1116"/>
        <v>0</v>
      </c>
      <c r="BS299" s="16">
        <f t="shared" si="1116"/>
        <v>0</v>
      </c>
      <c r="BT299" s="16">
        <f t="shared" si="1116"/>
        <v>0</v>
      </c>
      <c r="BU299" s="16">
        <f t="shared" si="1116"/>
        <v>12482830</v>
      </c>
      <c r="BV299" s="16">
        <f t="shared" ref="BV299:CF299" si="1117">SUMIF($F$12:$F$451,"=3114",BV$12:BV$451)</f>
        <v>369315</v>
      </c>
      <c r="BW299" s="16">
        <f t="shared" si="1117"/>
        <v>310278</v>
      </c>
      <c r="BX299" s="13">
        <f t="shared" si="1117"/>
        <v>62.539999999999992</v>
      </c>
      <c r="BY299" s="13">
        <f t="shared" si="1117"/>
        <v>55.719899999999996</v>
      </c>
      <c r="BZ299" s="169">
        <f t="shared" si="1117"/>
        <v>6.8201000000000001</v>
      </c>
      <c r="CA299" s="167">
        <f t="shared" si="1117"/>
        <v>0</v>
      </c>
      <c r="CB299" s="16">
        <f t="shared" si="1117"/>
        <v>0</v>
      </c>
      <c r="CC299" s="16">
        <f t="shared" si="1117"/>
        <v>0</v>
      </c>
      <c r="CD299" s="16">
        <f t="shared" si="1117"/>
        <v>0</v>
      </c>
      <c r="CE299" s="16">
        <f t="shared" si="1117"/>
        <v>0</v>
      </c>
      <c r="CF299" s="17">
        <f t="shared" si="1117"/>
        <v>0</v>
      </c>
    </row>
    <row r="300" spans="1:84" x14ac:dyDescent="0.2">
      <c r="D300" s="9"/>
      <c r="E300" s="5"/>
      <c r="F300" s="9"/>
      <c r="G300" s="20"/>
      <c r="H300" s="2">
        <v>3117</v>
      </c>
      <c r="I300" s="167">
        <f t="shared" ref="I300:BU300" si="1118">SUMIF($F$12:$F$451,"=3117",I$12:I$451)</f>
        <v>40529422</v>
      </c>
      <c r="J300" s="16">
        <f t="shared" si="1118"/>
        <v>29652424</v>
      </c>
      <c r="K300" s="16">
        <f t="shared" si="1118"/>
        <v>25673207</v>
      </c>
      <c r="L300" s="16">
        <f t="shared" si="1118"/>
        <v>3979217</v>
      </c>
      <c r="M300" s="16">
        <f t="shared" si="1118"/>
        <v>0</v>
      </c>
      <c r="N300" s="16">
        <f t="shared" si="1118"/>
        <v>0</v>
      </c>
      <c r="O300" s="16">
        <f t="shared" si="1118"/>
        <v>0</v>
      </c>
      <c r="P300" s="16">
        <f t="shared" si="1118"/>
        <v>10022520</v>
      </c>
      <c r="Q300" s="16">
        <f t="shared" si="1118"/>
        <v>296526</v>
      </c>
      <c r="R300" s="16">
        <f t="shared" si="1118"/>
        <v>557952</v>
      </c>
      <c r="S300" s="13">
        <f t="shared" si="1118"/>
        <v>51.384</v>
      </c>
      <c r="T300" s="13">
        <f t="shared" si="1118"/>
        <v>40.578499999999998</v>
      </c>
      <c r="U300" s="17">
        <f t="shared" si="1118"/>
        <v>10.8055</v>
      </c>
      <c r="V300" s="168">
        <f t="shared" si="1118"/>
        <v>-93120</v>
      </c>
      <c r="W300" s="16">
        <f t="shared" si="1118"/>
        <v>-32000</v>
      </c>
      <c r="X300" s="16">
        <f t="shared" si="1118"/>
        <v>8611582</v>
      </c>
      <c r="Y300" s="16">
        <f t="shared" si="1118"/>
        <v>0</v>
      </c>
      <c r="Z300" s="16">
        <f t="shared" si="1118"/>
        <v>0</v>
      </c>
      <c r="AA300" s="16">
        <f t="shared" si="1118"/>
        <v>0</v>
      </c>
      <c r="AB300" s="16">
        <f t="shared" si="1118"/>
        <v>0</v>
      </c>
      <c r="AC300" s="16">
        <f t="shared" si="1118"/>
        <v>0</v>
      </c>
      <c r="AD300" s="16">
        <f t="shared" si="1118"/>
        <v>0</v>
      </c>
      <c r="AE300" s="16">
        <f t="shared" si="1118"/>
        <v>0</v>
      </c>
      <c r="AF300" s="16">
        <f t="shared" si="1118"/>
        <v>8518462</v>
      </c>
      <c r="AG300" s="16">
        <f t="shared" si="1118"/>
        <v>-32000</v>
      </c>
      <c r="AH300" s="16">
        <f t="shared" si="1118"/>
        <v>8486462</v>
      </c>
      <c r="AI300" s="16">
        <f t="shared" si="1118"/>
        <v>93120</v>
      </c>
      <c r="AJ300" s="16">
        <f t="shared" si="1118"/>
        <v>32000</v>
      </c>
      <c r="AK300" s="16">
        <f t="shared" si="1118"/>
        <v>0</v>
      </c>
      <c r="AL300" s="16">
        <f t="shared" si="1118"/>
        <v>211840</v>
      </c>
      <c r="AM300" s="16">
        <f t="shared" si="1118"/>
        <v>0</v>
      </c>
      <c r="AN300" s="16">
        <f t="shared" si="1118"/>
        <v>0</v>
      </c>
      <c r="AO300" s="16">
        <f t="shared" si="1118"/>
        <v>304960</v>
      </c>
      <c r="AP300" s="16">
        <f t="shared" si="1118"/>
        <v>32000</v>
      </c>
      <c r="AQ300" s="16">
        <f t="shared" si="1118"/>
        <v>336960</v>
      </c>
      <c r="AR300" s="16">
        <f t="shared" si="1118"/>
        <v>8823422</v>
      </c>
      <c r="AS300" s="16">
        <f t="shared" si="1118"/>
        <v>0</v>
      </c>
      <c r="AT300" s="16">
        <f t="shared" si="1118"/>
        <v>8823422</v>
      </c>
      <c r="AU300" s="16">
        <f t="shared" si="1118"/>
        <v>2982318</v>
      </c>
      <c r="AV300" s="16">
        <f t="shared" si="1118"/>
        <v>84866</v>
      </c>
      <c r="AW300" s="16">
        <f t="shared" si="1118"/>
        <v>3000</v>
      </c>
      <c r="AX300" s="16">
        <f t="shared" si="1118"/>
        <v>0</v>
      </c>
      <c r="AY300" s="16">
        <f t="shared" si="1118"/>
        <v>3000</v>
      </c>
      <c r="AZ300" s="16">
        <f t="shared" si="1118"/>
        <v>11893606</v>
      </c>
      <c r="BA300" s="13">
        <f t="shared" si="1118"/>
        <v>-9.9999999999999992E-2</v>
      </c>
      <c r="BB300" s="13">
        <f t="shared" si="1118"/>
        <v>-0.09</v>
      </c>
      <c r="BC300" s="13">
        <f t="shared" si="1118"/>
        <v>23.549999999999997</v>
      </c>
      <c r="BD300" s="13">
        <f t="shared" si="1118"/>
        <v>0</v>
      </c>
      <c r="BE300" s="13">
        <f t="shared" si="1118"/>
        <v>0</v>
      </c>
      <c r="BF300" s="13">
        <f t="shared" si="1118"/>
        <v>0</v>
      </c>
      <c r="BG300" s="13">
        <f t="shared" si="1118"/>
        <v>0</v>
      </c>
      <c r="BH300" s="13">
        <f t="shared" si="1118"/>
        <v>0</v>
      </c>
      <c r="BI300" s="13">
        <f t="shared" si="1118"/>
        <v>0</v>
      </c>
      <c r="BJ300" s="13">
        <f t="shared" si="1118"/>
        <v>0</v>
      </c>
      <c r="BK300" s="13">
        <f t="shared" si="1118"/>
        <v>23.45</v>
      </c>
      <c r="BL300" s="13">
        <f t="shared" si="1118"/>
        <v>-0.09</v>
      </c>
      <c r="BM300" s="169">
        <f t="shared" si="1118"/>
        <v>23.36</v>
      </c>
      <c r="BN300" s="167">
        <f t="shared" si="1118"/>
        <v>52423028</v>
      </c>
      <c r="BO300" s="16">
        <f t="shared" si="1118"/>
        <v>38138886</v>
      </c>
      <c r="BP300" s="16">
        <f t="shared" si="1118"/>
        <v>34191669</v>
      </c>
      <c r="BQ300" s="16">
        <f t="shared" si="1118"/>
        <v>3947217</v>
      </c>
      <c r="BR300" s="16">
        <f t="shared" si="1118"/>
        <v>336960</v>
      </c>
      <c r="BS300" s="16">
        <f t="shared" si="1118"/>
        <v>304960</v>
      </c>
      <c r="BT300" s="16">
        <f t="shared" si="1118"/>
        <v>32000</v>
      </c>
      <c r="BU300" s="16">
        <f t="shared" si="1118"/>
        <v>13004838</v>
      </c>
      <c r="BV300" s="16">
        <f t="shared" ref="BV300:CF300" si="1119">SUMIF($F$12:$F$451,"=3117",BV$12:BV$451)</f>
        <v>381392</v>
      </c>
      <c r="BW300" s="16">
        <f t="shared" si="1119"/>
        <v>560952</v>
      </c>
      <c r="BX300" s="13">
        <f t="shared" si="1119"/>
        <v>74.744</v>
      </c>
      <c r="BY300" s="13">
        <f t="shared" si="1119"/>
        <v>64.028500000000008</v>
      </c>
      <c r="BZ300" s="169">
        <f t="shared" si="1119"/>
        <v>10.7155</v>
      </c>
      <c r="CA300" s="167">
        <f t="shared" si="1119"/>
        <v>0</v>
      </c>
      <c r="CB300" s="16">
        <f t="shared" si="1119"/>
        <v>0</v>
      </c>
      <c r="CC300" s="16">
        <f t="shared" si="1119"/>
        <v>0</v>
      </c>
      <c r="CD300" s="16">
        <f t="shared" si="1119"/>
        <v>0</v>
      </c>
      <c r="CE300" s="16">
        <f t="shared" si="1119"/>
        <v>0</v>
      </c>
      <c r="CF300" s="17">
        <f t="shared" si="1119"/>
        <v>0</v>
      </c>
    </row>
    <row r="301" spans="1:84" x14ac:dyDescent="0.2">
      <c r="D301" s="9"/>
      <c r="E301" s="5"/>
      <c r="F301" s="9"/>
      <c r="G301" s="20"/>
      <c r="H301" s="2">
        <v>3122</v>
      </c>
      <c r="I301" s="167">
        <f t="shared" ref="I301:BU301" si="1120">SUMIF($F$12:$F$451,"=3122",I$12:I$451)</f>
        <v>0</v>
      </c>
      <c r="J301" s="16">
        <f t="shared" si="1120"/>
        <v>0</v>
      </c>
      <c r="K301" s="16">
        <f t="shared" si="1120"/>
        <v>0</v>
      </c>
      <c r="L301" s="16">
        <f t="shared" si="1120"/>
        <v>0</v>
      </c>
      <c r="M301" s="16">
        <f t="shared" si="1120"/>
        <v>0</v>
      </c>
      <c r="N301" s="16">
        <f t="shared" si="1120"/>
        <v>0</v>
      </c>
      <c r="O301" s="16">
        <f t="shared" si="1120"/>
        <v>0</v>
      </c>
      <c r="P301" s="16">
        <f t="shared" si="1120"/>
        <v>0</v>
      </c>
      <c r="Q301" s="16">
        <f t="shared" si="1120"/>
        <v>0</v>
      </c>
      <c r="R301" s="16">
        <f t="shared" si="1120"/>
        <v>0</v>
      </c>
      <c r="S301" s="13">
        <f t="shared" si="1120"/>
        <v>0</v>
      </c>
      <c r="T301" s="13">
        <f t="shared" si="1120"/>
        <v>0</v>
      </c>
      <c r="U301" s="17">
        <f t="shared" si="1120"/>
        <v>0</v>
      </c>
      <c r="V301" s="168">
        <f t="shared" si="1120"/>
        <v>0</v>
      </c>
      <c r="W301" s="16">
        <f t="shared" si="1120"/>
        <v>0</v>
      </c>
      <c r="X301" s="16">
        <f t="shared" si="1120"/>
        <v>0</v>
      </c>
      <c r="Y301" s="16">
        <f t="shared" si="1120"/>
        <v>0</v>
      </c>
      <c r="Z301" s="16">
        <f t="shared" si="1120"/>
        <v>0</v>
      </c>
      <c r="AA301" s="16">
        <f t="shared" si="1120"/>
        <v>0</v>
      </c>
      <c r="AB301" s="16">
        <f t="shared" si="1120"/>
        <v>0</v>
      </c>
      <c r="AC301" s="16">
        <f t="shared" si="1120"/>
        <v>0</v>
      </c>
      <c r="AD301" s="16">
        <f t="shared" si="1120"/>
        <v>0</v>
      </c>
      <c r="AE301" s="16">
        <f t="shared" si="1120"/>
        <v>0</v>
      </c>
      <c r="AF301" s="16">
        <f t="shared" si="1120"/>
        <v>0</v>
      </c>
      <c r="AG301" s="16">
        <f t="shared" si="1120"/>
        <v>0</v>
      </c>
      <c r="AH301" s="16">
        <f t="shared" si="1120"/>
        <v>0</v>
      </c>
      <c r="AI301" s="16">
        <f t="shared" si="1120"/>
        <v>0</v>
      </c>
      <c r="AJ301" s="16">
        <f t="shared" si="1120"/>
        <v>0</v>
      </c>
      <c r="AK301" s="16">
        <f t="shared" si="1120"/>
        <v>0</v>
      </c>
      <c r="AL301" s="16">
        <f t="shared" si="1120"/>
        <v>0</v>
      </c>
      <c r="AM301" s="16">
        <f t="shared" si="1120"/>
        <v>0</v>
      </c>
      <c r="AN301" s="16">
        <f t="shared" si="1120"/>
        <v>0</v>
      </c>
      <c r="AO301" s="16">
        <f t="shared" si="1120"/>
        <v>0</v>
      </c>
      <c r="AP301" s="16">
        <f t="shared" si="1120"/>
        <v>0</v>
      </c>
      <c r="AQ301" s="16">
        <f t="shared" si="1120"/>
        <v>0</v>
      </c>
      <c r="AR301" s="16">
        <f t="shared" si="1120"/>
        <v>0</v>
      </c>
      <c r="AS301" s="16">
        <f t="shared" si="1120"/>
        <v>0</v>
      </c>
      <c r="AT301" s="16">
        <f t="shared" si="1120"/>
        <v>0</v>
      </c>
      <c r="AU301" s="16">
        <f t="shared" si="1120"/>
        <v>0</v>
      </c>
      <c r="AV301" s="16">
        <f t="shared" si="1120"/>
        <v>0</v>
      </c>
      <c r="AW301" s="16">
        <f t="shared" si="1120"/>
        <v>0</v>
      </c>
      <c r="AX301" s="16">
        <f t="shared" si="1120"/>
        <v>0</v>
      </c>
      <c r="AY301" s="16">
        <f t="shared" si="1120"/>
        <v>0</v>
      </c>
      <c r="AZ301" s="16">
        <f t="shared" si="1120"/>
        <v>0</v>
      </c>
      <c r="BA301" s="13">
        <f t="shared" si="1120"/>
        <v>0</v>
      </c>
      <c r="BB301" s="13">
        <f t="shared" si="1120"/>
        <v>0</v>
      </c>
      <c r="BC301" s="13">
        <f t="shared" si="1120"/>
        <v>0</v>
      </c>
      <c r="BD301" s="13">
        <f t="shared" si="1120"/>
        <v>0</v>
      </c>
      <c r="BE301" s="13">
        <f t="shared" si="1120"/>
        <v>0</v>
      </c>
      <c r="BF301" s="13">
        <f t="shared" si="1120"/>
        <v>0</v>
      </c>
      <c r="BG301" s="13">
        <f t="shared" si="1120"/>
        <v>0</v>
      </c>
      <c r="BH301" s="13">
        <f t="shared" si="1120"/>
        <v>0</v>
      </c>
      <c r="BI301" s="13">
        <f t="shared" si="1120"/>
        <v>0</v>
      </c>
      <c r="BJ301" s="13">
        <f t="shared" si="1120"/>
        <v>0</v>
      </c>
      <c r="BK301" s="13">
        <f t="shared" si="1120"/>
        <v>0</v>
      </c>
      <c r="BL301" s="13">
        <f t="shared" si="1120"/>
        <v>0</v>
      </c>
      <c r="BM301" s="169">
        <f t="shared" si="1120"/>
        <v>0</v>
      </c>
      <c r="BN301" s="167">
        <f t="shared" si="1120"/>
        <v>0</v>
      </c>
      <c r="BO301" s="16">
        <f t="shared" si="1120"/>
        <v>0</v>
      </c>
      <c r="BP301" s="16">
        <f t="shared" si="1120"/>
        <v>0</v>
      </c>
      <c r="BQ301" s="16">
        <f t="shared" si="1120"/>
        <v>0</v>
      </c>
      <c r="BR301" s="16">
        <f t="shared" si="1120"/>
        <v>0</v>
      </c>
      <c r="BS301" s="16">
        <f t="shared" si="1120"/>
        <v>0</v>
      </c>
      <c r="BT301" s="16">
        <f t="shared" si="1120"/>
        <v>0</v>
      </c>
      <c r="BU301" s="16">
        <f t="shared" si="1120"/>
        <v>0</v>
      </c>
      <c r="BV301" s="16">
        <f t="shared" ref="BV301:CF301" si="1121">SUMIF($F$12:$F$451,"=3122",BV$12:BV$451)</f>
        <v>0</v>
      </c>
      <c r="BW301" s="16">
        <f t="shared" si="1121"/>
        <v>0</v>
      </c>
      <c r="BX301" s="13">
        <f t="shared" si="1121"/>
        <v>0</v>
      </c>
      <c r="BY301" s="13">
        <f t="shared" si="1121"/>
        <v>0</v>
      </c>
      <c r="BZ301" s="169">
        <f t="shared" si="1121"/>
        <v>0</v>
      </c>
      <c r="CA301" s="167">
        <f t="shared" si="1121"/>
        <v>0</v>
      </c>
      <c r="CB301" s="16">
        <f t="shared" si="1121"/>
        <v>0</v>
      </c>
      <c r="CC301" s="16">
        <f t="shared" si="1121"/>
        <v>0</v>
      </c>
      <c r="CD301" s="16">
        <f t="shared" si="1121"/>
        <v>0</v>
      </c>
      <c r="CE301" s="16">
        <f t="shared" si="1121"/>
        <v>0</v>
      </c>
      <c r="CF301" s="17">
        <f t="shared" si="1121"/>
        <v>0</v>
      </c>
    </row>
    <row r="302" spans="1:84" x14ac:dyDescent="0.2">
      <c r="D302" s="9"/>
      <c r="E302" s="5"/>
      <c r="F302" s="9"/>
      <c r="G302" s="20"/>
      <c r="H302" s="2">
        <v>3124</v>
      </c>
      <c r="I302" s="167">
        <f t="shared" ref="I302:BU302" si="1122">SUMIF($F$12:$F$451,"=3124",I$12:I$451)</f>
        <v>4110107</v>
      </c>
      <c r="J302" s="16">
        <f t="shared" si="1122"/>
        <v>3039835</v>
      </c>
      <c r="K302" s="16">
        <f t="shared" si="1122"/>
        <v>2937341</v>
      </c>
      <c r="L302" s="16">
        <f t="shared" si="1122"/>
        <v>102494</v>
      </c>
      <c r="M302" s="16">
        <f t="shared" si="1122"/>
        <v>0</v>
      </c>
      <c r="N302" s="16">
        <f t="shared" si="1122"/>
        <v>0</v>
      </c>
      <c r="O302" s="16">
        <f t="shared" si="1122"/>
        <v>0</v>
      </c>
      <c r="P302" s="16">
        <f t="shared" si="1122"/>
        <v>1027464</v>
      </c>
      <c r="Q302" s="16">
        <f t="shared" si="1122"/>
        <v>30398</v>
      </c>
      <c r="R302" s="16">
        <f t="shared" si="1122"/>
        <v>12410</v>
      </c>
      <c r="S302" s="13">
        <f t="shared" si="1122"/>
        <v>4.6234000000000002</v>
      </c>
      <c r="T302" s="13">
        <f t="shared" si="1122"/>
        <v>4.3174999999999999</v>
      </c>
      <c r="U302" s="17">
        <f t="shared" si="1122"/>
        <v>0.30590000000000001</v>
      </c>
      <c r="V302" s="168">
        <f t="shared" si="1122"/>
        <v>0</v>
      </c>
      <c r="W302" s="16">
        <f t="shared" si="1122"/>
        <v>0</v>
      </c>
      <c r="X302" s="16">
        <f t="shared" si="1122"/>
        <v>0</v>
      </c>
      <c r="Y302" s="16">
        <f t="shared" si="1122"/>
        <v>0</v>
      </c>
      <c r="Z302" s="16">
        <f t="shared" si="1122"/>
        <v>0</v>
      </c>
      <c r="AA302" s="16">
        <f t="shared" si="1122"/>
        <v>0</v>
      </c>
      <c r="AB302" s="16">
        <f t="shared" si="1122"/>
        <v>0</v>
      </c>
      <c r="AC302" s="16">
        <f t="shared" si="1122"/>
        <v>0</v>
      </c>
      <c r="AD302" s="16">
        <f t="shared" si="1122"/>
        <v>0</v>
      </c>
      <c r="AE302" s="16">
        <f t="shared" si="1122"/>
        <v>0</v>
      </c>
      <c r="AF302" s="16">
        <f t="shared" si="1122"/>
        <v>0</v>
      </c>
      <c r="AG302" s="16">
        <f t="shared" si="1122"/>
        <v>0</v>
      </c>
      <c r="AH302" s="16">
        <f t="shared" si="1122"/>
        <v>0</v>
      </c>
      <c r="AI302" s="16">
        <f t="shared" si="1122"/>
        <v>0</v>
      </c>
      <c r="AJ302" s="16">
        <f t="shared" si="1122"/>
        <v>0</v>
      </c>
      <c r="AK302" s="16">
        <f t="shared" si="1122"/>
        <v>0</v>
      </c>
      <c r="AL302" s="16">
        <f t="shared" si="1122"/>
        <v>0</v>
      </c>
      <c r="AM302" s="16">
        <f t="shared" si="1122"/>
        <v>0</v>
      </c>
      <c r="AN302" s="16">
        <f t="shared" si="1122"/>
        <v>0</v>
      </c>
      <c r="AO302" s="16">
        <f t="shared" si="1122"/>
        <v>0</v>
      </c>
      <c r="AP302" s="16">
        <f t="shared" si="1122"/>
        <v>0</v>
      </c>
      <c r="AQ302" s="16">
        <f t="shared" si="1122"/>
        <v>0</v>
      </c>
      <c r="AR302" s="16">
        <f t="shared" si="1122"/>
        <v>0</v>
      </c>
      <c r="AS302" s="16">
        <f t="shared" si="1122"/>
        <v>0</v>
      </c>
      <c r="AT302" s="16">
        <f t="shared" si="1122"/>
        <v>0</v>
      </c>
      <c r="AU302" s="16">
        <f t="shared" si="1122"/>
        <v>0</v>
      </c>
      <c r="AV302" s="16">
        <f t="shared" si="1122"/>
        <v>0</v>
      </c>
      <c r="AW302" s="16">
        <f t="shared" si="1122"/>
        <v>0</v>
      </c>
      <c r="AX302" s="16">
        <f t="shared" si="1122"/>
        <v>0</v>
      </c>
      <c r="AY302" s="16">
        <f t="shared" si="1122"/>
        <v>0</v>
      </c>
      <c r="AZ302" s="16">
        <f t="shared" si="1122"/>
        <v>0</v>
      </c>
      <c r="BA302" s="13">
        <f t="shared" si="1122"/>
        <v>0</v>
      </c>
      <c r="BB302" s="13">
        <f t="shared" si="1122"/>
        <v>0</v>
      </c>
      <c r="BC302" s="13">
        <f t="shared" si="1122"/>
        <v>0</v>
      </c>
      <c r="BD302" s="13">
        <f t="shared" si="1122"/>
        <v>0</v>
      </c>
      <c r="BE302" s="13">
        <f t="shared" si="1122"/>
        <v>0</v>
      </c>
      <c r="BF302" s="13">
        <f t="shared" si="1122"/>
        <v>0</v>
      </c>
      <c r="BG302" s="13">
        <f t="shared" si="1122"/>
        <v>0</v>
      </c>
      <c r="BH302" s="13">
        <f t="shared" si="1122"/>
        <v>0</v>
      </c>
      <c r="BI302" s="13">
        <f t="shared" si="1122"/>
        <v>0</v>
      </c>
      <c r="BJ302" s="13">
        <f t="shared" si="1122"/>
        <v>0</v>
      </c>
      <c r="BK302" s="13">
        <f t="shared" si="1122"/>
        <v>0</v>
      </c>
      <c r="BL302" s="13">
        <f t="shared" si="1122"/>
        <v>0</v>
      </c>
      <c r="BM302" s="169">
        <f t="shared" si="1122"/>
        <v>0</v>
      </c>
      <c r="BN302" s="167">
        <f t="shared" si="1122"/>
        <v>4110107</v>
      </c>
      <c r="BO302" s="16">
        <f t="shared" si="1122"/>
        <v>3039835</v>
      </c>
      <c r="BP302" s="16">
        <f t="shared" si="1122"/>
        <v>2937341</v>
      </c>
      <c r="BQ302" s="16">
        <f t="shared" si="1122"/>
        <v>102494</v>
      </c>
      <c r="BR302" s="16">
        <f t="shared" si="1122"/>
        <v>0</v>
      </c>
      <c r="BS302" s="16">
        <f t="shared" si="1122"/>
        <v>0</v>
      </c>
      <c r="BT302" s="16">
        <f t="shared" si="1122"/>
        <v>0</v>
      </c>
      <c r="BU302" s="16">
        <f t="shared" si="1122"/>
        <v>1027464</v>
      </c>
      <c r="BV302" s="16">
        <f t="shared" ref="BV302:CF302" si="1123">SUMIF($F$12:$F$451,"=3124",BV$12:BV$451)</f>
        <v>30398</v>
      </c>
      <c r="BW302" s="16">
        <f t="shared" si="1123"/>
        <v>12410</v>
      </c>
      <c r="BX302" s="13">
        <f t="shared" si="1123"/>
        <v>4.6234000000000002</v>
      </c>
      <c r="BY302" s="13">
        <f t="shared" si="1123"/>
        <v>4.3174999999999999</v>
      </c>
      <c r="BZ302" s="169">
        <f t="shared" si="1123"/>
        <v>0.30590000000000001</v>
      </c>
      <c r="CA302" s="167">
        <f t="shared" si="1123"/>
        <v>0</v>
      </c>
      <c r="CB302" s="16">
        <f t="shared" si="1123"/>
        <v>0</v>
      </c>
      <c r="CC302" s="16">
        <f t="shared" si="1123"/>
        <v>0</v>
      </c>
      <c r="CD302" s="16">
        <f t="shared" si="1123"/>
        <v>0</v>
      </c>
      <c r="CE302" s="16">
        <f t="shared" si="1123"/>
        <v>0</v>
      </c>
      <c r="CF302" s="17">
        <f t="shared" si="1123"/>
        <v>0</v>
      </c>
    </row>
    <row r="303" spans="1:84" x14ac:dyDescent="0.2">
      <c r="D303" s="9"/>
      <c r="E303" s="5"/>
      <c r="F303" s="9"/>
      <c r="G303" s="20"/>
      <c r="H303" s="2">
        <v>3141</v>
      </c>
      <c r="I303" s="167">
        <f t="shared" ref="I303:BU303" si="1124">SUMIF($F$12:$F$451,"=3141",I$12:I$451)</f>
        <v>49088720</v>
      </c>
      <c r="J303" s="16">
        <f t="shared" si="1124"/>
        <v>36200291</v>
      </c>
      <c r="K303" s="16">
        <f t="shared" si="1124"/>
        <v>0</v>
      </c>
      <c r="L303" s="16">
        <f t="shared" si="1124"/>
        <v>36200291</v>
      </c>
      <c r="M303" s="16">
        <f t="shared" si="1124"/>
        <v>0</v>
      </c>
      <c r="N303" s="16">
        <f t="shared" si="1124"/>
        <v>0</v>
      </c>
      <c r="O303" s="16">
        <f t="shared" si="1124"/>
        <v>0</v>
      </c>
      <c r="P303" s="16">
        <f t="shared" si="1124"/>
        <v>12235696</v>
      </c>
      <c r="Q303" s="16">
        <f t="shared" si="1124"/>
        <v>362001</v>
      </c>
      <c r="R303" s="16">
        <f t="shared" si="1124"/>
        <v>290732</v>
      </c>
      <c r="S303" s="13">
        <f t="shared" si="1124"/>
        <v>108.55000000000004</v>
      </c>
      <c r="T303" s="13">
        <f t="shared" si="1124"/>
        <v>0</v>
      </c>
      <c r="U303" s="17">
        <f t="shared" si="1124"/>
        <v>108.55000000000004</v>
      </c>
      <c r="V303" s="168">
        <f t="shared" si="1124"/>
        <v>0</v>
      </c>
      <c r="W303" s="16">
        <f t="shared" si="1124"/>
        <v>-128896</v>
      </c>
      <c r="X303" s="16">
        <f t="shared" si="1124"/>
        <v>0</v>
      </c>
      <c r="Y303" s="16">
        <f t="shared" si="1124"/>
        <v>0</v>
      </c>
      <c r="Z303" s="16">
        <f t="shared" si="1124"/>
        <v>0</v>
      </c>
      <c r="AA303" s="16">
        <f t="shared" si="1124"/>
        <v>0</v>
      </c>
      <c r="AB303" s="16">
        <f t="shared" si="1124"/>
        <v>0</v>
      </c>
      <c r="AC303" s="16">
        <f t="shared" si="1124"/>
        <v>0</v>
      </c>
      <c r="AD303" s="16">
        <f t="shared" si="1124"/>
        <v>0</v>
      </c>
      <c r="AE303" s="16">
        <f t="shared" si="1124"/>
        <v>231213</v>
      </c>
      <c r="AF303" s="16">
        <f t="shared" si="1124"/>
        <v>0</v>
      </c>
      <c r="AG303" s="16">
        <f t="shared" si="1124"/>
        <v>102317</v>
      </c>
      <c r="AH303" s="16">
        <f t="shared" si="1124"/>
        <v>102317</v>
      </c>
      <c r="AI303" s="16">
        <f t="shared" si="1124"/>
        <v>0</v>
      </c>
      <c r="AJ303" s="16">
        <f t="shared" si="1124"/>
        <v>128896</v>
      </c>
      <c r="AK303" s="16">
        <f t="shared" si="1124"/>
        <v>0</v>
      </c>
      <c r="AL303" s="16">
        <f t="shared" si="1124"/>
        <v>0</v>
      </c>
      <c r="AM303" s="16">
        <f t="shared" si="1124"/>
        <v>0</v>
      </c>
      <c r="AN303" s="16">
        <f t="shared" si="1124"/>
        <v>0</v>
      </c>
      <c r="AO303" s="16">
        <f t="shared" si="1124"/>
        <v>0</v>
      </c>
      <c r="AP303" s="16">
        <f t="shared" si="1124"/>
        <v>128896</v>
      </c>
      <c r="AQ303" s="16">
        <f t="shared" si="1124"/>
        <v>128896</v>
      </c>
      <c r="AR303" s="16">
        <f t="shared" si="1124"/>
        <v>0</v>
      </c>
      <c r="AS303" s="16">
        <f t="shared" si="1124"/>
        <v>231213</v>
      </c>
      <c r="AT303" s="16">
        <f t="shared" si="1124"/>
        <v>231213</v>
      </c>
      <c r="AU303" s="16">
        <f t="shared" si="1124"/>
        <v>78150</v>
      </c>
      <c r="AV303" s="16">
        <f t="shared" si="1124"/>
        <v>1023</v>
      </c>
      <c r="AW303" s="16">
        <f t="shared" si="1124"/>
        <v>0</v>
      </c>
      <c r="AX303" s="16">
        <f t="shared" si="1124"/>
        <v>0</v>
      </c>
      <c r="AY303" s="16">
        <f t="shared" si="1124"/>
        <v>0</v>
      </c>
      <c r="AZ303" s="16">
        <f t="shared" si="1124"/>
        <v>310386</v>
      </c>
      <c r="BA303" s="13">
        <f t="shared" si="1124"/>
        <v>0</v>
      </c>
      <c r="BB303" s="13">
        <f t="shared" si="1124"/>
        <v>-0.26</v>
      </c>
      <c r="BC303" s="13">
        <f t="shared" si="1124"/>
        <v>0</v>
      </c>
      <c r="BD303" s="13">
        <f t="shared" si="1124"/>
        <v>0</v>
      </c>
      <c r="BE303" s="13">
        <f t="shared" si="1124"/>
        <v>0</v>
      </c>
      <c r="BF303" s="13">
        <f t="shared" si="1124"/>
        <v>0</v>
      </c>
      <c r="BG303" s="13">
        <f t="shared" si="1124"/>
        <v>0</v>
      </c>
      <c r="BH303" s="13">
        <f t="shared" si="1124"/>
        <v>0</v>
      </c>
      <c r="BI303" s="13">
        <f t="shared" si="1124"/>
        <v>0</v>
      </c>
      <c r="BJ303" s="13">
        <f t="shared" si="1124"/>
        <v>0.69</v>
      </c>
      <c r="BK303" s="13">
        <f t="shared" si="1124"/>
        <v>0</v>
      </c>
      <c r="BL303" s="13">
        <f t="shared" si="1124"/>
        <v>0.42999999999999983</v>
      </c>
      <c r="BM303" s="169">
        <f t="shared" si="1124"/>
        <v>0.42999999999999983</v>
      </c>
      <c r="BN303" s="167">
        <f t="shared" si="1124"/>
        <v>49399106</v>
      </c>
      <c r="BO303" s="16">
        <f t="shared" si="1124"/>
        <v>36302608</v>
      </c>
      <c r="BP303" s="16">
        <f t="shared" si="1124"/>
        <v>0</v>
      </c>
      <c r="BQ303" s="16">
        <f t="shared" si="1124"/>
        <v>36302608</v>
      </c>
      <c r="BR303" s="16">
        <f t="shared" si="1124"/>
        <v>128896</v>
      </c>
      <c r="BS303" s="16">
        <f t="shared" si="1124"/>
        <v>0</v>
      </c>
      <c r="BT303" s="16">
        <f t="shared" si="1124"/>
        <v>128896</v>
      </c>
      <c r="BU303" s="16">
        <f t="shared" si="1124"/>
        <v>12313846</v>
      </c>
      <c r="BV303" s="16">
        <f t="shared" ref="BV303:CF303" si="1125">SUMIF($F$12:$F$451,"=3141",BV$12:BV$451)</f>
        <v>363024</v>
      </c>
      <c r="BW303" s="16">
        <f t="shared" si="1125"/>
        <v>290732</v>
      </c>
      <c r="BX303" s="13">
        <f t="shared" si="1125"/>
        <v>108.98000000000002</v>
      </c>
      <c r="BY303" s="13">
        <f t="shared" si="1125"/>
        <v>0</v>
      </c>
      <c r="BZ303" s="169">
        <f t="shared" si="1125"/>
        <v>108.98000000000002</v>
      </c>
      <c r="CA303" s="167">
        <f t="shared" si="1125"/>
        <v>0</v>
      </c>
      <c r="CB303" s="16">
        <f t="shared" si="1125"/>
        <v>0</v>
      </c>
      <c r="CC303" s="16">
        <f t="shared" si="1125"/>
        <v>0</v>
      </c>
      <c r="CD303" s="16">
        <f t="shared" si="1125"/>
        <v>0</v>
      </c>
      <c r="CE303" s="16">
        <f t="shared" si="1125"/>
        <v>0</v>
      </c>
      <c r="CF303" s="17">
        <f t="shared" si="1125"/>
        <v>0</v>
      </c>
    </row>
    <row r="304" spans="1:84" x14ac:dyDescent="0.2">
      <c r="D304" s="9"/>
      <c r="E304" s="5"/>
      <c r="F304" s="9"/>
      <c r="G304" s="20"/>
      <c r="H304" s="2">
        <v>3143</v>
      </c>
      <c r="I304" s="167">
        <f t="shared" ref="I304:BU304" si="1126">SUMIF($F$12:$F$451,"=3143",I$12:I$451)</f>
        <v>59083564</v>
      </c>
      <c r="J304" s="16">
        <f t="shared" si="1126"/>
        <v>43798576</v>
      </c>
      <c r="K304" s="16">
        <f t="shared" si="1126"/>
        <v>42906865</v>
      </c>
      <c r="L304" s="16">
        <f t="shared" si="1126"/>
        <v>891711</v>
      </c>
      <c r="M304" s="16">
        <f t="shared" si="1126"/>
        <v>0</v>
      </c>
      <c r="N304" s="16">
        <f t="shared" si="1126"/>
        <v>0</v>
      </c>
      <c r="O304" s="16">
        <f t="shared" si="1126"/>
        <v>0</v>
      </c>
      <c r="P304" s="16">
        <f t="shared" si="1126"/>
        <v>14803919</v>
      </c>
      <c r="Q304" s="16">
        <f t="shared" si="1126"/>
        <v>437983</v>
      </c>
      <c r="R304" s="16">
        <f t="shared" si="1126"/>
        <v>43086</v>
      </c>
      <c r="S304" s="13">
        <f t="shared" si="1126"/>
        <v>89.545299999999997</v>
      </c>
      <c r="T304" s="13">
        <f t="shared" si="1126"/>
        <v>86.155300000000025</v>
      </c>
      <c r="U304" s="17">
        <f t="shared" si="1126"/>
        <v>3.3899999999999992</v>
      </c>
      <c r="V304" s="168">
        <f t="shared" si="1126"/>
        <v>-181120</v>
      </c>
      <c r="W304" s="16">
        <f t="shared" si="1126"/>
        <v>0</v>
      </c>
      <c r="X304" s="16">
        <f t="shared" si="1126"/>
        <v>0</v>
      </c>
      <c r="Y304" s="16">
        <f t="shared" si="1126"/>
        <v>0</v>
      </c>
      <c r="Z304" s="16">
        <f t="shared" si="1126"/>
        <v>0</v>
      </c>
      <c r="AA304" s="16">
        <f t="shared" si="1126"/>
        <v>0</v>
      </c>
      <c r="AB304" s="16">
        <f t="shared" si="1126"/>
        <v>0</v>
      </c>
      <c r="AC304" s="16">
        <f t="shared" si="1126"/>
        <v>0</v>
      </c>
      <c r="AD304" s="16">
        <f t="shared" si="1126"/>
        <v>0</v>
      </c>
      <c r="AE304" s="16">
        <f t="shared" si="1126"/>
        <v>0</v>
      </c>
      <c r="AF304" s="16">
        <f t="shared" si="1126"/>
        <v>-181120</v>
      </c>
      <c r="AG304" s="16">
        <f t="shared" si="1126"/>
        <v>0</v>
      </c>
      <c r="AH304" s="16">
        <f t="shared" si="1126"/>
        <v>-181120</v>
      </c>
      <c r="AI304" s="16">
        <f t="shared" si="1126"/>
        <v>181120</v>
      </c>
      <c r="AJ304" s="16">
        <f t="shared" si="1126"/>
        <v>0</v>
      </c>
      <c r="AK304" s="16">
        <f t="shared" si="1126"/>
        <v>0</v>
      </c>
      <c r="AL304" s="16">
        <f t="shared" si="1126"/>
        <v>0</v>
      </c>
      <c r="AM304" s="16">
        <f t="shared" si="1126"/>
        <v>0</v>
      </c>
      <c r="AN304" s="16">
        <f t="shared" si="1126"/>
        <v>0</v>
      </c>
      <c r="AO304" s="16">
        <f t="shared" si="1126"/>
        <v>181120</v>
      </c>
      <c r="AP304" s="16">
        <f t="shared" si="1126"/>
        <v>0</v>
      </c>
      <c r="AQ304" s="16">
        <f t="shared" si="1126"/>
        <v>181120</v>
      </c>
      <c r="AR304" s="16">
        <f t="shared" si="1126"/>
        <v>0</v>
      </c>
      <c r="AS304" s="16">
        <f t="shared" si="1126"/>
        <v>0</v>
      </c>
      <c r="AT304" s="16">
        <f t="shared" si="1126"/>
        <v>0</v>
      </c>
      <c r="AU304" s="16">
        <f t="shared" si="1126"/>
        <v>0</v>
      </c>
      <c r="AV304" s="16">
        <f t="shared" si="1126"/>
        <v>-1811</v>
      </c>
      <c r="AW304" s="16">
        <f t="shared" si="1126"/>
        <v>0</v>
      </c>
      <c r="AX304" s="16">
        <f t="shared" si="1126"/>
        <v>0</v>
      </c>
      <c r="AY304" s="16">
        <f t="shared" si="1126"/>
        <v>0</v>
      </c>
      <c r="AZ304" s="16">
        <f t="shared" si="1126"/>
        <v>-1811</v>
      </c>
      <c r="BA304" s="13">
        <f t="shared" si="1126"/>
        <v>-0.21999999999999997</v>
      </c>
      <c r="BB304" s="13">
        <f t="shared" si="1126"/>
        <v>0</v>
      </c>
      <c r="BC304" s="13">
        <f t="shared" si="1126"/>
        <v>0</v>
      </c>
      <c r="BD304" s="13">
        <f t="shared" si="1126"/>
        <v>0</v>
      </c>
      <c r="BE304" s="13">
        <f t="shared" si="1126"/>
        <v>0</v>
      </c>
      <c r="BF304" s="13">
        <f t="shared" si="1126"/>
        <v>0</v>
      </c>
      <c r="BG304" s="13">
        <f t="shared" si="1126"/>
        <v>0</v>
      </c>
      <c r="BH304" s="13">
        <f t="shared" si="1126"/>
        <v>0</v>
      </c>
      <c r="BI304" s="13">
        <f t="shared" si="1126"/>
        <v>0</v>
      </c>
      <c r="BJ304" s="13">
        <f t="shared" si="1126"/>
        <v>0</v>
      </c>
      <c r="BK304" s="13">
        <f t="shared" si="1126"/>
        <v>-0.21999999999999997</v>
      </c>
      <c r="BL304" s="13">
        <f t="shared" si="1126"/>
        <v>0</v>
      </c>
      <c r="BM304" s="169">
        <f t="shared" si="1126"/>
        <v>-0.21999999999999997</v>
      </c>
      <c r="BN304" s="167">
        <f t="shared" si="1126"/>
        <v>59081753</v>
      </c>
      <c r="BO304" s="16">
        <f t="shared" si="1126"/>
        <v>43617456</v>
      </c>
      <c r="BP304" s="16">
        <f t="shared" si="1126"/>
        <v>42725745</v>
      </c>
      <c r="BQ304" s="16">
        <f t="shared" si="1126"/>
        <v>891711</v>
      </c>
      <c r="BR304" s="16">
        <f t="shared" si="1126"/>
        <v>181120</v>
      </c>
      <c r="BS304" s="16">
        <f t="shared" si="1126"/>
        <v>181120</v>
      </c>
      <c r="BT304" s="16">
        <f t="shared" si="1126"/>
        <v>0</v>
      </c>
      <c r="BU304" s="16">
        <f t="shared" si="1126"/>
        <v>14803919</v>
      </c>
      <c r="BV304" s="16">
        <f t="shared" ref="BV304:CF304" si="1127">SUMIF($F$12:$F$451,"=3143",BV$12:BV$451)</f>
        <v>436172</v>
      </c>
      <c r="BW304" s="16">
        <f t="shared" si="1127"/>
        <v>43086</v>
      </c>
      <c r="BX304" s="13">
        <f t="shared" si="1127"/>
        <v>89.325299999999999</v>
      </c>
      <c r="BY304" s="13">
        <f t="shared" si="1127"/>
        <v>85.935300000000026</v>
      </c>
      <c r="BZ304" s="169">
        <f t="shared" si="1127"/>
        <v>3.3899999999999992</v>
      </c>
      <c r="CA304" s="167">
        <f t="shared" si="1127"/>
        <v>0</v>
      </c>
      <c r="CB304" s="16">
        <f t="shared" si="1127"/>
        <v>0</v>
      </c>
      <c r="CC304" s="16">
        <f t="shared" si="1127"/>
        <v>0</v>
      </c>
      <c r="CD304" s="16">
        <f t="shared" si="1127"/>
        <v>0</v>
      </c>
      <c r="CE304" s="16">
        <f t="shared" si="1127"/>
        <v>0</v>
      </c>
      <c r="CF304" s="17">
        <f t="shared" si="1127"/>
        <v>0</v>
      </c>
    </row>
    <row r="305" spans="4:84" x14ac:dyDescent="0.2">
      <c r="D305" s="9"/>
      <c r="E305" s="5"/>
      <c r="F305" s="9"/>
      <c r="G305" s="20"/>
      <c r="H305" s="2">
        <v>3231</v>
      </c>
      <c r="I305" s="167">
        <f t="shared" ref="I305:BU305" si="1128">SUMIF($F$12:$F$451,"=3231",I$12:I$451)</f>
        <v>62634815</v>
      </c>
      <c r="J305" s="16">
        <f t="shared" si="1128"/>
        <v>46410158</v>
      </c>
      <c r="K305" s="16">
        <f t="shared" si="1128"/>
        <v>44680639</v>
      </c>
      <c r="L305" s="16">
        <f t="shared" si="1128"/>
        <v>1729519</v>
      </c>
      <c r="M305" s="16">
        <f t="shared" si="1128"/>
        <v>0</v>
      </c>
      <c r="N305" s="16">
        <f t="shared" si="1128"/>
        <v>0</v>
      </c>
      <c r="O305" s="16">
        <f t="shared" si="1128"/>
        <v>0</v>
      </c>
      <c r="P305" s="16">
        <f t="shared" si="1128"/>
        <v>15686634</v>
      </c>
      <c r="Q305" s="16">
        <f t="shared" si="1128"/>
        <v>464102</v>
      </c>
      <c r="R305" s="16">
        <f t="shared" si="1128"/>
        <v>73921</v>
      </c>
      <c r="S305" s="13">
        <f t="shared" si="1128"/>
        <v>75.537499999999994</v>
      </c>
      <c r="T305" s="13">
        <f t="shared" si="1128"/>
        <v>70.6845</v>
      </c>
      <c r="U305" s="17">
        <f t="shared" si="1128"/>
        <v>4.8529999999999998</v>
      </c>
      <c r="V305" s="168">
        <f t="shared" si="1128"/>
        <v>0</v>
      </c>
      <c r="W305" s="16">
        <f t="shared" si="1128"/>
        <v>-35392</v>
      </c>
      <c r="X305" s="16">
        <f t="shared" si="1128"/>
        <v>0</v>
      </c>
      <c r="Y305" s="16">
        <f t="shared" si="1128"/>
        <v>0</v>
      </c>
      <c r="Z305" s="16">
        <f t="shared" si="1128"/>
        <v>0</v>
      </c>
      <c r="AA305" s="16">
        <f t="shared" si="1128"/>
        <v>0</v>
      </c>
      <c r="AB305" s="16">
        <f t="shared" si="1128"/>
        <v>0</v>
      </c>
      <c r="AC305" s="16">
        <f t="shared" si="1128"/>
        <v>0</v>
      </c>
      <c r="AD305" s="16">
        <f t="shared" si="1128"/>
        <v>0</v>
      </c>
      <c r="AE305" s="16">
        <f t="shared" si="1128"/>
        <v>0</v>
      </c>
      <c r="AF305" s="16">
        <f t="shared" si="1128"/>
        <v>0</v>
      </c>
      <c r="AG305" s="16">
        <f t="shared" si="1128"/>
        <v>-35392</v>
      </c>
      <c r="AH305" s="16">
        <f t="shared" si="1128"/>
        <v>-35392</v>
      </c>
      <c r="AI305" s="16">
        <f t="shared" si="1128"/>
        <v>0</v>
      </c>
      <c r="AJ305" s="16">
        <f t="shared" si="1128"/>
        <v>35392</v>
      </c>
      <c r="AK305" s="16">
        <f t="shared" si="1128"/>
        <v>0</v>
      </c>
      <c r="AL305" s="16">
        <f t="shared" si="1128"/>
        <v>0</v>
      </c>
      <c r="AM305" s="16">
        <f t="shared" si="1128"/>
        <v>0</v>
      </c>
      <c r="AN305" s="16">
        <f t="shared" si="1128"/>
        <v>0</v>
      </c>
      <c r="AO305" s="16">
        <f t="shared" si="1128"/>
        <v>0</v>
      </c>
      <c r="AP305" s="16">
        <f t="shared" si="1128"/>
        <v>35392</v>
      </c>
      <c r="AQ305" s="16">
        <f t="shared" si="1128"/>
        <v>35392</v>
      </c>
      <c r="AR305" s="16">
        <f t="shared" si="1128"/>
        <v>0</v>
      </c>
      <c r="AS305" s="16">
        <f t="shared" si="1128"/>
        <v>0</v>
      </c>
      <c r="AT305" s="16">
        <f t="shared" si="1128"/>
        <v>0</v>
      </c>
      <c r="AU305" s="16">
        <f t="shared" si="1128"/>
        <v>0</v>
      </c>
      <c r="AV305" s="16">
        <f t="shared" si="1128"/>
        <v>-354</v>
      </c>
      <c r="AW305" s="16">
        <f t="shared" si="1128"/>
        <v>0</v>
      </c>
      <c r="AX305" s="16">
        <f t="shared" si="1128"/>
        <v>0</v>
      </c>
      <c r="AY305" s="16">
        <f t="shared" si="1128"/>
        <v>0</v>
      </c>
      <c r="AZ305" s="16">
        <f t="shared" si="1128"/>
        <v>-354</v>
      </c>
      <c r="BA305" s="13">
        <f t="shared" si="1128"/>
        <v>0</v>
      </c>
      <c r="BB305" s="13">
        <f t="shared" si="1128"/>
        <v>-0.12</v>
      </c>
      <c r="BC305" s="13">
        <f t="shared" si="1128"/>
        <v>0</v>
      </c>
      <c r="BD305" s="13">
        <f t="shared" si="1128"/>
        <v>0</v>
      </c>
      <c r="BE305" s="13">
        <f t="shared" si="1128"/>
        <v>0</v>
      </c>
      <c r="BF305" s="13">
        <f t="shared" si="1128"/>
        <v>0</v>
      </c>
      <c r="BG305" s="13">
        <f t="shared" si="1128"/>
        <v>0</v>
      </c>
      <c r="BH305" s="13">
        <f t="shared" si="1128"/>
        <v>0</v>
      </c>
      <c r="BI305" s="13">
        <f t="shared" si="1128"/>
        <v>0</v>
      </c>
      <c r="BJ305" s="13">
        <f t="shared" si="1128"/>
        <v>0</v>
      </c>
      <c r="BK305" s="13">
        <f t="shared" si="1128"/>
        <v>0</v>
      </c>
      <c r="BL305" s="13">
        <f t="shared" si="1128"/>
        <v>-0.12</v>
      </c>
      <c r="BM305" s="169">
        <f t="shared" si="1128"/>
        <v>-0.12</v>
      </c>
      <c r="BN305" s="167">
        <f t="shared" si="1128"/>
        <v>62634461</v>
      </c>
      <c r="BO305" s="16">
        <f t="shared" si="1128"/>
        <v>46374766</v>
      </c>
      <c r="BP305" s="16">
        <f t="shared" si="1128"/>
        <v>44680639</v>
      </c>
      <c r="BQ305" s="16">
        <f t="shared" si="1128"/>
        <v>1694127</v>
      </c>
      <c r="BR305" s="16">
        <f t="shared" si="1128"/>
        <v>35392</v>
      </c>
      <c r="BS305" s="16">
        <f t="shared" si="1128"/>
        <v>0</v>
      </c>
      <c r="BT305" s="16">
        <f t="shared" si="1128"/>
        <v>35392</v>
      </c>
      <c r="BU305" s="16">
        <f t="shared" si="1128"/>
        <v>15686634</v>
      </c>
      <c r="BV305" s="16">
        <f t="shared" ref="BV305:CF305" si="1129">SUMIF($F$12:$F$451,"=3231",BV$12:BV$451)</f>
        <v>463748</v>
      </c>
      <c r="BW305" s="16">
        <f t="shared" si="1129"/>
        <v>73921</v>
      </c>
      <c r="BX305" s="13">
        <f t="shared" si="1129"/>
        <v>75.41749999999999</v>
      </c>
      <c r="BY305" s="13">
        <f t="shared" si="1129"/>
        <v>70.6845</v>
      </c>
      <c r="BZ305" s="169">
        <f t="shared" si="1129"/>
        <v>4.7329999999999997</v>
      </c>
      <c r="CA305" s="167">
        <f t="shared" si="1129"/>
        <v>0</v>
      </c>
      <c r="CB305" s="16">
        <f t="shared" si="1129"/>
        <v>0</v>
      </c>
      <c r="CC305" s="16">
        <f t="shared" si="1129"/>
        <v>0</v>
      </c>
      <c r="CD305" s="16">
        <f t="shared" si="1129"/>
        <v>0</v>
      </c>
      <c r="CE305" s="16">
        <f t="shared" si="1129"/>
        <v>0</v>
      </c>
      <c r="CF305" s="17">
        <f t="shared" si="1129"/>
        <v>0</v>
      </c>
    </row>
    <row r="306" spans="4:84" ht="13.5" thickBot="1" x14ac:dyDescent="0.25">
      <c r="D306" s="9"/>
      <c r="E306" s="5"/>
      <c r="F306" s="9"/>
      <c r="G306" s="20"/>
      <c r="H306" s="151">
        <v>3233</v>
      </c>
      <c r="I306" s="170">
        <f t="shared" ref="I306:BU306" si="1130">SUMIF($F$12:$F$451,"=3233",I$12:I$451)</f>
        <v>8690017</v>
      </c>
      <c r="J306" s="171">
        <f t="shared" si="1130"/>
        <v>6440023</v>
      </c>
      <c r="K306" s="171">
        <f t="shared" si="1130"/>
        <v>5271742</v>
      </c>
      <c r="L306" s="171">
        <f t="shared" si="1130"/>
        <v>1168281</v>
      </c>
      <c r="M306" s="171">
        <f t="shared" si="1130"/>
        <v>0</v>
      </c>
      <c r="N306" s="171">
        <f t="shared" si="1130"/>
        <v>0</v>
      </c>
      <c r="O306" s="171">
        <f t="shared" si="1130"/>
        <v>0</v>
      </c>
      <c r="P306" s="171">
        <f t="shared" si="1130"/>
        <v>2176728</v>
      </c>
      <c r="Q306" s="171">
        <f t="shared" si="1130"/>
        <v>64401</v>
      </c>
      <c r="R306" s="171">
        <f t="shared" si="1130"/>
        <v>8865</v>
      </c>
      <c r="S306" s="172">
        <f t="shared" si="1130"/>
        <v>13.309999999999999</v>
      </c>
      <c r="T306" s="172">
        <f t="shared" si="1130"/>
        <v>9.5500000000000007</v>
      </c>
      <c r="U306" s="173">
        <f t="shared" si="1130"/>
        <v>3.76</v>
      </c>
      <c r="V306" s="174">
        <f t="shared" si="1130"/>
        <v>-492800</v>
      </c>
      <c r="W306" s="171">
        <f t="shared" si="1130"/>
        <v>-96000</v>
      </c>
      <c r="X306" s="171">
        <f t="shared" si="1130"/>
        <v>0</v>
      </c>
      <c r="Y306" s="171">
        <f t="shared" si="1130"/>
        <v>0</v>
      </c>
      <c r="Z306" s="171">
        <f t="shared" si="1130"/>
        <v>0</v>
      </c>
      <c r="AA306" s="171">
        <f t="shared" si="1130"/>
        <v>0</v>
      </c>
      <c r="AB306" s="171">
        <f t="shared" si="1130"/>
        <v>0</v>
      </c>
      <c r="AC306" s="171">
        <f t="shared" si="1130"/>
        <v>0</v>
      </c>
      <c r="AD306" s="171">
        <f t="shared" si="1130"/>
        <v>0</v>
      </c>
      <c r="AE306" s="171">
        <f t="shared" si="1130"/>
        <v>0</v>
      </c>
      <c r="AF306" s="171">
        <f t="shared" si="1130"/>
        <v>-492800</v>
      </c>
      <c r="AG306" s="171">
        <f t="shared" si="1130"/>
        <v>-96000</v>
      </c>
      <c r="AH306" s="171">
        <f t="shared" si="1130"/>
        <v>-588800</v>
      </c>
      <c r="AI306" s="171">
        <f t="shared" si="1130"/>
        <v>492800</v>
      </c>
      <c r="AJ306" s="171">
        <f t="shared" si="1130"/>
        <v>96000</v>
      </c>
      <c r="AK306" s="171">
        <f t="shared" si="1130"/>
        <v>0</v>
      </c>
      <c r="AL306" s="171">
        <f t="shared" si="1130"/>
        <v>0</v>
      </c>
      <c r="AM306" s="171">
        <f t="shared" si="1130"/>
        <v>0</v>
      </c>
      <c r="AN306" s="171">
        <f t="shared" si="1130"/>
        <v>0</v>
      </c>
      <c r="AO306" s="171">
        <f t="shared" si="1130"/>
        <v>492800</v>
      </c>
      <c r="AP306" s="171">
        <f t="shared" si="1130"/>
        <v>96000</v>
      </c>
      <c r="AQ306" s="171">
        <f t="shared" si="1130"/>
        <v>588800</v>
      </c>
      <c r="AR306" s="171">
        <f t="shared" si="1130"/>
        <v>0</v>
      </c>
      <c r="AS306" s="171">
        <f t="shared" si="1130"/>
        <v>0</v>
      </c>
      <c r="AT306" s="171">
        <f t="shared" si="1130"/>
        <v>0</v>
      </c>
      <c r="AU306" s="171">
        <f t="shared" si="1130"/>
        <v>0</v>
      </c>
      <c r="AV306" s="171">
        <f t="shared" si="1130"/>
        <v>-5888</v>
      </c>
      <c r="AW306" s="171">
        <f t="shared" si="1130"/>
        <v>0</v>
      </c>
      <c r="AX306" s="171">
        <f t="shared" si="1130"/>
        <v>0</v>
      </c>
      <c r="AY306" s="171">
        <f t="shared" si="1130"/>
        <v>0</v>
      </c>
      <c r="AZ306" s="171">
        <f t="shared" si="1130"/>
        <v>-5888</v>
      </c>
      <c r="BA306" s="172">
        <f t="shared" si="1130"/>
        <v>-0.96</v>
      </c>
      <c r="BB306" s="172">
        <f t="shared" si="1130"/>
        <v>-0.31</v>
      </c>
      <c r="BC306" s="172">
        <f t="shared" si="1130"/>
        <v>0</v>
      </c>
      <c r="BD306" s="172">
        <f t="shared" si="1130"/>
        <v>0</v>
      </c>
      <c r="BE306" s="172">
        <f t="shared" si="1130"/>
        <v>0</v>
      </c>
      <c r="BF306" s="172">
        <f t="shared" si="1130"/>
        <v>0</v>
      </c>
      <c r="BG306" s="172">
        <f t="shared" si="1130"/>
        <v>0</v>
      </c>
      <c r="BH306" s="172">
        <f t="shared" si="1130"/>
        <v>0</v>
      </c>
      <c r="BI306" s="172">
        <f t="shared" si="1130"/>
        <v>0</v>
      </c>
      <c r="BJ306" s="172">
        <f t="shared" si="1130"/>
        <v>0</v>
      </c>
      <c r="BK306" s="172">
        <f t="shared" si="1130"/>
        <v>-0.96</v>
      </c>
      <c r="BL306" s="172">
        <f t="shared" si="1130"/>
        <v>-0.31</v>
      </c>
      <c r="BM306" s="175">
        <f t="shared" si="1130"/>
        <v>-1.27</v>
      </c>
      <c r="BN306" s="170">
        <f t="shared" si="1130"/>
        <v>8684129</v>
      </c>
      <c r="BO306" s="171">
        <f t="shared" si="1130"/>
        <v>5851223</v>
      </c>
      <c r="BP306" s="171">
        <f t="shared" si="1130"/>
        <v>4778942</v>
      </c>
      <c r="BQ306" s="171">
        <f t="shared" si="1130"/>
        <v>1072281</v>
      </c>
      <c r="BR306" s="171">
        <f t="shared" si="1130"/>
        <v>588800</v>
      </c>
      <c r="BS306" s="171">
        <f t="shared" si="1130"/>
        <v>492800</v>
      </c>
      <c r="BT306" s="171">
        <f t="shared" si="1130"/>
        <v>96000</v>
      </c>
      <c r="BU306" s="171">
        <f t="shared" si="1130"/>
        <v>2176728</v>
      </c>
      <c r="BV306" s="171">
        <f t="shared" ref="BV306:CF306" si="1131">SUMIF($F$12:$F$451,"=3233",BV$12:BV$451)</f>
        <v>58513</v>
      </c>
      <c r="BW306" s="171">
        <f t="shared" si="1131"/>
        <v>8865</v>
      </c>
      <c r="BX306" s="172">
        <f t="shared" si="1131"/>
        <v>12.04</v>
      </c>
      <c r="BY306" s="172">
        <f t="shared" si="1131"/>
        <v>8.59</v>
      </c>
      <c r="BZ306" s="175">
        <f t="shared" si="1131"/>
        <v>3.4499999999999997</v>
      </c>
      <c r="CA306" s="170">
        <f t="shared" si="1131"/>
        <v>0</v>
      </c>
      <c r="CB306" s="171">
        <f t="shared" si="1131"/>
        <v>0</v>
      </c>
      <c r="CC306" s="171">
        <f t="shared" si="1131"/>
        <v>0</v>
      </c>
      <c r="CD306" s="171">
        <f t="shared" si="1131"/>
        <v>0</v>
      </c>
      <c r="CE306" s="171">
        <f t="shared" si="1131"/>
        <v>0</v>
      </c>
      <c r="CF306" s="173">
        <f t="shared" si="1131"/>
        <v>0</v>
      </c>
    </row>
    <row r="307" spans="4:84" x14ac:dyDescent="0.2">
      <c r="D307" s="5"/>
      <c r="E307" s="5"/>
      <c r="F307" s="5"/>
      <c r="G307" s="20"/>
      <c r="H307" s="5"/>
    </row>
  </sheetData>
  <mergeCells count="59">
    <mergeCell ref="AB11:AC11"/>
    <mergeCell ref="BD8:BE10"/>
    <mergeCell ref="BD11:BE11"/>
    <mergeCell ref="CA6:CF7"/>
    <mergeCell ref="CA8:CF9"/>
    <mergeCell ref="BS9:BT9"/>
    <mergeCell ref="BU9:BU10"/>
    <mergeCell ref="BA7:BM7"/>
    <mergeCell ref="BC8:BC9"/>
    <mergeCell ref="BF8:BG8"/>
    <mergeCell ref="BH8:BH9"/>
    <mergeCell ref="BI8:BJ9"/>
    <mergeCell ref="BK8:BM9"/>
    <mergeCell ref="AZ7:AZ10"/>
    <mergeCell ref="AM9:AN9"/>
    <mergeCell ref="AI7:AQ8"/>
    <mergeCell ref="V9:W9"/>
    <mergeCell ref="X9:X10"/>
    <mergeCell ref="Y9:Z9"/>
    <mergeCell ref="AA9:AA10"/>
    <mergeCell ref="AD9:AE9"/>
    <mergeCell ref="AR7:AT9"/>
    <mergeCell ref="AU7:AU10"/>
    <mergeCell ref="AV7:AV10"/>
    <mergeCell ref="AW7:AY9"/>
    <mergeCell ref="AB9:AC10"/>
    <mergeCell ref="AK9:AK10"/>
    <mergeCell ref="BY8:BZ9"/>
    <mergeCell ref="BV9:BV10"/>
    <mergeCell ref="BN8:BN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AF9:AG9"/>
    <mergeCell ref="BO9:BO10"/>
    <mergeCell ref="BP9:BQ9"/>
    <mergeCell ref="A3:E3"/>
    <mergeCell ref="I8:I10"/>
    <mergeCell ref="I6:U7"/>
    <mergeCell ref="BX8:BX10"/>
    <mergeCell ref="AQ9:AQ10"/>
    <mergeCell ref="AO9:AP9"/>
    <mergeCell ref="AH9:AH10"/>
    <mergeCell ref="AI9:AJ9"/>
    <mergeCell ref="AL9:AL10"/>
    <mergeCell ref="BR9:BR10"/>
    <mergeCell ref="BA8:BB9"/>
    <mergeCell ref="BO8:BW8"/>
    <mergeCell ref="BW9:BW10"/>
    <mergeCell ref="V6:BM6"/>
    <mergeCell ref="BN6:BZ7"/>
    <mergeCell ref="V7:AH8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CF155"/>
  <sheetViews>
    <sheetView zoomScaleNormal="100" workbookViewId="0">
      <pane xSplit="8" ySplit="11" topLeftCell="BN109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ColWidth="9.140625" defaultRowHeight="15" x14ac:dyDescent="0.25"/>
  <cols>
    <col min="1" max="1" width="5.28515625" style="310" customWidth="1"/>
    <col min="2" max="2" width="7.140625" style="252" bestFit="1" customWidth="1"/>
    <col min="3" max="3" width="8.7109375" style="311" bestFit="1" customWidth="1"/>
    <col min="4" max="4" width="7.85546875" style="252" bestFit="1" customWidth="1"/>
    <col min="5" max="5" width="31.42578125" style="318" customWidth="1"/>
    <col min="6" max="6" width="6.42578125" style="311" customWidth="1"/>
    <col min="7" max="7" width="10.28515625" style="252" bestFit="1" customWidth="1"/>
    <col min="8" max="8" width="10" style="252" customWidth="1"/>
    <col min="9" max="9" width="12.140625" style="316" customWidth="1"/>
    <col min="10" max="10" width="11.5703125" style="316" customWidth="1"/>
    <col min="11" max="12" width="10.85546875" style="316" customWidth="1"/>
    <col min="13" max="13" width="10.85546875" style="316" hidden="1" customWidth="1"/>
    <col min="14" max="14" width="10.140625" style="316" hidden="1" customWidth="1"/>
    <col min="15" max="15" width="9.42578125" style="316" hidden="1" customWidth="1"/>
    <col min="16" max="18" width="10.85546875" style="316" customWidth="1"/>
    <col min="19" max="20" width="9.28515625" style="317" customWidth="1"/>
    <col min="21" max="21" width="9.28515625" style="703" customWidth="1"/>
    <col min="22" max="27" width="10.28515625" style="316" customWidth="1"/>
    <col min="28" max="28" width="10.5703125" style="316" customWidth="1"/>
    <col min="29" max="29" width="8.7109375" style="316" hidden="1" customWidth="1"/>
    <col min="30" max="31" width="8.85546875" style="316" customWidth="1"/>
    <col min="32" max="32" width="10.28515625" style="316" customWidth="1"/>
    <col min="33" max="33" width="9.140625" style="316" customWidth="1"/>
    <col min="34" max="44" width="10.28515625" style="316" customWidth="1"/>
    <col min="45" max="45" width="10.28515625" style="317" customWidth="1"/>
    <col min="46" max="46" width="10" style="317" customWidth="1"/>
    <col min="47" max="47" width="9.28515625" style="317" customWidth="1"/>
    <col min="48" max="48" width="9.140625" style="316" customWidth="1"/>
    <col min="49" max="49" width="9.7109375" style="316" customWidth="1"/>
    <col min="50" max="50" width="9.28515625" style="316" customWidth="1"/>
    <col min="51" max="51" width="10" style="316" customWidth="1"/>
    <col min="52" max="52" width="9.7109375" style="316" customWidth="1"/>
    <col min="53" max="56" width="9.140625" style="317" customWidth="1"/>
    <col min="57" max="57" width="9.140625" style="317" hidden="1" customWidth="1"/>
    <col min="58" max="58" width="10.140625" style="317" customWidth="1"/>
    <col min="59" max="59" width="9.28515625" style="317" customWidth="1"/>
    <col min="60" max="60" width="9.140625" style="317" customWidth="1"/>
    <col min="61" max="61" width="9" style="317" customWidth="1"/>
    <col min="62" max="65" width="9.28515625" style="317" customWidth="1"/>
    <col min="66" max="75" width="10.85546875" style="317" customWidth="1"/>
    <col min="76" max="78" width="9.28515625" style="317" customWidth="1"/>
    <col min="79" max="83" width="9.7109375" style="316" customWidth="1"/>
    <col min="84" max="84" width="9.7109375" style="317" customWidth="1"/>
    <col min="85" max="16384" width="9.140625" style="252"/>
  </cols>
  <sheetData>
    <row r="1" spans="1:84" ht="15.75" customHeight="1" x14ac:dyDescent="0.25">
      <c r="A1" s="400" t="s">
        <v>2</v>
      </c>
      <c r="B1" s="400"/>
      <c r="C1" s="250"/>
      <c r="D1" s="400"/>
      <c r="E1" s="400"/>
      <c r="F1" s="251"/>
      <c r="G1" s="251"/>
      <c r="H1" s="251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7.25" customHeight="1" x14ac:dyDescent="0.25">
      <c r="A2" s="400" t="s">
        <v>3</v>
      </c>
      <c r="B2" s="400"/>
      <c r="C2" s="250"/>
      <c r="D2" s="400"/>
      <c r="E2" s="400"/>
      <c r="F2" s="251"/>
      <c r="G2" s="251"/>
      <c r="H2" s="251"/>
    </row>
    <row r="3" spans="1:84" ht="18" customHeight="1" x14ac:dyDescent="0.25">
      <c r="A3" s="1083" t="s">
        <v>4</v>
      </c>
      <c r="B3" s="1083"/>
      <c r="C3" s="1083"/>
      <c r="D3" s="1083"/>
      <c r="E3" s="1083"/>
      <c r="F3" s="251"/>
      <c r="G3" s="251"/>
      <c r="H3" s="251"/>
      <c r="AX3" s="524"/>
      <c r="AY3" s="524"/>
      <c r="BD3" s="704"/>
    </row>
    <row r="4" spans="1:84" ht="12" customHeight="1" x14ac:dyDescent="0.25">
      <c r="A4" s="253"/>
      <c r="B4" s="400"/>
      <c r="C4" s="400"/>
      <c r="D4" s="400"/>
      <c r="E4" s="400"/>
      <c r="F4" s="251"/>
      <c r="G4" s="251"/>
      <c r="H4" s="251"/>
      <c r="I4" s="705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254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4"/>
      <c r="T5" s="704"/>
      <c r="U5" s="706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251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253"/>
      <c r="B7" s="255"/>
      <c r="C7" s="89"/>
      <c r="D7" s="256"/>
      <c r="E7" s="255"/>
      <c r="F7" s="251"/>
      <c r="G7" s="251"/>
      <c r="H7" s="251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257"/>
      <c r="B8" s="258"/>
      <c r="C8" s="258"/>
      <c r="D8" s="258"/>
      <c r="E8" s="258"/>
      <c r="F8" s="258"/>
      <c r="G8" s="258"/>
      <c r="H8" s="258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3">
      <c r="A9" s="259" t="s">
        <v>776</v>
      </c>
      <c r="B9" s="89"/>
      <c r="C9" s="89"/>
      <c r="D9" s="260"/>
      <c r="E9" s="89"/>
      <c r="F9" s="261"/>
      <c r="G9" s="262"/>
      <c r="H9" s="262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3">
      <c r="A10" s="263" t="s">
        <v>756</v>
      </c>
      <c r="B10" s="264" t="s">
        <v>527</v>
      </c>
      <c r="C10" s="264" t="s">
        <v>528</v>
      </c>
      <c r="D10" s="264" t="s">
        <v>258</v>
      </c>
      <c r="E10" s="163" t="s">
        <v>758</v>
      </c>
      <c r="F10" s="264" t="s">
        <v>0</v>
      </c>
      <c r="G10" s="265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269" customFormat="1" ht="11.25" customHeight="1" thickBot="1" x14ac:dyDescent="0.25">
      <c r="A11" s="266" t="s">
        <v>529</v>
      </c>
      <c r="B11" s="267" t="s">
        <v>530</v>
      </c>
      <c r="C11" s="267" t="s">
        <v>260</v>
      </c>
      <c r="D11" s="267" t="s">
        <v>261</v>
      </c>
      <c r="E11" s="267" t="s">
        <v>531</v>
      </c>
      <c r="F11" s="267" t="s">
        <v>0</v>
      </c>
      <c r="G11" s="267" t="s">
        <v>532</v>
      </c>
      <c r="H11" s="268" t="s">
        <v>752</v>
      </c>
      <c r="I11" s="136" t="s">
        <v>262</v>
      </c>
      <c r="J11" s="137" t="s">
        <v>263</v>
      </c>
      <c r="K11" s="137" t="s">
        <v>808</v>
      </c>
      <c r="L11" s="137" t="s">
        <v>809</v>
      </c>
      <c r="M11" s="137" t="s">
        <v>269</v>
      </c>
      <c r="N11" s="137" t="s">
        <v>810</v>
      </c>
      <c r="O11" s="137" t="s">
        <v>811</v>
      </c>
      <c r="P11" s="137" t="s">
        <v>264</v>
      </c>
      <c r="Q11" s="137" t="s">
        <v>265</v>
      </c>
      <c r="R11" s="137" t="s">
        <v>266</v>
      </c>
      <c r="S11" s="520" t="s">
        <v>267</v>
      </c>
      <c r="T11" s="188" t="s">
        <v>533</v>
      </c>
      <c r="U11" s="189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757" t="s">
        <v>889</v>
      </c>
      <c r="CB11" s="757" t="s">
        <v>882</v>
      </c>
      <c r="CC11" s="757" t="s">
        <v>883</v>
      </c>
      <c r="CD11" s="757" t="s">
        <v>890</v>
      </c>
      <c r="CE11" s="757" t="s">
        <v>891</v>
      </c>
      <c r="CF11" s="839" t="s">
        <v>884</v>
      </c>
    </row>
    <row r="12" spans="1:84" ht="14.1" customHeight="1" x14ac:dyDescent="0.25">
      <c r="A12" s="270">
        <v>1</v>
      </c>
      <c r="B12" s="271">
        <v>4486</v>
      </c>
      <c r="C12" s="272">
        <v>600075176</v>
      </c>
      <c r="D12" s="272">
        <v>46750401</v>
      </c>
      <c r="E12" s="273" t="s">
        <v>302</v>
      </c>
      <c r="F12" s="271">
        <v>3233</v>
      </c>
      <c r="G12" s="274" t="s">
        <v>298</v>
      </c>
      <c r="H12" s="274" t="s">
        <v>272</v>
      </c>
      <c r="I12" s="408">
        <f>J12+M12+P12+Q12+R12</f>
        <v>5760963</v>
      </c>
      <c r="J12" s="409">
        <f>K12+L12</f>
        <v>4269346</v>
      </c>
      <c r="K12" s="409">
        <v>3458192</v>
      </c>
      <c r="L12" s="409">
        <v>811154</v>
      </c>
      <c r="M12" s="409">
        <f>N12+O12</f>
        <v>0</v>
      </c>
      <c r="N12" s="409">
        <v>0</v>
      </c>
      <c r="O12" s="409">
        <v>0</v>
      </c>
      <c r="P12" s="144">
        <f t="shared" ref="P12" si="0">ROUND((J12+M12)*33.8%,0)</f>
        <v>1443039</v>
      </c>
      <c r="Q12" s="144">
        <f t="shared" ref="Q12" si="1">ROUND(J12*1%,0)</f>
        <v>42693</v>
      </c>
      <c r="R12" s="409">
        <v>5885</v>
      </c>
      <c r="S12" s="410">
        <f>T12+U12</f>
        <v>8.8699999999999992</v>
      </c>
      <c r="T12" s="411">
        <v>6.26</v>
      </c>
      <c r="U12" s="728">
        <v>2.61</v>
      </c>
      <c r="V12" s="412">
        <f>AI12*-1</f>
        <v>-64000</v>
      </c>
      <c r="W12" s="413">
        <f>AJ12*-1</f>
        <v>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-64000</v>
      </c>
      <c r="AG12" s="413">
        <f>W12+Z12+AC12+AE12</f>
        <v>0</v>
      </c>
      <c r="AH12" s="413">
        <f>SUM(AF12:AG12)</f>
        <v>-64000</v>
      </c>
      <c r="AI12" s="413">
        <v>64000</v>
      </c>
      <c r="AJ12" s="413">
        <v>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64000</v>
      </c>
      <c r="AP12" s="413">
        <f>AJ12+AN12</f>
        <v>0</v>
      </c>
      <c r="AQ12" s="413">
        <f>SUM(AO12:AP12)</f>
        <v>64000</v>
      </c>
      <c r="AR12" s="413">
        <f>AF12+AO12</f>
        <v>0</v>
      </c>
      <c r="AS12" s="413">
        <f>AG12+AP12</f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-640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-640</v>
      </c>
      <c r="BA12" s="414">
        <v>-0.12</v>
      </c>
      <c r="BB12" s="414">
        <v>0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-0.12</v>
      </c>
      <c r="BL12" s="414">
        <f>BB12+BE12+BG12+BJ12</f>
        <v>0</v>
      </c>
      <c r="BM12" s="610">
        <f>SUM(BK12:BL12)</f>
        <v>-0.12</v>
      </c>
      <c r="BN12" s="415">
        <f>I12+AZ12</f>
        <v>5760323</v>
      </c>
      <c r="BO12" s="413">
        <f>J12+AH12</f>
        <v>4205346</v>
      </c>
      <c r="BP12" s="413">
        <f>K12+AF12</f>
        <v>3394192</v>
      </c>
      <c r="BQ12" s="413">
        <f>L12+AG12</f>
        <v>811154</v>
      </c>
      <c r="BR12" s="413">
        <f>M12+AQ12</f>
        <v>64000</v>
      </c>
      <c r="BS12" s="413">
        <f>N12+AO12</f>
        <v>64000</v>
      </c>
      <c r="BT12" s="413">
        <f>O12+AP12</f>
        <v>0</v>
      </c>
      <c r="BU12" s="413">
        <f>P12+AU12</f>
        <v>1443039</v>
      </c>
      <c r="BV12" s="413">
        <f>Q12+AV12</f>
        <v>42053</v>
      </c>
      <c r="BW12" s="413">
        <f>R12+AY12</f>
        <v>5885</v>
      </c>
      <c r="BX12" s="414">
        <f>S12+BM12</f>
        <v>8.75</v>
      </c>
      <c r="BY12" s="414">
        <f>T12+BK12</f>
        <v>6.14</v>
      </c>
      <c r="BZ12" s="610">
        <f>U12+BL12</f>
        <v>2.61</v>
      </c>
      <c r="CA12" s="408"/>
      <c r="CB12" s="409"/>
      <c r="CC12" s="409"/>
      <c r="CD12" s="409"/>
      <c r="CE12" s="409"/>
      <c r="CF12" s="509"/>
    </row>
    <row r="13" spans="1:84" ht="12.95" customHeight="1" x14ac:dyDescent="0.25">
      <c r="A13" s="275">
        <v>1</v>
      </c>
      <c r="B13" s="276">
        <v>4486</v>
      </c>
      <c r="C13" s="277">
        <v>600075176</v>
      </c>
      <c r="D13" s="277">
        <v>46750401</v>
      </c>
      <c r="E13" s="278" t="s">
        <v>303</v>
      </c>
      <c r="F13" s="279"/>
      <c r="G13" s="280"/>
      <c r="H13" s="280"/>
      <c r="I13" s="472">
        <f t="shared" ref="I13:BU13" si="2">SUM(I12)</f>
        <v>5760963</v>
      </c>
      <c r="J13" s="468">
        <f t="shared" si="2"/>
        <v>4269346</v>
      </c>
      <c r="K13" s="468">
        <f t="shared" si="2"/>
        <v>3458192</v>
      </c>
      <c r="L13" s="468">
        <f t="shared" si="2"/>
        <v>811154</v>
      </c>
      <c r="M13" s="468">
        <f t="shared" si="2"/>
        <v>0</v>
      </c>
      <c r="N13" s="468">
        <f t="shared" si="2"/>
        <v>0</v>
      </c>
      <c r="O13" s="468">
        <f t="shared" si="2"/>
        <v>0</v>
      </c>
      <c r="P13" s="468">
        <f t="shared" si="2"/>
        <v>1443039</v>
      </c>
      <c r="Q13" s="468">
        <f t="shared" si="2"/>
        <v>42693</v>
      </c>
      <c r="R13" s="468">
        <f t="shared" si="2"/>
        <v>5885</v>
      </c>
      <c r="S13" s="469">
        <f t="shared" si="2"/>
        <v>8.8699999999999992</v>
      </c>
      <c r="T13" s="469">
        <f t="shared" si="2"/>
        <v>6.26</v>
      </c>
      <c r="U13" s="281">
        <f t="shared" si="2"/>
        <v>2.61</v>
      </c>
      <c r="V13" s="474">
        <f t="shared" si="2"/>
        <v>-64000</v>
      </c>
      <c r="W13" s="468">
        <f t="shared" si="2"/>
        <v>0</v>
      </c>
      <c r="X13" s="468">
        <f t="shared" si="2"/>
        <v>0</v>
      </c>
      <c r="Y13" s="468">
        <f t="shared" si="2"/>
        <v>0</v>
      </c>
      <c r="Z13" s="468">
        <f t="shared" si="2"/>
        <v>0</v>
      </c>
      <c r="AA13" s="468">
        <f t="shared" si="2"/>
        <v>0</v>
      </c>
      <c r="AB13" s="468">
        <f t="shared" si="2"/>
        <v>0</v>
      </c>
      <c r="AC13" s="468">
        <f t="shared" si="2"/>
        <v>0</v>
      </c>
      <c r="AD13" s="468">
        <f t="shared" si="2"/>
        <v>0</v>
      </c>
      <c r="AE13" s="468">
        <f t="shared" si="2"/>
        <v>0</v>
      </c>
      <c r="AF13" s="468">
        <f t="shared" si="2"/>
        <v>-64000</v>
      </c>
      <c r="AG13" s="468">
        <f t="shared" si="2"/>
        <v>0</v>
      </c>
      <c r="AH13" s="468">
        <f t="shared" si="2"/>
        <v>-64000</v>
      </c>
      <c r="AI13" s="468">
        <f t="shared" si="2"/>
        <v>64000</v>
      </c>
      <c r="AJ13" s="468">
        <f t="shared" si="2"/>
        <v>0</v>
      </c>
      <c r="AK13" s="468">
        <f t="shared" ref="AK13" si="3">SUM(AK12)</f>
        <v>0</v>
      </c>
      <c r="AL13" s="468">
        <f t="shared" si="2"/>
        <v>0</v>
      </c>
      <c r="AM13" s="468">
        <f t="shared" si="2"/>
        <v>0</v>
      </c>
      <c r="AN13" s="468">
        <f t="shared" si="2"/>
        <v>0</v>
      </c>
      <c r="AO13" s="468">
        <f t="shared" si="2"/>
        <v>64000</v>
      </c>
      <c r="AP13" s="468">
        <f t="shared" si="2"/>
        <v>0</v>
      </c>
      <c r="AQ13" s="468">
        <f t="shared" si="2"/>
        <v>64000</v>
      </c>
      <c r="AR13" s="468">
        <f t="shared" si="2"/>
        <v>0</v>
      </c>
      <c r="AS13" s="468">
        <f t="shared" si="2"/>
        <v>0</v>
      </c>
      <c r="AT13" s="468">
        <f t="shared" si="2"/>
        <v>0</v>
      </c>
      <c r="AU13" s="468">
        <f t="shared" si="2"/>
        <v>0</v>
      </c>
      <c r="AV13" s="468">
        <f t="shared" si="2"/>
        <v>-640</v>
      </c>
      <c r="AW13" s="468">
        <f t="shared" si="2"/>
        <v>0</v>
      </c>
      <c r="AX13" s="468">
        <f t="shared" si="2"/>
        <v>0</v>
      </c>
      <c r="AY13" s="468">
        <f t="shared" si="2"/>
        <v>0</v>
      </c>
      <c r="AZ13" s="468">
        <f t="shared" si="2"/>
        <v>-640</v>
      </c>
      <c r="BA13" s="469">
        <f t="shared" si="2"/>
        <v>-0.12</v>
      </c>
      <c r="BB13" s="469">
        <f t="shared" si="2"/>
        <v>0</v>
      </c>
      <c r="BC13" s="469">
        <f t="shared" si="2"/>
        <v>0</v>
      </c>
      <c r="BD13" s="469">
        <f t="shared" si="2"/>
        <v>0</v>
      </c>
      <c r="BE13" s="469">
        <f t="shared" si="2"/>
        <v>0</v>
      </c>
      <c r="BF13" s="469">
        <f t="shared" si="2"/>
        <v>0</v>
      </c>
      <c r="BG13" s="469">
        <f t="shared" si="2"/>
        <v>0</v>
      </c>
      <c r="BH13" s="469">
        <f t="shared" si="2"/>
        <v>0</v>
      </c>
      <c r="BI13" s="469">
        <f t="shared" si="2"/>
        <v>0</v>
      </c>
      <c r="BJ13" s="469">
        <f t="shared" si="2"/>
        <v>0</v>
      </c>
      <c r="BK13" s="469">
        <f t="shared" si="2"/>
        <v>-0.12</v>
      </c>
      <c r="BL13" s="469">
        <f t="shared" si="2"/>
        <v>0</v>
      </c>
      <c r="BM13" s="562">
        <f t="shared" si="2"/>
        <v>-0.12</v>
      </c>
      <c r="BN13" s="472">
        <f t="shared" si="2"/>
        <v>5760323</v>
      </c>
      <c r="BO13" s="468">
        <f t="shared" si="2"/>
        <v>4205346</v>
      </c>
      <c r="BP13" s="468">
        <f t="shared" si="2"/>
        <v>3394192</v>
      </c>
      <c r="BQ13" s="468">
        <f t="shared" si="2"/>
        <v>811154</v>
      </c>
      <c r="BR13" s="468">
        <f t="shared" si="2"/>
        <v>64000</v>
      </c>
      <c r="BS13" s="468">
        <f t="shared" si="2"/>
        <v>64000</v>
      </c>
      <c r="BT13" s="468">
        <f t="shared" si="2"/>
        <v>0</v>
      </c>
      <c r="BU13" s="468">
        <f t="shared" si="2"/>
        <v>1443039</v>
      </c>
      <c r="BV13" s="468">
        <f t="shared" ref="BV13:CF13" si="4">SUM(BV12)</f>
        <v>42053</v>
      </c>
      <c r="BW13" s="468">
        <f t="shared" si="4"/>
        <v>5885</v>
      </c>
      <c r="BX13" s="469">
        <f t="shared" si="4"/>
        <v>8.75</v>
      </c>
      <c r="BY13" s="469">
        <f t="shared" si="4"/>
        <v>6.14</v>
      </c>
      <c r="BZ13" s="562">
        <f t="shared" si="4"/>
        <v>2.61</v>
      </c>
      <c r="CA13" s="873">
        <f t="shared" si="4"/>
        <v>0</v>
      </c>
      <c r="CB13" s="850">
        <f t="shared" si="4"/>
        <v>0</v>
      </c>
      <c r="CC13" s="850">
        <f t="shared" si="4"/>
        <v>0</v>
      </c>
      <c r="CD13" s="850">
        <f t="shared" si="4"/>
        <v>0</v>
      </c>
      <c r="CE13" s="850">
        <f t="shared" si="4"/>
        <v>0</v>
      </c>
      <c r="CF13" s="841">
        <f t="shared" si="4"/>
        <v>0</v>
      </c>
    </row>
    <row r="14" spans="1:84" ht="12.95" customHeight="1" x14ac:dyDescent="0.25">
      <c r="A14" s="283">
        <v>2</v>
      </c>
      <c r="B14" s="283">
        <v>4419</v>
      </c>
      <c r="C14" s="564">
        <v>600074056</v>
      </c>
      <c r="D14" s="283">
        <v>72744049</v>
      </c>
      <c r="E14" s="325" t="s">
        <v>304</v>
      </c>
      <c r="F14" s="283">
        <v>3111</v>
      </c>
      <c r="G14" s="286" t="s">
        <v>305</v>
      </c>
      <c r="H14" s="287" t="s">
        <v>271</v>
      </c>
      <c r="I14" s="598">
        <f t="shared" ref="I14:I17" si="5">J14+M14+P14+Q14+R14</f>
        <v>25378749</v>
      </c>
      <c r="J14" s="599">
        <f>K14+L14</f>
        <v>18767798</v>
      </c>
      <c r="K14" s="599">
        <v>17069722</v>
      </c>
      <c r="L14" s="599">
        <v>1698076</v>
      </c>
      <c r="M14" s="418">
        <f t="shared" ref="M14:M17" si="6">N14+O14</f>
        <v>0</v>
      </c>
      <c r="N14" s="418">
        <v>0</v>
      </c>
      <c r="O14" s="418">
        <v>0</v>
      </c>
      <c r="P14" s="700">
        <f>ROUND((J14+M14)*33.8%,0)-1</f>
        <v>6343515</v>
      </c>
      <c r="Q14" s="700">
        <f>ROUND(J14*1%,0)</f>
        <v>187678</v>
      </c>
      <c r="R14" s="599">
        <v>79758</v>
      </c>
      <c r="S14" s="569">
        <f>T14+U14</f>
        <v>35.692399999999999</v>
      </c>
      <c r="T14" s="573">
        <v>29.645199999999999</v>
      </c>
      <c r="U14" s="708">
        <v>6.0472000000000001</v>
      </c>
      <c r="V14" s="427">
        <f t="shared" ref="V14:W17" si="7">AI14*-1</f>
        <v>0</v>
      </c>
      <c r="W14" s="421">
        <f t="shared" si="7"/>
        <v>-23040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-23040</v>
      </c>
      <c r="AH14" s="421">
        <f>SUM(AF14:AG14)</f>
        <v>-23040</v>
      </c>
      <c r="AI14" s="421">
        <v>0</v>
      </c>
      <c r="AJ14" s="421">
        <v>23040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23040</v>
      </c>
      <c r="AQ14" s="421">
        <f>SUM(AO14:AP14)</f>
        <v>23040</v>
      </c>
      <c r="AR14" s="421">
        <f t="shared" ref="AR14:AS17" si="8">AF14+AO14</f>
        <v>0</v>
      </c>
      <c r="AS14" s="421">
        <f t="shared" si="8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-230</v>
      </c>
      <c r="AW14" s="421">
        <v>0</v>
      </c>
      <c r="AX14" s="421">
        <v>0</v>
      </c>
      <c r="AY14" s="421">
        <f>AW14+AX14</f>
        <v>0</v>
      </c>
      <c r="AZ14" s="421">
        <f>AT14+AU14+AV14+AY14</f>
        <v>-230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0</v>
      </c>
      <c r="BM14" s="611">
        <f>SUM(BK14:BL14)</f>
        <v>0</v>
      </c>
      <c r="BN14" s="428">
        <f>I14+AZ14</f>
        <v>25378519</v>
      </c>
      <c r="BO14" s="421">
        <f>J14+AH14</f>
        <v>18744758</v>
      </c>
      <c r="BP14" s="421">
        <f t="shared" ref="BP14:BQ17" si="9">K14+AF14</f>
        <v>17069722</v>
      </c>
      <c r="BQ14" s="421">
        <f t="shared" si="9"/>
        <v>1675036</v>
      </c>
      <c r="BR14" s="421">
        <f>M14+AQ14</f>
        <v>23040</v>
      </c>
      <c r="BS14" s="421">
        <f t="shared" ref="BS14:BT17" si="10">N14+AO14</f>
        <v>0</v>
      </c>
      <c r="BT14" s="421">
        <f t="shared" si="10"/>
        <v>23040</v>
      </c>
      <c r="BU14" s="421">
        <f t="shared" ref="BU14:BV17" si="11">P14+AU14</f>
        <v>6343515</v>
      </c>
      <c r="BV14" s="421">
        <f t="shared" si="11"/>
        <v>187448</v>
      </c>
      <c r="BW14" s="421">
        <f>R14+AY14</f>
        <v>79758</v>
      </c>
      <c r="BX14" s="422">
        <f>S14+BM14</f>
        <v>35.692399999999999</v>
      </c>
      <c r="BY14" s="422">
        <f t="shared" ref="BY14:BZ17" si="12">T14+BK14</f>
        <v>29.645199999999999</v>
      </c>
      <c r="BZ14" s="611">
        <f t="shared" si="12"/>
        <v>6.0472000000000001</v>
      </c>
      <c r="CA14" s="423"/>
      <c r="CB14" s="418"/>
      <c r="CC14" s="418"/>
      <c r="CD14" s="418"/>
      <c r="CE14" s="418"/>
      <c r="CF14" s="527"/>
    </row>
    <row r="15" spans="1:84" ht="12.95" customHeight="1" x14ac:dyDescent="0.25">
      <c r="A15" s="283">
        <v>2</v>
      </c>
      <c r="B15" s="283">
        <v>4419</v>
      </c>
      <c r="C15" s="564">
        <v>600074056</v>
      </c>
      <c r="D15" s="283">
        <v>72744049</v>
      </c>
      <c r="E15" s="325" t="s">
        <v>304</v>
      </c>
      <c r="F15" s="283">
        <v>3111</v>
      </c>
      <c r="G15" s="288" t="s">
        <v>293</v>
      </c>
      <c r="H15" s="287" t="s">
        <v>271</v>
      </c>
      <c r="I15" s="598">
        <f t="shared" si="5"/>
        <v>544970</v>
      </c>
      <c r="J15" s="418">
        <f>K15+L15</f>
        <v>404280</v>
      </c>
      <c r="K15" s="418">
        <v>404280</v>
      </c>
      <c r="L15" s="418">
        <v>0</v>
      </c>
      <c r="M15" s="418">
        <f t="shared" si="6"/>
        <v>0</v>
      </c>
      <c r="N15" s="418">
        <v>0</v>
      </c>
      <c r="O15" s="418">
        <v>0</v>
      </c>
      <c r="P15" s="68">
        <f t="shared" ref="P15:P17" si="13">ROUND((J15+M15)*33.8%,0)</f>
        <v>136647</v>
      </c>
      <c r="Q15" s="68">
        <f t="shared" ref="Q15:Q17" si="14">ROUND(J15*1%,0)</f>
        <v>4043</v>
      </c>
      <c r="R15" s="418">
        <v>0</v>
      </c>
      <c r="S15" s="419">
        <f>T15+U15</f>
        <v>1</v>
      </c>
      <c r="T15" s="420">
        <v>1</v>
      </c>
      <c r="U15" s="707">
        <v>0</v>
      </c>
      <c r="V15" s="427">
        <f t="shared" si="7"/>
        <v>0</v>
      </c>
      <c r="W15" s="421">
        <f t="shared" si="7"/>
        <v>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f>V15+X15+Y15+AA15+AB15+AD15</f>
        <v>0</v>
      </c>
      <c r="AG15" s="421">
        <f>W15+Z15+AC15+AE15</f>
        <v>0</v>
      </c>
      <c r="AH15" s="421">
        <f>SUM(AF15:AG15)</f>
        <v>0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f t="shared" ref="AO15:AO17" si="15">AI15+AK15+AL15+AM15</f>
        <v>0</v>
      </c>
      <c r="AP15" s="421">
        <f>AJ15+AN15</f>
        <v>0</v>
      </c>
      <c r="AQ15" s="421">
        <f>SUM(AO15:AP15)</f>
        <v>0</v>
      </c>
      <c r="AR15" s="421">
        <f t="shared" si="8"/>
        <v>0</v>
      </c>
      <c r="AS15" s="421">
        <f t="shared" si="8"/>
        <v>0</v>
      </c>
      <c r="AT15" s="421">
        <f>SUM(AR15:AS15)</f>
        <v>0</v>
      </c>
      <c r="AU15" s="68">
        <f t="shared" ref="AU15:AU17" si="16">ROUND((AH15+AI15+AJ15+AK15+AL15)*33.8%,0)</f>
        <v>0</v>
      </c>
      <c r="AV15" s="68">
        <f>ROUND(AH15*1%,0)</f>
        <v>0</v>
      </c>
      <c r="AW15" s="421">
        <v>0</v>
      </c>
      <c r="AX15" s="421">
        <v>0</v>
      </c>
      <c r="AY15" s="421">
        <f>AW15+AX15</f>
        <v>0</v>
      </c>
      <c r="AZ15" s="421">
        <f>AT15+AU15+AV15+AY15</f>
        <v>0</v>
      </c>
      <c r="BA15" s="422">
        <v>0</v>
      </c>
      <c r="BB15" s="422">
        <v>0</v>
      </c>
      <c r="BC15" s="422">
        <v>0</v>
      </c>
      <c r="BD15" s="422">
        <v>0</v>
      </c>
      <c r="BE15" s="422">
        <v>0</v>
      </c>
      <c r="BF15" s="422">
        <v>0</v>
      </c>
      <c r="BG15" s="422">
        <v>0</v>
      </c>
      <c r="BH15" s="422">
        <v>0</v>
      </c>
      <c r="BI15" s="422">
        <v>0</v>
      </c>
      <c r="BJ15" s="422">
        <v>0</v>
      </c>
      <c r="BK15" s="422">
        <f>BA15+BC15+BD15+BF15+BH15+BI15</f>
        <v>0</v>
      </c>
      <c r="BL15" s="422">
        <f>BB15+BE15+BG15+BJ15</f>
        <v>0</v>
      </c>
      <c r="BM15" s="611">
        <f>SUM(BK15:BL15)</f>
        <v>0</v>
      </c>
      <c r="BN15" s="428">
        <f>I15+AZ15</f>
        <v>544970</v>
      </c>
      <c r="BO15" s="421">
        <f>J15+AH15</f>
        <v>404280</v>
      </c>
      <c r="BP15" s="421">
        <f t="shared" si="9"/>
        <v>404280</v>
      </c>
      <c r="BQ15" s="421">
        <f t="shared" si="9"/>
        <v>0</v>
      </c>
      <c r="BR15" s="421">
        <f>M15+AQ15</f>
        <v>0</v>
      </c>
      <c r="BS15" s="421">
        <f t="shared" si="10"/>
        <v>0</v>
      </c>
      <c r="BT15" s="421">
        <f t="shared" si="10"/>
        <v>0</v>
      </c>
      <c r="BU15" s="421">
        <f t="shared" si="11"/>
        <v>136647</v>
      </c>
      <c r="BV15" s="421">
        <f t="shared" si="11"/>
        <v>4043</v>
      </c>
      <c r="BW15" s="421">
        <f>R15+AY15</f>
        <v>0</v>
      </c>
      <c r="BX15" s="422">
        <f>S15+BM15</f>
        <v>1</v>
      </c>
      <c r="BY15" s="422">
        <f t="shared" si="12"/>
        <v>1</v>
      </c>
      <c r="BZ15" s="611">
        <f t="shared" si="12"/>
        <v>0</v>
      </c>
      <c r="CA15" s="423"/>
      <c r="CB15" s="418"/>
      <c r="CC15" s="418"/>
      <c r="CD15" s="418"/>
      <c r="CE15" s="418"/>
      <c r="CF15" s="527"/>
    </row>
    <row r="16" spans="1:84" ht="12.95" customHeight="1" x14ac:dyDescent="0.25">
      <c r="A16" s="283">
        <v>2</v>
      </c>
      <c r="B16" s="283">
        <v>4419</v>
      </c>
      <c r="C16" s="564">
        <v>600074056</v>
      </c>
      <c r="D16" s="283">
        <v>72744049</v>
      </c>
      <c r="E16" s="325" t="s">
        <v>304</v>
      </c>
      <c r="F16" s="283">
        <v>3111</v>
      </c>
      <c r="G16" s="286" t="s">
        <v>299</v>
      </c>
      <c r="H16" s="287" t="s">
        <v>272</v>
      </c>
      <c r="I16" s="598">
        <f t="shared" si="5"/>
        <v>0</v>
      </c>
      <c r="J16" s="418">
        <f>K16+L16</f>
        <v>0</v>
      </c>
      <c r="K16" s="418">
        <v>0</v>
      </c>
      <c r="L16" s="418">
        <v>0</v>
      </c>
      <c r="M16" s="418">
        <f t="shared" si="6"/>
        <v>0</v>
      </c>
      <c r="N16" s="418">
        <v>0</v>
      </c>
      <c r="O16" s="418">
        <v>0</v>
      </c>
      <c r="P16" s="68">
        <f t="shared" si="13"/>
        <v>0</v>
      </c>
      <c r="Q16" s="68">
        <f t="shared" si="14"/>
        <v>0</v>
      </c>
      <c r="R16" s="418">
        <v>0</v>
      </c>
      <c r="S16" s="419">
        <f>T16+U16</f>
        <v>0</v>
      </c>
      <c r="T16" s="420">
        <v>0</v>
      </c>
      <c r="U16" s="707">
        <v>0</v>
      </c>
      <c r="V16" s="427">
        <f t="shared" si="7"/>
        <v>0</v>
      </c>
      <c r="W16" s="421">
        <f t="shared" si="7"/>
        <v>0</v>
      </c>
      <c r="X16" s="421">
        <f>1248401+84975+20631</f>
        <v>1354007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1354007</v>
      </c>
      <c r="AG16" s="421">
        <f>W16+Z16+AC16+AE16</f>
        <v>0</v>
      </c>
      <c r="AH16" s="421">
        <f>SUM(AF16:AG16)</f>
        <v>1354007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si="15"/>
        <v>0</v>
      </c>
      <c r="AP16" s="421">
        <f>AJ16+AN16</f>
        <v>0</v>
      </c>
      <c r="AQ16" s="421">
        <f>SUM(AO16:AP16)</f>
        <v>0</v>
      </c>
      <c r="AR16" s="421">
        <f t="shared" si="8"/>
        <v>1354007</v>
      </c>
      <c r="AS16" s="421">
        <f t="shared" si="8"/>
        <v>0</v>
      </c>
      <c r="AT16" s="421">
        <f>SUM(AR16:AS16)</f>
        <v>1354007</v>
      </c>
      <c r="AU16" s="68">
        <f t="shared" si="16"/>
        <v>457654</v>
      </c>
      <c r="AV16" s="68">
        <f>ROUND(AH16*1%,0)</f>
        <v>13540</v>
      </c>
      <c r="AW16" s="421">
        <v>1000</v>
      </c>
      <c r="AX16" s="421">
        <v>0</v>
      </c>
      <c r="AY16" s="421">
        <f>AW16+AX16</f>
        <v>1000</v>
      </c>
      <c r="AZ16" s="421">
        <f>AT16+AU16+AV16+AY16</f>
        <v>1826201</v>
      </c>
      <c r="BA16" s="422">
        <v>0</v>
      </c>
      <c r="BB16" s="422">
        <v>0</v>
      </c>
      <c r="BC16" s="422">
        <f>3.55+0.23+0.04</f>
        <v>3.82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3.82</v>
      </c>
      <c r="BL16" s="422">
        <f>BB16+BE16+BG16+BJ16</f>
        <v>0</v>
      </c>
      <c r="BM16" s="611">
        <f>SUM(BK16:BL16)</f>
        <v>3.82</v>
      </c>
      <c r="BN16" s="428">
        <f>I16+AZ16</f>
        <v>1826201</v>
      </c>
      <c r="BO16" s="421">
        <f>J16+AH16</f>
        <v>1354007</v>
      </c>
      <c r="BP16" s="421">
        <f t="shared" si="9"/>
        <v>1354007</v>
      </c>
      <c r="BQ16" s="421">
        <f t="shared" si="9"/>
        <v>0</v>
      </c>
      <c r="BR16" s="421">
        <f>M16+AQ16</f>
        <v>0</v>
      </c>
      <c r="BS16" s="421">
        <f t="shared" si="10"/>
        <v>0</v>
      </c>
      <c r="BT16" s="421">
        <f t="shared" si="10"/>
        <v>0</v>
      </c>
      <c r="BU16" s="421">
        <f t="shared" si="11"/>
        <v>457654</v>
      </c>
      <c r="BV16" s="421">
        <f t="shared" si="11"/>
        <v>13540</v>
      </c>
      <c r="BW16" s="421">
        <f>R16+AY16</f>
        <v>1000</v>
      </c>
      <c r="BX16" s="422">
        <f>S16+BM16</f>
        <v>3.82</v>
      </c>
      <c r="BY16" s="422">
        <f t="shared" si="12"/>
        <v>3.82</v>
      </c>
      <c r="BZ16" s="611">
        <f t="shared" si="12"/>
        <v>0</v>
      </c>
      <c r="CA16" s="423"/>
      <c r="CB16" s="418"/>
      <c r="CC16" s="418"/>
      <c r="CD16" s="418"/>
      <c r="CE16" s="418"/>
      <c r="CF16" s="527"/>
    </row>
    <row r="17" spans="1:84" ht="12.95" customHeight="1" x14ac:dyDescent="0.25">
      <c r="A17" s="283">
        <v>2</v>
      </c>
      <c r="B17" s="283">
        <v>4419</v>
      </c>
      <c r="C17" s="564">
        <v>600074056</v>
      </c>
      <c r="D17" s="283">
        <v>72744049</v>
      </c>
      <c r="E17" s="325" t="s">
        <v>304</v>
      </c>
      <c r="F17" s="283">
        <v>3141</v>
      </c>
      <c r="G17" s="286" t="s">
        <v>295</v>
      </c>
      <c r="H17" s="286" t="s">
        <v>272</v>
      </c>
      <c r="I17" s="598">
        <f t="shared" si="5"/>
        <v>2521845</v>
      </c>
      <c r="J17" s="418">
        <f>K17+L17</f>
        <v>1863052</v>
      </c>
      <c r="K17" s="418">
        <v>0</v>
      </c>
      <c r="L17" s="418">
        <v>1863052</v>
      </c>
      <c r="M17" s="418">
        <f t="shared" si="6"/>
        <v>0</v>
      </c>
      <c r="N17" s="418">
        <v>0</v>
      </c>
      <c r="O17" s="418">
        <v>0</v>
      </c>
      <c r="P17" s="68">
        <f t="shared" si="13"/>
        <v>629712</v>
      </c>
      <c r="Q17" s="68">
        <f t="shared" si="14"/>
        <v>18631</v>
      </c>
      <c r="R17" s="418">
        <v>10450</v>
      </c>
      <c r="S17" s="419">
        <f>T17+U17</f>
        <v>5.5866999999999996</v>
      </c>
      <c r="T17" s="420">
        <v>0</v>
      </c>
      <c r="U17" s="707">
        <v>5.5866999999999996</v>
      </c>
      <c r="V17" s="427">
        <f t="shared" si="7"/>
        <v>0</v>
      </c>
      <c r="W17" s="421">
        <f t="shared" si="7"/>
        <v>-2560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>V17+X17+Y17+AA17+AB17+AD17</f>
        <v>0</v>
      </c>
      <c r="AG17" s="421">
        <f>W17+Z17+AC17+AE17</f>
        <v>-2560</v>
      </c>
      <c r="AH17" s="421">
        <f>SUM(AF17:AG17)</f>
        <v>-2560</v>
      </c>
      <c r="AI17" s="421">
        <v>0</v>
      </c>
      <c r="AJ17" s="421">
        <v>2560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15"/>
        <v>0</v>
      </c>
      <c r="AP17" s="421">
        <f>AJ17+AN17</f>
        <v>2560</v>
      </c>
      <c r="AQ17" s="421">
        <f>SUM(AO17:AP17)</f>
        <v>2560</v>
      </c>
      <c r="AR17" s="421">
        <f t="shared" si="8"/>
        <v>0</v>
      </c>
      <c r="AS17" s="421">
        <f t="shared" si="8"/>
        <v>0</v>
      </c>
      <c r="AT17" s="421">
        <f>SUM(AR17:AS17)</f>
        <v>0</v>
      </c>
      <c r="AU17" s="68">
        <f t="shared" si="16"/>
        <v>0</v>
      </c>
      <c r="AV17" s="68">
        <f>ROUND(AH17*1%,0)</f>
        <v>-26</v>
      </c>
      <c r="AW17" s="421">
        <v>0</v>
      </c>
      <c r="AX17" s="421">
        <v>0</v>
      </c>
      <c r="AY17" s="421">
        <f>AW17+AX17</f>
        <v>0</v>
      </c>
      <c r="AZ17" s="421">
        <f>AT17+AU17+AV17+AY17</f>
        <v>-26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>BA17+BC17+BD17+BF17+BH17+BI17</f>
        <v>0</v>
      </c>
      <c r="BL17" s="422">
        <f>BB17+BE17+BG17+BJ17</f>
        <v>0</v>
      </c>
      <c r="BM17" s="611">
        <f>SUM(BK17:BL17)</f>
        <v>0</v>
      </c>
      <c r="BN17" s="428">
        <f>I17+AZ17</f>
        <v>2521819</v>
      </c>
      <c r="BO17" s="421">
        <f>J17+AH17</f>
        <v>1860492</v>
      </c>
      <c r="BP17" s="421">
        <f t="shared" si="9"/>
        <v>0</v>
      </c>
      <c r="BQ17" s="421">
        <f t="shared" si="9"/>
        <v>1860492</v>
      </c>
      <c r="BR17" s="421">
        <f>M17+AQ17</f>
        <v>2560</v>
      </c>
      <c r="BS17" s="421">
        <f t="shared" si="10"/>
        <v>0</v>
      </c>
      <c r="BT17" s="421">
        <f t="shared" si="10"/>
        <v>2560</v>
      </c>
      <c r="BU17" s="421">
        <f t="shared" si="11"/>
        <v>629712</v>
      </c>
      <c r="BV17" s="421">
        <f t="shared" si="11"/>
        <v>18605</v>
      </c>
      <c r="BW17" s="421">
        <f>R17+AY17</f>
        <v>10450</v>
      </c>
      <c r="BX17" s="422">
        <f>S17+BM17</f>
        <v>5.5866999999999996</v>
      </c>
      <c r="BY17" s="422">
        <f t="shared" si="12"/>
        <v>0</v>
      </c>
      <c r="BZ17" s="611">
        <f t="shared" si="12"/>
        <v>5.5866999999999996</v>
      </c>
      <c r="CA17" s="423"/>
      <c r="CB17" s="418"/>
      <c r="CC17" s="418"/>
      <c r="CD17" s="418"/>
      <c r="CE17" s="418"/>
      <c r="CF17" s="527"/>
    </row>
    <row r="18" spans="1:84" ht="12.95" customHeight="1" x14ac:dyDescent="0.25">
      <c r="A18" s="565">
        <v>2</v>
      </c>
      <c r="B18" s="566">
        <v>4419</v>
      </c>
      <c r="C18" s="567">
        <v>600074056</v>
      </c>
      <c r="D18" s="566">
        <v>72744049</v>
      </c>
      <c r="E18" s="568" t="s">
        <v>306</v>
      </c>
      <c r="F18" s="277"/>
      <c r="G18" s="291"/>
      <c r="H18" s="291"/>
      <c r="I18" s="473">
        <f t="shared" ref="I18:BU18" si="17">SUM(I14:I17)</f>
        <v>28445564</v>
      </c>
      <c r="J18" s="470">
        <f t="shared" si="17"/>
        <v>21035130</v>
      </c>
      <c r="K18" s="470">
        <f t="shared" si="17"/>
        <v>17474002</v>
      </c>
      <c r="L18" s="470">
        <f t="shared" si="17"/>
        <v>3561128</v>
      </c>
      <c r="M18" s="470">
        <f t="shared" si="17"/>
        <v>0</v>
      </c>
      <c r="N18" s="470">
        <f t="shared" si="17"/>
        <v>0</v>
      </c>
      <c r="O18" s="470">
        <f t="shared" si="17"/>
        <v>0</v>
      </c>
      <c r="P18" s="470">
        <f t="shared" si="17"/>
        <v>7109874</v>
      </c>
      <c r="Q18" s="470">
        <f t="shared" si="17"/>
        <v>210352</v>
      </c>
      <c r="R18" s="470">
        <f t="shared" si="17"/>
        <v>90208</v>
      </c>
      <c r="S18" s="471">
        <f t="shared" si="17"/>
        <v>42.2791</v>
      </c>
      <c r="T18" s="471">
        <f t="shared" si="17"/>
        <v>30.645199999999999</v>
      </c>
      <c r="U18" s="292">
        <f t="shared" si="17"/>
        <v>11.633900000000001</v>
      </c>
      <c r="V18" s="475">
        <f t="shared" si="17"/>
        <v>0</v>
      </c>
      <c r="W18" s="470">
        <f t="shared" si="17"/>
        <v>-25600</v>
      </c>
      <c r="X18" s="470">
        <f t="shared" si="17"/>
        <v>1354007</v>
      </c>
      <c r="Y18" s="470">
        <f t="shared" si="17"/>
        <v>0</v>
      </c>
      <c r="Z18" s="470">
        <f t="shared" si="17"/>
        <v>0</v>
      </c>
      <c r="AA18" s="470">
        <f t="shared" si="17"/>
        <v>0</v>
      </c>
      <c r="AB18" s="470">
        <f t="shared" si="17"/>
        <v>0</v>
      </c>
      <c r="AC18" s="470">
        <f t="shared" si="17"/>
        <v>0</v>
      </c>
      <c r="AD18" s="470">
        <f t="shared" si="17"/>
        <v>0</v>
      </c>
      <c r="AE18" s="470">
        <f t="shared" si="17"/>
        <v>0</v>
      </c>
      <c r="AF18" s="470">
        <f t="shared" si="17"/>
        <v>1354007</v>
      </c>
      <c r="AG18" s="470">
        <f t="shared" si="17"/>
        <v>-25600</v>
      </c>
      <c r="AH18" s="470">
        <f t="shared" si="17"/>
        <v>1328407</v>
      </c>
      <c r="AI18" s="470">
        <f t="shared" si="17"/>
        <v>0</v>
      </c>
      <c r="AJ18" s="470">
        <f t="shared" si="17"/>
        <v>25600</v>
      </c>
      <c r="AK18" s="470">
        <f t="shared" ref="AK18" si="18">SUM(AK14:AK17)</f>
        <v>0</v>
      </c>
      <c r="AL18" s="470">
        <f t="shared" si="17"/>
        <v>0</v>
      </c>
      <c r="AM18" s="470">
        <f t="shared" si="17"/>
        <v>0</v>
      </c>
      <c r="AN18" s="470">
        <f t="shared" si="17"/>
        <v>0</v>
      </c>
      <c r="AO18" s="470">
        <f t="shared" si="17"/>
        <v>0</v>
      </c>
      <c r="AP18" s="470">
        <f t="shared" si="17"/>
        <v>25600</v>
      </c>
      <c r="AQ18" s="470">
        <f t="shared" si="17"/>
        <v>25600</v>
      </c>
      <c r="AR18" s="470">
        <f t="shared" si="17"/>
        <v>1354007</v>
      </c>
      <c r="AS18" s="470">
        <f t="shared" si="17"/>
        <v>0</v>
      </c>
      <c r="AT18" s="470">
        <f t="shared" si="17"/>
        <v>1354007</v>
      </c>
      <c r="AU18" s="470">
        <f t="shared" si="17"/>
        <v>457654</v>
      </c>
      <c r="AV18" s="470">
        <f t="shared" si="17"/>
        <v>13284</v>
      </c>
      <c r="AW18" s="470">
        <f t="shared" si="17"/>
        <v>1000</v>
      </c>
      <c r="AX18" s="470">
        <f t="shared" si="17"/>
        <v>0</v>
      </c>
      <c r="AY18" s="470">
        <f t="shared" si="17"/>
        <v>1000</v>
      </c>
      <c r="AZ18" s="470">
        <f t="shared" si="17"/>
        <v>1825945</v>
      </c>
      <c r="BA18" s="471">
        <f t="shared" si="17"/>
        <v>0</v>
      </c>
      <c r="BB18" s="471">
        <f t="shared" si="17"/>
        <v>0</v>
      </c>
      <c r="BC18" s="471">
        <f t="shared" si="17"/>
        <v>3.82</v>
      </c>
      <c r="BD18" s="471">
        <f t="shared" si="17"/>
        <v>0</v>
      </c>
      <c r="BE18" s="471">
        <f t="shared" si="17"/>
        <v>0</v>
      </c>
      <c r="BF18" s="471">
        <f t="shared" si="17"/>
        <v>0</v>
      </c>
      <c r="BG18" s="471">
        <f t="shared" si="17"/>
        <v>0</v>
      </c>
      <c r="BH18" s="471">
        <f t="shared" si="17"/>
        <v>0</v>
      </c>
      <c r="BI18" s="471">
        <f t="shared" si="17"/>
        <v>0</v>
      </c>
      <c r="BJ18" s="471">
        <f t="shared" si="17"/>
        <v>0</v>
      </c>
      <c r="BK18" s="471">
        <f t="shared" si="17"/>
        <v>3.82</v>
      </c>
      <c r="BL18" s="471">
        <f t="shared" si="17"/>
        <v>0</v>
      </c>
      <c r="BM18" s="561">
        <f t="shared" si="17"/>
        <v>3.82</v>
      </c>
      <c r="BN18" s="473">
        <f t="shared" si="17"/>
        <v>30271509</v>
      </c>
      <c r="BO18" s="470">
        <f t="shared" si="17"/>
        <v>22363537</v>
      </c>
      <c r="BP18" s="470">
        <f t="shared" si="17"/>
        <v>18828009</v>
      </c>
      <c r="BQ18" s="470">
        <f t="shared" si="17"/>
        <v>3535528</v>
      </c>
      <c r="BR18" s="470">
        <f t="shared" si="17"/>
        <v>25600</v>
      </c>
      <c r="BS18" s="470">
        <f t="shared" si="17"/>
        <v>0</v>
      </c>
      <c r="BT18" s="470">
        <f t="shared" si="17"/>
        <v>25600</v>
      </c>
      <c r="BU18" s="470">
        <f t="shared" si="17"/>
        <v>7567528</v>
      </c>
      <c r="BV18" s="470">
        <f t="shared" ref="BV18:CF18" si="19">SUM(BV14:BV17)</f>
        <v>223636</v>
      </c>
      <c r="BW18" s="470">
        <f t="shared" si="19"/>
        <v>91208</v>
      </c>
      <c r="BX18" s="471">
        <f t="shared" si="19"/>
        <v>46.0991</v>
      </c>
      <c r="BY18" s="471">
        <f t="shared" si="19"/>
        <v>34.465199999999996</v>
      </c>
      <c r="BZ18" s="561">
        <f t="shared" si="19"/>
        <v>11.633900000000001</v>
      </c>
      <c r="CA18" s="874">
        <f t="shared" si="19"/>
        <v>0</v>
      </c>
      <c r="CB18" s="871">
        <f t="shared" si="19"/>
        <v>0</v>
      </c>
      <c r="CC18" s="871">
        <f t="shared" si="19"/>
        <v>0</v>
      </c>
      <c r="CD18" s="871">
        <f t="shared" si="19"/>
        <v>0</v>
      </c>
      <c r="CE18" s="871">
        <f t="shared" si="19"/>
        <v>0</v>
      </c>
      <c r="CF18" s="847">
        <f t="shared" si="19"/>
        <v>0</v>
      </c>
    </row>
    <row r="19" spans="1:84" ht="12.95" customHeight="1" x14ac:dyDescent="0.25">
      <c r="A19" s="282">
        <v>3</v>
      </c>
      <c r="B19" s="283">
        <v>4464</v>
      </c>
      <c r="C19" s="283" t="s">
        <v>307</v>
      </c>
      <c r="D19" s="283">
        <v>46750461</v>
      </c>
      <c r="E19" s="285" t="s">
        <v>308</v>
      </c>
      <c r="F19" s="283">
        <v>3113</v>
      </c>
      <c r="G19" s="286" t="s">
        <v>309</v>
      </c>
      <c r="H19" s="286" t="s">
        <v>271</v>
      </c>
      <c r="I19" s="598">
        <f t="shared" ref="I19:I23" si="20">J19+M19+P19+Q19+R19</f>
        <v>35980188</v>
      </c>
      <c r="J19" s="418">
        <f t="shared" ref="J19:J81" si="21">K19+L19</f>
        <v>26333312</v>
      </c>
      <c r="K19" s="418">
        <v>24634100</v>
      </c>
      <c r="L19" s="418">
        <v>1699212</v>
      </c>
      <c r="M19" s="418">
        <f t="shared" ref="M19:M23" si="22">N19+O19</f>
        <v>0</v>
      </c>
      <c r="N19" s="418">
        <v>0</v>
      </c>
      <c r="O19" s="418">
        <v>0</v>
      </c>
      <c r="P19" s="68">
        <f t="shared" ref="P19:P23" si="23">ROUND((J19+M19)*33.8%,0)</f>
        <v>8900659</v>
      </c>
      <c r="Q19" s="68">
        <f t="shared" ref="Q19:Q23" si="24">ROUND(J19*1%,0)</f>
        <v>263333</v>
      </c>
      <c r="R19" s="418">
        <v>482884</v>
      </c>
      <c r="S19" s="419">
        <f>T19+U19</f>
        <v>39.709400000000002</v>
      </c>
      <c r="T19" s="420">
        <v>34.636800000000001</v>
      </c>
      <c r="U19" s="707">
        <v>5.0725999999999996</v>
      </c>
      <c r="V19" s="427">
        <f t="shared" ref="V19:W23" si="25">AI19*-1</f>
        <v>-32000</v>
      </c>
      <c r="W19" s="421">
        <f t="shared" si="25"/>
        <v>0</v>
      </c>
      <c r="X19" s="421">
        <v>0</v>
      </c>
      <c r="Y19" s="421">
        <v>0</v>
      </c>
      <c r="Z19" s="421">
        <v>0</v>
      </c>
      <c r="AA19" s="421">
        <v>0</v>
      </c>
      <c r="AB19" s="421">
        <v>0</v>
      </c>
      <c r="AC19" s="421">
        <v>0</v>
      </c>
      <c r="AD19" s="421">
        <v>0</v>
      </c>
      <c r="AE19" s="421">
        <v>0</v>
      </c>
      <c r="AF19" s="421">
        <f>V19+X19+Y19+AA19+AB19+AD19</f>
        <v>-32000</v>
      </c>
      <c r="AG19" s="421">
        <f>W19+Z19+AC19+AE19</f>
        <v>0</v>
      </c>
      <c r="AH19" s="421">
        <f>SUM(AF19:AG19)</f>
        <v>-32000</v>
      </c>
      <c r="AI19" s="421">
        <v>32000</v>
      </c>
      <c r="AJ19" s="421">
        <v>0</v>
      </c>
      <c r="AK19" s="421">
        <v>0</v>
      </c>
      <c r="AL19" s="421">
        <v>0</v>
      </c>
      <c r="AM19" s="421">
        <v>0</v>
      </c>
      <c r="AN19" s="421">
        <v>0</v>
      </c>
      <c r="AO19" s="421">
        <f t="shared" ref="AO19:AO23" si="26">AI19+AK19+AL19+AM19</f>
        <v>32000</v>
      </c>
      <c r="AP19" s="421">
        <f>AJ19+AN19</f>
        <v>0</v>
      </c>
      <c r="AQ19" s="421">
        <f>SUM(AO19:AP19)</f>
        <v>32000</v>
      </c>
      <c r="AR19" s="421">
        <f t="shared" ref="AR19:AS23" si="27">AF19+AO19</f>
        <v>0</v>
      </c>
      <c r="AS19" s="421">
        <f t="shared" si="27"/>
        <v>0</v>
      </c>
      <c r="AT19" s="421">
        <f>SUM(AR19:AS19)</f>
        <v>0</v>
      </c>
      <c r="AU19" s="68">
        <f t="shared" ref="AU19:AU23" si="28">ROUND((AH19+AI19+AJ19+AK19+AL19)*33.8%,0)</f>
        <v>0</v>
      </c>
      <c r="AV19" s="68">
        <f>ROUND(AH19*1%,0)</f>
        <v>-320</v>
      </c>
      <c r="AW19" s="421">
        <v>0</v>
      </c>
      <c r="AX19" s="421">
        <v>0</v>
      </c>
      <c r="AY19" s="421">
        <f>AW19+AX19</f>
        <v>0</v>
      </c>
      <c r="AZ19" s="421">
        <f>AT19+AU19+AV19+AY19</f>
        <v>-320</v>
      </c>
      <c r="BA19" s="422">
        <v>0</v>
      </c>
      <c r="BB19" s="422">
        <v>0</v>
      </c>
      <c r="BC19" s="422">
        <v>0</v>
      </c>
      <c r="BD19" s="422">
        <v>0</v>
      </c>
      <c r="BE19" s="422">
        <v>0</v>
      </c>
      <c r="BF19" s="422">
        <v>0</v>
      </c>
      <c r="BG19" s="422">
        <v>0</v>
      </c>
      <c r="BH19" s="422">
        <v>0</v>
      </c>
      <c r="BI19" s="422">
        <v>0</v>
      </c>
      <c r="BJ19" s="422">
        <v>0</v>
      </c>
      <c r="BK19" s="422">
        <f>BA19+BC19+BD19+BF19+BH19+BI19</f>
        <v>0</v>
      </c>
      <c r="BL19" s="422">
        <f>BB19+BE19+BG19+BJ19</f>
        <v>0</v>
      </c>
      <c r="BM19" s="611">
        <f>SUM(BK19:BL19)</f>
        <v>0</v>
      </c>
      <c r="BN19" s="428">
        <f>I19+AZ19</f>
        <v>35979868</v>
      </c>
      <c r="BO19" s="421">
        <f>J19+AH19</f>
        <v>26301312</v>
      </c>
      <c r="BP19" s="421">
        <f t="shared" ref="BP19:BQ23" si="29">K19+AF19</f>
        <v>24602100</v>
      </c>
      <c r="BQ19" s="421">
        <f t="shared" si="29"/>
        <v>1699212</v>
      </c>
      <c r="BR19" s="421">
        <f>M19+AQ19</f>
        <v>32000</v>
      </c>
      <c r="BS19" s="421">
        <f t="shared" ref="BS19:BT23" si="30">N19+AO19</f>
        <v>32000</v>
      </c>
      <c r="BT19" s="421">
        <f t="shared" si="30"/>
        <v>0</v>
      </c>
      <c r="BU19" s="421">
        <f t="shared" ref="BU19:BV23" si="31">P19+AU19</f>
        <v>8900659</v>
      </c>
      <c r="BV19" s="421">
        <f t="shared" si="31"/>
        <v>263013</v>
      </c>
      <c r="BW19" s="421">
        <f>R19+AY19</f>
        <v>482884</v>
      </c>
      <c r="BX19" s="422">
        <f>S19+BM19</f>
        <v>39.709400000000002</v>
      </c>
      <c r="BY19" s="422">
        <f t="shared" ref="BY19:BZ23" si="32">T19+BK19</f>
        <v>34.636800000000001</v>
      </c>
      <c r="BZ19" s="611">
        <f t="shared" si="32"/>
        <v>5.0725999999999996</v>
      </c>
      <c r="CA19" s="423"/>
      <c r="CB19" s="418"/>
      <c r="CC19" s="418"/>
      <c r="CD19" s="418"/>
      <c r="CE19" s="418"/>
      <c r="CF19" s="527"/>
    </row>
    <row r="20" spans="1:84" ht="12.95" customHeight="1" x14ac:dyDescent="0.25">
      <c r="A20" s="282">
        <v>3</v>
      </c>
      <c r="B20" s="283">
        <v>4464</v>
      </c>
      <c r="C20" s="283" t="s">
        <v>307</v>
      </c>
      <c r="D20" s="283">
        <v>46750461</v>
      </c>
      <c r="E20" s="285" t="s">
        <v>310</v>
      </c>
      <c r="F20" s="283">
        <v>3113</v>
      </c>
      <c r="G20" s="286" t="s">
        <v>299</v>
      </c>
      <c r="H20" s="286" t="s">
        <v>272</v>
      </c>
      <c r="I20" s="598">
        <f t="shared" si="20"/>
        <v>0</v>
      </c>
      <c r="J20" s="418">
        <f t="shared" si="21"/>
        <v>0</v>
      </c>
      <c r="K20" s="418">
        <v>0</v>
      </c>
      <c r="L20" s="418">
        <v>0</v>
      </c>
      <c r="M20" s="418">
        <f t="shared" si="22"/>
        <v>0</v>
      </c>
      <c r="N20" s="418">
        <v>0</v>
      </c>
      <c r="O20" s="418">
        <v>0</v>
      </c>
      <c r="P20" s="68">
        <f t="shared" si="23"/>
        <v>0</v>
      </c>
      <c r="Q20" s="68">
        <f t="shared" si="24"/>
        <v>0</v>
      </c>
      <c r="R20" s="418">
        <v>0</v>
      </c>
      <c r="S20" s="419">
        <f>T20+U20</f>
        <v>0</v>
      </c>
      <c r="T20" s="420">
        <v>0</v>
      </c>
      <c r="U20" s="707">
        <v>0</v>
      </c>
      <c r="V20" s="427">
        <f t="shared" si="25"/>
        <v>0</v>
      </c>
      <c r="W20" s="421">
        <f t="shared" si="25"/>
        <v>0</v>
      </c>
      <c r="X20" s="421">
        <v>1402879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1402879</v>
      </c>
      <c r="AG20" s="421">
        <f>W20+Z20+AC20+AE20</f>
        <v>0</v>
      </c>
      <c r="AH20" s="421">
        <f>SUM(AF20:AG20)</f>
        <v>1402879</v>
      </c>
      <c r="AI20" s="421">
        <v>0</v>
      </c>
      <c r="AJ20" s="421">
        <v>0</v>
      </c>
      <c r="AK20" s="421">
        <v>0</v>
      </c>
      <c r="AL20" s="421">
        <v>0</v>
      </c>
      <c r="AM20" s="421">
        <v>0</v>
      </c>
      <c r="AN20" s="421">
        <v>0</v>
      </c>
      <c r="AO20" s="421">
        <f t="shared" si="26"/>
        <v>0</v>
      </c>
      <c r="AP20" s="421">
        <f>AJ20+AN20</f>
        <v>0</v>
      </c>
      <c r="AQ20" s="421">
        <f>SUM(AO20:AP20)</f>
        <v>0</v>
      </c>
      <c r="AR20" s="421">
        <f t="shared" si="27"/>
        <v>1402879</v>
      </c>
      <c r="AS20" s="421">
        <f t="shared" si="27"/>
        <v>0</v>
      </c>
      <c r="AT20" s="421">
        <f>SUM(AR20:AS20)</f>
        <v>1402879</v>
      </c>
      <c r="AU20" s="68">
        <f t="shared" si="28"/>
        <v>474173</v>
      </c>
      <c r="AV20" s="68">
        <f>ROUND(AH20*1%,0)</f>
        <v>14029</v>
      </c>
      <c r="AW20" s="421">
        <v>0</v>
      </c>
      <c r="AX20" s="421">
        <v>0</v>
      </c>
      <c r="AY20" s="421">
        <f>AW20+AX20</f>
        <v>0</v>
      </c>
      <c r="AZ20" s="421">
        <f>AT20+AU20+AV20+AY20</f>
        <v>1891081</v>
      </c>
      <c r="BA20" s="422">
        <v>0</v>
      </c>
      <c r="BB20" s="422">
        <v>0</v>
      </c>
      <c r="BC20" s="422">
        <v>3.92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3.92</v>
      </c>
      <c r="BL20" s="422">
        <f>BB20+BE20+BG20+BJ20</f>
        <v>0</v>
      </c>
      <c r="BM20" s="611">
        <f>SUM(BK20:BL20)</f>
        <v>3.92</v>
      </c>
      <c r="BN20" s="428">
        <f>I20+AZ20</f>
        <v>1891081</v>
      </c>
      <c r="BO20" s="421">
        <f>J20+AH20</f>
        <v>1402879</v>
      </c>
      <c r="BP20" s="421">
        <f t="shared" si="29"/>
        <v>1402879</v>
      </c>
      <c r="BQ20" s="421">
        <f t="shared" si="29"/>
        <v>0</v>
      </c>
      <c r="BR20" s="421">
        <f>M20+AQ20</f>
        <v>0</v>
      </c>
      <c r="BS20" s="421">
        <f t="shared" si="30"/>
        <v>0</v>
      </c>
      <c r="BT20" s="421">
        <f t="shared" si="30"/>
        <v>0</v>
      </c>
      <c r="BU20" s="421">
        <f t="shared" si="31"/>
        <v>474173</v>
      </c>
      <c r="BV20" s="421">
        <f t="shared" si="31"/>
        <v>14029</v>
      </c>
      <c r="BW20" s="421">
        <f>R20+AY20</f>
        <v>0</v>
      </c>
      <c r="BX20" s="422">
        <f>S20+BM20</f>
        <v>3.92</v>
      </c>
      <c r="BY20" s="422">
        <f t="shared" si="32"/>
        <v>3.92</v>
      </c>
      <c r="BZ20" s="611">
        <f t="shared" si="32"/>
        <v>0</v>
      </c>
      <c r="CA20" s="423"/>
      <c r="CB20" s="418"/>
      <c r="CC20" s="418"/>
      <c r="CD20" s="418"/>
      <c r="CE20" s="418"/>
      <c r="CF20" s="527"/>
    </row>
    <row r="21" spans="1:84" ht="12.95" customHeight="1" x14ac:dyDescent="0.25">
      <c r="A21" s="282">
        <v>3</v>
      </c>
      <c r="B21" s="283">
        <v>4464</v>
      </c>
      <c r="C21" s="283" t="s">
        <v>307</v>
      </c>
      <c r="D21" s="283">
        <v>46750461</v>
      </c>
      <c r="E21" s="285" t="s">
        <v>308</v>
      </c>
      <c r="F21" s="283">
        <v>3141</v>
      </c>
      <c r="G21" s="286" t="s">
        <v>295</v>
      </c>
      <c r="H21" s="286" t="s">
        <v>272</v>
      </c>
      <c r="I21" s="598">
        <f t="shared" si="20"/>
        <v>2159489</v>
      </c>
      <c r="J21" s="418">
        <f t="shared" si="21"/>
        <v>1589599</v>
      </c>
      <c r="K21" s="418">
        <v>0</v>
      </c>
      <c r="L21" s="418">
        <v>1589599</v>
      </c>
      <c r="M21" s="418">
        <f t="shared" si="22"/>
        <v>0</v>
      </c>
      <c r="N21" s="418">
        <v>0</v>
      </c>
      <c r="O21" s="418">
        <v>0</v>
      </c>
      <c r="P21" s="68">
        <f t="shared" si="23"/>
        <v>537284</v>
      </c>
      <c r="Q21" s="68">
        <f t="shared" si="24"/>
        <v>15896</v>
      </c>
      <c r="R21" s="418">
        <v>16710</v>
      </c>
      <c r="S21" s="419">
        <f>T21+U21</f>
        <v>4.7667000000000002</v>
      </c>
      <c r="T21" s="420">
        <v>0</v>
      </c>
      <c r="U21" s="707">
        <v>4.7667000000000002</v>
      </c>
      <c r="V21" s="427">
        <f t="shared" si="25"/>
        <v>0</v>
      </c>
      <c r="W21" s="421">
        <f t="shared" si="25"/>
        <v>-6400</v>
      </c>
      <c r="X21" s="421">
        <v>0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0</v>
      </c>
      <c r="AG21" s="421">
        <f>W21+Z21+AC21+AE21</f>
        <v>-6400</v>
      </c>
      <c r="AH21" s="421">
        <f>SUM(AF21:AG21)</f>
        <v>-6400</v>
      </c>
      <c r="AI21" s="421">
        <v>0</v>
      </c>
      <c r="AJ21" s="421">
        <v>6400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26"/>
        <v>0</v>
      </c>
      <c r="AP21" s="421">
        <f>AJ21+AN21</f>
        <v>6400</v>
      </c>
      <c r="AQ21" s="421">
        <f>SUM(AO21:AP21)</f>
        <v>6400</v>
      </c>
      <c r="AR21" s="421">
        <f t="shared" si="27"/>
        <v>0</v>
      </c>
      <c r="AS21" s="421">
        <f t="shared" si="27"/>
        <v>0</v>
      </c>
      <c r="AT21" s="421">
        <f>SUM(AR21:AS21)</f>
        <v>0</v>
      </c>
      <c r="AU21" s="68">
        <f t="shared" si="28"/>
        <v>0</v>
      </c>
      <c r="AV21" s="68">
        <f>ROUND(AH21*1%,0)</f>
        <v>-64</v>
      </c>
      <c r="AW21" s="421">
        <v>0</v>
      </c>
      <c r="AX21" s="421">
        <v>0</v>
      </c>
      <c r="AY21" s="421">
        <f>AW21+AX21</f>
        <v>0</v>
      </c>
      <c r="AZ21" s="421">
        <f>AT21+AU21+AV21+AY21</f>
        <v>-64</v>
      </c>
      <c r="BA21" s="422">
        <v>0</v>
      </c>
      <c r="BB21" s="422">
        <v>0</v>
      </c>
      <c r="BC21" s="422">
        <v>0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0</v>
      </c>
      <c r="BL21" s="422">
        <f>BB21+BE21+BG21+BJ21</f>
        <v>0</v>
      </c>
      <c r="BM21" s="611">
        <f>SUM(BK21:BL21)</f>
        <v>0</v>
      </c>
      <c r="BN21" s="428">
        <f>I21+AZ21</f>
        <v>2159425</v>
      </c>
      <c r="BO21" s="421">
        <f>J21+AH21</f>
        <v>1583199</v>
      </c>
      <c r="BP21" s="421">
        <f t="shared" si="29"/>
        <v>0</v>
      </c>
      <c r="BQ21" s="421">
        <f t="shared" si="29"/>
        <v>1583199</v>
      </c>
      <c r="BR21" s="421">
        <f>M21+AQ21</f>
        <v>6400</v>
      </c>
      <c r="BS21" s="421">
        <f t="shared" si="30"/>
        <v>0</v>
      </c>
      <c r="BT21" s="421">
        <f t="shared" si="30"/>
        <v>6400</v>
      </c>
      <c r="BU21" s="421">
        <f t="shared" si="31"/>
        <v>537284</v>
      </c>
      <c r="BV21" s="421">
        <f t="shared" si="31"/>
        <v>15832</v>
      </c>
      <c r="BW21" s="421">
        <f>R21+AY21</f>
        <v>16710</v>
      </c>
      <c r="BX21" s="422">
        <f>S21+BM21</f>
        <v>4.7667000000000002</v>
      </c>
      <c r="BY21" s="422">
        <f t="shared" si="32"/>
        <v>0</v>
      </c>
      <c r="BZ21" s="611">
        <f t="shared" si="32"/>
        <v>4.7667000000000002</v>
      </c>
      <c r="CA21" s="423"/>
      <c r="CB21" s="418"/>
      <c r="CC21" s="418"/>
      <c r="CD21" s="418"/>
      <c r="CE21" s="418"/>
      <c r="CF21" s="527"/>
    </row>
    <row r="22" spans="1:84" ht="12.95" customHeight="1" x14ac:dyDescent="0.25">
      <c r="A22" s="282">
        <v>3</v>
      </c>
      <c r="B22" s="283">
        <v>4464</v>
      </c>
      <c r="C22" s="283" t="s">
        <v>307</v>
      </c>
      <c r="D22" s="283">
        <v>46750461</v>
      </c>
      <c r="E22" s="285" t="s">
        <v>310</v>
      </c>
      <c r="F22" s="283">
        <v>3143</v>
      </c>
      <c r="G22" s="286" t="s">
        <v>596</v>
      </c>
      <c r="H22" s="286" t="s">
        <v>271</v>
      </c>
      <c r="I22" s="598">
        <f t="shared" si="20"/>
        <v>3564738</v>
      </c>
      <c r="J22" s="418">
        <f t="shared" si="21"/>
        <v>2644464</v>
      </c>
      <c r="K22" s="418">
        <v>2644464</v>
      </c>
      <c r="L22" s="418">
        <v>0</v>
      </c>
      <c r="M22" s="418">
        <f t="shared" si="22"/>
        <v>0</v>
      </c>
      <c r="N22" s="418">
        <v>0</v>
      </c>
      <c r="O22" s="418">
        <v>0</v>
      </c>
      <c r="P22" s="68">
        <f t="shared" si="23"/>
        <v>893829</v>
      </c>
      <c r="Q22" s="68">
        <f t="shared" si="24"/>
        <v>26445</v>
      </c>
      <c r="R22" s="418">
        <v>0</v>
      </c>
      <c r="S22" s="419">
        <f>T22+U22</f>
        <v>4.9997999999999996</v>
      </c>
      <c r="T22" s="420">
        <v>4.9997999999999996</v>
      </c>
      <c r="U22" s="707">
        <v>0</v>
      </c>
      <c r="V22" s="427">
        <f t="shared" si="25"/>
        <v>-12800</v>
      </c>
      <c r="W22" s="421">
        <f t="shared" si="25"/>
        <v>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-12800</v>
      </c>
      <c r="AG22" s="421">
        <f>W22+Z22+AC22+AE22</f>
        <v>0</v>
      </c>
      <c r="AH22" s="421">
        <f>SUM(AF22:AG22)</f>
        <v>-12800</v>
      </c>
      <c r="AI22" s="421">
        <v>12800</v>
      </c>
      <c r="AJ22" s="421">
        <v>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si="26"/>
        <v>12800</v>
      </c>
      <c r="AP22" s="421">
        <f>AJ22+AN22</f>
        <v>0</v>
      </c>
      <c r="AQ22" s="421">
        <f>SUM(AO22:AP22)</f>
        <v>12800</v>
      </c>
      <c r="AR22" s="421">
        <f t="shared" si="27"/>
        <v>0</v>
      </c>
      <c r="AS22" s="421">
        <f t="shared" si="27"/>
        <v>0</v>
      </c>
      <c r="AT22" s="421">
        <f>SUM(AR22:AS22)</f>
        <v>0</v>
      </c>
      <c r="AU22" s="68">
        <f t="shared" si="28"/>
        <v>0</v>
      </c>
      <c r="AV22" s="68">
        <f>ROUND(AH22*1%,0)</f>
        <v>-128</v>
      </c>
      <c r="AW22" s="421">
        <v>0</v>
      </c>
      <c r="AX22" s="421">
        <v>0</v>
      </c>
      <c r="AY22" s="421">
        <f>AW22+AX22</f>
        <v>0</v>
      </c>
      <c r="AZ22" s="421">
        <f>AT22+AU22+AV22+AY22</f>
        <v>-128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</v>
      </c>
      <c r="BL22" s="422">
        <f>BB22+BE22+BG22+BJ22</f>
        <v>0</v>
      </c>
      <c r="BM22" s="611">
        <f>SUM(BK22:BL22)</f>
        <v>0</v>
      </c>
      <c r="BN22" s="428">
        <f>I22+AZ22</f>
        <v>3564610</v>
      </c>
      <c r="BO22" s="421">
        <f>J22+AH22</f>
        <v>2631664</v>
      </c>
      <c r="BP22" s="421">
        <f t="shared" si="29"/>
        <v>2631664</v>
      </c>
      <c r="BQ22" s="421">
        <f t="shared" si="29"/>
        <v>0</v>
      </c>
      <c r="BR22" s="421">
        <f>M22+AQ22</f>
        <v>12800</v>
      </c>
      <c r="BS22" s="421">
        <f t="shared" si="30"/>
        <v>12800</v>
      </c>
      <c r="BT22" s="421">
        <f t="shared" si="30"/>
        <v>0</v>
      </c>
      <c r="BU22" s="421">
        <f t="shared" si="31"/>
        <v>893829</v>
      </c>
      <c r="BV22" s="421">
        <f t="shared" si="31"/>
        <v>26317</v>
      </c>
      <c r="BW22" s="421">
        <f>R22+AY22</f>
        <v>0</v>
      </c>
      <c r="BX22" s="422">
        <f>S22+BM22</f>
        <v>4.9997999999999996</v>
      </c>
      <c r="BY22" s="422">
        <f t="shared" si="32"/>
        <v>4.9997999999999996</v>
      </c>
      <c r="BZ22" s="611">
        <f t="shared" si="32"/>
        <v>0</v>
      </c>
      <c r="CA22" s="423"/>
      <c r="CB22" s="418"/>
      <c r="CC22" s="418"/>
      <c r="CD22" s="418"/>
      <c r="CE22" s="418"/>
      <c r="CF22" s="527"/>
    </row>
    <row r="23" spans="1:84" ht="12.95" customHeight="1" x14ac:dyDescent="0.25">
      <c r="A23" s="282">
        <v>3</v>
      </c>
      <c r="B23" s="283">
        <v>4464</v>
      </c>
      <c r="C23" s="283" t="s">
        <v>307</v>
      </c>
      <c r="D23" s="283">
        <v>46750461</v>
      </c>
      <c r="E23" s="285" t="s">
        <v>310</v>
      </c>
      <c r="F23" s="283">
        <v>3143</v>
      </c>
      <c r="G23" s="286" t="s">
        <v>597</v>
      </c>
      <c r="H23" s="286" t="s">
        <v>272</v>
      </c>
      <c r="I23" s="598">
        <f t="shared" si="20"/>
        <v>90143</v>
      </c>
      <c r="J23" s="418">
        <f t="shared" si="21"/>
        <v>64522</v>
      </c>
      <c r="K23" s="418">
        <v>0</v>
      </c>
      <c r="L23" s="418">
        <v>64522</v>
      </c>
      <c r="M23" s="418">
        <f t="shared" si="22"/>
        <v>0</v>
      </c>
      <c r="N23" s="418">
        <v>0</v>
      </c>
      <c r="O23" s="418">
        <v>0</v>
      </c>
      <c r="P23" s="68">
        <f t="shared" si="23"/>
        <v>21808</v>
      </c>
      <c r="Q23" s="68">
        <f t="shared" si="24"/>
        <v>645</v>
      </c>
      <c r="R23" s="418">
        <v>3168</v>
      </c>
      <c r="S23" s="419">
        <f>T23+U23</f>
        <v>0.24440000000000001</v>
      </c>
      <c r="T23" s="420">
        <v>0</v>
      </c>
      <c r="U23" s="707">
        <v>0.24440000000000001</v>
      </c>
      <c r="V23" s="427">
        <f t="shared" si="25"/>
        <v>0</v>
      </c>
      <c r="W23" s="421">
        <f t="shared" si="25"/>
        <v>0</v>
      </c>
      <c r="X23" s="421">
        <v>0</v>
      </c>
      <c r="Y23" s="421">
        <v>0</v>
      </c>
      <c r="Z23" s="421">
        <v>0</v>
      </c>
      <c r="AA23" s="421">
        <v>0</v>
      </c>
      <c r="AB23" s="421">
        <v>0</v>
      </c>
      <c r="AC23" s="421">
        <v>0</v>
      </c>
      <c r="AD23" s="421">
        <v>0</v>
      </c>
      <c r="AE23" s="421">
        <v>0</v>
      </c>
      <c r="AF23" s="421">
        <f>V23+X23+Y23+AA23+AB23+AD23</f>
        <v>0</v>
      </c>
      <c r="AG23" s="421">
        <f>W23+Z23+AC23+AE23</f>
        <v>0</v>
      </c>
      <c r="AH23" s="421">
        <f>SUM(AF23:AG23)</f>
        <v>0</v>
      </c>
      <c r="AI23" s="421">
        <v>0</v>
      </c>
      <c r="AJ23" s="421">
        <v>0</v>
      </c>
      <c r="AK23" s="421">
        <v>0</v>
      </c>
      <c r="AL23" s="421">
        <v>0</v>
      </c>
      <c r="AM23" s="421">
        <v>0</v>
      </c>
      <c r="AN23" s="421">
        <v>0</v>
      </c>
      <c r="AO23" s="421">
        <f t="shared" si="26"/>
        <v>0</v>
      </c>
      <c r="AP23" s="421">
        <f>AJ23+AN23</f>
        <v>0</v>
      </c>
      <c r="AQ23" s="421">
        <f>SUM(AO23:AP23)</f>
        <v>0</v>
      </c>
      <c r="AR23" s="421">
        <f t="shared" si="27"/>
        <v>0</v>
      </c>
      <c r="AS23" s="421">
        <f t="shared" si="27"/>
        <v>0</v>
      </c>
      <c r="AT23" s="421">
        <f>SUM(AR23:AS23)</f>
        <v>0</v>
      </c>
      <c r="AU23" s="68">
        <f t="shared" si="28"/>
        <v>0</v>
      </c>
      <c r="AV23" s="68">
        <f>ROUND(AH23*1%,0)</f>
        <v>0</v>
      </c>
      <c r="AW23" s="421">
        <v>0</v>
      </c>
      <c r="AX23" s="421">
        <v>0</v>
      </c>
      <c r="AY23" s="421">
        <f>AW23+AX23</f>
        <v>0</v>
      </c>
      <c r="AZ23" s="421">
        <f>AT23+AU23+AV23+AY23</f>
        <v>0</v>
      </c>
      <c r="BA23" s="422">
        <v>0</v>
      </c>
      <c r="BB23" s="422">
        <v>0</v>
      </c>
      <c r="BC23" s="422">
        <v>0</v>
      </c>
      <c r="BD23" s="422">
        <v>0</v>
      </c>
      <c r="BE23" s="422">
        <v>0</v>
      </c>
      <c r="BF23" s="422">
        <v>0</v>
      </c>
      <c r="BG23" s="422">
        <v>0</v>
      </c>
      <c r="BH23" s="422">
        <v>0</v>
      </c>
      <c r="BI23" s="422">
        <v>0</v>
      </c>
      <c r="BJ23" s="422">
        <v>0</v>
      </c>
      <c r="BK23" s="422">
        <f>BA23+BC23+BD23+BF23+BH23+BI23</f>
        <v>0</v>
      </c>
      <c r="BL23" s="422">
        <f>BB23+BE23+BG23+BJ23</f>
        <v>0</v>
      </c>
      <c r="BM23" s="611">
        <f>SUM(BK23:BL23)</f>
        <v>0</v>
      </c>
      <c r="BN23" s="428">
        <f>I23+AZ23</f>
        <v>90143</v>
      </c>
      <c r="BO23" s="421">
        <f>J23+AH23</f>
        <v>64522</v>
      </c>
      <c r="BP23" s="421">
        <f t="shared" si="29"/>
        <v>0</v>
      </c>
      <c r="BQ23" s="421">
        <f t="shared" si="29"/>
        <v>64522</v>
      </c>
      <c r="BR23" s="421">
        <f>M23+AQ23</f>
        <v>0</v>
      </c>
      <c r="BS23" s="421">
        <f t="shared" si="30"/>
        <v>0</v>
      </c>
      <c r="BT23" s="421">
        <f t="shared" si="30"/>
        <v>0</v>
      </c>
      <c r="BU23" s="421">
        <f t="shared" si="31"/>
        <v>21808</v>
      </c>
      <c r="BV23" s="421">
        <f t="shared" si="31"/>
        <v>645</v>
      </c>
      <c r="BW23" s="421">
        <f>R23+AY23</f>
        <v>3168</v>
      </c>
      <c r="BX23" s="422">
        <f>S23+BM23</f>
        <v>0.24440000000000001</v>
      </c>
      <c r="BY23" s="422">
        <f t="shared" si="32"/>
        <v>0</v>
      </c>
      <c r="BZ23" s="611">
        <f t="shared" si="32"/>
        <v>0.24440000000000001</v>
      </c>
      <c r="CA23" s="423"/>
      <c r="CB23" s="418"/>
      <c r="CC23" s="418"/>
      <c r="CD23" s="418"/>
      <c r="CE23" s="418"/>
      <c r="CF23" s="527"/>
    </row>
    <row r="24" spans="1:84" ht="12.95" customHeight="1" x14ac:dyDescent="0.25">
      <c r="A24" s="275">
        <v>3</v>
      </c>
      <c r="B24" s="277">
        <v>4464</v>
      </c>
      <c r="C24" s="277" t="s">
        <v>307</v>
      </c>
      <c r="D24" s="277">
        <v>46750461</v>
      </c>
      <c r="E24" s="290" t="s">
        <v>311</v>
      </c>
      <c r="F24" s="277"/>
      <c r="G24" s="291"/>
      <c r="H24" s="291"/>
      <c r="I24" s="473">
        <f t="shared" ref="I24:BU24" si="33">SUM(I19:I23)</f>
        <v>41794558</v>
      </c>
      <c r="J24" s="470">
        <f t="shared" si="33"/>
        <v>30631897</v>
      </c>
      <c r="K24" s="470">
        <f t="shared" si="33"/>
        <v>27278564</v>
      </c>
      <c r="L24" s="470">
        <f t="shared" si="33"/>
        <v>3353333</v>
      </c>
      <c r="M24" s="470">
        <f t="shared" si="33"/>
        <v>0</v>
      </c>
      <c r="N24" s="470">
        <f t="shared" si="33"/>
        <v>0</v>
      </c>
      <c r="O24" s="470">
        <f t="shared" si="33"/>
        <v>0</v>
      </c>
      <c r="P24" s="470">
        <f t="shared" si="33"/>
        <v>10353580</v>
      </c>
      <c r="Q24" s="470">
        <f t="shared" si="33"/>
        <v>306319</v>
      </c>
      <c r="R24" s="470">
        <f t="shared" si="33"/>
        <v>502762</v>
      </c>
      <c r="S24" s="471">
        <f t="shared" si="33"/>
        <v>49.720300000000002</v>
      </c>
      <c r="T24" s="471">
        <f t="shared" si="33"/>
        <v>39.636600000000001</v>
      </c>
      <c r="U24" s="292">
        <f t="shared" si="33"/>
        <v>10.0837</v>
      </c>
      <c r="V24" s="475">
        <f t="shared" si="33"/>
        <v>-44800</v>
      </c>
      <c r="W24" s="470">
        <f t="shared" si="33"/>
        <v>-6400</v>
      </c>
      <c r="X24" s="470">
        <f t="shared" si="33"/>
        <v>1402879</v>
      </c>
      <c r="Y24" s="470">
        <f t="shared" si="33"/>
        <v>0</v>
      </c>
      <c r="Z24" s="470">
        <f t="shared" si="33"/>
        <v>0</v>
      </c>
      <c r="AA24" s="470">
        <f t="shared" si="33"/>
        <v>0</v>
      </c>
      <c r="AB24" s="470">
        <f t="shared" si="33"/>
        <v>0</v>
      </c>
      <c r="AC24" s="470">
        <f t="shared" si="33"/>
        <v>0</v>
      </c>
      <c r="AD24" s="470">
        <f t="shared" si="33"/>
        <v>0</v>
      </c>
      <c r="AE24" s="470">
        <f t="shared" si="33"/>
        <v>0</v>
      </c>
      <c r="AF24" s="470">
        <f t="shared" si="33"/>
        <v>1358079</v>
      </c>
      <c r="AG24" s="470">
        <f t="shared" si="33"/>
        <v>-6400</v>
      </c>
      <c r="AH24" s="470">
        <f t="shared" si="33"/>
        <v>1351679</v>
      </c>
      <c r="AI24" s="470">
        <f t="shared" si="33"/>
        <v>44800</v>
      </c>
      <c r="AJ24" s="470">
        <f t="shared" si="33"/>
        <v>6400</v>
      </c>
      <c r="AK24" s="470">
        <f t="shared" ref="AK24" si="34">SUM(AK19:AK23)</f>
        <v>0</v>
      </c>
      <c r="AL24" s="470">
        <f t="shared" si="33"/>
        <v>0</v>
      </c>
      <c r="AM24" s="470">
        <f t="shared" si="33"/>
        <v>0</v>
      </c>
      <c r="AN24" s="470">
        <f t="shared" si="33"/>
        <v>0</v>
      </c>
      <c r="AO24" s="470">
        <f t="shared" si="33"/>
        <v>44800</v>
      </c>
      <c r="AP24" s="470">
        <f t="shared" si="33"/>
        <v>6400</v>
      </c>
      <c r="AQ24" s="470">
        <f t="shared" si="33"/>
        <v>51200</v>
      </c>
      <c r="AR24" s="470">
        <f t="shared" si="33"/>
        <v>1402879</v>
      </c>
      <c r="AS24" s="470">
        <f t="shared" si="33"/>
        <v>0</v>
      </c>
      <c r="AT24" s="470">
        <f t="shared" si="33"/>
        <v>1402879</v>
      </c>
      <c r="AU24" s="470">
        <f t="shared" si="33"/>
        <v>474173</v>
      </c>
      <c r="AV24" s="470">
        <f t="shared" si="33"/>
        <v>13517</v>
      </c>
      <c r="AW24" s="470">
        <f t="shared" si="33"/>
        <v>0</v>
      </c>
      <c r="AX24" s="470">
        <f t="shared" si="33"/>
        <v>0</v>
      </c>
      <c r="AY24" s="470">
        <f t="shared" si="33"/>
        <v>0</v>
      </c>
      <c r="AZ24" s="470">
        <f t="shared" si="33"/>
        <v>1890569</v>
      </c>
      <c r="BA24" s="471">
        <f t="shared" si="33"/>
        <v>0</v>
      </c>
      <c r="BB24" s="471">
        <f t="shared" si="33"/>
        <v>0</v>
      </c>
      <c r="BC24" s="471">
        <f t="shared" si="33"/>
        <v>3.92</v>
      </c>
      <c r="BD24" s="471">
        <f t="shared" si="33"/>
        <v>0</v>
      </c>
      <c r="BE24" s="471">
        <f t="shared" si="33"/>
        <v>0</v>
      </c>
      <c r="BF24" s="471">
        <f t="shared" si="33"/>
        <v>0</v>
      </c>
      <c r="BG24" s="471">
        <f t="shared" si="33"/>
        <v>0</v>
      </c>
      <c r="BH24" s="471">
        <f t="shared" si="33"/>
        <v>0</v>
      </c>
      <c r="BI24" s="471">
        <f t="shared" si="33"/>
        <v>0</v>
      </c>
      <c r="BJ24" s="471">
        <f t="shared" si="33"/>
        <v>0</v>
      </c>
      <c r="BK24" s="471">
        <f t="shared" si="33"/>
        <v>3.92</v>
      </c>
      <c r="BL24" s="471">
        <f t="shared" si="33"/>
        <v>0</v>
      </c>
      <c r="BM24" s="561">
        <f t="shared" si="33"/>
        <v>3.92</v>
      </c>
      <c r="BN24" s="473">
        <f t="shared" si="33"/>
        <v>43685127</v>
      </c>
      <c r="BO24" s="470">
        <f t="shared" si="33"/>
        <v>31983576</v>
      </c>
      <c r="BP24" s="470">
        <f t="shared" si="33"/>
        <v>28636643</v>
      </c>
      <c r="BQ24" s="470">
        <f t="shared" si="33"/>
        <v>3346933</v>
      </c>
      <c r="BR24" s="470">
        <f t="shared" si="33"/>
        <v>51200</v>
      </c>
      <c r="BS24" s="470">
        <f t="shared" si="33"/>
        <v>44800</v>
      </c>
      <c r="BT24" s="470">
        <f t="shared" si="33"/>
        <v>6400</v>
      </c>
      <c r="BU24" s="470">
        <f t="shared" si="33"/>
        <v>10827753</v>
      </c>
      <c r="BV24" s="470">
        <f t="shared" ref="BV24:CF24" si="35">SUM(BV19:BV23)</f>
        <v>319836</v>
      </c>
      <c r="BW24" s="470">
        <f t="shared" si="35"/>
        <v>502762</v>
      </c>
      <c r="BX24" s="471">
        <f t="shared" si="35"/>
        <v>53.640300000000003</v>
      </c>
      <c r="BY24" s="471">
        <f t="shared" si="35"/>
        <v>43.556600000000003</v>
      </c>
      <c r="BZ24" s="561">
        <f t="shared" si="35"/>
        <v>10.0837</v>
      </c>
      <c r="CA24" s="874">
        <f t="shared" si="35"/>
        <v>0</v>
      </c>
      <c r="CB24" s="871">
        <f t="shared" si="35"/>
        <v>0</v>
      </c>
      <c r="CC24" s="871">
        <f t="shared" si="35"/>
        <v>0</v>
      </c>
      <c r="CD24" s="871">
        <f t="shared" si="35"/>
        <v>0</v>
      </c>
      <c r="CE24" s="871">
        <f t="shared" si="35"/>
        <v>0</v>
      </c>
      <c r="CF24" s="847">
        <f t="shared" si="35"/>
        <v>0</v>
      </c>
    </row>
    <row r="25" spans="1:84" ht="12.95" customHeight="1" x14ac:dyDescent="0.25">
      <c r="A25" s="282">
        <v>4</v>
      </c>
      <c r="B25" s="283">
        <v>4457</v>
      </c>
      <c r="C25" s="283">
        <v>600074609</v>
      </c>
      <c r="D25" s="283">
        <v>72743964</v>
      </c>
      <c r="E25" s="285" t="s">
        <v>312</v>
      </c>
      <c r="F25" s="283">
        <v>3117</v>
      </c>
      <c r="G25" s="286" t="s">
        <v>309</v>
      </c>
      <c r="H25" s="286" t="s">
        <v>271</v>
      </c>
      <c r="I25" s="598">
        <f t="shared" ref="I25:I29" si="36">J25+M25+P25+Q25+R25</f>
        <v>5905796</v>
      </c>
      <c r="J25" s="418">
        <f t="shared" si="21"/>
        <v>4319763</v>
      </c>
      <c r="K25" s="418">
        <v>3938034</v>
      </c>
      <c r="L25" s="418">
        <v>381729</v>
      </c>
      <c r="M25" s="418">
        <f t="shared" ref="M25:M29" si="37">N25+O25</f>
        <v>0</v>
      </c>
      <c r="N25" s="418">
        <v>0</v>
      </c>
      <c r="O25" s="418">
        <v>0</v>
      </c>
      <c r="P25" s="68">
        <f>ROUND((J25+M25)*33.8%,0)-1</f>
        <v>1460079</v>
      </c>
      <c r="Q25" s="68">
        <f t="shared" ref="Q25:Q29" si="38">ROUND(J25*1%,0)</f>
        <v>43198</v>
      </c>
      <c r="R25" s="418">
        <v>82756</v>
      </c>
      <c r="S25" s="419">
        <f>T25+U25</f>
        <v>6.8314000000000004</v>
      </c>
      <c r="T25" s="420">
        <v>5.8471000000000002</v>
      </c>
      <c r="U25" s="707">
        <v>0.98430000000000006</v>
      </c>
      <c r="V25" s="427">
        <f t="shared" ref="V25:W29" si="39">AI25*-1</f>
        <v>-12800</v>
      </c>
      <c r="W25" s="421">
        <f t="shared" si="39"/>
        <v>-6400</v>
      </c>
      <c r="X25" s="421">
        <v>0</v>
      </c>
      <c r="Y25" s="421">
        <v>0</v>
      </c>
      <c r="Z25" s="421">
        <v>0</v>
      </c>
      <c r="AA25" s="421">
        <v>0</v>
      </c>
      <c r="AB25" s="421">
        <v>0</v>
      </c>
      <c r="AC25" s="421">
        <v>0</v>
      </c>
      <c r="AD25" s="421">
        <v>0</v>
      </c>
      <c r="AE25" s="421">
        <v>0</v>
      </c>
      <c r="AF25" s="421">
        <f>V25+X25+Y25+AA25+AB25+AD25</f>
        <v>-12800</v>
      </c>
      <c r="AG25" s="421">
        <f>W25+Z25+AC25+AE25</f>
        <v>-6400</v>
      </c>
      <c r="AH25" s="421">
        <f>SUM(AF25:AG25)</f>
        <v>-19200</v>
      </c>
      <c r="AI25" s="421">
        <v>12800</v>
      </c>
      <c r="AJ25" s="421">
        <v>6400</v>
      </c>
      <c r="AK25" s="421">
        <v>0</v>
      </c>
      <c r="AL25" s="421">
        <v>0</v>
      </c>
      <c r="AM25" s="421">
        <v>0</v>
      </c>
      <c r="AN25" s="421">
        <v>0</v>
      </c>
      <c r="AO25" s="421">
        <f t="shared" ref="AO25:AO29" si="40">AI25+AK25+AL25+AM25</f>
        <v>12800</v>
      </c>
      <c r="AP25" s="421">
        <f>AJ25+AN25</f>
        <v>6400</v>
      </c>
      <c r="AQ25" s="421">
        <f>SUM(AO25:AP25)</f>
        <v>19200</v>
      </c>
      <c r="AR25" s="421">
        <f t="shared" ref="AR25:AS29" si="41">AF25+AO25</f>
        <v>0</v>
      </c>
      <c r="AS25" s="421">
        <f t="shared" si="41"/>
        <v>0</v>
      </c>
      <c r="AT25" s="421">
        <f>SUM(AR25:AS25)</f>
        <v>0</v>
      </c>
      <c r="AU25" s="68">
        <f t="shared" ref="AU25:AU29" si="42">ROUND((AH25+AI25+AJ25+AK25+AL25)*33.8%,0)</f>
        <v>0</v>
      </c>
      <c r="AV25" s="68">
        <f>ROUND(AH25*1%,0)</f>
        <v>-192</v>
      </c>
      <c r="AW25" s="421">
        <v>0</v>
      </c>
      <c r="AX25" s="421">
        <v>0</v>
      </c>
      <c r="AY25" s="421">
        <f>AW25+AX25</f>
        <v>0</v>
      </c>
      <c r="AZ25" s="421">
        <f>AT25+AU25+AV25+AY25</f>
        <v>-192</v>
      </c>
      <c r="BA25" s="422">
        <v>0</v>
      </c>
      <c r="BB25" s="422">
        <v>-0.02</v>
      </c>
      <c r="BC25" s="422">
        <v>0</v>
      </c>
      <c r="BD25" s="422">
        <v>0</v>
      </c>
      <c r="BE25" s="422">
        <v>0</v>
      </c>
      <c r="BF25" s="422">
        <v>0</v>
      </c>
      <c r="BG25" s="422">
        <v>0</v>
      </c>
      <c r="BH25" s="422">
        <v>0</v>
      </c>
      <c r="BI25" s="422">
        <v>0</v>
      </c>
      <c r="BJ25" s="422">
        <v>0</v>
      </c>
      <c r="BK25" s="422">
        <f>BA25+BC25+BD25+BF25+BH25+BI25</f>
        <v>0</v>
      </c>
      <c r="BL25" s="422">
        <f>BB25+BE25+BG25+BJ25</f>
        <v>-0.02</v>
      </c>
      <c r="BM25" s="611">
        <f>SUM(BK25:BL25)</f>
        <v>-0.02</v>
      </c>
      <c r="BN25" s="428">
        <f>I25+AZ25</f>
        <v>5905604</v>
      </c>
      <c r="BO25" s="421">
        <f>J25+AH25</f>
        <v>4300563</v>
      </c>
      <c r="BP25" s="421">
        <f t="shared" ref="BP25:BQ29" si="43">K25+AF25</f>
        <v>3925234</v>
      </c>
      <c r="BQ25" s="421">
        <f t="shared" si="43"/>
        <v>375329</v>
      </c>
      <c r="BR25" s="421">
        <f>M25+AQ25</f>
        <v>19200</v>
      </c>
      <c r="BS25" s="421">
        <f t="shared" ref="BS25:BT29" si="44">N25+AO25</f>
        <v>12800</v>
      </c>
      <c r="BT25" s="421">
        <f t="shared" si="44"/>
        <v>6400</v>
      </c>
      <c r="BU25" s="421">
        <f t="shared" ref="BU25:BV29" si="45">P25+AU25</f>
        <v>1460079</v>
      </c>
      <c r="BV25" s="421">
        <f t="shared" si="45"/>
        <v>43006</v>
      </c>
      <c r="BW25" s="421">
        <f>R25+AY25</f>
        <v>82756</v>
      </c>
      <c r="BX25" s="422">
        <f>S25+BM25</f>
        <v>6.8114000000000008</v>
      </c>
      <c r="BY25" s="422">
        <f t="shared" ref="BY25:BZ29" si="46">T25+BK25</f>
        <v>5.8471000000000002</v>
      </c>
      <c r="BZ25" s="611">
        <f t="shared" si="46"/>
        <v>0.96430000000000005</v>
      </c>
      <c r="CA25" s="423"/>
      <c r="CB25" s="418"/>
      <c r="CC25" s="418"/>
      <c r="CD25" s="418"/>
      <c r="CE25" s="418"/>
      <c r="CF25" s="527"/>
    </row>
    <row r="26" spans="1:84" ht="12.95" customHeight="1" x14ac:dyDescent="0.25">
      <c r="A26" s="282">
        <v>4</v>
      </c>
      <c r="B26" s="283">
        <v>4457</v>
      </c>
      <c r="C26" s="283">
        <v>600074609</v>
      </c>
      <c r="D26" s="283">
        <v>72743964</v>
      </c>
      <c r="E26" s="285" t="s">
        <v>312</v>
      </c>
      <c r="F26" s="283">
        <v>3117</v>
      </c>
      <c r="G26" s="286" t="s">
        <v>299</v>
      </c>
      <c r="H26" s="286" t="s">
        <v>272</v>
      </c>
      <c r="I26" s="598">
        <f t="shared" si="36"/>
        <v>0</v>
      </c>
      <c r="J26" s="418">
        <f t="shared" si="21"/>
        <v>0</v>
      </c>
      <c r="K26" s="418">
        <v>0</v>
      </c>
      <c r="L26" s="418">
        <v>0</v>
      </c>
      <c r="M26" s="418">
        <f t="shared" si="37"/>
        <v>0</v>
      </c>
      <c r="N26" s="418">
        <v>0</v>
      </c>
      <c r="O26" s="418">
        <v>0</v>
      </c>
      <c r="P26" s="68">
        <f t="shared" ref="P26:P29" si="47">ROUND((J26+M26)*33.8%,0)</f>
        <v>0</v>
      </c>
      <c r="Q26" s="68">
        <f t="shared" si="38"/>
        <v>0</v>
      </c>
      <c r="R26" s="418">
        <v>0</v>
      </c>
      <c r="S26" s="419">
        <f>T26+U26</f>
        <v>0</v>
      </c>
      <c r="T26" s="420">
        <v>0</v>
      </c>
      <c r="U26" s="707">
        <v>0</v>
      </c>
      <c r="V26" s="427">
        <f t="shared" si="39"/>
        <v>0</v>
      </c>
      <c r="W26" s="421">
        <f t="shared" si="39"/>
        <v>0</v>
      </c>
      <c r="X26" s="421">
        <v>1104284</v>
      </c>
      <c r="Y26" s="421">
        <v>0</v>
      </c>
      <c r="Z26" s="421">
        <v>0</v>
      </c>
      <c r="AA26" s="421">
        <v>0</v>
      </c>
      <c r="AB26" s="421">
        <v>0</v>
      </c>
      <c r="AC26" s="421">
        <v>0</v>
      </c>
      <c r="AD26" s="421">
        <v>0</v>
      </c>
      <c r="AE26" s="421">
        <v>0</v>
      </c>
      <c r="AF26" s="421">
        <f>V26+X26+Y26+AA26+AB26+AD26</f>
        <v>1104284</v>
      </c>
      <c r="AG26" s="421">
        <f>W26+Z26+AC26+AE26</f>
        <v>0</v>
      </c>
      <c r="AH26" s="421">
        <f>SUM(AF26:AG26)</f>
        <v>1104284</v>
      </c>
      <c r="AI26" s="421">
        <v>0</v>
      </c>
      <c r="AJ26" s="421">
        <v>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si="40"/>
        <v>0</v>
      </c>
      <c r="AP26" s="421">
        <f>AJ26+AN26</f>
        <v>0</v>
      </c>
      <c r="AQ26" s="421">
        <f>SUM(AO26:AP26)</f>
        <v>0</v>
      </c>
      <c r="AR26" s="421">
        <f t="shared" si="41"/>
        <v>1104284</v>
      </c>
      <c r="AS26" s="421">
        <f t="shared" si="41"/>
        <v>0</v>
      </c>
      <c r="AT26" s="421">
        <f>SUM(AR26:AS26)</f>
        <v>1104284</v>
      </c>
      <c r="AU26" s="68">
        <f t="shared" si="42"/>
        <v>373248</v>
      </c>
      <c r="AV26" s="68">
        <f>ROUND(AH26*1%,0)</f>
        <v>11043</v>
      </c>
      <c r="AW26" s="421">
        <f>1000+500</f>
        <v>1500</v>
      </c>
      <c r="AX26" s="421">
        <v>0</v>
      </c>
      <c r="AY26" s="421">
        <f>AW26+AX26</f>
        <v>1500</v>
      </c>
      <c r="AZ26" s="421">
        <f>AT26+AU26+AV26+AY26</f>
        <v>1490075</v>
      </c>
      <c r="BA26" s="422">
        <v>0</v>
      </c>
      <c r="BB26" s="422">
        <v>0</v>
      </c>
      <c r="BC26" s="422">
        <v>2.93</v>
      </c>
      <c r="BD26" s="422">
        <v>0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>BA26+BC26+BD26+BF26+BH26+BI26</f>
        <v>2.93</v>
      </c>
      <c r="BL26" s="422">
        <f>BB26+BE26+BG26+BJ26</f>
        <v>0</v>
      </c>
      <c r="BM26" s="611">
        <f>SUM(BK26:BL26)</f>
        <v>2.93</v>
      </c>
      <c r="BN26" s="428">
        <f>I26+AZ26</f>
        <v>1490075</v>
      </c>
      <c r="BO26" s="421">
        <f>J26+AH26</f>
        <v>1104284</v>
      </c>
      <c r="BP26" s="421">
        <f t="shared" si="43"/>
        <v>1104284</v>
      </c>
      <c r="BQ26" s="421">
        <f t="shared" si="43"/>
        <v>0</v>
      </c>
      <c r="BR26" s="421">
        <f>M26+AQ26</f>
        <v>0</v>
      </c>
      <c r="BS26" s="421">
        <f t="shared" si="44"/>
        <v>0</v>
      </c>
      <c r="BT26" s="421">
        <f t="shared" si="44"/>
        <v>0</v>
      </c>
      <c r="BU26" s="421">
        <f t="shared" si="45"/>
        <v>373248</v>
      </c>
      <c r="BV26" s="421">
        <f t="shared" si="45"/>
        <v>11043</v>
      </c>
      <c r="BW26" s="421">
        <f>R26+AY26</f>
        <v>1500</v>
      </c>
      <c r="BX26" s="422">
        <f>S26+BM26</f>
        <v>2.93</v>
      </c>
      <c r="BY26" s="422">
        <f t="shared" si="46"/>
        <v>2.93</v>
      </c>
      <c r="BZ26" s="611">
        <f t="shared" si="46"/>
        <v>0</v>
      </c>
      <c r="CA26" s="423"/>
      <c r="CB26" s="418"/>
      <c r="CC26" s="418"/>
      <c r="CD26" s="418"/>
      <c r="CE26" s="418"/>
      <c r="CF26" s="527"/>
    </row>
    <row r="27" spans="1:84" ht="12.95" customHeight="1" x14ac:dyDescent="0.25">
      <c r="A27" s="282">
        <v>4</v>
      </c>
      <c r="B27" s="283">
        <v>4457</v>
      </c>
      <c r="C27" s="283">
        <v>600074609</v>
      </c>
      <c r="D27" s="283">
        <v>72743964</v>
      </c>
      <c r="E27" s="285" t="s">
        <v>312</v>
      </c>
      <c r="F27" s="283">
        <v>3141</v>
      </c>
      <c r="G27" s="286" t="s">
        <v>295</v>
      </c>
      <c r="H27" s="286" t="s">
        <v>272</v>
      </c>
      <c r="I27" s="598">
        <f t="shared" si="36"/>
        <v>172316</v>
      </c>
      <c r="J27" s="418">
        <f t="shared" si="21"/>
        <v>126722</v>
      </c>
      <c r="K27" s="418">
        <v>0</v>
      </c>
      <c r="L27" s="418">
        <v>126722</v>
      </c>
      <c r="M27" s="418">
        <f t="shared" si="37"/>
        <v>0</v>
      </c>
      <c r="N27" s="418">
        <v>0</v>
      </c>
      <c r="O27" s="418">
        <v>0</v>
      </c>
      <c r="P27" s="68">
        <f t="shared" si="47"/>
        <v>42832</v>
      </c>
      <c r="Q27" s="68">
        <f t="shared" si="38"/>
        <v>1267</v>
      </c>
      <c r="R27" s="418">
        <v>1495</v>
      </c>
      <c r="S27" s="419">
        <f>T27+U27</f>
        <v>0.38</v>
      </c>
      <c r="T27" s="420">
        <v>0</v>
      </c>
      <c r="U27" s="707">
        <v>0.38</v>
      </c>
      <c r="V27" s="427">
        <f t="shared" si="39"/>
        <v>0</v>
      </c>
      <c r="W27" s="421">
        <f t="shared" si="39"/>
        <v>0</v>
      </c>
      <c r="X27" s="421">
        <v>0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>V27+X27+Y27+AA27+AB27+AD27</f>
        <v>0</v>
      </c>
      <c r="AG27" s="421">
        <f>W27+Z27+AC27+AE27</f>
        <v>0</v>
      </c>
      <c r="AH27" s="421">
        <f>SUM(AF27:AG27)</f>
        <v>0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40"/>
        <v>0</v>
      </c>
      <c r="AP27" s="421">
        <f>AJ27+AN27</f>
        <v>0</v>
      </c>
      <c r="AQ27" s="421">
        <f>SUM(AO27:AP27)</f>
        <v>0</v>
      </c>
      <c r="AR27" s="421">
        <f t="shared" si="41"/>
        <v>0</v>
      </c>
      <c r="AS27" s="421">
        <f t="shared" si="41"/>
        <v>0</v>
      </c>
      <c r="AT27" s="421">
        <f>SUM(AR27:AS27)</f>
        <v>0</v>
      </c>
      <c r="AU27" s="68">
        <f t="shared" si="42"/>
        <v>0</v>
      </c>
      <c r="AV27" s="68">
        <f>ROUND(AH27*1%,0)</f>
        <v>0</v>
      </c>
      <c r="AW27" s="421">
        <v>0</v>
      </c>
      <c r="AX27" s="421">
        <v>0</v>
      </c>
      <c r="AY27" s="421">
        <f>AW27+AX27</f>
        <v>0</v>
      </c>
      <c r="AZ27" s="421">
        <f>AT27+AU27+AV27+AY27</f>
        <v>0</v>
      </c>
      <c r="BA27" s="422">
        <v>0</v>
      </c>
      <c r="BB27" s="422">
        <v>0</v>
      </c>
      <c r="BC27" s="422">
        <v>0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>BA27+BC27+BD27+BF27+BH27+BI27</f>
        <v>0</v>
      </c>
      <c r="BL27" s="422">
        <f>BB27+BE27+BG27+BJ27</f>
        <v>0</v>
      </c>
      <c r="BM27" s="611">
        <f>SUM(BK27:BL27)</f>
        <v>0</v>
      </c>
      <c r="BN27" s="428">
        <f>I27+AZ27</f>
        <v>172316</v>
      </c>
      <c r="BO27" s="421">
        <f>J27+AH27</f>
        <v>126722</v>
      </c>
      <c r="BP27" s="421">
        <f t="shared" si="43"/>
        <v>0</v>
      </c>
      <c r="BQ27" s="421">
        <f t="shared" si="43"/>
        <v>126722</v>
      </c>
      <c r="BR27" s="421">
        <f>M27+AQ27</f>
        <v>0</v>
      </c>
      <c r="BS27" s="421">
        <f t="shared" si="44"/>
        <v>0</v>
      </c>
      <c r="BT27" s="421">
        <f t="shared" si="44"/>
        <v>0</v>
      </c>
      <c r="BU27" s="421">
        <f t="shared" si="45"/>
        <v>42832</v>
      </c>
      <c r="BV27" s="421">
        <f t="shared" si="45"/>
        <v>1267</v>
      </c>
      <c r="BW27" s="421">
        <f>R27+AY27</f>
        <v>1495</v>
      </c>
      <c r="BX27" s="422">
        <f>S27+BM27</f>
        <v>0.38</v>
      </c>
      <c r="BY27" s="422">
        <f t="shared" si="46"/>
        <v>0</v>
      </c>
      <c r="BZ27" s="611">
        <f t="shared" si="46"/>
        <v>0.38</v>
      </c>
      <c r="CA27" s="423"/>
      <c r="CB27" s="418"/>
      <c r="CC27" s="418"/>
      <c r="CD27" s="418"/>
      <c r="CE27" s="418"/>
      <c r="CF27" s="527"/>
    </row>
    <row r="28" spans="1:84" ht="12.95" customHeight="1" x14ac:dyDescent="0.25">
      <c r="A28" s="282">
        <v>4</v>
      </c>
      <c r="B28" s="283">
        <v>4457</v>
      </c>
      <c r="C28" s="283">
        <v>600074609</v>
      </c>
      <c r="D28" s="283">
        <v>72743964</v>
      </c>
      <c r="E28" s="285" t="s">
        <v>312</v>
      </c>
      <c r="F28" s="283">
        <v>3143</v>
      </c>
      <c r="G28" s="286" t="s">
        <v>596</v>
      </c>
      <c r="H28" s="286" t="s">
        <v>271</v>
      </c>
      <c r="I28" s="598">
        <f t="shared" si="36"/>
        <v>1184946</v>
      </c>
      <c r="J28" s="418">
        <f t="shared" si="21"/>
        <v>879040</v>
      </c>
      <c r="K28" s="418">
        <v>879040</v>
      </c>
      <c r="L28" s="418">
        <v>0</v>
      </c>
      <c r="M28" s="418">
        <f t="shared" si="37"/>
        <v>0</v>
      </c>
      <c r="N28" s="418">
        <v>0</v>
      </c>
      <c r="O28" s="418">
        <v>0</v>
      </c>
      <c r="P28" s="68">
        <f t="shared" si="47"/>
        <v>297116</v>
      </c>
      <c r="Q28" s="68">
        <f t="shared" si="38"/>
        <v>8790</v>
      </c>
      <c r="R28" s="418">
        <v>0</v>
      </c>
      <c r="S28" s="419">
        <f>T28+U28</f>
        <v>1.716</v>
      </c>
      <c r="T28" s="420">
        <v>1.716</v>
      </c>
      <c r="U28" s="707">
        <v>0</v>
      </c>
      <c r="V28" s="427">
        <f t="shared" si="39"/>
        <v>0</v>
      </c>
      <c r="W28" s="421">
        <f t="shared" si="39"/>
        <v>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>V28+X28+Y28+AA28+AB28+AD28</f>
        <v>0</v>
      </c>
      <c r="AG28" s="421">
        <f>W28+Z28+AC28+AE28</f>
        <v>0</v>
      </c>
      <c r="AH28" s="421">
        <f>SUM(AF28:AG28)</f>
        <v>0</v>
      </c>
      <c r="AI28" s="421">
        <v>0</v>
      </c>
      <c r="AJ28" s="421">
        <v>0</v>
      </c>
      <c r="AK28" s="421">
        <v>0</v>
      </c>
      <c r="AL28" s="421">
        <v>0</v>
      </c>
      <c r="AM28" s="421">
        <v>0</v>
      </c>
      <c r="AN28" s="421">
        <v>0</v>
      </c>
      <c r="AO28" s="421">
        <f t="shared" si="40"/>
        <v>0</v>
      </c>
      <c r="AP28" s="421">
        <f>AJ28+AN28</f>
        <v>0</v>
      </c>
      <c r="AQ28" s="421">
        <f>SUM(AO28:AP28)</f>
        <v>0</v>
      </c>
      <c r="AR28" s="421">
        <f t="shared" si="41"/>
        <v>0</v>
      </c>
      <c r="AS28" s="421">
        <f t="shared" si="41"/>
        <v>0</v>
      </c>
      <c r="AT28" s="421">
        <f>SUM(AR28:AS28)</f>
        <v>0</v>
      </c>
      <c r="AU28" s="68">
        <f t="shared" si="42"/>
        <v>0</v>
      </c>
      <c r="AV28" s="68">
        <f>ROUND(AH28*1%,0)</f>
        <v>0</v>
      </c>
      <c r="AW28" s="421">
        <v>0</v>
      </c>
      <c r="AX28" s="421">
        <v>0</v>
      </c>
      <c r="AY28" s="421">
        <f>AW28+AX28</f>
        <v>0</v>
      </c>
      <c r="AZ28" s="421">
        <f>AT28+AU28+AV28+AY28</f>
        <v>0</v>
      </c>
      <c r="BA28" s="422">
        <v>0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>BA28+BC28+BD28+BF28+BH28+BI28</f>
        <v>0</v>
      </c>
      <c r="BL28" s="422">
        <f>BB28+BE28+BG28+BJ28</f>
        <v>0</v>
      </c>
      <c r="BM28" s="611">
        <f>SUM(BK28:BL28)</f>
        <v>0</v>
      </c>
      <c r="BN28" s="428">
        <f>I28+AZ28</f>
        <v>1184946</v>
      </c>
      <c r="BO28" s="421">
        <f>J28+AH28</f>
        <v>879040</v>
      </c>
      <c r="BP28" s="421">
        <f t="shared" si="43"/>
        <v>879040</v>
      </c>
      <c r="BQ28" s="421">
        <f t="shared" si="43"/>
        <v>0</v>
      </c>
      <c r="BR28" s="421">
        <f>M28+AQ28</f>
        <v>0</v>
      </c>
      <c r="BS28" s="421">
        <f t="shared" si="44"/>
        <v>0</v>
      </c>
      <c r="BT28" s="421">
        <f t="shared" si="44"/>
        <v>0</v>
      </c>
      <c r="BU28" s="421">
        <f t="shared" si="45"/>
        <v>297116</v>
      </c>
      <c r="BV28" s="421">
        <f t="shared" si="45"/>
        <v>8790</v>
      </c>
      <c r="BW28" s="421">
        <f>R28+AY28</f>
        <v>0</v>
      </c>
      <c r="BX28" s="422">
        <f>S28+BM28</f>
        <v>1.716</v>
      </c>
      <c r="BY28" s="422">
        <f t="shared" si="46"/>
        <v>1.716</v>
      </c>
      <c r="BZ28" s="611">
        <f t="shared" si="46"/>
        <v>0</v>
      </c>
      <c r="CA28" s="423"/>
      <c r="CB28" s="418"/>
      <c r="CC28" s="418"/>
      <c r="CD28" s="418"/>
      <c r="CE28" s="418"/>
      <c r="CF28" s="527"/>
    </row>
    <row r="29" spans="1:84" ht="12.95" customHeight="1" x14ac:dyDescent="0.25">
      <c r="A29" s="282">
        <v>4</v>
      </c>
      <c r="B29" s="283">
        <v>4457</v>
      </c>
      <c r="C29" s="283">
        <v>600074609</v>
      </c>
      <c r="D29" s="283">
        <v>72743964</v>
      </c>
      <c r="E29" s="285" t="s">
        <v>312</v>
      </c>
      <c r="F29" s="283">
        <v>3143</v>
      </c>
      <c r="G29" s="286" t="s">
        <v>597</v>
      </c>
      <c r="H29" s="286" t="s">
        <v>272</v>
      </c>
      <c r="I29" s="598">
        <f t="shared" si="36"/>
        <v>20506</v>
      </c>
      <c r="J29" s="418">
        <f t="shared" si="21"/>
        <v>14678</v>
      </c>
      <c r="K29" s="418">
        <v>0</v>
      </c>
      <c r="L29" s="418">
        <v>14678</v>
      </c>
      <c r="M29" s="418">
        <f t="shared" si="37"/>
        <v>0</v>
      </c>
      <c r="N29" s="418">
        <v>0</v>
      </c>
      <c r="O29" s="418">
        <v>0</v>
      </c>
      <c r="P29" s="68">
        <f t="shared" si="47"/>
        <v>4961</v>
      </c>
      <c r="Q29" s="68">
        <f t="shared" si="38"/>
        <v>147</v>
      </c>
      <c r="R29" s="418">
        <v>720</v>
      </c>
      <c r="S29" s="419">
        <f>T29+U29</f>
        <v>5.5599999999999997E-2</v>
      </c>
      <c r="T29" s="420">
        <v>0</v>
      </c>
      <c r="U29" s="707">
        <v>5.5599999999999997E-2</v>
      </c>
      <c r="V29" s="427">
        <f t="shared" si="39"/>
        <v>0</v>
      </c>
      <c r="W29" s="421">
        <f t="shared" si="39"/>
        <v>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>V29+X29+Y29+AA29+AB29+AD29</f>
        <v>0</v>
      </c>
      <c r="AG29" s="421">
        <f>W29+Z29+AC29+AE29</f>
        <v>0</v>
      </c>
      <c r="AH29" s="421">
        <f>SUM(AF29:AG29)</f>
        <v>0</v>
      </c>
      <c r="AI29" s="421">
        <v>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f t="shared" si="40"/>
        <v>0</v>
      </c>
      <c r="AP29" s="421">
        <f>AJ29+AN29</f>
        <v>0</v>
      </c>
      <c r="AQ29" s="421">
        <f>SUM(AO29:AP29)</f>
        <v>0</v>
      </c>
      <c r="AR29" s="421">
        <f t="shared" si="41"/>
        <v>0</v>
      </c>
      <c r="AS29" s="421">
        <f t="shared" si="41"/>
        <v>0</v>
      </c>
      <c r="AT29" s="421">
        <f>SUM(AR29:AS29)</f>
        <v>0</v>
      </c>
      <c r="AU29" s="68">
        <f t="shared" si="42"/>
        <v>0</v>
      </c>
      <c r="AV29" s="68">
        <f>ROUND(AH29*1%,0)</f>
        <v>0</v>
      </c>
      <c r="AW29" s="421">
        <v>0</v>
      </c>
      <c r="AX29" s="421">
        <v>0</v>
      </c>
      <c r="AY29" s="421">
        <f>AW29+AX29</f>
        <v>0</v>
      </c>
      <c r="AZ29" s="421">
        <f>AT29+AU29+AV29+AY29</f>
        <v>0</v>
      </c>
      <c r="BA29" s="422">
        <v>0</v>
      </c>
      <c r="BB29" s="422">
        <v>0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>BA29+BC29+BD29+BF29+BH29+BI29</f>
        <v>0</v>
      </c>
      <c r="BL29" s="422">
        <f>BB29+BE29+BG29+BJ29</f>
        <v>0</v>
      </c>
      <c r="BM29" s="611">
        <f>SUM(BK29:BL29)</f>
        <v>0</v>
      </c>
      <c r="BN29" s="428">
        <f>I29+AZ29</f>
        <v>20506</v>
      </c>
      <c r="BO29" s="421">
        <f>J29+AH29</f>
        <v>14678</v>
      </c>
      <c r="BP29" s="421">
        <f t="shared" si="43"/>
        <v>0</v>
      </c>
      <c r="BQ29" s="421">
        <f t="shared" si="43"/>
        <v>14678</v>
      </c>
      <c r="BR29" s="421">
        <f>M29+AQ29</f>
        <v>0</v>
      </c>
      <c r="BS29" s="421">
        <f t="shared" si="44"/>
        <v>0</v>
      </c>
      <c r="BT29" s="421">
        <f t="shared" si="44"/>
        <v>0</v>
      </c>
      <c r="BU29" s="421">
        <f t="shared" si="45"/>
        <v>4961</v>
      </c>
      <c r="BV29" s="421">
        <f t="shared" si="45"/>
        <v>147</v>
      </c>
      <c r="BW29" s="421">
        <f>R29+AY29</f>
        <v>720</v>
      </c>
      <c r="BX29" s="422">
        <f>S29+BM29</f>
        <v>5.5599999999999997E-2</v>
      </c>
      <c r="BY29" s="422">
        <f t="shared" si="46"/>
        <v>0</v>
      </c>
      <c r="BZ29" s="611">
        <f t="shared" si="46"/>
        <v>5.5599999999999997E-2</v>
      </c>
      <c r="CA29" s="423"/>
      <c r="CB29" s="418"/>
      <c r="CC29" s="418"/>
      <c r="CD29" s="418"/>
      <c r="CE29" s="418"/>
      <c r="CF29" s="527"/>
    </row>
    <row r="30" spans="1:84" ht="12.95" customHeight="1" x14ac:dyDescent="0.25">
      <c r="A30" s="275">
        <v>4</v>
      </c>
      <c r="B30" s="277">
        <v>4457</v>
      </c>
      <c r="C30" s="277">
        <v>600074609</v>
      </c>
      <c r="D30" s="277">
        <v>72743964</v>
      </c>
      <c r="E30" s="290" t="s">
        <v>313</v>
      </c>
      <c r="F30" s="293"/>
      <c r="G30" s="294"/>
      <c r="H30" s="294"/>
      <c r="I30" s="473">
        <f t="shared" ref="I30:BU30" si="48">SUM(I25:I29)</f>
        <v>7283564</v>
      </c>
      <c r="J30" s="470">
        <f t="shared" si="48"/>
        <v>5340203</v>
      </c>
      <c r="K30" s="470">
        <f t="shared" si="48"/>
        <v>4817074</v>
      </c>
      <c r="L30" s="470">
        <f t="shared" si="48"/>
        <v>523129</v>
      </c>
      <c r="M30" s="470">
        <f t="shared" si="48"/>
        <v>0</v>
      </c>
      <c r="N30" s="470">
        <f t="shared" si="48"/>
        <v>0</v>
      </c>
      <c r="O30" s="470">
        <f t="shared" si="48"/>
        <v>0</v>
      </c>
      <c r="P30" s="470">
        <f t="shared" si="48"/>
        <v>1804988</v>
      </c>
      <c r="Q30" s="470">
        <f t="shared" si="48"/>
        <v>53402</v>
      </c>
      <c r="R30" s="470">
        <f t="shared" si="48"/>
        <v>84971</v>
      </c>
      <c r="S30" s="471">
        <f t="shared" si="48"/>
        <v>8.9830000000000005</v>
      </c>
      <c r="T30" s="471">
        <f t="shared" si="48"/>
        <v>7.5631000000000004</v>
      </c>
      <c r="U30" s="292">
        <f t="shared" si="48"/>
        <v>1.4199000000000002</v>
      </c>
      <c r="V30" s="475">
        <f t="shared" si="48"/>
        <v>-12800</v>
      </c>
      <c r="W30" s="470">
        <f t="shared" si="48"/>
        <v>-6400</v>
      </c>
      <c r="X30" s="470">
        <f t="shared" si="48"/>
        <v>1104284</v>
      </c>
      <c r="Y30" s="470">
        <f t="shared" si="48"/>
        <v>0</v>
      </c>
      <c r="Z30" s="470">
        <f t="shared" si="48"/>
        <v>0</v>
      </c>
      <c r="AA30" s="470">
        <f t="shared" si="48"/>
        <v>0</v>
      </c>
      <c r="AB30" s="470">
        <f t="shared" si="48"/>
        <v>0</v>
      </c>
      <c r="AC30" s="470">
        <f t="shared" si="48"/>
        <v>0</v>
      </c>
      <c r="AD30" s="470">
        <f t="shared" si="48"/>
        <v>0</v>
      </c>
      <c r="AE30" s="470">
        <f t="shared" si="48"/>
        <v>0</v>
      </c>
      <c r="AF30" s="470">
        <f t="shared" si="48"/>
        <v>1091484</v>
      </c>
      <c r="AG30" s="470">
        <f t="shared" si="48"/>
        <v>-6400</v>
      </c>
      <c r="AH30" s="470">
        <f t="shared" si="48"/>
        <v>1085084</v>
      </c>
      <c r="AI30" s="470">
        <f t="shared" si="48"/>
        <v>12800</v>
      </c>
      <c r="AJ30" s="470">
        <f t="shared" si="48"/>
        <v>6400</v>
      </c>
      <c r="AK30" s="470">
        <f t="shared" ref="AK30" si="49">SUM(AK25:AK29)</f>
        <v>0</v>
      </c>
      <c r="AL30" s="470">
        <f t="shared" si="48"/>
        <v>0</v>
      </c>
      <c r="AM30" s="470">
        <f t="shared" si="48"/>
        <v>0</v>
      </c>
      <c r="AN30" s="470">
        <f t="shared" si="48"/>
        <v>0</v>
      </c>
      <c r="AO30" s="470">
        <f t="shared" si="48"/>
        <v>12800</v>
      </c>
      <c r="AP30" s="470">
        <f t="shared" si="48"/>
        <v>6400</v>
      </c>
      <c r="AQ30" s="470">
        <f t="shared" si="48"/>
        <v>19200</v>
      </c>
      <c r="AR30" s="470">
        <f t="shared" si="48"/>
        <v>1104284</v>
      </c>
      <c r="AS30" s="470">
        <f t="shared" si="48"/>
        <v>0</v>
      </c>
      <c r="AT30" s="470">
        <f t="shared" si="48"/>
        <v>1104284</v>
      </c>
      <c r="AU30" s="470">
        <f t="shared" si="48"/>
        <v>373248</v>
      </c>
      <c r="AV30" s="470">
        <f t="shared" si="48"/>
        <v>10851</v>
      </c>
      <c r="AW30" s="470">
        <f t="shared" si="48"/>
        <v>1500</v>
      </c>
      <c r="AX30" s="470">
        <f t="shared" si="48"/>
        <v>0</v>
      </c>
      <c r="AY30" s="470">
        <f t="shared" si="48"/>
        <v>1500</v>
      </c>
      <c r="AZ30" s="470">
        <f t="shared" si="48"/>
        <v>1489883</v>
      </c>
      <c r="BA30" s="471">
        <f t="shared" si="48"/>
        <v>0</v>
      </c>
      <c r="BB30" s="471">
        <f t="shared" si="48"/>
        <v>-0.02</v>
      </c>
      <c r="BC30" s="471">
        <f t="shared" si="48"/>
        <v>2.93</v>
      </c>
      <c r="BD30" s="471">
        <f t="shared" si="48"/>
        <v>0</v>
      </c>
      <c r="BE30" s="471">
        <f t="shared" si="48"/>
        <v>0</v>
      </c>
      <c r="BF30" s="471">
        <f t="shared" si="48"/>
        <v>0</v>
      </c>
      <c r="BG30" s="471">
        <f t="shared" si="48"/>
        <v>0</v>
      </c>
      <c r="BH30" s="471">
        <f t="shared" si="48"/>
        <v>0</v>
      </c>
      <c r="BI30" s="471">
        <f t="shared" si="48"/>
        <v>0</v>
      </c>
      <c r="BJ30" s="471">
        <f t="shared" si="48"/>
        <v>0</v>
      </c>
      <c r="BK30" s="471">
        <f t="shared" si="48"/>
        <v>2.93</v>
      </c>
      <c r="BL30" s="471">
        <f t="shared" si="48"/>
        <v>-0.02</v>
      </c>
      <c r="BM30" s="561">
        <f t="shared" si="48"/>
        <v>2.91</v>
      </c>
      <c r="BN30" s="473">
        <f t="shared" si="48"/>
        <v>8773447</v>
      </c>
      <c r="BO30" s="470">
        <f t="shared" si="48"/>
        <v>6425287</v>
      </c>
      <c r="BP30" s="470">
        <f t="shared" si="48"/>
        <v>5908558</v>
      </c>
      <c r="BQ30" s="470">
        <f t="shared" si="48"/>
        <v>516729</v>
      </c>
      <c r="BR30" s="470">
        <f t="shared" si="48"/>
        <v>19200</v>
      </c>
      <c r="BS30" s="470">
        <f t="shared" si="48"/>
        <v>12800</v>
      </c>
      <c r="BT30" s="470">
        <f t="shared" si="48"/>
        <v>6400</v>
      </c>
      <c r="BU30" s="470">
        <f t="shared" si="48"/>
        <v>2178236</v>
      </c>
      <c r="BV30" s="470">
        <f t="shared" ref="BV30:CF30" si="50">SUM(BV25:BV29)</f>
        <v>64253</v>
      </c>
      <c r="BW30" s="470">
        <f t="shared" si="50"/>
        <v>86471</v>
      </c>
      <c r="BX30" s="471">
        <f t="shared" si="50"/>
        <v>11.893000000000001</v>
      </c>
      <c r="BY30" s="471">
        <f t="shared" si="50"/>
        <v>10.4931</v>
      </c>
      <c r="BZ30" s="561">
        <f t="shared" si="50"/>
        <v>1.3999000000000001</v>
      </c>
      <c r="CA30" s="874">
        <f t="shared" si="50"/>
        <v>0</v>
      </c>
      <c r="CB30" s="871">
        <f t="shared" si="50"/>
        <v>0</v>
      </c>
      <c r="CC30" s="871">
        <f t="shared" si="50"/>
        <v>0</v>
      </c>
      <c r="CD30" s="871">
        <f t="shared" si="50"/>
        <v>0</v>
      </c>
      <c r="CE30" s="871">
        <f t="shared" si="50"/>
        <v>0</v>
      </c>
      <c r="CF30" s="847">
        <f t="shared" si="50"/>
        <v>0</v>
      </c>
    </row>
    <row r="31" spans="1:84" ht="12.95" customHeight="1" x14ac:dyDescent="0.25">
      <c r="A31" s="282">
        <v>5</v>
      </c>
      <c r="B31" s="283">
        <v>4456</v>
      </c>
      <c r="C31" s="283">
        <v>600074617</v>
      </c>
      <c r="D31" s="283">
        <v>68430132</v>
      </c>
      <c r="E31" s="285" t="s">
        <v>314</v>
      </c>
      <c r="F31" s="283">
        <v>3113</v>
      </c>
      <c r="G31" s="286" t="s">
        <v>309</v>
      </c>
      <c r="H31" s="286" t="s">
        <v>271</v>
      </c>
      <c r="I31" s="598">
        <f t="shared" ref="I31:I35" si="51">J31+M31+P31+Q31+R31</f>
        <v>47927333</v>
      </c>
      <c r="J31" s="418">
        <f t="shared" si="21"/>
        <v>35064769</v>
      </c>
      <c r="K31" s="418">
        <v>32927120</v>
      </c>
      <c r="L31" s="418">
        <v>2137649</v>
      </c>
      <c r="M31" s="418">
        <f t="shared" ref="M31:M35" si="52">N31+O31</f>
        <v>0</v>
      </c>
      <c r="N31" s="418">
        <v>0</v>
      </c>
      <c r="O31" s="418">
        <v>0</v>
      </c>
      <c r="P31" s="68">
        <f t="shared" ref="P31:P35" si="53">ROUND((J31+M31)*33.8%,0)</f>
        <v>11851892</v>
      </c>
      <c r="Q31" s="68">
        <f t="shared" ref="Q31:Q35" si="54">ROUND(J31*1%,0)</f>
        <v>350648</v>
      </c>
      <c r="R31" s="418">
        <v>660024</v>
      </c>
      <c r="S31" s="419">
        <f>T31+U31</f>
        <v>53.369100000000003</v>
      </c>
      <c r="T31" s="420">
        <v>46.863500000000002</v>
      </c>
      <c r="U31" s="707">
        <v>6.5055999999999994</v>
      </c>
      <c r="V31" s="427">
        <f t="shared" ref="V31:W35" si="55">AI31*-1</f>
        <v>-115200</v>
      </c>
      <c r="W31" s="421">
        <f t="shared" si="55"/>
        <v>-12800</v>
      </c>
      <c r="X31" s="421">
        <v>0</v>
      </c>
      <c r="Y31" s="421">
        <v>0</v>
      </c>
      <c r="Z31" s="421">
        <v>0</v>
      </c>
      <c r="AA31" s="421">
        <v>0</v>
      </c>
      <c r="AB31" s="421">
        <v>112800</v>
      </c>
      <c r="AC31" s="421">
        <v>0</v>
      </c>
      <c r="AD31" s="421">
        <v>0</v>
      </c>
      <c r="AE31" s="421">
        <v>0</v>
      </c>
      <c r="AF31" s="421">
        <f>V31+X31+Y31+AA31+AB31+AD31</f>
        <v>-2400</v>
      </c>
      <c r="AG31" s="421">
        <f>W31+Z31+AC31+AE31</f>
        <v>-12800</v>
      </c>
      <c r="AH31" s="421">
        <f>SUM(AF31:AG31)</f>
        <v>-15200</v>
      </c>
      <c r="AI31" s="421">
        <f>19200+96000</f>
        <v>115200</v>
      </c>
      <c r="AJ31" s="421">
        <v>12800</v>
      </c>
      <c r="AK31" s="421">
        <v>0</v>
      </c>
      <c r="AL31" s="421">
        <v>105920</v>
      </c>
      <c r="AM31" s="421">
        <v>0</v>
      </c>
      <c r="AN31" s="421">
        <v>0</v>
      </c>
      <c r="AO31" s="421">
        <f t="shared" ref="AO31:AO35" si="56">AI31+AK31+AL31+AM31</f>
        <v>221120</v>
      </c>
      <c r="AP31" s="421">
        <f>AJ31+AN31</f>
        <v>12800</v>
      </c>
      <c r="AQ31" s="421">
        <f>SUM(AO31:AP31)</f>
        <v>233920</v>
      </c>
      <c r="AR31" s="421">
        <f t="shared" ref="AR31:AS35" si="57">AF31+AO31</f>
        <v>218720</v>
      </c>
      <c r="AS31" s="421">
        <f t="shared" si="57"/>
        <v>0</v>
      </c>
      <c r="AT31" s="421">
        <f>SUM(AR31:AS31)</f>
        <v>218720</v>
      </c>
      <c r="AU31" s="68">
        <f t="shared" ref="AU31:AU35" si="58">ROUND((AH31+AI31+AJ31+AK31+AL31)*33.8%,0)</f>
        <v>73927</v>
      </c>
      <c r="AV31" s="68">
        <f>ROUND(AH31*1%,0)</f>
        <v>-152</v>
      </c>
      <c r="AW31" s="421">
        <v>0</v>
      </c>
      <c r="AX31" s="421">
        <v>0</v>
      </c>
      <c r="AY31" s="421">
        <f>AW31+AX31</f>
        <v>0</v>
      </c>
      <c r="AZ31" s="421">
        <f>AT31+AU31+AV31+AY31</f>
        <v>292495</v>
      </c>
      <c r="BA31" s="422">
        <v>-0.14000000000000001</v>
      </c>
      <c r="BB31" s="422">
        <v>0</v>
      </c>
      <c r="BC31" s="422">
        <v>0</v>
      </c>
      <c r="BD31" s="422">
        <v>0.2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>BA31+BC31+BD31+BF31+BH31+BI31</f>
        <v>0.06</v>
      </c>
      <c r="BL31" s="422">
        <f>BB31+BE31+BG31+BJ31</f>
        <v>0</v>
      </c>
      <c r="BM31" s="611">
        <f>SUM(BK31:BL31)</f>
        <v>0.06</v>
      </c>
      <c r="BN31" s="428">
        <f>I31+AZ31</f>
        <v>48219828</v>
      </c>
      <c r="BO31" s="421">
        <f>J31+AH31</f>
        <v>35049569</v>
      </c>
      <c r="BP31" s="421">
        <f t="shared" ref="BP31:BQ35" si="59">K31+AF31</f>
        <v>32924720</v>
      </c>
      <c r="BQ31" s="421">
        <f t="shared" si="59"/>
        <v>2124849</v>
      </c>
      <c r="BR31" s="421">
        <f>M31+AQ31</f>
        <v>233920</v>
      </c>
      <c r="BS31" s="421">
        <f t="shared" ref="BS31:BT35" si="60">N31+AO31</f>
        <v>221120</v>
      </c>
      <c r="BT31" s="421">
        <f t="shared" si="60"/>
        <v>12800</v>
      </c>
      <c r="BU31" s="421">
        <f t="shared" ref="BU31:BV35" si="61">P31+AU31</f>
        <v>11925819</v>
      </c>
      <c r="BV31" s="421">
        <f t="shared" si="61"/>
        <v>350496</v>
      </c>
      <c r="BW31" s="421">
        <f>R31+AY31</f>
        <v>660024</v>
      </c>
      <c r="BX31" s="422">
        <f>S31+BM31</f>
        <v>53.429100000000005</v>
      </c>
      <c r="BY31" s="422">
        <f t="shared" ref="BY31:BZ35" si="62">T31+BK31</f>
        <v>46.923500000000004</v>
      </c>
      <c r="BZ31" s="611">
        <f t="shared" si="62"/>
        <v>6.5055999999999994</v>
      </c>
      <c r="CA31" s="423">
        <v>152054</v>
      </c>
      <c r="CB31" s="418">
        <v>112800</v>
      </c>
      <c r="CC31" s="418">
        <v>0</v>
      </c>
      <c r="CD31" s="418">
        <v>38126</v>
      </c>
      <c r="CE31" s="418">
        <v>1128</v>
      </c>
      <c r="CF31" s="527">
        <v>0.2</v>
      </c>
    </row>
    <row r="32" spans="1:84" ht="12.95" customHeight="1" x14ac:dyDescent="0.25">
      <c r="A32" s="282">
        <v>5</v>
      </c>
      <c r="B32" s="283">
        <v>4456</v>
      </c>
      <c r="C32" s="283">
        <v>600074617</v>
      </c>
      <c r="D32" s="283">
        <v>68430132</v>
      </c>
      <c r="E32" s="285" t="s">
        <v>314</v>
      </c>
      <c r="F32" s="283">
        <v>3113</v>
      </c>
      <c r="G32" s="286" t="s">
        <v>299</v>
      </c>
      <c r="H32" s="286" t="s">
        <v>272</v>
      </c>
      <c r="I32" s="598">
        <f t="shared" si="51"/>
        <v>0</v>
      </c>
      <c r="J32" s="418">
        <f t="shared" si="21"/>
        <v>0</v>
      </c>
      <c r="K32" s="418">
        <v>0</v>
      </c>
      <c r="L32" s="418">
        <v>0</v>
      </c>
      <c r="M32" s="418">
        <f t="shared" si="52"/>
        <v>0</v>
      </c>
      <c r="N32" s="418">
        <v>0</v>
      </c>
      <c r="O32" s="418">
        <v>0</v>
      </c>
      <c r="P32" s="68">
        <f t="shared" si="53"/>
        <v>0</v>
      </c>
      <c r="Q32" s="68">
        <f t="shared" si="54"/>
        <v>0</v>
      </c>
      <c r="R32" s="418">
        <v>0</v>
      </c>
      <c r="S32" s="419">
        <f>T32+U32</f>
        <v>0</v>
      </c>
      <c r="T32" s="420">
        <v>0</v>
      </c>
      <c r="U32" s="707">
        <v>0</v>
      </c>
      <c r="V32" s="427">
        <f t="shared" si="55"/>
        <v>0</v>
      </c>
      <c r="W32" s="421">
        <f t="shared" si="55"/>
        <v>0</v>
      </c>
      <c r="X32" s="421">
        <f>2564725+19745</f>
        <v>2584470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f>V32+X32+Y32+AA32+AB32+AD32</f>
        <v>2584470</v>
      </c>
      <c r="AG32" s="421">
        <f>W32+Z32+AC32+AE32</f>
        <v>0</v>
      </c>
      <c r="AH32" s="421">
        <f>SUM(AF32:AG32)</f>
        <v>2584470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f t="shared" si="56"/>
        <v>0</v>
      </c>
      <c r="AP32" s="421">
        <f>AJ32+AN32</f>
        <v>0</v>
      </c>
      <c r="AQ32" s="421">
        <f>SUM(AO32:AP32)</f>
        <v>0</v>
      </c>
      <c r="AR32" s="421">
        <f t="shared" si="57"/>
        <v>2584470</v>
      </c>
      <c r="AS32" s="421">
        <f t="shared" si="57"/>
        <v>0</v>
      </c>
      <c r="AT32" s="421">
        <f>SUM(AR32:AS32)</f>
        <v>2584470</v>
      </c>
      <c r="AU32" s="68">
        <f t="shared" si="58"/>
        <v>873551</v>
      </c>
      <c r="AV32" s="68">
        <f>ROUND(AH32*1%,0)</f>
        <v>25845</v>
      </c>
      <c r="AW32" s="421">
        <v>500</v>
      </c>
      <c r="AX32" s="421">
        <v>0</v>
      </c>
      <c r="AY32" s="421">
        <f>AW32+AX32</f>
        <v>500</v>
      </c>
      <c r="AZ32" s="421">
        <f>AT32+AU32+AV32+AY32</f>
        <v>3484366</v>
      </c>
      <c r="BA32" s="422">
        <v>0</v>
      </c>
      <c r="BB32" s="422">
        <v>0</v>
      </c>
      <c r="BC32" s="422">
        <f>6.92+0.06</f>
        <v>6.9799999999999995</v>
      </c>
      <c r="BD32" s="422">
        <v>0</v>
      </c>
      <c r="BE32" s="422">
        <v>0</v>
      </c>
      <c r="BF32" s="422">
        <v>0</v>
      </c>
      <c r="BG32" s="422">
        <v>0</v>
      </c>
      <c r="BH32" s="422">
        <v>0</v>
      </c>
      <c r="BI32" s="422">
        <v>0</v>
      </c>
      <c r="BJ32" s="422">
        <v>0</v>
      </c>
      <c r="BK32" s="422">
        <f>BA32+BC32+BD32+BF32+BH32+BI32</f>
        <v>6.9799999999999995</v>
      </c>
      <c r="BL32" s="422">
        <f>BB32+BE32+BG32+BJ32</f>
        <v>0</v>
      </c>
      <c r="BM32" s="611">
        <f>SUM(BK32:BL32)</f>
        <v>6.9799999999999995</v>
      </c>
      <c r="BN32" s="428">
        <f>I32+AZ32</f>
        <v>3484366</v>
      </c>
      <c r="BO32" s="421">
        <f>J32+AH32</f>
        <v>2584470</v>
      </c>
      <c r="BP32" s="421">
        <f t="shared" si="59"/>
        <v>2584470</v>
      </c>
      <c r="BQ32" s="421">
        <f t="shared" si="59"/>
        <v>0</v>
      </c>
      <c r="BR32" s="421">
        <f>M32+AQ32</f>
        <v>0</v>
      </c>
      <c r="BS32" s="421">
        <f t="shared" si="60"/>
        <v>0</v>
      </c>
      <c r="BT32" s="421">
        <f t="shared" si="60"/>
        <v>0</v>
      </c>
      <c r="BU32" s="421">
        <f t="shared" si="61"/>
        <v>873551</v>
      </c>
      <c r="BV32" s="421">
        <f t="shared" si="61"/>
        <v>25845</v>
      </c>
      <c r="BW32" s="421">
        <f>R32+AY32</f>
        <v>500</v>
      </c>
      <c r="BX32" s="422">
        <f>S32+BM32</f>
        <v>6.9799999999999995</v>
      </c>
      <c r="BY32" s="422">
        <f t="shared" si="62"/>
        <v>6.9799999999999995</v>
      </c>
      <c r="BZ32" s="611">
        <f t="shared" si="62"/>
        <v>0</v>
      </c>
      <c r="CA32" s="423"/>
      <c r="CB32" s="418"/>
      <c r="CC32" s="418"/>
      <c r="CD32" s="418"/>
      <c r="CE32" s="418"/>
      <c r="CF32" s="527"/>
    </row>
    <row r="33" spans="1:84" ht="12.95" customHeight="1" x14ac:dyDescent="0.25">
      <c r="A33" s="282">
        <v>5</v>
      </c>
      <c r="B33" s="283">
        <v>4456</v>
      </c>
      <c r="C33" s="283">
        <v>600074617</v>
      </c>
      <c r="D33" s="283">
        <v>68430132</v>
      </c>
      <c r="E33" s="285" t="s">
        <v>314</v>
      </c>
      <c r="F33" s="283">
        <v>3141</v>
      </c>
      <c r="G33" s="286" t="s">
        <v>295</v>
      </c>
      <c r="H33" s="286" t="s">
        <v>272</v>
      </c>
      <c r="I33" s="598">
        <f t="shared" si="51"/>
        <v>3036160</v>
      </c>
      <c r="J33" s="418">
        <f t="shared" si="21"/>
        <v>2234316</v>
      </c>
      <c r="K33" s="418">
        <v>0</v>
      </c>
      <c r="L33" s="418">
        <v>2234316</v>
      </c>
      <c r="M33" s="418">
        <f t="shared" si="52"/>
        <v>0</v>
      </c>
      <c r="N33" s="418">
        <v>0</v>
      </c>
      <c r="O33" s="418">
        <v>0</v>
      </c>
      <c r="P33" s="68">
        <f t="shared" si="53"/>
        <v>755199</v>
      </c>
      <c r="Q33" s="68">
        <f t="shared" si="54"/>
        <v>22343</v>
      </c>
      <c r="R33" s="418">
        <v>24302</v>
      </c>
      <c r="S33" s="419">
        <f>T33+U33</f>
        <v>6.7</v>
      </c>
      <c r="T33" s="420"/>
      <c r="U33" s="707">
        <v>6.7</v>
      </c>
      <c r="V33" s="427">
        <f t="shared" si="55"/>
        <v>0</v>
      </c>
      <c r="W33" s="421">
        <f t="shared" si="55"/>
        <v>-6400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>V33+X33+Y33+AA33+AB33+AD33</f>
        <v>0</v>
      </c>
      <c r="AG33" s="421">
        <f>W33+Z33+AC33+AE33</f>
        <v>-6400</v>
      </c>
      <c r="AH33" s="421">
        <f>SUM(AF33:AG33)</f>
        <v>-6400</v>
      </c>
      <c r="AI33" s="421">
        <v>0</v>
      </c>
      <c r="AJ33" s="421">
        <v>6400</v>
      </c>
      <c r="AK33" s="421">
        <v>0</v>
      </c>
      <c r="AL33" s="421">
        <v>0</v>
      </c>
      <c r="AM33" s="421">
        <v>0</v>
      </c>
      <c r="AN33" s="421">
        <v>0</v>
      </c>
      <c r="AO33" s="421">
        <f t="shared" si="56"/>
        <v>0</v>
      </c>
      <c r="AP33" s="421">
        <f>AJ33+AN33</f>
        <v>6400</v>
      </c>
      <c r="AQ33" s="421">
        <f>SUM(AO33:AP33)</f>
        <v>6400</v>
      </c>
      <c r="AR33" s="421">
        <f t="shared" si="57"/>
        <v>0</v>
      </c>
      <c r="AS33" s="421">
        <f t="shared" si="57"/>
        <v>0</v>
      </c>
      <c r="AT33" s="421">
        <f>SUM(AR33:AS33)</f>
        <v>0</v>
      </c>
      <c r="AU33" s="68">
        <f t="shared" si="58"/>
        <v>0</v>
      </c>
      <c r="AV33" s="68">
        <f>ROUND(AH33*1%,0)</f>
        <v>-64</v>
      </c>
      <c r="AW33" s="421">
        <v>0</v>
      </c>
      <c r="AX33" s="421">
        <v>0</v>
      </c>
      <c r="AY33" s="421">
        <f>AW33+AX33</f>
        <v>0</v>
      </c>
      <c r="AZ33" s="421">
        <f>AT33+AU33+AV33+AY33</f>
        <v>-64</v>
      </c>
      <c r="BA33" s="422">
        <v>0</v>
      </c>
      <c r="BB33" s="422">
        <v>0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>BA33+BC33+BD33+BF33+BH33+BI33</f>
        <v>0</v>
      </c>
      <c r="BL33" s="422">
        <f>BB33+BE33+BG33+BJ33</f>
        <v>0</v>
      </c>
      <c r="BM33" s="611">
        <f>SUM(BK33:BL33)</f>
        <v>0</v>
      </c>
      <c r="BN33" s="428">
        <f>I33+AZ33</f>
        <v>3036096</v>
      </c>
      <c r="BO33" s="421">
        <f>J33+AH33</f>
        <v>2227916</v>
      </c>
      <c r="BP33" s="421">
        <f t="shared" si="59"/>
        <v>0</v>
      </c>
      <c r="BQ33" s="421">
        <f t="shared" si="59"/>
        <v>2227916</v>
      </c>
      <c r="BR33" s="421">
        <f>M33+AQ33</f>
        <v>6400</v>
      </c>
      <c r="BS33" s="421">
        <f t="shared" si="60"/>
        <v>0</v>
      </c>
      <c r="BT33" s="421">
        <f t="shared" si="60"/>
        <v>6400</v>
      </c>
      <c r="BU33" s="421">
        <f t="shared" si="61"/>
        <v>755199</v>
      </c>
      <c r="BV33" s="421">
        <f t="shared" si="61"/>
        <v>22279</v>
      </c>
      <c r="BW33" s="421">
        <f>R33+AY33</f>
        <v>24302</v>
      </c>
      <c r="BX33" s="422">
        <f>S33+BM33</f>
        <v>6.7</v>
      </c>
      <c r="BY33" s="422">
        <f t="shared" si="62"/>
        <v>0</v>
      </c>
      <c r="BZ33" s="611">
        <f t="shared" si="62"/>
        <v>6.7</v>
      </c>
      <c r="CA33" s="423"/>
      <c r="CB33" s="418"/>
      <c r="CC33" s="418"/>
      <c r="CD33" s="418"/>
      <c r="CE33" s="418"/>
      <c r="CF33" s="527"/>
    </row>
    <row r="34" spans="1:84" ht="12.95" customHeight="1" x14ac:dyDescent="0.25">
      <c r="A34" s="282">
        <v>5</v>
      </c>
      <c r="B34" s="283">
        <v>4456</v>
      </c>
      <c r="C34" s="283">
        <v>600074617</v>
      </c>
      <c r="D34" s="283">
        <v>68430132</v>
      </c>
      <c r="E34" s="285" t="s">
        <v>314</v>
      </c>
      <c r="F34" s="283">
        <v>3143</v>
      </c>
      <c r="G34" s="286" t="s">
        <v>596</v>
      </c>
      <c r="H34" s="286" t="s">
        <v>271</v>
      </c>
      <c r="I34" s="598">
        <f t="shared" si="51"/>
        <v>4151161</v>
      </c>
      <c r="J34" s="418">
        <f t="shared" si="21"/>
        <v>3079496</v>
      </c>
      <c r="K34" s="418">
        <v>3079496</v>
      </c>
      <c r="L34" s="418">
        <v>0</v>
      </c>
      <c r="M34" s="418">
        <f t="shared" si="52"/>
        <v>0</v>
      </c>
      <c r="N34" s="418">
        <v>0</v>
      </c>
      <c r="O34" s="418">
        <v>0</v>
      </c>
      <c r="P34" s="68">
        <f t="shared" si="53"/>
        <v>1040870</v>
      </c>
      <c r="Q34" s="68">
        <f t="shared" si="54"/>
        <v>30795</v>
      </c>
      <c r="R34" s="418">
        <v>0</v>
      </c>
      <c r="S34" s="419">
        <f>T34+U34</f>
        <v>5.8930999999999996</v>
      </c>
      <c r="T34" s="420">
        <v>5.8930999999999996</v>
      </c>
      <c r="U34" s="707"/>
      <c r="V34" s="427">
        <f t="shared" si="55"/>
        <v>-44800</v>
      </c>
      <c r="W34" s="421">
        <f t="shared" si="55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-44800</v>
      </c>
      <c r="AG34" s="421">
        <f>W34+Z34+AC34+AE34</f>
        <v>0</v>
      </c>
      <c r="AH34" s="421">
        <f>SUM(AF34:AG34)</f>
        <v>-44800</v>
      </c>
      <c r="AI34" s="421">
        <v>44800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56"/>
        <v>44800</v>
      </c>
      <c r="AP34" s="421">
        <f>AJ34+AN34</f>
        <v>0</v>
      </c>
      <c r="AQ34" s="421">
        <f>SUM(AO34:AP34)</f>
        <v>44800</v>
      </c>
      <c r="AR34" s="421">
        <f t="shared" si="57"/>
        <v>0</v>
      </c>
      <c r="AS34" s="421">
        <f t="shared" si="57"/>
        <v>0</v>
      </c>
      <c r="AT34" s="421">
        <f>SUM(AR34:AS34)</f>
        <v>0</v>
      </c>
      <c r="AU34" s="68">
        <f t="shared" si="58"/>
        <v>0</v>
      </c>
      <c r="AV34" s="68">
        <f>ROUND(AH34*1%,0)</f>
        <v>-448</v>
      </c>
      <c r="AW34" s="421">
        <v>0</v>
      </c>
      <c r="AX34" s="421">
        <v>0</v>
      </c>
      <c r="AY34" s="421">
        <f>AW34+AX34</f>
        <v>0</v>
      </c>
      <c r="AZ34" s="421">
        <f>AT34+AU34+AV34+AY34</f>
        <v>-448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611">
        <f>SUM(BK34:BL34)</f>
        <v>0</v>
      </c>
      <c r="BN34" s="428">
        <f>I34+AZ34</f>
        <v>4150713</v>
      </c>
      <c r="BO34" s="421">
        <f>J34+AH34</f>
        <v>3034696</v>
      </c>
      <c r="BP34" s="421">
        <f t="shared" si="59"/>
        <v>3034696</v>
      </c>
      <c r="BQ34" s="421">
        <f t="shared" si="59"/>
        <v>0</v>
      </c>
      <c r="BR34" s="421">
        <f>M34+AQ34</f>
        <v>44800</v>
      </c>
      <c r="BS34" s="421">
        <f t="shared" si="60"/>
        <v>44800</v>
      </c>
      <c r="BT34" s="421">
        <f t="shared" si="60"/>
        <v>0</v>
      </c>
      <c r="BU34" s="421">
        <f t="shared" si="61"/>
        <v>1040870</v>
      </c>
      <c r="BV34" s="421">
        <f t="shared" si="61"/>
        <v>30347</v>
      </c>
      <c r="BW34" s="421">
        <f>R34+AY34</f>
        <v>0</v>
      </c>
      <c r="BX34" s="422">
        <f>S34+BM34</f>
        <v>5.8930999999999996</v>
      </c>
      <c r="BY34" s="422">
        <f t="shared" si="62"/>
        <v>5.8930999999999996</v>
      </c>
      <c r="BZ34" s="611">
        <f t="shared" si="62"/>
        <v>0</v>
      </c>
      <c r="CA34" s="423"/>
      <c r="CB34" s="418"/>
      <c r="CC34" s="418"/>
      <c r="CD34" s="418"/>
      <c r="CE34" s="418"/>
      <c r="CF34" s="527"/>
    </row>
    <row r="35" spans="1:84" ht="12.95" customHeight="1" x14ac:dyDescent="0.25">
      <c r="A35" s="282">
        <v>5</v>
      </c>
      <c r="B35" s="283">
        <v>4456</v>
      </c>
      <c r="C35" s="283">
        <v>600074617</v>
      </c>
      <c r="D35" s="283">
        <v>68430132</v>
      </c>
      <c r="E35" s="285" t="s">
        <v>314</v>
      </c>
      <c r="F35" s="283">
        <v>3143</v>
      </c>
      <c r="G35" s="286" t="s">
        <v>597</v>
      </c>
      <c r="H35" s="286" t="s">
        <v>272</v>
      </c>
      <c r="I35" s="598">
        <f t="shared" si="51"/>
        <v>102978</v>
      </c>
      <c r="J35" s="418">
        <f t="shared" si="21"/>
        <v>73709</v>
      </c>
      <c r="K35" s="418">
        <v>0</v>
      </c>
      <c r="L35" s="418">
        <v>73709</v>
      </c>
      <c r="M35" s="418">
        <f t="shared" si="52"/>
        <v>0</v>
      </c>
      <c r="N35" s="418">
        <v>0</v>
      </c>
      <c r="O35" s="418">
        <v>0</v>
      </c>
      <c r="P35" s="68">
        <f t="shared" si="53"/>
        <v>24914</v>
      </c>
      <c r="Q35" s="68">
        <f t="shared" si="54"/>
        <v>737</v>
      </c>
      <c r="R35" s="418">
        <v>3618</v>
      </c>
      <c r="S35" s="419">
        <f>T35+U35</f>
        <v>0.2792</v>
      </c>
      <c r="T35" s="420"/>
      <c r="U35" s="707">
        <v>0.2792</v>
      </c>
      <c r="V35" s="427">
        <f t="shared" si="55"/>
        <v>0</v>
      </c>
      <c r="W35" s="421">
        <f t="shared" si="55"/>
        <v>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>V35+X35+Y35+AA35+AB35+AD35</f>
        <v>0</v>
      </c>
      <c r="AG35" s="421">
        <f>W35+Z35+AC35+AE35</f>
        <v>0</v>
      </c>
      <c r="AH35" s="421">
        <f>SUM(AF35:AG35)</f>
        <v>0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56"/>
        <v>0</v>
      </c>
      <c r="AP35" s="421">
        <f>AJ35+AN35</f>
        <v>0</v>
      </c>
      <c r="AQ35" s="421">
        <f>SUM(AO35:AP35)</f>
        <v>0</v>
      </c>
      <c r="AR35" s="421">
        <f t="shared" si="57"/>
        <v>0</v>
      </c>
      <c r="AS35" s="421">
        <f t="shared" si="57"/>
        <v>0</v>
      </c>
      <c r="AT35" s="421">
        <f>SUM(AR35:AS35)</f>
        <v>0</v>
      </c>
      <c r="AU35" s="68">
        <f t="shared" si="58"/>
        <v>0</v>
      </c>
      <c r="AV35" s="68">
        <f>ROUND(AH35*1%,0)</f>
        <v>0</v>
      </c>
      <c r="AW35" s="421">
        <v>0</v>
      </c>
      <c r="AX35" s="421">
        <v>0</v>
      </c>
      <c r="AY35" s="421">
        <f>AW35+AX35</f>
        <v>0</v>
      </c>
      <c r="AZ35" s="421">
        <f>AT35+AU35+AV35+AY35</f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>BA35+BC35+BD35+BF35+BH35+BI35</f>
        <v>0</v>
      </c>
      <c r="BL35" s="422">
        <f>BB35+BE35+BG35+BJ35</f>
        <v>0</v>
      </c>
      <c r="BM35" s="611">
        <f>SUM(BK35:BL35)</f>
        <v>0</v>
      </c>
      <c r="BN35" s="428">
        <f>I35+AZ35</f>
        <v>102978</v>
      </c>
      <c r="BO35" s="421">
        <f>J35+AH35</f>
        <v>73709</v>
      </c>
      <c r="BP35" s="421">
        <f t="shared" si="59"/>
        <v>0</v>
      </c>
      <c r="BQ35" s="421">
        <f t="shared" si="59"/>
        <v>73709</v>
      </c>
      <c r="BR35" s="421">
        <f>M35+AQ35</f>
        <v>0</v>
      </c>
      <c r="BS35" s="421">
        <f t="shared" si="60"/>
        <v>0</v>
      </c>
      <c r="BT35" s="421">
        <f t="shared" si="60"/>
        <v>0</v>
      </c>
      <c r="BU35" s="421">
        <f t="shared" si="61"/>
        <v>24914</v>
      </c>
      <c r="BV35" s="421">
        <f t="shared" si="61"/>
        <v>737</v>
      </c>
      <c r="BW35" s="421">
        <f>R35+AY35</f>
        <v>3618</v>
      </c>
      <c r="BX35" s="422">
        <f>S35+BM35</f>
        <v>0.2792</v>
      </c>
      <c r="BY35" s="422">
        <f t="shared" si="62"/>
        <v>0</v>
      </c>
      <c r="BZ35" s="611">
        <f t="shared" si="62"/>
        <v>0.2792</v>
      </c>
      <c r="CA35" s="423"/>
      <c r="CB35" s="418"/>
      <c r="CC35" s="418"/>
      <c r="CD35" s="418"/>
      <c r="CE35" s="418"/>
      <c r="CF35" s="527"/>
    </row>
    <row r="36" spans="1:84" ht="12.95" customHeight="1" x14ac:dyDescent="0.25">
      <c r="A36" s="275">
        <v>5</v>
      </c>
      <c r="B36" s="277">
        <v>4456</v>
      </c>
      <c r="C36" s="277">
        <v>600074617</v>
      </c>
      <c r="D36" s="277">
        <v>68430132</v>
      </c>
      <c r="E36" s="290" t="s">
        <v>315</v>
      </c>
      <c r="F36" s="293"/>
      <c r="G36" s="294"/>
      <c r="H36" s="294"/>
      <c r="I36" s="473">
        <f t="shared" ref="I36:BU36" si="63">SUM(I31:I35)</f>
        <v>55217632</v>
      </c>
      <c r="J36" s="470">
        <f t="shared" si="63"/>
        <v>40452290</v>
      </c>
      <c r="K36" s="470">
        <f t="shared" si="63"/>
        <v>36006616</v>
      </c>
      <c r="L36" s="470">
        <f t="shared" si="63"/>
        <v>4445674</v>
      </c>
      <c r="M36" s="470">
        <f t="shared" si="63"/>
        <v>0</v>
      </c>
      <c r="N36" s="470">
        <f t="shared" si="63"/>
        <v>0</v>
      </c>
      <c r="O36" s="470">
        <f t="shared" si="63"/>
        <v>0</v>
      </c>
      <c r="P36" s="470">
        <f t="shared" si="63"/>
        <v>13672875</v>
      </c>
      <c r="Q36" s="470">
        <f t="shared" si="63"/>
        <v>404523</v>
      </c>
      <c r="R36" s="470">
        <f t="shared" si="63"/>
        <v>687944</v>
      </c>
      <c r="S36" s="471">
        <f t="shared" si="63"/>
        <v>66.241400000000013</v>
      </c>
      <c r="T36" s="471">
        <f t="shared" si="63"/>
        <v>52.756599999999999</v>
      </c>
      <c r="U36" s="292">
        <f t="shared" si="63"/>
        <v>13.4848</v>
      </c>
      <c r="V36" s="475">
        <f t="shared" si="63"/>
        <v>-160000</v>
      </c>
      <c r="W36" s="470">
        <f t="shared" si="63"/>
        <v>-19200</v>
      </c>
      <c r="X36" s="470">
        <f t="shared" si="63"/>
        <v>2584470</v>
      </c>
      <c r="Y36" s="470">
        <f t="shared" si="63"/>
        <v>0</v>
      </c>
      <c r="Z36" s="470">
        <f t="shared" si="63"/>
        <v>0</v>
      </c>
      <c r="AA36" s="470">
        <f t="shared" si="63"/>
        <v>0</v>
      </c>
      <c r="AB36" s="470">
        <f t="shared" si="63"/>
        <v>112800</v>
      </c>
      <c r="AC36" s="470">
        <f t="shared" si="63"/>
        <v>0</v>
      </c>
      <c r="AD36" s="470">
        <f t="shared" si="63"/>
        <v>0</v>
      </c>
      <c r="AE36" s="470">
        <f t="shared" si="63"/>
        <v>0</v>
      </c>
      <c r="AF36" s="470">
        <f t="shared" si="63"/>
        <v>2537270</v>
      </c>
      <c r="AG36" s="470">
        <f t="shared" si="63"/>
        <v>-19200</v>
      </c>
      <c r="AH36" s="470">
        <f t="shared" si="63"/>
        <v>2518070</v>
      </c>
      <c r="AI36" s="470">
        <f t="shared" si="63"/>
        <v>160000</v>
      </c>
      <c r="AJ36" s="470">
        <f t="shared" si="63"/>
        <v>19200</v>
      </c>
      <c r="AK36" s="470">
        <f t="shared" ref="AK36" si="64">SUM(AK31:AK35)</f>
        <v>0</v>
      </c>
      <c r="AL36" s="470">
        <f t="shared" si="63"/>
        <v>105920</v>
      </c>
      <c r="AM36" s="470">
        <f t="shared" si="63"/>
        <v>0</v>
      </c>
      <c r="AN36" s="470">
        <f t="shared" si="63"/>
        <v>0</v>
      </c>
      <c r="AO36" s="470">
        <f t="shared" si="63"/>
        <v>265920</v>
      </c>
      <c r="AP36" s="470">
        <f t="shared" si="63"/>
        <v>19200</v>
      </c>
      <c r="AQ36" s="470">
        <f t="shared" si="63"/>
        <v>285120</v>
      </c>
      <c r="AR36" s="470">
        <f t="shared" si="63"/>
        <v>2803190</v>
      </c>
      <c r="AS36" s="470">
        <f t="shared" si="63"/>
        <v>0</v>
      </c>
      <c r="AT36" s="470">
        <f t="shared" si="63"/>
        <v>2803190</v>
      </c>
      <c r="AU36" s="470">
        <f t="shared" si="63"/>
        <v>947478</v>
      </c>
      <c r="AV36" s="470">
        <f t="shared" si="63"/>
        <v>25181</v>
      </c>
      <c r="AW36" s="470">
        <f t="shared" si="63"/>
        <v>500</v>
      </c>
      <c r="AX36" s="470">
        <f t="shared" si="63"/>
        <v>0</v>
      </c>
      <c r="AY36" s="470">
        <f t="shared" si="63"/>
        <v>500</v>
      </c>
      <c r="AZ36" s="470">
        <f t="shared" si="63"/>
        <v>3776349</v>
      </c>
      <c r="BA36" s="471">
        <f t="shared" si="63"/>
        <v>-0.14000000000000001</v>
      </c>
      <c r="BB36" s="471">
        <f t="shared" si="63"/>
        <v>0</v>
      </c>
      <c r="BC36" s="471">
        <f t="shared" si="63"/>
        <v>6.9799999999999995</v>
      </c>
      <c r="BD36" s="471">
        <f t="shared" si="63"/>
        <v>0.2</v>
      </c>
      <c r="BE36" s="471">
        <f t="shared" si="63"/>
        <v>0</v>
      </c>
      <c r="BF36" s="471">
        <f t="shared" si="63"/>
        <v>0</v>
      </c>
      <c r="BG36" s="471">
        <f t="shared" si="63"/>
        <v>0</v>
      </c>
      <c r="BH36" s="471">
        <f t="shared" si="63"/>
        <v>0</v>
      </c>
      <c r="BI36" s="471">
        <f t="shared" si="63"/>
        <v>0</v>
      </c>
      <c r="BJ36" s="471">
        <f t="shared" si="63"/>
        <v>0</v>
      </c>
      <c r="BK36" s="471">
        <f t="shared" si="63"/>
        <v>7.0399999999999991</v>
      </c>
      <c r="BL36" s="471">
        <f t="shared" si="63"/>
        <v>0</v>
      </c>
      <c r="BM36" s="561">
        <f t="shared" si="63"/>
        <v>7.0399999999999991</v>
      </c>
      <c r="BN36" s="473">
        <f t="shared" si="63"/>
        <v>58993981</v>
      </c>
      <c r="BO36" s="470">
        <f t="shared" si="63"/>
        <v>42970360</v>
      </c>
      <c r="BP36" s="470">
        <f t="shared" si="63"/>
        <v>38543886</v>
      </c>
      <c r="BQ36" s="470">
        <f t="shared" si="63"/>
        <v>4426474</v>
      </c>
      <c r="BR36" s="470">
        <f t="shared" si="63"/>
        <v>285120</v>
      </c>
      <c r="BS36" s="470">
        <f t="shared" si="63"/>
        <v>265920</v>
      </c>
      <c r="BT36" s="470">
        <f t="shared" si="63"/>
        <v>19200</v>
      </c>
      <c r="BU36" s="470">
        <f t="shared" si="63"/>
        <v>14620353</v>
      </c>
      <c r="BV36" s="470">
        <f t="shared" ref="BV36:CF36" si="65">SUM(BV31:BV35)</f>
        <v>429704</v>
      </c>
      <c r="BW36" s="470">
        <f t="shared" si="65"/>
        <v>688444</v>
      </c>
      <c r="BX36" s="471">
        <f t="shared" si="65"/>
        <v>73.281400000000005</v>
      </c>
      <c r="BY36" s="471">
        <f t="shared" si="65"/>
        <v>59.796599999999998</v>
      </c>
      <c r="BZ36" s="561">
        <f t="shared" si="65"/>
        <v>13.4848</v>
      </c>
      <c r="CA36" s="874">
        <f t="shared" si="65"/>
        <v>152054</v>
      </c>
      <c r="CB36" s="871">
        <f t="shared" si="65"/>
        <v>112800</v>
      </c>
      <c r="CC36" s="871">
        <f t="shared" si="65"/>
        <v>0</v>
      </c>
      <c r="CD36" s="871">
        <f t="shared" si="65"/>
        <v>38126</v>
      </c>
      <c r="CE36" s="871">
        <f t="shared" si="65"/>
        <v>1128</v>
      </c>
      <c r="CF36" s="847">
        <f t="shared" si="65"/>
        <v>0.2</v>
      </c>
    </row>
    <row r="37" spans="1:84" ht="12.95" customHeight="1" x14ac:dyDescent="0.25">
      <c r="A37" s="282">
        <v>6</v>
      </c>
      <c r="B37" s="283">
        <v>4478</v>
      </c>
      <c r="C37" s="283">
        <v>600075141</v>
      </c>
      <c r="D37" s="283">
        <v>70975191</v>
      </c>
      <c r="E37" s="285" t="s">
        <v>316</v>
      </c>
      <c r="F37" s="283">
        <v>3114</v>
      </c>
      <c r="G37" s="288" t="s">
        <v>526</v>
      </c>
      <c r="H37" s="286" t="s">
        <v>271</v>
      </c>
      <c r="I37" s="598">
        <f t="shared" ref="I37:I41" si="66">J37+M37+P37+Q37+R37</f>
        <v>8179192</v>
      </c>
      <c r="J37" s="418">
        <f t="shared" si="21"/>
        <v>6020092</v>
      </c>
      <c r="K37" s="418">
        <v>5519976</v>
      </c>
      <c r="L37" s="418">
        <v>500116</v>
      </c>
      <c r="M37" s="418">
        <f t="shared" ref="M37:M41" si="67">N37+O37</f>
        <v>0</v>
      </c>
      <c r="N37" s="418">
        <v>0</v>
      </c>
      <c r="O37" s="418">
        <v>0</v>
      </c>
      <c r="P37" s="68">
        <f t="shared" ref="P37:P41" si="68">ROUND((J37+M37)*33.8%,0)</f>
        <v>2034791</v>
      </c>
      <c r="Q37" s="68">
        <f>ROUND(J37*1%,0)+1</f>
        <v>60202</v>
      </c>
      <c r="R37" s="418">
        <v>64107</v>
      </c>
      <c r="S37" s="419">
        <f>T37+U37</f>
        <v>8.660499999999999</v>
      </c>
      <c r="T37" s="420">
        <v>7.2271999999999998</v>
      </c>
      <c r="U37" s="707">
        <v>1.4333</v>
      </c>
      <c r="V37" s="427">
        <f t="shared" ref="V37:W41" si="69">AI37*-1</f>
        <v>-44800</v>
      </c>
      <c r="W37" s="421">
        <f t="shared" si="69"/>
        <v>-12800</v>
      </c>
      <c r="X37" s="421">
        <v>0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>V37+X37+Y37+AA37+AB37+AD37</f>
        <v>-44800</v>
      </c>
      <c r="AG37" s="421">
        <f>W37+Z37+AC37+AE37</f>
        <v>-12800</v>
      </c>
      <c r="AH37" s="421">
        <f>SUM(AF37:AG37)</f>
        <v>-57600</v>
      </c>
      <c r="AI37" s="421">
        <v>44800</v>
      </c>
      <c r="AJ37" s="421">
        <v>12800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ref="AO37:AO41" si="70">AI37+AK37+AL37+AM37</f>
        <v>44800</v>
      </c>
      <c r="AP37" s="421">
        <f>AJ37+AN37</f>
        <v>12800</v>
      </c>
      <c r="AQ37" s="421">
        <f>SUM(AO37:AP37)</f>
        <v>57600</v>
      </c>
      <c r="AR37" s="421">
        <f t="shared" ref="AR37:AS41" si="71">AF37+AO37</f>
        <v>0</v>
      </c>
      <c r="AS37" s="421">
        <f t="shared" si="71"/>
        <v>0</v>
      </c>
      <c r="AT37" s="421">
        <f>SUM(AR37:AS37)</f>
        <v>0</v>
      </c>
      <c r="AU37" s="68">
        <f t="shared" ref="AU37:AU41" si="72">ROUND((AH37+AI37+AJ37+AK37+AL37)*33.8%,0)</f>
        <v>0</v>
      </c>
      <c r="AV37" s="68">
        <f>ROUND(AH37*1%,0)</f>
        <v>-576</v>
      </c>
      <c r="AW37" s="421">
        <v>0</v>
      </c>
      <c r="AX37" s="421">
        <v>0</v>
      </c>
      <c r="AY37" s="421">
        <f>AW37+AX37</f>
        <v>0</v>
      </c>
      <c r="AZ37" s="421">
        <f>AT37+AU37+AV37+AY37</f>
        <v>-576</v>
      </c>
      <c r="BA37" s="422">
        <v>-0.06</v>
      </c>
      <c r="BB37" s="422">
        <v>-0.04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-0.06</v>
      </c>
      <c r="BL37" s="422">
        <f>BB37+BE37+BG37+BJ37</f>
        <v>-0.04</v>
      </c>
      <c r="BM37" s="611">
        <f>SUM(BK37:BL37)</f>
        <v>-0.1</v>
      </c>
      <c r="BN37" s="428">
        <f>I37+AZ37</f>
        <v>8178616</v>
      </c>
      <c r="BO37" s="421">
        <f>J37+AH37</f>
        <v>5962492</v>
      </c>
      <c r="BP37" s="421">
        <f t="shared" ref="BP37:BQ41" si="73">K37+AF37</f>
        <v>5475176</v>
      </c>
      <c r="BQ37" s="421">
        <f t="shared" si="73"/>
        <v>487316</v>
      </c>
      <c r="BR37" s="421">
        <f>M37+AQ37</f>
        <v>57600</v>
      </c>
      <c r="BS37" s="421">
        <f t="shared" ref="BS37:BT41" si="74">N37+AO37</f>
        <v>44800</v>
      </c>
      <c r="BT37" s="421">
        <f t="shared" si="74"/>
        <v>12800</v>
      </c>
      <c r="BU37" s="421">
        <f t="shared" ref="BU37:BV41" si="75">P37+AU37</f>
        <v>2034791</v>
      </c>
      <c r="BV37" s="421">
        <f t="shared" si="75"/>
        <v>59626</v>
      </c>
      <c r="BW37" s="421">
        <f>R37+AY37</f>
        <v>64107</v>
      </c>
      <c r="BX37" s="422">
        <f>S37+BM37</f>
        <v>8.5604999999999993</v>
      </c>
      <c r="BY37" s="422">
        <f t="shared" ref="BY37:BZ41" si="76">T37+BK37</f>
        <v>7.1672000000000002</v>
      </c>
      <c r="BZ37" s="611">
        <f t="shared" si="76"/>
        <v>1.3933</v>
      </c>
      <c r="CA37" s="423"/>
      <c r="CB37" s="418"/>
      <c r="CC37" s="418"/>
      <c r="CD37" s="418"/>
      <c r="CE37" s="418"/>
      <c r="CF37" s="527"/>
    </row>
    <row r="38" spans="1:84" ht="12.95" customHeight="1" x14ac:dyDescent="0.25">
      <c r="A38" s="282">
        <v>6</v>
      </c>
      <c r="B38" s="283">
        <v>4478</v>
      </c>
      <c r="C38" s="283">
        <v>600075141</v>
      </c>
      <c r="D38" s="283">
        <v>70975191</v>
      </c>
      <c r="E38" s="285" t="s">
        <v>316</v>
      </c>
      <c r="F38" s="283">
        <v>3114</v>
      </c>
      <c r="G38" s="288" t="s">
        <v>299</v>
      </c>
      <c r="H38" s="286" t="s">
        <v>272</v>
      </c>
      <c r="I38" s="598">
        <f t="shared" si="66"/>
        <v>0</v>
      </c>
      <c r="J38" s="418">
        <f t="shared" si="21"/>
        <v>0</v>
      </c>
      <c r="K38" s="418">
        <v>0</v>
      </c>
      <c r="L38" s="418">
        <v>0</v>
      </c>
      <c r="M38" s="418">
        <f t="shared" si="67"/>
        <v>0</v>
      </c>
      <c r="N38" s="418">
        <v>0</v>
      </c>
      <c r="O38" s="418">
        <v>0</v>
      </c>
      <c r="P38" s="68">
        <f t="shared" si="68"/>
        <v>0</v>
      </c>
      <c r="Q38" s="68">
        <f t="shared" ref="Q38:Q41" si="77">ROUND(J38*1%,0)</f>
        <v>0</v>
      </c>
      <c r="R38" s="418">
        <v>0</v>
      </c>
      <c r="S38" s="419">
        <f>T38+U38</f>
        <v>0</v>
      </c>
      <c r="T38" s="420"/>
      <c r="U38" s="707"/>
      <c r="V38" s="427">
        <f t="shared" si="69"/>
        <v>0</v>
      </c>
      <c r="W38" s="421">
        <f t="shared" si="69"/>
        <v>0</v>
      </c>
      <c r="X38" s="421">
        <v>0</v>
      </c>
      <c r="Y38" s="421">
        <v>0</v>
      </c>
      <c r="Z38" s="421">
        <v>0</v>
      </c>
      <c r="AA38" s="421">
        <v>0</v>
      </c>
      <c r="AB38" s="421">
        <v>0</v>
      </c>
      <c r="AC38" s="421">
        <v>0</v>
      </c>
      <c r="AD38" s="421">
        <v>0</v>
      </c>
      <c r="AE38" s="421">
        <v>0</v>
      </c>
      <c r="AF38" s="421">
        <f>V38+X38+Y38+AA38+AB38+AD38</f>
        <v>0</v>
      </c>
      <c r="AG38" s="421">
        <f>W38+Z38+AC38+AE38</f>
        <v>0</v>
      </c>
      <c r="AH38" s="421">
        <f>SUM(AF38:AG38)</f>
        <v>0</v>
      </c>
      <c r="AI38" s="421">
        <v>0</v>
      </c>
      <c r="AJ38" s="421">
        <v>0</v>
      </c>
      <c r="AK38" s="421">
        <v>0</v>
      </c>
      <c r="AL38" s="421">
        <v>0</v>
      </c>
      <c r="AM38" s="421">
        <v>0</v>
      </c>
      <c r="AN38" s="421">
        <v>0</v>
      </c>
      <c r="AO38" s="421">
        <f t="shared" si="70"/>
        <v>0</v>
      </c>
      <c r="AP38" s="421">
        <f>AJ38+AN38</f>
        <v>0</v>
      </c>
      <c r="AQ38" s="421">
        <f>SUM(AO38:AP38)</f>
        <v>0</v>
      </c>
      <c r="AR38" s="421">
        <f t="shared" si="71"/>
        <v>0</v>
      </c>
      <c r="AS38" s="421">
        <f t="shared" si="71"/>
        <v>0</v>
      </c>
      <c r="AT38" s="421">
        <f>SUM(AR38:AS38)</f>
        <v>0</v>
      </c>
      <c r="AU38" s="68">
        <f t="shared" si="72"/>
        <v>0</v>
      </c>
      <c r="AV38" s="68">
        <f>ROUND(AH38*1%,0)</f>
        <v>0</v>
      </c>
      <c r="AW38" s="421">
        <v>0</v>
      </c>
      <c r="AX38" s="421">
        <v>0</v>
      </c>
      <c r="AY38" s="421">
        <f>AW38+AX38</f>
        <v>0</v>
      </c>
      <c r="AZ38" s="421">
        <f>AT38+AU38+AV38+AY38</f>
        <v>0</v>
      </c>
      <c r="BA38" s="422">
        <v>0</v>
      </c>
      <c r="BB38" s="422">
        <v>0</v>
      </c>
      <c r="BC38" s="422">
        <v>0</v>
      </c>
      <c r="BD38" s="422">
        <v>0</v>
      </c>
      <c r="BE38" s="422">
        <v>0</v>
      </c>
      <c r="BF38" s="422">
        <v>0</v>
      </c>
      <c r="BG38" s="422">
        <v>0</v>
      </c>
      <c r="BH38" s="422">
        <v>0</v>
      </c>
      <c r="BI38" s="422">
        <v>0</v>
      </c>
      <c r="BJ38" s="422">
        <v>0</v>
      </c>
      <c r="BK38" s="422">
        <f>BA38+BC38+BD38+BF38+BH38+BI38</f>
        <v>0</v>
      </c>
      <c r="BL38" s="422">
        <f>BB38+BE38+BG38+BJ38</f>
        <v>0</v>
      </c>
      <c r="BM38" s="611">
        <f>SUM(BK38:BL38)</f>
        <v>0</v>
      </c>
      <c r="BN38" s="428">
        <f>I38+AZ38</f>
        <v>0</v>
      </c>
      <c r="BO38" s="421">
        <f>J38+AH38</f>
        <v>0</v>
      </c>
      <c r="BP38" s="421">
        <f t="shared" si="73"/>
        <v>0</v>
      </c>
      <c r="BQ38" s="421">
        <f t="shared" si="73"/>
        <v>0</v>
      </c>
      <c r="BR38" s="421">
        <f>M38+AQ38</f>
        <v>0</v>
      </c>
      <c r="BS38" s="421">
        <f t="shared" si="74"/>
        <v>0</v>
      </c>
      <c r="BT38" s="421">
        <f t="shared" si="74"/>
        <v>0</v>
      </c>
      <c r="BU38" s="421">
        <f t="shared" si="75"/>
        <v>0</v>
      </c>
      <c r="BV38" s="421">
        <f t="shared" si="75"/>
        <v>0</v>
      </c>
      <c r="BW38" s="421">
        <f>R38+AY38</f>
        <v>0</v>
      </c>
      <c r="BX38" s="422">
        <f>S38+BM38</f>
        <v>0</v>
      </c>
      <c r="BY38" s="422">
        <f t="shared" si="76"/>
        <v>0</v>
      </c>
      <c r="BZ38" s="611">
        <f t="shared" si="76"/>
        <v>0</v>
      </c>
      <c r="CA38" s="423"/>
      <c r="CB38" s="418"/>
      <c r="CC38" s="418"/>
      <c r="CD38" s="418"/>
      <c r="CE38" s="418"/>
      <c r="CF38" s="527"/>
    </row>
    <row r="39" spans="1:84" ht="12.95" customHeight="1" x14ac:dyDescent="0.25">
      <c r="A39" s="282">
        <v>6</v>
      </c>
      <c r="B39" s="283">
        <v>4478</v>
      </c>
      <c r="C39" s="283">
        <v>600075141</v>
      </c>
      <c r="D39" s="283">
        <v>70975191</v>
      </c>
      <c r="E39" s="285" t="s">
        <v>316</v>
      </c>
      <c r="F39" s="283">
        <v>3114</v>
      </c>
      <c r="G39" s="288" t="s">
        <v>293</v>
      </c>
      <c r="H39" s="286" t="s">
        <v>271</v>
      </c>
      <c r="I39" s="598">
        <f t="shared" si="66"/>
        <v>801720</v>
      </c>
      <c r="J39" s="418">
        <f t="shared" si="21"/>
        <v>594748</v>
      </c>
      <c r="K39" s="418">
        <v>594748</v>
      </c>
      <c r="L39" s="418">
        <v>0</v>
      </c>
      <c r="M39" s="418">
        <f t="shared" si="67"/>
        <v>0</v>
      </c>
      <c r="N39" s="418">
        <v>0</v>
      </c>
      <c r="O39" s="418">
        <v>0</v>
      </c>
      <c r="P39" s="68">
        <f t="shared" si="68"/>
        <v>201025</v>
      </c>
      <c r="Q39" s="68">
        <f t="shared" si="77"/>
        <v>5947</v>
      </c>
      <c r="R39" s="418">
        <v>0</v>
      </c>
      <c r="S39" s="419">
        <f>T39+U39</f>
        <v>1.4166000000000001</v>
      </c>
      <c r="T39" s="420">
        <v>1.4166000000000001</v>
      </c>
      <c r="U39" s="707"/>
      <c r="V39" s="427">
        <f t="shared" si="69"/>
        <v>0</v>
      </c>
      <c r="W39" s="421">
        <f t="shared" si="69"/>
        <v>0</v>
      </c>
      <c r="X39" s="421">
        <v>0</v>
      </c>
      <c r="Y39" s="421">
        <v>0</v>
      </c>
      <c r="Z39" s="421">
        <v>0</v>
      </c>
      <c r="AA39" s="421">
        <v>0</v>
      </c>
      <c r="AB39" s="421">
        <v>0</v>
      </c>
      <c r="AC39" s="421">
        <v>0</v>
      </c>
      <c r="AD39" s="421">
        <v>0</v>
      </c>
      <c r="AE39" s="421">
        <v>0</v>
      </c>
      <c r="AF39" s="421">
        <f>V39+X39+Y39+AA39+AB39+AD39</f>
        <v>0</v>
      </c>
      <c r="AG39" s="421">
        <f>W39+Z39+AC39+AE39</f>
        <v>0</v>
      </c>
      <c r="AH39" s="421">
        <f>SUM(AF39:AG39)</f>
        <v>0</v>
      </c>
      <c r="AI39" s="421">
        <v>0</v>
      </c>
      <c r="AJ39" s="421">
        <v>0</v>
      </c>
      <c r="AK39" s="421">
        <v>0</v>
      </c>
      <c r="AL39" s="421">
        <v>0</v>
      </c>
      <c r="AM39" s="421">
        <v>0</v>
      </c>
      <c r="AN39" s="421">
        <v>0</v>
      </c>
      <c r="AO39" s="421">
        <f t="shared" si="70"/>
        <v>0</v>
      </c>
      <c r="AP39" s="421">
        <f>AJ39+AN39</f>
        <v>0</v>
      </c>
      <c r="AQ39" s="421">
        <f>SUM(AO39:AP39)</f>
        <v>0</v>
      </c>
      <c r="AR39" s="421">
        <f t="shared" si="71"/>
        <v>0</v>
      </c>
      <c r="AS39" s="421">
        <f t="shared" si="71"/>
        <v>0</v>
      </c>
      <c r="AT39" s="421">
        <f>SUM(AR39:AS39)</f>
        <v>0</v>
      </c>
      <c r="AU39" s="68">
        <f t="shared" si="72"/>
        <v>0</v>
      </c>
      <c r="AV39" s="68">
        <f>ROUND(AH39*1%,0)</f>
        <v>0</v>
      </c>
      <c r="AW39" s="421">
        <v>0</v>
      </c>
      <c r="AX39" s="421">
        <v>0</v>
      </c>
      <c r="AY39" s="421">
        <f>AW39+AX39</f>
        <v>0</v>
      </c>
      <c r="AZ39" s="421">
        <f>AT39+AU39+AV39+AY39</f>
        <v>0</v>
      </c>
      <c r="BA39" s="422">
        <v>0</v>
      </c>
      <c r="BB39" s="422">
        <v>0</v>
      </c>
      <c r="BC39" s="422">
        <v>0</v>
      </c>
      <c r="BD39" s="422">
        <v>0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>BA39+BC39+BD39+BF39+BH39+BI39</f>
        <v>0</v>
      </c>
      <c r="BL39" s="422">
        <f>BB39+BE39+BG39+BJ39</f>
        <v>0</v>
      </c>
      <c r="BM39" s="611">
        <f>SUM(BK39:BL39)</f>
        <v>0</v>
      </c>
      <c r="BN39" s="428">
        <f>I39+AZ39</f>
        <v>801720</v>
      </c>
      <c r="BO39" s="421">
        <f>J39+AH39</f>
        <v>594748</v>
      </c>
      <c r="BP39" s="421">
        <f t="shared" si="73"/>
        <v>594748</v>
      </c>
      <c r="BQ39" s="421">
        <f t="shared" si="73"/>
        <v>0</v>
      </c>
      <c r="BR39" s="421">
        <f>M39+AQ39</f>
        <v>0</v>
      </c>
      <c r="BS39" s="421">
        <f t="shared" si="74"/>
        <v>0</v>
      </c>
      <c r="BT39" s="421">
        <f t="shared" si="74"/>
        <v>0</v>
      </c>
      <c r="BU39" s="421">
        <f t="shared" si="75"/>
        <v>201025</v>
      </c>
      <c r="BV39" s="421">
        <f t="shared" si="75"/>
        <v>5947</v>
      </c>
      <c r="BW39" s="421">
        <f>R39+AY39</f>
        <v>0</v>
      </c>
      <c r="BX39" s="422">
        <f>S39+BM39</f>
        <v>1.4166000000000001</v>
      </c>
      <c r="BY39" s="422">
        <f t="shared" si="76"/>
        <v>1.4166000000000001</v>
      </c>
      <c r="BZ39" s="611">
        <f t="shared" si="76"/>
        <v>0</v>
      </c>
      <c r="CA39" s="423"/>
      <c r="CB39" s="418"/>
      <c r="CC39" s="418"/>
      <c r="CD39" s="418"/>
      <c r="CE39" s="418"/>
      <c r="CF39" s="527"/>
    </row>
    <row r="40" spans="1:84" ht="12.95" customHeight="1" x14ac:dyDescent="0.25">
      <c r="A40" s="282">
        <v>6</v>
      </c>
      <c r="B40" s="283">
        <v>4478</v>
      </c>
      <c r="C40" s="283">
        <v>600075141</v>
      </c>
      <c r="D40" s="283">
        <v>70975191</v>
      </c>
      <c r="E40" s="285" t="s">
        <v>316</v>
      </c>
      <c r="F40" s="283">
        <v>3143</v>
      </c>
      <c r="G40" s="286" t="s">
        <v>596</v>
      </c>
      <c r="H40" s="286" t="s">
        <v>271</v>
      </c>
      <c r="I40" s="598">
        <f t="shared" si="66"/>
        <v>114601</v>
      </c>
      <c r="J40" s="418">
        <f t="shared" si="21"/>
        <v>85016</v>
      </c>
      <c r="K40" s="418">
        <v>85016</v>
      </c>
      <c r="L40" s="418">
        <v>0</v>
      </c>
      <c r="M40" s="418">
        <f t="shared" si="67"/>
        <v>0</v>
      </c>
      <c r="N40" s="418">
        <v>0</v>
      </c>
      <c r="O40" s="418">
        <v>0</v>
      </c>
      <c r="P40" s="68">
        <f t="shared" si="68"/>
        <v>28735</v>
      </c>
      <c r="Q40" s="68">
        <f t="shared" si="77"/>
        <v>850</v>
      </c>
      <c r="R40" s="418">
        <v>0</v>
      </c>
      <c r="S40" s="419">
        <f>T40+U40</f>
        <v>0.17849999999999999</v>
      </c>
      <c r="T40" s="420">
        <v>0.17849999999999999</v>
      </c>
      <c r="U40" s="707"/>
      <c r="V40" s="427">
        <f t="shared" si="69"/>
        <v>0</v>
      </c>
      <c r="W40" s="421">
        <f t="shared" si="69"/>
        <v>0</v>
      </c>
      <c r="X40" s="421">
        <v>0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>V40+X40+Y40+AA40+AB40+AD40</f>
        <v>0</v>
      </c>
      <c r="AG40" s="421">
        <f>W40+Z40+AC40+AE40</f>
        <v>0</v>
      </c>
      <c r="AH40" s="421">
        <f>SUM(AF40:AG40)</f>
        <v>0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70"/>
        <v>0</v>
      </c>
      <c r="AP40" s="421">
        <f>AJ40+AN40</f>
        <v>0</v>
      </c>
      <c r="AQ40" s="421">
        <f>SUM(AO40:AP40)</f>
        <v>0</v>
      </c>
      <c r="AR40" s="421">
        <f t="shared" si="71"/>
        <v>0</v>
      </c>
      <c r="AS40" s="421">
        <f t="shared" si="71"/>
        <v>0</v>
      </c>
      <c r="AT40" s="421">
        <f>SUM(AR40:AS40)</f>
        <v>0</v>
      </c>
      <c r="AU40" s="68">
        <f t="shared" si="72"/>
        <v>0</v>
      </c>
      <c r="AV40" s="68">
        <f>ROUND(AH40*1%,0)</f>
        <v>0</v>
      </c>
      <c r="AW40" s="421">
        <v>0</v>
      </c>
      <c r="AX40" s="421">
        <v>0</v>
      </c>
      <c r="AY40" s="421">
        <f>AW40+AX40</f>
        <v>0</v>
      </c>
      <c r="AZ40" s="421">
        <f>AT40+AU40+AV40+AY40</f>
        <v>0</v>
      </c>
      <c r="BA40" s="422">
        <v>0</v>
      </c>
      <c r="BB40" s="422">
        <v>0</v>
      </c>
      <c r="BC40" s="422">
        <v>0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>BA40+BC40+BD40+BF40+BH40+BI40</f>
        <v>0</v>
      </c>
      <c r="BL40" s="422">
        <f>BB40+BE40+BG40+BJ40</f>
        <v>0</v>
      </c>
      <c r="BM40" s="611">
        <f>SUM(BK40:BL40)</f>
        <v>0</v>
      </c>
      <c r="BN40" s="428">
        <f>I40+AZ40</f>
        <v>114601</v>
      </c>
      <c r="BO40" s="421">
        <f>J40+AH40</f>
        <v>85016</v>
      </c>
      <c r="BP40" s="421">
        <f t="shared" si="73"/>
        <v>85016</v>
      </c>
      <c r="BQ40" s="421">
        <f t="shared" si="73"/>
        <v>0</v>
      </c>
      <c r="BR40" s="421">
        <f>M40+AQ40</f>
        <v>0</v>
      </c>
      <c r="BS40" s="421">
        <f t="shared" si="74"/>
        <v>0</v>
      </c>
      <c r="BT40" s="421">
        <f t="shared" si="74"/>
        <v>0</v>
      </c>
      <c r="BU40" s="421">
        <f t="shared" si="75"/>
        <v>28735</v>
      </c>
      <c r="BV40" s="421">
        <f t="shared" si="75"/>
        <v>850</v>
      </c>
      <c r="BW40" s="421">
        <f>R40+AY40</f>
        <v>0</v>
      </c>
      <c r="BX40" s="422">
        <f>S40+BM40</f>
        <v>0.17849999999999999</v>
      </c>
      <c r="BY40" s="422">
        <f t="shared" si="76"/>
        <v>0.17849999999999999</v>
      </c>
      <c r="BZ40" s="611">
        <f t="shared" si="76"/>
        <v>0</v>
      </c>
      <c r="CA40" s="423"/>
      <c r="CB40" s="418"/>
      <c r="CC40" s="418"/>
      <c r="CD40" s="418"/>
      <c r="CE40" s="418"/>
      <c r="CF40" s="527"/>
    </row>
    <row r="41" spans="1:84" ht="12.95" customHeight="1" x14ac:dyDescent="0.25">
      <c r="A41" s="282">
        <v>6</v>
      </c>
      <c r="B41" s="283">
        <v>4478</v>
      </c>
      <c r="C41" s="283">
        <v>600075141</v>
      </c>
      <c r="D41" s="283">
        <v>70975191</v>
      </c>
      <c r="E41" s="285" t="s">
        <v>316</v>
      </c>
      <c r="F41" s="283">
        <v>3143</v>
      </c>
      <c r="G41" s="286" t="s">
        <v>597</v>
      </c>
      <c r="H41" s="286" t="s">
        <v>272</v>
      </c>
      <c r="I41" s="598">
        <f t="shared" si="66"/>
        <v>5642</v>
      </c>
      <c r="J41" s="418">
        <f t="shared" si="21"/>
        <v>4039</v>
      </c>
      <c r="K41" s="418">
        <v>0</v>
      </c>
      <c r="L41" s="418">
        <v>4039</v>
      </c>
      <c r="M41" s="418">
        <f t="shared" si="67"/>
        <v>0</v>
      </c>
      <c r="N41" s="418">
        <v>0</v>
      </c>
      <c r="O41" s="418">
        <v>0</v>
      </c>
      <c r="P41" s="68">
        <f t="shared" si="68"/>
        <v>1365</v>
      </c>
      <c r="Q41" s="68">
        <f t="shared" si="77"/>
        <v>40</v>
      </c>
      <c r="R41" s="418">
        <v>198</v>
      </c>
      <c r="S41" s="419">
        <f>T41+U41</f>
        <v>1.5299999999999999E-2</v>
      </c>
      <c r="T41" s="420"/>
      <c r="U41" s="707">
        <v>1.5299999999999999E-2</v>
      </c>
      <c r="V41" s="427">
        <f t="shared" si="69"/>
        <v>0</v>
      </c>
      <c r="W41" s="421">
        <f t="shared" si="69"/>
        <v>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0</v>
      </c>
      <c r="AG41" s="421">
        <f>W41+Z41+AC41+AE41</f>
        <v>0</v>
      </c>
      <c r="AH41" s="421">
        <f>SUM(AF41:AG41)</f>
        <v>0</v>
      </c>
      <c r="AI41" s="421">
        <v>0</v>
      </c>
      <c r="AJ41" s="421">
        <v>0</v>
      </c>
      <c r="AK41" s="421">
        <v>0</v>
      </c>
      <c r="AL41" s="421">
        <v>0</v>
      </c>
      <c r="AM41" s="421">
        <v>0</v>
      </c>
      <c r="AN41" s="421">
        <v>0</v>
      </c>
      <c r="AO41" s="421">
        <f t="shared" si="70"/>
        <v>0</v>
      </c>
      <c r="AP41" s="421">
        <f>AJ41+AN41</f>
        <v>0</v>
      </c>
      <c r="AQ41" s="421">
        <f>SUM(AO41:AP41)</f>
        <v>0</v>
      </c>
      <c r="AR41" s="421">
        <f t="shared" si="71"/>
        <v>0</v>
      </c>
      <c r="AS41" s="421">
        <f t="shared" si="71"/>
        <v>0</v>
      </c>
      <c r="AT41" s="421">
        <f>SUM(AR41:AS41)</f>
        <v>0</v>
      </c>
      <c r="AU41" s="68">
        <f t="shared" si="72"/>
        <v>0</v>
      </c>
      <c r="AV41" s="68">
        <f>ROUND(AH41*1%,0)</f>
        <v>0</v>
      </c>
      <c r="AW41" s="421">
        <v>0</v>
      </c>
      <c r="AX41" s="421">
        <v>0</v>
      </c>
      <c r="AY41" s="421">
        <f>AW41+AX41</f>
        <v>0</v>
      </c>
      <c r="AZ41" s="421">
        <f>AT41+AU41+AV41+AY41</f>
        <v>0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0</v>
      </c>
      <c r="BL41" s="422">
        <f>BB41+BE41+BG41+BJ41</f>
        <v>0</v>
      </c>
      <c r="BM41" s="611">
        <f>SUM(BK41:BL41)</f>
        <v>0</v>
      </c>
      <c r="BN41" s="428">
        <f>I41+AZ41</f>
        <v>5642</v>
      </c>
      <c r="BO41" s="421">
        <f>J41+AH41</f>
        <v>4039</v>
      </c>
      <c r="BP41" s="421">
        <f t="shared" si="73"/>
        <v>0</v>
      </c>
      <c r="BQ41" s="421">
        <f t="shared" si="73"/>
        <v>4039</v>
      </c>
      <c r="BR41" s="421">
        <f>M41+AQ41</f>
        <v>0</v>
      </c>
      <c r="BS41" s="421">
        <f t="shared" si="74"/>
        <v>0</v>
      </c>
      <c r="BT41" s="421">
        <f t="shared" si="74"/>
        <v>0</v>
      </c>
      <c r="BU41" s="421">
        <f t="shared" si="75"/>
        <v>1365</v>
      </c>
      <c r="BV41" s="421">
        <f t="shared" si="75"/>
        <v>40</v>
      </c>
      <c r="BW41" s="421">
        <f>R41+AY41</f>
        <v>198</v>
      </c>
      <c r="BX41" s="422">
        <f>S41+BM41</f>
        <v>1.5299999999999999E-2</v>
      </c>
      <c r="BY41" s="422">
        <f t="shared" si="76"/>
        <v>0</v>
      </c>
      <c r="BZ41" s="611">
        <f t="shared" si="76"/>
        <v>1.5299999999999999E-2</v>
      </c>
      <c r="CA41" s="423"/>
      <c r="CB41" s="418"/>
      <c r="CC41" s="418"/>
      <c r="CD41" s="418"/>
      <c r="CE41" s="418"/>
      <c r="CF41" s="527"/>
    </row>
    <row r="42" spans="1:84" ht="12.95" customHeight="1" x14ac:dyDescent="0.25">
      <c r="A42" s="275">
        <v>6</v>
      </c>
      <c r="B42" s="277">
        <v>4478</v>
      </c>
      <c r="C42" s="277">
        <v>600075141</v>
      </c>
      <c r="D42" s="277">
        <v>70975191</v>
      </c>
      <c r="E42" s="290" t="s">
        <v>317</v>
      </c>
      <c r="F42" s="293"/>
      <c r="G42" s="294"/>
      <c r="H42" s="294"/>
      <c r="I42" s="473">
        <f t="shared" ref="I42:BU42" si="78">SUM(I37:I41)</f>
        <v>9101155</v>
      </c>
      <c r="J42" s="470">
        <f t="shared" si="78"/>
        <v>6703895</v>
      </c>
      <c r="K42" s="470">
        <f t="shared" si="78"/>
        <v>6199740</v>
      </c>
      <c r="L42" s="470">
        <f t="shared" si="78"/>
        <v>504155</v>
      </c>
      <c r="M42" s="470">
        <f t="shared" si="78"/>
        <v>0</v>
      </c>
      <c r="N42" s="470">
        <f t="shared" si="78"/>
        <v>0</v>
      </c>
      <c r="O42" s="470">
        <f t="shared" si="78"/>
        <v>0</v>
      </c>
      <c r="P42" s="470">
        <f t="shared" si="78"/>
        <v>2265916</v>
      </c>
      <c r="Q42" s="470">
        <f t="shared" si="78"/>
        <v>67039</v>
      </c>
      <c r="R42" s="470">
        <f t="shared" si="78"/>
        <v>64305</v>
      </c>
      <c r="S42" s="471">
        <f t="shared" si="78"/>
        <v>10.270899999999999</v>
      </c>
      <c r="T42" s="471">
        <f t="shared" si="78"/>
        <v>8.8223000000000003</v>
      </c>
      <c r="U42" s="292">
        <f t="shared" si="78"/>
        <v>1.4486000000000001</v>
      </c>
      <c r="V42" s="475">
        <f t="shared" si="78"/>
        <v>-44800</v>
      </c>
      <c r="W42" s="470">
        <f t="shared" si="78"/>
        <v>-12800</v>
      </c>
      <c r="X42" s="470">
        <f t="shared" si="78"/>
        <v>0</v>
      </c>
      <c r="Y42" s="470">
        <f t="shared" si="78"/>
        <v>0</v>
      </c>
      <c r="Z42" s="470">
        <f t="shared" si="78"/>
        <v>0</v>
      </c>
      <c r="AA42" s="470">
        <f t="shared" si="78"/>
        <v>0</v>
      </c>
      <c r="AB42" s="470">
        <f t="shared" si="78"/>
        <v>0</v>
      </c>
      <c r="AC42" s="470">
        <f t="shared" si="78"/>
        <v>0</v>
      </c>
      <c r="AD42" s="470">
        <f t="shared" si="78"/>
        <v>0</v>
      </c>
      <c r="AE42" s="470">
        <f t="shared" si="78"/>
        <v>0</v>
      </c>
      <c r="AF42" s="470">
        <f t="shared" si="78"/>
        <v>-44800</v>
      </c>
      <c r="AG42" s="470">
        <f t="shared" si="78"/>
        <v>-12800</v>
      </c>
      <c r="AH42" s="470">
        <f t="shared" si="78"/>
        <v>-57600</v>
      </c>
      <c r="AI42" s="470">
        <f t="shared" si="78"/>
        <v>44800</v>
      </c>
      <c r="AJ42" s="470">
        <f t="shared" si="78"/>
        <v>12800</v>
      </c>
      <c r="AK42" s="470">
        <f t="shared" ref="AK42" si="79">SUM(AK37:AK41)</f>
        <v>0</v>
      </c>
      <c r="AL42" s="470">
        <f t="shared" si="78"/>
        <v>0</v>
      </c>
      <c r="AM42" s="470">
        <f t="shared" si="78"/>
        <v>0</v>
      </c>
      <c r="AN42" s="470">
        <f t="shared" si="78"/>
        <v>0</v>
      </c>
      <c r="AO42" s="470">
        <f t="shared" si="78"/>
        <v>44800</v>
      </c>
      <c r="AP42" s="470">
        <f t="shared" si="78"/>
        <v>12800</v>
      </c>
      <c r="AQ42" s="470">
        <f t="shared" si="78"/>
        <v>57600</v>
      </c>
      <c r="AR42" s="470">
        <f t="shared" si="78"/>
        <v>0</v>
      </c>
      <c r="AS42" s="470">
        <f t="shared" si="78"/>
        <v>0</v>
      </c>
      <c r="AT42" s="470">
        <f t="shared" si="78"/>
        <v>0</v>
      </c>
      <c r="AU42" s="470">
        <f t="shared" si="78"/>
        <v>0</v>
      </c>
      <c r="AV42" s="470">
        <f t="shared" si="78"/>
        <v>-576</v>
      </c>
      <c r="AW42" s="470">
        <f t="shared" si="78"/>
        <v>0</v>
      </c>
      <c r="AX42" s="470">
        <f t="shared" si="78"/>
        <v>0</v>
      </c>
      <c r="AY42" s="470">
        <f t="shared" si="78"/>
        <v>0</v>
      </c>
      <c r="AZ42" s="470">
        <f t="shared" si="78"/>
        <v>-576</v>
      </c>
      <c r="BA42" s="471">
        <f t="shared" si="78"/>
        <v>-0.06</v>
      </c>
      <c r="BB42" s="471">
        <f t="shared" si="78"/>
        <v>-0.04</v>
      </c>
      <c r="BC42" s="471">
        <f t="shared" si="78"/>
        <v>0</v>
      </c>
      <c r="BD42" s="471">
        <f t="shared" si="78"/>
        <v>0</v>
      </c>
      <c r="BE42" s="471">
        <f t="shared" si="78"/>
        <v>0</v>
      </c>
      <c r="BF42" s="471">
        <f t="shared" si="78"/>
        <v>0</v>
      </c>
      <c r="BG42" s="471">
        <f t="shared" si="78"/>
        <v>0</v>
      </c>
      <c r="BH42" s="471">
        <f t="shared" si="78"/>
        <v>0</v>
      </c>
      <c r="BI42" s="471">
        <f t="shared" si="78"/>
        <v>0</v>
      </c>
      <c r="BJ42" s="471">
        <f t="shared" si="78"/>
        <v>0</v>
      </c>
      <c r="BK42" s="471">
        <f t="shared" si="78"/>
        <v>-0.06</v>
      </c>
      <c r="BL42" s="471">
        <f t="shared" si="78"/>
        <v>-0.04</v>
      </c>
      <c r="BM42" s="561">
        <f t="shared" si="78"/>
        <v>-0.1</v>
      </c>
      <c r="BN42" s="473">
        <f t="shared" si="78"/>
        <v>9100579</v>
      </c>
      <c r="BO42" s="470">
        <f t="shared" si="78"/>
        <v>6646295</v>
      </c>
      <c r="BP42" s="470">
        <f t="shared" si="78"/>
        <v>6154940</v>
      </c>
      <c r="BQ42" s="470">
        <f t="shared" si="78"/>
        <v>491355</v>
      </c>
      <c r="BR42" s="470">
        <f t="shared" si="78"/>
        <v>57600</v>
      </c>
      <c r="BS42" s="470">
        <f t="shared" si="78"/>
        <v>44800</v>
      </c>
      <c r="BT42" s="470">
        <f t="shared" si="78"/>
        <v>12800</v>
      </c>
      <c r="BU42" s="470">
        <f t="shared" si="78"/>
        <v>2265916</v>
      </c>
      <c r="BV42" s="470">
        <f t="shared" ref="BV42:CF42" si="80">SUM(BV37:BV41)</f>
        <v>66463</v>
      </c>
      <c r="BW42" s="470">
        <f t="shared" si="80"/>
        <v>64305</v>
      </c>
      <c r="BX42" s="471">
        <f t="shared" si="80"/>
        <v>10.1709</v>
      </c>
      <c r="BY42" s="471">
        <f t="shared" si="80"/>
        <v>8.7622999999999998</v>
      </c>
      <c r="BZ42" s="561">
        <f t="shared" si="80"/>
        <v>1.4086000000000001</v>
      </c>
      <c r="CA42" s="874">
        <f t="shared" si="80"/>
        <v>0</v>
      </c>
      <c r="CB42" s="871">
        <f t="shared" si="80"/>
        <v>0</v>
      </c>
      <c r="CC42" s="871">
        <f t="shared" si="80"/>
        <v>0</v>
      </c>
      <c r="CD42" s="871">
        <f t="shared" si="80"/>
        <v>0</v>
      </c>
      <c r="CE42" s="871">
        <f t="shared" si="80"/>
        <v>0</v>
      </c>
      <c r="CF42" s="847">
        <f t="shared" si="80"/>
        <v>0</v>
      </c>
    </row>
    <row r="43" spans="1:84" ht="12.95" customHeight="1" x14ac:dyDescent="0.25">
      <c r="A43" s="282">
        <v>7</v>
      </c>
      <c r="B43" s="283">
        <v>4471</v>
      </c>
      <c r="C43" s="283">
        <v>600075061</v>
      </c>
      <c r="D43" s="283">
        <v>70975205</v>
      </c>
      <c r="E43" s="285" t="s">
        <v>318</v>
      </c>
      <c r="F43" s="283">
        <v>3231</v>
      </c>
      <c r="G43" s="286" t="s">
        <v>296</v>
      </c>
      <c r="H43" s="286" t="s">
        <v>271</v>
      </c>
      <c r="I43" s="598">
        <f>J43+M43+P43+Q43+R43</f>
        <v>13160781</v>
      </c>
      <c r="J43" s="418">
        <f t="shared" si="21"/>
        <v>9752080</v>
      </c>
      <c r="K43" s="418">
        <v>9395810</v>
      </c>
      <c r="L43" s="418">
        <v>356270</v>
      </c>
      <c r="M43" s="418">
        <f>N43+O43</f>
        <v>0</v>
      </c>
      <c r="N43" s="418">
        <v>0</v>
      </c>
      <c r="O43" s="418">
        <v>0</v>
      </c>
      <c r="P43" s="68">
        <f>ROUND((J43+M43)*33.8%,0)</f>
        <v>3296203</v>
      </c>
      <c r="Q43" s="68">
        <f>ROUND(J43*1%,0)</f>
        <v>97521</v>
      </c>
      <c r="R43" s="418">
        <v>14977</v>
      </c>
      <c r="S43" s="419">
        <f>T43+U43</f>
        <v>15.8918</v>
      </c>
      <c r="T43" s="420">
        <v>14.892099999999999</v>
      </c>
      <c r="U43" s="707">
        <v>0.99970000000000003</v>
      </c>
      <c r="V43" s="427">
        <f>AI43*-1</f>
        <v>0</v>
      </c>
      <c r="W43" s="421">
        <f>AJ43*-1</f>
        <v>-19200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>V43+X43+Y43+AA43+AB43+AD43</f>
        <v>0</v>
      </c>
      <c r="AG43" s="421">
        <f>W43+Z43+AC43+AE43</f>
        <v>-19200</v>
      </c>
      <c r="AH43" s="421">
        <f>SUM(AF43:AG43)</f>
        <v>-19200</v>
      </c>
      <c r="AI43" s="421">
        <v>0</v>
      </c>
      <c r="AJ43" s="421">
        <v>19200</v>
      </c>
      <c r="AK43" s="421">
        <v>0</v>
      </c>
      <c r="AL43" s="421">
        <v>0</v>
      </c>
      <c r="AM43" s="421">
        <v>0</v>
      </c>
      <c r="AN43" s="421">
        <v>0</v>
      </c>
      <c r="AO43" s="421">
        <f>AI43+AK43+AL43+AM43</f>
        <v>0</v>
      </c>
      <c r="AP43" s="421">
        <f>AJ43+AN43</f>
        <v>19200</v>
      </c>
      <c r="AQ43" s="421">
        <f>SUM(AO43:AP43)</f>
        <v>19200</v>
      </c>
      <c r="AR43" s="421">
        <f>AF43+AO43</f>
        <v>0</v>
      </c>
      <c r="AS43" s="421">
        <f>AG43+AP43</f>
        <v>0</v>
      </c>
      <c r="AT43" s="421">
        <f>SUM(AR43:AS43)</f>
        <v>0</v>
      </c>
      <c r="AU43" s="68">
        <f>ROUND((AH43+AI43+AJ43+AK43+AL43)*33.8%,0)</f>
        <v>0</v>
      </c>
      <c r="AV43" s="68">
        <f>ROUND(AH43*1%,0)</f>
        <v>-192</v>
      </c>
      <c r="AW43" s="421">
        <v>0</v>
      </c>
      <c r="AX43" s="421">
        <v>0</v>
      </c>
      <c r="AY43" s="421">
        <f>AW43+AX43</f>
        <v>0</v>
      </c>
      <c r="AZ43" s="421">
        <f>AT43+AU43+AV43+AY43</f>
        <v>-192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>BA43+BC43+BD43+BF43+BH43+BI43</f>
        <v>0</v>
      </c>
      <c r="BL43" s="422">
        <f>BB43+BE43+BG43+BJ43</f>
        <v>0</v>
      </c>
      <c r="BM43" s="611">
        <f>SUM(BK43:BL43)</f>
        <v>0</v>
      </c>
      <c r="BN43" s="428">
        <f>I43+AZ43</f>
        <v>13160589</v>
      </c>
      <c r="BO43" s="421">
        <f>J43+AH43</f>
        <v>9732880</v>
      </c>
      <c r="BP43" s="421">
        <f>K43+AF43</f>
        <v>9395810</v>
      </c>
      <c r="BQ43" s="421">
        <f>L43+AG43</f>
        <v>337070</v>
      </c>
      <c r="BR43" s="421">
        <f>M43+AQ43</f>
        <v>19200</v>
      </c>
      <c r="BS43" s="421">
        <f>N43+AO43</f>
        <v>0</v>
      </c>
      <c r="BT43" s="421">
        <f>O43+AP43</f>
        <v>19200</v>
      </c>
      <c r="BU43" s="421">
        <f>P43+AU43</f>
        <v>3296203</v>
      </c>
      <c r="BV43" s="421">
        <f>Q43+AV43</f>
        <v>97329</v>
      </c>
      <c r="BW43" s="421">
        <f>R43+AY43</f>
        <v>14977</v>
      </c>
      <c r="BX43" s="422">
        <f>S43+BM43</f>
        <v>15.8918</v>
      </c>
      <c r="BY43" s="422">
        <f>T43+BK43</f>
        <v>14.892099999999999</v>
      </c>
      <c r="BZ43" s="611">
        <f>U43+BL43</f>
        <v>0.99970000000000003</v>
      </c>
      <c r="CA43" s="423"/>
      <c r="CB43" s="418"/>
      <c r="CC43" s="418"/>
      <c r="CD43" s="418"/>
      <c r="CE43" s="418"/>
      <c r="CF43" s="527"/>
    </row>
    <row r="44" spans="1:84" ht="12.95" customHeight="1" x14ac:dyDescent="0.25">
      <c r="A44" s="275">
        <v>7</v>
      </c>
      <c r="B44" s="277">
        <v>4471</v>
      </c>
      <c r="C44" s="277">
        <v>600075061</v>
      </c>
      <c r="D44" s="277">
        <v>70975205</v>
      </c>
      <c r="E44" s="290" t="s">
        <v>319</v>
      </c>
      <c r="F44" s="293"/>
      <c r="G44" s="294"/>
      <c r="H44" s="294"/>
      <c r="I44" s="473">
        <f t="shared" ref="I44:BU44" si="81">SUM(I43)</f>
        <v>13160781</v>
      </c>
      <c r="J44" s="470">
        <f t="shared" si="81"/>
        <v>9752080</v>
      </c>
      <c r="K44" s="470">
        <f t="shared" si="81"/>
        <v>9395810</v>
      </c>
      <c r="L44" s="470">
        <f t="shared" si="81"/>
        <v>356270</v>
      </c>
      <c r="M44" s="470">
        <f t="shared" si="81"/>
        <v>0</v>
      </c>
      <c r="N44" s="470">
        <f t="shared" si="81"/>
        <v>0</v>
      </c>
      <c r="O44" s="470">
        <f t="shared" si="81"/>
        <v>0</v>
      </c>
      <c r="P44" s="470">
        <f t="shared" si="81"/>
        <v>3296203</v>
      </c>
      <c r="Q44" s="470">
        <f t="shared" si="81"/>
        <v>97521</v>
      </c>
      <c r="R44" s="470">
        <f t="shared" si="81"/>
        <v>14977</v>
      </c>
      <c r="S44" s="471">
        <f t="shared" si="81"/>
        <v>15.8918</v>
      </c>
      <c r="T44" s="471">
        <f t="shared" si="81"/>
        <v>14.892099999999999</v>
      </c>
      <c r="U44" s="292">
        <f t="shared" si="81"/>
        <v>0.99970000000000003</v>
      </c>
      <c r="V44" s="475">
        <f t="shared" si="81"/>
        <v>0</v>
      </c>
      <c r="W44" s="470">
        <f t="shared" si="81"/>
        <v>-19200</v>
      </c>
      <c r="X44" s="470">
        <f t="shared" si="81"/>
        <v>0</v>
      </c>
      <c r="Y44" s="470">
        <f t="shared" si="81"/>
        <v>0</v>
      </c>
      <c r="Z44" s="470">
        <f t="shared" si="81"/>
        <v>0</v>
      </c>
      <c r="AA44" s="470">
        <f t="shared" si="81"/>
        <v>0</v>
      </c>
      <c r="AB44" s="470">
        <f t="shared" si="81"/>
        <v>0</v>
      </c>
      <c r="AC44" s="470">
        <f t="shared" si="81"/>
        <v>0</v>
      </c>
      <c r="AD44" s="470">
        <f t="shared" si="81"/>
        <v>0</v>
      </c>
      <c r="AE44" s="470">
        <f t="shared" si="81"/>
        <v>0</v>
      </c>
      <c r="AF44" s="470">
        <f t="shared" si="81"/>
        <v>0</v>
      </c>
      <c r="AG44" s="470">
        <f t="shared" si="81"/>
        <v>-19200</v>
      </c>
      <c r="AH44" s="470">
        <f t="shared" si="81"/>
        <v>-19200</v>
      </c>
      <c r="AI44" s="470">
        <f t="shared" si="81"/>
        <v>0</v>
      </c>
      <c r="AJ44" s="470">
        <f t="shared" si="81"/>
        <v>19200</v>
      </c>
      <c r="AK44" s="470">
        <f t="shared" ref="AK44" si="82">SUM(AK43)</f>
        <v>0</v>
      </c>
      <c r="AL44" s="470">
        <f t="shared" si="81"/>
        <v>0</v>
      </c>
      <c r="AM44" s="470">
        <f t="shared" si="81"/>
        <v>0</v>
      </c>
      <c r="AN44" s="470">
        <f t="shared" si="81"/>
        <v>0</v>
      </c>
      <c r="AO44" s="470">
        <f t="shared" si="81"/>
        <v>0</v>
      </c>
      <c r="AP44" s="470">
        <f t="shared" si="81"/>
        <v>19200</v>
      </c>
      <c r="AQ44" s="470">
        <f t="shared" si="81"/>
        <v>19200</v>
      </c>
      <c r="AR44" s="470">
        <f t="shared" si="81"/>
        <v>0</v>
      </c>
      <c r="AS44" s="470">
        <f t="shared" si="81"/>
        <v>0</v>
      </c>
      <c r="AT44" s="470">
        <f t="shared" si="81"/>
        <v>0</v>
      </c>
      <c r="AU44" s="470">
        <f t="shared" si="81"/>
        <v>0</v>
      </c>
      <c r="AV44" s="470">
        <f t="shared" si="81"/>
        <v>-192</v>
      </c>
      <c r="AW44" s="470">
        <f t="shared" si="81"/>
        <v>0</v>
      </c>
      <c r="AX44" s="470">
        <f t="shared" si="81"/>
        <v>0</v>
      </c>
      <c r="AY44" s="470">
        <f t="shared" si="81"/>
        <v>0</v>
      </c>
      <c r="AZ44" s="470">
        <f t="shared" si="81"/>
        <v>-192</v>
      </c>
      <c r="BA44" s="471">
        <f t="shared" si="81"/>
        <v>0</v>
      </c>
      <c r="BB44" s="471">
        <f t="shared" si="81"/>
        <v>0</v>
      </c>
      <c r="BC44" s="471">
        <f t="shared" si="81"/>
        <v>0</v>
      </c>
      <c r="BD44" s="471">
        <f t="shared" si="81"/>
        <v>0</v>
      </c>
      <c r="BE44" s="471">
        <f t="shared" si="81"/>
        <v>0</v>
      </c>
      <c r="BF44" s="471">
        <f t="shared" si="81"/>
        <v>0</v>
      </c>
      <c r="BG44" s="471">
        <f t="shared" si="81"/>
        <v>0</v>
      </c>
      <c r="BH44" s="471">
        <f t="shared" si="81"/>
        <v>0</v>
      </c>
      <c r="BI44" s="471">
        <f t="shared" si="81"/>
        <v>0</v>
      </c>
      <c r="BJ44" s="471">
        <f t="shared" si="81"/>
        <v>0</v>
      </c>
      <c r="BK44" s="471">
        <f t="shared" si="81"/>
        <v>0</v>
      </c>
      <c r="BL44" s="471">
        <f t="shared" si="81"/>
        <v>0</v>
      </c>
      <c r="BM44" s="561">
        <f t="shared" si="81"/>
        <v>0</v>
      </c>
      <c r="BN44" s="473">
        <f t="shared" si="81"/>
        <v>13160589</v>
      </c>
      <c r="BO44" s="470">
        <f t="shared" si="81"/>
        <v>9732880</v>
      </c>
      <c r="BP44" s="470">
        <f t="shared" si="81"/>
        <v>9395810</v>
      </c>
      <c r="BQ44" s="470">
        <f t="shared" si="81"/>
        <v>337070</v>
      </c>
      <c r="BR44" s="470">
        <f t="shared" si="81"/>
        <v>19200</v>
      </c>
      <c r="BS44" s="470">
        <f t="shared" si="81"/>
        <v>0</v>
      </c>
      <c r="BT44" s="470">
        <f t="shared" si="81"/>
        <v>19200</v>
      </c>
      <c r="BU44" s="470">
        <f t="shared" si="81"/>
        <v>3296203</v>
      </c>
      <c r="BV44" s="470">
        <f t="shared" ref="BV44:CF44" si="83">SUM(BV43)</f>
        <v>97329</v>
      </c>
      <c r="BW44" s="470">
        <f t="shared" si="83"/>
        <v>14977</v>
      </c>
      <c r="BX44" s="471">
        <f t="shared" si="83"/>
        <v>15.8918</v>
      </c>
      <c r="BY44" s="471">
        <f t="shared" si="83"/>
        <v>14.892099999999999</v>
      </c>
      <c r="BZ44" s="561">
        <f t="shared" si="83"/>
        <v>0.99970000000000003</v>
      </c>
      <c r="CA44" s="874">
        <f t="shared" si="83"/>
        <v>0</v>
      </c>
      <c r="CB44" s="871">
        <f t="shared" si="83"/>
        <v>0</v>
      </c>
      <c r="CC44" s="871">
        <f t="shared" si="83"/>
        <v>0</v>
      </c>
      <c r="CD44" s="871">
        <f t="shared" si="83"/>
        <v>0</v>
      </c>
      <c r="CE44" s="871">
        <f t="shared" si="83"/>
        <v>0</v>
      </c>
      <c r="CF44" s="847">
        <f t="shared" si="83"/>
        <v>0</v>
      </c>
    </row>
    <row r="45" spans="1:84" ht="12.95" customHeight="1" x14ac:dyDescent="0.25">
      <c r="A45" s="282">
        <v>8</v>
      </c>
      <c r="B45" s="283">
        <v>4474</v>
      </c>
      <c r="C45" s="283">
        <v>600075192</v>
      </c>
      <c r="D45" s="283">
        <v>49864661</v>
      </c>
      <c r="E45" s="285" t="s">
        <v>320</v>
      </c>
      <c r="F45" s="283">
        <v>3233</v>
      </c>
      <c r="G45" s="295" t="s">
        <v>298</v>
      </c>
      <c r="H45" s="286" t="s">
        <v>272</v>
      </c>
      <c r="I45" s="598">
        <f>J45+M45+P45+Q45+R45</f>
        <v>1785904</v>
      </c>
      <c r="J45" s="418">
        <f t="shared" si="21"/>
        <v>1323975</v>
      </c>
      <c r="K45" s="418">
        <v>1149932</v>
      </c>
      <c r="L45" s="418">
        <v>174043</v>
      </c>
      <c r="M45" s="418">
        <f>N45+O45</f>
        <v>0</v>
      </c>
      <c r="N45" s="418">
        <v>0</v>
      </c>
      <c r="O45" s="418">
        <v>0</v>
      </c>
      <c r="P45" s="68">
        <f>ROUND((J45+M45)*33.8%,0)</f>
        <v>447504</v>
      </c>
      <c r="Q45" s="68">
        <f>ROUND(J45*1%,0)</f>
        <v>13240</v>
      </c>
      <c r="R45" s="418">
        <v>1185</v>
      </c>
      <c r="S45" s="419">
        <f>T45+U45</f>
        <v>2.64</v>
      </c>
      <c r="T45" s="420">
        <v>2.08</v>
      </c>
      <c r="U45" s="707">
        <v>0.56000000000000005</v>
      </c>
      <c r="V45" s="427">
        <f>AI45*-1</f>
        <v>0</v>
      </c>
      <c r="W45" s="421">
        <f>AJ45*-1</f>
        <v>0</v>
      </c>
      <c r="X45" s="421">
        <v>0</v>
      </c>
      <c r="Y45" s="421">
        <v>0</v>
      </c>
      <c r="Z45" s="421">
        <v>0</v>
      </c>
      <c r="AA45" s="421">
        <v>0</v>
      </c>
      <c r="AB45" s="421">
        <v>0</v>
      </c>
      <c r="AC45" s="421">
        <v>0</v>
      </c>
      <c r="AD45" s="421">
        <v>0</v>
      </c>
      <c r="AE45" s="421">
        <v>0</v>
      </c>
      <c r="AF45" s="421">
        <f>V45+X45+Y45+AA45+AB45+AD45</f>
        <v>0</v>
      </c>
      <c r="AG45" s="421">
        <f>W45+Z45+AC45+AE45</f>
        <v>0</v>
      </c>
      <c r="AH45" s="421">
        <f>SUM(AF45:AG45)</f>
        <v>0</v>
      </c>
      <c r="AI45" s="421">
        <v>0</v>
      </c>
      <c r="AJ45" s="421">
        <v>0</v>
      </c>
      <c r="AK45" s="421">
        <v>0</v>
      </c>
      <c r="AL45" s="421">
        <v>0</v>
      </c>
      <c r="AM45" s="421">
        <v>0</v>
      </c>
      <c r="AN45" s="421">
        <v>0</v>
      </c>
      <c r="AO45" s="421">
        <f>AI45+AK45+AL45+AM45</f>
        <v>0</v>
      </c>
      <c r="AP45" s="421">
        <f>AJ45+AN45</f>
        <v>0</v>
      </c>
      <c r="AQ45" s="421">
        <f>SUM(AO45:AP45)</f>
        <v>0</v>
      </c>
      <c r="AR45" s="421">
        <f>AF45+AO45</f>
        <v>0</v>
      </c>
      <c r="AS45" s="421">
        <f>AG45+AP45</f>
        <v>0</v>
      </c>
      <c r="AT45" s="421">
        <f>SUM(AR45:AS45)</f>
        <v>0</v>
      </c>
      <c r="AU45" s="68">
        <f>ROUND((AH45+AI45+AJ45+AK45+AL45)*33.8%,0)</f>
        <v>0</v>
      </c>
      <c r="AV45" s="68">
        <f>ROUND(AH45*1%,0)</f>
        <v>0</v>
      </c>
      <c r="AW45" s="421">
        <v>0</v>
      </c>
      <c r="AX45" s="421">
        <v>0</v>
      </c>
      <c r="AY45" s="421">
        <f>AW45+AX45</f>
        <v>0</v>
      </c>
      <c r="AZ45" s="421">
        <f>AT45+AU45+AV45+AY45</f>
        <v>0</v>
      </c>
      <c r="BA45" s="422">
        <v>0</v>
      </c>
      <c r="BB45" s="422">
        <v>0</v>
      </c>
      <c r="BC45" s="422">
        <v>0</v>
      </c>
      <c r="BD45" s="422">
        <v>0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>BA45+BC45+BD45+BF45+BH45+BI45</f>
        <v>0</v>
      </c>
      <c r="BL45" s="422">
        <f>BB45+BE45+BG45+BJ45</f>
        <v>0</v>
      </c>
      <c r="BM45" s="611">
        <f>SUM(BK45:BL45)</f>
        <v>0</v>
      </c>
      <c r="BN45" s="428">
        <f>I45+AZ45</f>
        <v>1785904</v>
      </c>
      <c r="BO45" s="421">
        <f>J45+AH45</f>
        <v>1323975</v>
      </c>
      <c r="BP45" s="421">
        <f>K45+AF45</f>
        <v>1149932</v>
      </c>
      <c r="BQ45" s="421">
        <f>L45+AG45</f>
        <v>174043</v>
      </c>
      <c r="BR45" s="421">
        <f>M45+AQ45</f>
        <v>0</v>
      </c>
      <c r="BS45" s="421">
        <f>N45+AO45</f>
        <v>0</v>
      </c>
      <c r="BT45" s="421">
        <f>O45+AP45</f>
        <v>0</v>
      </c>
      <c r="BU45" s="421">
        <f>P45+AU45</f>
        <v>447504</v>
      </c>
      <c r="BV45" s="421">
        <f>Q45+AV45</f>
        <v>13240</v>
      </c>
      <c r="BW45" s="421">
        <f>R45+AY45</f>
        <v>1185</v>
      </c>
      <c r="BX45" s="422">
        <f>S45+BM45</f>
        <v>2.64</v>
      </c>
      <c r="BY45" s="422">
        <f>T45+BK45</f>
        <v>2.08</v>
      </c>
      <c r="BZ45" s="611">
        <f>U45+BL45</f>
        <v>0.56000000000000005</v>
      </c>
      <c r="CA45" s="423"/>
      <c r="CB45" s="418"/>
      <c r="CC45" s="418"/>
      <c r="CD45" s="418"/>
      <c r="CE45" s="418"/>
      <c r="CF45" s="527"/>
    </row>
    <row r="46" spans="1:84" ht="12.95" customHeight="1" x14ac:dyDescent="0.25">
      <c r="A46" s="275">
        <v>8</v>
      </c>
      <c r="B46" s="277">
        <v>4474</v>
      </c>
      <c r="C46" s="277">
        <v>600075192</v>
      </c>
      <c r="D46" s="277">
        <v>49864661</v>
      </c>
      <c r="E46" s="290" t="s">
        <v>321</v>
      </c>
      <c r="F46" s="293"/>
      <c r="G46" s="294"/>
      <c r="H46" s="294"/>
      <c r="I46" s="473">
        <f t="shared" ref="I46:BU46" si="84">SUM(I45)</f>
        <v>1785904</v>
      </c>
      <c r="J46" s="470">
        <f t="shared" si="84"/>
        <v>1323975</v>
      </c>
      <c r="K46" s="470">
        <f t="shared" si="84"/>
        <v>1149932</v>
      </c>
      <c r="L46" s="470">
        <f t="shared" si="84"/>
        <v>174043</v>
      </c>
      <c r="M46" s="470">
        <f t="shared" si="84"/>
        <v>0</v>
      </c>
      <c r="N46" s="470">
        <f t="shared" si="84"/>
        <v>0</v>
      </c>
      <c r="O46" s="470">
        <f t="shared" si="84"/>
        <v>0</v>
      </c>
      <c r="P46" s="470">
        <f t="shared" si="84"/>
        <v>447504</v>
      </c>
      <c r="Q46" s="470">
        <f t="shared" si="84"/>
        <v>13240</v>
      </c>
      <c r="R46" s="470">
        <f t="shared" si="84"/>
        <v>1185</v>
      </c>
      <c r="S46" s="471">
        <f t="shared" si="84"/>
        <v>2.64</v>
      </c>
      <c r="T46" s="471">
        <f t="shared" si="84"/>
        <v>2.08</v>
      </c>
      <c r="U46" s="292">
        <f t="shared" si="84"/>
        <v>0.56000000000000005</v>
      </c>
      <c r="V46" s="475">
        <f t="shared" si="84"/>
        <v>0</v>
      </c>
      <c r="W46" s="470">
        <f t="shared" si="84"/>
        <v>0</v>
      </c>
      <c r="X46" s="470">
        <f t="shared" si="84"/>
        <v>0</v>
      </c>
      <c r="Y46" s="470">
        <f t="shared" si="84"/>
        <v>0</v>
      </c>
      <c r="Z46" s="470">
        <f t="shared" si="84"/>
        <v>0</v>
      </c>
      <c r="AA46" s="470">
        <f t="shared" si="84"/>
        <v>0</v>
      </c>
      <c r="AB46" s="470">
        <f t="shared" si="84"/>
        <v>0</v>
      </c>
      <c r="AC46" s="470">
        <f t="shared" si="84"/>
        <v>0</v>
      </c>
      <c r="AD46" s="470">
        <f t="shared" si="84"/>
        <v>0</v>
      </c>
      <c r="AE46" s="470">
        <f t="shared" si="84"/>
        <v>0</v>
      </c>
      <c r="AF46" s="470">
        <f t="shared" si="84"/>
        <v>0</v>
      </c>
      <c r="AG46" s="470">
        <f t="shared" si="84"/>
        <v>0</v>
      </c>
      <c r="AH46" s="470">
        <f t="shared" si="84"/>
        <v>0</v>
      </c>
      <c r="AI46" s="470">
        <f t="shared" si="84"/>
        <v>0</v>
      </c>
      <c r="AJ46" s="470">
        <f t="shared" si="84"/>
        <v>0</v>
      </c>
      <c r="AK46" s="470">
        <f t="shared" ref="AK46" si="85">SUM(AK45)</f>
        <v>0</v>
      </c>
      <c r="AL46" s="470">
        <f t="shared" si="84"/>
        <v>0</v>
      </c>
      <c r="AM46" s="470">
        <f t="shared" si="84"/>
        <v>0</v>
      </c>
      <c r="AN46" s="470">
        <f t="shared" si="84"/>
        <v>0</v>
      </c>
      <c r="AO46" s="470">
        <f t="shared" si="84"/>
        <v>0</v>
      </c>
      <c r="AP46" s="470">
        <f t="shared" si="84"/>
        <v>0</v>
      </c>
      <c r="AQ46" s="470">
        <f t="shared" si="84"/>
        <v>0</v>
      </c>
      <c r="AR46" s="470">
        <f t="shared" si="84"/>
        <v>0</v>
      </c>
      <c r="AS46" s="470">
        <f t="shared" si="84"/>
        <v>0</v>
      </c>
      <c r="AT46" s="470">
        <f t="shared" si="84"/>
        <v>0</v>
      </c>
      <c r="AU46" s="470">
        <f t="shared" si="84"/>
        <v>0</v>
      </c>
      <c r="AV46" s="470">
        <f t="shared" si="84"/>
        <v>0</v>
      </c>
      <c r="AW46" s="470">
        <f t="shared" si="84"/>
        <v>0</v>
      </c>
      <c r="AX46" s="470">
        <f t="shared" si="84"/>
        <v>0</v>
      </c>
      <c r="AY46" s="470">
        <f t="shared" si="84"/>
        <v>0</v>
      </c>
      <c r="AZ46" s="470">
        <f t="shared" si="84"/>
        <v>0</v>
      </c>
      <c r="BA46" s="471">
        <f t="shared" si="84"/>
        <v>0</v>
      </c>
      <c r="BB46" s="471">
        <f t="shared" si="84"/>
        <v>0</v>
      </c>
      <c r="BC46" s="471">
        <f t="shared" si="84"/>
        <v>0</v>
      </c>
      <c r="BD46" s="471">
        <f t="shared" si="84"/>
        <v>0</v>
      </c>
      <c r="BE46" s="471">
        <f t="shared" si="84"/>
        <v>0</v>
      </c>
      <c r="BF46" s="471">
        <f t="shared" si="84"/>
        <v>0</v>
      </c>
      <c r="BG46" s="471">
        <f t="shared" si="84"/>
        <v>0</v>
      </c>
      <c r="BH46" s="471">
        <f t="shared" si="84"/>
        <v>0</v>
      </c>
      <c r="BI46" s="471">
        <f t="shared" si="84"/>
        <v>0</v>
      </c>
      <c r="BJ46" s="471">
        <f t="shared" si="84"/>
        <v>0</v>
      </c>
      <c r="BK46" s="471">
        <f t="shared" si="84"/>
        <v>0</v>
      </c>
      <c r="BL46" s="471">
        <f t="shared" si="84"/>
        <v>0</v>
      </c>
      <c r="BM46" s="561">
        <f t="shared" si="84"/>
        <v>0</v>
      </c>
      <c r="BN46" s="473">
        <f t="shared" si="84"/>
        <v>1785904</v>
      </c>
      <c r="BO46" s="470">
        <f t="shared" si="84"/>
        <v>1323975</v>
      </c>
      <c r="BP46" s="470">
        <f t="shared" si="84"/>
        <v>1149932</v>
      </c>
      <c r="BQ46" s="470">
        <f t="shared" si="84"/>
        <v>174043</v>
      </c>
      <c r="BR46" s="470">
        <f t="shared" si="84"/>
        <v>0</v>
      </c>
      <c r="BS46" s="470">
        <f t="shared" si="84"/>
        <v>0</v>
      </c>
      <c r="BT46" s="470">
        <f t="shared" si="84"/>
        <v>0</v>
      </c>
      <c r="BU46" s="470">
        <f t="shared" si="84"/>
        <v>447504</v>
      </c>
      <c r="BV46" s="470">
        <f t="shared" ref="BV46:CF46" si="86">SUM(BV45)</f>
        <v>13240</v>
      </c>
      <c r="BW46" s="470">
        <f t="shared" si="86"/>
        <v>1185</v>
      </c>
      <c r="BX46" s="471">
        <f t="shared" si="86"/>
        <v>2.64</v>
      </c>
      <c r="BY46" s="471">
        <f t="shared" si="86"/>
        <v>2.08</v>
      </c>
      <c r="BZ46" s="561">
        <f t="shared" si="86"/>
        <v>0.56000000000000005</v>
      </c>
      <c r="CA46" s="874">
        <f t="shared" si="86"/>
        <v>0</v>
      </c>
      <c r="CB46" s="871">
        <f t="shared" si="86"/>
        <v>0</v>
      </c>
      <c r="CC46" s="871">
        <f t="shared" si="86"/>
        <v>0</v>
      </c>
      <c r="CD46" s="871">
        <f t="shared" si="86"/>
        <v>0</v>
      </c>
      <c r="CE46" s="871">
        <f t="shared" si="86"/>
        <v>0</v>
      </c>
      <c r="CF46" s="847">
        <f t="shared" si="86"/>
        <v>0</v>
      </c>
    </row>
    <row r="47" spans="1:84" ht="12.95" customHeight="1" x14ac:dyDescent="0.25">
      <c r="A47" s="282">
        <v>9</v>
      </c>
      <c r="B47" s="283">
        <v>4402</v>
      </c>
      <c r="C47" s="284">
        <v>600074021</v>
      </c>
      <c r="D47" s="283">
        <v>70695342</v>
      </c>
      <c r="E47" s="285" t="s">
        <v>322</v>
      </c>
      <c r="F47" s="283">
        <v>3111</v>
      </c>
      <c r="G47" s="286" t="s">
        <v>305</v>
      </c>
      <c r="H47" s="286" t="s">
        <v>271</v>
      </c>
      <c r="I47" s="598">
        <f t="shared" ref="I47:I49" si="87">J47+M47+P47+Q47+R47</f>
        <v>12262860</v>
      </c>
      <c r="J47" s="418">
        <f t="shared" si="21"/>
        <v>9065584</v>
      </c>
      <c r="K47" s="418">
        <v>8132705</v>
      </c>
      <c r="L47" s="418">
        <v>932879</v>
      </c>
      <c r="M47" s="418">
        <f t="shared" ref="M47:M49" si="88">N47+O47</f>
        <v>0</v>
      </c>
      <c r="N47" s="418">
        <v>0</v>
      </c>
      <c r="O47" s="418">
        <v>0</v>
      </c>
      <c r="P47" s="68">
        <f t="shared" ref="P47:P49" si="89">ROUND((J47+M47)*33.8%,0)</f>
        <v>3064167</v>
      </c>
      <c r="Q47" s="68">
        <f t="shared" ref="Q47:Q49" si="90">ROUND(J47*1%,0)</f>
        <v>90656</v>
      </c>
      <c r="R47" s="418">
        <v>42453</v>
      </c>
      <c r="S47" s="419">
        <f>T47+U47</f>
        <v>17.185199999999998</v>
      </c>
      <c r="T47" s="420">
        <v>13.951599999999999</v>
      </c>
      <c r="U47" s="707">
        <v>3.2336</v>
      </c>
      <c r="V47" s="427">
        <f t="shared" ref="V47:W49" si="91">AI47*-1</f>
        <v>0</v>
      </c>
      <c r="W47" s="421">
        <f t="shared" si="91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>V47+X47+Y47+AA47+AB47+AD47</f>
        <v>0</v>
      </c>
      <c r="AG47" s="421">
        <f>W47+Z47+AC47+AE47</f>
        <v>0</v>
      </c>
      <c r="AH47" s="421">
        <f>SUM(AF47:AG47)</f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ref="AO47:AO49" si="92">AI47+AK47+AL47+AM47</f>
        <v>0</v>
      </c>
      <c r="AP47" s="421">
        <f>AJ47+AN47</f>
        <v>0</v>
      </c>
      <c r="AQ47" s="421">
        <f>SUM(AO47:AP47)</f>
        <v>0</v>
      </c>
      <c r="AR47" s="421">
        <f t="shared" ref="AR47:AS49" si="93">AF47+AO47</f>
        <v>0</v>
      </c>
      <c r="AS47" s="421">
        <f t="shared" si="93"/>
        <v>0</v>
      </c>
      <c r="AT47" s="421">
        <f>SUM(AR47:AS47)</f>
        <v>0</v>
      </c>
      <c r="AU47" s="68">
        <f t="shared" ref="AU47:AU49" si="94">ROUND((AH47+AI47+AJ47+AK47+AL47)*33.8%,0)</f>
        <v>0</v>
      </c>
      <c r="AV47" s="68">
        <f>ROUND(AH47*1%,0)</f>
        <v>0</v>
      </c>
      <c r="AW47" s="421">
        <v>0</v>
      </c>
      <c r="AX47" s="421">
        <v>0</v>
      </c>
      <c r="AY47" s="421">
        <f>AW47+AX47</f>
        <v>0</v>
      </c>
      <c r="AZ47" s="421">
        <f>AT47+AU47+AV47+AY47</f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>BA47+BC47+BD47+BF47+BH47+BI47</f>
        <v>0</v>
      </c>
      <c r="BL47" s="422">
        <f>BB47+BE47+BG47+BJ47</f>
        <v>0</v>
      </c>
      <c r="BM47" s="611">
        <f>SUM(BK47:BL47)</f>
        <v>0</v>
      </c>
      <c r="BN47" s="428">
        <f>I47+AZ47</f>
        <v>12262860</v>
      </c>
      <c r="BO47" s="421">
        <f>J47+AH47</f>
        <v>9065584</v>
      </c>
      <c r="BP47" s="421">
        <f t="shared" ref="BP47:BQ49" si="95">K47+AF47</f>
        <v>8132705</v>
      </c>
      <c r="BQ47" s="421">
        <f t="shared" si="95"/>
        <v>932879</v>
      </c>
      <c r="BR47" s="421">
        <f>M47+AQ47</f>
        <v>0</v>
      </c>
      <c r="BS47" s="421">
        <f t="shared" ref="BS47:BT49" si="96">N47+AO47</f>
        <v>0</v>
      </c>
      <c r="BT47" s="421">
        <f t="shared" si="96"/>
        <v>0</v>
      </c>
      <c r="BU47" s="421">
        <f t="shared" ref="BU47:BV49" si="97">P47+AU47</f>
        <v>3064167</v>
      </c>
      <c r="BV47" s="421">
        <f t="shared" si="97"/>
        <v>90656</v>
      </c>
      <c r="BW47" s="421">
        <f>R47+AY47</f>
        <v>42453</v>
      </c>
      <c r="BX47" s="422">
        <f>S47+BM47</f>
        <v>17.185199999999998</v>
      </c>
      <c r="BY47" s="422">
        <f t="shared" ref="BY47:BZ49" si="98">T47+BK47</f>
        <v>13.951599999999999</v>
      </c>
      <c r="BZ47" s="611">
        <f t="shared" si="98"/>
        <v>3.2336</v>
      </c>
      <c r="CA47" s="423"/>
      <c r="CB47" s="418"/>
      <c r="CC47" s="418"/>
      <c r="CD47" s="418"/>
      <c r="CE47" s="418"/>
      <c r="CF47" s="527"/>
    </row>
    <row r="48" spans="1:84" ht="12.95" customHeight="1" x14ac:dyDescent="0.25">
      <c r="A48" s="282">
        <v>9</v>
      </c>
      <c r="B48" s="283">
        <v>4402</v>
      </c>
      <c r="C48" s="284">
        <v>600074021</v>
      </c>
      <c r="D48" s="283">
        <v>70695342</v>
      </c>
      <c r="E48" s="285" t="s">
        <v>322</v>
      </c>
      <c r="F48" s="283">
        <v>3111</v>
      </c>
      <c r="G48" s="286" t="s">
        <v>299</v>
      </c>
      <c r="H48" s="286" t="s">
        <v>272</v>
      </c>
      <c r="I48" s="598">
        <f t="shared" si="87"/>
        <v>0</v>
      </c>
      <c r="J48" s="418">
        <f t="shared" si="21"/>
        <v>0</v>
      </c>
      <c r="K48" s="418">
        <v>0</v>
      </c>
      <c r="L48" s="418">
        <v>0</v>
      </c>
      <c r="M48" s="418">
        <f t="shared" si="88"/>
        <v>0</v>
      </c>
      <c r="N48" s="418">
        <v>0</v>
      </c>
      <c r="O48" s="418">
        <v>0</v>
      </c>
      <c r="P48" s="68">
        <f t="shared" si="89"/>
        <v>0</v>
      </c>
      <c r="Q48" s="68">
        <f t="shared" si="90"/>
        <v>0</v>
      </c>
      <c r="R48" s="418">
        <v>0</v>
      </c>
      <c r="S48" s="419">
        <f>T48+U48</f>
        <v>0</v>
      </c>
      <c r="T48" s="420">
        <v>0</v>
      </c>
      <c r="U48" s="707">
        <v>0</v>
      </c>
      <c r="V48" s="427">
        <f t="shared" si="91"/>
        <v>0</v>
      </c>
      <c r="W48" s="421">
        <f t="shared" si="91"/>
        <v>0</v>
      </c>
      <c r="X48" s="421">
        <f>440846+67980</f>
        <v>508826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>V48+X48+Y48+AA48+AB48+AD48</f>
        <v>508826</v>
      </c>
      <c r="AG48" s="421">
        <f>W48+Z48+AC48+AE48</f>
        <v>0</v>
      </c>
      <c r="AH48" s="421">
        <f>SUM(AF48:AG48)</f>
        <v>508826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92"/>
        <v>0</v>
      </c>
      <c r="AP48" s="421">
        <f>AJ48+AN48</f>
        <v>0</v>
      </c>
      <c r="AQ48" s="421">
        <f>SUM(AO48:AP48)</f>
        <v>0</v>
      </c>
      <c r="AR48" s="421">
        <f t="shared" si="93"/>
        <v>508826</v>
      </c>
      <c r="AS48" s="421">
        <f t="shared" si="93"/>
        <v>0</v>
      </c>
      <c r="AT48" s="421">
        <f>SUM(AR48:AS48)</f>
        <v>508826</v>
      </c>
      <c r="AU48" s="68">
        <f t="shared" si="94"/>
        <v>171983</v>
      </c>
      <c r="AV48" s="68">
        <f>ROUND(AH48*1%,0)</f>
        <v>5088</v>
      </c>
      <c r="AW48" s="421">
        <v>0</v>
      </c>
      <c r="AX48" s="421">
        <v>0</v>
      </c>
      <c r="AY48" s="421">
        <f>AW48+AX48</f>
        <v>0</v>
      </c>
      <c r="AZ48" s="421">
        <f>AT48+AU48+AV48+AY48</f>
        <v>685897</v>
      </c>
      <c r="BA48" s="422">
        <v>0</v>
      </c>
      <c r="BB48" s="422">
        <v>0</v>
      </c>
      <c r="BC48" s="422">
        <v>1.39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>BA48+BC48+BD48+BF48+BH48+BI48</f>
        <v>1.39</v>
      </c>
      <c r="BL48" s="422">
        <f>BB48+BE48+BG48+BJ48</f>
        <v>0</v>
      </c>
      <c r="BM48" s="611">
        <f>SUM(BK48:BL48)</f>
        <v>1.39</v>
      </c>
      <c r="BN48" s="428">
        <f>I48+AZ48</f>
        <v>685897</v>
      </c>
      <c r="BO48" s="421">
        <f>J48+AH48</f>
        <v>508826</v>
      </c>
      <c r="BP48" s="421">
        <f t="shared" si="95"/>
        <v>508826</v>
      </c>
      <c r="BQ48" s="421">
        <f t="shared" si="95"/>
        <v>0</v>
      </c>
      <c r="BR48" s="421">
        <f>M48+AQ48</f>
        <v>0</v>
      </c>
      <c r="BS48" s="421">
        <f t="shared" si="96"/>
        <v>0</v>
      </c>
      <c r="BT48" s="421">
        <f t="shared" si="96"/>
        <v>0</v>
      </c>
      <c r="BU48" s="421">
        <f t="shared" si="97"/>
        <v>171983</v>
      </c>
      <c r="BV48" s="421">
        <f t="shared" si="97"/>
        <v>5088</v>
      </c>
      <c r="BW48" s="421">
        <f>R48+AY48</f>
        <v>0</v>
      </c>
      <c r="BX48" s="422">
        <f>S48+BM48</f>
        <v>1.39</v>
      </c>
      <c r="BY48" s="422">
        <f t="shared" si="98"/>
        <v>1.39</v>
      </c>
      <c r="BZ48" s="611">
        <f t="shared" si="98"/>
        <v>0</v>
      </c>
      <c r="CA48" s="423"/>
      <c r="CB48" s="418"/>
      <c r="CC48" s="418"/>
      <c r="CD48" s="418"/>
      <c r="CE48" s="418"/>
      <c r="CF48" s="527"/>
    </row>
    <row r="49" spans="1:84" ht="12.95" customHeight="1" x14ac:dyDescent="0.25">
      <c r="A49" s="282">
        <v>9</v>
      </c>
      <c r="B49" s="283">
        <v>4402</v>
      </c>
      <c r="C49" s="284">
        <v>600074021</v>
      </c>
      <c r="D49" s="283">
        <v>70695342</v>
      </c>
      <c r="E49" s="285" t="s">
        <v>322</v>
      </c>
      <c r="F49" s="283">
        <v>3141</v>
      </c>
      <c r="G49" s="286" t="s">
        <v>295</v>
      </c>
      <c r="H49" s="286" t="s">
        <v>272</v>
      </c>
      <c r="I49" s="598">
        <f t="shared" si="87"/>
        <v>1351290</v>
      </c>
      <c r="J49" s="418">
        <f t="shared" si="21"/>
        <v>998206</v>
      </c>
      <c r="K49" s="418">
        <v>0</v>
      </c>
      <c r="L49" s="418">
        <v>998206</v>
      </c>
      <c r="M49" s="418">
        <f t="shared" si="88"/>
        <v>0</v>
      </c>
      <c r="N49" s="418">
        <v>0</v>
      </c>
      <c r="O49" s="418">
        <v>0</v>
      </c>
      <c r="P49" s="68">
        <f t="shared" si="89"/>
        <v>337394</v>
      </c>
      <c r="Q49" s="68">
        <f t="shared" si="90"/>
        <v>9982</v>
      </c>
      <c r="R49" s="418">
        <v>5708</v>
      </c>
      <c r="S49" s="419">
        <f>T49+U49</f>
        <v>2.9933000000000001</v>
      </c>
      <c r="T49" s="420">
        <v>0</v>
      </c>
      <c r="U49" s="707">
        <v>2.9933000000000001</v>
      </c>
      <c r="V49" s="427">
        <f t="shared" si="91"/>
        <v>0</v>
      </c>
      <c r="W49" s="421">
        <f t="shared" si="91"/>
        <v>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>V49+X49+Y49+AA49+AB49+AD49</f>
        <v>0</v>
      </c>
      <c r="AG49" s="421">
        <f>W49+Z49+AC49+AE49</f>
        <v>0</v>
      </c>
      <c r="AH49" s="421">
        <f>SUM(AF49:AG49)</f>
        <v>0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92"/>
        <v>0</v>
      </c>
      <c r="AP49" s="421">
        <f>AJ49+AN49</f>
        <v>0</v>
      </c>
      <c r="AQ49" s="421">
        <f>SUM(AO49:AP49)</f>
        <v>0</v>
      </c>
      <c r="AR49" s="421">
        <f t="shared" si="93"/>
        <v>0</v>
      </c>
      <c r="AS49" s="421">
        <f t="shared" si="93"/>
        <v>0</v>
      </c>
      <c r="AT49" s="421">
        <f>SUM(AR49:AS49)</f>
        <v>0</v>
      </c>
      <c r="AU49" s="68">
        <f t="shared" si="94"/>
        <v>0</v>
      </c>
      <c r="AV49" s="68">
        <f>ROUND(AH49*1%,0)</f>
        <v>0</v>
      </c>
      <c r="AW49" s="421">
        <v>0</v>
      </c>
      <c r="AX49" s="421">
        <v>0</v>
      </c>
      <c r="AY49" s="421">
        <f>AW49+AX49</f>
        <v>0</v>
      </c>
      <c r="AZ49" s="421">
        <f>AT49+AU49+AV49+AY49</f>
        <v>0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>BA49+BC49+BD49+BF49+BH49+BI49</f>
        <v>0</v>
      </c>
      <c r="BL49" s="422">
        <f>BB49+BE49+BG49+BJ49</f>
        <v>0</v>
      </c>
      <c r="BM49" s="611">
        <f>SUM(BK49:BL49)</f>
        <v>0</v>
      </c>
      <c r="BN49" s="428">
        <f>I49+AZ49</f>
        <v>1351290</v>
      </c>
      <c r="BO49" s="421">
        <f>J49+AH49</f>
        <v>998206</v>
      </c>
      <c r="BP49" s="421">
        <f t="shared" si="95"/>
        <v>0</v>
      </c>
      <c r="BQ49" s="421">
        <f t="shared" si="95"/>
        <v>998206</v>
      </c>
      <c r="BR49" s="421">
        <f>M49+AQ49</f>
        <v>0</v>
      </c>
      <c r="BS49" s="421">
        <f t="shared" si="96"/>
        <v>0</v>
      </c>
      <c r="BT49" s="421">
        <f t="shared" si="96"/>
        <v>0</v>
      </c>
      <c r="BU49" s="421">
        <f t="shared" si="97"/>
        <v>337394</v>
      </c>
      <c r="BV49" s="421">
        <f t="shared" si="97"/>
        <v>9982</v>
      </c>
      <c r="BW49" s="421">
        <f>R49+AY49</f>
        <v>5708</v>
      </c>
      <c r="BX49" s="422">
        <f>S49+BM49</f>
        <v>2.9933000000000001</v>
      </c>
      <c r="BY49" s="422">
        <f t="shared" si="98"/>
        <v>0</v>
      </c>
      <c r="BZ49" s="611">
        <f t="shared" si="98"/>
        <v>2.9933000000000001</v>
      </c>
      <c r="CA49" s="423"/>
      <c r="CB49" s="418"/>
      <c r="CC49" s="418"/>
      <c r="CD49" s="418"/>
      <c r="CE49" s="418"/>
      <c r="CF49" s="527"/>
    </row>
    <row r="50" spans="1:84" ht="12.95" customHeight="1" x14ac:dyDescent="0.25">
      <c r="A50" s="275">
        <v>9</v>
      </c>
      <c r="B50" s="277">
        <v>4402</v>
      </c>
      <c r="C50" s="289">
        <v>600074021</v>
      </c>
      <c r="D50" s="277">
        <v>70695342</v>
      </c>
      <c r="E50" s="290" t="s">
        <v>323</v>
      </c>
      <c r="F50" s="293"/>
      <c r="G50" s="294"/>
      <c r="H50" s="294"/>
      <c r="I50" s="473">
        <f t="shared" ref="I50:BU50" si="99">SUM(I47:I49)</f>
        <v>13614150</v>
      </c>
      <c r="J50" s="470">
        <f t="shared" si="99"/>
        <v>10063790</v>
      </c>
      <c r="K50" s="470">
        <f t="shared" si="99"/>
        <v>8132705</v>
      </c>
      <c r="L50" s="470">
        <f t="shared" si="99"/>
        <v>1931085</v>
      </c>
      <c r="M50" s="470">
        <f t="shared" si="99"/>
        <v>0</v>
      </c>
      <c r="N50" s="470">
        <f t="shared" si="99"/>
        <v>0</v>
      </c>
      <c r="O50" s="470">
        <f t="shared" si="99"/>
        <v>0</v>
      </c>
      <c r="P50" s="470">
        <f t="shared" si="99"/>
        <v>3401561</v>
      </c>
      <c r="Q50" s="470">
        <f t="shared" si="99"/>
        <v>100638</v>
      </c>
      <c r="R50" s="470">
        <f t="shared" si="99"/>
        <v>48161</v>
      </c>
      <c r="S50" s="471">
        <f t="shared" si="99"/>
        <v>20.1785</v>
      </c>
      <c r="T50" s="471">
        <f t="shared" si="99"/>
        <v>13.951599999999999</v>
      </c>
      <c r="U50" s="292">
        <f t="shared" si="99"/>
        <v>6.2269000000000005</v>
      </c>
      <c r="V50" s="475">
        <f t="shared" si="99"/>
        <v>0</v>
      </c>
      <c r="W50" s="470">
        <f t="shared" si="99"/>
        <v>0</v>
      </c>
      <c r="X50" s="470">
        <f t="shared" si="99"/>
        <v>508826</v>
      </c>
      <c r="Y50" s="470">
        <f t="shared" si="99"/>
        <v>0</v>
      </c>
      <c r="Z50" s="470">
        <f t="shared" si="99"/>
        <v>0</v>
      </c>
      <c r="AA50" s="470">
        <f t="shared" si="99"/>
        <v>0</v>
      </c>
      <c r="AB50" s="470">
        <f t="shared" si="99"/>
        <v>0</v>
      </c>
      <c r="AC50" s="470">
        <f t="shared" si="99"/>
        <v>0</v>
      </c>
      <c r="AD50" s="470">
        <f t="shared" si="99"/>
        <v>0</v>
      </c>
      <c r="AE50" s="470">
        <f t="shared" si="99"/>
        <v>0</v>
      </c>
      <c r="AF50" s="470">
        <f t="shared" si="99"/>
        <v>508826</v>
      </c>
      <c r="AG50" s="470">
        <f t="shared" si="99"/>
        <v>0</v>
      </c>
      <c r="AH50" s="470">
        <f t="shared" si="99"/>
        <v>508826</v>
      </c>
      <c r="AI50" s="470">
        <f t="shared" si="99"/>
        <v>0</v>
      </c>
      <c r="AJ50" s="470">
        <f t="shared" si="99"/>
        <v>0</v>
      </c>
      <c r="AK50" s="470">
        <f t="shared" ref="AK50" si="100">SUM(AK47:AK49)</f>
        <v>0</v>
      </c>
      <c r="AL50" s="470">
        <f t="shared" si="99"/>
        <v>0</v>
      </c>
      <c r="AM50" s="470">
        <f t="shared" si="99"/>
        <v>0</v>
      </c>
      <c r="AN50" s="470">
        <f t="shared" si="99"/>
        <v>0</v>
      </c>
      <c r="AO50" s="470">
        <f t="shared" si="99"/>
        <v>0</v>
      </c>
      <c r="AP50" s="470">
        <f t="shared" si="99"/>
        <v>0</v>
      </c>
      <c r="AQ50" s="470">
        <f t="shared" si="99"/>
        <v>0</v>
      </c>
      <c r="AR50" s="470">
        <f t="shared" si="99"/>
        <v>508826</v>
      </c>
      <c r="AS50" s="470">
        <f t="shared" si="99"/>
        <v>0</v>
      </c>
      <c r="AT50" s="470">
        <f t="shared" si="99"/>
        <v>508826</v>
      </c>
      <c r="AU50" s="470">
        <f t="shared" si="99"/>
        <v>171983</v>
      </c>
      <c r="AV50" s="470">
        <f t="shared" si="99"/>
        <v>5088</v>
      </c>
      <c r="AW50" s="470">
        <f t="shared" si="99"/>
        <v>0</v>
      </c>
      <c r="AX50" s="470">
        <f t="shared" si="99"/>
        <v>0</v>
      </c>
      <c r="AY50" s="470">
        <f t="shared" si="99"/>
        <v>0</v>
      </c>
      <c r="AZ50" s="470">
        <f t="shared" si="99"/>
        <v>685897</v>
      </c>
      <c r="BA50" s="471">
        <f t="shared" si="99"/>
        <v>0</v>
      </c>
      <c r="BB50" s="471">
        <f t="shared" si="99"/>
        <v>0</v>
      </c>
      <c r="BC50" s="471">
        <f t="shared" si="99"/>
        <v>1.39</v>
      </c>
      <c r="BD50" s="471">
        <f t="shared" si="99"/>
        <v>0</v>
      </c>
      <c r="BE50" s="471">
        <f t="shared" si="99"/>
        <v>0</v>
      </c>
      <c r="BF50" s="471">
        <f t="shared" si="99"/>
        <v>0</v>
      </c>
      <c r="BG50" s="471">
        <f t="shared" si="99"/>
        <v>0</v>
      </c>
      <c r="BH50" s="471">
        <f t="shared" si="99"/>
        <v>0</v>
      </c>
      <c r="BI50" s="471">
        <f t="shared" si="99"/>
        <v>0</v>
      </c>
      <c r="BJ50" s="471">
        <f t="shared" si="99"/>
        <v>0</v>
      </c>
      <c r="BK50" s="471">
        <f t="shared" si="99"/>
        <v>1.39</v>
      </c>
      <c r="BL50" s="471">
        <f t="shared" si="99"/>
        <v>0</v>
      </c>
      <c r="BM50" s="561">
        <f t="shared" si="99"/>
        <v>1.39</v>
      </c>
      <c r="BN50" s="473">
        <f t="shared" si="99"/>
        <v>14300047</v>
      </c>
      <c r="BO50" s="470">
        <f t="shared" si="99"/>
        <v>10572616</v>
      </c>
      <c r="BP50" s="470">
        <f t="shared" si="99"/>
        <v>8641531</v>
      </c>
      <c r="BQ50" s="470">
        <f t="shared" si="99"/>
        <v>1931085</v>
      </c>
      <c r="BR50" s="470">
        <f t="shared" si="99"/>
        <v>0</v>
      </c>
      <c r="BS50" s="470">
        <f t="shared" si="99"/>
        <v>0</v>
      </c>
      <c r="BT50" s="470">
        <f t="shared" si="99"/>
        <v>0</v>
      </c>
      <c r="BU50" s="470">
        <f t="shared" si="99"/>
        <v>3573544</v>
      </c>
      <c r="BV50" s="470">
        <f t="shared" ref="BV50:CF50" si="101">SUM(BV47:BV49)</f>
        <v>105726</v>
      </c>
      <c r="BW50" s="470">
        <f t="shared" si="101"/>
        <v>48161</v>
      </c>
      <c r="BX50" s="471">
        <f t="shared" si="101"/>
        <v>21.5685</v>
      </c>
      <c r="BY50" s="471">
        <f t="shared" si="101"/>
        <v>15.3416</v>
      </c>
      <c r="BZ50" s="561">
        <f t="shared" si="101"/>
        <v>6.2269000000000005</v>
      </c>
      <c r="CA50" s="874">
        <f t="shared" si="101"/>
        <v>0</v>
      </c>
      <c r="CB50" s="871">
        <f t="shared" si="101"/>
        <v>0</v>
      </c>
      <c r="CC50" s="871">
        <f t="shared" si="101"/>
        <v>0</v>
      </c>
      <c r="CD50" s="871">
        <f t="shared" si="101"/>
        <v>0</v>
      </c>
      <c r="CE50" s="871">
        <f t="shared" si="101"/>
        <v>0</v>
      </c>
      <c r="CF50" s="847">
        <f t="shared" si="101"/>
        <v>0</v>
      </c>
    </row>
    <row r="51" spans="1:84" ht="12.95" customHeight="1" x14ac:dyDescent="0.25">
      <c r="A51" s="282">
        <v>10</v>
      </c>
      <c r="B51" s="283">
        <v>4481</v>
      </c>
      <c r="C51" s="283">
        <v>600074722</v>
      </c>
      <c r="D51" s="283">
        <v>70942692</v>
      </c>
      <c r="E51" s="285" t="s">
        <v>324</v>
      </c>
      <c r="F51" s="283">
        <v>3113</v>
      </c>
      <c r="G51" s="286" t="s">
        <v>325</v>
      </c>
      <c r="H51" s="286" t="s">
        <v>271</v>
      </c>
      <c r="I51" s="598">
        <f t="shared" ref="I51:I55" si="102">J51+M51+P51+Q51+R51</f>
        <v>26120269</v>
      </c>
      <c r="J51" s="418">
        <f t="shared" si="21"/>
        <v>19124968</v>
      </c>
      <c r="K51" s="418">
        <v>17618629</v>
      </c>
      <c r="L51" s="418">
        <v>1506339</v>
      </c>
      <c r="M51" s="418">
        <f t="shared" ref="M51:M55" si="103">N51+O51</f>
        <v>0</v>
      </c>
      <c r="N51" s="418">
        <v>0</v>
      </c>
      <c r="O51" s="418">
        <v>0</v>
      </c>
      <c r="P51" s="68">
        <f t="shared" ref="P51:P55" si="104">ROUND((J51+M51)*33.8%,0)</f>
        <v>6464239</v>
      </c>
      <c r="Q51" s="68">
        <f t="shared" ref="Q51:Q55" si="105">ROUND(J51*1%,0)</f>
        <v>191250</v>
      </c>
      <c r="R51" s="418">
        <v>339812</v>
      </c>
      <c r="S51" s="419">
        <f>T51+U51</f>
        <v>28.985800000000001</v>
      </c>
      <c r="T51" s="420">
        <v>24.499700000000001</v>
      </c>
      <c r="U51" s="707">
        <v>4.4861000000000004</v>
      </c>
      <c r="V51" s="427">
        <f t="shared" ref="V51:W55" si="106">AI51*-1</f>
        <v>0</v>
      </c>
      <c r="W51" s="421">
        <f t="shared" si="106"/>
        <v>0</v>
      </c>
      <c r="X51" s="421">
        <v>0</v>
      </c>
      <c r="Y51" s="421">
        <v>0</v>
      </c>
      <c r="Z51" s="421">
        <v>0</v>
      </c>
      <c r="AA51" s="421">
        <v>0</v>
      </c>
      <c r="AB51" s="421">
        <v>225600</v>
      </c>
      <c r="AC51" s="421">
        <v>0</v>
      </c>
      <c r="AD51" s="421">
        <v>0</v>
      </c>
      <c r="AE51" s="421">
        <v>0</v>
      </c>
      <c r="AF51" s="421">
        <f>V51+X51+Y51+AA51+AB51+AD51</f>
        <v>225600</v>
      </c>
      <c r="AG51" s="421">
        <f>W51+Z51+AC51+AE51</f>
        <v>0</v>
      </c>
      <c r="AH51" s="421">
        <f>SUM(AF51:AG51)</f>
        <v>225600</v>
      </c>
      <c r="AI51" s="421">
        <v>0</v>
      </c>
      <c r="AJ51" s="421">
        <v>0</v>
      </c>
      <c r="AK51" s="421">
        <v>0</v>
      </c>
      <c r="AL51" s="421">
        <v>0</v>
      </c>
      <c r="AM51" s="421">
        <v>0</v>
      </c>
      <c r="AN51" s="421">
        <v>0</v>
      </c>
      <c r="AO51" s="421">
        <f t="shared" ref="AO51:AO55" si="107">AI51+AK51+AL51+AM51</f>
        <v>0</v>
      </c>
      <c r="AP51" s="421">
        <f>AJ51+AN51</f>
        <v>0</v>
      </c>
      <c r="AQ51" s="421">
        <f>SUM(AO51:AP51)</f>
        <v>0</v>
      </c>
      <c r="AR51" s="421">
        <f t="shared" ref="AR51:AS55" si="108">AF51+AO51</f>
        <v>225600</v>
      </c>
      <c r="AS51" s="421">
        <f t="shared" si="108"/>
        <v>0</v>
      </c>
      <c r="AT51" s="421">
        <f>SUM(AR51:AS51)</f>
        <v>225600</v>
      </c>
      <c r="AU51" s="68">
        <f t="shared" ref="AU51:AU55" si="109">ROUND((AH51+AI51+AJ51+AK51+AL51)*33.8%,0)</f>
        <v>76253</v>
      </c>
      <c r="AV51" s="68">
        <f>ROUND(AH51*1%,0)</f>
        <v>2256</v>
      </c>
      <c r="AW51" s="421">
        <v>0</v>
      </c>
      <c r="AX51" s="421">
        <v>0</v>
      </c>
      <c r="AY51" s="421">
        <f>AW51+AX51</f>
        <v>0</v>
      </c>
      <c r="AZ51" s="421">
        <f>AT51+AU51+AV51+AY51</f>
        <v>304109</v>
      </c>
      <c r="BA51" s="422">
        <v>0</v>
      </c>
      <c r="BB51" s="422">
        <v>0</v>
      </c>
      <c r="BC51" s="422">
        <v>0</v>
      </c>
      <c r="BD51" s="422">
        <v>0.4</v>
      </c>
      <c r="BE51" s="422">
        <v>0</v>
      </c>
      <c r="BF51" s="422">
        <v>0</v>
      </c>
      <c r="BG51" s="422">
        <v>0</v>
      </c>
      <c r="BH51" s="422">
        <v>0</v>
      </c>
      <c r="BI51" s="422">
        <v>0</v>
      </c>
      <c r="BJ51" s="422">
        <v>0</v>
      </c>
      <c r="BK51" s="422">
        <f>BA51+BC51+BD51+BF51+BH51+BI51</f>
        <v>0.4</v>
      </c>
      <c r="BL51" s="422">
        <f>BB51+BE51+BG51+BJ51</f>
        <v>0</v>
      </c>
      <c r="BM51" s="611">
        <f>SUM(BK51:BL51)</f>
        <v>0.4</v>
      </c>
      <c r="BN51" s="428">
        <f>I51+AZ51</f>
        <v>26424378</v>
      </c>
      <c r="BO51" s="421">
        <f>J51+AH51</f>
        <v>19350568</v>
      </c>
      <c r="BP51" s="421">
        <f t="shared" ref="BP51:BQ55" si="110">K51+AF51</f>
        <v>17844229</v>
      </c>
      <c r="BQ51" s="421">
        <f t="shared" si="110"/>
        <v>1506339</v>
      </c>
      <c r="BR51" s="421">
        <f>M51+AQ51</f>
        <v>0</v>
      </c>
      <c r="BS51" s="421">
        <f t="shared" ref="BS51:BT55" si="111">N51+AO51</f>
        <v>0</v>
      </c>
      <c r="BT51" s="421">
        <f t="shared" si="111"/>
        <v>0</v>
      </c>
      <c r="BU51" s="421">
        <f t="shared" ref="BU51:BV55" si="112">P51+AU51</f>
        <v>6540492</v>
      </c>
      <c r="BV51" s="421">
        <f t="shared" si="112"/>
        <v>193506</v>
      </c>
      <c r="BW51" s="421">
        <f>R51+AY51</f>
        <v>339812</v>
      </c>
      <c r="BX51" s="422">
        <f>S51+BM51</f>
        <v>29.3858</v>
      </c>
      <c r="BY51" s="422">
        <f t="shared" ref="BY51:BZ55" si="113">T51+BK51</f>
        <v>24.899699999999999</v>
      </c>
      <c r="BZ51" s="611">
        <f t="shared" si="113"/>
        <v>4.4861000000000004</v>
      </c>
      <c r="CA51" s="423">
        <v>304109</v>
      </c>
      <c r="CB51" s="418">
        <v>225600</v>
      </c>
      <c r="CC51" s="418">
        <v>0</v>
      </c>
      <c r="CD51" s="418">
        <v>76253</v>
      </c>
      <c r="CE51" s="418">
        <v>2256</v>
      </c>
      <c r="CF51" s="527">
        <v>0.4</v>
      </c>
    </row>
    <row r="52" spans="1:84" ht="12.95" customHeight="1" x14ac:dyDescent="0.25">
      <c r="A52" s="282">
        <v>10</v>
      </c>
      <c r="B52" s="283">
        <v>4481</v>
      </c>
      <c r="C52" s="283">
        <v>600074722</v>
      </c>
      <c r="D52" s="283">
        <v>70942692</v>
      </c>
      <c r="E52" s="285" t="s">
        <v>326</v>
      </c>
      <c r="F52" s="283">
        <v>3113</v>
      </c>
      <c r="G52" s="286" t="s">
        <v>299</v>
      </c>
      <c r="H52" s="286" t="s">
        <v>272</v>
      </c>
      <c r="I52" s="598">
        <f t="shared" si="102"/>
        <v>0</v>
      </c>
      <c r="J52" s="418">
        <f t="shared" si="21"/>
        <v>0</v>
      </c>
      <c r="K52" s="418">
        <v>0</v>
      </c>
      <c r="L52" s="418">
        <v>0</v>
      </c>
      <c r="M52" s="418">
        <f t="shared" si="103"/>
        <v>0</v>
      </c>
      <c r="N52" s="418">
        <v>0</v>
      </c>
      <c r="O52" s="418">
        <v>0</v>
      </c>
      <c r="P52" s="68">
        <f t="shared" si="104"/>
        <v>0</v>
      </c>
      <c r="Q52" s="68">
        <f t="shared" si="105"/>
        <v>0</v>
      </c>
      <c r="R52" s="418">
        <v>0</v>
      </c>
      <c r="S52" s="419">
        <f>T52+U52</f>
        <v>0</v>
      </c>
      <c r="T52" s="420">
        <v>0</v>
      </c>
      <c r="U52" s="707">
        <v>0</v>
      </c>
      <c r="V52" s="427">
        <f t="shared" si="106"/>
        <v>0</v>
      </c>
      <c r="W52" s="421">
        <f t="shared" si="106"/>
        <v>0</v>
      </c>
      <c r="X52" s="421">
        <v>2430828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f>V52+X52+Y52+AA52+AB52+AD52</f>
        <v>2430828</v>
      </c>
      <c r="AG52" s="421">
        <f>W52+Z52+AC52+AE52</f>
        <v>0</v>
      </c>
      <c r="AH52" s="421">
        <f>SUM(AF52:AG52)</f>
        <v>2430828</v>
      </c>
      <c r="AI52" s="421">
        <v>0</v>
      </c>
      <c r="AJ52" s="421">
        <v>0</v>
      </c>
      <c r="AK52" s="421">
        <v>0</v>
      </c>
      <c r="AL52" s="421">
        <v>0</v>
      </c>
      <c r="AM52" s="421">
        <v>0</v>
      </c>
      <c r="AN52" s="421">
        <v>0</v>
      </c>
      <c r="AO52" s="421">
        <f t="shared" si="107"/>
        <v>0</v>
      </c>
      <c r="AP52" s="421">
        <f>AJ52+AN52</f>
        <v>0</v>
      </c>
      <c r="AQ52" s="421">
        <f>SUM(AO52:AP52)</f>
        <v>0</v>
      </c>
      <c r="AR52" s="421">
        <f t="shared" si="108"/>
        <v>2430828</v>
      </c>
      <c r="AS52" s="421">
        <f t="shared" si="108"/>
        <v>0</v>
      </c>
      <c r="AT52" s="421">
        <f>SUM(AR52:AS52)</f>
        <v>2430828</v>
      </c>
      <c r="AU52" s="68">
        <f t="shared" si="109"/>
        <v>821620</v>
      </c>
      <c r="AV52" s="68">
        <f>ROUND(AH52*1%,0)</f>
        <v>24308</v>
      </c>
      <c r="AW52" s="421">
        <v>2000</v>
      </c>
      <c r="AX52" s="421">
        <v>0</v>
      </c>
      <c r="AY52" s="421">
        <f>AW52+AX52</f>
        <v>2000</v>
      </c>
      <c r="AZ52" s="421">
        <f>AT52+AU52+AV52+AY52</f>
        <v>3278756</v>
      </c>
      <c r="BA52" s="422">
        <v>0</v>
      </c>
      <c r="BB52" s="422">
        <v>0</v>
      </c>
      <c r="BC52" s="422">
        <v>6.56</v>
      </c>
      <c r="BD52" s="422">
        <v>0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f>BA52+BC52+BD52+BF52+BH52+BI52</f>
        <v>6.56</v>
      </c>
      <c r="BL52" s="422">
        <f>BB52+BE52+BG52+BJ52</f>
        <v>0</v>
      </c>
      <c r="BM52" s="611">
        <f>SUM(BK52:BL52)</f>
        <v>6.56</v>
      </c>
      <c r="BN52" s="428">
        <f>I52+AZ52</f>
        <v>3278756</v>
      </c>
      <c r="BO52" s="421">
        <f>J52+AH52</f>
        <v>2430828</v>
      </c>
      <c r="BP52" s="421">
        <f t="shared" si="110"/>
        <v>2430828</v>
      </c>
      <c r="BQ52" s="421">
        <f t="shared" si="110"/>
        <v>0</v>
      </c>
      <c r="BR52" s="421">
        <f>M52+AQ52</f>
        <v>0</v>
      </c>
      <c r="BS52" s="421">
        <f t="shared" si="111"/>
        <v>0</v>
      </c>
      <c r="BT52" s="421">
        <f t="shared" si="111"/>
        <v>0</v>
      </c>
      <c r="BU52" s="421">
        <f t="shared" si="112"/>
        <v>821620</v>
      </c>
      <c r="BV52" s="421">
        <f t="shared" si="112"/>
        <v>24308</v>
      </c>
      <c r="BW52" s="421">
        <f>R52+AY52</f>
        <v>2000</v>
      </c>
      <c r="BX52" s="422">
        <f>S52+BM52</f>
        <v>6.56</v>
      </c>
      <c r="BY52" s="422">
        <f t="shared" si="113"/>
        <v>6.56</v>
      </c>
      <c r="BZ52" s="611">
        <f t="shared" si="113"/>
        <v>0</v>
      </c>
      <c r="CA52" s="423"/>
      <c r="CB52" s="418"/>
      <c r="CC52" s="418"/>
      <c r="CD52" s="418"/>
      <c r="CE52" s="418"/>
      <c r="CF52" s="527"/>
    </row>
    <row r="53" spans="1:84" ht="12.95" customHeight="1" x14ac:dyDescent="0.25">
      <c r="A53" s="282">
        <v>10</v>
      </c>
      <c r="B53" s="283">
        <v>4481</v>
      </c>
      <c r="C53" s="283">
        <v>600074722</v>
      </c>
      <c r="D53" s="283">
        <v>70942692</v>
      </c>
      <c r="E53" s="285" t="s">
        <v>326</v>
      </c>
      <c r="F53" s="283">
        <v>3141</v>
      </c>
      <c r="G53" s="286" t="s">
        <v>295</v>
      </c>
      <c r="H53" s="286" t="s">
        <v>272</v>
      </c>
      <c r="I53" s="598">
        <f t="shared" si="102"/>
        <v>1155977</v>
      </c>
      <c r="J53" s="418">
        <f t="shared" si="21"/>
        <v>851474</v>
      </c>
      <c r="K53" s="418">
        <v>0</v>
      </c>
      <c r="L53" s="418">
        <v>851474</v>
      </c>
      <c r="M53" s="418">
        <f t="shared" si="103"/>
        <v>0</v>
      </c>
      <c r="N53" s="418">
        <v>0</v>
      </c>
      <c r="O53" s="418">
        <v>0</v>
      </c>
      <c r="P53" s="68">
        <f t="shared" si="104"/>
        <v>287798</v>
      </c>
      <c r="Q53" s="68">
        <f t="shared" si="105"/>
        <v>8515</v>
      </c>
      <c r="R53" s="418">
        <v>8190</v>
      </c>
      <c r="S53" s="419">
        <f>T53+U53</f>
        <v>2.5533000000000001</v>
      </c>
      <c r="T53" s="420">
        <v>0</v>
      </c>
      <c r="U53" s="707">
        <v>2.5533000000000001</v>
      </c>
      <c r="V53" s="427">
        <f t="shared" si="106"/>
        <v>0</v>
      </c>
      <c r="W53" s="421">
        <f t="shared" si="106"/>
        <v>0</v>
      </c>
      <c r="X53" s="421">
        <v>0</v>
      </c>
      <c r="Y53" s="421">
        <v>0</v>
      </c>
      <c r="Z53" s="421">
        <v>0</v>
      </c>
      <c r="AA53" s="421">
        <v>0</v>
      </c>
      <c r="AB53" s="421">
        <v>0</v>
      </c>
      <c r="AC53" s="421">
        <v>0</v>
      </c>
      <c r="AD53" s="421">
        <v>0</v>
      </c>
      <c r="AE53" s="421">
        <v>0</v>
      </c>
      <c r="AF53" s="421">
        <f>V53+X53+Y53+AA53+AB53+AD53</f>
        <v>0</v>
      </c>
      <c r="AG53" s="421">
        <f>W53+Z53+AC53+AE53</f>
        <v>0</v>
      </c>
      <c r="AH53" s="421">
        <f>SUM(AF53:AG53)</f>
        <v>0</v>
      </c>
      <c r="AI53" s="421">
        <v>0</v>
      </c>
      <c r="AJ53" s="421">
        <v>0</v>
      </c>
      <c r="AK53" s="421">
        <v>0</v>
      </c>
      <c r="AL53" s="421">
        <v>0</v>
      </c>
      <c r="AM53" s="421">
        <v>0</v>
      </c>
      <c r="AN53" s="421">
        <v>0</v>
      </c>
      <c r="AO53" s="421">
        <f t="shared" si="107"/>
        <v>0</v>
      </c>
      <c r="AP53" s="421">
        <f>AJ53+AN53</f>
        <v>0</v>
      </c>
      <c r="AQ53" s="421">
        <f>SUM(AO53:AP53)</f>
        <v>0</v>
      </c>
      <c r="AR53" s="421">
        <f t="shared" si="108"/>
        <v>0</v>
      </c>
      <c r="AS53" s="421">
        <f t="shared" si="108"/>
        <v>0</v>
      </c>
      <c r="AT53" s="421">
        <f>SUM(AR53:AS53)</f>
        <v>0</v>
      </c>
      <c r="AU53" s="68">
        <f t="shared" si="109"/>
        <v>0</v>
      </c>
      <c r="AV53" s="68">
        <f>ROUND(AH53*1%,0)</f>
        <v>0</v>
      </c>
      <c r="AW53" s="421">
        <v>0</v>
      </c>
      <c r="AX53" s="421">
        <v>0</v>
      </c>
      <c r="AY53" s="421">
        <f>AW53+AX53</f>
        <v>0</v>
      </c>
      <c r="AZ53" s="421">
        <f>AT53+AU53+AV53+AY53</f>
        <v>0</v>
      </c>
      <c r="BA53" s="422">
        <v>0</v>
      </c>
      <c r="BB53" s="422">
        <v>0</v>
      </c>
      <c r="BC53" s="422">
        <v>0</v>
      </c>
      <c r="BD53" s="422">
        <v>0</v>
      </c>
      <c r="BE53" s="422">
        <v>0</v>
      </c>
      <c r="BF53" s="422">
        <v>0</v>
      </c>
      <c r="BG53" s="422">
        <v>0</v>
      </c>
      <c r="BH53" s="422">
        <v>0</v>
      </c>
      <c r="BI53" s="422">
        <v>0</v>
      </c>
      <c r="BJ53" s="422">
        <v>0</v>
      </c>
      <c r="BK53" s="422">
        <f>BA53+BC53+BD53+BF53+BH53+BI53</f>
        <v>0</v>
      </c>
      <c r="BL53" s="422">
        <f>BB53+BE53+BG53+BJ53</f>
        <v>0</v>
      </c>
      <c r="BM53" s="611">
        <f>SUM(BK53:BL53)</f>
        <v>0</v>
      </c>
      <c r="BN53" s="428">
        <f>I53+AZ53</f>
        <v>1155977</v>
      </c>
      <c r="BO53" s="421">
        <f>J53+AH53</f>
        <v>851474</v>
      </c>
      <c r="BP53" s="421">
        <f t="shared" si="110"/>
        <v>0</v>
      </c>
      <c r="BQ53" s="421">
        <f t="shared" si="110"/>
        <v>851474</v>
      </c>
      <c r="BR53" s="421">
        <f>M53+AQ53</f>
        <v>0</v>
      </c>
      <c r="BS53" s="421">
        <f t="shared" si="111"/>
        <v>0</v>
      </c>
      <c r="BT53" s="421">
        <f t="shared" si="111"/>
        <v>0</v>
      </c>
      <c r="BU53" s="421">
        <f t="shared" si="112"/>
        <v>287798</v>
      </c>
      <c r="BV53" s="421">
        <f t="shared" si="112"/>
        <v>8515</v>
      </c>
      <c r="BW53" s="421">
        <f>R53+AY53</f>
        <v>8190</v>
      </c>
      <c r="BX53" s="422">
        <f>S53+BM53</f>
        <v>2.5533000000000001</v>
      </c>
      <c r="BY53" s="422">
        <f t="shared" si="113"/>
        <v>0</v>
      </c>
      <c r="BZ53" s="611">
        <f t="shared" si="113"/>
        <v>2.5533000000000001</v>
      </c>
      <c r="CA53" s="423"/>
      <c r="CB53" s="418"/>
      <c r="CC53" s="418"/>
      <c r="CD53" s="418"/>
      <c r="CE53" s="418"/>
      <c r="CF53" s="527"/>
    </row>
    <row r="54" spans="1:84" ht="12.95" customHeight="1" x14ac:dyDescent="0.25">
      <c r="A54" s="282">
        <v>10</v>
      </c>
      <c r="B54" s="283">
        <v>4481</v>
      </c>
      <c r="C54" s="283">
        <v>600074722</v>
      </c>
      <c r="D54" s="283">
        <v>70942692</v>
      </c>
      <c r="E54" s="285" t="s">
        <v>326</v>
      </c>
      <c r="F54" s="283">
        <v>3143</v>
      </c>
      <c r="G54" s="286" t="s">
        <v>596</v>
      </c>
      <c r="H54" s="286" t="s">
        <v>271</v>
      </c>
      <c r="I54" s="598">
        <f t="shared" si="102"/>
        <v>1822073</v>
      </c>
      <c r="J54" s="418">
        <f t="shared" si="21"/>
        <v>1351686</v>
      </c>
      <c r="K54" s="418">
        <v>1351686</v>
      </c>
      <c r="L54" s="418">
        <v>0</v>
      </c>
      <c r="M54" s="418">
        <f t="shared" si="103"/>
        <v>0</v>
      </c>
      <c r="N54" s="418">
        <v>0</v>
      </c>
      <c r="O54" s="418">
        <v>0</v>
      </c>
      <c r="P54" s="68">
        <f t="shared" si="104"/>
        <v>456870</v>
      </c>
      <c r="Q54" s="68">
        <f t="shared" si="105"/>
        <v>13517</v>
      </c>
      <c r="R54" s="418">
        <v>0</v>
      </c>
      <c r="S54" s="419">
        <f>T54+U54</f>
        <v>2.5714000000000001</v>
      </c>
      <c r="T54" s="420">
        <v>2.5714000000000001</v>
      </c>
      <c r="U54" s="707">
        <v>0</v>
      </c>
      <c r="V54" s="427">
        <f t="shared" si="106"/>
        <v>0</v>
      </c>
      <c r="W54" s="421">
        <f t="shared" si="106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>V54+X54+Y54+AA54+AB54+AD54</f>
        <v>0</v>
      </c>
      <c r="AG54" s="421">
        <f>W54+Z54+AC54+AE54</f>
        <v>0</v>
      </c>
      <c r="AH54" s="421">
        <f>SUM(AF54:AG54)</f>
        <v>0</v>
      </c>
      <c r="AI54" s="421">
        <v>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si="107"/>
        <v>0</v>
      </c>
      <c r="AP54" s="421">
        <f>AJ54+AN54</f>
        <v>0</v>
      </c>
      <c r="AQ54" s="421">
        <f>SUM(AO54:AP54)</f>
        <v>0</v>
      </c>
      <c r="AR54" s="421">
        <f t="shared" si="108"/>
        <v>0</v>
      </c>
      <c r="AS54" s="421">
        <f t="shared" si="108"/>
        <v>0</v>
      </c>
      <c r="AT54" s="421">
        <f>SUM(AR54:AS54)</f>
        <v>0</v>
      </c>
      <c r="AU54" s="68">
        <f t="shared" si="109"/>
        <v>0</v>
      </c>
      <c r="AV54" s="68">
        <f>ROUND(AH54*1%,0)</f>
        <v>0</v>
      </c>
      <c r="AW54" s="421">
        <v>0</v>
      </c>
      <c r="AX54" s="421">
        <v>0</v>
      </c>
      <c r="AY54" s="421">
        <f>AW54+AX54</f>
        <v>0</v>
      </c>
      <c r="AZ54" s="421">
        <f>AT54+AU54+AV54+AY54</f>
        <v>0</v>
      </c>
      <c r="BA54" s="422">
        <v>0</v>
      </c>
      <c r="BB54" s="422">
        <v>0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>BA54+BC54+BD54+BF54+BH54+BI54</f>
        <v>0</v>
      </c>
      <c r="BL54" s="422">
        <f>BB54+BE54+BG54+BJ54</f>
        <v>0</v>
      </c>
      <c r="BM54" s="611">
        <f>SUM(BK54:BL54)</f>
        <v>0</v>
      </c>
      <c r="BN54" s="428">
        <f>I54+AZ54</f>
        <v>1822073</v>
      </c>
      <c r="BO54" s="421">
        <f>J54+AH54</f>
        <v>1351686</v>
      </c>
      <c r="BP54" s="421">
        <f t="shared" si="110"/>
        <v>1351686</v>
      </c>
      <c r="BQ54" s="421">
        <f t="shared" si="110"/>
        <v>0</v>
      </c>
      <c r="BR54" s="421">
        <f>M54+AQ54</f>
        <v>0</v>
      </c>
      <c r="BS54" s="421">
        <f t="shared" si="111"/>
        <v>0</v>
      </c>
      <c r="BT54" s="421">
        <f t="shared" si="111"/>
        <v>0</v>
      </c>
      <c r="BU54" s="421">
        <f t="shared" si="112"/>
        <v>456870</v>
      </c>
      <c r="BV54" s="421">
        <f t="shared" si="112"/>
        <v>13517</v>
      </c>
      <c r="BW54" s="421">
        <f>R54+AY54</f>
        <v>0</v>
      </c>
      <c r="BX54" s="422">
        <f>S54+BM54</f>
        <v>2.5714000000000001</v>
      </c>
      <c r="BY54" s="422">
        <f t="shared" si="113"/>
        <v>2.5714000000000001</v>
      </c>
      <c r="BZ54" s="611">
        <f t="shared" si="113"/>
        <v>0</v>
      </c>
      <c r="CA54" s="423"/>
      <c r="CB54" s="418"/>
      <c r="CC54" s="418"/>
      <c r="CD54" s="418"/>
      <c r="CE54" s="418"/>
      <c r="CF54" s="527"/>
    </row>
    <row r="55" spans="1:84" ht="12.95" customHeight="1" x14ac:dyDescent="0.25">
      <c r="A55" s="282">
        <v>10</v>
      </c>
      <c r="B55" s="283">
        <v>4481</v>
      </c>
      <c r="C55" s="283">
        <v>600074722</v>
      </c>
      <c r="D55" s="283">
        <v>70942692</v>
      </c>
      <c r="E55" s="285" t="s">
        <v>326</v>
      </c>
      <c r="F55" s="283">
        <v>3143</v>
      </c>
      <c r="G55" s="286" t="s">
        <v>597</v>
      </c>
      <c r="H55" s="286" t="s">
        <v>272</v>
      </c>
      <c r="I55" s="598">
        <f t="shared" si="102"/>
        <v>44039</v>
      </c>
      <c r="J55" s="418">
        <f t="shared" si="21"/>
        <v>31522</v>
      </c>
      <c r="K55" s="418">
        <v>0</v>
      </c>
      <c r="L55" s="418">
        <v>31522</v>
      </c>
      <c r="M55" s="418">
        <f t="shared" si="103"/>
        <v>0</v>
      </c>
      <c r="N55" s="418">
        <v>0</v>
      </c>
      <c r="O55" s="418">
        <v>0</v>
      </c>
      <c r="P55" s="68">
        <f t="shared" si="104"/>
        <v>10654</v>
      </c>
      <c r="Q55" s="68">
        <f t="shared" si="105"/>
        <v>315</v>
      </c>
      <c r="R55" s="418">
        <v>1548</v>
      </c>
      <c r="S55" s="419">
        <f>T55+U55</f>
        <v>0.11940000000000001</v>
      </c>
      <c r="T55" s="420">
        <v>0</v>
      </c>
      <c r="U55" s="707">
        <v>0.11940000000000001</v>
      </c>
      <c r="V55" s="427">
        <f t="shared" si="106"/>
        <v>0</v>
      </c>
      <c r="W55" s="421">
        <f t="shared" si="106"/>
        <v>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>V55+X55+Y55+AA55+AB55+AD55</f>
        <v>0</v>
      </c>
      <c r="AG55" s="421">
        <f>W55+Z55+AC55+AE55</f>
        <v>0</v>
      </c>
      <c r="AH55" s="421">
        <f>SUM(AF55:AG55)</f>
        <v>0</v>
      </c>
      <c r="AI55" s="421">
        <v>0</v>
      </c>
      <c r="AJ55" s="421">
        <v>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07"/>
        <v>0</v>
      </c>
      <c r="AP55" s="421">
        <f>AJ55+AN55</f>
        <v>0</v>
      </c>
      <c r="AQ55" s="421">
        <f>SUM(AO55:AP55)</f>
        <v>0</v>
      </c>
      <c r="AR55" s="421">
        <f t="shared" si="108"/>
        <v>0</v>
      </c>
      <c r="AS55" s="421">
        <f t="shared" si="108"/>
        <v>0</v>
      </c>
      <c r="AT55" s="421">
        <f>SUM(AR55:AS55)</f>
        <v>0</v>
      </c>
      <c r="AU55" s="68">
        <f t="shared" si="109"/>
        <v>0</v>
      </c>
      <c r="AV55" s="68">
        <f>ROUND(AH55*1%,0)</f>
        <v>0</v>
      </c>
      <c r="AW55" s="421">
        <v>0</v>
      </c>
      <c r="AX55" s="421">
        <v>0</v>
      </c>
      <c r="AY55" s="421">
        <f>AW55+AX55</f>
        <v>0</v>
      </c>
      <c r="AZ55" s="421">
        <f>AT55+AU55+AV55+AY55</f>
        <v>0</v>
      </c>
      <c r="BA55" s="422">
        <v>0</v>
      </c>
      <c r="BB55" s="422">
        <v>0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>BA55+BC55+BD55+BF55+BH55+BI55</f>
        <v>0</v>
      </c>
      <c r="BL55" s="422">
        <f>BB55+BE55+BG55+BJ55</f>
        <v>0</v>
      </c>
      <c r="BM55" s="611">
        <f>SUM(BK55:BL55)</f>
        <v>0</v>
      </c>
      <c r="BN55" s="428">
        <f>I55+AZ55</f>
        <v>44039</v>
      </c>
      <c r="BO55" s="421">
        <f>J55+AH55</f>
        <v>31522</v>
      </c>
      <c r="BP55" s="421">
        <f t="shared" si="110"/>
        <v>0</v>
      </c>
      <c r="BQ55" s="421">
        <f t="shared" si="110"/>
        <v>31522</v>
      </c>
      <c r="BR55" s="421">
        <f>M55+AQ55</f>
        <v>0</v>
      </c>
      <c r="BS55" s="421">
        <f t="shared" si="111"/>
        <v>0</v>
      </c>
      <c r="BT55" s="421">
        <f t="shared" si="111"/>
        <v>0</v>
      </c>
      <c r="BU55" s="421">
        <f t="shared" si="112"/>
        <v>10654</v>
      </c>
      <c r="BV55" s="421">
        <f t="shared" si="112"/>
        <v>315</v>
      </c>
      <c r="BW55" s="421">
        <f>R55+AY55</f>
        <v>1548</v>
      </c>
      <c r="BX55" s="422">
        <f>S55+BM55</f>
        <v>0.11940000000000001</v>
      </c>
      <c r="BY55" s="422">
        <f t="shared" si="113"/>
        <v>0</v>
      </c>
      <c r="BZ55" s="611">
        <f t="shared" si="113"/>
        <v>0.11940000000000001</v>
      </c>
      <c r="CA55" s="423"/>
      <c r="CB55" s="418"/>
      <c r="CC55" s="418"/>
      <c r="CD55" s="418"/>
      <c r="CE55" s="418"/>
      <c r="CF55" s="527"/>
    </row>
    <row r="56" spans="1:84" ht="12.95" customHeight="1" x14ac:dyDescent="0.25">
      <c r="A56" s="275">
        <v>10</v>
      </c>
      <c r="B56" s="277">
        <v>4481</v>
      </c>
      <c r="C56" s="277">
        <v>600074722</v>
      </c>
      <c r="D56" s="277">
        <v>70942692</v>
      </c>
      <c r="E56" s="290" t="s">
        <v>327</v>
      </c>
      <c r="F56" s="293"/>
      <c r="G56" s="294"/>
      <c r="H56" s="294"/>
      <c r="I56" s="473">
        <f t="shared" ref="I56:BU56" si="114">SUM(I51:I55)</f>
        <v>29142358</v>
      </c>
      <c r="J56" s="470">
        <f t="shared" si="114"/>
        <v>21359650</v>
      </c>
      <c r="K56" s="470">
        <f t="shared" si="114"/>
        <v>18970315</v>
      </c>
      <c r="L56" s="470">
        <f t="shared" si="114"/>
        <v>2389335</v>
      </c>
      <c r="M56" s="470">
        <f t="shared" si="114"/>
        <v>0</v>
      </c>
      <c r="N56" s="470">
        <f t="shared" si="114"/>
        <v>0</v>
      </c>
      <c r="O56" s="470">
        <f t="shared" si="114"/>
        <v>0</v>
      </c>
      <c r="P56" s="470">
        <f t="shared" si="114"/>
        <v>7219561</v>
      </c>
      <c r="Q56" s="470">
        <f t="shared" si="114"/>
        <v>213597</v>
      </c>
      <c r="R56" s="470">
        <f t="shared" si="114"/>
        <v>349550</v>
      </c>
      <c r="S56" s="471">
        <f t="shared" si="114"/>
        <v>34.229900000000001</v>
      </c>
      <c r="T56" s="471">
        <f t="shared" si="114"/>
        <v>27.071100000000001</v>
      </c>
      <c r="U56" s="292">
        <f t="shared" si="114"/>
        <v>7.1588000000000003</v>
      </c>
      <c r="V56" s="475">
        <f t="shared" si="114"/>
        <v>0</v>
      </c>
      <c r="W56" s="470">
        <f t="shared" si="114"/>
        <v>0</v>
      </c>
      <c r="X56" s="470">
        <f t="shared" si="114"/>
        <v>2430828</v>
      </c>
      <c r="Y56" s="470">
        <f t="shared" si="114"/>
        <v>0</v>
      </c>
      <c r="Z56" s="470">
        <f t="shared" si="114"/>
        <v>0</v>
      </c>
      <c r="AA56" s="470">
        <f t="shared" si="114"/>
        <v>0</v>
      </c>
      <c r="AB56" s="470">
        <f t="shared" si="114"/>
        <v>225600</v>
      </c>
      <c r="AC56" s="470">
        <f t="shared" si="114"/>
        <v>0</v>
      </c>
      <c r="AD56" s="470">
        <f t="shared" si="114"/>
        <v>0</v>
      </c>
      <c r="AE56" s="470">
        <f t="shared" si="114"/>
        <v>0</v>
      </c>
      <c r="AF56" s="470">
        <f t="shared" si="114"/>
        <v>2656428</v>
      </c>
      <c r="AG56" s="470">
        <f t="shared" si="114"/>
        <v>0</v>
      </c>
      <c r="AH56" s="470">
        <f t="shared" si="114"/>
        <v>2656428</v>
      </c>
      <c r="AI56" s="470">
        <f t="shared" si="114"/>
        <v>0</v>
      </c>
      <c r="AJ56" s="470">
        <f t="shared" si="114"/>
        <v>0</v>
      </c>
      <c r="AK56" s="470">
        <f t="shared" ref="AK56" si="115">SUM(AK51:AK55)</f>
        <v>0</v>
      </c>
      <c r="AL56" s="470">
        <f t="shared" si="114"/>
        <v>0</v>
      </c>
      <c r="AM56" s="470">
        <f t="shared" si="114"/>
        <v>0</v>
      </c>
      <c r="AN56" s="470">
        <f t="shared" si="114"/>
        <v>0</v>
      </c>
      <c r="AO56" s="470">
        <f t="shared" si="114"/>
        <v>0</v>
      </c>
      <c r="AP56" s="470">
        <f t="shared" si="114"/>
        <v>0</v>
      </c>
      <c r="AQ56" s="470">
        <f t="shared" si="114"/>
        <v>0</v>
      </c>
      <c r="AR56" s="470">
        <f t="shared" si="114"/>
        <v>2656428</v>
      </c>
      <c r="AS56" s="470">
        <f t="shared" si="114"/>
        <v>0</v>
      </c>
      <c r="AT56" s="470">
        <f t="shared" si="114"/>
        <v>2656428</v>
      </c>
      <c r="AU56" s="470">
        <f t="shared" si="114"/>
        <v>897873</v>
      </c>
      <c r="AV56" s="470">
        <f t="shared" si="114"/>
        <v>26564</v>
      </c>
      <c r="AW56" s="470">
        <f t="shared" si="114"/>
        <v>2000</v>
      </c>
      <c r="AX56" s="470">
        <f t="shared" si="114"/>
        <v>0</v>
      </c>
      <c r="AY56" s="470">
        <f t="shared" si="114"/>
        <v>2000</v>
      </c>
      <c r="AZ56" s="470">
        <f t="shared" si="114"/>
        <v>3582865</v>
      </c>
      <c r="BA56" s="471">
        <f t="shared" si="114"/>
        <v>0</v>
      </c>
      <c r="BB56" s="471">
        <f t="shared" si="114"/>
        <v>0</v>
      </c>
      <c r="BC56" s="471">
        <f t="shared" si="114"/>
        <v>6.56</v>
      </c>
      <c r="BD56" s="471">
        <f t="shared" si="114"/>
        <v>0.4</v>
      </c>
      <c r="BE56" s="471">
        <f t="shared" si="114"/>
        <v>0</v>
      </c>
      <c r="BF56" s="471">
        <f t="shared" si="114"/>
        <v>0</v>
      </c>
      <c r="BG56" s="471">
        <f t="shared" si="114"/>
        <v>0</v>
      </c>
      <c r="BH56" s="471">
        <f t="shared" si="114"/>
        <v>0</v>
      </c>
      <c r="BI56" s="471">
        <f t="shared" si="114"/>
        <v>0</v>
      </c>
      <c r="BJ56" s="471">
        <f t="shared" si="114"/>
        <v>0</v>
      </c>
      <c r="BK56" s="471">
        <f t="shared" si="114"/>
        <v>6.96</v>
      </c>
      <c r="BL56" s="471">
        <f t="shared" si="114"/>
        <v>0</v>
      </c>
      <c r="BM56" s="561">
        <f t="shared" si="114"/>
        <v>6.96</v>
      </c>
      <c r="BN56" s="473">
        <f t="shared" si="114"/>
        <v>32725223</v>
      </c>
      <c r="BO56" s="470">
        <f t="shared" si="114"/>
        <v>24016078</v>
      </c>
      <c r="BP56" s="470">
        <f t="shared" si="114"/>
        <v>21626743</v>
      </c>
      <c r="BQ56" s="470">
        <f t="shared" si="114"/>
        <v>2389335</v>
      </c>
      <c r="BR56" s="470">
        <f t="shared" si="114"/>
        <v>0</v>
      </c>
      <c r="BS56" s="470">
        <f t="shared" si="114"/>
        <v>0</v>
      </c>
      <c r="BT56" s="470">
        <f t="shared" si="114"/>
        <v>0</v>
      </c>
      <c r="BU56" s="470">
        <f t="shared" si="114"/>
        <v>8117434</v>
      </c>
      <c r="BV56" s="470">
        <f t="shared" ref="BV56:CF56" si="116">SUM(BV51:BV55)</f>
        <v>240161</v>
      </c>
      <c r="BW56" s="470">
        <f t="shared" si="116"/>
        <v>351550</v>
      </c>
      <c r="BX56" s="471">
        <f t="shared" si="116"/>
        <v>41.189899999999994</v>
      </c>
      <c r="BY56" s="471">
        <f t="shared" si="116"/>
        <v>34.031099999999995</v>
      </c>
      <c r="BZ56" s="561">
        <f t="shared" si="116"/>
        <v>7.1588000000000003</v>
      </c>
      <c r="CA56" s="874">
        <f t="shared" si="116"/>
        <v>304109</v>
      </c>
      <c r="CB56" s="871">
        <f t="shared" si="116"/>
        <v>225600</v>
      </c>
      <c r="CC56" s="871">
        <f t="shared" si="116"/>
        <v>0</v>
      </c>
      <c r="CD56" s="871">
        <f t="shared" si="116"/>
        <v>76253</v>
      </c>
      <c r="CE56" s="871">
        <f t="shared" si="116"/>
        <v>2256</v>
      </c>
      <c r="CF56" s="847">
        <f t="shared" si="116"/>
        <v>0.4</v>
      </c>
    </row>
    <row r="57" spans="1:84" ht="12.95" customHeight="1" x14ac:dyDescent="0.25">
      <c r="A57" s="282">
        <v>11</v>
      </c>
      <c r="B57" s="283">
        <v>4469</v>
      </c>
      <c r="C57" s="283">
        <v>600075079</v>
      </c>
      <c r="D57" s="283">
        <v>70695334</v>
      </c>
      <c r="E57" s="285" t="s">
        <v>328</v>
      </c>
      <c r="F57" s="283">
        <v>3231</v>
      </c>
      <c r="G57" s="286" t="s">
        <v>398</v>
      </c>
      <c r="H57" s="286" t="s">
        <v>271</v>
      </c>
      <c r="I57" s="598">
        <f>J57+M57+P57+Q57+R57</f>
        <v>3353505</v>
      </c>
      <c r="J57" s="418">
        <f t="shared" si="21"/>
        <v>2484883</v>
      </c>
      <c r="K57" s="418">
        <v>2392154</v>
      </c>
      <c r="L57" s="418">
        <v>92729</v>
      </c>
      <c r="M57" s="418">
        <f>N57+O57</f>
        <v>0</v>
      </c>
      <c r="N57" s="418">
        <v>0</v>
      </c>
      <c r="O57" s="418">
        <v>0</v>
      </c>
      <c r="P57" s="68">
        <f>ROUND((J57+M57)*33.8%,0)</f>
        <v>839890</v>
      </c>
      <c r="Q57" s="68">
        <f>ROUND(J57*1%,0)</f>
        <v>24849</v>
      </c>
      <c r="R57" s="418">
        <v>3883</v>
      </c>
      <c r="S57" s="419">
        <f>T57+U57</f>
        <v>4.0517000000000003</v>
      </c>
      <c r="T57" s="420">
        <v>3.7915000000000001</v>
      </c>
      <c r="U57" s="707">
        <v>0.26019999999999999</v>
      </c>
      <c r="V57" s="427">
        <f>AI57*-1</f>
        <v>0</v>
      </c>
      <c r="W57" s="421">
        <f>AJ57*-1</f>
        <v>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>V57+X57+Y57+AA57+AB57+AD57</f>
        <v>0</v>
      </c>
      <c r="AG57" s="421">
        <f>W57+Z57+AC57+AE57</f>
        <v>0</v>
      </c>
      <c r="AH57" s="421">
        <f>SUM(AF57:AG57)</f>
        <v>0</v>
      </c>
      <c r="AI57" s="421">
        <v>0</v>
      </c>
      <c r="AJ57" s="421">
        <v>0</v>
      </c>
      <c r="AK57" s="421">
        <v>0</v>
      </c>
      <c r="AL57" s="421">
        <v>0</v>
      </c>
      <c r="AM57" s="421">
        <v>0</v>
      </c>
      <c r="AN57" s="421">
        <v>0</v>
      </c>
      <c r="AO57" s="421">
        <f>AI57+AK57+AL57+AM57</f>
        <v>0</v>
      </c>
      <c r="AP57" s="421">
        <f>AJ57+AN57</f>
        <v>0</v>
      </c>
      <c r="AQ57" s="421">
        <f>SUM(AO57:AP57)</f>
        <v>0</v>
      </c>
      <c r="AR57" s="421">
        <f>AF57+AO57</f>
        <v>0</v>
      </c>
      <c r="AS57" s="421">
        <f>AG57+AP57</f>
        <v>0</v>
      </c>
      <c r="AT57" s="421">
        <f>SUM(AR57:AS57)</f>
        <v>0</v>
      </c>
      <c r="AU57" s="68">
        <f>ROUND((AH57+AI57+AJ57+AK57+AL57)*33.8%,0)</f>
        <v>0</v>
      </c>
      <c r="AV57" s="68">
        <f>ROUND(AH57*1%,0)</f>
        <v>0</v>
      </c>
      <c r="AW57" s="421">
        <v>0</v>
      </c>
      <c r="AX57" s="421">
        <v>0</v>
      </c>
      <c r="AY57" s="421">
        <f>AW57+AX57</f>
        <v>0</v>
      </c>
      <c r="AZ57" s="421">
        <f>AT57+AU57+AV57+AY57</f>
        <v>0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>BA57+BC57+BD57+BF57+BH57+BI57</f>
        <v>0</v>
      </c>
      <c r="BL57" s="422">
        <f>BB57+BE57+BG57+BJ57</f>
        <v>0</v>
      </c>
      <c r="BM57" s="611">
        <f>SUM(BK57:BL57)</f>
        <v>0</v>
      </c>
      <c r="BN57" s="428">
        <f>I57+AZ57</f>
        <v>3353505</v>
      </c>
      <c r="BO57" s="421">
        <f>J57+AH57</f>
        <v>2484883</v>
      </c>
      <c r="BP57" s="421">
        <f>K57+AF57</f>
        <v>2392154</v>
      </c>
      <c r="BQ57" s="421">
        <f>L57+AG57</f>
        <v>92729</v>
      </c>
      <c r="BR57" s="421">
        <f>M57+AQ57</f>
        <v>0</v>
      </c>
      <c r="BS57" s="421">
        <f>N57+AO57</f>
        <v>0</v>
      </c>
      <c r="BT57" s="421">
        <f>O57+AP57</f>
        <v>0</v>
      </c>
      <c r="BU57" s="421">
        <f>P57+AU57</f>
        <v>839890</v>
      </c>
      <c r="BV57" s="421">
        <f>Q57+AV57</f>
        <v>24849</v>
      </c>
      <c r="BW57" s="421">
        <f>R57+AY57</f>
        <v>3883</v>
      </c>
      <c r="BX57" s="422">
        <f>S57+BM57</f>
        <v>4.0517000000000003</v>
      </c>
      <c r="BY57" s="422">
        <f>T57+BK57</f>
        <v>3.7915000000000001</v>
      </c>
      <c r="BZ57" s="611">
        <f>U57+BL57</f>
        <v>0.26019999999999999</v>
      </c>
      <c r="CA57" s="423"/>
      <c r="CB57" s="418"/>
      <c r="CC57" s="418"/>
      <c r="CD57" s="418"/>
      <c r="CE57" s="418"/>
      <c r="CF57" s="527"/>
    </row>
    <row r="58" spans="1:84" ht="12.95" customHeight="1" x14ac:dyDescent="0.25">
      <c r="A58" s="275">
        <v>11</v>
      </c>
      <c r="B58" s="277">
        <v>4469</v>
      </c>
      <c r="C58" s="277">
        <v>600075079</v>
      </c>
      <c r="D58" s="277">
        <v>70695334</v>
      </c>
      <c r="E58" s="290" t="s">
        <v>329</v>
      </c>
      <c r="F58" s="293"/>
      <c r="G58" s="294"/>
      <c r="H58" s="294"/>
      <c r="I58" s="473">
        <f t="shared" ref="I58:BU58" si="117">SUM(I57)</f>
        <v>3353505</v>
      </c>
      <c r="J58" s="470">
        <f t="shared" si="117"/>
        <v>2484883</v>
      </c>
      <c r="K58" s="470">
        <f t="shared" si="117"/>
        <v>2392154</v>
      </c>
      <c r="L58" s="470">
        <f t="shared" si="117"/>
        <v>92729</v>
      </c>
      <c r="M58" s="470">
        <f t="shared" si="117"/>
        <v>0</v>
      </c>
      <c r="N58" s="470">
        <f t="shared" si="117"/>
        <v>0</v>
      </c>
      <c r="O58" s="470">
        <f t="shared" si="117"/>
        <v>0</v>
      </c>
      <c r="P58" s="470">
        <f t="shared" si="117"/>
        <v>839890</v>
      </c>
      <c r="Q58" s="470">
        <f t="shared" si="117"/>
        <v>24849</v>
      </c>
      <c r="R58" s="470">
        <f t="shared" si="117"/>
        <v>3883</v>
      </c>
      <c r="S58" s="471">
        <f t="shared" si="117"/>
        <v>4.0517000000000003</v>
      </c>
      <c r="T58" s="471">
        <f t="shared" si="117"/>
        <v>3.7915000000000001</v>
      </c>
      <c r="U58" s="292">
        <f t="shared" si="117"/>
        <v>0.26019999999999999</v>
      </c>
      <c r="V58" s="475">
        <f t="shared" si="117"/>
        <v>0</v>
      </c>
      <c r="W58" s="470">
        <f t="shared" si="117"/>
        <v>0</v>
      </c>
      <c r="X58" s="470">
        <f t="shared" si="117"/>
        <v>0</v>
      </c>
      <c r="Y58" s="470">
        <f t="shared" si="117"/>
        <v>0</v>
      </c>
      <c r="Z58" s="470">
        <f t="shared" si="117"/>
        <v>0</v>
      </c>
      <c r="AA58" s="470">
        <f t="shared" si="117"/>
        <v>0</v>
      </c>
      <c r="AB58" s="470">
        <f t="shared" si="117"/>
        <v>0</v>
      </c>
      <c r="AC58" s="470">
        <f t="shared" si="117"/>
        <v>0</v>
      </c>
      <c r="AD58" s="470">
        <f t="shared" si="117"/>
        <v>0</v>
      </c>
      <c r="AE58" s="470">
        <f t="shared" si="117"/>
        <v>0</v>
      </c>
      <c r="AF58" s="470">
        <f t="shared" si="117"/>
        <v>0</v>
      </c>
      <c r="AG58" s="470">
        <f t="shared" si="117"/>
        <v>0</v>
      </c>
      <c r="AH58" s="470">
        <f t="shared" si="117"/>
        <v>0</v>
      </c>
      <c r="AI58" s="470">
        <f t="shared" si="117"/>
        <v>0</v>
      </c>
      <c r="AJ58" s="470">
        <f t="shared" si="117"/>
        <v>0</v>
      </c>
      <c r="AK58" s="470">
        <f t="shared" ref="AK58" si="118">SUM(AK57)</f>
        <v>0</v>
      </c>
      <c r="AL58" s="470">
        <f t="shared" si="117"/>
        <v>0</v>
      </c>
      <c r="AM58" s="470">
        <f t="shared" si="117"/>
        <v>0</v>
      </c>
      <c r="AN58" s="470">
        <f t="shared" si="117"/>
        <v>0</v>
      </c>
      <c r="AO58" s="470">
        <f t="shared" si="117"/>
        <v>0</v>
      </c>
      <c r="AP58" s="470">
        <f t="shared" si="117"/>
        <v>0</v>
      </c>
      <c r="AQ58" s="470">
        <f t="shared" si="117"/>
        <v>0</v>
      </c>
      <c r="AR58" s="470">
        <f t="shared" si="117"/>
        <v>0</v>
      </c>
      <c r="AS58" s="470">
        <f t="shared" si="117"/>
        <v>0</v>
      </c>
      <c r="AT58" s="470">
        <f t="shared" si="117"/>
        <v>0</v>
      </c>
      <c r="AU58" s="470">
        <f t="shared" si="117"/>
        <v>0</v>
      </c>
      <c r="AV58" s="470">
        <f t="shared" si="117"/>
        <v>0</v>
      </c>
      <c r="AW58" s="470">
        <f t="shared" si="117"/>
        <v>0</v>
      </c>
      <c r="AX58" s="470">
        <f t="shared" si="117"/>
        <v>0</v>
      </c>
      <c r="AY58" s="470">
        <f t="shared" si="117"/>
        <v>0</v>
      </c>
      <c r="AZ58" s="470">
        <f t="shared" si="117"/>
        <v>0</v>
      </c>
      <c r="BA58" s="471">
        <f t="shared" si="117"/>
        <v>0</v>
      </c>
      <c r="BB58" s="471">
        <f t="shared" si="117"/>
        <v>0</v>
      </c>
      <c r="BC58" s="471">
        <f t="shared" si="117"/>
        <v>0</v>
      </c>
      <c r="BD58" s="471">
        <f t="shared" si="117"/>
        <v>0</v>
      </c>
      <c r="BE58" s="471">
        <f t="shared" si="117"/>
        <v>0</v>
      </c>
      <c r="BF58" s="471">
        <f t="shared" si="117"/>
        <v>0</v>
      </c>
      <c r="BG58" s="471">
        <f t="shared" si="117"/>
        <v>0</v>
      </c>
      <c r="BH58" s="471">
        <f t="shared" si="117"/>
        <v>0</v>
      </c>
      <c r="BI58" s="471">
        <f t="shared" si="117"/>
        <v>0</v>
      </c>
      <c r="BJ58" s="471">
        <f t="shared" si="117"/>
        <v>0</v>
      </c>
      <c r="BK58" s="471">
        <f t="shared" si="117"/>
        <v>0</v>
      </c>
      <c r="BL58" s="471">
        <f t="shared" si="117"/>
        <v>0</v>
      </c>
      <c r="BM58" s="561">
        <f t="shared" si="117"/>
        <v>0</v>
      </c>
      <c r="BN58" s="473">
        <f t="shared" si="117"/>
        <v>3353505</v>
      </c>
      <c r="BO58" s="470">
        <f t="shared" si="117"/>
        <v>2484883</v>
      </c>
      <c r="BP58" s="470">
        <f t="shared" si="117"/>
        <v>2392154</v>
      </c>
      <c r="BQ58" s="470">
        <f t="shared" si="117"/>
        <v>92729</v>
      </c>
      <c r="BR58" s="470">
        <f t="shared" si="117"/>
        <v>0</v>
      </c>
      <c r="BS58" s="470">
        <f t="shared" si="117"/>
        <v>0</v>
      </c>
      <c r="BT58" s="470">
        <f t="shared" si="117"/>
        <v>0</v>
      </c>
      <c r="BU58" s="470">
        <f t="shared" si="117"/>
        <v>839890</v>
      </c>
      <c r="BV58" s="470">
        <f t="shared" ref="BV58:CF58" si="119">SUM(BV57)</f>
        <v>24849</v>
      </c>
      <c r="BW58" s="470">
        <f t="shared" si="119"/>
        <v>3883</v>
      </c>
      <c r="BX58" s="471">
        <f t="shared" si="119"/>
        <v>4.0517000000000003</v>
      </c>
      <c r="BY58" s="471">
        <f t="shared" si="119"/>
        <v>3.7915000000000001</v>
      </c>
      <c r="BZ58" s="561">
        <f t="shared" si="119"/>
        <v>0.26019999999999999</v>
      </c>
      <c r="CA58" s="874">
        <f t="shared" si="119"/>
        <v>0</v>
      </c>
      <c r="CB58" s="871">
        <f t="shared" si="119"/>
        <v>0</v>
      </c>
      <c r="CC58" s="871">
        <f t="shared" si="119"/>
        <v>0</v>
      </c>
      <c r="CD58" s="871">
        <f t="shared" si="119"/>
        <v>0</v>
      </c>
      <c r="CE58" s="871">
        <f t="shared" si="119"/>
        <v>0</v>
      </c>
      <c r="CF58" s="847">
        <f t="shared" si="119"/>
        <v>0</v>
      </c>
    </row>
    <row r="59" spans="1:84" ht="12.95" customHeight="1" x14ac:dyDescent="0.25">
      <c r="A59" s="282">
        <v>12</v>
      </c>
      <c r="B59" s="283">
        <v>4451</v>
      </c>
      <c r="C59" s="283">
        <v>600074927</v>
      </c>
      <c r="D59" s="283">
        <v>49864653</v>
      </c>
      <c r="E59" s="285" t="s">
        <v>330</v>
      </c>
      <c r="F59" s="283">
        <v>3111</v>
      </c>
      <c r="G59" s="286" t="s">
        <v>305</v>
      </c>
      <c r="H59" s="286" t="s">
        <v>271</v>
      </c>
      <c r="I59" s="598">
        <f t="shared" ref="I59:I64" si="120">J59+M59+P59+Q59+R59</f>
        <v>8254301</v>
      </c>
      <c r="J59" s="418">
        <f t="shared" si="21"/>
        <v>6102571</v>
      </c>
      <c r="K59" s="418">
        <v>5769731</v>
      </c>
      <c r="L59" s="418">
        <v>332840</v>
      </c>
      <c r="M59" s="418">
        <f t="shared" ref="M59:M64" si="121">N59+O59</f>
        <v>0</v>
      </c>
      <c r="N59" s="418">
        <v>0</v>
      </c>
      <c r="O59" s="418">
        <v>0</v>
      </c>
      <c r="P59" s="68">
        <f t="shared" ref="P59:P64" si="122">ROUND((J59+M59)*33.8%,0)</f>
        <v>2062669</v>
      </c>
      <c r="Q59" s="68">
        <f t="shared" ref="Q59:Q64" si="123">ROUND(J59*1%,0)</f>
        <v>61026</v>
      </c>
      <c r="R59" s="418">
        <v>28035</v>
      </c>
      <c r="S59" s="419">
        <f t="shared" ref="S59:S64" si="124">T59+U59</f>
        <v>11.333500000000001</v>
      </c>
      <c r="T59" s="420">
        <v>10</v>
      </c>
      <c r="U59" s="707">
        <v>1.3334999999999999</v>
      </c>
      <c r="V59" s="427">
        <f t="shared" ref="V59:W64" si="125">AI59*-1</f>
        <v>0</v>
      </c>
      <c r="W59" s="421">
        <f t="shared" si="125"/>
        <v>-33280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 t="shared" ref="AF59:AF64" si="126">V59+X59+Y59+AA59+AB59+AD59</f>
        <v>0</v>
      </c>
      <c r="AG59" s="421">
        <f t="shared" ref="AG59:AG64" si="127">W59+Z59+AC59+AE59</f>
        <v>-33280</v>
      </c>
      <c r="AH59" s="421">
        <f t="shared" ref="AH59:AH64" si="128">SUM(AF59:AG59)</f>
        <v>-33280</v>
      </c>
      <c r="AI59" s="421">
        <v>0</v>
      </c>
      <c r="AJ59" s="421">
        <v>33280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ref="AO59:AO64" si="129">AI59+AK59+AL59+AM59</f>
        <v>0</v>
      </c>
      <c r="AP59" s="421">
        <f t="shared" ref="AP59:AP64" si="130">AJ59+AN59</f>
        <v>33280</v>
      </c>
      <c r="AQ59" s="421">
        <f t="shared" ref="AQ59:AQ64" si="131">SUM(AO59:AP59)</f>
        <v>33280</v>
      </c>
      <c r="AR59" s="421">
        <f t="shared" ref="AR59:AS64" si="132">AF59+AO59</f>
        <v>0</v>
      </c>
      <c r="AS59" s="421">
        <f t="shared" si="132"/>
        <v>0</v>
      </c>
      <c r="AT59" s="421">
        <f t="shared" ref="AT59:AT64" si="133">SUM(AR59:AS59)</f>
        <v>0</v>
      </c>
      <c r="AU59" s="68">
        <f t="shared" ref="AU59:AU64" si="134">ROUND((AH59+AI59+AJ59+AK59+AL59)*33.8%,0)</f>
        <v>0</v>
      </c>
      <c r="AV59" s="68">
        <f t="shared" ref="AV59:AV64" si="135">ROUND(AH59*1%,0)</f>
        <v>-333</v>
      </c>
      <c r="AW59" s="421">
        <v>0</v>
      </c>
      <c r="AX59" s="421">
        <v>0</v>
      </c>
      <c r="AY59" s="421">
        <f t="shared" ref="AY59:AY64" si="136">AW59+AX59</f>
        <v>0</v>
      </c>
      <c r="AZ59" s="421">
        <f t="shared" ref="AZ59:AZ64" si="137">AT59+AU59+AV59+AY59</f>
        <v>-333</v>
      </c>
      <c r="BA59" s="422">
        <v>0</v>
      </c>
      <c r="BB59" s="422">
        <v>-0.11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 t="shared" ref="BK59:BK64" si="138">BA59+BC59+BD59+BF59+BH59+BI59</f>
        <v>0</v>
      </c>
      <c r="BL59" s="422">
        <f t="shared" ref="BL59:BL64" si="139">BB59+BE59+BG59+BJ59</f>
        <v>-0.11</v>
      </c>
      <c r="BM59" s="611">
        <f t="shared" ref="BM59:BM64" si="140">SUM(BK59:BL59)</f>
        <v>-0.11</v>
      </c>
      <c r="BN59" s="428">
        <f t="shared" ref="BN59:BN64" si="141">I59+AZ59</f>
        <v>8253968</v>
      </c>
      <c r="BO59" s="421">
        <f t="shared" ref="BO59:BO64" si="142">J59+AH59</f>
        <v>6069291</v>
      </c>
      <c r="BP59" s="421">
        <f t="shared" ref="BP59:BQ64" si="143">K59+AF59</f>
        <v>5769731</v>
      </c>
      <c r="BQ59" s="421">
        <f t="shared" si="143"/>
        <v>299560</v>
      </c>
      <c r="BR59" s="421">
        <f t="shared" ref="BR59:BR64" si="144">M59+AQ59</f>
        <v>33280</v>
      </c>
      <c r="BS59" s="421">
        <f t="shared" ref="BS59:BT64" si="145">N59+AO59</f>
        <v>0</v>
      </c>
      <c r="BT59" s="421">
        <f t="shared" si="145"/>
        <v>33280</v>
      </c>
      <c r="BU59" s="421">
        <f t="shared" ref="BU59:BV64" si="146">P59+AU59</f>
        <v>2062669</v>
      </c>
      <c r="BV59" s="421">
        <f t="shared" si="146"/>
        <v>60693</v>
      </c>
      <c r="BW59" s="421">
        <f t="shared" ref="BW59:BW64" si="147">R59+AY59</f>
        <v>28035</v>
      </c>
      <c r="BX59" s="422">
        <f t="shared" ref="BX59:BX64" si="148">S59+BM59</f>
        <v>11.223500000000001</v>
      </c>
      <c r="BY59" s="422">
        <f t="shared" ref="BY59:BZ64" si="149">T59+BK59</f>
        <v>10</v>
      </c>
      <c r="BZ59" s="611">
        <f t="shared" si="149"/>
        <v>1.2234999999999998</v>
      </c>
      <c r="CA59" s="423"/>
      <c r="CB59" s="418"/>
      <c r="CC59" s="418"/>
      <c r="CD59" s="418"/>
      <c r="CE59" s="418"/>
      <c r="CF59" s="527"/>
    </row>
    <row r="60" spans="1:84" ht="12.95" customHeight="1" x14ac:dyDescent="0.25">
      <c r="A60" s="282">
        <v>12</v>
      </c>
      <c r="B60" s="283">
        <v>4451</v>
      </c>
      <c r="C60" s="283">
        <v>600074927</v>
      </c>
      <c r="D60" s="283">
        <v>49864653</v>
      </c>
      <c r="E60" s="285" t="s">
        <v>330</v>
      </c>
      <c r="F60" s="283">
        <v>3113</v>
      </c>
      <c r="G60" s="286" t="s">
        <v>309</v>
      </c>
      <c r="H60" s="286" t="s">
        <v>271</v>
      </c>
      <c r="I60" s="598">
        <f t="shared" si="120"/>
        <v>28170589</v>
      </c>
      <c r="J60" s="418">
        <f t="shared" si="21"/>
        <v>20634503</v>
      </c>
      <c r="K60" s="418">
        <v>19005625</v>
      </c>
      <c r="L60" s="418">
        <v>1628878</v>
      </c>
      <c r="M60" s="418">
        <f t="shared" si="121"/>
        <v>0</v>
      </c>
      <c r="N60" s="418">
        <v>0</v>
      </c>
      <c r="O60" s="418">
        <v>0</v>
      </c>
      <c r="P60" s="68">
        <f t="shared" si="122"/>
        <v>6974462</v>
      </c>
      <c r="Q60" s="68">
        <f t="shared" si="123"/>
        <v>206345</v>
      </c>
      <c r="R60" s="418">
        <v>355279</v>
      </c>
      <c r="S60" s="419">
        <f t="shared" si="124"/>
        <v>32.288200000000003</v>
      </c>
      <c r="T60" s="420">
        <v>27.408799999999999</v>
      </c>
      <c r="U60" s="707">
        <v>4.8794000000000004</v>
      </c>
      <c r="V60" s="427">
        <f t="shared" si="125"/>
        <v>-63360</v>
      </c>
      <c r="W60" s="421">
        <f t="shared" si="125"/>
        <v>-48640</v>
      </c>
      <c r="X60" s="421">
        <v>0</v>
      </c>
      <c r="Y60" s="421">
        <v>0</v>
      </c>
      <c r="Z60" s="421">
        <v>0</v>
      </c>
      <c r="AA60" s="421">
        <v>0</v>
      </c>
      <c r="AB60" s="421">
        <v>0</v>
      </c>
      <c r="AC60" s="421">
        <v>0</v>
      </c>
      <c r="AD60" s="421">
        <v>0</v>
      </c>
      <c r="AE60" s="421">
        <v>0</v>
      </c>
      <c r="AF60" s="421">
        <f t="shared" si="126"/>
        <v>-63360</v>
      </c>
      <c r="AG60" s="421">
        <f t="shared" si="127"/>
        <v>-48640</v>
      </c>
      <c r="AH60" s="421">
        <f t="shared" si="128"/>
        <v>-112000</v>
      </c>
      <c r="AI60" s="421">
        <v>63360</v>
      </c>
      <c r="AJ60" s="421">
        <v>48640</v>
      </c>
      <c r="AK60" s="421">
        <v>0</v>
      </c>
      <c r="AL60" s="421">
        <v>0</v>
      </c>
      <c r="AM60" s="421">
        <v>0</v>
      </c>
      <c r="AN60" s="421">
        <v>0</v>
      </c>
      <c r="AO60" s="421">
        <f t="shared" si="129"/>
        <v>63360</v>
      </c>
      <c r="AP60" s="421">
        <f t="shared" si="130"/>
        <v>48640</v>
      </c>
      <c r="AQ60" s="421">
        <f t="shared" si="131"/>
        <v>112000</v>
      </c>
      <c r="AR60" s="421">
        <f t="shared" si="132"/>
        <v>0</v>
      </c>
      <c r="AS60" s="421">
        <f t="shared" si="132"/>
        <v>0</v>
      </c>
      <c r="AT60" s="421">
        <f t="shared" si="133"/>
        <v>0</v>
      </c>
      <c r="AU60" s="68">
        <f t="shared" si="134"/>
        <v>0</v>
      </c>
      <c r="AV60" s="68">
        <f t="shared" si="135"/>
        <v>-1120</v>
      </c>
      <c r="AW60" s="421">
        <v>0</v>
      </c>
      <c r="AX60" s="421">
        <v>0</v>
      </c>
      <c r="AY60" s="421">
        <f t="shared" si="136"/>
        <v>0</v>
      </c>
      <c r="AZ60" s="421">
        <f t="shared" si="137"/>
        <v>-1120</v>
      </c>
      <c r="BA60" s="422">
        <v>-0.09</v>
      </c>
      <c r="BB60" s="422">
        <v>-0.15</v>
      </c>
      <c r="BC60" s="422">
        <v>0</v>
      </c>
      <c r="BD60" s="422">
        <v>0</v>
      </c>
      <c r="BE60" s="422">
        <v>0</v>
      </c>
      <c r="BF60" s="422">
        <v>0</v>
      </c>
      <c r="BG60" s="422">
        <v>0</v>
      </c>
      <c r="BH60" s="422">
        <v>0</v>
      </c>
      <c r="BI60" s="422">
        <v>0</v>
      </c>
      <c r="BJ60" s="422">
        <v>0</v>
      </c>
      <c r="BK60" s="422">
        <f t="shared" si="138"/>
        <v>-0.09</v>
      </c>
      <c r="BL60" s="422">
        <f t="shared" si="139"/>
        <v>-0.15</v>
      </c>
      <c r="BM60" s="611">
        <f t="shared" si="140"/>
        <v>-0.24</v>
      </c>
      <c r="BN60" s="428">
        <f t="shared" si="141"/>
        <v>28169469</v>
      </c>
      <c r="BO60" s="421">
        <f t="shared" si="142"/>
        <v>20522503</v>
      </c>
      <c r="BP60" s="421">
        <f t="shared" si="143"/>
        <v>18942265</v>
      </c>
      <c r="BQ60" s="421">
        <f t="shared" si="143"/>
        <v>1580238</v>
      </c>
      <c r="BR60" s="421">
        <f t="shared" si="144"/>
        <v>112000</v>
      </c>
      <c r="BS60" s="421">
        <f t="shared" si="145"/>
        <v>63360</v>
      </c>
      <c r="BT60" s="421">
        <f t="shared" si="145"/>
        <v>48640</v>
      </c>
      <c r="BU60" s="421">
        <f t="shared" si="146"/>
        <v>6974462</v>
      </c>
      <c r="BV60" s="421">
        <f t="shared" si="146"/>
        <v>205225</v>
      </c>
      <c r="BW60" s="421">
        <f t="shared" si="147"/>
        <v>355279</v>
      </c>
      <c r="BX60" s="422">
        <f t="shared" si="148"/>
        <v>32.048200000000001</v>
      </c>
      <c r="BY60" s="422">
        <f t="shared" si="149"/>
        <v>27.3188</v>
      </c>
      <c r="BZ60" s="611">
        <f t="shared" si="149"/>
        <v>4.7294</v>
      </c>
      <c r="CA60" s="423"/>
      <c r="CB60" s="418"/>
      <c r="CC60" s="418"/>
      <c r="CD60" s="418"/>
      <c r="CE60" s="418"/>
      <c r="CF60" s="527"/>
    </row>
    <row r="61" spans="1:84" ht="12.95" customHeight="1" x14ac:dyDescent="0.25">
      <c r="A61" s="282">
        <v>12</v>
      </c>
      <c r="B61" s="283">
        <v>4451</v>
      </c>
      <c r="C61" s="283">
        <v>600074927</v>
      </c>
      <c r="D61" s="283">
        <v>49864653</v>
      </c>
      <c r="E61" s="285" t="s">
        <v>330</v>
      </c>
      <c r="F61" s="283">
        <v>3113</v>
      </c>
      <c r="G61" s="286" t="s">
        <v>299</v>
      </c>
      <c r="H61" s="286" t="s">
        <v>272</v>
      </c>
      <c r="I61" s="598">
        <f t="shared" si="120"/>
        <v>0</v>
      </c>
      <c r="J61" s="418">
        <f t="shared" si="21"/>
        <v>0</v>
      </c>
      <c r="K61" s="418">
        <v>0</v>
      </c>
      <c r="L61" s="418">
        <v>0</v>
      </c>
      <c r="M61" s="418">
        <f t="shared" si="121"/>
        <v>0</v>
      </c>
      <c r="N61" s="418">
        <v>0</v>
      </c>
      <c r="O61" s="418">
        <v>0</v>
      </c>
      <c r="P61" s="68">
        <f t="shared" si="122"/>
        <v>0</v>
      </c>
      <c r="Q61" s="68">
        <f t="shared" si="123"/>
        <v>0</v>
      </c>
      <c r="R61" s="418">
        <v>0</v>
      </c>
      <c r="S61" s="419">
        <f t="shared" si="124"/>
        <v>0</v>
      </c>
      <c r="T61" s="420">
        <v>0</v>
      </c>
      <c r="U61" s="707">
        <v>0</v>
      </c>
      <c r="V61" s="427">
        <f t="shared" si="125"/>
        <v>0</v>
      </c>
      <c r="W61" s="421">
        <f t="shared" si="125"/>
        <v>0</v>
      </c>
      <c r="X61" s="421">
        <v>4089125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si="126"/>
        <v>4089125</v>
      </c>
      <c r="AG61" s="421">
        <f t="shared" si="127"/>
        <v>0</v>
      </c>
      <c r="AH61" s="421">
        <f t="shared" si="128"/>
        <v>4089125</v>
      </c>
      <c r="AI61" s="421">
        <v>0</v>
      </c>
      <c r="AJ61" s="421">
        <v>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si="129"/>
        <v>0</v>
      </c>
      <c r="AP61" s="421">
        <f t="shared" si="130"/>
        <v>0</v>
      </c>
      <c r="AQ61" s="421">
        <f t="shared" si="131"/>
        <v>0</v>
      </c>
      <c r="AR61" s="421">
        <f t="shared" si="132"/>
        <v>4089125</v>
      </c>
      <c r="AS61" s="421">
        <f t="shared" si="132"/>
        <v>0</v>
      </c>
      <c r="AT61" s="421">
        <f t="shared" si="133"/>
        <v>4089125</v>
      </c>
      <c r="AU61" s="68">
        <f t="shared" si="134"/>
        <v>1382124</v>
      </c>
      <c r="AV61" s="68">
        <f t="shared" si="135"/>
        <v>40891</v>
      </c>
      <c r="AW61" s="421">
        <v>0</v>
      </c>
      <c r="AX61" s="421">
        <v>0</v>
      </c>
      <c r="AY61" s="421">
        <f t="shared" si="136"/>
        <v>0</v>
      </c>
      <c r="AZ61" s="421">
        <f t="shared" si="137"/>
        <v>5512140</v>
      </c>
      <c r="BA61" s="422">
        <v>0</v>
      </c>
      <c r="BB61" s="422">
        <v>0</v>
      </c>
      <c r="BC61" s="422">
        <v>12.03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 t="shared" si="138"/>
        <v>12.03</v>
      </c>
      <c r="BL61" s="422">
        <f t="shared" si="139"/>
        <v>0</v>
      </c>
      <c r="BM61" s="611">
        <f t="shared" si="140"/>
        <v>12.03</v>
      </c>
      <c r="BN61" s="428">
        <f t="shared" si="141"/>
        <v>5512140</v>
      </c>
      <c r="BO61" s="421">
        <f t="shared" si="142"/>
        <v>4089125</v>
      </c>
      <c r="BP61" s="421">
        <f t="shared" si="143"/>
        <v>4089125</v>
      </c>
      <c r="BQ61" s="421">
        <f t="shared" si="143"/>
        <v>0</v>
      </c>
      <c r="BR61" s="421">
        <f t="shared" si="144"/>
        <v>0</v>
      </c>
      <c r="BS61" s="421">
        <f t="shared" si="145"/>
        <v>0</v>
      </c>
      <c r="BT61" s="421">
        <f t="shared" si="145"/>
        <v>0</v>
      </c>
      <c r="BU61" s="421">
        <f t="shared" si="146"/>
        <v>1382124</v>
      </c>
      <c r="BV61" s="421">
        <f t="shared" si="146"/>
        <v>40891</v>
      </c>
      <c r="BW61" s="421">
        <f t="shared" si="147"/>
        <v>0</v>
      </c>
      <c r="BX61" s="422">
        <f t="shared" si="148"/>
        <v>12.03</v>
      </c>
      <c r="BY61" s="422">
        <f t="shared" si="149"/>
        <v>12.03</v>
      </c>
      <c r="BZ61" s="611">
        <f t="shared" si="149"/>
        <v>0</v>
      </c>
      <c r="CA61" s="423"/>
      <c r="CB61" s="418"/>
      <c r="CC61" s="418"/>
      <c r="CD61" s="418"/>
      <c r="CE61" s="418"/>
      <c r="CF61" s="527"/>
    </row>
    <row r="62" spans="1:84" ht="12.95" customHeight="1" x14ac:dyDescent="0.25">
      <c r="A62" s="282">
        <v>12</v>
      </c>
      <c r="B62" s="283">
        <v>4451</v>
      </c>
      <c r="C62" s="283">
        <v>600074927</v>
      </c>
      <c r="D62" s="283">
        <v>49864653</v>
      </c>
      <c r="E62" s="285" t="s">
        <v>330</v>
      </c>
      <c r="F62" s="283">
        <v>3141</v>
      </c>
      <c r="G62" s="286" t="s">
        <v>295</v>
      </c>
      <c r="H62" s="286" t="s">
        <v>272</v>
      </c>
      <c r="I62" s="598">
        <f t="shared" si="120"/>
        <v>2623807</v>
      </c>
      <c r="J62" s="418">
        <f t="shared" si="21"/>
        <v>1934184</v>
      </c>
      <c r="K62" s="418">
        <v>0</v>
      </c>
      <c r="L62" s="418">
        <v>1934184</v>
      </c>
      <c r="M62" s="418">
        <f t="shared" si="121"/>
        <v>0</v>
      </c>
      <c r="N62" s="418">
        <v>0</v>
      </c>
      <c r="O62" s="418">
        <v>0</v>
      </c>
      <c r="P62" s="68">
        <f t="shared" si="122"/>
        <v>653754</v>
      </c>
      <c r="Q62" s="68">
        <f t="shared" si="123"/>
        <v>19342</v>
      </c>
      <c r="R62" s="418">
        <v>16527</v>
      </c>
      <c r="S62" s="419">
        <f t="shared" si="124"/>
        <v>5.8000000000000007</v>
      </c>
      <c r="T62" s="420">
        <v>0</v>
      </c>
      <c r="U62" s="707">
        <v>5.8000000000000007</v>
      </c>
      <c r="V62" s="427">
        <f t="shared" si="125"/>
        <v>0</v>
      </c>
      <c r="W62" s="421">
        <f t="shared" si="125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126"/>
        <v>0</v>
      </c>
      <c r="AG62" s="421">
        <f t="shared" si="127"/>
        <v>0</v>
      </c>
      <c r="AH62" s="421">
        <f t="shared" si="128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29"/>
        <v>0</v>
      </c>
      <c r="AP62" s="421">
        <f t="shared" si="130"/>
        <v>0</v>
      </c>
      <c r="AQ62" s="421">
        <f t="shared" si="131"/>
        <v>0</v>
      </c>
      <c r="AR62" s="421">
        <f t="shared" si="132"/>
        <v>0</v>
      </c>
      <c r="AS62" s="421">
        <f t="shared" si="132"/>
        <v>0</v>
      </c>
      <c r="AT62" s="421">
        <f t="shared" si="133"/>
        <v>0</v>
      </c>
      <c r="AU62" s="68">
        <f t="shared" si="134"/>
        <v>0</v>
      </c>
      <c r="AV62" s="68">
        <f t="shared" si="135"/>
        <v>0</v>
      </c>
      <c r="AW62" s="421">
        <v>0</v>
      </c>
      <c r="AX62" s="421">
        <v>0</v>
      </c>
      <c r="AY62" s="421">
        <f t="shared" si="136"/>
        <v>0</v>
      </c>
      <c r="AZ62" s="421">
        <f t="shared" si="137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 t="shared" si="138"/>
        <v>0</v>
      </c>
      <c r="BL62" s="422">
        <f t="shared" si="139"/>
        <v>0</v>
      </c>
      <c r="BM62" s="611">
        <f t="shared" si="140"/>
        <v>0</v>
      </c>
      <c r="BN62" s="428">
        <f t="shared" si="141"/>
        <v>2623807</v>
      </c>
      <c r="BO62" s="421">
        <f t="shared" si="142"/>
        <v>1934184</v>
      </c>
      <c r="BP62" s="421">
        <f t="shared" si="143"/>
        <v>0</v>
      </c>
      <c r="BQ62" s="421">
        <f t="shared" si="143"/>
        <v>1934184</v>
      </c>
      <c r="BR62" s="421">
        <f t="shared" si="144"/>
        <v>0</v>
      </c>
      <c r="BS62" s="421">
        <f t="shared" si="145"/>
        <v>0</v>
      </c>
      <c r="BT62" s="421">
        <f t="shared" si="145"/>
        <v>0</v>
      </c>
      <c r="BU62" s="421">
        <f t="shared" si="146"/>
        <v>653754</v>
      </c>
      <c r="BV62" s="421">
        <f t="shared" si="146"/>
        <v>19342</v>
      </c>
      <c r="BW62" s="421">
        <f t="shared" si="147"/>
        <v>16527</v>
      </c>
      <c r="BX62" s="422">
        <f t="shared" si="148"/>
        <v>5.8000000000000007</v>
      </c>
      <c r="BY62" s="422">
        <f t="shared" si="149"/>
        <v>0</v>
      </c>
      <c r="BZ62" s="611">
        <f t="shared" si="149"/>
        <v>5.8000000000000007</v>
      </c>
      <c r="CA62" s="423"/>
      <c r="CB62" s="418"/>
      <c r="CC62" s="418"/>
      <c r="CD62" s="418"/>
      <c r="CE62" s="418"/>
      <c r="CF62" s="527"/>
    </row>
    <row r="63" spans="1:84" ht="12.95" customHeight="1" x14ac:dyDescent="0.25">
      <c r="A63" s="282">
        <v>12</v>
      </c>
      <c r="B63" s="283">
        <v>4451</v>
      </c>
      <c r="C63" s="283">
        <v>600074927</v>
      </c>
      <c r="D63" s="283">
        <v>49864653</v>
      </c>
      <c r="E63" s="285" t="s">
        <v>330</v>
      </c>
      <c r="F63" s="283">
        <v>3143</v>
      </c>
      <c r="G63" s="286" t="s">
        <v>596</v>
      </c>
      <c r="H63" s="286" t="s">
        <v>271</v>
      </c>
      <c r="I63" s="598">
        <f t="shared" si="120"/>
        <v>2335790</v>
      </c>
      <c r="J63" s="418">
        <f t="shared" si="21"/>
        <v>1732782</v>
      </c>
      <c r="K63" s="418">
        <v>1732782</v>
      </c>
      <c r="L63" s="418">
        <v>0</v>
      </c>
      <c r="M63" s="418">
        <f t="shared" si="121"/>
        <v>0</v>
      </c>
      <c r="N63" s="418">
        <v>0</v>
      </c>
      <c r="O63" s="418">
        <v>0</v>
      </c>
      <c r="P63" s="68">
        <f t="shared" si="122"/>
        <v>585680</v>
      </c>
      <c r="Q63" s="68">
        <f t="shared" si="123"/>
        <v>17328</v>
      </c>
      <c r="R63" s="418">
        <v>0</v>
      </c>
      <c r="S63" s="419">
        <f t="shared" si="124"/>
        <v>3.5259</v>
      </c>
      <c r="T63" s="420">
        <v>3.5259</v>
      </c>
      <c r="U63" s="707">
        <v>0</v>
      </c>
      <c r="V63" s="427">
        <f t="shared" si="125"/>
        <v>0</v>
      </c>
      <c r="W63" s="421">
        <f t="shared" si="125"/>
        <v>0</v>
      </c>
      <c r="X63" s="421">
        <v>0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 t="shared" si="126"/>
        <v>0</v>
      </c>
      <c r="AG63" s="421">
        <f t="shared" si="127"/>
        <v>0</v>
      </c>
      <c r="AH63" s="421">
        <f t="shared" si="128"/>
        <v>0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29"/>
        <v>0</v>
      </c>
      <c r="AP63" s="421">
        <f t="shared" si="130"/>
        <v>0</v>
      </c>
      <c r="AQ63" s="421">
        <f t="shared" si="131"/>
        <v>0</v>
      </c>
      <c r="AR63" s="421">
        <f t="shared" si="132"/>
        <v>0</v>
      </c>
      <c r="AS63" s="421">
        <f t="shared" si="132"/>
        <v>0</v>
      </c>
      <c r="AT63" s="421">
        <f t="shared" si="133"/>
        <v>0</v>
      </c>
      <c r="AU63" s="68">
        <f t="shared" si="134"/>
        <v>0</v>
      </c>
      <c r="AV63" s="68">
        <f t="shared" si="135"/>
        <v>0</v>
      </c>
      <c r="AW63" s="421">
        <v>0</v>
      </c>
      <c r="AX63" s="421">
        <v>0</v>
      </c>
      <c r="AY63" s="421">
        <f t="shared" si="136"/>
        <v>0</v>
      </c>
      <c r="AZ63" s="421">
        <f t="shared" si="137"/>
        <v>0</v>
      </c>
      <c r="BA63" s="422">
        <v>0</v>
      </c>
      <c r="BB63" s="422">
        <v>0</v>
      </c>
      <c r="BC63" s="422">
        <v>0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 t="shared" si="138"/>
        <v>0</v>
      </c>
      <c r="BL63" s="422">
        <f t="shared" si="139"/>
        <v>0</v>
      </c>
      <c r="BM63" s="611">
        <f t="shared" si="140"/>
        <v>0</v>
      </c>
      <c r="BN63" s="428">
        <f t="shared" si="141"/>
        <v>2335790</v>
      </c>
      <c r="BO63" s="421">
        <f t="shared" si="142"/>
        <v>1732782</v>
      </c>
      <c r="BP63" s="421">
        <f t="shared" si="143"/>
        <v>1732782</v>
      </c>
      <c r="BQ63" s="421">
        <f t="shared" si="143"/>
        <v>0</v>
      </c>
      <c r="BR63" s="421">
        <f t="shared" si="144"/>
        <v>0</v>
      </c>
      <c r="BS63" s="421">
        <f t="shared" si="145"/>
        <v>0</v>
      </c>
      <c r="BT63" s="421">
        <f t="shared" si="145"/>
        <v>0</v>
      </c>
      <c r="BU63" s="421">
        <f t="shared" si="146"/>
        <v>585680</v>
      </c>
      <c r="BV63" s="421">
        <f t="shared" si="146"/>
        <v>17328</v>
      </c>
      <c r="BW63" s="421">
        <f t="shared" si="147"/>
        <v>0</v>
      </c>
      <c r="BX63" s="422">
        <f t="shared" si="148"/>
        <v>3.5259</v>
      </c>
      <c r="BY63" s="422">
        <f t="shared" si="149"/>
        <v>3.5259</v>
      </c>
      <c r="BZ63" s="611">
        <f t="shared" si="149"/>
        <v>0</v>
      </c>
      <c r="CA63" s="423"/>
      <c r="CB63" s="418"/>
      <c r="CC63" s="418"/>
      <c r="CD63" s="418"/>
      <c r="CE63" s="418"/>
      <c r="CF63" s="527"/>
    </row>
    <row r="64" spans="1:84" ht="12.95" customHeight="1" x14ac:dyDescent="0.25">
      <c r="A64" s="282">
        <v>12</v>
      </c>
      <c r="B64" s="283">
        <v>4451</v>
      </c>
      <c r="C64" s="283">
        <v>600074927</v>
      </c>
      <c r="D64" s="283">
        <v>49864653</v>
      </c>
      <c r="E64" s="285" t="s">
        <v>330</v>
      </c>
      <c r="F64" s="283">
        <v>3143</v>
      </c>
      <c r="G64" s="286" t="s">
        <v>597</v>
      </c>
      <c r="H64" s="286" t="s">
        <v>272</v>
      </c>
      <c r="I64" s="598">
        <f t="shared" si="120"/>
        <v>46104</v>
      </c>
      <c r="J64" s="418">
        <f t="shared" si="21"/>
        <v>33000</v>
      </c>
      <c r="K64" s="418">
        <v>0</v>
      </c>
      <c r="L64" s="418">
        <v>33000</v>
      </c>
      <c r="M64" s="418">
        <f t="shared" si="121"/>
        <v>0</v>
      </c>
      <c r="N64" s="418">
        <v>0</v>
      </c>
      <c r="O64" s="418">
        <v>0</v>
      </c>
      <c r="P64" s="68">
        <f t="shared" si="122"/>
        <v>11154</v>
      </c>
      <c r="Q64" s="68">
        <f t="shared" si="123"/>
        <v>330</v>
      </c>
      <c r="R64" s="418">
        <v>1620</v>
      </c>
      <c r="S64" s="419">
        <f t="shared" si="124"/>
        <v>0.125</v>
      </c>
      <c r="T64" s="420">
        <v>0</v>
      </c>
      <c r="U64" s="707">
        <v>0.125</v>
      </c>
      <c r="V64" s="427">
        <f t="shared" si="125"/>
        <v>0</v>
      </c>
      <c r="W64" s="421">
        <f t="shared" si="125"/>
        <v>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 t="shared" si="126"/>
        <v>0</v>
      </c>
      <c r="AG64" s="421">
        <f t="shared" si="127"/>
        <v>0</v>
      </c>
      <c r="AH64" s="421">
        <f t="shared" si="128"/>
        <v>0</v>
      </c>
      <c r="AI64" s="421">
        <v>0</v>
      </c>
      <c r="AJ64" s="421">
        <v>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29"/>
        <v>0</v>
      </c>
      <c r="AP64" s="421">
        <f t="shared" si="130"/>
        <v>0</v>
      </c>
      <c r="AQ64" s="421">
        <f t="shared" si="131"/>
        <v>0</v>
      </c>
      <c r="AR64" s="421">
        <f t="shared" si="132"/>
        <v>0</v>
      </c>
      <c r="AS64" s="421">
        <f t="shared" si="132"/>
        <v>0</v>
      </c>
      <c r="AT64" s="421">
        <f t="shared" si="133"/>
        <v>0</v>
      </c>
      <c r="AU64" s="68">
        <f t="shared" si="134"/>
        <v>0</v>
      </c>
      <c r="AV64" s="68">
        <f t="shared" si="135"/>
        <v>0</v>
      </c>
      <c r="AW64" s="421">
        <v>0</v>
      </c>
      <c r="AX64" s="421">
        <v>0</v>
      </c>
      <c r="AY64" s="421">
        <f t="shared" si="136"/>
        <v>0</v>
      </c>
      <c r="AZ64" s="421">
        <f t="shared" si="137"/>
        <v>0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 t="shared" si="138"/>
        <v>0</v>
      </c>
      <c r="BL64" s="422">
        <f t="shared" si="139"/>
        <v>0</v>
      </c>
      <c r="BM64" s="611">
        <f t="shared" si="140"/>
        <v>0</v>
      </c>
      <c r="BN64" s="428">
        <f t="shared" si="141"/>
        <v>46104</v>
      </c>
      <c r="BO64" s="421">
        <f t="shared" si="142"/>
        <v>33000</v>
      </c>
      <c r="BP64" s="421">
        <f t="shared" si="143"/>
        <v>0</v>
      </c>
      <c r="BQ64" s="421">
        <f t="shared" si="143"/>
        <v>33000</v>
      </c>
      <c r="BR64" s="421">
        <f t="shared" si="144"/>
        <v>0</v>
      </c>
      <c r="BS64" s="421">
        <f t="shared" si="145"/>
        <v>0</v>
      </c>
      <c r="BT64" s="421">
        <f t="shared" si="145"/>
        <v>0</v>
      </c>
      <c r="BU64" s="421">
        <f t="shared" si="146"/>
        <v>11154</v>
      </c>
      <c r="BV64" s="421">
        <f t="shared" si="146"/>
        <v>330</v>
      </c>
      <c r="BW64" s="421">
        <f t="shared" si="147"/>
        <v>1620</v>
      </c>
      <c r="BX64" s="422">
        <f t="shared" si="148"/>
        <v>0.125</v>
      </c>
      <c r="BY64" s="422">
        <f t="shared" si="149"/>
        <v>0</v>
      </c>
      <c r="BZ64" s="611">
        <f t="shared" si="149"/>
        <v>0.125</v>
      </c>
      <c r="CA64" s="423"/>
      <c r="CB64" s="418"/>
      <c r="CC64" s="418"/>
      <c r="CD64" s="418"/>
      <c r="CE64" s="418"/>
      <c r="CF64" s="527"/>
    </row>
    <row r="65" spans="1:84" ht="12.95" customHeight="1" x14ac:dyDescent="0.25">
      <c r="A65" s="275">
        <v>12</v>
      </c>
      <c r="B65" s="277">
        <v>4451</v>
      </c>
      <c r="C65" s="277">
        <v>600074927</v>
      </c>
      <c r="D65" s="277">
        <v>49864653</v>
      </c>
      <c r="E65" s="290" t="s">
        <v>331</v>
      </c>
      <c r="F65" s="293"/>
      <c r="G65" s="294"/>
      <c r="H65" s="294"/>
      <c r="I65" s="473">
        <f t="shared" ref="I65:BU65" si="150">SUM(I59:I64)</f>
        <v>41430591</v>
      </c>
      <c r="J65" s="470">
        <f t="shared" si="150"/>
        <v>30437040</v>
      </c>
      <c r="K65" s="470">
        <f t="shared" si="150"/>
        <v>26508138</v>
      </c>
      <c r="L65" s="470">
        <f t="shared" si="150"/>
        <v>3928902</v>
      </c>
      <c r="M65" s="470">
        <f t="shared" si="150"/>
        <v>0</v>
      </c>
      <c r="N65" s="470">
        <f t="shared" si="150"/>
        <v>0</v>
      </c>
      <c r="O65" s="470">
        <f t="shared" si="150"/>
        <v>0</v>
      </c>
      <c r="P65" s="470">
        <f t="shared" si="150"/>
        <v>10287719</v>
      </c>
      <c r="Q65" s="470">
        <f t="shared" si="150"/>
        <v>304371</v>
      </c>
      <c r="R65" s="470">
        <f t="shared" si="150"/>
        <v>401461</v>
      </c>
      <c r="S65" s="471">
        <f t="shared" si="150"/>
        <v>53.072600000000001</v>
      </c>
      <c r="T65" s="471">
        <f t="shared" si="150"/>
        <v>40.934699999999999</v>
      </c>
      <c r="U65" s="292">
        <f t="shared" si="150"/>
        <v>12.137900000000002</v>
      </c>
      <c r="V65" s="475">
        <f t="shared" si="150"/>
        <v>-63360</v>
      </c>
      <c r="W65" s="470">
        <f t="shared" si="150"/>
        <v>-81920</v>
      </c>
      <c r="X65" s="470">
        <f t="shared" si="150"/>
        <v>4089125</v>
      </c>
      <c r="Y65" s="470">
        <f t="shared" si="150"/>
        <v>0</v>
      </c>
      <c r="Z65" s="470">
        <f t="shared" si="150"/>
        <v>0</v>
      </c>
      <c r="AA65" s="470">
        <f t="shared" si="150"/>
        <v>0</v>
      </c>
      <c r="AB65" s="470">
        <f t="shared" si="150"/>
        <v>0</v>
      </c>
      <c r="AC65" s="470">
        <f t="shared" si="150"/>
        <v>0</v>
      </c>
      <c r="AD65" s="470">
        <f t="shared" si="150"/>
        <v>0</v>
      </c>
      <c r="AE65" s="470">
        <f t="shared" si="150"/>
        <v>0</v>
      </c>
      <c r="AF65" s="470">
        <f t="shared" si="150"/>
        <v>4025765</v>
      </c>
      <c r="AG65" s="470">
        <f t="shared" si="150"/>
        <v>-81920</v>
      </c>
      <c r="AH65" s="470">
        <f t="shared" si="150"/>
        <v>3943845</v>
      </c>
      <c r="AI65" s="470">
        <f t="shared" si="150"/>
        <v>63360</v>
      </c>
      <c r="AJ65" s="470">
        <f t="shared" si="150"/>
        <v>81920</v>
      </c>
      <c r="AK65" s="470">
        <f t="shared" ref="AK65" si="151">SUM(AK59:AK64)</f>
        <v>0</v>
      </c>
      <c r="AL65" s="470">
        <f t="shared" si="150"/>
        <v>0</v>
      </c>
      <c r="AM65" s="470">
        <f t="shared" si="150"/>
        <v>0</v>
      </c>
      <c r="AN65" s="470">
        <f t="shared" si="150"/>
        <v>0</v>
      </c>
      <c r="AO65" s="470">
        <f t="shared" si="150"/>
        <v>63360</v>
      </c>
      <c r="AP65" s="470">
        <f t="shared" si="150"/>
        <v>81920</v>
      </c>
      <c r="AQ65" s="470">
        <f t="shared" si="150"/>
        <v>145280</v>
      </c>
      <c r="AR65" s="470">
        <f t="shared" si="150"/>
        <v>4089125</v>
      </c>
      <c r="AS65" s="470">
        <f t="shared" si="150"/>
        <v>0</v>
      </c>
      <c r="AT65" s="470">
        <f t="shared" si="150"/>
        <v>4089125</v>
      </c>
      <c r="AU65" s="470">
        <f t="shared" si="150"/>
        <v>1382124</v>
      </c>
      <c r="AV65" s="470">
        <f t="shared" si="150"/>
        <v>39438</v>
      </c>
      <c r="AW65" s="470">
        <f t="shared" si="150"/>
        <v>0</v>
      </c>
      <c r="AX65" s="470">
        <f t="shared" si="150"/>
        <v>0</v>
      </c>
      <c r="AY65" s="470">
        <f t="shared" si="150"/>
        <v>0</v>
      </c>
      <c r="AZ65" s="470">
        <f t="shared" si="150"/>
        <v>5510687</v>
      </c>
      <c r="BA65" s="471">
        <f t="shared" si="150"/>
        <v>-0.09</v>
      </c>
      <c r="BB65" s="471">
        <f t="shared" si="150"/>
        <v>-0.26</v>
      </c>
      <c r="BC65" s="471">
        <f t="shared" si="150"/>
        <v>12.03</v>
      </c>
      <c r="BD65" s="471">
        <f t="shared" si="150"/>
        <v>0</v>
      </c>
      <c r="BE65" s="471">
        <f t="shared" si="150"/>
        <v>0</v>
      </c>
      <c r="BF65" s="471">
        <f t="shared" si="150"/>
        <v>0</v>
      </c>
      <c r="BG65" s="471">
        <f t="shared" si="150"/>
        <v>0</v>
      </c>
      <c r="BH65" s="471">
        <f t="shared" si="150"/>
        <v>0</v>
      </c>
      <c r="BI65" s="471">
        <f t="shared" si="150"/>
        <v>0</v>
      </c>
      <c r="BJ65" s="471">
        <f t="shared" si="150"/>
        <v>0</v>
      </c>
      <c r="BK65" s="471">
        <f t="shared" si="150"/>
        <v>11.94</v>
      </c>
      <c r="BL65" s="471">
        <f t="shared" si="150"/>
        <v>-0.26</v>
      </c>
      <c r="BM65" s="561">
        <f t="shared" si="150"/>
        <v>11.68</v>
      </c>
      <c r="BN65" s="473">
        <f t="shared" si="150"/>
        <v>46941278</v>
      </c>
      <c r="BO65" s="470">
        <f t="shared" si="150"/>
        <v>34380885</v>
      </c>
      <c r="BP65" s="470">
        <f t="shared" si="150"/>
        <v>30533903</v>
      </c>
      <c r="BQ65" s="470">
        <f t="shared" si="150"/>
        <v>3846982</v>
      </c>
      <c r="BR65" s="470">
        <f t="shared" si="150"/>
        <v>145280</v>
      </c>
      <c r="BS65" s="470">
        <f t="shared" si="150"/>
        <v>63360</v>
      </c>
      <c r="BT65" s="470">
        <f t="shared" si="150"/>
        <v>81920</v>
      </c>
      <c r="BU65" s="470">
        <f t="shared" si="150"/>
        <v>11669843</v>
      </c>
      <c r="BV65" s="470">
        <f t="shared" ref="BV65:CF65" si="152">SUM(BV59:BV64)</f>
        <v>343809</v>
      </c>
      <c r="BW65" s="470">
        <f t="shared" si="152"/>
        <v>401461</v>
      </c>
      <c r="BX65" s="471">
        <f t="shared" si="152"/>
        <v>64.752600000000001</v>
      </c>
      <c r="BY65" s="471">
        <f t="shared" si="152"/>
        <v>52.874699999999997</v>
      </c>
      <c r="BZ65" s="561">
        <f t="shared" si="152"/>
        <v>11.8779</v>
      </c>
      <c r="CA65" s="874">
        <f t="shared" si="152"/>
        <v>0</v>
      </c>
      <c r="CB65" s="871">
        <f t="shared" si="152"/>
        <v>0</v>
      </c>
      <c r="CC65" s="871">
        <f t="shared" si="152"/>
        <v>0</v>
      </c>
      <c r="CD65" s="871">
        <f t="shared" si="152"/>
        <v>0</v>
      </c>
      <c r="CE65" s="871">
        <f t="shared" si="152"/>
        <v>0</v>
      </c>
      <c r="CF65" s="847">
        <f t="shared" si="152"/>
        <v>0</v>
      </c>
    </row>
    <row r="66" spans="1:84" ht="12.95" customHeight="1" x14ac:dyDescent="0.25">
      <c r="A66" s="282">
        <v>13</v>
      </c>
      <c r="B66" s="283">
        <v>4450</v>
      </c>
      <c r="C66" s="283">
        <v>650033841</v>
      </c>
      <c r="D66" s="283">
        <v>72744995</v>
      </c>
      <c r="E66" s="285" t="s">
        <v>332</v>
      </c>
      <c r="F66" s="283">
        <v>3111</v>
      </c>
      <c r="G66" s="286" t="s">
        <v>333</v>
      </c>
      <c r="H66" s="286" t="s">
        <v>271</v>
      </c>
      <c r="I66" s="598">
        <f t="shared" ref="I66:I71" si="153">J66+M66+P66+Q66+R66</f>
        <v>1593504</v>
      </c>
      <c r="J66" s="418">
        <f t="shared" si="21"/>
        <v>1178163</v>
      </c>
      <c r="K66" s="418">
        <v>1118259</v>
      </c>
      <c r="L66" s="418">
        <v>59904</v>
      </c>
      <c r="M66" s="418">
        <f t="shared" ref="M66:M71" si="154">N66+O66</f>
        <v>0</v>
      </c>
      <c r="N66" s="418">
        <v>0</v>
      </c>
      <c r="O66" s="418">
        <v>0</v>
      </c>
      <c r="P66" s="68">
        <f t="shared" ref="P66:P71" si="155">ROUND((J66+M66)*33.8%,0)</f>
        <v>398219</v>
      </c>
      <c r="Q66" s="68">
        <f t="shared" ref="Q66:Q71" si="156">ROUND(J66*1%,0)</f>
        <v>11782</v>
      </c>
      <c r="R66" s="418">
        <v>5340</v>
      </c>
      <c r="S66" s="419">
        <f t="shared" ref="S66:S71" si="157">T66+U66</f>
        <v>2.1755</v>
      </c>
      <c r="T66" s="420">
        <v>1.9355</v>
      </c>
      <c r="U66" s="707">
        <v>0.24</v>
      </c>
      <c r="V66" s="427">
        <f t="shared" ref="V66:W71" si="158">AI66*-1</f>
        <v>-7680</v>
      </c>
      <c r="W66" s="421">
        <f t="shared" si="158"/>
        <v>-3840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 t="shared" ref="AF66:AF71" si="159">V66+X66+Y66+AA66+AB66+AD66</f>
        <v>-7680</v>
      </c>
      <c r="AG66" s="421">
        <f t="shared" ref="AG66:AG71" si="160">W66+Z66+AC66+AE66</f>
        <v>-3840</v>
      </c>
      <c r="AH66" s="421">
        <f t="shared" ref="AH66:AH71" si="161">SUM(AF66:AG66)</f>
        <v>-11520</v>
      </c>
      <c r="AI66" s="421">
        <v>7680</v>
      </c>
      <c r="AJ66" s="421">
        <v>3840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ref="AO66:AO71" si="162">AI66+AK66+AL66+AM66</f>
        <v>7680</v>
      </c>
      <c r="AP66" s="421">
        <f t="shared" ref="AP66:AP71" si="163">AJ66+AN66</f>
        <v>3840</v>
      </c>
      <c r="AQ66" s="421">
        <f t="shared" ref="AQ66:AQ71" si="164">SUM(AO66:AP66)</f>
        <v>11520</v>
      </c>
      <c r="AR66" s="421">
        <f t="shared" ref="AR66:AS71" si="165">AF66+AO66</f>
        <v>0</v>
      </c>
      <c r="AS66" s="421">
        <f t="shared" si="165"/>
        <v>0</v>
      </c>
      <c r="AT66" s="421">
        <f t="shared" ref="AT66:AT71" si="166">SUM(AR66:AS66)</f>
        <v>0</v>
      </c>
      <c r="AU66" s="68">
        <f t="shared" ref="AU66:AU71" si="167">ROUND((AH66+AI66+AJ66+AK66+AL66)*33.8%,0)</f>
        <v>0</v>
      </c>
      <c r="AV66" s="68">
        <f t="shared" ref="AV66:AV71" si="168">ROUND(AH66*1%,0)</f>
        <v>-115</v>
      </c>
      <c r="AW66" s="421">
        <v>0</v>
      </c>
      <c r="AX66" s="421">
        <v>0</v>
      </c>
      <c r="AY66" s="421">
        <f t="shared" ref="AY66:AY71" si="169">AW66+AX66</f>
        <v>0</v>
      </c>
      <c r="AZ66" s="421">
        <f t="shared" ref="AZ66:AZ71" si="170">AT66+AU66+AV66+AY66</f>
        <v>-115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 t="shared" ref="BK66:BK71" si="171">BA66+BC66+BD66+BF66+BH66+BI66</f>
        <v>0</v>
      </c>
      <c r="BL66" s="422">
        <f t="shared" ref="BL66:BL71" si="172">BB66+BE66+BG66+BJ66</f>
        <v>0</v>
      </c>
      <c r="BM66" s="611">
        <f t="shared" ref="BM66:BM71" si="173">SUM(BK66:BL66)</f>
        <v>0</v>
      </c>
      <c r="BN66" s="428">
        <f t="shared" ref="BN66:BN71" si="174">I66+AZ66</f>
        <v>1593389</v>
      </c>
      <c r="BO66" s="421">
        <f t="shared" ref="BO66:BO71" si="175">J66+AH66</f>
        <v>1166643</v>
      </c>
      <c r="BP66" s="421">
        <f t="shared" ref="BP66:BQ71" si="176">K66+AF66</f>
        <v>1110579</v>
      </c>
      <c r="BQ66" s="421">
        <f t="shared" si="176"/>
        <v>56064</v>
      </c>
      <c r="BR66" s="421">
        <f t="shared" ref="BR66:BR71" si="177">M66+AQ66</f>
        <v>11520</v>
      </c>
      <c r="BS66" s="421">
        <f t="shared" ref="BS66:BT71" si="178">N66+AO66</f>
        <v>7680</v>
      </c>
      <c r="BT66" s="421">
        <f t="shared" si="178"/>
        <v>3840</v>
      </c>
      <c r="BU66" s="421">
        <f t="shared" ref="BU66:BV71" si="179">P66+AU66</f>
        <v>398219</v>
      </c>
      <c r="BV66" s="421">
        <f t="shared" si="179"/>
        <v>11667</v>
      </c>
      <c r="BW66" s="421">
        <f t="shared" ref="BW66:BW71" si="180">R66+AY66</f>
        <v>5340</v>
      </c>
      <c r="BX66" s="422">
        <f t="shared" ref="BX66:BX71" si="181">S66+BM66</f>
        <v>2.1755</v>
      </c>
      <c r="BY66" s="422">
        <f t="shared" ref="BY66:BZ71" si="182">T66+BK66</f>
        <v>1.9355</v>
      </c>
      <c r="BZ66" s="611">
        <f t="shared" si="182"/>
        <v>0.24</v>
      </c>
      <c r="CA66" s="423"/>
      <c r="CB66" s="418"/>
      <c r="CC66" s="418"/>
      <c r="CD66" s="418"/>
      <c r="CE66" s="418"/>
      <c r="CF66" s="527"/>
    </row>
    <row r="67" spans="1:84" ht="12.95" customHeight="1" x14ac:dyDescent="0.25">
      <c r="A67" s="282">
        <v>13</v>
      </c>
      <c r="B67" s="283">
        <v>4450</v>
      </c>
      <c r="C67" s="283">
        <v>650033841</v>
      </c>
      <c r="D67" s="283">
        <v>72744995</v>
      </c>
      <c r="E67" s="285" t="s">
        <v>332</v>
      </c>
      <c r="F67" s="283">
        <v>3117</v>
      </c>
      <c r="G67" s="286" t="s">
        <v>309</v>
      </c>
      <c r="H67" s="286" t="s">
        <v>271</v>
      </c>
      <c r="I67" s="598">
        <f t="shared" si="153"/>
        <v>3390250</v>
      </c>
      <c r="J67" s="418">
        <f t="shared" si="21"/>
        <v>2478909</v>
      </c>
      <c r="K67" s="418">
        <v>2197686</v>
      </c>
      <c r="L67" s="418">
        <v>281223</v>
      </c>
      <c r="M67" s="418">
        <f t="shared" si="154"/>
        <v>0</v>
      </c>
      <c r="N67" s="418">
        <v>0</v>
      </c>
      <c r="O67" s="418">
        <v>0</v>
      </c>
      <c r="P67" s="68">
        <f>ROUND((J67+M67)*33.8%,0)+1</f>
        <v>837872</v>
      </c>
      <c r="Q67" s="68">
        <f t="shared" si="156"/>
        <v>24789</v>
      </c>
      <c r="R67" s="418">
        <v>48680</v>
      </c>
      <c r="S67" s="419">
        <f t="shared" si="157"/>
        <v>4.2465999999999999</v>
      </c>
      <c r="T67" s="420">
        <v>3.5182000000000002</v>
      </c>
      <c r="U67" s="707">
        <v>0.72839999999999994</v>
      </c>
      <c r="V67" s="427">
        <f t="shared" si="158"/>
        <v>0</v>
      </c>
      <c r="W67" s="421">
        <f t="shared" si="158"/>
        <v>-3200</v>
      </c>
      <c r="X67" s="421">
        <v>0</v>
      </c>
      <c r="Y67" s="421">
        <v>0</v>
      </c>
      <c r="Z67" s="421">
        <v>0</v>
      </c>
      <c r="AA67" s="421">
        <v>0</v>
      </c>
      <c r="AB67" s="421">
        <v>0</v>
      </c>
      <c r="AC67" s="421">
        <v>0</v>
      </c>
      <c r="AD67" s="421">
        <v>0</v>
      </c>
      <c r="AE67" s="421">
        <v>0</v>
      </c>
      <c r="AF67" s="421">
        <f t="shared" si="159"/>
        <v>0</v>
      </c>
      <c r="AG67" s="421">
        <f t="shared" si="160"/>
        <v>-3200</v>
      </c>
      <c r="AH67" s="421">
        <f t="shared" si="161"/>
        <v>-3200</v>
      </c>
      <c r="AI67" s="421">
        <v>0</v>
      </c>
      <c r="AJ67" s="421">
        <v>3200</v>
      </c>
      <c r="AK67" s="421">
        <v>0</v>
      </c>
      <c r="AL67" s="421">
        <v>0</v>
      </c>
      <c r="AM67" s="421">
        <v>0</v>
      </c>
      <c r="AN67" s="421">
        <v>0</v>
      </c>
      <c r="AO67" s="421">
        <f t="shared" si="162"/>
        <v>0</v>
      </c>
      <c r="AP67" s="421">
        <f t="shared" si="163"/>
        <v>3200</v>
      </c>
      <c r="AQ67" s="421">
        <f t="shared" si="164"/>
        <v>3200</v>
      </c>
      <c r="AR67" s="421">
        <f t="shared" si="165"/>
        <v>0</v>
      </c>
      <c r="AS67" s="421">
        <f t="shared" si="165"/>
        <v>0</v>
      </c>
      <c r="AT67" s="421">
        <f t="shared" si="166"/>
        <v>0</v>
      </c>
      <c r="AU67" s="68">
        <f t="shared" si="167"/>
        <v>0</v>
      </c>
      <c r="AV67" s="68">
        <f t="shared" si="168"/>
        <v>-32</v>
      </c>
      <c r="AW67" s="421">
        <v>0</v>
      </c>
      <c r="AX67" s="421">
        <v>0</v>
      </c>
      <c r="AY67" s="421">
        <f t="shared" si="169"/>
        <v>0</v>
      </c>
      <c r="AZ67" s="421">
        <f t="shared" si="170"/>
        <v>-32</v>
      </c>
      <c r="BA67" s="422">
        <v>0</v>
      </c>
      <c r="BB67" s="422">
        <v>0</v>
      </c>
      <c r="BC67" s="422">
        <v>0</v>
      </c>
      <c r="BD67" s="422">
        <v>0</v>
      </c>
      <c r="BE67" s="422">
        <v>0</v>
      </c>
      <c r="BF67" s="422">
        <v>0</v>
      </c>
      <c r="BG67" s="422">
        <v>0</v>
      </c>
      <c r="BH67" s="422">
        <v>0</v>
      </c>
      <c r="BI67" s="422">
        <v>0</v>
      </c>
      <c r="BJ67" s="422">
        <v>0</v>
      </c>
      <c r="BK67" s="422">
        <f t="shared" si="171"/>
        <v>0</v>
      </c>
      <c r="BL67" s="422">
        <f t="shared" si="172"/>
        <v>0</v>
      </c>
      <c r="BM67" s="611">
        <f t="shared" si="173"/>
        <v>0</v>
      </c>
      <c r="BN67" s="428">
        <f t="shared" si="174"/>
        <v>3390218</v>
      </c>
      <c r="BO67" s="421">
        <f t="shared" si="175"/>
        <v>2475709</v>
      </c>
      <c r="BP67" s="421">
        <f t="shared" si="176"/>
        <v>2197686</v>
      </c>
      <c r="BQ67" s="421">
        <f t="shared" si="176"/>
        <v>278023</v>
      </c>
      <c r="BR67" s="421">
        <f t="shared" si="177"/>
        <v>3200</v>
      </c>
      <c r="BS67" s="421">
        <f t="shared" si="178"/>
        <v>0</v>
      </c>
      <c r="BT67" s="421">
        <f t="shared" si="178"/>
        <v>3200</v>
      </c>
      <c r="BU67" s="421">
        <f t="shared" si="179"/>
        <v>837872</v>
      </c>
      <c r="BV67" s="421">
        <f t="shared" si="179"/>
        <v>24757</v>
      </c>
      <c r="BW67" s="421">
        <f t="shared" si="180"/>
        <v>48680</v>
      </c>
      <c r="BX67" s="422">
        <f t="shared" si="181"/>
        <v>4.2465999999999999</v>
      </c>
      <c r="BY67" s="422">
        <f t="shared" si="182"/>
        <v>3.5182000000000002</v>
      </c>
      <c r="BZ67" s="611">
        <f t="shared" si="182"/>
        <v>0.72839999999999994</v>
      </c>
      <c r="CA67" s="423"/>
      <c r="CB67" s="418"/>
      <c r="CC67" s="418"/>
      <c r="CD67" s="418"/>
      <c r="CE67" s="418"/>
      <c r="CF67" s="527"/>
    </row>
    <row r="68" spans="1:84" ht="12.95" customHeight="1" x14ac:dyDescent="0.25">
      <c r="A68" s="282">
        <v>13</v>
      </c>
      <c r="B68" s="283">
        <v>4450</v>
      </c>
      <c r="C68" s="283">
        <v>650033841</v>
      </c>
      <c r="D68" s="283">
        <v>72744995</v>
      </c>
      <c r="E68" s="285" t="s">
        <v>332</v>
      </c>
      <c r="F68" s="283">
        <v>3117</v>
      </c>
      <c r="G68" s="286" t="s">
        <v>299</v>
      </c>
      <c r="H68" s="286" t="s">
        <v>272</v>
      </c>
      <c r="I68" s="598">
        <f t="shared" si="153"/>
        <v>0</v>
      </c>
      <c r="J68" s="418">
        <f t="shared" si="21"/>
        <v>0</v>
      </c>
      <c r="K68" s="418">
        <v>0</v>
      </c>
      <c r="L68" s="418">
        <v>0</v>
      </c>
      <c r="M68" s="418">
        <f t="shared" si="154"/>
        <v>0</v>
      </c>
      <c r="N68" s="418">
        <v>0</v>
      </c>
      <c r="O68" s="418">
        <v>0</v>
      </c>
      <c r="P68" s="68">
        <f t="shared" si="155"/>
        <v>0</v>
      </c>
      <c r="Q68" s="68">
        <f t="shared" si="156"/>
        <v>0</v>
      </c>
      <c r="R68" s="418">
        <v>0</v>
      </c>
      <c r="S68" s="419">
        <f t="shared" si="157"/>
        <v>0</v>
      </c>
      <c r="T68" s="420">
        <v>0</v>
      </c>
      <c r="U68" s="707">
        <v>0</v>
      </c>
      <c r="V68" s="427">
        <f t="shared" si="158"/>
        <v>0</v>
      </c>
      <c r="W68" s="421">
        <f t="shared" si="158"/>
        <v>0</v>
      </c>
      <c r="X68" s="421">
        <v>741603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si="159"/>
        <v>741603</v>
      </c>
      <c r="AG68" s="421">
        <f t="shared" si="160"/>
        <v>0</v>
      </c>
      <c r="AH68" s="421">
        <f t="shared" si="161"/>
        <v>741603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si="162"/>
        <v>0</v>
      </c>
      <c r="AP68" s="421">
        <f t="shared" si="163"/>
        <v>0</v>
      </c>
      <c r="AQ68" s="421">
        <f t="shared" si="164"/>
        <v>0</v>
      </c>
      <c r="AR68" s="421">
        <f t="shared" si="165"/>
        <v>741603</v>
      </c>
      <c r="AS68" s="421">
        <f t="shared" si="165"/>
        <v>0</v>
      </c>
      <c r="AT68" s="421">
        <f t="shared" si="166"/>
        <v>741603</v>
      </c>
      <c r="AU68" s="68">
        <f t="shared" si="167"/>
        <v>250662</v>
      </c>
      <c r="AV68" s="68">
        <f t="shared" si="168"/>
        <v>7416</v>
      </c>
      <c r="AW68" s="421">
        <f>6000+1500</f>
        <v>7500</v>
      </c>
      <c r="AX68" s="421">
        <v>0</v>
      </c>
      <c r="AY68" s="421">
        <f t="shared" si="169"/>
        <v>7500</v>
      </c>
      <c r="AZ68" s="421">
        <f t="shared" si="170"/>
        <v>1007181</v>
      </c>
      <c r="BA68" s="422">
        <v>0</v>
      </c>
      <c r="BB68" s="422">
        <v>0</v>
      </c>
      <c r="BC68" s="422">
        <v>2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 t="shared" si="171"/>
        <v>2</v>
      </c>
      <c r="BL68" s="422">
        <f t="shared" si="172"/>
        <v>0</v>
      </c>
      <c r="BM68" s="611">
        <f t="shared" si="173"/>
        <v>2</v>
      </c>
      <c r="BN68" s="428">
        <f t="shared" si="174"/>
        <v>1007181</v>
      </c>
      <c r="BO68" s="421">
        <f t="shared" si="175"/>
        <v>741603</v>
      </c>
      <c r="BP68" s="421">
        <f t="shared" si="176"/>
        <v>741603</v>
      </c>
      <c r="BQ68" s="421">
        <f t="shared" si="176"/>
        <v>0</v>
      </c>
      <c r="BR68" s="421">
        <f t="shared" si="177"/>
        <v>0</v>
      </c>
      <c r="BS68" s="421">
        <f t="shared" si="178"/>
        <v>0</v>
      </c>
      <c r="BT68" s="421">
        <f t="shared" si="178"/>
        <v>0</v>
      </c>
      <c r="BU68" s="421">
        <f t="shared" si="179"/>
        <v>250662</v>
      </c>
      <c r="BV68" s="421">
        <f t="shared" si="179"/>
        <v>7416</v>
      </c>
      <c r="BW68" s="421">
        <f t="shared" si="180"/>
        <v>7500</v>
      </c>
      <c r="BX68" s="422">
        <f t="shared" si="181"/>
        <v>2</v>
      </c>
      <c r="BY68" s="422">
        <f t="shared" si="182"/>
        <v>2</v>
      </c>
      <c r="BZ68" s="611">
        <f t="shared" si="182"/>
        <v>0</v>
      </c>
      <c r="CA68" s="423"/>
      <c r="CB68" s="418"/>
      <c r="CC68" s="418"/>
      <c r="CD68" s="418"/>
      <c r="CE68" s="418"/>
      <c r="CF68" s="527"/>
    </row>
    <row r="69" spans="1:84" ht="12.95" customHeight="1" x14ac:dyDescent="0.25">
      <c r="A69" s="282">
        <v>13</v>
      </c>
      <c r="B69" s="283">
        <v>4450</v>
      </c>
      <c r="C69" s="283">
        <v>650033841</v>
      </c>
      <c r="D69" s="283">
        <v>72744995</v>
      </c>
      <c r="E69" s="285" t="s">
        <v>332</v>
      </c>
      <c r="F69" s="283">
        <v>3141</v>
      </c>
      <c r="G69" s="286" t="s">
        <v>295</v>
      </c>
      <c r="H69" s="286" t="s">
        <v>272</v>
      </c>
      <c r="I69" s="598">
        <f t="shared" si="153"/>
        <v>202026</v>
      </c>
      <c r="J69" s="418">
        <f t="shared" si="21"/>
        <v>148966</v>
      </c>
      <c r="K69" s="418">
        <v>0</v>
      </c>
      <c r="L69" s="418">
        <v>148966</v>
      </c>
      <c r="M69" s="418">
        <f t="shared" si="154"/>
        <v>0</v>
      </c>
      <c r="N69" s="418">
        <v>0</v>
      </c>
      <c r="O69" s="418">
        <v>0</v>
      </c>
      <c r="P69" s="68">
        <f t="shared" si="155"/>
        <v>50351</v>
      </c>
      <c r="Q69" s="68">
        <f t="shared" si="156"/>
        <v>1490</v>
      </c>
      <c r="R69" s="418">
        <v>1219</v>
      </c>
      <c r="S69" s="419">
        <f t="shared" si="157"/>
        <v>0.44669999999999999</v>
      </c>
      <c r="T69" s="420">
        <v>0</v>
      </c>
      <c r="U69" s="707">
        <v>0.44669999999999999</v>
      </c>
      <c r="V69" s="427">
        <f t="shared" si="158"/>
        <v>0</v>
      </c>
      <c r="W69" s="421">
        <f t="shared" si="158"/>
        <v>-10240</v>
      </c>
      <c r="X69" s="421">
        <v>0</v>
      </c>
      <c r="Y69" s="421">
        <v>0</v>
      </c>
      <c r="Z69" s="421">
        <v>0</v>
      </c>
      <c r="AA69" s="421">
        <v>0</v>
      </c>
      <c r="AB69" s="421">
        <v>0</v>
      </c>
      <c r="AC69" s="421">
        <v>0</v>
      </c>
      <c r="AD69" s="421">
        <v>0</v>
      </c>
      <c r="AE69" s="421">
        <v>0</v>
      </c>
      <c r="AF69" s="421">
        <f t="shared" si="159"/>
        <v>0</v>
      </c>
      <c r="AG69" s="421">
        <f t="shared" si="160"/>
        <v>-10240</v>
      </c>
      <c r="AH69" s="421">
        <f t="shared" si="161"/>
        <v>-10240</v>
      </c>
      <c r="AI69" s="421">
        <v>0</v>
      </c>
      <c r="AJ69" s="421">
        <f>2560+7680</f>
        <v>10240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162"/>
        <v>0</v>
      </c>
      <c r="AP69" s="421">
        <f t="shared" si="163"/>
        <v>10240</v>
      </c>
      <c r="AQ69" s="421">
        <f t="shared" si="164"/>
        <v>10240</v>
      </c>
      <c r="AR69" s="421">
        <f t="shared" si="165"/>
        <v>0</v>
      </c>
      <c r="AS69" s="421">
        <f t="shared" si="165"/>
        <v>0</v>
      </c>
      <c r="AT69" s="421">
        <f t="shared" si="166"/>
        <v>0</v>
      </c>
      <c r="AU69" s="68">
        <f t="shared" si="167"/>
        <v>0</v>
      </c>
      <c r="AV69" s="68">
        <f t="shared" si="168"/>
        <v>-102</v>
      </c>
      <c r="AW69" s="421">
        <v>0</v>
      </c>
      <c r="AX69" s="421">
        <v>0</v>
      </c>
      <c r="AY69" s="421">
        <f t="shared" si="169"/>
        <v>0</v>
      </c>
      <c r="AZ69" s="421">
        <f t="shared" si="170"/>
        <v>-102</v>
      </c>
      <c r="BA69" s="422">
        <v>0</v>
      </c>
      <c r="BB69" s="422">
        <v>-0.02</v>
      </c>
      <c r="BC69" s="422">
        <v>0</v>
      </c>
      <c r="BD69" s="422">
        <v>0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 t="shared" si="171"/>
        <v>0</v>
      </c>
      <c r="BL69" s="422">
        <f t="shared" si="172"/>
        <v>-0.02</v>
      </c>
      <c r="BM69" s="611">
        <f t="shared" si="173"/>
        <v>-0.02</v>
      </c>
      <c r="BN69" s="428">
        <f t="shared" si="174"/>
        <v>201924</v>
      </c>
      <c r="BO69" s="421">
        <f t="shared" si="175"/>
        <v>138726</v>
      </c>
      <c r="BP69" s="421">
        <f t="shared" si="176"/>
        <v>0</v>
      </c>
      <c r="BQ69" s="421">
        <f t="shared" si="176"/>
        <v>138726</v>
      </c>
      <c r="BR69" s="421">
        <f t="shared" si="177"/>
        <v>10240</v>
      </c>
      <c r="BS69" s="421">
        <f t="shared" si="178"/>
        <v>0</v>
      </c>
      <c r="BT69" s="421">
        <f t="shared" si="178"/>
        <v>10240</v>
      </c>
      <c r="BU69" s="421">
        <f t="shared" si="179"/>
        <v>50351</v>
      </c>
      <c r="BV69" s="421">
        <f t="shared" si="179"/>
        <v>1388</v>
      </c>
      <c r="BW69" s="421">
        <f t="shared" si="180"/>
        <v>1219</v>
      </c>
      <c r="BX69" s="422">
        <f t="shared" si="181"/>
        <v>0.42669999999999997</v>
      </c>
      <c r="BY69" s="422">
        <f t="shared" si="182"/>
        <v>0</v>
      </c>
      <c r="BZ69" s="611">
        <f t="shared" si="182"/>
        <v>0.42669999999999997</v>
      </c>
      <c r="CA69" s="423"/>
      <c r="CB69" s="418"/>
      <c r="CC69" s="418"/>
      <c r="CD69" s="418"/>
      <c r="CE69" s="418"/>
      <c r="CF69" s="527"/>
    </row>
    <row r="70" spans="1:84" ht="12.95" customHeight="1" x14ac:dyDescent="0.25">
      <c r="A70" s="282">
        <v>13</v>
      </c>
      <c r="B70" s="283">
        <v>4450</v>
      </c>
      <c r="C70" s="283">
        <v>650033841</v>
      </c>
      <c r="D70" s="283">
        <v>72744995</v>
      </c>
      <c r="E70" s="285" t="s">
        <v>332</v>
      </c>
      <c r="F70" s="283">
        <v>3143</v>
      </c>
      <c r="G70" s="286" t="s">
        <v>596</v>
      </c>
      <c r="H70" s="286" t="s">
        <v>271</v>
      </c>
      <c r="I70" s="598">
        <f t="shared" si="153"/>
        <v>434878</v>
      </c>
      <c r="J70" s="418">
        <f t="shared" si="21"/>
        <v>322610</v>
      </c>
      <c r="K70" s="418">
        <v>322610</v>
      </c>
      <c r="L70" s="418"/>
      <c r="M70" s="418">
        <f t="shared" si="154"/>
        <v>0</v>
      </c>
      <c r="N70" s="418">
        <v>0</v>
      </c>
      <c r="O70" s="418">
        <v>0</v>
      </c>
      <c r="P70" s="68">
        <f t="shared" si="155"/>
        <v>109042</v>
      </c>
      <c r="Q70" s="68">
        <f t="shared" si="156"/>
        <v>3226</v>
      </c>
      <c r="R70" s="418">
        <v>0</v>
      </c>
      <c r="S70" s="419">
        <f t="shared" si="157"/>
        <v>0.66659999999999997</v>
      </c>
      <c r="T70" s="420">
        <v>0.66659999999999997</v>
      </c>
      <c r="U70" s="707">
        <v>0</v>
      </c>
      <c r="V70" s="427">
        <f t="shared" si="158"/>
        <v>0</v>
      </c>
      <c r="W70" s="421">
        <f t="shared" si="158"/>
        <v>0</v>
      </c>
      <c r="X70" s="421">
        <v>0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 t="shared" si="159"/>
        <v>0</v>
      </c>
      <c r="AG70" s="421">
        <f t="shared" si="160"/>
        <v>0</v>
      </c>
      <c r="AH70" s="421">
        <f t="shared" si="161"/>
        <v>0</v>
      </c>
      <c r="AI70" s="421">
        <v>0</v>
      </c>
      <c r="AJ70" s="421">
        <v>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162"/>
        <v>0</v>
      </c>
      <c r="AP70" s="421">
        <f t="shared" si="163"/>
        <v>0</v>
      </c>
      <c r="AQ70" s="421">
        <f t="shared" si="164"/>
        <v>0</v>
      </c>
      <c r="AR70" s="421">
        <f t="shared" si="165"/>
        <v>0</v>
      </c>
      <c r="AS70" s="421">
        <f t="shared" si="165"/>
        <v>0</v>
      </c>
      <c r="AT70" s="421">
        <f t="shared" si="166"/>
        <v>0</v>
      </c>
      <c r="AU70" s="68">
        <f t="shared" si="167"/>
        <v>0</v>
      </c>
      <c r="AV70" s="68">
        <f t="shared" si="168"/>
        <v>0</v>
      </c>
      <c r="AW70" s="421">
        <v>0</v>
      </c>
      <c r="AX70" s="421">
        <v>0</v>
      </c>
      <c r="AY70" s="421">
        <f t="shared" si="169"/>
        <v>0</v>
      </c>
      <c r="AZ70" s="421">
        <f t="shared" si="170"/>
        <v>0</v>
      </c>
      <c r="BA70" s="422">
        <v>0</v>
      </c>
      <c r="BB70" s="422">
        <v>0</v>
      </c>
      <c r="BC70" s="422">
        <v>0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 t="shared" si="171"/>
        <v>0</v>
      </c>
      <c r="BL70" s="422">
        <f t="shared" si="172"/>
        <v>0</v>
      </c>
      <c r="BM70" s="611">
        <f t="shared" si="173"/>
        <v>0</v>
      </c>
      <c r="BN70" s="428">
        <f t="shared" si="174"/>
        <v>434878</v>
      </c>
      <c r="BO70" s="421">
        <f t="shared" si="175"/>
        <v>322610</v>
      </c>
      <c r="BP70" s="421">
        <f t="shared" si="176"/>
        <v>322610</v>
      </c>
      <c r="BQ70" s="421">
        <f t="shared" si="176"/>
        <v>0</v>
      </c>
      <c r="BR70" s="421">
        <f t="shared" si="177"/>
        <v>0</v>
      </c>
      <c r="BS70" s="421">
        <f t="shared" si="178"/>
        <v>0</v>
      </c>
      <c r="BT70" s="421">
        <f t="shared" si="178"/>
        <v>0</v>
      </c>
      <c r="BU70" s="421">
        <f t="shared" si="179"/>
        <v>109042</v>
      </c>
      <c r="BV70" s="421">
        <f t="shared" si="179"/>
        <v>3226</v>
      </c>
      <c r="BW70" s="421">
        <f t="shared" si="180"/>
        <v>0</v>
      </c>
      <c r="BX70" s="422">
        <f t="shared" si="181"/>
        <v>0.66659999999999997</v>
      </c>
      <c r="BY70" s="422">
        <f t="shared" si="182"/>
        <v>0.66659999999999997</v>
      </c>
      <c r="BZ70" s="611">
        <f t="shared" si="182"/>
        <v>0</v>
      </c>
      <c r="CA70" s="423"/>
      <c r="CB70" s="418"/>
      <c r="CC70" s="418"/>
      <c r="CD70" s="418"/>
      <c r="CE70" s="418"/>
      <c r="CF70" s="527"/>
    </row>
    <row r="71" spans="1:84" ht="12.95" customHeight="1" x14ac:dyDescent="0.25">
      <c r="A71" s="282">
        <v>13</v>
      </c>
      <c r="B71" s="283">
        <v>4450</v>
      </c>
      <c r="C71" s="283">
        <v>650033841</v>
      </c>
      <c r="D71" s="283">
        <v>72744995</v>
      </c>
      <c r="E71" s="285" t="s">
        <v>332</v>
      </c>
      <c r="F71" s="283">
        <v>3143</v>
      </c>
      <c r="G71" s="286" t="s">
        <v>597</v>
      </c>
      <c r="H71" s="286" t="s">
        <v>272</v>
      </c>
      <c r="I71" s="598">
        <f t="shared" si="153"/>
        <v>10770</v>
      </c>
      <c r="J71" s="418">
        <f t="shared" si="21"/>
        <v>7709</v>
      </c>
      <c r="K71" s="418">
        <v>0</v>
      </c>
      <c r="L71" s="418">
        <v>7709</v>
      </c>
      <c r="M71" s="418">
        <f t="shared" si="154"/>
        <v>0</v>
      </c>
      <c r="N71" s="418">
        <v>0</v>
      </c>
      <c r="O71" s="418">
        <v>0</v>
      </c>
      <c r="P71" s="68">
        <f t="shared" si="155"/>
        <v>2606</v>
      </c>
      <c r="Q71" s="68">
        <f t="shared" si="156"/>
        <v>77</v>
      </c>
      <c r="R71" s="418">
        <v>378</v>
      </c>
      <c r="S71" s="419">
        <f t="shared" si="157"/>
        <v>2.92E-2</v>
      </c>
      <c r="T71" s="420">
        <v>0</v>
      </c>
      <c r="U71" s="707">
        <v>2.92E-2</v>
      </c>
      <c r="V71" s="427">
        <f t="shared" si="158"/>
        <v>0</v>
      </c>
      <c r="W71" s="421">
        <f t="shared" si="158"/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159"/>
        <v>0</v>
      </c>
      <c r="AG71" s="421">
        <f t="shared" si="160"/>
        <v>0</v>
      </c>
      <c r="AH71" s="421">
        <f t="shared" si="161"/>
        <v>0</v>
      </c>
      <c r="AI71" s="421">
        <v>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162"/>
        <v>0</v>
      </c>
      <c r="AP71" s="421">
        <f t="shared" si="163"/>
        <v>0</v>
      </c>
      <c r="AQ71" s="421">
        <f t="shared" si="164"/>
        <v>0</v>
      </c>
      <c r="AR71" s="421">
        <f t="shared" si="165"/>
        <v>0</v>
      </c>
      <c r="AS71" s="421">
        <f t="shared" si="165"/>
        <v>0</v>
      </c>
      <c r="AT71" s="421">
        <f t="shared" si="166"/>
        <v>0</v>
      </c>
      <c r="AU71" s="68">
        <f t="shared" si="167"/>
        <v>0</v>
      </c>
      <c r="AV71" s="68">
        <f t="shared" si="168"/>
        <v>0</v>
      </c>
      <c r="AW71" s="421">
        <v>0</v>
      </c>
      <c r="AX71" s="421">
        <v>0</v>
      </c>
      <c r="AY71" s="421">
        <f t="shared" si="169"/>
        <v>0</v>
      </c>
      <c r="AZ71" s="421">
        <f t="shared" si="170"/>
        <v>0</v>
      </c>
      <c r="BA71" s="422">
        <v>0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 t="shared" si="171"/>
        <v>0</v>
      </c>
      <c r="BL71" s="422">
        <f t="shared" si="172"/>
        <v>0</v>
      </c>
      <c r="BM71" s="611">
        <f t="shared" si="173"/>
        <v>0</v>
      </c>
      <c r="BN71" s="428">
        <f t="shared" si="174"/>
        <v>10770</v>
      </c>
      <c r="BO71" s="421">
        <f t="shared" si="175"/>
        <v>7709</v>
      </c>
      <c r="BP71" s="421">
        <f t="shared" si="176"/>
        <v>0</v>
      </c>
      <c r="BQ71" s="421">
        <f t="shared" si="176"/>
        <v>7709</v>
      </c>
      <c r="BR71" s="421">
        <f t="shared" si="177"/>
        <v>0</v>
      </c>
      <c r="BS71" s="421">
        <f t="shared" si="178"/>
        <v>0</v>
      </c>
      <c r="BT71" s="421">
        <f t="shared" si="178"/>
        <v>0</v>
      </c>
      <c r="BU71" s="421">
        <f t="shared" si="179"/>
        <v>2606</v>
      </c>
      <c r="BV71" s="421">
        <f t="shared" si="179"/>
        <v>77</v>
      </c>
      <c r="BW71" s="421">
        <f t="shared" si="180"/>
        <v>378</v>
      </c>
      <c r="BX71" s="422">
        <f t="shared" si="181"/>
        <v>2.92E-2</v>
      </c>
      <c r="BY71" s="422">
        <f t="shared" si="182"/>
        <v>0</v>
      </c>
      <c r="BZ71" s="611">
        <f t="shared" si="182"/>
        <v>2.92E-2</v>
      </c>
      <c r="CA71" s="423"/>
      <c r="CB71" s="418"/>
      <c r="CC71" s="418"/>
      <c r="CD71" s="418"/>
      <c r="CE71" s="418"/>
      <c r="CF71" s="527"/>
    </row>
    <row r="72" spans="1:84" ht="12.95" customHeight="1" x14ac:dyDescent="0.25">
      <c r="A72" s="275">
        <v>13</v>
      </c>
      <c r="B72" s="277">
        <v>4450</v>
      </c>
      <c r="C72" s="277">
        <v>650033841</v>
      </c>
      <c r="D72" s="277">
        <v>72744995</v>
      </c>
      <c r="E72" s="290" t="s">
        <v>334</v>
      </c>
      <c r="F72" s="293"/>
      <c r="G72" s="294"/>
      <c r="H72" s="294"/>
      <c r="I72" s="473">
        <f t="shared" ref="I72:BT72" si="183">SUM(I66:I71)</f>
        <v>5631428</v>
      </c>
      <c r="J72" s="470">
        <f t="shared" si="183"/>
        <v>4136357</v>
      </c>
      <c r="K72" s="470">
        <f t="shared" si="183"/>
        <v>3638555</v>
      </c>
      <c r="L72" s="470">
        <f t="shared" si="183"/>
        <v>497802</v>
      </c>
      <c r="M72" s="470">
        <f t="shared" si="183"/>
        <v>0</v>
      </c>
      <c r="N72" s="470">
        <f t="shared" si="183"/>
        <v>0</v>
      </c>
      <c r="O72" s="470">
        <f t="shared" si="183"/>
        <v>0</v>
      </c>
      <c r="P72" s="470">
        <f t="shared" si="183"/>
        <v>1398090</v>
      </c>
      <c r="Q72" s="470">
        <f t="shared" si="183"/>
        <v>41364</v>
      </c>
      <c r="R72" s="470">
        <f t="shared" si="183"/>
        <v>55617</v>
      </c>
      <c r="S72" s="471">
        <f t="shared" si="183"/>
        <v>7.5646000000000004</v>
      </c>
      <c r="T72" s="471">
        <f t="shared" si="183"/>
        <v>6.1203000000000003</v>
      </c>
      <c r="U72" s="292">
        <f t="shared" si="183"/>
        <v>1.4442999999999997</v>
      </c>
      <c r="V72" s="475">
        <f t="shared" si="183"/>
        <v>-7680</v>
      </c>
      <c r="W72" s="470">
        <f t="shared" si="183"/>
        <v>-17280</v>
      </c>
      <c r="X72" s="470">
        <f t="shared" si="183"/>
        <v>741603</v>
      </c>
      <c r="Y72" s="470">
        <f t="shared" si="183"/>
        <v>0</v>
      </c>
      <c r="Z72" s="470">
        <f t="shared" si="183"/>
        <v>0</v>
      </c>
      <c r="AA72" s="470">
        <f t="shared" si="183"/>
        <v>0</v>
      </c>
      <c r="AB72" s="470">
        <f t="shared" si="183"/>
        <v>0</v>
      </c>
      <c r="AC72" s="470">
        <f t="shared" si="183"/>
        <v>0</v>
      </c>
      <c r="AD72" s="470">
        <f t="shared" si="183"/>
        <v>0</v>
      </c>
      <c r="AE72" s="470">
        <f t="shared" si="183"/>
        <v>0</v>
      </c>
      <c r="AF72" s="470">
        <f t="shared" si="183"/>
        <v>733923</v>
      </c>
      <c r="AG72" s="470">
        <f t="shared" si="183"/>
        <v>-17280</v>
      </c>
      <c r="AH72" s="470">
        <f t="shared" si="183"/>
        <v>716643</v>
      </c>
      <c r="AI72" s="470">
        <f t="shared" si="183"/>
        <v>7680</v>
      </c>
      <c r="AJ72" s="470">
        <f t="shared" si="183"/>
        <v>17280</v>
      </c>
      <c r="AK72" s="470">
        <f t="shared" ref="AK72" si="184">SUM(AK66:AK71)</f>
        <v>0</v>
      </c>
      <c r="AL72" s="470">
        <f t="shared" si="183"/>
        <v>0</v>
      </c>
      <c r="AM72" s="470">
        <f t="shared" si="183"/>
        <v>0</v>
      </c>
      <c r="AN72" s="470">
        <f t="shared" si="183"/>
        <v>0</v>
      </c>
      <c r="AO72" s="470">
        <f t="shared" si="183"/>
        <v>7680</v>
      </c>
      <c r="AP72" s="470">
        <f t="shared" si="183"/>
        <v>17280</v>
      </c>
      <c r="AQ72" s="470">
        <f t="shared" si="183"/>
        <v>24960</v>
      </c>
      <c r="AR72" s="470">
        <f t="shared" si="183"/>
        <v>741603</v>
      </c>
      <c r="AS72" s="470">
        <f t="shared" si="183"/>
        <v>0</v>
      </c>
      <c r="AT72" s="470">
        <f t="shared" si="183"/>
        <v>741603</v>
      </c>
      <c r="AU72" s="470">
        <f t="shared" si="183"/>
        <v>250662</v>
      </c>
      <c r="AV72" s="470">
        <f t="shared" si="183"/>
        <v>7167</v>
      </c>
      <c r="AW72" s="470">
        <f t="shared" si="183"/>
        <v>7500</v>
      </c>
      <c r="AX72" s="470">
        <f t="shared" si="183"/>
        <v>0</v>
      </c>
      <c r="AY72" s="470">
        <f t="shared" si="183"/>
        <v>7500</v>
      </c>
      <c r="AZ72" s="470">
        <f t="shared" si="183"/>
        <v>1006932</v>
      </c>
      <c r="BA72" s="471">
        <f t="shared" si="183"/>
        <v>0</v>
      </c>
      <c r="BB72" s="471">
        <f t="shared" si="183"/>
        <v>-0.02</v>
      </c>
      <c r="BC72" s="471">
        <f t="shared" si="183"/>
        <v>2</v>
      </c>
      <c r="BD72" s="471">
        <f t="shared" si="183"/>
        <v>0</v>
      </c>
      <c r="BE72" s="471">
        <f t="shared" si="183"/>
        <v>0</v>
      </c>
      <c r="BF72" s="471">
        <f t="shared" si="183"/>
        <v>0</v>
      </c>
      <c r="BG72" s="471">
        <f t="shared" si="183"/>
        <v>0</v>
      </c>
      <c r="BH72" s="471">
        <f t="shared" si="183"/>
        <v>0</v>
      </c>
      <c r="BI72" s="471">
        <f t="shared" si="183"/>
        <v>0</v>
      </c>
      <c r="BJ72" s="471">
        <f t="shared" si="183"/>
        <v>0</v>
      </c>
      <c r="BK72" s="471">
        <f t="shared" si="183"/>
        <v>2</v>
      </c>
      <c r="BL72" s="471">
        <f t="shared" si="183"/>
        <v>-0.02</v>
      </c>
      <c r="BM72" s="561">
        <f t="shared" si="183"/>
        <v>1.98</v>
      </c>
      <c r="BN72" s="473">
        <f t="shared" si="183"/>
        <v>6638360</v>
      </c>
      <c r="BO72" s="470">
        <f t="shared" si="183"/>
        <v>4853000</v>
      </c>
      <c r="BP72" s="470">
        <f t="shared" si="183"/>
        <v>4372478</v>
      </c>
      <c r="BQ72" s="470">
        <f t="shared" si="183"/>
        <v>480522</v>
      </c>
      <c r="BR72" s="470">
        <f t="shared" si="183"/>
        <v>24960</v>
      </c>
      <c r="BS72" s="470">
        <f t="shared" si="183"/>
        <v>7680</v>
      </c>
      <c r="BT72" s="470">
        <f t="shared" si="183"/>
        <v>17280</v>
      </c>
      <c r="BU72" s="470">
        <f t="shared" ref="BU72:CF72" si="185">SUM(BU66:BU71)</f>
        <v>1648752</v>
      </c>
      <c r="BV72" s="470">
        <f t="shared" si="185"/>
        <v>48531</v>
      </c>
      <c r="BW72" s="470">
        <f t="shared" si="185"/>
        <v>63117</v>
      </c>
      <c r="BX72" s="471">
        <f t="shared" si="185"/>
        <v>9.5446000000000009</v>
      </c>
      <c r="BY72" s="471">
        <f t="shared" si="185"/>
        <v>8.1203000000000003</v>
      </c>
      <c r="BZ72" s="561">
        <f t="shared" si="185"/>
        <v>1.4242999999999997</v>
      </c>
      <c r="CA72" s="874">
        <f t="shared" si="185"/>
        <v>0</v>
      </c>
      <c r="CB72" s="871">
        <f t="shared" si="185"/>
        <v>0</v>
      </c>
      <c r="CC72" s="871">
        <f t="shared" si="185"/>
        <v>0</v>
      </c>
      <c r="CD72" s="871">
        <f t="shared" si="185"/>
        <v>0</v>
      </c>
      <c r="CE72" s="871">
        <f t="shared" si="185"/>
        <v>0</v>
      </c>
      <c r="CF72" s="847">
        <f t="shared" si="185"/>
        <v>0</v>
      </c>
    </row>
    <row r="73" spans="1:84" ht="12.95" customHeight="1" x14ac:dyDescent="0.25">
      <c r="A73" s="282">
        <v>14</v>
      </c>
      <c r="B73" s="283">
        <v>4430</v>
      </c>
      <c r="C73" s="283">
        <v>600074862</v>
      </c>
      <c r="D73" s="283">
        <v>70695024</v>
      </c>
      <c r="E73" s="285" t="s">
        <v>335</v>
      </c>
      <c r="F73" s="283">
        <v>3111</v>
      </c>
      <c r="G73" s="286" t="s">
        <v>333</v>
      </c>
      <c r="H73" s="286" t="s">
        <v>271</v>
      </c>
      <c r="I73" s="598">
        <f t="shared" ref="I73:I78" si="186">J73+M73+P73+Q73+R73</f>
        <v>1638518</v>
      </c>
      <c r="J73" s="418">
        <f t="shared" si="21"/>
        <v>1210764</v>
      </c>
      <c r="K73" s="418">
        <v>1144196</v>
      </c>
      <c r="L73" s="418">
        <v>66568</v>
      </c>
      <c r="M73" s="418">
        <f t="shared" ref="M73:M78" si="187">N73+O73</f>
        <v>0</v>
      </c>
      <c r="N73" s="418">
        <v>0</v>
      </c>
      <c r="O73" s="418">
        <v>0</v>
      </c>
      <c r="P73" s="68">
        <f t="shared" ref="P73:P78" si="188">ROUND((J73+M73)*33.8%,0)</f>
        <v>409238</v>
      </c>
      <c r="Q73" s="68">
        <f t="shared" ref="Q73:Q78" si="189">ROUND(J73*1%,0)</f>
        <v>12108</v>
      </c>
      <c r="R73" s="418">
        <v>6408</v>
      </c>
      <c r="S73" s="419">
        <f t="shared" ref="S73:S78" si="190">T73+U73</f>
        <v>2.2667000000000002</v>
      </c>
      <c r="T73" s="420">
        <v>2</v>
      </c>
      <c r="U73" s="707">
        <v>0.26669999999999999</v>
      </c>
      <c r="V73" s="427">
        <f t="shared" ref="V73:W78" si="191">AI73*-1</f>
        <v>0</v>
      </c>
      <c r="W73" s="421">
        <f t="shared" si="191"/>
        <v>0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 t="shared" ref="AF73:AF78" si="192">V73+X73+Y73+AA73+AB73+AD73</f>
        <v>0</v>
      </c>
      <c r="AG73" s="421">
        <f t="shared" ref="AG73:AG78" si="193">W73+Z73+AC73+AE73</f>
        <v>0</v>
      </c>
      <c r="AH73" s="421">
        <f t="shared" ref="AH73:AH78" si="194">SUM(AF73:AG73)</f>
        <v>0</v>
      </c>
      <c r="AI73" s="421">
        <v>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ref="AO73:AO78" si="195">AI73+AK73+AL73+AM73</f>
        <v>0</v>
      </c>
      <c r="AP73" s="421">
        <f t="shared" ref="AP73:AP78" si="196">AJ73+AN73</f>
        <v>0</v>
      </c>
      <c r="AQ73" s="421">
        <f t="shared" ref="AQ73:AQ78" si="197">SUM(AO73:AP73)</f>
        <v>0</v>
      </c>
      <c r="AR73" s="421">
        <f t="shared" ref="AR73:AS78" si="198">AF73+AO73</f>
        <v>0</v>
      </c>
      <c r="AS73" s="421">
        <f t="shared" si="198"/>
        <v>0</v>
      </c>
      <c r="AT73" s="421">
        <f t="shared" ref="AT73:AT78" si="199">SUM(AR73:AS73)</f>
        <v>0</v>
      </c>
      <c r="AU73" s="68">
        <f t="shared" ref="AU73:AU78" si="200">ROUND((AH73+AI73+AJ73+AK73+AL73)*33.8%,0)</f>
        <v>0</v>
      </c>
      <c r="AV73" s="68">
        <f t="shared" ref="AV73:AV78" si="201">ROUND(AH73*1%,0)</f>
        <v>0</v>
      </c>
      <c r="AW73" s="421">
        <v>0</v>
      </c>
      <c r="AX73" s="421">
        <v>0</v>
      </c>
      <c r="AY73" s="421">
        <f t="shared" ref="AY73:AY78" si="202">AW73+AX73</f>
        <v>0</v>
      </c>
      <c r="AZ73" s="421">
        <f t="shared" ref="AZ73:AZ78" si="203">AT73+AU73+AV73+AY73</f>
        <v>0</v>
      </c>
      <c r="BA73" s="422">
        <v>0</v>
      </c>
      <c r="BB73" s="422">
        <v>0</v>
      </c>
      <c r="BC73" s="422">
        <v>0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 t="shared" ref="BK73:BK78" si="204">BA73+BC73+BD73+BF73+BH73+BI73</f>
        <v>0</v>
      </c>
      <c r="BL73" s="422">
        <f t="shared" ref="BL73:BL78" si="205">BB73+BE73+BG73+BJ73</f>
        <v>0</v>
      </c>
      <c r="BM73" s="611">
        <f t="shared" ref="BM73:BM78" si="206">SUM(BK73:BL73)</f>
        <v>0</v>
      </c>
      <c r="BN73" s="428">
        <f t="shared" ref="BN73:BN78" si="207">I73+AZ73</f>
        <v>1638518</v>
      </c>
      <c r="BO73" s="421">
        <f t="shared" ref="BO73:BO78" si="208">J73+AH73</f>
        <v>1210764</v>
      </c>
      <c r="BP73" s="421">
        <f t="shared" ref="BP73:BQ78" si="209">K73+AF73</f>
        <v>1144196</v>
      </c>
      <c r="BQ73" s="421">
        <f t="shared" si="209"/>
        <v>66568</v>
      </c>
      <c r="BR73" s="421">
        <f t="shared" ref="BR73:BR78" si="210">M73+AQ73</f>
        <v>0</v>
      </c>
      <c r="BS73" s="421">
        <f t="shared" ref="BS73:BT78" si="211">N73+AO73</f>
        <v>0</v>
      </c>
      <c r="BT73" s="421">
        <f t="shared" si="211"/>
        <v>0</v>
      </c>
      <c r="BU73" s="421">
        <f t="shared" ref="BU73:BV78" si="212">P73+AU73</f>
        <v>409238</v>
      </c>
      <c r="BV73" s="421">
        <f t="shared" si="212"/>
        <v>12108</v>
      </c>
      <c r="BW73" s="421">
        <f t="shared" ref="BW73:BW78" si="213">R73+AY73</f>
        <v>6408</v>
      </c>
      <c r="BX73" s="422">
        <f t="shared" ref="BX73:BX78" si="214">S73+BM73</f>
        <v>2.2667000000000002</v>
      </c>
      <c r="BY73" s="422">
        <f t="shared" ref="BY73:BZ78" si="215">T73+BK73</f>
        <v>2</v>
      </c>
      <c r="BZ73" s="611">
        <f t="shared" si="215"/>
        <v>0.26669999999999999</v>
      </c>
      <c r="CA73" s="423"/>
      <c r="CB73" s="418"/>
      <c r="CC73" s="418"/>
      <c r="CD73" s="418"/>
      <c r="CE73" s="418"/>
      <c r="CF73" s="527"/>
    </row>
    <row r="74" spans="1:84" ht="12.95" customHeight="1" x14ac:dyDescent="0.25">
      <c r="A74" s="282">
        <v>14</v>
      </c>
      <c r="B74" s="283">
        <v>4430</v>
      </c>
      <c r="C74" s="283">
        <v>600074862</v>
      </c>
      <c r="D74" s="283">
        <v>70695024</v>
      </c>
      <c r="E74" s="285" t="s">
        <v>335</v>
      </c>
      <c r="F74" s="283">
        <v>3117</v>
      </c>
      <c r="G74" s="286" t="s">
        <v>294</v>
      </c>
      <c r="H74" s="286" t="s">
        <v>271</v>
      </c>
      <c r="I74" s="598">
        <f t="shared" si="186"/>
        <v>2778151</v>
      </c>
      <c r="J74" s="418">
        <f t="shared" si="21"/>
        <v>2038372</v>
      </c>
      <c r="K74" s="418">
        <v>1833077</v>
      </c>
      <c r="L74" s="418">
        <v>205295</v>
      </c>
      <c r="M74" s="418">
        <f t="shared" si="187"/>
        <v>0</v>
      </c>
      <c r="N74" s="418">
        <v>0</v>
      </c>
      <c r="O74" s="418">
        <v>0</v>
      </c>
      <c r="P74" s="68">
        <f t="shared" si="188"/>
        <v>688970</v>
      </c>
      <c r="Q74" s="68">
        <f t="shared" si="189"/>
        <v>20384</v>
      </c>
      <c r="R74" s="418">
        <v>30425</v>
      </c>
      <c r="S74" s="419">
        <f t="shared" si="190"/>
        <v>3.5137</v>
      </c>
      <c r="T74" s="420">
        <v>2.9805000000000001</v>
      </c>
      <c r="U74" s="707">
        <v>0.53320000000000001</v>
      </c>
      <c r="V74" s="427">
        <f t="shared" si="191"/>
        <v>0</v>
      </c>
      <c r="W74" s="421">
        <f t="shared" si="191"/>
        <v>0</v>
      </c>
      <c r="X74" s="421">
        <v>0</v>
      </c>
      <c r="Y74" s="421">
        <v>0</v>
      </c>
      <c r="Z74" s="421">
        <v>0</v>
      </c>
      <c r="AA74" s="421">
        <v>0</v>
      </c>
      <c r="AB74" s="421">
        <v>0</v>
      </c>
      <c r="AC74" s="421">
        <v>0</v>
      </c>
      <c r="AD74" s="421">
        <v>0</v>
      </c>
      <c r="AE74" s="421">
        <v>0</v>
      </c>
      <c r="AF74" s="421">
        <f t="shared" si="192"/>
        <v>0</v>
      </c>
      <c r="AG74" s="421">
        <f t="shared" si="193"/>
        <v>0</v>
      </c>
      <c r="AH74" s="421">
        <f t="shared" si="194"/>
        <v>0</v>
      </c>
      <c r="AI74" s="421">
        <v>0</v>
      </c>
      <c r="AJ74" s="421">
        <v>0</v>
      </c>
      <c r="AK74" s="421">
        <v>0</v>
      </c>
      <c r="AL74" s="421">
        <v>0</v>
      </c>
      <c r="AM74" s="421">
        <v>0</v>
      </c>
      <c r="AN74" s="421">
        <v>0</v>
      </c>
      <c r="AO74" s="421">
        <f t="shared" si="195"/>
        <v>0</v>
      </c>
      <c r="AP74" s="421">
        <f t="shared" si="196"/>
        <v>0</v>
      </c>
      <c r="AQ74" s="421">
        <f t="shared" si="197"/>
        <v>0</v>
      </c>
      <c r="AR74" s="421">
        <f t="shared" si="198"/>
        <v>0</v>
      </c>
      <c r="AS74" s="421">
        <f t="shared" si="198"/>
        <v>0</v>
      </c>
      <c r="AT74" s="421">
        <f t="shared" si="199"/>
        <v>0</v>
      </c>
      <c r="AU74" s="68">
        <f t="shared" si="200"/>
        <v>0</v>
      </c>
      <c r="AV74" s="68">
        <f t="shared" si="201"/>
        <v>0</v>
      </c>
      <c r="AW74" s="421">
        <v>0</v>
      </c>
      <c r="AX74" s="421">
        <v>0</v>
      </c>
      <c r="AY74" s="421">
        <f t="shared" si="202"/>
        <v>0</v>
      </c>
      <c r="AZ74" s="421">
        <f t="shared" si="203"/>
        <v>0</v>
      </c>
      <c r="BA74" s="422">
        <v>0</v>
      </c>
      <c r="BB74" s="422">
        <v>0</v>
      </c>
      <c r="BC74" s="422">
        <v>0</v>
      </c>
      <c r="BD74" s="422">
        <v>0</v>
      </c>
      <c r="BE74" s="422">
        <v>0</v>
      </c>
      <c r="BF74" s="422">
        <v>0</v>
      </c>
      <c r="BG74" s="422">
        <v>0</v>
      </c>
      <c r="BH74" s="422">
        <v>0</v>
      </c>
      <c r="BI74" s="422">
        <v>0</v>
      </c>
      <c r="BJ74" s="422">
        <v>0</v>
      </c>
      <c r="BK74" s="422">
        <f t="shared" si="204"/>
        <v>0</v>
      </c>
      <c r="BL74" s="422">
        <f t="shared" si="205"/>
        <v>0</v>
      </c>
      <c r="BM74" s="611">
        <f t="shared" si="206"/>
        <v>0</v>
      </c>
      <c r="BN74" s="428">
        <f t="shared" si="207"/>
        <v>2778151</v>
      </c>
      <c r="BO74" s="421">
        <f t="shared" si="208"/>
        <v>2038372</v>
      </c>
      <c r="BP74" s="421">
        <f t="shared" si="209"/>
        <v>1833077</v>
      </c>
      <c r="BQ74" s="421">
        <f t="shared" si="209"/>
        <v>205295</v>
      </c>
      <c r="BR74" s="421">
        <f t="shared" si="210"/>
        <v>0</v>
      </c>
      <c r="BS74" s="421">
        <f t="shared" si="211"/>
        <v>0</v>
      </c>
      <c r="BT74" s="421">
        <f t="shared" si="211"/>
        <v>0</v>
      </c>
      <c r="BU74" s="421">
        <f t="shared" si="212"/>
        <v>688970</v>
      </c>
      <c r="BV74" s="421">
        <f t="shared" si="212"/>
        <v>20384</v>
      </c>
      <c r="BW74" s="421">
        <f t="shared" si="213"/>
        <v>30425</v>
      </c>
      <c r="BX74" s="422">
        <f t="shared" si="214"/>
        <v>3.5137</v>
      </c>
      <c r="BY74" s="422">
        <f t="shared" si="215"/>
        <v>2.9805000000000001</v>
      </c>
      <c r="BZ74" s="611">
        <f t="shared" si="215"/>
        <v>0.53320000000000001</v>
      </c>
      <c r="CA74" s="423"/>
      <c r="CB74" s="418"/>
      <c r="CC74" s="418"/>
      <c r="CD74" s="418"/>
      <c r="CE74" s="418"/>
      <c r="CF74" s="527"/>
    </row>
    <row r="75" spans="1:84" ht="12.95" customHeight="1" x14ac:dyDescent="0.25">
      <c r="A75" s="282">
        <v>14</v>
      </c>
      <c r="B75" s="283">
        <v>4430</v>
      </c>
      <c r="C75" s="283">
        <v>600074862</v>
      </c>
      <c r="D75" s="283">
        <v>70695024</v>
      </c>
      <c r="E75" s="285" t="s">
        <v>335</v>
      </c>
      <c r="F75" s="283">
        <v>3117</v>
      </c>
      <c r="G75" s="286" t="s">
        <v>299</v>
      </c>
      <c r="H75" s="286" t="s">
        <v>272</v>
      </c>
      <c r="I75" s="598">
        <f t="shared" si="186"/>
        <v>0</v>
      </c>
      <c r="J75" s="418">
        <f t="shared" si="21"/>
        <v>0</v>
      </c>
      <c r="K75" s="418">
        <v>0</v>
      </c>
      <c r="L75" s="418">
        <v>0</v>
      </c>
      <c r="M75" s="418">
        <f t="shared" si="187"/>
        <v>0</v>
      </c>
      <c r="N75" s="418">
        <v>0</v>
      </c>
      <c r="O75" s="418">
        <v>0</v>
      </c>
      <c r="P75" s="68">
        <f t="shared" si="188"/>
        <v>0</v>
      </c>
      <c r="Q75" s="68">
        <f t="shared" si="189"/>
        <v>0</v>
      </c>
      <c r="R75" s="418">
        <v>0</v>
      </c>
      <c r="S75" s="419">
        <f t="shared" si="190"/>
        <v>0</v>
      </c>
      <c r="T75" s="420">
        <v>0</v>
      </c>
      <c r="U75" s="707">
        <v>0</v>
      </c>
      <c r="V75" s="427">
        <f t="shared" si="191"/>
        <v>0</v>
      </c>
      <c r="W75" s="421">
        <f t="shared" si="191"/>
        <v>0</v>
      </c>
      <c r="X75" s="421">
        <v>132188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 t="shared" si="192"/>
        <v>132188</v>
      </c>
      <c r="AG75" s="421">
        <f t="shared" si="193"/>
        <v>0</v>
      </c>
      <c r="AH75" s="421">
        <f t="shared" si="194"/>
        <v>132188</v>
      </c>
      <c r="AI75" s="421">
        <v>0</v>
      </c>
      <c r="AJ75" s="421">
        <v>0</v>
      </c>
      <c r="AK75" s="421">
        <v>0</v>
      </c>
      <c r="AL75" s="421">
        <v>0</v>
      </c>
      <c r="AM75" s="421">
        <v>0</v>
      </c>
      <c r="AN75" s="421">
        <v>0</v>
      </c>
      <c r="AO75" s="421">
        <f t="shared" si="195"/>
        <v>0</v>
      </c>
      <c r="AP75" s="421">
        <f t="shared" si="196"/>
        <v>0</v>
      </c>
      <c r="AQ75" s="421">
        <f t="shared" si="197"/>
        <v>0</v>
      </c>
      <c r="AR75" s="421">
        <f t="shared" si="198"/>
        <v>132188</v>
      </c>
      <c r="AS75" s="421">
        <f t="shared" si="198"/>
        <v>0</v>
      </c>
      <c r="AT75" s="421">
        <f t="shared" si="199"/>
        <v>132188</v>
      </c>
      <c r="AU75" s="68">
        <f t="shared" si="200"/>
        <v>44680</v>
      </c>
      <c r="AV75" s="68">
        <f t="shared" si="201"/>
        <v>1322</v>
      </c>
      <c r="AW75" s="421">
        <v>0</v>
      </c>
      <c r="AX75" s="421">
        <v>0</v>
      </c>
      <c r="AY75" s="421">
        <f t="shared" si="202"/>
        <v>0</v>
      </c>
      <c r="AZ75" s="421">
        <f t="shared" si="203"/>
        <v>178190</v>
      </c>
      <c r="BA75" s="422">
        <v>0</v>
      </c>
      <c r="BB75" s="422">
        <v>0</v>
      </c>
      <c r="BC75" s="422">
        <v>0.36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 t="shared" si="204"/>
        <v>0.36</v>
      </c>
      <c r="BL75" s="422">
        <f t="shared" si="205"/>
        <v>0</v>
      </c>
      <c r="BM75" s="611">
        <f t="shared" si="206"/>
        <v>0.36</v>
      </c>
      <c r="BN75" s="428">
        <f t="shared" si="207"/>
        <v>178190</v>
      </c>
      <c r="BO75" s="421">
        <f t="shared" si="208"/>
        <v>132188</v>
      </c>
      <c r="BP75" s="421">
        <f t="shared" si="209"/>
        <v>132188</v>
      </c>
      <c r="BQ75" s="421">
        <f t="shared" si="209"/>
        <v>0</v>
      </c>
      <c r="BR75" s="421">
        <f t="shared" si="210"/>
        <v>0</v>
      </c>
      <c r="BS75" s="421">
        <f t="shared" si="211"/>
        <v>0</v>
      </c>
      <c r="BT75" s="421">
        <f t="shared" si="211"/>
        <v>0</v>
      </c>
      <c r="BU75" s="421">
        <f t="shared" si="212"/>
        <v>44680</v>
      </c>
      <c r="BV75" s="421">
        <f t="shared" si="212"/>
        <v>1322</v>
      </c>
      <c r="BW75" s="421">
        <f t="shared" si="213"/>
        <v>0</v>
      </c>
      <c r="BX75" s="422">
        <f t="shared" si="214"/>
        <v>0.36</v>
      </c>
      <c r="BY75" s="422">
        <f t="shared" si="215"/>
        <v>0.36</v>
      </c>
      <c r="BZ75" s="611">
        <f t="shared" si="215"/>
        <v>0</v>
      </c>
      <c r="CA75" s="423"/>
      <c r="CB75" s="418"/>
      <c r="CC75" s="418"/>
      <c r="CD75" s="418"/>
      <c r="CE75" s="418"/>
      <c r="CF75" s="527"/>
    </row>
    <row r="76" spans="1:84" ht="12.95" customHeight="1" x14ac:dyDescent="0.25">
      <c r="A76" s="282">
        <v>14</v>
      </c>
      <c r="B76" s="283">
        <v>4430</v>
      </c>
      <c r="C76" s="283">
        <v>600074862</v>
      </c>
      <c r="D76" s="283">
        <v>70695024</v>
      </c>
      <c r="E76" s="285" t="s">
        <v>335</v>
      </c>
      <c r="F76" s="283">
        <v>3141</v>
      </c>
      <c r="G76" s="286" t="s">
        <v>295</v>
      </c>
      <c r="H76" s="286" t="s">
        <v>272</v>
      </c>
      <c r="I76" s="598">
        <f t="shared" si="186"/>
        <v>418050</v>
      </c>
      <c r="J76" s="418">
        <f t="shared" si="21"/>
        <v>309036</v>
      </c>
      <c r="K76" s="418">
        <v>0</v>
      </c>
      <c r="L76" s="418">
        <v>309036</v>
      </c>
      <c r="M76" s="418">
        <f t="shared" si="187"/>
        <v>0</v>
      </c>
      <c r="N76" s="418">
        <v>0</v>
      </c>
      <c r="O76" s="418">
        <v>0</v>
      </c>
      <c r="P76" s="68">
        <f t="shared" si="188"/>
        <v>104454</v>
      </c>
      <c r="Q76" s="68">
        <f t="shared" si="189"/>
        <v>3090</v>
      </c>
      <c r="R76" s="418">
        <v>1470</v>
      </c>
      <c r="S76" s="419">
        <f t="shared" si="190"/>
        <v>0.92669999999999997</v>
      </c>
      <c r="T76" s="420">
        <v>0</v>
      </c>
      <c r="U76" s="707">
        <v>0.92669999999999997</v>
      </c>
      <c r="V76" s="427">
        <f t="shared" si="191"/>
        <v>0</v>
      </c>
      <c r="W76" s="421">
        <f t="shared" si="191"/>
        <v>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 t="shared" si="192"/>
        <v>0</v>
      </c>
      <c r="AG76" s="421">
        <f t="shared" si="193"/>
        <v>0</v>
      </c>
      <c r="AH76" s="421">
        <f t="shared" si="194"/>
        <v>0</v>
      </c>
      <c r="AI76" s="421">
        <v>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195"/>
        <v>0</v>
      </c>
      <c r="AP76" s="421">
        <f t="shared" si="196"/>
        <v>0</v>
      </c>
      <c r="AQ76" s="421">
        <f t="shared" si="197"/>
        <v>0</v>
      </c>
      <c r="AR76" s="421">
        <f t="shared" si="198"/>
        <v>0</v>
      </c>
      <c r="AS76" s="421">
        <f t="shared" si="198"/>
        <v>0</v>
      </c>
      <c r="AT76" s="421">
        <f t="shared" si="199"/>
        <v>0</v>
      </c>
      <c r="AU76" s="68">
        <f t="shared" si="200"/>
        <v>0</v>
      </c>
      <c r="AV76" s="68">
        <f t="shared" si="201"/>
        <v>0</v>
      </c>
      <c r="AW76" s="421">
        <v>0</v>
      </c>
      <c r="AX76" s="421">
        <v>0</v>
      </c>
      <c r="AY76" s="421">
        <f t="shared" si="202"/>
        <v>0</v>
      </c>
      <c r="AZ76" s="421">
        <f t="shared" si="203"/>
        <v>0</v>
      </c>
      <c r="BA76" s="422">
        <v>0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 t="shared" si="204"/>
        <v>0</v>
      </c>
      <c r="BL76" s="422">
        <f t="shared" si="205"/>
        <v>0</v>
      </c>
      <c r="BM76" s="611">
        <f t="shared" si="206"/>
        <v>0</v>
      </c>
      <c r="BN76" s="428">
        <f t="shared" si="207"/>
        <v>418050</v>
      </c>
      <c r="BO76" s="421">
        <f t="shared" si="208"/>
        <v>309036</v>
      </c>
      <c r="BP76" s="421">
        <f t="shared" si="209"/>
        <v>0</v>
      </c>
      <c r="BQ76" s="421">
        <f t="shared" si="209"/>
        <v>309036</v>
      </c>
      <c r="BR76" s="421">
        <f t="shared" si="210"/>
        <v>0</v>
      </c>
      <c r="BS76" s="421">
        <f t="shared" si="211"/>
        <v>0</v>
      </c>
      <c r="BT76" s="421">
        <f t="shared" si="211"/>
        <v>0</v>
      </c>
      <c r="BU76" s="421">
        <f t="shared" si="212"/>
        <v>104454</v>
      </c>
      <c r="BV76" s="421">
        <f t="shared" si="212"/>
        <v>3090</v>
      </c>
      <c r="BW76" s="421">
        <f t="shared" si="213"/>
        <v>1470</v>
      </c>
      <c r="BX76" s="422">
        <f t="shared" si="214"/>
        <v>0.92669999999999997</v>
      </c>
      <c r="BY76" s="422">
        <f t="shared" si="215"/>
        <v>0</v>
      </c>
      <c r="BZ76" s="611">
        <f t="shared" si="215"/>
        <v>0.92669999999999997</v>
      </c>
      <c r="CA76" s="423"/>
      <c r="CB76" s="418"/>
      <c r="CC76" s="418"/>
      <c r="CD76" s="418"/>
      <c r="CE76" s="418"/>
      <c r="CF76" s="527"/>
    </row>
    <row r="77" spans="1:84" ht="12.95" customHeight="1" x14ac:dyDescent="0.25">
      <c r="A77" s="282">
        <v>14</v>
      </c>
      <c r="B77" s="283">
        <v>4430</v>
      </c>
      <c r="C77" s="283">
        <v>600074862</v>
      </c>
      <c r="D77" s="283">
        <v>70695024</v>
      </c>
      <c r="E77" s="285" t="s">
        <v>335</v>
      </c>
      <c r="F77" s="283">
        <v>3143</v>
      </c>
      <c r="G77" s="286" t="s">
        <v>596</v>
      </c>
      <c r="H77" s="286" t="s">
        <v>271</v>
      </c>
      <c r="I77" s="598">
        <f t="shared" si="186"/>
        <v>630230</v>
      </c>
      <c r="J77" s="418">
        <f t="shared" si="21"/>
        <v>467530</v>
      </c>
      <c r="K77" s="418">
        <v>467530</v>
      </c>
      <c r="L77" s="418">
        <v>0</v>
      </c>
      <c r="M77" s="418">
        <f t="shared" si="187"/>
        <v>0</v>
      </c>
      <c r="N77" s="418">
        <v>0</v>
      </c>
      <c r="O77" s="418">
        <v>0</v>
      </c>
      <c r="P77" s="68">
        <f t="shared" si="188"/>
        <v>158025</v>
      </c>
      <c r="Q77" s="68">
        <f t="shared" si="189"/>
        <v>4675</v>
      </c>
      <c r="R77" s="418">
        <v>0</v>
      </c>
      <c r="S77" s="419">
        <f t="shared" si="190"/>
        <v>1</v>
      </c>
      <c r="T77" s="420">
        <v>1</v>
      </c>
      <c r="U77" s="707">
        <v>0</v>
      </c>
      <c r="V77" s="427">
        <f t="shared" si="191"/>
        <v>0</v>
      </c>
      <c r="W77" s="421">
        <f t="shared" si="191"/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 t="shared" si="192"/>
        <v>0</v>
      </c>
      <c r="AG77" s="421">
        <f t="shared" si="193"/>
        <v>0</v>
      </c>
      <c r="AH77" s="421">
        <f t="shared" si="194"/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si="195"/>
        <v>0</v>
      </c>
      <c r="AP77" s="421">
        <f t="shared" si="196"/>
        <v>0</v>
      </c>
      <c r="AQ77" s="421">
        <f t="shared" si="197"/>
        <v>0</v>
      </c>
      <c r="AR77" s="421">
        <f t="shared" si="198"/>
        <v>0</v>
      </c>
      <c r="AS77" s="421">
        <f t="shared" si="198"/>
        <v>0</v>
      </c>
      <c r="AT77" s="421">
        <f t="shared" si="199"/>
        <v>0</v>
      </c>
      <c r="AU77" s="68">
        <f t="shared" si="200"/>
        <v>0</v>
      </c>
      <c r="AV77" s="68">
        <f t="shared" si="201"/>
        <v>0</v>
      </c>
      <c r="AW77" s="421">
        <v>0</v>
      </c>
      <c r="AX77" s="421">
        <v>0</v>
      </c>
      <c r="AY77" s="421">
        <f t="shared" si="202"/>
        <v>0</v>
      </c>
      <c r="AZ77" s="421">
        <f t="shared" si="203"/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 t="shared" si="204"/>
        <v>0</v>
      </c>
      <c r="BL77" s="422">
        <f t="shared" si="205"/>
        <v>0</v>
      </c>
      <c r="BM77" s="611">
        <f t="shared" si="206"/>
        <v>0</v>
      </c>
      <c r="BN77" s="428">
        <f t="shared" si="207"/>
        <v>630230</v>
      </c>
      <c r="BO77" s="421">
        <f t="shared" si="208"/>
        <v>467530</v>
      </c>
      <c r="BP77" s="421">
        <f t="shared" si="209"/>
        <v>467530</v>
      </c>
      <c r="BQ77" s="421">
        <f t="shared" si="209"/>
        <v>0</v>
      </c>
      <c r="BR77" s="421">
        <f t="shared" si="210"/>
        <v>0</v>
      </c>
      <c r="BS77" s="421">
        <f t="shared" si="211"/>
        <v>0</v>
      </c>
      <c r="BT77" s="421">
        <f t="shared" si="211"/>
        <v>0</v>
      </c>
      <c r="BU77" s="421">
        <f t="shared" si="212"/>
        <v>158025</v>
      </c>
      <c r="BV77" s="421">
        <f t="shared" si="212"/>
        <v>4675</v>
      </c>
      <c r="BW77" s="421">
        <f t="shared" si="213"/>
        <v>0</v>
      </c>
      <c r="BX77" s="422">
        <f t="shared" si="214"/>
        <v>1</v>
      </c>
      <c r="BY77" s="422">
        <f t="shared" si="215"/>
        <v>1</v>
      </c>
      <c r="BZ77" s="611">
        <f t="shared" si="215"/>
        <v>0</v>
      </c>
      <c r="CA77" s="423"/>
      <c r="CB77" s="418"/>
      <c r="CC77" s="418"/>
      <c r="CD77" s="418"/>
      <c r="CE77" s="418"/>
      <c r="CF77" s="527"/>
    </row>
    <row r="78" spans="1:84" ht="12.95" customHeight="1" x14ac:dyDescent="0.25">
      <c r="A78" s="282">
        <v>14</v>
      </c>
      <c r="B78" s="283">
        <v>4430</v>
      </c>
      <c r="C78" s="283">
        <v>600074862</v>
      </c>
      <c r="D78" s="283">
        <v>70695024</v>
      </c>
      <c r="E78" s="285" t="s">
        <v>335</v>
      </c>
      <c r="F78" s="283">
        <v>3143</v>
      </c>
      <c r="G78" s="286" t="s">
        <v>597</v>
      </c>
      <c r="H78" s="286" t="s">
        <v>272</v>
      </c>
      <c r="I78" s="598">
        <f t="shared" si="186"/>
        <v>11285</v>
      </c>
      <c r="J78" s="418">
        <f t="shared" si="21"/>
        <v>8078</v>
      </c>
      <c r="K78" s="418">
        <v>0</v>
      </c>
      <c r="L78" s="418">
        <v>8078</v>
      </c>
      <c r="M78" s="418">
        <f t="shared" si="187"/>
        <v>0</v>
      </c>
      <c r="N78" s="418">
        <v>0</v>
      </c>
      <c r="O78" s="418">
        <v>0</v>
      </c>
      <c r="P78" s="68">
        <f t="shared" si="188"/>
        <v>2730</v>
      </c>
      <c r="Q78" s="68">
        <f t="shared" si="189"/>
        <v>81</v>
      </c>
      <c r="R78" s="418">
        <v>396</v>
      </c>
      <c r="S78" s="419">
        <f t="shared" si="190"/>
        <v>3.0599999999999999E-2</v>
      </c>
      <c r="T78" s="420">
        <v>0</v>
      </c>
      <c r="U78" s="707">
        <v>3.0599999999999999E-2</v>
      </c>
      <c r="V78" s="427">
        <f t="shared" si="191"/>
        <v>0</v>
      </c>
      <c r="W78" s="421">
        <f t="shared" si="191"/>
        <v>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si="192"/>
        <v>0</v>
      </c>
      <c r="AG78" s="421">
        <f t="shared" si="193"/>
        <v>0</v>
      </c>
      <c r="AH78" s="421">
        <f t="shared" si="194"/>
        <v>0</v>
      </c>
      <c r="AI78" s="421">
        <v>0</v>
      </c>
      <c r="AJ78" s="421">
        <v>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si="195"/>
        <v>0</v>
      </c>
      <c r="AP78" s="421">
        <f t="shared" si="196"/>
        <v>0</v>
      </c>
      <c r="AQ78" s="421">
        <f t="shared" si="197"/>
        <v>0</v>
      </c>
      <c r="AR78" s="421">
        <f t="shared" si="198"/>
        <v>0</v>
      </c>
      <c r="AS78" s="421">
        <f t="shared" si="198"/>
        <v>0</v>
      </c>
      <c r="AT78" s="421">
        <f t="shared" si="199"/>
        <v>0</v>
      </c>
      <c r="AU78" s="68">
        <f t="shared" si="200"/>
        <v>0</v>
      </c>
      <c r="AV78" s="68">
        <f t="shared" si="201"/>
        <v>0</v>
      </c>
      <c r="AW78" s="421">
        <v>0</v>
      </c>
      <c r="AX78" s="421">
        <v>0</v>
      </c>
      <c r="AY78" s="421">
        <f t="shared" si="202"/>
        <v>0</v>
      </c>
      <c r="AZ78" s="421">
        <f t="shared" si="203"/>
        <v>0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 t="shared" si="204"/>
        <v>0</v>
      </c>
      <c r="BL78" s="422">
        <f t="shared" si="205"/>
        <v>0</v>
      </c>
      <c r="BM78" s="611">
        <f t="shared" si="206"/>
        <v>0</v>
      </c>
      <c r="BN78" s="428">
        <f t="shared" si="207"/>
        <v>11285</v>
      </c>
      <c r="BO78" s="421">
        <f t="shared" si="208"/>
        <v>8078</v>
      </c>
      <c r="BP78" s="421">
        <f t="shared" si="209"/>
        <v>0</v>
      </c>
      <c r="BQ78" s="421">
        <f t="shared" si="209"/>
        <v>8078</v>
      </c>
      <c r="BR78" s="421">
        <f t="shared" si="210"/>
        <v>0</v>
      </c>
      <c r="BS78" s="421">
        <f t="shared" si="211"/>
        <v>0</v>
      </c>
      <c r="BT78" s="421">
        <f t="shared" si="211"/>
        <v>0</v>
      </c>
      <c r="BU78" s="421">
        <f t="shared" si="212"/>
        <v>2730</v>
      </c>
      <c r="BV78" s="421">
        <f t="shared" si="212"/>
        <v>81</v>
      </c>
      <c r="BW78" s="421">
        <f t="shared" si="213"/>
        <v>396</v>
      </c>
      <c r="BX78" s="422">
        <f t="shared" si="214"/>
        <v>3.0599999999999999E-2</v>
      </c>
      <c r="BY78" s="422">
        <f t="shared" si="215"/>
        <v>0</v>
      </c>
      <c r="BZ78" s="611">
        <f t="shared" si="215"/>
        <v>3.0599999999999999E-2</v>
      </c>
      <c r="CA78" s="423"/>
      <c r="CB78" s="418"/>
      <c r="CC78" s="418"/>
      <c r="CD78" s="418"/>
      <c r="CE78" s="418"/>
      <c r="CF78" s="527"/>
    </row>
    <row r="79" spans="1:84" ht="12.95" customHeight="1" x14ac:dyDescent="0.25">
      <c r="A79" s="275">
        <v>14</v>
      </c>
      <c r="B79" s="277">
        <v>4430</v>
      </c>
      <c r="C79" s="277">
        <v>600074862</v>
      </c>
      <c r="D79" s="277">
        <v>70695024</v>
      </c>
      <c r="E79" s="290" t="s">
        <v>336</v>
      </c>
      <c r="F79" s="293"/>
      <c r="G79" s="294"/>
      <c r="H79" s="294"/>
      <c r="I79" s="473">
        <f t="shared" ref="I79:BU79" si="216">SUM(I73:I78)</f>
        <v>5476234</v>
      </c>
      <c r="J79" s="470">
        <f t="shared" si="216"/>
        <v>4033780</v>
      </c>
      <c r="K79" s="470">
        <f t="shared" si="216"/>
        <v>3444803</v>
      </c>
      <c r="L79" s="470">
        <f t="shared" si="216"/>
        <v>588977</v>
      </c>
      <c r="M79" s="470">
        <f t="shared" si="216"/>
        <v>0</v>
      </c>
      <c r="N79" s="470">
        <f t="shared" si="216"/>
        <v>0</v>
      </c>
      <c r="O79" s="470">
        <f t="shared" si="216"/>
        <v>0</v>
      </c>
      <c r="P79" s="470">
        <f t="shared" si="216"/>
        <v>1363417</v>
      </c>
      <c r="Q79" s="470">
        <f t="shared" si="216"/>
        <v>40338</v>
      </c>
      <c r="R79" s="470">
        <f t="shared" si="216"/>
        <v>38699</v>
      </c>
      <c r="S79" s="471">
        <f t="shared" si="216"/>
        <v>7.7377000000000002</v>
      </c>
      <c r="T79" s="471">
        <f t="shared" si="216"/>
        <v>5.9805000000000001</v>
      </c>
      <c r="U79" s="292">
        <f t="shared" si="216"/>
        <v>1.7571999999999999</v>
      </c>
      <c r="V79" s="475">
        <f t="shared" si="216"/>
        <v>0</v>
      </c>
      <c r="W79" s="470">
        <f t="shared" si="216"/>
        <v>0</v>
      </c>
      <c r="X79" s="470">
        <f t="shared" si="216"/>
        <v>132188</v>
      </c>
      <c r="Y79" s="470">
        <f t="shared" si="216"/>
        <v>0</v>
      </c>
      <c r="Z79" s="470">
        <f t="shared" si="216"/>
        <v>0</v>
      </c>
      <c r="AA79" s="470">
        <f t="shared" si="216"/>
        <v>0</v>
      </c>
      <c r="AB79" s="470">
        <f t="shared" si="216"/>
        <v>0</v>
      </c>
      <c r="AC79" s="470">
        <f t="shared" si="216"/>
        <v>0</v>
      </c>
      <c r="AD79" s="470">
        <f t="shared" si="216"/>
        <v>0</v>
      </c>
      <c r="AE79" s="470">
        <f t="shared" si="216"/>
        <v>0</v>
      </c>
      <c r="AF79" s="470">
        <f t="shared" si="216"/>
        <v>132188</v>
      </c>
      <c r="AG79" s="470">
        <f t="shared" si="216"/>
        <v>0</v>
      </c>
      <c r="AH79" s="470">
        <f t="shared" si="216"/>
        <v>132188</v>
      </c>
      <c r="AI79" s="470">
        <f t="shared" si="216"/>
        <v>0</v>
      </c>
      <c r="AJ79" s="470">
        <f t="shared" si="216"/>
        <v>0</v>
      </c>
      <c r="AK79" s="470">
        <f t="shared" ref="AK79" si="217">SUM(AK73:AK78)</f>
        <v>0</v>
      </c>
      <c r="AL79" s="470">
        <f t="shared" si="216"/>
        <v>0</v>
      </c>
      <c r="AM79" s="470">
        <f t="shared" si="216"/>
        <v>0</v>
      </c>
      <c r="AN79" s="470">
        <f t="shared" si="216"/>
        <v>0</v>
      </c>
      <c r="AO79" s="470">
        <f t="shared" si="216"/>
        <v>0</v>
      </c>
      <c r="AP79" s="470">
        <f t="shared" si="216"/>
        <v>0</v>
      </c>
      <c r="AQ79" s="470">
        <f t="shared" si="216"/>
        <v>0</v>
      </c>
      <c r="AR79" s="470">
        <f t="shared" si="216"/>
        <v>132188</v>
      </c>
      <c r="AS79" s="470">
        <f t="shared" si="216"/>
        <v>0</v>
      </c>
      <c r="AT79" s="470">
        <f t="shared" si="216"/>
        <v>132188</v>
      </c>
      <c r="AU79" s="470">
        <f t="shared" si="216"/>
        <v>44680</v>
      </c>
      <c r="AV79" s="470">
        <f t="shared" si="216"/>
        <v>1322</v>
      </c>
      <c r="AW79" s="470">
        <f t="shared" si="216"/>
        <v>0</v>
      </c>
      <c r="AX79" s="470">
        <f t="shared" si="216"/>
        <v>0</v>
      </c>
      <c r="AY79" s="470">
        <f t="shared" si="216"/>
        <v>0</v>
      </c>
      <c r="AZ79" s="470">
        <f t="shared" si="216"/>
        <v>178190</v>
      </c>
      <c r="BA79" s="471">
        <f t="shared" si="216"/>
        <v>0</v>
      </c>
      <c r="BB79" s="471">
        <f t="shared" si="216"/>
        <v>0</v>
      </c>
      <c r="BC79" s="471">
        <f t="shared" si="216"/>
        <v>0.36</v>
      </c>
      <c r="BD79" s="471">
        <f t="shared" si="216"/>
        <v>0</v>
      </c>
      <c r="BE79" s="471">
        <f t="shared" si="216"/>
        <v>0</v>
      </c>
      <c r="BF79" s="471">
        <f t="shared" si="216"/>
        <v>0</v>
      </c>
      <c r="BG79" s="471">
        <f t="shared" si="216"/>
        <v>0</v>
      </c>
      <c r="BH79" s="471">
        <f t="shared" si="216"/>
        <v>0</v>
      </c>
      <c r="BI79" s="471">
        <f t="shared" si="216"/>
        <v>0</v>
      </c>
      <c r="BJ79" s="471">
        <f t="shared" si="216"/>
        <v>0</v>
      </c>
      <c r="BK79" s="471">
        <f t="shared" si="216"/>
        <v>0.36</v>
      </c>
      <c r="BL79" s="471">
        <f t="shared" si="216"/>
        <v>0</v>
      </c>
      <c r="BM79" s="561">
        <f t="shared" si="216"/>
        <v>0.36</v>
      </c>
      <c r="BN79" s="473">
        <f t="shared" si="216"/>
        <v>5654424</v>
      </c>
      <c r="BO79" s="470">
        <f t="shared" si="216"/>
        <v>4165968</v>
      </c>
      <c r="BP79" s="470">
        <f t="shared" si="216"/>
        <v>3576991</v>
      </c>
      <c r="BQ79" s="470">
        <f t="shared" si="216"/>
        <v>588977</v>
      </c>
      <c r="BR79" s="470">
        <f t="shared" si="216"/>
        <v>0</v>
      </c>
      <c r="BS79" s="470">
        <f t="shared" si="216"/>
        <v>0</v>
      </c>
      <c r="BT79" s="470">
        <f t="shared" si="216"/>
        <v>0</v>
      </c>
      <c r="BU79" s="470">
        <f t="shared" si="216"/>
        <v>1408097</v>
      </c>
      <c r="BV79" s="470">
        <f t="shared" ref="BV79:CF79" si="218">SUM(BV73:BV78)</f>
        <v>41660</v>
      </c>
      <c r="BW79" s="470">
        <f t="shared" si="218"/>
        <v>38699</v>
      </c>
      <c r="BX79" s="471">
        <f t="shared" si="218"/>
        <v>8.0976999999999997</v>
      </c>
      <c r="BY79" s="471">
        <f t="shared" si="218"/>
        <v>6.3405000000000005</v>
      </c>
      <c r="BZ79" s="561">
        <f t="shared" si="218"/>
        <v>1.7571999999999999</v>
      </c>
      <c r="CA79" s="874">
        <f t="shared" si="218"/>
        <v>0</v>
      </c>
      <c r="CB79" s="871">
        <f t="shared" si="218"/>
        <v>0</v>
      </c>
      <c r="CC79" s="871">
        <f t="shared" si="218"/>
        <v>0</v>
      </c>
      <c r="CD79" s="871">
        <f t="shared" si="218"/>
        <v>0</v>
      </c>
      <c r="CE79" s="871">
        <f t="shared" si="218"/>
        <v>0</v>
      </c>
      <c r="CF79" s="847">
        <f t="shared" si="218"/>
        <v>0</v>
      </c>
    </row>
    <row r="80" spans="1:84" ht="12.95" customHeight="1" x14ac:dyDescent="0.25">
      <c r="A80" s="282">
        <v>15</v>
      </c>
      <c r="B80" s="283">
        <v>4433</v>
      </c>
      <c r="C80" s="283">
        <v>600075001</v>
      </c>
      <c r="D80" s="283">
        <v>70695440</v>
      </c>
      <c r="E80" s="285" t="s">
        <v>337</v>
      </c>
      <c r="F80" s="283">
        <v>3111</v>
      </c>
      <c r="G80" s="286" t="s">
        <v>305</v>
      </c>
      <c r="H80" s="286" t="s">
        <v>271</v>
      </c>
      <c r="I80" s="598">
        <f t="shared" ref="I80:I85" si="219">J80+M80+P80+Q80+R80</f>
        <v>1599149</v>
      </c>
      <c r="J80" s="418">
        <f t="shared" si="21"/>
        <v>1183539</v>
      </c>
      <c r="K80" s="418">
        <v>1123635</v>
      </c>
      <c r="L80" s="418">
        <v>59904</v>
      </c>
      <c r="M80" s="418">
        <f t="shared" ref="M80:M85" si="220">N80+O80</f>
        <v>0</v>
      </c>
      <c r="N80" s="418">
        <v>0</v>
      </c>
      <c r="O80" s="418">
        <v>0</v>
      </c>
      <c r="P80" s="68">
        <f t="shared" ref="P80:P85" si="221">ROUND((J80+M80)*33.8%,0)</f>
        <v>400036</v>
      </c>
      <c r="Q80" s="68">
        <f>ROUND(J80*1%,0)+1</f>
        <v>11836</v>
      </c>
      <c r="R80" s="418">
        <v>3738</v>
      </c>
      <c r="S80" s="419">
        <f t="shared" ref="S80:S85" si="222">T80+U80</f>
        <v>2.2400000000000002</v>
      </c>
      <c r="T80" s="420">
        <v>2</v>
      </c>
      <c r="U80" s="707">
        <v>0.24</v>
      </c>
      <c r="V80" s="427">
        <f t="shared" ref="V80:W85" si="223">AI80*-1</f>
        <v>0</v>
      </c>
      <c r="W80" s="421">
        <f t="shared" si="223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 t="shared" ref="AF80:AF85" si="224">V80+X80+Y80+AA80+AB80+AD80</f>
        <v>0</v>
      </c>
      <c r="AG80" s="421">
        <f t="shared" ref="AG80:AG85" si="225">W80+Z80+AC80+AE80</f>
        <v>0</v>
      </c>
      <c r="AH80" s="421">
        <f t="shared" ref="AH80:AH85" si="226">SUM(AF80:AG80)</f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ref="AO80:AO85" si="227">AI80+AK80+AL80+AM80</f>
        <v>0</v>
      </c>
      <c r="AP80" s="421">
        <f t="shared" ref="AP80:AP85" si="228">AJ80+AN80</f>
        <v>0</v>
      </c>
      <c r="AQ80" s="421">
        <f t="shared" ref="AQ80:AQ85" si="229">SUM(AO80:AP80)</f>
        <v>0</v>
      </c>
      <c r="AR80" s="421">
        <f t="shared" ref="AR80:AS85" si="230">AF80+AO80</f>
        <v>0</v>
      </c>
      <c r="AS80" s="421">
        <f t="shared" si="230"/>
        <v>0</v>
      </c>
      <c r="AT80" s="421">
        <f t="shared" ref="AT80:AT85" si="231">SUM(AR80:AS80)</f>
        <v>0</v>
      </c>
      <c r="AU80" s="68">
        <f t="shared" ref="AU80:AU85" si="232">ROUND((AH80+AI80+AJ80+AK80+AL80)*33.8%,0)</f>
        <v>0</v>
      </c>
      <c r="AV80" s="68">
        <f t="shared" ref="AV80:AV85" si="233">ROUND(AH80*1%,0)</f>
        <v>0</v>
      </c>
      <c r="AW80" s="421">
        <v>0</v>
      </c>
      <c r="AX80" s="421">
        <v>0</v>
      </c>
      <c r="AY80" s="421">
        <f t="shared" ref="AY80:AY85" si="234">AW80+AX80</f>
        <v>0</v>
      </c>
      <c r="AZ80" s="421">
        <f t="shared" ref="AZ80:AZ85" si="235">AT80+AU80+AV80+AY80</f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 t="shared" ref="BK80:BK85" si="236">BA80+BC80+BD80+BF80+BH80+BI80</f>
        <v>0</v>
      </c>
      <c r="BL80" s="422">
        <f t="shared" ref="BL80:BL85" si="237">BB80+BE80+BG80+BJ80</f>
        <v>0</v>
      </c>
      <c r="BM80" s="611">
        <f t="shared" ref="BM80:BM85" si="238">SUM(BK80:BL80)</f>
        <v>0</v>
      </c>
      <c r="BN80" s="428">
        <f t="shared" ref="BN80:BN85" si="239">I80+AZ80</f>
        <v>1599149</v>
      </c>
      <c r="BO80" s="421">
        <f t="shared" ref="BO80:BO85" si="240">J80+AH80</f>
        <v>1183539</v>
      </c>
      <c r="BP80" s="421">
        <f t="shared" ref="BP80:BQ85" si="241">K80+AF80</f>
        <v>1123635</v>
      </c>
      <c r="BQ80" s="421">
        <f t="shared" si="241"/>
        <v>59904</v>
      </c>
      <c r="BR80" s="421">
        <f t="shared" ref="BR80:BR85" si="242">M80+AQ80</f>
        <v>0</v>
      </c>
      <c r="BS80" s="421">
        <f t="shared" ref="BS80:BT85" si="243">N80+AO80</f>
        <v>0</v>
      </c>
      <c r="BT80" s="421">
        <f t="shared" si="243"/>
        <v>0</v>
      </c>
      <c r="BU80" s="421">
        <f t="shared" ref="BU80:BV85" si="244">P80+AU80</f>
        <v>400036</v>
      </c>
      <c r="BV80" s="421">
        <f t="shared" si="244"/>
        <v>11836</v>
      </c>
      <c r="BW80" s="421">
        <f t="shared" ref="BW80:BW85" si="245">R80+AY80</f>
        <v>3738</v>
      </c>
      <c r="BX80" s="422">
        <f t="shared" ref="BX80:BX85" si="246">S80+BM80</f>
        <v>2.2400000000000002</v>
      </c>
      <c r="BY80" s="422">
        <f t="shared" ref="BY80:BZ85" si="247">T80+BK80</f>
        <v>2</v>
      </c>
      <c r="BZ80" s="611">
        <f t="shared" si="247"/>
        <v>0.24</v>
      </c>
      <c r="CA80" s="423"/>
      <c r="CB80" s="418"/>
      <c r="CC80" s="418"/>
      <c r="CD80" s="418"/>
      <c r="CE80" s="418"/>
      <c r="CF80" s="527"/>
    </row>
    <row r="81" spans="1:84" ht="12.95" customHeight="1" x14ac:dyDescent="0.25">
      <c r="A81" s="282">
        <v>15</v>
      </c>
      <c r="B81" s="283">
        <v>4433</v>
      </c>
      <c r="C81" s="283">
        <v>600075001</v>
      </c>
      <c r="D81" s="283">
        <v>70695440</v>
      </c>
      <c r="E81" s="285" t="s">
        <v>337</v>
      </c>
      <c r="F81" s="283">
        <v>3117</v>
      </c>
      <c r="G81" s="286" t="s">
        <v>309</v>
      </c>
      <c r="H81" s="286" t="s">
        <v>271</v>
      </c>
      <c r="I81" s="598">
        <f t="shared" si="219"/>
        <v>1485827</v>
      </c>
      <c r="J81" s="418">
        <f t="shared" si="21"/>
        <v>1090509</v>
      </c>
      <c r="K81" s="418">
        <v>962316</v>
      </c>
      <c r="L81" s="418">
        <v>128193</v>
      </c>
      <c r="M81" s="418">
        <f t="shared" si="220"/>
        <v>0</v>
      </c>
      <c r="N81" s="418">
        <v>0</v>
      </c>
      <c r="O81" s="418">
        <v>0</v>
      </c>
      <c r="P81" s="68">
        <f t="shared" si="221"/>
        <v>368592</v>
      </c>
      <c r="Q81" s="68">
        <f t="shared" ref="Q81:Q85" si="248">ROUND(J81*1%,0)</f>
        <v>10905</v>
      </c>
      <c r="R81" s="418">
        <v>15821</v>
      </c>
      <c r="S81" s="419">
        <f t="shared" si="222"/>
        <v>1.8789</v>
      </c>
      <c r="T81" s="420">
        <v>1.5455000000000001</v>
      </c>
      <c r="U81" s="707">
        <v>0.33339999999999997</v>
      </c>
      <c r="V81" s="427">
        <f t="shared" si="223"/>
        <v>0</v>
      </c>
      <c r="W81" s="421">
        <f t="shared" si="223"/>
        <v>0</v>
      </c>
      <c r="X81" s="421">
        <v>0</v>
      </c>
      <c r="Y81" s="421">
        <v>0</v>
      </c>
      <c r="Z81" s="421">
        <v>0</v>
      </c>
      <c r="AA81" s="421">
        <v>0</v>
      </c>
      <c r="AB81" s="421">
        <v>0</v>
      </c>
      <c r="AC81" s="421">
        <v>0</v>
      </c>
      <c r="AD81" s="421">
        <v>0</v>
      </c>
      <c r="AE81" s="421">
        <v>0</v>
      </c>
      <c r="AF81" s="421">
        <f t="shared" si="224"/>
        <v>0</v>
      </c>
      <c r="AG81" s="421">
        <f t="shared" si="225"/>
        <v>0</v>
      </c>
      <c r="AH81" s="421">
        <f t="shared" si="226"/>
        <v>0</v>
      </c>
      <c r="AI81" s="421">
        <v>0</v>
      </c>
      <c r="AJ81" s="421">
        <v>0</v>
      </c>
      <c r="AK81" s="421">
        <v>0</v>
      </c>
      <c r="AL81" s="421">
        <v>0</v>
      </c>
      <c r="AM81" s="421">
        <v>0</v>
      </c>
      <c r="AN81" s="421">
        <v>0</v>
      </c>
      <c r="AO81" s="421">
        <f t="shared" si="227"/>
        <v>0</v>
      </c>
      <c r="AP81" s="421">
        <f t="shared" si="228"/>
        <v>0</v>
      </c>
      <c r="AQ81" s="421">
        <f t="shared" si="229"/>
        <v>0</v>
      </c>
      <c r="AR81" s="421">
        <f t="shared" si="230"/>
        <v>0</v>
      </c>
      <c r="AS81" s="421">
        <f t="shared" si="230"/>
        <v>0</v>
      </c>
      <c r="AT81" s="421">
        <f t="shared" si="231"/>
        <v>0</v>
      </c>
      <c r="AU81" s="68">
        <f t="shared" si="232"/>
        <v>0</v>
      </c>
      <c r="AV81" s="68">
        <f t="shared" si="233"/>
        <v>0</v>
      </c>
      <c r="AW81" s="421">
        <v>0</v>
      </c>
      <c r="AX81" s="421">
        <v>0</v>
      </c>
      <c r="AY81" s="421">
        <f t="shared" si="234"/>
        <v>0</v>
      </c>
      <c r="AZ81" s="421">
        <f t="shared" si="235"/>
        <v>0</v>
      </c>
      <c r="BA81" s="422">
        <v>0</v>
      </c>
      <c r="BB81" s="422">
        <v>0</v>
      </c>
      <c r="BC81" s="422">
        <v>0</v>
      </c>
      <c r="BD81" s="422">
        <v>0</v>
      </c>
      <c r="BE81" s="422">
        <v>0</v>
      </c>
      <c r="BF81" s="422">
        <v>0</v>
      </c>
      <c r="BG81" s="422">
        <v>0</v>
      </c>
      <c r="BH81" s="422">
        <v>0</v>
      </c>
      <c r="BI81" s="422">
        <v>0</v>
      </c>
      <c r="BJ81" s="422">
        <v>0</v>
      </c>
      <c r="BK81" s="422">
        <f t="shared" si="236"/>
        <v>0</v>
      </c>
      <c r="BL81" s="422">
        <f t="shared" si="237"/>
        <v>0</v>
      </c>
      <c r="BM81" s="611">
        <f t="shared" si="238"/>
        <v>0</v>
      </c>
      <c r="BN81" s="428">
        <f t="shared" si="239"/>
        <v>1485827</v>
      </c>
      <c r="BO81" s="421">
        <f t="shared" si="240"/>
        <v>1090509</v>
      </c>
      <c r="BP81" s="421">
        <f t="shared" si="241"/>
        <v>962316</v>
      </c>
      <c r="BQ81" s="421">
        <f t="shared" si="241"/>
        <v>128193</v>
      </c>
      <c r="BR81" s="421">
        <f t="shared" si="242"/>
        <v>0</v>
      </c>
      <c r="BS81" s="421">
        <f t="shared" si="243"/>
        <v>0</v>
      </c>
      <c r="BT81" s="421">
        <f t="shared" si="243"/>
        <v>0</v>
      </c>
      <c r="BU81" s="421">
        <f t="shared" si="244"/>
        <v>368592</v>
      </c>
      <c r="BV81" s="421">
        <f t="shared" si="244"/>
        <v>10905</v>
      </c>
      <c r="BW81" s="421">
        <f t="shared" si="245"/>
        <v>15821</v>
      </c>
      <c r="BX81" s="422">
        <f t="shared" si="246"/>
        <v>1.8789</v>
      </c>
      <c r="BY81" s="422">
        <f t="shared" si="247"/>
        <v>1.5455000000000001</v>
      </c>
      <c r="BZ81" s="611">
        <f t="shared" si="247"/>
        <v>0.33339999999999997</v>
      </c>
      <c r="CA81" s="423"/>
      <c r="CB81" s="418"/>
      <c r="CC81" s="418"/>
      <c r="CD81" s="418"/>
      <c r="CE81" s="418"/>
      <c r="CF81" s="527"/>
    </row>
    <row r="82" spans="1:84" ht="12.95" customHeight="1" x14ac:dyDescent="0.25">
      <c r="A82" s="282">
        <v>15</v>
      </c>
      <c r="B82" s="283">
        <v>4433</v>
      </c>
      <c r="C82" s="283">
        <v>600075001</v>
      </c>
      <c r="D82" s="283">
        <v>70695440</v>
      </c>
      <c r="E82" s="285" t="s">
        <v>337</v>
      </c>
      <c r="F82" s="283">
        <v>3117</v>
      </c>
      <c r="G82" s="286" t="s">
        <v>299</v>
      </c>
      <c r="H82" s="286" t="s">
        <v>272</v>
      </c>
      <c r="I82" s="598">
        <f t="shared" si="219"/>
        <v>0</v>
      </c>
      <c r="J82" s="418">
        <f t="shared" ref="J82:J122" si="249">K82+L82</f>
        <v>0</v>
      </c>
      <c r="K82" s="418">
        <v>0</v>
      </c>
      <c r="L82" s="418">
        <v>0</v>
      </c>
      <c r="M82" s="418">
        <f t="shared" si="220"/>
        <v>0</v>
      </c>
      <c r="N82" s="418">
        <v>0</v>
      </c>
      <c r="O82" s="418">
        <v>0</v>
      </c>
      <c r="P82" s="68">
        <f t="shared" si="221"/>
        <v>0</v>
      </c>
      <c r="Q82" s="68">
        <f t="shared" si="248"/>
        <v>0</v>
      </c>
      <c r="R82" s="418">
        <v>0</v>
      </c>
      <c r="S82" s="419">
        <f t="shared" si="222"/>
        <v>0</v>
      </c>
      <c r="T82" s="420">
        <v>0</v>
      </c>
      <c r="U82" s="707">
        <v>0</v>
      </c>
      <c r="V82" s="427">
        <f t="shared" si="223"/>
        <v>0</v>
      </c>
      <c r="W82" s="421">
        <f t="shared" si="223"/>
        <v>0</v>
      </c>
      <c r="X82" s="421">
        <v>185401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 t="shared" si="224"/>
        <v>185401</v>
      </c>
      <c r="AG82" s="421">
        <f t="shared" si="225"/>
        <v>0</v>
      </c>
      <c r="AH82" s="421">
        <f t="shared" si="226"/>
        <v>185401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si="227"/>
        <v>0</v>
      </c>
      <c r="AP82" s="421">
        <f t="shared" si="228"/>
        <v>0</v>
      </c>
      <c r="AQ82" s="421">
        <f t="shared" si="229"/>
        <v>0</v>
      </c>
      <c r="AR82" s="421">
        <f t="shared" si="230"/>
        <v>185401</v>
      </c>
      <c r="AS82" s="421">
        <f t="shared" si="230"/>
        <v>0</v>
      </c>
      <c r="AT82" s="421">
        <f t="shared" si="231"/>
        <v>185401</v>
      </c>
      <c r="AU82" s="68">
        <f t="shared" si="232"/>
        <v>62666</v>
      </c>
      <c r="AV82" s="68">
        <f t="shared" si="233"/>
        <v>1854</v>
      </c>
      <c r="AW82" s="421">
        <v>0</v>
      </c>
      <c r="AX82" s="421">
        <v>0</v>
      </c>
      <c r="AY82" s="421">
        <f t="shared" si="234"/>
        <v>0</v>
      </c>
      <c r="AZ82" s="421">
        <f t="shared" si="235"/>
        <v>249921</v>
      </c>
      <c r="BA82" s="422">
        <v>0</v>
      </c>
      <c r="BB82" s="422">
        <v>0</v>
      </c>
      <c r="BC82" s="422">
        <v>0.5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 t="shared" si="236"/>
        <v>0.5</v>
      </c>
      <c r="BL82" s="422">
        <f t="shared" si="237"/>
        <v>0</v>
      </c>
      <c r="BM82" s="611">
        <f t="shared" si="238"/>
        <v>0.5</v>
      </c>
      <c r="BN82" s="428">
        <f t="shared" si="239"/>
        <v>249921</v>
      </c>
      <c r="BO82" s="421">
        <f t="shared" si="240"/>
        <v>185401</v>
      </c>
      <c r="BP82" s="421">
        <f t="shared" si="241"/>
        <v>185401</v>
      </c>
      <c r="BQ82" s="421">
        <f t="shared" si="241"/>
        <v>0</v>
      </c>
      <c r="BR82" s="421">
        <f t="shared" si="242"/>
        <v>0</v>
      </c>
      <c r="BS82" s="421">
        <f t="shared" si="243"/>
        <v>0</v>
      </c>
      <c r="BT82" s="421">
        <f t="shared" si="243"/>
        <v>0</v>
      </c>
      <c r="BU82" s="421">
        <f t="shared" si="244"/>
        <v>62666</v>
      </c>
      <c r="BV82" s="421">
        <f t="shared" si="244"/>
        <v>1854</v>
      </c>
      <c r="BW82" s="421">
        <f t="shared" si="245"/>
        <v>0</v>
      </c>
      <c r="BX82" s="422">
        <f t="shared" si="246"/>
        <v>0.5</v>
      </c>
      <c r="BY82" s="422">
        <f t="shared" si="247"/>
        <v>0.5</v>
      </c>
      <c r="BZ82" s="611">
        <f t="shared" si="247"/>
        <v>0</v>
      </c>
      <c r="CA82" s="423"/>
      <c r="CB82" s="418"/>
      <c r="CC82" s="418"/>
      <c r="CD82" s="418"/>
      <c r="CE82" s="418"/>
      <c r="CF82" s="527"/>
    </row>
    <row r="83" spans="1:84" ht="12.95" customHeight="1" x14ac:dyDescent="0.25">
      <c r="A83" s="282">
        <v>15</v>
      </c>
      <c r="B83" s="283">
        <v>4433</v>
      </c>
      <c r="C83" s="283">
        <v>600075001</v>
      </c>
      <c r="D83" s="283">
        <v>70695440</v>
      </c>
      <c r="E83" s="285" t="s">
        <v>337</v>
      </c>
      <c r="F83" s="283">
        <v>3141</v>
      </c>
      <c r="G83" s="286" t="s">
        <v>295</v>
      </c>
      <c r="H83" s="286" t="s">
        <v>272</v>
      </c>
      <c r="I83" s="598">
        <f t="shared" si="219"/>
        <v>282666</v>
      </c>
      <c r="J83" s="418">
        <f t="shared" si="249"/>
        <v>208992</v>
      </c>
      <c r="K83" s="418">
        <v>0</v>
      </c>
      <c r="L83" s="418">
        <v>208992</v>
      </c>
      <c r="M83" s="418">
        <f t="shared" si="220"/>
        <v>0</v>
      </c>
      <c r="N83" s="418">
        <v>0</v>
      </c>
      <c r="O83" s="418">
        <v>0</v>
      </c>
      <c r="P83" s="68">
        <f t="shared" si="221"/>
        <v>70639</v>
      </c>
      <c r="Q83" s="68">
        <f t="shared" si="248"/>
        <v>2090</v>
      </c>
      <c r="R83" s="418">
        <v>945</v>
      </c>
      <c r="S83" s="419">
        <f t="shared" si="222"/>
        <v>0.62670000000000003</v>
      </c>
      <c r="T83" s="420">
        <v>0</v>
      </c>
      <c r="U83" s="707">
        <v>0.62670000000000003</v>
      </c>
      <c r="V83" s="427">
        <f t="shared" si="223"/>
        <v>0</v>
      </c>
      <c r="W83" s="421">
        <f t="shared" si="223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224"/>
        <v>0</v>
      </c>
      <c r="AG83" s="421">
        <f t="shared" si="225"/>
        <v>0</v>
      </c>
      <c r="AH83" s="421">
        <f t="shared" si="226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227"/>
        <v>0</v>
      </c>
      <c r="AP83" s="421">
        <f t="shared" si="228"/>
        <v>0</v>
      </c>
      <c r="AQ83" s="421">
        <f t="shared" si="229"/>
        <v>0</v>
      </c>
      <c r="AR83" s="421">
        <f t="shared" si="230"/>
        <v>0</v>
      </c>
      <c r="AS83" s="421">
        <f t="shared" si="230"/>
        <v>0</v>
      </c>
      <c r="AT83" s="421">
        <f t="shared" si="231"/>
        <v>0</v>
      </c>
      <c r="AU83" s="68">
        <f t="shared" si="232"/>
        <v>0</v>
      </c>
      <c r="AV83" s="68">
        <f t="shared" si="233"/>
        <v>0</v>
      </c>
      <c r="AW83" s="421">
        <v>0</v>
      </c>
      <c r="AX83" s="421">
        <v>0</v>
      </c>
      <c r="AY83" s="421">
        <f t="shared" si="234"/>
        <v>0</v>
      </c>
      <c r="AZ83" s="421">
        <f t="shared" si="235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 t="shared" si="236"/>
        <v>0</v>
      </c>
      <c r="BL83" s="422">
        <f t="shared" si="237"/>
        <v>0</v>
      </c>
      <c r="BM83" s="611">
        <f t="shared" si="238"/>
        <v>0</v>
      </c>
      <c r="BN83" s="428">
        <f t="shared" si="239"/>
        <v>282666</v>
      </c>
      <c r="BO83" s="421">
        <f t="shared" si="240"/>
        <v>208992</v>
      </c>
      <c r="BP83" s="421">
        <f t="shared" si="241"/>
        <v>0</v>
      </c>
      <c r="BQ83" s="421">
        <f t="shared" si="241"/>
        <v>208992</v>
      </c>
      <c r="BR83" s="421">
        <f t="shared" si="242"/>
        <v>0</v>
      </c>
      <c r="BS83" s="421">
        <f t="shared" si="243"/>
        <v>0</v>
      </c>
      <c r="BT83" s="421">
        <f t="shared" si="243"/>
        <v>0</v>
      </c>
      <c r="BU83" s="421">
        <f t="shared" si="244"/>
        <v>70639</v>
      </c>
      <c r="BV83" s="421">
        <f t="shared" si="244"/>
        <v>2090</v>
      </c>
      <c r="BW83" s="421">
        <f t="shared" si="245"/>
        <v>945</v>
      </c>
      <c r="BX83" s="422">
        <f t="shared" si="246"/>
        <v>0.62670000000000003</v>
      </c>
      <c r="BY83" s="422">
        <f t="shared" si="247"/>
        <v>0</v>
      </c>
      <c r="BZ83" s="611">
        <f t="shared" si="247"/>
        <v>0.62670000000000003</v>
      </c>
      <c r="CA83" s="423"/>
      <c r="CB83" s="418"/>
      <c r="CC83" s="418"/>
      <c r="CD83" s="418"/>
      <c r="CE83" s="418"/>
      <c r="CF83" s="527"/>
    </row>
    <row r="84" spans="1:84" ht="12.95" customHeight="1" x14ac:dyDescent="0.25">
      <c r="A84" s="282">
        <v>15</v>
      </c>
      <c r="B84" s="283">
        <v>4433</v>
      </c>
      <c r="C84" s="283">
        <v>600075001</v>
      </c>
      <c r="D84" s="283">
        <v>70695440</v>
      </c>
      <c r="E84" s="285" t="s">
        <v>337</v>
      </c>
      <c r="F84" s="283">
        <v>3143</v>
      </c>
      <c r="G84" s="286" t="s">
        <v>596</v>
      </c>
      <c r="H84" s="286" t="s">
        <v>271</v>
      </c>
      <c r="I84" s="598">
        <f t="shared" si="219"/>
        <v>625383</v>
      </c>
      <c r="J84" s="418">
        <f t="shared" si="249"/>
        <v>463934</v>
      </c>
      <c r="K84" s="418">
        <v>463934</v>
      </c>
      <c r="L84" s="418">
        <v>0</v>
      </c>
      <c r="M84" s="418">
        <f t="shared" si="220"/>
        <v>0</v>
      </c>
      <c r="N84" s="418">
        <v>0</v>
      </c>
      <c r="O84" s="418">
        <v>0</v>
      </c>
      <c r="P84" s="68">
        <f t="shared" si="221"/>
        <v>156810</v>
      </c>
      <c r="Q84" s="68">
        <f t="shared" si="248"/>
        <v>4639</v>
      </c>
      <c r="R84" s="418">
        <v>0</v>
      </c>
      <c r="S84" s="419">
        <f t="shared" si="222"/>
        <v>1</v>
      </c>
      <c r="T84" s="420">
        <v>1</v>
      </c>
      <c r="U84" s="707">
        <v>0</v>
      </c>
      <c r="V84" s="427">
        <f t="shared" si="223"/>
        <v>0</v>
      </c>
      <c r="W84" s="421">
        <f t="shared" si="223"/>
        <v>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 t="shared" si="224"/>
        <v>0</v>
      </c>
      <c r="AG84" s="421">
        <f t="shared" si="225"/>
        <v>0</v>
      </c>
      <c r="AH84" s="421">
        <f t="shared" si="226"/>
        <v>0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si="227"/>
        <v>0</v>
      </c>
      <c r="AP84" s="421">
        <f t="shared" si="228"/>
        <v>0</v>
      </c>
      <c r="AQ84" s="421">
        <f t="shared" si="229"/>
        <v>0</v>
      </c>
      <c r="AR84" s="421">
        <f t="shared" si="230"/>
        <v>0</v>
      </c>
      <c r="AS84" s="421">
        <f t="shared" si="230"/>
        <v>0</v>
      </c>
      <c r="AT84" s="421">
        <f t="shared" si="231"/>
        <v>0</v>
      </c>
      <c r="AU84" s="68">
        <f t="shared" si="232"/>
        <v>0</v>
      </c>
      <c r="AV84" s="68">
        <f t="shared" si="233"/>
        <v>0</v>
      </c>
      <c r="AW84" s="421">
        <v>0</v>
      </c>
      <c r="AX84" s="421">
        <v>0</v>
      </c>
      <c r="AY84" s="421">
        <f t="shared" si="234"/>
        <v>0</v>
      </c>
      <c r="AZ84" s="421">
        <f t="shared" si="235"/>
        <v>0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 t="shared" si="236"/>
        <v>0</v>
      </c>
      <c r="BL84" s="422">
        <f t="shared" si="237"/>
        <v>0</v>
      </c>
      <c r="BM84" s="611">
        <f t="shared" si="238"/>
        <v>0</v>
      </c>
      <c r="BN84" s="428">
        <f t="shared" si="239"/>
        <v>625383</v>
      </c>
      <c r="BO84" s="421">
        <f t="shared" si="240"/>
        <v>463934</v>
      </c>
      <c r="BP84" s="421">
        <f t="shared" si="241"/>
        <v>463934</v>
      </c>
      <c r="BQ84" s="421">
        <f t="shared" si="241"/>
        <v>0</v>
      </c>
      <c r="BR84" s="421">
        <f t="shared" si="242"/>
        <v>0</v>
      </c>
      <c r="BS84" s="421">
        <f t="shared" si="243"/>
        <v>0</v>
      </c>
      <c r="BT84" s="421">
        <f t="shared" si="243"/>
        <v>0</v>
      </c>
      <c r="BU84" s="421">
        <f t="shared" si="244"/>
        <v>156810</v>
      </c>
      <c r="BV84" s="421">
        <f t="shared" si="244"/>
        <v>4639</v>
      </c>
      <c r="BW84" s="421">
        <f t="shared" si="245"/>
        <v>0</v>
      </c>
      <c r="BX84" s="422">
        <f t="shared" si="246"/>
        <v>1</v>
      </c>
      <c r="BY84" s="422">
        <f t="shared" si="247"/>
        <v>1</v>
      </c>
      <c r="BZ84" s="611">
        <f t="shared" si="247"/>
        <v>0</v>
      </c>
      <c r="CA84" s="423"/>
      <c r="CB84" s="418"/>
      <c r="CC84" s="418"/>
      <c r="CD84" s="418"/>
      <c r="CE84" s="418"/>
      <c r="CF84" s="527"/>
    </row>
    <row r="85" spans="1:84" ht="12.95" customHeight="1" x14ac:dyDescent="0.25">
      <c r="A85" s="282">
        <v>15</v>
      </c>
      <c r="B85" s="283">
        <v>4433</v>
      </c>
      <c r="C85" s="283">
        <v>600075001</v>
      </c>
      <c r="D85" s="283">
        <v>70695440</v>
      </c>
      <c r="E85" s="285" t="s">
        <v>337</v>
      </c>
      <c r="F85" s="283">
        <v>3143</v>
      </c>
      <c r="G85" s="286" t="s">
        <v>597</v>
      </c>
      <c r="H85" s="286" t="s">
        <v>272</v>
      </c>
      <c r="I85" s="598">
        <f t="shared" si="219"/>
        <v>6675</v>
      </c>
      <c r="J85" s="418">
        <f t="shared" si="249"/>
        <v>4778</v>
      </c>
      <c r="K85" s="418">
        <v>0</v>
      </c>
      <c r="L85" s="418">
        <v>4778</v>
      </c>
      <c r="M85" s="418">
        <f t="shared" si="220"/>
        <v>0</v>
      </c>
      <c r="N85" s="418">
        <v>0</v>
      </c>
      <c r="O85" s="418">
        <v>0</v>
      </c>
      <c r="P85" s="68">
        <f t="shared" si="221"/>
        <v>1615</v>
      </c>
      <c r="Q85" s="68">
        <f t="shared" si="248"/>
        <v>48</v>
      </c>
      <c r="R85" s="418">
        <v>234</v>
      </c>
      <c r="S85" s="419">
        <f t="shared" si="222"/>
        <v>1.8100000000000002E-2</v>
      </c>
      <c r="T85" s="420">
        <v>0</v>
      </c>
      <c r="U85" s="707">
        <v>1.8100000000000002E-2</v>
      </c>
      <c r="V85" s="427">
        <f t="shared" si="223"/>
        <v>0</v>
      </c>
      <c r="W85" s="421">
        <f t="shared" si="223"/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 t="shared" si="224"/>
        <v>0</v>
      </c>
      <c r="AG85" s="421">
        <f t="shared" si="225"/>
        <v>0</v>
      </c>
      <c r="AH85" s="421">
        <f t="shared" si="226"/>
        <v>0</v>
      </c>
      <c r="AI85" s="421">
        <v>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si="227"/>
        <v>0</v>
      </c>
      <c r="AP85" s="421">
        <f t="shared" si="228"/>
        <v>0</v>
      </c>
      <c r="AQ85" s="421">
        <f t="shared" si="229"/>
        <v>0</v>
      </c>
      <c r="AR85" s="421">
        <f t="shared" si="230"/>
        <v>0</v>
      </c>
      <c r="AS85" s="421">
        <f t="shared" si="230"/>
        <v>0</v>
      </c>
      <c r="AT85" s="421">
        <f t="shared" si="231"/>
        <v>0</v>
      </c>
      <c r="AU85" s="68">
        <f t="shared" si="232"/>
        <v>0</v>
      </c>
      <c r="AV85" s="68">
        <f t="shared" si="233"/>
        <v>0</v>
      </c>
      <c r="AW85" s="421">
        <v>0</v>
      </c>
      <c r="AX85" s="421">
        <v>0</v>
      </c>
      <c r="AY85" s="421">
        <f t="shared" si="234"/>
        <v>0</v>
      </c>
      <c r="AZ85" s="421">
        <f t="shared" si="235"/>
        <v>0</v>
      </c>
      <c r="BA85" s="422">
        <v>0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 t="shared" si="236"/>
        <v>0</v>
      </c>
      <c r="BL85" s="422">
        <f t="shared" si="237"/>
        <v>0</v>
      </c>
      <c r="BM85" s="611">
        <f t="shared" si="238"/>
        <v>0</v>
      </c>
      <c r="BN85" s="428">
        <f t="shared" si="239"/>
        <v>6675</v>
      </c>
      <c r="BO85" s="421">
        <f t="shared" si="240"/>
        <v>4778</v>
      </c>
      <c r="BP85" s="421">
        <f t="shared" si="241"/>
        <v>0</v>
      </c>
      <c r="BQ85" s="421">
        <f t="shared" si="241"/>
        <v>4778</v>
      </c>
      <c r="BR85" s="421">
        <f t="shared" si="242"/>
        <v>0</v>
      </c>
      <c r="BS85" s="421">
        <f t="shared" si="243"/>
        <v>0</v>
      </c>
      <c r="BT85" s="421">
        <f t="shared" si="243"/>
        <v>0</v>
      </c>
      <c r="BU85" s="421">
        <f t="shared" si="244"/>
        <v>1615</v>
      </c>
      <c r="BV85" s="421">
        <f t="shared" si="244"/>
        <v>48</v>
      </c>
      <c r="BW85" s="421">
        <f t="shared" si="245"/>
        <v>234</v>
      </c>
      <c r="BX85" s="422">
        <f t="shared" si="246"/>
        <v>1.8100000000000002E-2</v>
      </c>
      <c r="BY85" s="422">
        <f t="shared" si="247"/>
        <v>0</v>
      </c>
      <c r="BZ85" s="611">
        <f t="shared" si="247"/>
        <v>1.8100000000000002E-2</v>
      </c>
      <c r="CA85" s="423"/>
      <c r="CB85" s="418"/>
      <c r="CC85" s="418"/>
      <c r="CD85" s="418"/>
      <c r="CE85" s="418"/>
      <c r="CF85" s="527"/>
    </row>
    <row r="86" spans="1:84" ht="12.95" customHeight="1" x14ac:dyDescent="0.25">
      <c r="A86" s="275">
        <v>15</v>
      </c>
      <c r="B86" s="277">
        <v>4433</v>
      </c>
      <c r="C86" s="277">
        <v>600075001</v>
      </c>
      <c r="D86" s="277">
        <v>70695440</v>
      </c>
      <c r="E86" s="290" t="s">
        <v>338</v>
      </c>
      <c r="F86" s="293"/>
      <c r="G86" s="294"/>
      <c r="H86" s="294"/>
      <c r="I86" s="473">
        <f t="shared" ref="I86:BT86" si="250">SUM(I80:I85)</f>
        <v>3999700</v>
      </c>
      <c r="J86" s="470">
        <f t="shared" si="250"/>
        <v>2951752</v>
      </c>
      <c r="K86" s="470">
        <f t="shared" si="250"/>
        <v>2549885</v>
      </c>
      <c r="L86" s="470">
        <f t="shared" si="250"/>
        <v>401867</v>
      </c>
      <c r="M86" s="470">
        <f t="shared" si="250"/>
        <v>0</v>
      </c>
      <c r="N86" s="470">
        <f t="shared" si="250"/>
        <v>0</v>
      </c>
      <c r="O86" s="470">
        <f t="shared" si="250"/>
        <v>0</v>
      </c>
      <c r="P86" s="470">
        <f t="shared" si="250"/>
        <v>997692</v>
      </c>
      <c r="Q86" s="470">
        <f t="shared" si="250"/>
        <v>29518</v>
      </c>
      <c r="R86" s="470">
        <f t="shared" si="250"/>
        <v>20738</v>
      </c>
      <c r="S86" s="471">
        <f t="shared" si="250"/>
        <v>5.7636999999999992</v>
      </c>
      <c r="T86" s="471">
        <f t="shared" si="250"/>
        <v>4.5455000000000005</v>
      </c>
      <c r="U86" s="292">
        <f t="shared" si="250"/>
        <v>1.2181999999999999</v>
      </c>
      <c r="V86" s="475">
        <f t="shared" si="250"/>
        <v>0</v>
      </c>
      <c r="W86" s="470">
        <f t="shared" si="250"/>
        <v>0</v>
      </c>
      <c r="X86" s="470">
        <f t="shared" si="250"/>
        <v>185401</v>
      </c>
      <c r="Y86" s="470">
        <f t="shared" si="250"/>
        <v>0</v>
      </c>
      <c r="Z86" s="470">
        <f t="shared" si="250"/>
        <v>0</v>
      </c>
      <c r="AA86" s="470">
        <f t="shared" si="250"/>
        <v>0</v>
      </c>
      <c r="AB86" s="470">
        <f t="shared" si="250"/>
        <v>0</v>
      </c>
      <c r="AC86" s="470">
        <f t="shared" si="250"/>
        <v>0</v>
      </c>
      <c r="AD86" s="470">
        <f t="shared" si="250"/>
        <v>0</v>
      </c>
      <c r="AE86" s="470">
        <f t="shared" si="250"/>
        <v>0</v>
      </c>
      <c r="AF86" s="470">
        <f t="shared" si="250"/>
        <v>185401</v>
      </c>
      <c r="AG86" s="470">
        <f t="shared" si="250"/>
        <v>0</v>
      </c>
      <c r="AH86" s="470">
        <f t="shared" si="250"/>
        <v>185401</v>
      </c>
      <c r="AI86" s="470">
        <f t="shared" si="250"/>
        <v>0</v>
      </c>
      <c r="AJ86" s="470">
        <f t="shared" si="250"/>
        <v>0</v>
      </c>
      <c r="AK86" s="470">
        <f t="shared" ref="AK86" si="251">SUM(AK80:AK85)</f>
        <v>0</v>
      </c>
      <c r="AL86" s="470">
        <f t="shared" si="250"/>
        <v>0</v>
      </c>
      <c r="AM86" s="470">
        <f t="shared" si="250"/>
        <v>0</v>
      </c>
      <c r="AN86" s="470">
        <f t="shared" si="250"/>
        <v>0</v>
      </c>
      <c r="AO86" s="470">
        <f t="shared" si="250"/>
        <v>0</v>
      </c>
      <c r="AP86" s="470">
        <f t="shared" si="250"/>
        <v>0</v>
      </c>
      <c r="AQ86" s="470">
        <f t="shared" si="250"/>
        <v>0</v>
      </c>
      <c r="AR86" s="470">
        <f t="shared" si="250"/>
        <v>185401</v>
      </c>
      <c r="AS86" s="470">
        <f t="shared" si="250"/>
        <v>0</v>
      </c>
      <c r="AT86" s="470">
        <f t="shared" si="250"/>
        <v>185401</v>
      </c>
      <c r="AU86" s="470">
        <f t="shared" si="250"/>
        <v>62666</v>
      </c>
      <c r="AV86" s="470">
        <f t="shared" si="250"/>
        <v>1854</v>
      </c>
      <c r="AW86" s="470">
        <f t="shared" si="250"/>
        <v>0</v>
      </c>
      <c r="AX86" s="470">
        <f t="shared" si="250"/>
        <v>0</v>
      </c>
      <c r="AY86" s="470">
        <f t="shared" si="250"/>
        <v>0</v>
      </c>
      <c r="AZ86" s="470">
        <f t="shared" si="250"/>
        <v>249921</v>
      </c>
      <c r="BA86" s="471">
        <f t="shared" si="250"/>
        <v>0</v>
      </c>
      <c r="BB86" s="471">
        <f t="shared" si="250"/>
        <v>0</v>
      </c>
      <c r="BC86" s="471">
        <f t="shared" si="250"/>
        <v>0.5</v>
      </c>
      <c r="BD86" s="471">
        <f t="shared" si="250"/>
        <v>0</v>
      </c>
      <c r="BE86" s="471">
        <f t="shared" si="250"/>
        <v>0</v>
      </c>
      <c r="BF86" s="471">
        <f t="shared" si="250"/>
        <v>0</v>
      </c>
      <c r="BG86" s="471">
        <f t="shared" si="250"/>
        <v>0</v>
      </c>
      <c r="BH86" s="471">
        <f t="shared" si="250"/>
        <v>0</v>
      </c>
      <c r="BI86" s="471">
        <f t="shared" si="250"/>
        <v>0</v>
      </c>
      <c r="BJ86" s="471">
        <f t="shared" si="250"/>
        <v>0</v>
      </c>
      <c r="BK86" s="471">
        <f t="shared" si="250"/>
        <v>0.5</v>
      </c>
      <c r="BL86" s="471">
        <f t="shared" si="250"/>
        <v>0</v>
      </c>
      <c r="BM86" s="561">
        <f t="shared" si="250"/>
        <v>0.5</v>
      </c>
      <c r="BN86" s="473">
        <f t="shared" si="250"/>
        <v>4249621</v>
      </c>
      <c r="BO86" s="470">
        <f t="shared" si="250"/>
        <v>3137153</v>
      </c>
      <c r="BP86" s="470">
        <f t="shared" si="250"/>
        <v>2735286</v>
      </c>
      <c r="BQ86" s="470">
        <f t="shared" si="250"/>
        <v>401867</v>
      </c>
      <c r="BR86" s="470">
        <f t="shared" si="250"/>
        <v>0</v>
      </c>
      <c r="BS86" s="470">
        <f t="shared" si="250"/>
        <v>0</v>
      </c>
      <c r="BT86" s="470">
        <f t="shared" si="250"/>
        <v>0</v>
      </c>
      <c r="BU86" s="470">
        <f t="shared" ref="BU86:CF86" si="252">SUM(BU80:BU85)</f>
        <v>1060358</v>
      </c>
      <c r="BV86" s="470">
        <f t="shared" si="252"/>
        <v>31372</v>
      </c>
      <c r="BW86" s="470">
        <f t="shared" si="252"/>
        <v>20738</v>
      </c>
      <c r="BX86" s="471">
        <f t="shared" si="252"/>
        <v>6.2636999999999992</v>
      </c>
      <c r="BY86" s="471">
        <f t="shared" si="252"/>
        <v>5.0455000000000005</v>
      </c>
      <c r="BZ86" s="561">
        <f t="shared" si="252"/>
        <v>1.2181999999999999</v>
      </c>
      <c r="CA86" s="874">
        <f t="shared" si="252"/>
        <v>0</v>
      </c>
      <c r="CB86" s="871">
        <f t="shared" si="252"/>
        <v>0</v>
      </c>
      <c r="CC86" s="871">
        <f t="shared" si="252"/>
        <v>0</v>
      </c>
      <c r="CD86" s="871">
        <f t="shared" si="252"/>
        <v>0</v>
      </c>
      <c r="CE86" s="871">
        <f t="shared" si="252"/>
        <v>0</v>
      </c>
      <c r="CF86" s="847">
        <f t="shared" si="252"/>
        <v>0</v>
      </c>
    </row>
    <row r="87" spans="1:84" ht="12.95" customHeight="1" x14ac:dyDescent="0.25">
      <c r="A87" s="282">
        <v>16</v>
      </c>
      <c r="B87" s="283">
        <v>4487</v>
      </c>
      <c r="C87" s="283">
        <v>600074854</v>
      </c>
      <c r="D87" s="283">
        <v>70698503</v>
      </c>
      <c r="E87" s="285" t="s">
        <v>339</v>
      </c>
      <c r="F87" s="283">
        <v>3111</v>
      </c>
      <c r="G87" s="286" t="s">
        <v>305</v>
      </c>
      <c r="H87" s="286" t="s">
        <v>271</v>
      </c>
      <c r="I87" s="598">
        <f t="shared" ref="I87:I92" si="253">J87+M87+P87+Q87+R87</f>
        <v>2359418</v>
      </c>
      <c r="J87" s="418">
        <f t="shared" si="249"/>
        <v>1745754</v>
      </c>
      <c r="K87" s="418">
        <v>1635531</v>
      </c>
      <c r="L87" s="418">
        <v>110223</v>
      </c>
      <c r="M87" s="418">
        <f t="shared" ref="M87:M92" si="254">N87+O87</f>
        <v>0</v>
      </c>
      <c r="N87" s="418">
        <v>0</v>
      </c>
      <c r="O87" s="418">
        <v>0</v>
      </c>
      <c r="P87" s="68">
        <f t="shared" ref="P87:P92" si="255">ROUND((J87+M87)*33.8%,0)</f>
        <v>590065</v>
      </c>
      <c r="Q87" s="68">
        <f t="shared" ref="Q87:Q92" si="256">ROUND(J87*1%,0)</f>
        <v>17458</v>
      </c>
      <c r="R87" s="418">
        <v>6141</v>
      </c>
      <c r="S87" s="419">
        <f t="shared" ref="S87:S92" si="257">T87+U87</f>
        <v>3.4496000000000002</v>
      </c>
      <c r="T87" s="420">
        <v>3.008</v>
      </c>
      <c r="U87" s="707">
        <v>0.44159999999999999</v>
      </c>
      <c r="V87" s="427">
        <f t="shared" ref="V87:W92" si="258">AI87*-1</f>
        <v>0</v>
      </c>
      <c r="W87" s="421">
        <f t="shared" si="258"/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 t="shared" ref="AF87:AF92" si="259">V87+X87+Y87+AA87+AB87+AD87</f>
        <v>0</v>
      </c>
      <c r="AG87" s="421">
        <f t="shared" ref="AG87:AG92" si="260">W87+Z87+AC87+AE87</f>
        <v>0</v>
      </c>
      <c r="AH87" s="421">
        <f t="shared" ref="AH87:AH92" si="261">SUM(AF87:AG87)</f>
        <v>0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ref="AO87:AO92" si="262">AI87+AK87+AL87+AM87</f>
        <v>0</v>
      </c>
      <c r="AP87" s="421">
        <f t="shared" ref="AP87:AP92" si="263">AJ87+AN87</f>
        <v>0</v>
      </c>
      <c r="AQ87" s="421">
        <f t="shared" ref="AQ87:AQ92" si="264">SUM(AO87:AP87)</f>
        <v>0</v>
      </c>
      <c r="AR87" s="421">
        <f t="shared" ref="AR87:AS92" si="265">AF87+AO87</f>
        <v>0</v>
      </c>
      <c r="AS87" s="421">
        <f t="shared" si="265"/>
        <v>0</v>
      </c>
      <c r="AT87" s="421">
        <f t="shared" ref="AT87:AT92" si="266">SUM(AR87:AS87)</f>
        <v>0</v>
      </c>
      <c r="AU87" s="68">
        <f t="shared" ref="AU87:AU92" si="267">ROUND((AH87+AI87+AJ87+AK87+AL87)*33.8%,0)</f>
        <v>0</v>
      </c>
      <c r="AV87" s="68">
        <f t="shared" ref="AV87:AV92" si="268">ROUND(AH87*1%,0)</f>
        <v>0</v>
      </c>
      <c r="AW87" s="421">
        <v>0</v>
      </c>
      <c r="AX87" s="421">
        <v>0</v>
      </c>
      <c r="AY87" s="421">
        <f t="shared" ref="AY87:AY92" si="269">AW87+AX87</f>
        <v>0</v>
      </c>
      <c r="AZ87" s="421">
        <f t="shared" ref="AZ87:AZ92" si="270">AT87+AU87+AV87+AY87</f>
        <v>0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 t="shared" ref="BK87:BK92" si="271">BA87+BC87+BD87+BF87+BH87+BI87</f>
        <v>0</v>
      </c>
      <c r="BL87" s="422">
        <f t="shared" ref="BL87:BL92" si="272">BB87+BE87+BG87+BJ87</f>
        <v>0</v>
      </c>
      <c r="BM87" s="611">
        <f t="shared" ref="BM87:BM92" si="273">SUM(BK87:BL87)</f>
        <v>0</v>
      </c>
      <c r="BN87" s="428">
        <f t="shared" ref="BN87:BN92" si="274">I87+AZ87</f>
        <v>2359418</v>
      </c>
      <c r="BO87" s="421">
        <f t="shared" ref="BO87:BO92" si="275">J87+AH87</f>
        <v>1745754</v>
      </c>
      <c r="BP87" s="421">
        <f t="shared" ref="BP87:BQ92" si="276">K87+AF87</f>
        <v>1635531</v>
      </c>
      <c r="BQ87" s="421">
        <f t="shared" si="276"/>
        <v>110223</v>
      </c>
      <c r="BR87" s="421">
        <f t="shared" ref="BR87:BR92" si="277">M87+AQ87</f>
        <v>0</v>
      </c>
      <c r="BS87" s="421">
        <f t="shared" ref="BS87:BT92" si="278">N87+AO87</f>
        <v>0</v>
      </c>
      <c r="BT87" s="421">
        <f t="shared" si="278"/>
        <v>0</v>
      </c>
      <c r="BU87" s="421">
        <f t="shared" ref="BU87:BV92" si="279">P87+AU87</f>
        <v>590065</v>
      </c>
      <c r="BV87" s="421">
        <f t="shared" si="279"/>
        <v>17458</v>
      </c>
      <c r="BW87" s="421">
        <f t="shared" ref="BW87:BW92" si="280">R87+AY87</f>
        <v>6141</v>
      </c>
      <c r="BX87" s="422">
        <f t="shared" ref="BX87:BX92" si="281">S87+BM87</f>
        <v>3.4496000000000002</v>
      </c>
      <c r="BY87" s="422">
        <f t="shared" ref="BY87:BZ92" si="282">T87+BK87</f>
        <v>3.008</v>
      </c>
      <c r="BZ87" s="611">
        <f t="shared" si="282"/>
        <v>0.44159999999999999</v>
      </c>
      <c r="CA87" s="423"/>
      <c r="CB87" s="418"/>
      <c r="CC87" s="418"/>
      <c r="CD87" s="418"/>
      <c r="CE87" s="418"/>
      <c r="CF87" s="527"/>
    </row>
    <row r="88" spans="1:84" ht="12.95" customHeight="1" x14ac:dyDescent="0.25">
      <c r="A88" s="282">
        <v>16</v>
      </c>
      <c r="B88" s="283">
        <v>4487</v>
      </c>
      <c r="C88" s="283">
        <v>600074854</v>
      </c>
      <c r="D88" s="283">
        <v>70698503</v>
      </c>
      <c r="E88" s="285" t="s">
        <v>339</v>
      </c>
      <c r="F88" s="283">
        <v>3117</v>
      </c>
      <c r="G88" s="286" t="s">
        <v>309</v>
      </c>
      <c r="H88" s="286" t="s">
        <v>271</v>
      </c>
      <c r="I88" s="598">
        <f t="shared" si="253"/>
        <v>3987453</v>
      </c>
      <c r="J88" s="418">
        <f t="shared" si="249"/>
        <v>2897563</v>
      </c>
      <c r="K88" s="418">
        <v>2514702</v>
      </c>
      <c r="L88" s="418">
        <v>382861</v>
      </c>
      <c r="M88" s="418">
        <f t="shared" si="254"/>
        <v>0</v>
      </c>
      <c r="N88" s="418">
        <v>0</v>
      </c>
      <c r="O88" s="418">
        <v>0</v>
      </c>
      <c r="P88" s="68">
        <f t="shared" si="255"/>
        <v>979376</v>
      </c>
      <c r="Q88" s="68">
        <f>ROUND(J88*1%,0)-1</f>
        <v>28975</v>
      </c>
      <c r="R88" s="418">
        <v>81539</v>
      </c>
      <c r="S88" s="419">
        <f t="shared" si="257"/>
        <v>5.2776999999999994</v>
      </c>
      <c r="T88" s="420">
        <v>4.2954999999999997</v>
      </c>
      <c r="U88" s="707">
        <v>0.98220000000000007</v>
      </c>
      <c r="V88" s="427">
        <f t="shared" si="258"/>
        <v>0</v>
      </c>
      <c r="W88" s="421">
        <f t="shared" si="258"/>
        <v>-128000</v>
      </c>
      <c r="X88" s="421">
        <v>0</v>
      </c>
      <c r="Y88" s="421">
        <v>0</v>
      </c>
      <c r="Z88" s="421">
        <v>0</v>
      </c>
      <c r="AA88" s="421">
        <v>0</v>
      </c>
      <c r="AB88" s="421">
        <v>0</v>
      </c>
      <c r="AC88" s="421">
        <v>0</v>
      </c>
      <c r="AD88" s="421">
        <v>0</v>
      </c>
      <c r="AE88" s="421">
        <v>0</v>
      </c>
      <c r="AF88" s="421">
        <f t="shared" si="259"/>
        <v>0</v>
      </c>
      <c r="AG88" s="421">
        <f t="shared" si="260"/>
        <v>-128000</v>
      </c>
      <c r="AH88" s="421">
        <f t="shared" si="261"/>
        <v>-128000</v>
      </c>
      <c r="AI88" s="421">
        <v>0</v>
      </c>
      <c r="AJ88" s="421">
        <v>128000</v>
      </c>
      <c r="AK88" s="421">
        <v>0</v>
      </c>
      <c r="AL88" s="421">
        <v>0</v>
      </c>
      <c r="AM88" s="421">
        <v>0</v>
      </c>
      <c r="AN88" s="421">
        <v>0</v>
      </c>
      <c r="AO88" s="421">
        <f t="shared" si="262"/>
        <v>0</v>
      </c>
      <c r="AP88" s="421">
        <f t="shared" si="263"/>
        <v>128000</v>
      </c>
      <c r="AQ88" s="421">
        <f t="shared" si="264"/>
        <v>128000</v>
      </c>
      <c r="AR88" s="421">
        <f t="shared" si="265"/>
        <v>0</v>
      </c>
      <c r="AS88" s="421">
        <f t="shared" si="265"/>
        <v>0</v>
      </c>
      <c r="AT88" s="421">
        <f t="shared" si="266"/>
        <v>0</v>
      </c>
      <c r="AU88" s="68">
        <f t="shared" si="267"/>
        <v>0</v>
      </c>
      <c r="AV88" s="68">
        <f t="shared" si="268"/>
        <v>-1280</v>
      </c>
      <c r="AW88" s="421">
        <v>0</v>
      </c>
      <c r="AX88" s="421">
        <v>0</v>
      </c>
      <c r="AY88" s="421">
        <f t="shared" si="269"/>
        <v>0</v>
      </c>
      <c r="AZ88" s="421">
        <f t="shared" si="270"/>
        <v>-1280</v>
      </c>
      <c r="BA88" s="422">
        <v>0</v>
      </c>
      <c r="BB88" s="422">
        <v>-0.38</v>
      </c>
      <c r="BC88" s="422">
        <v>0</v>
      </c>
      <c r="BD88" s="422">
        <v>0</v>
      </c>
      <c r="BE88" s="422">
        <v>0</v>
      </c>
      <c r="BF88" s="422">
        <v>0</v>
      </c>
      <c r="BG88" s="422">
        <v>0</v>
      </c>
      <c r="BH88" s="422">
        <v>0</v>
      </c>
      <c r="BI88" s="422">
        <v>0</v>
      </c>
      <c r="BJ88" s="422">
        <v>0</v>
      </c>
      <c r="BK88" s="422">
        <f t="shared" si="271"/>
        <v>0</v>
      </c>
      <c r="BL88" s="422">
        <f t="shared" si="272"/>
        <v>-0.38</v>
      </c>
      <c r="BM88" s="611">
        <f t="shared" si="273"/>
        <v>-0.38</v>
      </c>
      <c r="BN88" s="428">
        <f t="shared" si="274"/>
        <v>3986173</v>
      </c>
      <c r="BO88" s="421">
        <f t="shared" si="275"/>
        <v>2769563</v>
      </c>
      <c r="BP88" s="421">
        <f t="shared" si="276"/>
        <v>2514702</v>
      </c>
      <c r="BQ88" s="421">
        <f t="shared" si="276"/>
        <v>254861</v>
      </c>
      <c r="BR88" s="421">
        <f t="shared" si="277"/>
        <v>128000</v>
      </c>
      <c r="BS88" s="421">
        <f t="shared" si="278"/>
        <v>0</v>
      </c>
      <c r="BT88" s="421">
        <f t="shared" si="278"/>
        <v>128000</v>
      </c>
      <c r="BU88" s="421">
        <f t="shared" si="279"/>
        <v>979376</v>
      </c>
      <c r="BV88" s="421">
        <f t="shared" si="279"/>
        <v>27695</v>
      </c>
      <c r="BW88" s="421">
        <f t="shared" si="280"/>
        <v>81539</v>
      </c>
      <c r="BX88" s="422">
        <f t="shared" si="281"/>
        <v>4.8976999999999995</v>
      </c>
      <c r="BY88" s="422">
        <f t="shared" si="282"/>
        <v>4.2954999999999997</v>
      </c>
      <c r="BZ88" s="611">
        <f t="shared" si="282"/>
        <v>0.60220000000000007</v>
      </c>
      <c r="CA88" s="423"/>
      <c r="CB88" s="418"/>
      <c r="CC88" s="418"/>
      <c r="CD88" s="418"/>
      <c r="CE88" s="418"/>
      <c r="CF88" s="527"/>
    </row>
    <row r="89" spans="1:84" ht="12.95" customHeight="1" x14ac:dyDescent="0.25">
      <c r="A89" s="282">
        <v>16</v>
      </c>
      <c r="B89" s="283">
        <v>4487</v>
      </c>
      <c r="C89" s="283">
        <v>600074854</v>
      </c>
      <c r="D89" s="283">
        <v>70698503</v>
      </c>
      <c r="E89" s="285" t="s">
        <v>339</v>
      </c>
      <c r="F89" s="283">
        <v>3117</v>
      </c>
      <c r="G89" s="286" t="s">
        <v>299</v>
      </c>
      <c r="H89" s="286" t="s">
        <v>272</v>
      </c>
      <c r="I89" s="598">
        <f t="shared" si="253"/>
        <v>0</v>
      </c>
      <c r="J89" s="418">
        <f t="shared" si="249"/>
        <v>0</v>
      </c>
      <c r="K89" s="418">
        <v>0</v>
      </c>
      <c r="L89" s="418">
        <v>0</v>
      </c>
      <c r="M89" s="418">
        <f t="shared" si="254"/>
        <v>0</v>
      </c>
      <c r="N89" s="418">
        <v>0</v>
      </c>
      <c r="O89" s="418">
        <v>0</v>
      </c>
      <c r="P89" s="68">
        <f t="shared" si="255"/>
        <v>0</v>
      </c>
      <c r="Q89" s="68">
        <f t="shared" ref="Q89" si="283">ROUND(J89*1%,0)</f>
        <v>0</v>
      </c>
      <c r="R89" s="418">
        <v>0</v>
      </c>
      <c r="S89" s="419">
        <f t="shared" si="257"/>
        <v>0</v>
      </c>
      <c r="T89" s="420">
        <v>0</v>
      </c>
      <c r="U89" s="707">
        <v>0</v>
      </c>
      <c r="V89" s="427">
        <f t="shared" si="258"/>
        <v>0</v>
      </c>
      <c r="W89" s="421">
        <f t="shared" si="258"/>
        <v>0</v>
      </c>
      <c r="X89" s="421">
        <v>1297804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 t="shared" si="259"/>
        <v>1297804</v>
      </c>
      <c r="AG89" s="421">
        <f t="shared" si="260"/>
        <v>0</v>
      </c>
      <c r="AH89" s="421">
        <f t="shared" si="261"/>
        <v>1297804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si="262"/>
        <v>0</v>
      </c>
      <c r="AP89" s="421">
        <f t="shared" si="263"/>
        <v>0</v>
      </c>
      <c r="AQ89" s="421">
        <f t="shared" si="264"/>
        <v>0</v>
      </c>
      <c r="AR89" s="421">
        <f t="shared" si="265"/>
        <v>1297804</v>
      </c>
      <c r="AS89" s="421">
        <f t="shared" si="265"/>
        <v>0</v>
      </c>
      <c r="AT89" s="421">
        <f t="shared" si="266"/>
        <v>1297804</v>
      </c>
      <c r="AU89" s="68">
        <f t="shared" si="267"/>
        <v>438658</v>
      </c>
      <c r="AV89" s="68">
        <f t="shared" si="268"/>
        <v>12978</v>
      </c>
      <c r="AW89" s="421">
        <v>0</v>
      </c>
      <c r="AX89" s="421">
        <v>0</v>
      </c>
      <c r="AY89" s="421">
        <f t="shared" si="269"/>
        <v>0</v>
      </c>
      <c r="AZ89" s="421">
        <f t="shared" si="270"/>
        <v>1749440</v>
      </c>
      <c r="BA89" s="422">
        <v>0</v>
      </c>
      <c r="BB89" s="422">
        <v>0</v>
      </c>
      <c r="BC89" s="422">
        <v>3.5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 t="shared" si="271"/>
        <v>3.5</v>
      </c>
      <c r="BL89" s="422">
        <f t="shared" si="272"/>
        <v>0</v>
      </c>
      <c r="BM89" s="611">
        <f t="shared" si="273"/>
        <v>3.5</v>
      </c>
      <c r="BN89" s="428">
        <f t="shared" si="274"/>
        <v>1749440</v>
      </c>
      <c r="BO89" s="421">
        <f t="shared" si="275"/>
        <v>1297804</v>
      </c>
      <c r="BP89" s="421">
        <f t="shared" si="276"/>
        <v>1297804</v>
      </c>
      <c r="BQ89" s="421">
        <f t="shared" si="276"/>
        <v>0</v>
      </c>
      <c r="BR89" s="421">
        <f t="shared" si="277"/>
        <v>0</v>
      </c>
      <c r="BS89" s="421">
        <f t="shared" si="278"/>
        <v>0</v>
      </c>
      <c r="BT89" s="421">
        <f t="shared" si="278"/>
        <v>0</v>
      </c>
      <c r="BU89" s="421">
        <f t="shared" si="279"/>
        <v>438658</v>
      </c>
      <c r="BV89" s="421">
        <f t="shared" si="279"/>
        <v>12978</v>
      </c>
      <c r="BW89" s="421">
        <f t="shared" si="280"/>
        <v>0</v>
      </c>
      <c r="BX89" s="422">
        <f t="shared" si="281"/>
        <v>3.5</v>
      </c>
      <c r="BY89" s="422">
        <f t="shared" si="282"/>
        <v>3.5</v>
      </c>
      <c r="BZ89" s="611">
        <f t="shared" si="282"/>
        <v>0</v>
      </c>
      <c r="CA89" s="423"/>
      <c r="CB89" s="418"/>
      <c r="CC89" s="418"/>
      <c r="CD89" s="418"/>
      <c r="CE89" s="418"/>
      <c r="CF89" s="527"/>
    </row>
    <row r="90" spans="1:84" ht="12.95" customHeight="1" x14ac:dyDescent="0.25">
      <c r="A90" s="282">
        <v>16</v>
      </c>
      <c r="B90" s="283">
        <v>4487</v>
      </c>
      <c r="C90" s="283">
        <v>600074854</v>
      </c>
      <c r="D90" s="283">
        <v>70698503</v>
      </c>
      <c r="E90" s="285" t="s">
        <v>339</v>
      </c>
      <c r="F90" s="283">
        <v>3141</v>
      </c>
      <c r="G90" s="286" t="s">
        <v>295</v>
      </c>
      <c r="H90" s="286" t="s">
        <v>272</v>
      </c>
      <c r="I90" s="598">
        <f t="shared" si="253"/>
        <v>532581</v>
      </c>
      <c r="J90" s="418">
        <f t="shared" si="249"/>
        <v>393506</v>
      </c>
      <c r="K90" s="418">
        <v>0</v>
      </c>
      <c r="L90" s="418">
        <v>393506</v>
      </c>
      <c r="M90" s="418">
        <f t="shared" si="254"/>
        <v>0</v>
      </c>
      <c r="N90" s="418">
        <v>0</v>
      </c>
      <c r="O90" s="418">
        <v>0</v>
      </c>
      <c r="P90" s="68">
        <f t="shared" si="255"/>
        <v>133005</v>
      </c>
      <c r="Q90" s="68">
        <f t="shared" si="256"/>
        <v>3935</v>
      </c>
      <c r="R90" s="418">
        <v>2135</v>
      </c>
      <c r="S90" s="419">
        <f t="shared" si="257"/>
        <v>1.18</v>
      </c>
      <c r="T90" s="420">
        <v>0</v>
      </c>
      <c r="U90" s="707">
        <v>1.18</v>
      </c>
      <c r="V90" s="427">
        <f t="shared" si="258"/>
        <v>0</v>
      </c>
      <c r="W90" s="421">
        <f t="shared" si="258"/>
        <v>0</v>
      </c>
      <c r="X90" s="421">
        <v>0</v>
      </c>
      <c r="Y90" s="421">
        <v>0</v>
      </c>
      <c r="Z90" s="421">
        <v>0</v>
      </c>
      <c r="AA90" s="421">
        <v>0</v>
      </c>
      <c r="AB90" s="421">
        <v>0</v>
      </c>
      <c r="AC90" s="421">
        <v>0</v>
      </c>
      <c r="AD90" s="421">
        <v>0</v>
      </c>
      <c r="AE90" s="421">
        <v>0</v>
      </c>
      <c r="AF90" s="421">
        <f t="shared" si="259"/>
        <v>0</v>
      </c>
      <c r="AG90" s="421">
        <f t="shared" si="260"/>
        <v>0</v>
      </c>
      <c r="AH90" s="421">
        <f t="shared" si="261"/>
        <v>0</v>
      </c>
      <c r="AI90" s="421">
        <v>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si="262"/>
        <v>0</v>
      </c>
      <c r="AP90" s="421">
        <f t="shared" si="263"/>
        <v>0</v>
      </c>
      <c r="AQ90" s="421">
        <f t="shared" si="264"/>
        <v>0</v>
      </c>
      <c r="AR90" s="421">
        <f t="shared" si="265"/>
        <v>0</v>
      </c>
      <c r="AS90" s="421">
        <f t="shared" si="265"/>
        <v>0</v>
      </c>
      <c r="AT90" s="421">
        <f t="shared" si="266"/>
        <v>0</v>
      </c>
      <c r="AU90" s="68">
        <f t="shared" si="267"/>
        <v>0</v>
      </c>
      <c r="AV90" s="68">
        <f t="shared" si="268"/>
        <v>0</v>
      </c>
      <c r="AW90" s="421">
        <v>0</v>
      </c>
      <c r="AX90" s="421">
        <v>0</v>
      </c>
      <c r="AY90" s="421">
        <f t="shared" si="269"/>
        <v>0</v>
      </c>
      <c r="AZ90" s="421">
        <f t="shared" si="270"/>
        <v>0</v>
      </c>
      <c r="BA90" s="422">
        <v>0</v>
      </c>
      <c r="BB90" s="422">
        <v>0</v>
      </c>
      <c r="BC90" s="422">
        <v>0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 t="shared" si="271"/>
        <v>0</v>
      </c>
      <c r="BL90" s="422">
        <f t="shared" si="272"/>
        <v>0</v>
      </c>
      <c r="BM90" s="611">
        <f t="shared" si="273"/>
        <v>0</v>
      </c>
      <c r="BN90" s="428">
        <f t="shared" si="274"/>
        <v>532581</v>
      </c>
      <c r="BO90" s="421">
        <f t="shared" si="275"/>
        <v>393506</v>
      </c>
      <c r="BP90" s="421">
        <f t="shared" si="276"/>
        <v>0</v>
      </c>
      <c r="BQ90" s="421">
        <f t="shared" si="276"/>
        <v>393506</v>
      </c>
      <c r="BR90" s="421">
        <f t="shared" si="277"/>
        <v>0</v>
      </c>
      <c r="BS90" s="421">
        <f t="shared" si="278"/>
        <v>0</v>
      </c>
      <c r="BT90" s="421">
        <f t="shared" si="278"/>
        <v>0</v>
      </c>
      <c r="BU90" s="421">
        <f t="shared" si="279"/>
        <v>133005</v>
      </c>
      <c r="BV90" s="421">
        <f t="shared" si="279"/>
        <v>3935</v>
      </c>
      <c r="BW90" s="421">
        <f t="shared" si="280"/>
        <v>2135</v>
      </c>
      <c r="BX90" s="422">
        <f t="shared" si="281"/>
        <v>1.18</v>
      </c>
      <c r="BY90" s="422">
        <f t="shared" si="282"/>
        <v>0</v>
      </c>
      <c r="BZ90" s="611">
        <f t="shared" si="282"/>
        <v>1.18</v>
      </c>
      <c r="CA90" s="423"/>
      <c r="CB90" s="418"/>
      <c r="CC90" s="418"/>
      <c r="CD90" s="418"/>
      <c r="CE90" s="418"/>
      <c r="CF90" s="527"/>
    </row>
    <row r="91" spans="1:84" ht="12.95" customHeight="1" x14ac:dyDescent="0.25">
      <c r="A91" s="282">
        <v>16</v>
      </c>
      <c r="B91" s="283">
        <v>4487</v>
      </c>
      <c r="C91" s="283">
        <v>600074854</v>
      </c>
      <c r="D91" s="283">
        <v>70698503</v>
      </c>
      <c r="E91" s="285" t="s">
        <v>339</v>
      </c>
      <c r="F91" s="283">
        <v>3143</v>
      </c>
      <c r="G91" s="286" t="s">
        <v>596</v>
      </c>
      <c r="H91" s="286" t="s">
        <v>271</v>
      </c>
      <c r="I91" s="598">
        <f t="shared" si="253"/>
        <v>1152012</v>
      </c>
      <c r="J91" s="418">
        <f t="shared" si="249"/>
        <v>854608</v>
      </c>
      <c r="K91" s="418">
        <v>854608</v>
      </c>
      <c r="L91" s="418">
        <v>0</v>
      </c>
      <c r="M91" s="418">
        <f t="shared" si="254"/>
        <v>0</v>
      </c>
      <c r="N91" s="418">
        <v>0</v>
      </c>
      <c r="O91" s="418">
        <v>0</v>
      </c>
      <c r="P91" s="68">
        <f t="shared" si="255"/>
        <v>288858</v>
      </c>
      <c r="Q91" s="68">
        <f t="shared" si="256"/>
        <v>8546</v>
      </c>
      <c r="R91" s="418">
        <v>0</v>
      </c>
      <c r="S91" s="419">
        <f t="shared" si="257"/>
        <v>2</v>
      </c>
      <c r="T91" s="420">
        <v>2</v>
      </c>
      <c r="U91" s="707">
        <v>0</v>
      </c>
      <c r="V91" s="427">
        <f t="shared" si="258"/>
        <v>0</v>
      </c>
      <c r="W91" s="421">
        <f t="shared" si="258"/>
        <v>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 t="shared" si="259"/>
        <v>0</v>
      </c>
      <c r="AG91" s="421">
        <f t="shared" si="260"/>
        <v>0</v>
      </c>
      <c r="AH91" s="421">
        <f t="shared" si="261"/>
        <v>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262"/>
        <v>0</v>
      </c>
      <c r="AP91" s="421">
        <f t="shared" si="263"/>
        <v>0</v>
      </c>
      <c r="AQ91" s="421">
        <f t="shared" si="264"/>
        <v>0</v>
      </c>
      <c r="AR91" s="421">
        <f t="shared" si="265"/>
        <v>0</v>
      </c>
      <c r="AS91" s="421">
        <f t="shared" si="265"/>
        <v>0</v>
      </c>
      <c r="AT91" s="421">
        <f t="shared" si="266"/>
        <v>0</v>
      </c>
      <c r="AU91" s="68">
        <f t="shared" si="267"/>
        <v>0</v>
      </c>
      <c r="AV91" s="68">
        <f t="shared" si="268"/>
        <v>0</v>
      </c>
      <c r="AW91" s="421">
        <v>0</v>
      </c>
      <c r="AX91" s="421">
        <v>0</v>
      </c>
      <c r="AY91" s="421">
        <f t="shared" si="269"/>
        <v>0</v>
      </c>
      <c r="AZ91" s="421">
        <f t="shared" si="270"/>
        <v>0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 t="shared" si="271"/>
        <v>0</v>
      </c>
      <c r="BL91" s="422">
        <f t="shared" si="272"/>
        <v>0</v>
      </c>
      <c r="BM91" s="611">
        <f t="shared" si="273"/>
        <v>0</v>
      </c>
      <c r="BN91" s="428">
        <f t="shared" si="274"/>
        <v>1152012</v>
      </c>
      <c r="BO91" s="421">
        <f t="shared" si="275"/>
        <v>854608</v>
      </c>
      <c r="BP91" s="421">
        <f t="shared" si="276"/>
        <v>854608</v>
      </c>
      <c r="BQ91" s="421">
        <f t="shared" si="276"/>
        <v>0</v>
      </c>
      <c r="BR91" s="421">
        <f t="shared" si="277"/>
        <v>0</v>
      </c>
      <c r="BS91" s="421">
        <f t="shared" si="278"/>
        <v>0</v>
      </c>
      <c r="BT91" s="421">
        <f t="shared" si="278"/>
        <v>0</v>
      </c>
      <c r="BU91" s="421">
        <f t="shared" si="279"/>
        <v>288858</v>
      </c>
      <c r="BV91" s="421">
        <f t="shared" si="279"/>
        <v>8546</v>
      </c>
      <c r="BW91" s="421">
        <f t="shared" si="280"/>
        <v>0</v>
      </c>
      <c r="BX91" s="422">
        <f t="shared" si="281"/>
        <v>2</v>
      </c>
      <c r="BY91" s="422">
        <f t="shared" si="282"/>
        <v>2</v>
      </c>
      <c r="BZ91" s="611">
        <f t="shared" si="282"/>
        <v>0</v>
      </c>
      <c r="CA91" s="423"/>
      <c r="CB91" s="418"/>
      <c r="CC91" s="418"/>
      <c r="CD91" s="418"/>
      <c r="CE91" s="418"/>
      <c r="CF91" s="527"/>
    </row>
    <row r="92" spans="1:84" ht="12.95" customHeight="1" x14ac:dyDescent="0.25">
      <c r="A92" s="282">
        <v>16</v>
      </c>
      <c r="B92" s="283">
        <v>4487</v>
      </c>
      <c r="C92" s="283">
        <v>600074854</v>
      </c>
      <c r="D92" s="283">
        <v>70698503</v>
      </c>
      <c r="E92" s="285" t="s">
        <v>339</v>
      </c>
      <c r="F92" s="283">
        <v>3143</v>
      </c>
      <c r="G92" s="286" t="s">
        <v>597</v>
      </c>
      <c r="H92" s="286" t="s">
        <v>272</v>
      </c>
      <c r="I92" s="598">
        <f t="shared" si="253"/>
        <v>22020</v>
      </c>
      <c r="J92" s="418">
        <f t="shared" si="249"/>
        <v>15761</v>
      </c>
      <c r="K92" s="418">
        <v>0</v>
      </c>
      <c r="L92" s="418">
        <v>15761</v>
      </c>
      <c r="M92" s="418">
        <f t="shared" si="254"/>
        <v>0</v>
      </c>
      <c r="N92" s="418">
        <v>0</v>
      </c>
      <c r="O92" s="418">
        <v>0</v>
      </c>
      <c r="P92" s="68">
        <f t="shared" si="255"/>
        <v>5327</v>
      </c>
      <c r="Q92" s="68">
        <f t="shared" si="256"/>
        <v>158</v>
      </c>
      <c r="R92" s="418">
        <v>774</v>
      </c>
      <c r="S92" s="419">
        <f t="shared" si="257"/>
        <v>5.9700000000000003E-2</v>
      </c>
      <c r="T92" s="420">
        <v>0</v>
      </c>
      <c r="U92" s="707">
        <v>5.9700000000000003E-2</v>
      </c>
      <c r="V92" s="427">
        <f t="shared" si="258"/>
        <v>0</v>
      </c>
      <c r="W92" s="421">
        <f t="shared" si="258"/>
        <v>0</v>
      </c>
      <c r="X92" s="421">
        <v>0</v>
      </c>
      <c r="Y92" s="421">
        <v>0</v>
      </c>
      <c r="Z92" s="421">
        <v>0</v>
      </c>
      <c r="AA92" s="421">
        <v>0</v>
      </c>
      <c r="AB92" s="421">
        <v>0</v>
      </c>
      <c r="AC92" s="421">
        <v>0</v>
      </c>
      <c r="AD92" s="421">
        <v>0</v>
      </c>
      <c r="AE92" s="421">
        <v>0</v>
      </c>
      <c r="AF92" s="421">
        <f t="shared" si="259"/>
        <v>0</v>
      </c>
      <c r="AG92" s="421">
        <f t="shared" si="260"/>
        <v>0</v>
      </c>
      <c r="AH92" s="421">
        <f t="shared" si="261"/>
        <v>0</v>
      </c>
      <c r="AI92" s="421">
        <v>0</v>
      </c>
      <c r="AJ92" s="421">
        <v>0</v>
      </c>
      <c r="AK92" s="421">
        <v>0</v>
      </c>
      <c r="AL92" s="421">
        <v>0</v>
      </c>
      <c r="AM92" s="421">
        <v>0</v>
      </c>
      <c r="AN92" s="421">
        <v>0</v>
      </c>
      <c r="AO92" s="421">
        <f t="shared" si="262"/>
        <v>0</v>
      </c>
      <c r="AP92" s="421">
        <f t="shared" si="263"/>
        <v>0</v>
      </c>
      <c r="AQ92" s="421">
        <f t="shared" si="264"/>
        <v>0</v>
      </c>
      <c r="AR92" s="421">
        <f t="shared" si="265"/>
        <v>0</v>
      </c>
      <c r="AS92" s="421">
        <f t="shared" si="265"/>
        <v>0</v>
      </c>
      <c r="AT92" s="421">
        <f t="shared" si="266"/>
        <v>0</v>
      </c>
      <c r="AU92" s="68">
        <f t="shared" si="267"/>
        <v>0</v>
      </c>
      <c r="AV92" s="68">
        <f t="shared" si="268"/>
        <v>0</v>
      </c>
      <c r="AW92" s="421">
        <v>0</v>
      </c>
      <c r="AX92" s="421">
        <v>0</v>
      </c>
      <c r="AY92" s="421">
        <f t="shared" si="269"/>
        <v>0</v>
      </c>
      <c r="AZ92" s="421">
        <f t="shared" si="270"/>
        <v>0</v>
      </c>
      <c r="BA92" s="422">
        <v>0</v>
      </c>
      <c r="BB92" s="422">
        <v>0</v>
      </c>
      <c r="BC92" s="422">
        <v>0</v>
      </c>
      <c r="BD92" s="422">
        <v>0</v>
      </c>
      <c r="BE92" s="422">
        <v>0</v>
      </c>
      <c r="BF92" s="422">
        <v>0</v>
      </c>
      <c r="BG92" s="422">
        <v>0</v>
      </c>
      <c r="BH92" s="422">
        <v>0</v>
      </c>
      <c r="BI92" s="422">
        <v>0</v>
      </c>
      <c r="BJ92" s="422">
        <v>0</v>
      </c>
      <c r="BK92" s="422">
        <f t="shared" si="271"/>
        <v>0</v>
      </c>
      <c r="BL92" s="422">
        <f t="shared" si="272"/>
        <v>0</v>
      </c>
      <c r="BM92" s="611">
        <f t="shared" si="273"/>
        <v>0</v>
      </c>
      <c r="BN92" s="428">
        <f t="shared" si="274"/>
        <v>22020</v>
      </c>
      <c r="BO92" s="421">
        <f t="shared" si="275"/>
        <v>15761</v>
      </c>
      <c r="BP92" s="421">
        <f t="shared" si="276"/>
        <v>0</v>
      </c>
      <c r="BQ92" s="421">
        <f t="shared" si="276"/>
        <v>15761</v>
      </c>
      <c r="BR92" s="421">
        <f t="shared" si="277"/>
        <v>0</v>
      </c>
      <c r="BS92" s="421">
        <f t="shared" si="278"/>
        <v>0</v>
      </c>
      <c r="BT92" s="421">
        <f t="shared" si="278"/>
        <v>0</v>
      </c>
      <c r="BU92" s="421">
        <f t="shared" si="279"/>
        <v>5327</v>
      </c>
      <c r="BV92" s="421">
        <f t="shared" si="279"/>
        <v>158</v>
      </c>
      <c r="BW92" s="421">
        <f t="shared" si="280"/>
        <v>774</v>
      </c>
      <c r="BX92" s="422">
        <f t="shared" si="281"/>
        <v>5.9700000000000003E-2</v>
      </c>
      <c r="BY92" s="422">
        <f t="shared" si="282"/>
        <v>0</v>
      </c>
      <c r="BZ92" s="611">
        <f t="shared" si="282"/>
        <v>5.9700000000000003E-2</v>
      </c>
      <c r="CA92" s="423"/>
      <c r="CB92" s="418"/>
      <c r="CC92" s="418"/>
      <c r="CD92" s="418"/>
      <c r="CE92" s="418"/>
      <c r="CF92" s="527"/>
    </row>
    <row r="93" spans="1:84" ht="12.95" customHeight="1" x14ac:dyDescent="0.25">
      <c r="A93" s="275">
        <v>16</v>
      </c>
      <c r="B93" s="277">
        <v>4487</v>
      </c>
      <c r="C93" s="277">
        <v>600074854</v>
      </c>
      <c r="D93" s="277">
        <v>70698503</v>
      </c>
      <c r="E93" s="290" t="s">
        <v>340</v>
      </c>
      <c r="F93" s="293"/>
      <c r="G93" s="294"/>
      <c r="H93" s="294"/>
      <c r="I93" s="473">
        <f t="shared" ref="I93:BT93" si="284">SUM(I87:I92)</f>
        <v>8053484</v>
      </c>
      <c r="J93" s="470">
        <f t="shared" si="284"/>
        <v>5907192</v>
      </c>
      <c r="K93" s="470">
        <f t="shared" si="284"/>
        <v>5004841</v>
      </c>
      <c r="L93" s="470">
        <f t="shared" si="284"/>
        <v>902351</v>
      </c>
      <c r="M93" s="470">
        <f t="shared" si="284"/>
        <v>0</v>
      </c>
      <c r="N93" s="470">
        <f t="shared" si="284"/>
        <v>0</v>
      </c>
      <c r="O93" s="470">
        <f t="shared" si="284"/>
        <v>0</v>
      </c>
      <c r="P93" s="470">
        <f t="shared" si="284"/>
        <v>1996631</v>
      </c>
      <c r="Q93" s="470">
        <f t="shared" si="284"/>
        <v>59072</v>
      </c>
      <c r="R93" s="470">
        <f t="shared" si="284"/>
        <v>90589</v>
      </c>
      <c r="S93" s="471">
        <f t="shared" si="284"/>
        <v>11.966999999999999</v>
      </c>
      <c r="T93" s="471">
        <f t="shared" si="284"/>
        <v>9.3034999999999997</v>
      </c>
      <c r="U93" s="292">
        <f t="shared" si="284"/>
        <v>2.6634999999999995</v>
      </c>
      <c r="V93" s="475">
        <f t="shared" si="284"/>
        <v>0</v>
      </c>
      <c r="W93" s="470">
        <f t="shared" si="284"/>
        <v>-128000</v>
      </c>
      <c r="X93" s="470">
        <f t="shared" si="284"/>
        <v>1297804</v>
      </c>
      <c r="Y93" s="470">
        <f t="shared" si="284"/>
        <v>0</v>
      </c>
      <c r="Z93" s="470">
        <f t="shared" si="284"/>
        <v>0</v>
      </c>
      <c r="AA93" s="470">
        <f t="shared" si="284"/>
        <v>0</v>
      </c>
      <c r="AB93" s="470">
        <f t="shared" si="284"/>
        <v>0</v>
      </c>
      <c r="AC93" s="470">
        <f t="shared" si="284"/>
        <v>0</v>
      </c>
      <c r="AD93" s="470">
        <f t="shared" si="284"/>
        <v>0</v>
      </c>
      <c r="AE93" s="470">
        <f t="shared" si="284"/>
        <v>0</v>
      </c>
      <c r="AF93" s="470">
        <f t="shared" si="284"/>
        <v>1297804</v>
      </c>
      <c r="AG93" s="470">
        <f t="shared" si="284"/>
        <v>-128000</v>
      </c>
      <c r="AH93" s="470">
        <f t="shared" si="284"/>
        <v>1169804</v>
      </c>
      <c r="AI93" s="470">
        <f t="shared" si="284"/>
        <v>0</v>
      </c>
      <c r="AJ93" s="470">
        <f t="shared" si="284"/>
        <v>128000</v>
      </c>
      <c r="AK93" s="470">
        <f t="shared" ref="AK93" si="285">SUM(AK87:AK92)</f>
        <v>0</v>
      </c>
      <c r="AL93" s="470">
        <f t="shared" si="284"/>
        <v>0</v>
      </c>
      <c r="AM93" s="470">
        <f t="shared" si="284"/>
        <v>0</v>
      </c>
      <c r="AN93" s="470">
        <f t="shared" si="284"/>
        <v>0</v>
      </c>
      <c r="AO93" s="470">
        <f t="shared" si="284"/>
        <v>0</v>
      </c>
      <c r="AP93" s="470">
        <f t="shared" si="284"/>
        <v>128000</v>
      </c>
      <c r="AQ93" s="470">
        <f t="shared" si="284"/>
        <v>128000</v>
      </c>
      <c r="AR93" s="470">
        <f t="shared" si="284"/>
        <v>1297804</v>
      </c>
      <c r="AS93" s="470">
        <f t="shared" si="284"/>
        <v>0</v>
      </c>
      <c r="AT93" s="470">
        <f t="shared" si="284"/>
        <v>1297804</v>
      </c>
      <c r="AU93" s="470">
        <f t="shared" si="284"/>
        <v>438658</v>
      </c>
      <c r="AV93" s="470">
        <f t="shared" si="284"/>
        <v>11698</v>
      </c>
      <c r="AW93" s="470">
        <f t="shared" si="284"/>
        <v>0</v>
      </c>
      <c r="AX93" s="470">
        <f t="shared" si="284"/>
        <v>0</v>
      </c>
      <c r="AY93" s="470">
        <f t="shared" si="284"/>
        <v>0</v>
      </c>
      <c r="AZ93" s="470">
        <f t="shared" si="284"/>
        <v>1748160</v>
      </c>
      <c r="BA93" s="471">
        <f t="shared" si="284"/>
        <v>0</v>
      </c>
      <c r="BB93" s="471">
        <f t="shared" si="284"/>
        <v>-0.38</v>
      </c>
      <c r="BC93" s="471">
        <f t="shared" si="284"/>
        <v>3.5</v>
      </c>
      <c r="BD93" s="471">
        <f t="shared" si="284"/>
        <v>0</v>
      </c>
      <c r="BE93" s="471">
        <f t="shared" si="284"/>
        <v>0</v>
      </c>
      <c r="BF93" s="471">
        <f t="shared" si="284"/>
        <v>0</v>
      </c>
      <c r="BG93" s="471">
        <f t="shared" si="284"/>
        <v>0</v>
      </c>
      <c r="BH93" s="471">
        <f t="shared" si="284"/>
        <v>0</v>
      </c>
      <c r="BI93" s="471">
        <f t="shared" si="284"/>
        <v>0</v>
      </c>
      <c r="BJ93" s="471">
        <f t="shared" si="284"/>
        <v>0</v>
      </c>
      <c r="BK93" s="471">
        <f t="shared" si="284"/>
        <v>3.5</v>
      </c>
      <c r="BL93" s="471">
        <f t="shared" si="284"/>
        <v>-0.38</v>
      </c>
      <c r="BM93" s="561">
        <f t="shared" si="284"/>
        <v>3.12</v>
      </c>
      <c r="BN93" s="473">
        <f t="shared" si="284"/>
        <v>9801644</v>
      </c>
      <c r="BO93" s="470">
        <f t="shared" si="284"/>
        <v>7076996</v>
      </c>
      <c r="BP93" s="470">
        <f t="shared" si="284"/>
        <v>6302645</v>
      </c>
      <c r="BQ93" s="470">
        <f t="shared" si="284"/>
        <v>774351</v>
      </c>
      <c r="BR93" s="470">
        <f t="shared" si="284"/>
        <v>128000</v>
      </c>
      <c r="BS93" s="470">
        <f t="shared" si="284"/>
        <v>0</v>
      </c>
      <c r="BT93" s="470">
        <f t="shared" si="284"/>
        <v>128000</v>
      </c>
      <c r="BU93" s="470">
        <f t="shared" ref="BU93:CF93" si="286">SUM(BU87:BU92)</f>
        <v>2435289</v>
      </c>
      <c r="BV93" s="470">
        <f t="shared" si="286"/>
        <v>70770</v>
      </c>
      <c r="BW93" s="470">
        <f t="shared" si="286"/>
        <v>90589</v>
      </c>
      <c r="BX93" s="471">
        <f t="shared" si="286"/>
        <v>15.087</v>
      </c>
      <c r="BY93" s="471">
        <f t="shared" si="286"/>
        <v>12.8035</v>
      </c>
      <c r="BZ93" s="561">
        <f t="shared" si="286"/>
        <v>2.2834999999999996</v>
      </c>
      <c r="CA93" s="874">
        <f t="shared" si="286"/>
        <v>0</v>
      </c>
      <c r="CB93" s="871">
        <f t="shared" si="286"/>
        <v>0</v>
      </c>
      <c r="CC93" s="871">
        <f t="shared" si="286"/>
        <v>0</v>
      </c>
      <c r="CD93" s="871">
        <f t="shared" si="286"/>
        <v>0</v>
      </c>
      <c r="CE93" s="871">
        <f t="shared" si="286"/>
        <v>0</v>
      </c>
      <c r="CF93" s="847">
        <f t="shared" si="286"/>
        <v>0</v>
      </c>
    </row>
    <row r="94" spans="1:84" ht="12.95" customHeight="1" x14ac:dyDescent="0.25">
      <c r="A94" s="282">
        <v>17</v>
      </c>
      <c r="B94" s="283">
        <v>4488</v>
      </c>
      <c r="C94" s="283">
        <v>600074803</v>
      </c>
      <c r="D94" s="283">
        <v>72742089</v>
      </c>
      <c r="E94" s="285" t="s">
        <v>341</v>
      </c>
      <c r="F94" s="283">
        <v>3111</v>
      </c>
      <c r="G94" s="286" t="s">
        <v>305</v>
      </c>
      <c r="H94" s="286" t="s">
        <v>271</v>
      </c>
      <c r="I94" s="598">
        <f t="shared" ref="I94:I99" si="287">J94+M94+P94+Q94+R94</f>
        <v>1626927</v>
      </c>
      <c r="J94" s="418">
        <f t="shared" si="249"/>
        <v>1202561</v>
      </c>
      <c r="K94" s="418">
        <v>1135993</v>
      </c>
      <c r="L94" s="418">
        <v>66568</v>
      </c>
      <c r="M94" s="418">
        <f t="shared" ref="M94:M99" si="288">N94+O94</f>
        <v>0</v>
      </c>
      <c r="N94" s="418">
        <v>0</v>
      </c>
      <c r="O94" s="418">
        <v>0</v>
      </c>
      <c r="P94" s="68">
        <f t="shared" ref="P94:P99" si="289">ROUND((J94+M94)*33.8%,0)</f>
        <v>406466</v>
      </c>
      <c r="Q94" s="68">
        <f t="shared" ref="Q94:Q99" si="290">ROUND(J94*1%,0)</f>
        <v>12026</v>
      </c>
      <c r="R94" s="418">
        <v>5874</v>
      </c>
      <c r="S94" s="419">
        <f t="shared" ref="S94:S99" si="291">T94+U94</f>
        <v>2.2667000000000002</v>
      </c>
      <c r="T94" s="420">
        <v>2</v>
      </c>
      <c r="U94" s="707">
        <v>0.26669999999999999</v>
      </c>
      <c r="V94" s="427">
        <f t="shared" ref="V94:W99" si="292">AI94*-1</f>
        <v>0</v>
      </c>
      <c r="W94" s="421">
        <f t="shared" si="292"/>
        <v>0</v>
      </c>
      <c r="X94" s="421">
        <v>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 t="shared" ref="AF94:AF99" si="293">V94+X94+Y94+AA94+AB94+AD94</f>
        <v>0</v>
      </c>
      <c r="AG94" s="421">
        <f t="shared" ref="AG94:AG99" si="294">W94+Z94+AC94+AE94</f>
        <v>0</v>
      </c>
      <c r="AH94" s="421">
        <f t="shared" ref="AH94:AH99" si="295">SUM(AF94:AG94)</f>
        <v>0</v>
      </c>
      <c r="AI94" s="421">
        <v>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ref="AO94:AO99" si="296">AI94+AK94+AL94+AM94</f>
        <v>0</v>
      </c>
      <c r="AP94" s="421">
        <f t="shared" ref="AP94:AP99" si="297">AJ94+AN94</f>
        <v>0</v>
      </c>
      <c r="AQ94" s="421">
        <f t="shared" ref="AQ94:AQ99" si="298">SUM(AO94:AP94)</f>
        <v>0</v>
      </c>
      <c r="AR94" s="421">
        <f t="shared" ref="AR94:AS99" si="299">AF94+AO94</f>
        <v>0</v>
      </c>
      <c r="AS94" s="421">
        <f t="shared" si="299"/>
        <v>0</v>
      </c>
      <c r="AT94" s="421">
        <f t="shared" ref="AT94:AT99" si="300">SUM(AR94:AS94)</f>
        <v>0</v>
      </c>
      <c r="AU94" s="68">
        <f t="shared" ref="AU94:AU99" si="301">ROUND((AH94+AI94+AJ94+AK94+AL94)*33.8%,0)</f>
        <v>0</v>
      </c>
      <c r="AV94" s="68">
        <f t="shared" ref="AV94:AV99" si="302">ROUND(AH94*1%,0)</f>
        <v>0</v>
      </c>
      <c r="AW94" s="421">
        <v>0</v>
      </c>
      <c r="AX94" s="421">
        <v>0</v>
      </c>
      <c r="AY94" s="421">
        <f t="shared" ref="AY94:AY99" si="303">AW94+AX94</f>
        <v>0</v>
      </c>
      <c r="AZ94" s="421">
        <f t="shared" ref="AZ94:AZ99" si="304">AT94+AU94+AV94+AY94</f>
        <v>0</v>
      </c>
      <c r="BA94" s="422">
        <v>0</v>
      </c>
      <c r="BB94" s="422">
        <v>0</v>
      </c>
      <c r="BC94" s="422">
        <v>0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 t="shared" ref="BK94:BK99" si="305">BA94+BC94+BD94+BF94+BH94+BI94</f>
        <v>0</v>
      </c>
      <c r="BL94" s="422">
        <f t="shared" ref="BL94:BL99" si="306">BB94+BE94+BG94+BJ94</f>
        <v>0</v>
      </c>
      <c r="BM94" s="611">
        <f t="shared" ref="BM94:BM99" si="307">SUM(BK94:BL94)</f>
        <v>0</v>
      </c>
      <c r="BN94" s="428">
        <f t="shared" ref="BN94:BN99" si="308">I94+AZ94</f>
        <v>1626927</v>
      </c>
      <c r="BO94" s="421">
        <f t="shared" ref="BO94:BO99" si="309">J94+AH94</f>
        <v>1202561</v>
      </c>
      <c r="BP94" s="421">
        <f t="shared" ref="BP94:BQ99" si="310">K94+AF94</f>
        <v>1135993</v>
      </c>
      <c r="BQ94" s="421">
        <f t="shared" si="310"/>
        <v>66568</v>
      </c>
      <c r="BR94" s="421">
        <f t="shared" ref="BR94:BR99" si="311">M94+AQ94</f>
        <v>0</v>
      </c>
      <c r="BS94" s="421">
        <f t="shared" ref="BS94:BT99" si="312">N94+AO94</f>
        <v>0</v>
      </c>
      <c r="BT94" s="421">
        <f t="shared" si="312"/>
        <v>0</v>
      </c>
      <c r="BU94" s="421">
        <f t="shared" ref="BU94:BV99" si="313">P94+AU94</f>
        <v>406466</v>
      </c>
      <c r="BV94" s="421">
        <f t="shared" si="313"/>
        <v>12026</v>
      </c>
      <c r="BW94" s="421">
        <f t="shared" ref="BW94:BW99" si="314">R94+AY94</f>
        <v>5874</v>
      </c>
      <c r="BX94" s="422">
        <f t="shared" ref="BX94:BX99" si="315">S94+BM94</f>
        <v>2.2667000000000002</v>
      </c>
      <c r="BY94" s="422">
        <f t="shared" ref="BY94:BZ99" si="316">T94+BK94</f>
        <v>2</v>
      </c>
      <c r="BZ94" s="611">
        <f t="shared" si="316"/>
        <v>0.26669999999999999</v>
      </c>
      <c r="CA94" s="423"/>
      <c r="CB94" s="418"/>
      <c r="CC94" s="418"/>
      <c r="CD94" s="418"/>
      <c r="CE94" s="418"/>
      <c r="CF94" s="527"/>
    </row>
    <row r="95" spans="1:84" ht="12.95" customHeight="1" x14ac:dyDescent="0.25">
      <c r="A95" s="282">
        <v>17</v>
      </c>
      <c r="B95" s="283">
        <v>4488</v>
      </c>
      <c r="C95" s="283">
        <v>600074803</v>
      </c>
      <c r="D95" s="283">
        <v>72742089</v>
      </c>
      <c r="E95" s="285" t="s">
        <v>341</v>
      </c>
      <c r="F95" s="283">
        <v>3117</v>
      </c>
      <c r="G95" s="286" t="s">
        <v>309</v>
      </c>
      <c r="H95" s="286" t="s">
        <v>271</v>
      </c>
      <c r="I95" s="598">
        <f t="shared" si="287"/>
        <v>3105956</v>
      </c>
      <c r="J95" s="418">
        <f t="shared" si="249"/>
        <v>2276135</v>
      </c>
      <c r="K95" s="418">
        <v>2053228</v>
      </c>
      <c r="L95" s="418">
        <v>222907</v>
      </c>
      <c r="M95" s="418">
        <f t="shared" si="288"/>
        <v>0</v>
      </c>
      <c r="N95" s="418">
        <v>0</v>
      </c>
      <c r="O95" s="418">
        <v>0</v>
      </c>
      <c r="P95" s="68">
        <f>ROUND((J95+M95)*33.8%,0)-1</f>
        <v>769333</v>
      </c>
      <c r="Q95" s="68">
        <f t="shared" si="290"/>
        <v>22761</v>
      </c>
      <c r="R95" s="418">
        <v>37727</v>
      </c>
      <c r="S95" s="419">
        <f t="shared" si="291"/>
        <v>3.6</v>
      </c>
      <c r="T95" s="420">
        <v>3</v>
      </c>
      <c r="U95" s="707">
        <v>0.6</v>
      </c>
      <c r="V95" s="427">
        <f t="shared" si="292"/>
        <v>0</v>
      </c>
      <c r="W95" s="421">
        <f t="shared" si="292"/>
        <v>0</v>
      </c>
      <c r="X95" s="421">
        <v>0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 t="shared" si="293"/>
        <v>0</v>
      </c>
      <c r="AG95" s="421">
        <f t="shared" si="294"/>
        <v>0</v>
      </c>
      <c r="AH95" s="421">
        <f t="shared" si="295"/>
        <v>0</v>
      </c>
      <c r="AI95" s="421">
        <v>0</v>
      </c>
      <c r="AJ95" s="421">
        <v>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296"/>
        <v>0</v>
      </c>
      <c r="AP95" s="421">
        <f t="shared" si="297"/>
        <v>0</v>
      </c>
      <c r="AQ95" s="421">
        <f t="shared" si="298"/>
        <v>0</v>
      </c>
      <c r="AR95" s="421">
        <f t="shared" si="299"/>
        <v>0</v>
      </c>
      <c r="AS95" s="421">
        <f t="shared" si="299"/>
        <v>0</v>
      </c>
      <c r="AT95" s="421">
        <f t="shared" si="300"/>
        <v>0</v>
      </c>
      <c r="AU95" s="68">
        <f t="shared" si="301"/>
        <v>0</v>
      </c>
      <c r="AV95" s="68">
        <f t="shared" si="302"/>
        <v>0</v>
      </c>
      <c r="AW95" s="421">
        <v>0</v>
      </c>
      <c r="AX95" s="421">
        <v>0</v>
      </c>
      <c r="AY95" s="421">
        <f t="shared" si="303"/>
        <v>0</v>
      </c>
      <c r="AZ95" s="421">
        <f t="shared" si="304"/>
        <v>0</v>
      </c>
      <c r="BA95" s="422">
        <v>0</v>
      </c>
      <c r="BB95" s="422">
        <v>0</v>
      </c>
      <c r="BC95" s="422">
        <v>0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 t="shared" si="305"/>
        <v>0</v>
      </c>
      <c r="BL95" s="422">
        <f t="shared" si="306"/>
        <v>0</v>
      </c>
      <c r="BM95" s="611">
        <f t="shared" si="307"/>
        <v>0</v>
      </c>
      <c r="BN95" s="428">
        <f t="shared" si="308"/>
        <v>3105956</v>
      </c>
      <c r="BO95" s="421">
        <f t="shared" si="309"/>
        <v>2276135</v>
      </c>
      <c r="BP95" s="421">
        <f t="shared" si="310"/>
        <v>2053228</v>
      </c>
      <c r="BQ95" s="421">
        <f t="shared" si="310"/>
        <v>222907</v>
      </c>
      <c r="BR95" s="421">
        <f t="shared" si="311"/>
        <v>0</v>
      </c>
      <c r="BS95" s="421">
        <f t="shared" si="312"/>
        <v>0</v>
      </c>
      <c r="BT95" s="421">
        <f t="shared" si="312"/>
        <v>0</v>
      </c>
      <c r="BU95" s="421">
        <f t="shared" si="313"/>
        <v>769333</v>
      </c>
      <c r="BV95" s="421">
        <f t="shared" si="313"/>
        <v>22761</v>
      </c>
      <c r="BW95" s="421">
        <f t="shared" si="314"/>
        <v>37727</v>
      </c>
      <c r="BX95" s="422">
        <f t="shared" si="315"/>
        <v>3.6</v>
      </c>
      <c r="BY95" s="422">
        <f t="shared" si="316"/>
        <v>3</v>
      </c>
      <c r="BZ95" s="611">
        <f t="shared" si="316"/>
        <v>0.6</v>
      </c>
      <c r="CA95" s="423"/>
      <c r="CB95" s="418"/>
      <c r="CC95" s="418"/>
      <c r="CD95" s="418"/>
      <c r="CE95" s="418"/>
      <c r="CF95" s="527"/>
    </row>
    <row r="96" spans="1:84" ht="12.95" customHeight="1" x14ac:dyDescent="0.25">
      <c r="A96" s="282">
        <v>17</v>
      </c>
      <c r="B96" s="283">
        <v>4488</v>
      </c>
      <c r="C96" s="283">
        <v>600074803</v>
      </c>
      <c r="D96" s="283">
        <v>72742089</v>
      </c>
      <c r="E96" s="285" t="s">
        <v>341</v>
      </c>
      <c r="F96" s="283">
        <v>3117</v>
      </c>
      <c r="G96" s="286" t="s">
        <v>299</v>
      </c>
      <c r="H96" s="286" t="s">
        <v>272</v>
      </c>
      <c r="I96" s="598">
        <f t="shared" si="287"/>
        <v>0</v>
      </c>
      <c r="J96" s="418">
        <f t="shared" si="249"/>
        <v>0</v>
      </c>
      <c r="K96" s="418">
        <v>0</v>
      </c>
      <c r="L96" s="418">
        <v>0</v>
      </c>
      <c r="M96" s="418">
        <f t="shared" si="288"/>
        <v>0</v>
      </c>
      <c r="N96" s="418">
        <v>0</v>
      </c>
      <c r="O96" s="418">
        <v>0</v>
      </c>
      <c r="P96" s="68">
        <f t="shared" si="289"/>
        <v>0</v>
      </c>
      <c r="Q96" s="68">
        <f t="shared" si="290"/>
        <v>0</v>
      </c>
      <c r="R96" s="418">
        <v>0</v>
      </c>
      <c r="S96" s="419">
        <f t="shared" si="291"/>
        <v>0</v>
      </c>
      <c r="T96" s="420">
        <v>0</v>
      </c>
      <c r="U96" s="707">
        <v>0</v>
      </c>
      <c r="V96" s="427">
        <f t="shared" si="292"/>
        <v>0</v>
      </c>
      <c r="W96" s="421">
        <f t="shared" si="292"/>
        <v>0</v>
      </c>
      <c r="X96" s="421">
        <v>692163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 t="shared" si="293"/>
        <v>692163</v>
      </c>
      <c r="AG96" s="421">
        <f t="shared" si="294"/>
        <v>0</v>
      </c>
      <c r="AH96" s="421">
        <f t="shared" si="295"/>
        <v>692163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si="296"/>
        <v>0</v>
      </c>
      <c r="AP96" s="421">
        <f t="shared" si="297"/>
        <v>0</v>
      </c>
      <c r="AQ96" s="421">
        <f t="shared" si="298"/>
        <v>0</v>
      </c>
      <c r="AR96" s="421">
        <f t="shared" si="299"/>
        <v>692163</v>
      </c>
      <c r="AS96" s="421">
        <f t="shared" si="299"/>
        <v>0</v>
      </c>
      <c r="AT96" s="421">
        <f t="shared" si="300"/>
        <v>692163</v>
      </c>
      <c r="AU96" s="68">
        <f t="shared" si="301"/>
        <v>233951</v>
      </c>
      <c r="AV96" s="68">
        <f t="shared" si="302"/>
        <v>6922</v>
      </c>
      <c r="AW96" s="421">
        <v>4000</v>
      </c>
      <c r="AX96" s="421">
        <v>0</v>
      </c>
      <c r="AY96" s="421">
        <f t="shared" si="303"/>
        <v>4000</v>
      </c>
      <c r="AZ96" s="421">
        <f t="shared" si="304"/>
        <v>937036</v>
      </c>
      <c r="BA96" s="422">
        <v>0</v>
      </c>
      <c r="BB96" s="422">
        <v>0</v>
      </c>
      <c r="BC96" s="422">
        <v>2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 t="shared" si="305"/>
        <v>2</v>
      </c>
      <c r="BL96" s="422">
        <f t="shared" si="306"/>
        <v>0</v>
      </c>
      <c r="BM96" s="611">
        <f t="shared" si="307"/>
        <v>2</v>
      </c>
      <c r="BN96" s="428">
        <f t="shared" si="308"/>
        <v>937036</v>
      </c>
      <c r="BO96" s="421">
        <f t="shared" si="309"/>
        <v>692163</v>
      </c>
      <c r="BP96" s="421">
        <f t="shared" si="310"/>
        <v>692163</v>
      </c>
      <c r="BQ96" s="421">
        <f t="shared" si="310"/>
        <v>0</v>
      </c>
      <c r="BR96" s="421">
        <f t="shared" si="311"/>
        <v>0</v>
      </c>
      <c r="BS96" s="421">
        <f t="shared" si="312"/>
        <v>0</v>
      </c>
      <c r="BT96" s="421">
        <f t="shared" si="312"/>
        <v>0</v>
      </c>
      <c r="BU96" s="421">
        <f t="shared" si="313"/>
        <v>233951</v>
      </c>
      <c r="BV96" s="421">
        <f t="shared" si="313"/>
        <v>6922</v>
      </c>
      <c r="BW96" s="421">
        <f t="shared" si="314"/>
        <v>4000</v>
      </c>
      <c r="BX96" s="422">
        <f t="shared" si="315"/>
        <v>2</v>
      </c>
      <c r="BY96" s="422">
        <f t="shared" si="316"/>
        <v>2</v>
      </c>
      <c r="BZ96" s="611">
        <f t="shared" si="316"/>
        <v>0</v>
      </c>
      <c r="CA96" s="423"/>
      <c r="CB96" s="418"/>
      <c r="CC96" s="418"/>
      <c r="CD96" s="418"/>
      <c r="CE96" s="418"/>
      <c r="CF96" s="527"/>
    </row>
    <row r="97" spans="1:84" ht="12.95" customHeight="1" x14ac:dyDescent="0.25">
      <c r="A97" s="282">
        <v>17</v>
      </c>
      <c r="B97" s="283">
        <v>4488</v>
      </c>
      <c r="C97" s="283">
        <v>600074803</v>
      </c>
      <c r="D97" s="283">
        <v>72742089</v>
      </c>
      <c r="E97" s="285" t="s">
        <v>341</v>
      </c>
      <c r="F97" s="283">
        <v>3141</v>
      </c>
      <c r="G97" s="286" t="s">
        <v>295</v>
      </c>
      <c r="H97" s="286" t="s">
        <v>272</v>
      </c>
      <c r="I97" s="598">
        <f t="shared" si="287"/>
        <v>198989</v>
      </c>
      <c r="J97" s="418">
        <f t="shared" si="249"/>
        <v>146731</v>
      </c>
      <c r="K97" s="418">
        <v>0</v>
      </c>
      <c r="L97" s="418">
        <v>146731</v>
      </c>
      <c r="M97" s="418">
        <f t="shared" si="288"/>
        <v>0</v>
      </c>
      <c r="N97" s="418">
        <v>0</v>
      </c>
      <c r="O97" s="418">
        <v>0</v>
      </c>
      <c r="P97" s="68">
        <f t="shared" si="289"/>
        <v>49595</v>
      </c>
      <c r="Q97" s="68">
        <f t="shared" si="290"/>
        <v>1467</v>
      </c>
      <c r="R97" s="418">
        <v>1196</v>
      </c>
      <c r="S97" s="419">
        <f t="shared" si="291"/>
        <v>0.44</v>
      </c>
      <c r="T97" s="420">
        <v>0</v>
      </c>
      <c r="U97" s="707">
        <v>0.44</v>
      </c>
      <c r="V97" s="427">
        <f t="shared" si="292"/>
        <v>0</v>
      </c>
      <c r="W97" s="421">
        <f t="shared" si="292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 t="shared" si="293"/>
        <v>0</v>
      </c>
      <c r="AG97" s="421">
        <f t="shared" si="294"/>
        <v>0</v>
      </c>
      <c r="AH97" s="421">
        <f t="shared" si="295"/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296"/>
        <v>0</v>
      </c>
      <c r="AP97" s="421">
        <f t="shared" si="297"/>
        <v>0</v>
      </c>
      <c r="AQ97" s="421">
        <f t="shared" si="298"/>
        <v>0</v>
      </c>
      <c r="AR97" s="421">
        <f t="shared" si="299"/>
        <v>0</v>
      </c>
      <c r="AS97" s="421">
        <f t="shared" si="299"/>
        <v>0</v>
      </c>
      <c r="AT97" s="421">
        <f t="shared" si="300"/>
        <v>0</v>
      </c>
      <c r="AU97" s="68">
        <f t="shared" si="301"/>
        <v>0</v>
      </c>
      <c r="AV97" s="68">
        <f t="shared" si="302"/>
        <v>0</v>
      </c>
      <c r="AW97" s="421">
        <v>0</v>
      </c>
      <c r="AX97" s="421">
        <v>0</v>
      </c>
      <c r="AY97" s="421">
        <f t="shared" si="303"/>
        <v>0</v>
      </c>
      <c r="AZ97" s="421">
        <f t="shared" si="304"/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 t="shared" si="305"/>
        <v>0</v>
      </c>
      <c r="BL97" s="422">
        <f t="shared" si="306"/>
        <v>0</v>
      </c>
      <c r="BM97" s="611">
        <f t="shared" si="307"/>
        <v>0</v>
      </c>
      <c r="BN97" s="428">
        <f t="shared" si="308"/>
        <v>198989</v>
      </c>
      <c r="BO97" s="421">
        <f t="shared" si="309"/>
        <v>146731</v>
      </c>
      <c r="BP97" s="421">
        <f t="shared" si="310"/>
        <v>0</v>
      </c>
      <c r="BQ97" s="421">
        <f t="shared" si="310"/>
        <v>146731</v>
      </c>
      <c r="BR97" s="421">
        <f t="shared" si="311"/>
        <v>0</v>
      </c>
      <c r="BS97" s="421">
        <f t="shared" si="312"/>
        <v>0</v>
      </c>
      <c r="BT97" s="421">
        <f t="shared" si="312"/>
        <v>0</v>
      </c>
      <c r="BU97" s="421">
        <f t="shared" si="313"/>
        <v>49595</v>
      </c>
      <c r="BV97" s="421">
        <f t="shared" si="313"/>
        <v>1467</v>
      </c>
      <c r="BW97" s="421">
        <f t="shared" si="314"/>
        <v>1196</v>
      </c>
      <c r="BX97" s="422">
        <f t="shared" si="315"/>
        <v>0.44</v>
      </c>
      <c r="BY97" s="422">
        <f t="shared" si="316"/>
        <v>0</v>
      </c>
      <c r="BZ97" s="611">
        <f t="shared" si="316"/>
        <v>0.44</v>
      </c>
      <c r="CA97" s="423"/>
      <c r="CB97" s="418"/>
      <c r="CC97" s="418"/>
      <c r="CD97" s="418"/>
      <c r="CE97" s="418"/>
      <c r="CF97" s="527"/>
    </row>
    <row r="98" spans="1:84" ht="12.95" customHeight="1" x14ac:dyDescent="0.25">
      <c r="A98" s="282">
        <v>17</v>
      </c>
      <c r="B98" s="283">
        <v>4488</v>
      </c>
      <c r="C98" s="283">
        <v>600074803</v>
      </c>
      <c r="D98" s="283">
        <v>72742089</v>
      </c>
      <c r="E98" s="285" t="s">
        <v>341</v>
      </c>
      <c r="F98" s="283">
        <v>3143</v>
      </c>
      <c r="G98" s="286" t="s">
        <v>596</v>
      </c>
      <c r="H98" s="286" t="s">
        <v>271</v>
      </c>
      <c r="I98" s="598">
        <f t="shared" si="287"/>
        <v>664923</v>
      </c>
      <c r="J98" s="418">
        <f t="shared" si="249"/>
        <v>493266</v>
      </c>
      <c r="K98" s="418">
        <v>493266</v>
      </c>
      <c r="L98" s="418">
        <v>0</v>
      </c>
      <c r="M98" s="418">
        <f t="shared" si="288"/>
        <v>0</v>
      </c>
      <c r="N98" s="418">
        <v>0</v>
      </c>
      <c r="O98" s="418">
        <v>0</v>
      </c>
      <c r="P98" s="68">
        <f t="shared" si="289"/>
        <v>166724</v>
      </c>
      <c r="Q98" s="68">
        <f t="shared" si="290"/>
        <v>4933</v>
      </c>
      <c r="R98" s="418">
        <v>0</v>
      </c>
      <c r="S98" s="419">
        <f t="shared" si="291"/>
        <v>1.0287999999999999</v>
      </c>
      <c r="T98" s="420">
        <v>1.0287999999999999</v>
      </c>
      <c r="U98" s="707">
        <v>0</v>
      </c>
      <c r="V98" s="427">
        <f t="shared" si="292"/>
        <v>0</v>
      </c>
      <c r="W98" s="421">
        <f t="shared" si="292"/>
        <v>0</v>
      </c>
      <c r="X98" s="421">
        <v>0</v>
      </c>
      <c r="Y98" s="421">
        <v>0</v>
      </c>
      <c r="Z98" s="421">
        <v>0</v>
      </c>
      <c r="AA98" s="421">
        <v>0</v>
      </c>
      <c r="AB98" s="421">
        <v>0</v>
      </c>
      <c r="AC98" s="421">
        <v>0</v>
      </c>
      <c r="AD98" s="421">
        <v>0</v>
      </c>
      <c r="AE98" s="421">
        <v>0</v>
      </c>
      <c r="AF98" s="421">
        <f t="shared" si="293"/>
        <v>0</v>
      </c>
      <c r="AG98" s="421">
        <f t="shared" si="294"/>
        <v>0</v>
      </c>
      <c r="AH98" s="421">
        <f t="shared" si="295"/>
        <v>0</v>
      </c>
      <c r="AI98" s="421">
        <v>0</v>
      </c>
      <c r="AJ98" s="421">
        <v>0</v>
      </c>
      <c r="AK98" s="421">
        <v>0</v>
      </c>
      <c r="AL98" s="421">
        <v>0</v>
      </c>
      <c r="AM98" s="421">
        <v>0</v>
      </c>
      <c r="AN98" s="421">
        <v>0</v>
      </c>
      <c r="AO98" s="421">
        <f t="shared" si="296"/>
        <v>0</v>
      </c>
      <c r="AP98" s="421">
        <f t="shared" si="297"/>
        <v>0</v>
      </c>
      <c r="AQ98" s="421">
        <f t="shared" si="298"/>
        <v>0</v>
      </c>
      <c r="AR98" s="421">
        <f t="shared" si="299"/>
        <v>0</v>
      </c>
      <c r="AS98" s="421">
        <f t="shared" si="299"/>
        <v>0</v>
      </c>
      <c r="AT98" s="421">
        <f t="shared" si="300"/>
        <v>0</v>
      </c>
      <c r="AU98" s="68">
        <f t="shared" si="301"/>
        <v>0</v>
      </c>
      <c r="AV98" s="68">
        <f t="shared" si="302"/>
        <v>0</v>
      </c>
      <c r="AW98" s="421">
        <v>0</v>
      </c>
      <c r="AX98" s="421">
        <v>0</v>
      </c>
      <c r="AY98" s="421">
        <f t="shared" si="303"/>
        <v>0</v>
      </c>
      <c r="AZ98" s="421">
        <f t="shared" si="304"/>
        <v>0</v>
      </c>
      <c r="BA98" s="422">
        <v>0</v>
      </c>
      <c r="BB98" s="422">
        <v>0</v>
      </c>
      <c r="BC98" s="422">
        <v>0</v>
      </c>
      <c r="BD98" s="422">
        <v>0</v>
      </c>
      <c r="BE98" s="422">
        <v>0</v>
      </c>
      <c r="BF98" s="422">
        <v>0</v>
      </c>
      <c r="BG98" s="422">
        <v>0</v>
      </c>
      <c r="BH98" s="422">
        <v>0</v>
      </c>
      <c r="BI98" s="422">
        <v>0</v>
      </c>
      <c r="BJ98" s="422">
        <v>0</v>
      </c>
      <c r="BK98" s="422">
        <f t="shared" si="305"/>
        <v>0</v>
      </c>
      <c r="BL98" s="422">
        <f t="shared" si="306"/>
        <v>0</v>
      </c>
      <c r="BM98" s="611">
        <f t="shared" si="307"/>
        <v>0</v>
      </c>
      <c r="BN98" s="428">
        <f t="shared" si="308"/>
        <v>664923</v>
      </c>
      <c r="BO98" s="421">
        <f t="shared" si="309"/>
        <v>493266</v>
      </c>
      <c r="BP98" s="421">
        <f t="shared" si="310"/>
        <v>493266</v>
      </c>
      <c r="BQ98" s="421">
        <f t="shared" si="310"/>
        <v>0</v>
      </c>
      <c r="BR98" s="421">
        <f t="shared" si="311"/>
        <v>0</v>
      </c>
      <c r="BS98" s="421">
        <f t="shared" si="312"/>
        <v>0</v>
      </c>
      <c r="BT98" s="421">
        <f t="shared" si="312"/>
        <v>0</v>
      </c>
      <c r="BU98" s="421">
        <f t="shared" si="313"/>
        <v>166724</v>
      </c>
      <c r="BV98" s="421">
        <f t="shared" si="313"/>
        <v>4933</v>
      </c>
      <c r="BW98" s="421">
        <f t="shared" si="314"/>
        <v>0</v>
      </c>
      <c r="BX98" s="422">
        <f t="shared" si="315"/>
        <v>1.0287999999999999</v>
      </c>
      <c r="BY98" s="422">
        <f t="shared" si="316"/>
        <v>1.0287999999999999</v>
      </c>
      <c r="BZ98" s="611">
        <f t="shared" si="316"/>
        <v>0</v>
      </c>
      <c r="CA98" s="423"/>
      <c r="CB98" s="418"/>
      <c r="CC98" s="418"/>
      <c r="CD98" s="418"/>
      <c r="CE98" s="418"/>
      <c r="CF98" s="527"/>
    </row>
    <row r="99" spans="1:84" ht="12.95" customHeight="1" x14ac:dyDescent="0.25">
      <c r="A99" s="282">
        <v>17</v>
      </c>
      <c r="B99" s="283">
        <v>4488</v>
      </c>
      <c r="C99" s="283">
        <v>600074803</v>
      </c>
      <c r="D99" s="283">
        <v>72742089</v>
      </c>
      <c r="E99" s="285" t="s">
        <v>341</v>
      </c>
      <c r="F99" s="283">
        <v>3143</v>
      </c>
      <c r="G99" s="286" t="s">
        <v>597</v>
      </c>
      <c r="H99" s="286" t="s">
        <v>272</v>
      </c>
      <c r="I99" s="598">
        <f t="shared" si="287"/>
        <v>12799</v>
      </c>
      <c r="J99" s="418">
        <f t="shared" si="249"/>
        <v>9161</v>
      </c>
      <c r="K99" s="418">
        <v>0</v>
      </c>
      <c r="L99" s="418">
        <v>9161</v>
      </c>
      <c r="M99" s="418">
        <f t="shared" si="288"/>
        <v>0</v>
      </c>
      <c r="N99" s="418">
        <v>0</v>
      </c>
      <c r="O99" s="418">
        <v>0</v>
      </c>
      <c r="P99" s="68">
        <f t="shared" si="289"/>
        <v>3096</v>
      </c>
      <c r="Q99" s="68">
        <f t="shared" si="290"/>
        <v>92</v>
      </c>
      <c r="R99" s="418">
        <v>450</v>
      </c>
      <c r="S99" s="419">
        <f t="shared" si="291"/>
        <v>3.4700000000000002E-2</v>
      </c>
      <c r="T99" s="420">
        <v>0</v>
      </c>
      <c r="U99" s="707">
        <v>3.4700000000000002E-2</v>
      </c>
      <c r="V99" s="427">
        <f t="shared" si="292"/>
        <v>0</v>
      </c>
      <c r="W99" s="421">
        <f t="shared" si="292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 t="shared" si="293"/>
        <v>0</v>
      </c>
      <c r="AG99" s="421">
        <f t="shared" si="294"/>
        <v>0</v>
      </c>
      <c r="AH99" s="421">
        <f t="shared" si="295"/>
        <v>0</v>
      </c>
      <c r="AI99" s="421">
        <v>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si="296"/>
        <v>0</v>
      </c>
      <c r="AP99" s="421">
        <f t="shared" si="297"/>
        <v>0</v>
      </c>
      <c r="AQ99" s="421">
        <f t="shared" si="298"/>
        <v>0</v>
      </c>
      <c r="AR99" s="421">
        <f t="shared" si="299"/>
        <v>0</v>
      </c>
      <c r="AS99" s="421">
        <f t="shared" si="299"/>
        <v>0</v>
      </c>
      <c r="AT99" s="421">
        <f t="shared" si="300"/>
        <v>0</v>
      </c>
      <c r="AU99" s="68">
        <f t="shared" si="301"/>
        <v>0</v>
      </c>
      <c r="AV99" s="68">
        <f t="shared" si="302"/>
        <v>0</v>
      </c>
      <c r="AW99" s="421">
        <v>0</v>
      </c>
      <c r="AX99" s="421">
        <v>0</v>
      </c>
      <c r="AY99" s="421">
        <f t="shared" si="303"/>
        <v>0</v>
      </c>
      <c r="AZ99" s="421">
        <f t="shared" si="304"/>
        <v>0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 t="shared" si="305"/>
        <v>0</v>
      </c>
      <c r="BL99" s="422">
        <f t="shared" si="306"/>
        <v>0</v>
      </c>
      <c r="BM99" s="611">
        <f t="shared" si="307"/>
        <v>0</v>
      </c>
      <c r="BN99" s="428">
        <f t="shared" si="308"/>
        <v>12799</v>
      </c>
      <c r="BO99" s="421">
        <f t="shared" si="309"/>
        <v>9161</v>
      </c>
      <c r="BP99" s="421">
        <f t="shared" si="310"/>
        <v>0</v>
      </c>
      <c r="BQ99" s="421">
        <f t="shared" si="310"/>
        <v>9161</v>
      </c>
      <c r="BR99" s="421">
        <f t="shared" si="311"/>
        <v>0</v>
      </c>
      <c r="BS99" s="421">
        <f t="shared" si="312"/>
        <v>0</v>
      </c>
      <c r="BT99" s="421">
        <f t="shared" si="312"/>
        <v>0</v>
      </c>
      <c r="BU99" s="421">
        <f t="shared" si="313"/>
        <v>3096</v>
      </c>
      <c r="BV99" s="421">
        <f t="shared" si="313"/>
        <v>92</v>
      </c>
      <c r="BW99" s="421">
        <f t="shared" si="314"/>
        <v>450</v>
      </c>
      <c r="BX99" s="422">
        <f t="shared" si="315"/>
        <v>3.4700000000000002E-2</v>
      </c>
      <c r="BY99" s="422">
        <f t="shared" si="316"/>
        <v>0</v>
      </c>
      <c r="BZ99" s="611">
        <f t="shared" si="316"/>
        <v>3.4700000000000002E-2</v>
      </c>
      <c r="CA99" s="423"/>
      <c r="CB99" s="418"/>
      <c r="CC99" s="418"/>
      <c r="CD99" s="418"/>
      <c r="CE99" s="418"/>
      <c r="CF99" s="527"/>
    </row>
    <row r="100" spans="1:84" ht="12.95" customHeight="1" x14ac:dyDescent="0.25">
      <c r="A100" s="275">
        <v>17</v>
      </c>
      <c r="B100" s="277">
        <v>4488</v>
      </c>
      <c r="C100" s="277">
        <v>600074803</v>
      </c>
      <c r="D100" s="277">
        <v>72742089</v>
      </c>
      <c r="E100" s="290" t="s">
        <v>342</v>
      </c>
      <c r="F100" s="293"/>
      <c r="G100" s="294"/>
      <c r="H100" s="294"/>
      <c r="I100" s="473">
        <f t="shared" ref="I100:BT100" si="317">SUM(I94:I99)</f>
        <v>5609594</v>
      </c>
      <c r="J100" s="470">
        <f t="shared" si="317"/>
        <v>4127854</v>
      </c>
      <c r="K100" s="470">
        <f t="shared" si="317"/>
        <v>3682487</v>
      </c>
      <c r="L100" s="470">
        <f t="shared" si="317"/>
        <v>445367</v>
      </c>
      <c r="M100" s="470">
        <f t="shared" si="317"/>
        <v>0</v>
      </c>
      <c r="N100" s="470">
        <f t="shared" si="317"/>
        <v>0</v>
      </c>
      <c r="O100" s="470">
        <f t="shared" si="317"/>
        <v>0</v>
      </c>
      <c r="P100" s="470">
        <f t="shared" si="317"/>
        <v>1395214</v>
      </c>
      <c r="Q100" s="470">
        <f t="shared" si="317"/>
        <v>41279</v>
      </c>
      <c r="R100" s="470">
        <f t="shared" si="317"/>
        <v>45247</v>
      </c>
      <c r="S100" s="471">
        <f t="shared" si="317"/>
        <v>7.3701999999999996</v>
      </c>
      <c r="T100" s="471">
        <f t="shared" si="317"/>
        <v>6.0288000000000004</v>
      </c>
      <c r="U100" s="292">
        <f t="shared" si="317"/>
        <v>1.3413999999999999</v>
      </c>
      <c r="V100" s="475">
        <f t="shared" si="317"/>
        <v>0</v>
      </c>
      <c r="W100" s="470">
        <f t="shared" si="317"/>
        <v>0</v>
      </c>
      <c r="X100" s="470">
        <f t="shared" si="317"/>
        <v>692163</v>
      </c>
      <c r="Y100" s="470">
        <f t="shared" si="317"/>
        <v>0</v>
      </c>
      <c r="Z100" s="470">
        <f t="shared" si="317"/>
        <v>0</v>
      </c>
      <c r="AA100" s="470">
        <f t="shared" si="317"/>
        <v>0</v>
      </c>
      <c r="AB100" s="470">
        <f t="shared" si="317"/>
        <v>0</v>
      </c>
      <c r="AC100" s="470">
        <f t="shared" si="317"/>
        <v>0</v>
      </c>
      <c r="AD100" s="470">
        <f t="shared" si="317"/>
        <v>0</v>
      </c>
      <c r="AE100" s="470">
        <f t="shared" si="317"/>
        <v>0</v>
      </c>
      <c r="AF100" s="470">
        <f t="shared" si="317"/>
        <v>692163</v>
      </c>
      <c r="AG100" s="470">
        <f t="shared" si="317"/>
        <v>0</v>
      </c>
      <c r="AH100" s="470">
        <f t="shared" si="317"/>
        <v>692163</v>
      </c>
      <c r="AI100" s="470">
        <f t="shared" si="317"/>
        <v>0</v>
      </c>
      <c r="AJ100" s="470">
        <f t="shared" si="317"/>
        <v>0</v>
      </c>
      <c r="AK100" s="470">
        <f t="shared" ref="AK100" si="318">SUM(AK94:AK99)</f>
        <v>0</v>
      </c>
      <c r="AL100" s="470">
        <f t="shared" si="317"/>
        <v>0</v>
      </c>
      <c r="AM100" s="470">
        <f t="shared" si="317"/>
        <v>0</v>
      </c>
      <c r="AN100" s="470">
        <f t="shared" si="317"/>
        <v>0</v>
      </c>
      <c r="AO100" s="470">
        <f t="shared" si="317"/>
        <v>0</v>
      </c>
      <c r="AP100" s="470">
        <f t="shared" si="317"/>
        <v>0</v>
      </c>
      <c r="AQ100" s="470">
        <f t="shared" si="317"/>
        <v>0</v>
      </c>
      <c r="AR100" s="470">
        <f t="shared" si="317"/>
        <v>692163</v>
      </c>
      <c r="AS100" s="470">
        <f t="shared" si="317"/>
        <v>0</v>
      </c>
      <c r="AT100" s="470">
        <f t="shared" si="317"/>
        <v>692163</v>
      </c>
      <c r="AU100" s="470">
        <f t="shared" si="317"/>
        <v>233951</v>
      </c>
      <c r="AV100" s="470">
        <f t="shared" si="317"/>
        <v>6922</v>
      </c>
      <c r="AW100" s="470">
        <f t="shared" si="317"/>
        <v>4000</v>
      </c>
      <c r="AX100" s="470">
        <f t="shared" si="317"/>
        <v>0</v>
      </c>
      <c r="AY100" s="470">
        <f t="shared" si="317"/>
        <v>4000</v>
      </c>
      <c r="AZ100" s="470">
        <f t="shared" si="317"/>
        <v>937036</v>
      </c>
      <c r="BA100" s="471">
        <f t="shared" si="317"/>
        <v>0</v>
      </c>
      <c r="BB100" s="471">
        <f t="shared" si="317"/>
        <v>0</v>
      </c>
      <c r="BC100" s="471">
        <f t="shared" si="317"/>
        <v>2</v>
      </c>
      <c r="BD100" s="471">
        <f t="shared" si="317"/>
        <v>0</v>
      </c>
      <c r="BE100" s="471">
        <f t="shared" si="317"/>
        <v>0</v>
      </c>
      <c r="BF100" s="471">
        <f t="shared" si="317"/>
        <v>0</v>
      </c>
      <c r="BG100" s="471">
        <f t="shared" si="317"/>
        <v>0</v>
      </c>
      <c r="BH100" s="471">
        <f t="shared" si="317"/>
        <v>0</v>
      </c>
      <c r="BI100" s="471">
        <f t="shared" si="317"/>
        <v>0</v>
      </c>
      <c r="BJ100" s="471">
        <f t="shared" si="317"/>
        <v>0</v>
      </c>
      <c r="BK100" s="471">
        <f t="shared" si="317"/>
        <v>2</v>
      </c>
      <c r="BL100" s="471">
        <f t="shared" si="317"/>
        <v>0</v>
      </c>
      <c r="BM100" s="561">
        <f t="shared" si="317"/>
        <v>2</v>
      </c>
      <c r="BN100" s="473">
        <f t="shared" si="317"/>
        <v>6546630</v>
      </c>
      <c r="BO100" s="470">
        <f t="shared" si="317"/>
        <v>4820017</v>
      </c>
      <c r="BP100" s="470">
        <f t="shared" si="317"/>
        <v>4374650</v>
      </c>
      <c r="BQ100" s="470">
        <f t="shared" si="317"/>
        <v>445367</v>
      </c>
      <c r="BR100" s="470">
        <f t="shared" si="317"/>
        <v>0</v>
      </c>
      <c r="BS100" s="470">
        <f t="shared" si="317"/>
        <v>0</v>
      </c>
      <c r="BT100" s="470">
        <f t="shared" si="317"/>
        <v>0</v>
      </c>
      <c r="BU100" s="470">
        <f t="shared" ref="BU100:CF100" si="319">SUM(BU94:BU99)</f>
        <v>1629165</v>
      </c>
      <c r="BV100" s="470">
        <f t="shared" si="319"/>
        <v>48201</v>
      </c>
      <c r="BW100" s="470">
        <f t="shared" si="319"/>
        <v>49247</v>
      </c>
      <c r="BX100" s="471">
        <f t="shared" si="319"/>
        <v>9.3702000000000005</v>
      </c>
      <c r="BY100" s="471">
        <f t="shared" si="319"/>
        <v>8.0288000000000004</v>
      </c>
      <c r="BZ100" s="561">
        <f t="shared" si="319"/>
        <v>1.3413999999999999</v>
      </c>
      <c r="CA100" s="874">
        <f t="shared" si="319"/>
        <v>0</v>
      </c>
      <c r="CB100" s="871">
        <f t="shared" si="319"/>
        <v>0</v>
      </c>
      <c r="CC100" s="871">
        <f t="shared" si="319"/>
        <v>0</v>
      </c>
      <c r="CD100" s="871">
        <f t="shared" si="319"/>
        <v>0</v>
      </c>
      <c r="CE100" s="871">
        <f t="shared" si="319"/>
        <v>0</v>
      </c>
      <c r="CF100" s="847">
        <f t="shared" si="319"/>
        <v>0</v>
      </c>
    </row>
    <row r="101" spans="1:84" ht="12.95" customHeight="1" x14ac:dyDescent="0.25">
      <c r="A101" s="282">
        <v>18</v>
      </c>
      <c r="B101" s="283">
        <v>4434</v>
      </c>
      <c r="C101" s="283">
        <v>650025768</v>
      </c>
      <c r="D101" s="283">
        <v>72744481</v>
      </c>
      <c r="E101" s="285" t="s">
        <v>343</v>
      </c>
      <c r="F101" s="283">
        <v>3111</v>
      </c>
      <c r="G101" s="286" t="s">
        <v>305</v>
      </c>
      <c r="H101" s="286" t="s">
        <v>271</v>
      </c>
      <c r="I101" s="598">
        <f t="shared" ref="I101:I106" si="320">J101+M101+P101+Q101+R101</f>
        <v>4659513</v>
      </c>
      <c r="J101" s="418">
        <f t="shared" si="249"/>
        <v>3446114</v>
      </c>
      <c r="K101" s="418">
        <v>3266402</v>
      </c>
      <c r="L101" s="418">
        <v>179712</v>
      </c>
      <c r="M101" s="418">
        <f t="shared" ref="M101:M106" si="321">N101+O101</f>
        <v>0</v>
      </c>
      <c r="N101" s="418">
        <v>0</v>
      </c>
      <c r="O101" s="418">
        <v>0</v>
      </c>
      <c r="P101" s="68">
        <f t="shared" ref="P101:P106" si="322">ROUND((J101+M101)*33.8%,0)</f>
        <v>1164787</v>
      </c>
      <c r="Q101" s="68">
        <f t="shared" ref="Q101:Q106" si="323">ROUND(J101*1%,0)</f>
        <v>34461</v>
      </c>
      <c r="R101" s="418">
        <v>14151</v>
      </c>
      <c r="S101" s="419">
        <f t="shared" ref="S101:S106" si="324">T101+U101</f>
        <v>6.5716000000000001</v>
      </c>
      <c r="T101" s="420">
        <v>5.8516000000000004</v>
      </c>
      <c r="U101" s="707">
        <v>0.72</v>
      </c>
      <c r="V101" s="427">
        <f t="shared" ref="V101:W106" si="325">AI101*-1</f>
        <v>-12800</v>
      </c>
      <c r="W101" s="421">
        <f t="shared" si="325"/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 t="shared" ref="AF101:AF106" si="326">V101+X101+Y101+AA101+AB101+AD101</f>
        <v>-12800</v>
      </c>
      <c r="AG101" s="421">
        <f t="shared" ref="AG101:AG106" si="327">W101+Z101+AC101+AE101</f>
        <v>0</v>
      </c>
      <c r="AH101" s="421">
        <f t="shared" ref="AH101:AH106" si="328">SUM(AF101:AG101)</f>
        <v>-12800</v>
      </c>
      <c r="AI101" s="421">
        <v>12800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ref="AO101:AO106" si="329">AI101+AK101+AL101+AM101</f>
        <v>12800</v>
      </c>
      <c r="AP101" s="421">
        <f t="shared" ref="AP101:AP106" si="330">AJ101+AN101</f>
        <v>0</v>
      </c>
      <c r="AQ101" s="421">
        <f t="shared" ref="AQ101:AQ106" si="331">SUM(AO101:AP101)</f>
        <v>12800</v>
      </c>
      <c r="AR101" s="421">
        <f t="shared" ref="AR101:AS106" si="332">AF101+AO101</f>
        <v>0</v>
      </c>
      <c r="AS101" s="421">
        <f t="shared" si="332"/>
        <v>0</v>
      </c>
      <c r="AT101" s="421">
        <f t="shared" ref="AT101:AT106" si="333">SUM(AR101:AS101)</f>
        <v>0</v>
      </c>
      <c r="AU101" s="68">
        <f t="shared" ref="AU101:AU106" si="334">ROUND((AH101+AI101+AJ101+AK101+AL101)*33.8%,0)</f>
        <v>0</v>
      </c>
      <c r="AV101" s="68">
        <f t="shared" ref="AV101:AV106" si="335">ROUND(AH101*1%,0)</f>
        <v>-128</v>
      </c>
      <c r="AW101" s="421">
        <v>0</v>
      </c>
      <c r="AX101" s="421">
        <v>0</v>
      </c>
      <c r="AY101" s="421">
        <f t="shared" ref="AY101:AY106" si="336">AW101+AX101</f>
        <v>0</v>
      </c>
      <c r="AZ101" s="421">
        <f t="shared" ref="AZ101:AZ106" si="337">AT101+AU101+AV101+AY101</f>
        <v>-128</v>
      </c>
      <c r="BA101" s="422">
        <v>0</v>
      </c>
      <c r="BB101" s="422">
        <v>0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 t="shared" ref="BK101:BK106" si="338">BA101+BC101+BD101+BF101+BH101+BI101</f>
        <v>0</v>
      </c>
      <c r="BL101" s="422">
        <f t="shared" ref="BL101:BL106" si="339">BB101+BE101+BG101+BJ101</f>
        <v>0</v>
      </c>
      <c r="BM101" s="611">
        <f t="shared" ref="BM101:BM106" si="340">SUM(BK101:BL101)</f>
        <v>0</v>
      </c>
      <c r="BN101" s="428">
        <f t="shared" ref="BN101:BN106" si="341">I101+AZ101</f>
        <v>4659385</v>
      </c>
      <c r="BO101" s="421">
        <f t="shared" ref="BO101:BO106" si="342">J101+AH101</f>
        <v>3433314</v>
      </c>
      <c r="BP101" s="421">
        <f t="shared" ref="BP101:BQ106" si="343">K101+AF101</f>
        <v>3253602</v>
      </c>
      <c r="BQ101" s="421">
        <f t="shared" si="343"/>
        <v>179712</v>
      </c>
      <c r="BR101" s="421">
        <f t="shared" ref="BR101:BR106" si="344">M101+AQ101</f>
        <v>12800</v>
      </c>
      <c r="BS101" s="421">
        <f t="shared" ref="BS101:BT106" si="345">N101+AO101</f>
        <v>12800</v>
      </c>
      <c r="BT101" s="421">
        <f t="shared" si="345"/>
        <v>0</v>
      </c>
      <c r="BU101" s="421">
        <f t="shared" ref="BU101:BV106" si="346">P101+AU101</f>
        <v>1164787</v>
      </c>
      <c r="BV101" s="421">
        <f t="shared" si="346"/>
        <v>34333</v>
      </c>
      <c r="BW101" s="421">
        <f t="shared" ref="BW101:BW106" si="347">R101+AY101</f>
        <v>14151</v>
      </c>
      <c r="BX101" s="422">
        <f t="shared" ref="BX101:BX106" si="348">S101+BM101</f>
        <v>6.5716000000000001</v>
      </c>
      <c r="BY101" s="422">
        <f t="shared" ref="BY101:BZ106" si="349">T101+BK101</f>
        <v>5.8516000000000004</v>
      </c>
      <c r="BZ101" s="611">
        <f t="shared" si="349"/>
        <v>0.72</v>
      </c>
      <c r="CA101" s="423"/>
      <c r="CB101" s="418"/>
      <c r="CC101" s="418"/>
      <c r="CD101" s="418"/>
      <c r="CE101" s="418"/>
      <c r="CF101" s="527"/>
    </row>
    <row r="102" spans="1:84" ht="12.95" customHeight="1" x14ac:dyDescent="0.25">
      <c r="A102" s="282">
        <v>18</v>
      </c>
      <c r="B102" s="283">
        <v>4434</v>
      </c>
      <c r="C102" s="283">
        <v>650025768</v>
      </c>
      <c r="D102" s="283">
        <v>72744481</v>
      </c>
      <c r="E102" s="285" t="s">
        <v>343</v>
      </c>
      <c r="F102" s="283">
        <v>3113</v>
      </c>
      <c r="G102" s="286" t="s">
        <v>309</v>
      </c>
      <c r="H102" s="286" t="s">
        <v>271</v>
      </c>
      <c r="I102" s="598">
        <f t="shared" si="320"/>
        <v>13102926</v>
      </c>
      <c r="J102" s="418">
        <f t="shared" si="249"/>
        <v>9591360</v>
      </c>
      <c r="K102" s="418">
        <v>8595995</v>
      </c>
      <c r="L102" s="418">
        <v>995365</v>
      </c>
      <c r="M102" s="418">
        <f t="shared" si="321"/>
        <v>0</v>
      </c>
      <c r="N102" s="418">
        <v>0</v>
      </c>
      <c r="O102" s="418">
        <v>0</v>
      </c>
      <c r="P102" s="68">
        <f>ROUND((J102+M102)*33.8%,0)-1</f>
        <v>3241879</v>
      </c>
      <c r="Q102" s="68">
        <f>ROUND(J102*1%,0)-1</f>
        <v>95913</v>
      </c>
      <c r="R102" s="418">
        <v>173774</v>
      </c>
      <c r="S102" s="419">
        <f t="shared" si="324"/>
        <v>15.6136</v>
      </c>
      <c r="T102" s="420">
        <v>12.7273</v>
      </c>
      <c r="U102" s="707">
        <v>2.8863000000000003</v>
      </c>
      <c r="V102" s="427">
        <f t="shared" si="325"/>
        <v>-16000</v>
      </c>
      <c r="W102" s="421">
        <f t="shared" si="325"/>
        <v>-55680</v>
      </c>
      <c r="X102" s="421">
        <v>0</v>
      </c>
      <c r="Y102" s="421">
        <v>0</v>
      </c>
      <c r="Z102" s="421">
        <v>0</v>
      </c>
      <c r="AA102" s="421">
        <v>0</v>
      </c>
      <c r="AB102" s="421">
        <v>0</v>
      </c>
      <c r="AC102" s="421">
        <v>0</v>
      </c>
      <c r="AD102" s="421">
        <v>0</v>
      </c>
      <c r="AE102" s="421">
        <v>0</v>
      </c>
      <c r="AF102" s="421">
        <f t="shared" si="326"/>
        <v>-16000</v>
      </c>
      <c r="AG102" s="421">
        <f t="shared" si="327"/>
        <v>-55680</v>
      </c>
      <c r="AH102" s="421">
        <f t="shared" si="328"/>
        <v>-71680</v>
      </c>
      <c r="AI102" s="421">
        <v>16000</v>
      </c>
      <c r="AJ102" s="421">
        <f>9600+46080</f>
        <v>55680</v>
      </c>
      <c r="AK102" s="421">
        <v>0</v>
      </c>
      <c r="AL102" s="421">
        <v>0</v>
      </c>
      <c r="AM102" s="421">
        <v>0</v>
      </c>
      <c r="AN102" s="421">
        <v>0</v>
      </c>
      <c r="AO102" s="421">
        <f t="shared" si="329"/>
        <v>16000</v>
      </c>
      <c r="AP102" s="421">
        <f t="shared" si="330"/>
        <v>55680</v>
      </c>
      <c r="AQ102" s="421">
        <f t="shared" si="331"/>
        <v>71680</v>
      </c>
      <c r="AR102" s="421">
        <f t="shared" si="332"/>
        <v>0</v>
      </c>
      <c r="AS102" s="421">
        <f t="shared" si="332"/>
        <v>0</v>
      </c>
      <c r="AT102" s="421">
        <f t="shared" si="333"/>
        <v>0</v>
      </c>
      <c r="AU102" s="68">
        <f t="shared" si="334"/>
        <v>0</v>
      </c>
      <c r="AV102" s="68">
        <f t="shared" si="335"/>
        <v>-717</v>
      </c>
      <c r="AW102" s="421">
        <v>0</v>
      </c>
      <c r="AX102" s="421">
        <v>0</v>
      </c>
      <c r="AY102" s="421">
        <f t="shared" si="336"/>
        <v>0</v>
      </c>
      <c r="AZ102" s="421">
        <f t="shared" si="337"/>
        <v>-717</v>
      </c>
      <c r="BA102" s="422">
        <v>0</v>
      </c>
      <c r="BB102" s="422">
        <v>-0.14000000000000001</v>
      </c>
      <c r="BC102" s="422">
        <v>0</v>
      </c>
      <c r="BD102" s="422">
        <v>0</v>
      </c>
      <c r="BE102" s="422">
        <v>0</v>
      </c>
      <c r="BF102" s="422">
        <v>0</v>
      </c>
      <c r="BG102" s="422">
        <v>0</v>
      </c>
      <c r="BH102" s="422">
        <v>0</v>
      </c>
      <c r="BI102" s="422">
        <v>0</v>
      </c>
      <c r="BJ102" s="422">
        <v>0</v>
      </c>
      <c r="BK102" s="422">
        <f t="shared" si="338"/>
        <v>0</v>
      </c>
      <c r="BL102" s="422">
        <f t="shared" si="339"/>
        <v>-0.14000000000000001</v>
      </c>
      <c r="BM102" s="611">
        <f t="shared" si="340"/>
        <v>-0.14000000000000001</v>
      </c>
      <c r="BN102" s="428">
        <f t="shared" si="341"/>
        <v>13102209</v>
      </c>
      <c r="BO102" s="421">
        <f t="shared" si="342"/>
        <v>9519680</v>
      </c>
      <c r="BP102" s="421">
        <f t="shared" si="343"/>
        <v>8579995</v>
      </c>
      <c r="BQ102" s="421">
        <f t="shared" si="343"/>
        <v>939685</v>
      </c>
      <c r="BR102" s="421">
        <f t="shared" si="344"/>
        <v>71680</v>
      </c>
      <c r="BS102" s="421">
        <f t="shared" si="345"/>
        <v>16000</v>
      </c>
      <c r="BT102" s="421">
        <f t="shared" si="345"/>
        <v>55680</v>
      </c>
      <c r="BU102" s="421">
        <f t="shared" si="346"/>
        <v>3241879</v>
      </c>
      <c r="BV102" s="421">
        <f t="shared" si="346"/>
        <v>95196</v>
      </c>
      <c r="BW102" s="421">
        <f t="shared" si="347"/>
        <v>173774</v>
      </c>
      <c r="BX102" s="422">
        <f t="shared" si="348"/>
        <v>15.473599999999999</v>
      </c>
      <c r="BY102" s="422">
        <f t="shared" si="349"/>
        <v>12.7273</v>
      </c>
      <c r="BZ102" s="611">
        <f t="shared" si="349"/>
        <v>2.7463000000000002</v>
      </c>
      <c r="CA102" s="423"/>
      <c r="CB102" s="418"/>
      <c r="CC102" s="418"/>
      <c r="CD102" s="418"/>
      <c r="CE102" s="418"/>
      <c r="CF102" s="527"/>
    </row>
    <row r="103" spans="1:84" ht="12.95" customHeight="1" x14ac:dyDescent="0.25">
      <c r="A103" s="282">
        <v>18</v>
      </c>
      <c r="B103" s="283">
        <v>4434</v>
      </c>
      <c r="C103" s="283">
        <v>650025768</v>
      </c>
      <c r="D103" s="283">
        <v>72744481</v>
      </c>
      <c r="E103" s="285" t="s">
        <v>343</v>
      </c>
      <c r="F103" s="283">
        <v>3113</v>
      </c>
      <c r="G103" s="286" t="s">
        <v>299</v>
      </c>
      <c r="H103" s="286" t="s">
        <v>272</v>
      </c>
      <c r="I103" s="598">
        <f t="shared" si="320"/>
        <v>0</v>
      </c>
      <c r="J103" s="418">
        <f t="shared" si="249"/>
        <v>0</v>
      </c>
      <c r="K103" s="418">
        <v>0</v>
      </c>
      <c r="L103" s="418">
        <v>0</v>
      </c>
      <c r="M103" s="418">
        <f t="shared" si="321"/>
        <v>0</v>
      </c>
      <c r="N103" s="418">
        <v>0</v>
      </c>
      <c r="O103" s="418">
        <v>0</v>
      </c>
      <c r="P103" s="68">
        <f t="shared" ref="P103" si="350">ROUND((J103+M103)*33.8%,0)</f>
        <v>0</v>
      </c>
      <c r="Q103" s="68">
        <f t="shared" ref="Q103" si="351">ROUND(J103*1%,0)</f>
        <v>0</v>
      </c>
      <c r="R103" s="418">
        <v>0</v>
      </c>
      <c r="S103" s="419">
        <f t="shared" si="324"/>
        <v>0</v>
      </c>
      <c r="T103" s="420">
        <v>0</v>
      </c>
      <c r="U103" s="707">
        <v>0</v>
      </c>
      <c r="V103" s="427">
        <f t="shared" si="325"/>
        <v>0</v>
      </c>
      <c r="W103" s="421">
        <f t="shared" si="325"/>
        <v>0</v>
      </c>
      <c r="X103" s="421">
        <f>1112405+254926</f>
        <v>1367331</v>
      </c>
      <c r="Y103" s="421">
        <v>0</v>
      </c>
      <c r="Z103" s="421">
        <v>0</v>
      </c>
      <c r="AA103" s="421">
        <v>0</v>
      </c>
      <c r="AB103" s="421">
        <v>0</v>
      </c>
      <c r="AC103" s="421">
        <v>0</v>
      </c>
      <c r="AD103" s="421">
        <v>0</v>
      </c>
      <c r="AE103" s="421">
        <v>0</v>
      </c>
      <c r="AF103" s="421">
        <f t="shared" si="326"/>
        <v>1367331</v>
      </c>
      <c r="AG103" s="421">
        <f t="shared" si="327"/>
        <v>0</v>
      </c>
      <c r="AH103" s="421">
        <f t="shared" si="328"/>
        <v>1367331</v>
      </c>
      <c r="AI103" s="421">
        <v>0</v>
      </c>
      <c r="AJ103" s="421">
        <v>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si="329"/>
        <v>0</v>
      </c>
      <c r="AP103" s="421">
        <f t="shared" si="330"/>
        <v>0</v>
      </c>
      <c r="AQ103" s="421">
        <f t="shared" si="331"/>
        <v>0</v>
      </c>
      <c r="AR103" s="421">
        <f t="shared" si="332"/>
        <v>1367331</v>
      </c>
      <c r="AS103" s="421">
        <f t="shared" si="332"/>
        <v>0</v>
      </c>
      <c r="AT103" s="421">
        <f t="shared" si="333"/>
        <v>1367331</v>
      </c>
      <c r="AU103" s="68">
        <f t="shared" si="334"/>
        <v>462158</v>
      </c>
      <c r="AV103" s="68">
        <f t="shared" si="335"/>
        <v>13673</v>
      </c>
      <c r="AW103" s="421">
        <v>0</v>
      </c>
      <c r="AX103" s="421">
        <v>0</v>
      </c>
      <c r="AY103" s="421">
        <f t="shared" si="336"/>
        <v>0</v>
      </c>
      <c r="AZ103" s="421">
        <f t="shared" si="337"/>
        <v>1843162</v>
      </c>
      <c r="BA103" s="422">
        <v>0</v>
      </c>
      <c r="BB103" s="422">
        <v>0</v>
      </c>
      <c r="BC103" s="422">
        <f>3+0.69</f>
        <v>3.69</v>
      </c>
      <c r="BD103" s="422">
        <v>0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 t="shared" si="338"/>
        <v>3.69</v>
      </c>
      <c r="BL103" s="422">
        <f t="shared" si="339"/>
        <v>0</v>
      </c>
      <c r="BM103" s="611">
        <f t="shared" si="340"/>
        <v>3.69</v>
      </c>
      <c r="BN103" s="428">
        <f t="shared" si="341"/>
        <v>1843162</v>
      </c>
      <c r="BO103" s="421">
        <f t="shared" si="342"/>
        <v>1367331</v>
      </c>
      <c r="BP103" s="421">
        <f t="shared" si="343"/>
        <v>1367331</v>
      </c>
      <c r="BQ103" s="421">
        <f t="shared" si="343"/>
        <v>0</v>
      </c>
      <c r="BR103" s="421">
        <f t="shared" si="344"/>
        <v>0</v>
      </c>
      <c r="BS103" s="421">
        <f t="shared" si="345"/>
        <v>0</v>
      </c>
      <c r="BT103" s="421">
        <f t="shared" si="345"/>
        <v>0</v>
      </c>
      <c r="BU103" s="421">
        <f t="shared" si="346"/>
        <v>462158</v>
      </c>
      <c r="BV103" s="421">
        <f t="shared" si="346"/>
        <v>13673</v>
      </c>
      <c r="BW103" s="421">
        <f t="shared" si="347"/>
        <v>0</v>
      </c>
      <c r="BX103" s="422">
        <f t="shared" si="348"/>
        <v>3.69</v>
      </c>
      <c r="BY103" s="422">
        <f t="shared" si="349"/>
        <v>3.69</v>
      </c>
      <c r="BZ103" s="611">
        <f t="shared" si="349"/>
        <v>0</v>
      </c>
      <c r="CA103" s="423"/>
      <c r="CB103" s="418"/>
      <c r="CC103" s="418"/>
      <c r="CD103" s="418"/>
      <c r="CE103" s="418"/>
      <c r="CF103" s="527"/>
    </row>
    <row r="104" spans="1:84" ht="12.95" customHeight="1" x14ac:dyDescent="0.25">
      <c r="A104" s="282">
        <v>18</v>
      </c>
      <c r="B104" s="283">
        <v>4434</v>
      </c>
      <c r="C104" s="283">
        <v>650025768</v>
      </c>
      <c r="D104" s="283">
        <v>72744481</v>
      </c>
      <c r="E104" s="285" t="s">
        <v>343</v>
      </c>
      <c r="F104" s="283">
        <v>3141</v>
      </c>
      <c r="G104" s="286" t="s">
        <v>295</v>
      </c>
      <c r="H104" s="286" t="s">
        <v>272</v>
      </c>
      <c r="I104" s="598">
        <f t="shared" si="320"/>
        <v>1235397</v>
      </c>
      <c r="J104" s="418">
        <f t="shared" si="249"/>
        <v>911534</v>
      </c>
      <c r="K104" s="418">
        <v>0</v>
      </c>
      <c r="L104" s="418">
        <v>911534</v>
      </c>
      <c r="M104" s="418">
        <f t="shared" si="321"/>
        <v>0</v>
      </c>
      <c r="N104" s="418">
        <v>0</v>
      </c>
      <c r="O104" s="418">
        <v>0</v>
      </c>
      <c r="P104" s="68">
        <f t="shared" si="322"/>
        <v>308098</v>
      </c>
      <c r="Q104" s="68">
        <f t="shared" si="323"/>
        <v>9115</v>
      </c>
      <c r="R104" s="418">
        <v>6650</v>
      </c>
      <c r="S104" s="419">
        <f t="shared" si="324"/>
        <v>2.7334000000000001</v>
      </c>
      <c r="T104" s="420">
        <v>0</v>
      </c>
      <c r="U104" s="707">
        <v>2.7334000000000001</v>
      </c>
      <c r="V104" s="427">
        <f t="shared" si="325"/>
        <v>0</v>
      </c>
      <c r="W104" s="421">
        <f t="shared" si="325"/>
        <v>-16000</v>
      </c>
      <c r="X104" s="421">
        <v>0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 t="shared" si="326"/>
        <v>0</v>
      </c>
      <c r="AG104" s="421">
        <f t="shared" si="327"/>
        <v>-16000</v>
      </c>
      <c r="AH104" s="421">
        <f t="shared" si="328"/>
        <v>-16000</v>
      </c>
      <c r="AI104" s="421">
        <v>0</v>
      </c>
      <c r="AJ104" s="421">
        <v>16000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329"/>
        <v>0</v>
      </c>
      <c r="AP104" s="421">
        <f t="shared" si="330"/>
        <v>16000</v>
      </c>
      <c r="AQ104" s="421">
        <f t="shared" si="331"/>
        <v>16000</v>
      </c>
      <c r="AR104" s="421">
        <f t="shared" si="332"/>
        <v>0</v>
      </c>
      <c r="AS104" s="421">
        <f t="shared" si="332"/>
        <v>0</v>
      </c>
      <c r="AT104" s="421">
        <f t="shared" si="333"/>
        <v>0</v>
      </c>
      <c r="AU104" s="68">
        <f t="shared" si="334"/>
        <v>0</v>
      </c>
      <c r="AV104" s="68">
        <f t="shared" si="335"/>
        <v>-160</v>
      </c>
      <c r="AW104" s="421">
        <v>0</v>
      </c>
      <c r="AX104" s="421">
        <v>0</v>
      </c>
      <c r="AY104" s="421">
        <f t="shared" si="336"/>
        <v>0</v>
      </c>
      <c r="AZ104" s="421">
        <f t="shared" si="337"/>
        <v>-160</v>
      </c>
      <c r="BA104" s="422">
        <v>0</v>
      </c>
      <c r="BB104" s="422">
        <v>0</v>
      </c>
      <c r="BC104" s="422">
        <v>0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 t="shared" si="338"/>
        <v>0</v>
      </c>
      <c r="BL104" s="422">
        <f t="shared" si="339"/>
        <v>0</v>
      </c>
      <c r="BM104" s="611">
        <f t="shared" si="340"/>
        <v>0</v>
      </c>
      <c r="BN104" s="428">
        <f t="shared" si="341"/>
        <v>1235237</v>
      </c>
      <c r="BO104" s="421">
        <f t="shared" si="342"/>
        <v>895534</v>
      </c>
      <c r="BP104" s="421">
        <f t="shared" si="343"/>
        <v>0</v>
      </c>
      <c r="BQ104" s="421">
        <f t="shared" si="343"/>
        <v>895534</v>
      </c>
      <c r="BR104" s="421">
        <f t="shared" si="344"/>
        <v>16000</v>
      </c>
      <c r="BS104" s="421">
        <f t="shared" si="345"/>
        <v>0</v>
      </c>
      <c r="BT104" s="421">
        <f t="shared" si="345"/>
        <v>16000</v>
      </c>
      <c r="BU104" s="421">
        <f t="shared" si="346"/>
        <v>308098</v>
      </c>
      <c r="BV104" s="421">
        <f t="shared" si="346"/>
        <v>8955</v>
      </c>
      <c r="BW104" s="421">
        <f t="shared" si="347"/>
        <v>6650</v>
      </c>
      <c r="BX104" s="422">
        <f t="shared" si="348"/>
        <v>2.7334000000000001</v>
      </c>
      <c r="BY104" s="422">
        <f t="shared" si="349"/>
        <v>0</v>
      </c>
      <c r="BZ104" s="611">
        <f t="shared" si="349"/>
        <v>2.7334000000000001</v>
      </c>
      <c r="CA104" s="423"/>
      <c r="CB104" s="418"/>
      <c r="CC104" s="418"/>
      <c r="CD104" s="418"/>
      <c r="CE104" s="418"/>
      <c r="CF104" s="527"/>
    </row>
    <row r="105" spans="1:84" ht="12.95" customHeight="1" x14ac:dyDescent="0.25">
      <c r="A105" s="282">
        <v>18</v>
      </c>
      <c r="B105" s="283">
        <v>4434</v>
      </c>
      <c r="C105" s="283">
        <v>650025768</v>
      </c>
      <c r="D105" s="283">
        <v>72744481</v>
      </c>
      <c r="E105" s="285" t="s">
        <v>343</v>
      </c>
      <c r="F105" s="283">
        <v>3143</v>
      </c>
      <c r="G105" s="286" t="s">
        <v>596</v>
      </c>
      <c r="H105" s="286" t="s">
        <v>271</v>
      </c>
      <c r="I105" s="598">
        <f t="shared" si="320"/>
        <v>1396493</v>
      </c>
      <c r="J105" s="418">
        <f t="shared" si="249"/>
        <v>1035974</v>
      </c>
      <c r="K105" s="418">
        <v>1035974</v>
      </c>
      <c r="L105" s="418">
        <v>0</v>
      </c>
      <c r="M105" s="418">
        <f t="shared" si="321"/>
        <v>0</v>
      </c>
      <c r="N105" s="418">
        <v>0</v>
      </c>
      <c r="O105" s="418">
        <v>0</v>
      </c>
      <c r="P105" s="68">
        <f t="shared" si="322"/>
        <v>350159</v>
      </c>
      <c r="Q105" s="68">
        <f t="shared" si="323"/>
        <v>10360</v>
      </c>
      <c r="R105" s="418">
        <v>0</v>
      </c>
      <c r="S105" s="419">
        <f t="shared" si="324"/>
        <v>2</v>
      </c>
      <c r="T105" s="420">
        <v>2</v>
      </c>
      <c r="U105" s="707">
        <v>0</v>
      </c>
      <c r="V105" s="427">
        <f t="shared" si="325"/>
        <v>-16000</v>
      </c>
      <c r="W105" s="421">
        <f t="shared" si="325"/>
        <v>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f t="shared" si="326"/>
        <v>-16000</v>
      </c>
      <c r="AG105" s="421">
        <f t="shared" si="327"/>
        <v>0</v>
      </c>
      <c r="AH105" s="421">
        <f t="shared" si="328"/>
        <v>-16000</v>
      </c>
      <c r="AI105" s="421">
        <v>16000</v>
      </c>
      <c r="AJ105" s="421">
        <v>0</v>
      </c>
      <c r="AK105" s="421">
        <v>0</v>
      </c>
      <c r="AL105" s="421">
        <v>0</v>
      </c>
      <c r="AM105" s="421">
        <v>0</v>
      </c>
      <c r="AN105" s="421">
        <v>0</v>
      </c>
      <c r="AO105" s="421">
        <f t="shared" si="329"/>
        <v>16000</v>
      </c>
      <c r="AP105" s="421">
        <f t="shared" si="330"/>
        <v>0</v>
      </c>
      <c r="AQ105" s="421">
        <f t="shared" si="331"/>
        <v>16000</v>
      </c>
      <c r="AR105" s="421">
        <f t="shared" si="332"/>
        <v>0</v>
      </c>
      <c r="AS105" s="421">
        <f t="shared" si="332"/>
        <v>0</v>
      </c>
      <c r="AT105" s="421">
        <f t="shared" si="333"/>
        <v>0</v>
      </c>
      <c r="AU105" s="68">
        <f t="shared" si="334"/>
        <v>0</v>
      </c>
      <c r="AV105" s="68">
        <f t="shared" si="335"/>
        <v>-160</v>
      </c>
      <c r="AW105" s="421">
        <v>0</v>
      </c>
      <c r="AX105" s="421">
        <v>0</v>
      </c>
      <c r="AY105" s="421">
        <f t="shared" si="336"/>
        <v>0</v>
      </c>
      <c r="AZ105" s="421">
        <f t="shared" si="337"/>
        <v>-160</v>
      </c>
      <c r="BA105" s="422">
        <v>0</v>
      </c>
      <c r="BB105" s="422">
        <v>0</v>
      </c>
      <c r="BC105" s="422">
        <v>0</v>
      </c>
      <c r="BD105" s="422">
        <v>0</v>
      </c>
      <c r="BE105" s="422">
        <v>0</v>
      </c>
      <c r="BF105" s="422">
        <v>0</v>
      </c>
      <c r="BG105" s="422">
        <v>0</v>
      </c>
      <c r="BH105" s="422">
        <v>0</v>
      </c>
      <c r="BI105" s="422">
        <v>0</v>
      </c>
      <c r="BJ105" s="422">
        <v>0</v>
      </c>
      <c r="BK105" s="422">
        <f t="shared" si="338"/>
        <v>0</v>
      </c>
      <c r="BL105" s="422">
        <f t="shared" si="339"/>
        <v>0</v>
      </c>
      <c r="BM105" s="611">
        <f t="shared" si="340"/>
        <v>0</v>
      </c>
      <c r="BN105" s="428">
        <f t="shared" si="341"/>
        <v>1396333</v>
      </c>
      <c r="BO105" s="421">
        <f t="shared" si="342"/>
        <v>1019974</v>
      </c>
      <c r="BP105" s="421">
        <f t="shared" si="343"/>
        <v>1019974</v>
      </c>
      <c r="BQ105" s="421">
        <f t="shared" si="343"/>
        <v>0</v>
      </c>
      <c r="BR105" s="421">
        <f t="shared" si="344"/>
        <v>16000</v>
      </c>
      <c r="BS105" s="421">
        <f t="shared" si="345"/>
        <v>16000</v>
      </c>
      <c r="BT105" s="421">
        <f t="shared" si="345"/>
        <v>0</v>
      </c>
      <c r="BU105" s="421">
        <f t="shared" si="346"/>
        <v>350159</v>
      </c>
      <c r="BV105" s="421">
        <f t="shared" si="346"/>
        <v>10200</v>
      </c>
      <c r="BW105" s="421">
        <f t="shared" si="347"/>
        <v>0</v>
      </c>
      <c r="BX105" s="422">
        <f t="shared" si="348"/>
        <v>2</v>
      </c>
      <c r="BY105" s="422">
        <f t="shared" si="349"/>
        <v>2</v>
      </c>
      <c r="BZ105" s="611">
        <f t="shared" si="349"/>
        <v>0</v>
      </c>
      <c r="CA105" s="423"/>
      <c r="CB105" s="418"/>
      <c r="CC105" s="418"/>
      <c r="CD105" s="418"/>
      <c r="CE105" s="418"/>
      <c r="CF105" s="527"/>
    </row>
    <row r="106" spans="1:84" ht="12.95" customHeight="1" x14ac:dyDescent="0.25">
      <c r="A106" s="282">
        <v>18</v>
      </c>
      <c r="B106" s="283">
        <v>4434</v>
      </c>
      <c r="C106" s="283">
        <v>650025768</v>
      </c>
      <c r="D106" s="283">
        <v>72744481</v>
      </c>
      <c r="E106" s="285" t="s">
        <v>343</v>
      </c>
      <c r="F106" s="283">
        <v>3143</v>
      </c>
      <c r="G106" s="286" t="s">
        <v>597</v>
      </c>
      <c r="H106" s="286" t="s">
        <v>272</v>
      </c>
      <c r="I106" s="598">
        <f t="shared" si="320"/>
        <v>21503</v>
      </c>
      <c r="J106" s="418">
        <f t="shared" si="249"/>
        <v>15391</v>
      </c>
      <c r="K106" s="418">
        <v>0</v>
      </c>
      <c r="L106" s="418">
        <v>15391</v>
      </c>
      <c r="M106" s="418">
        <f t="shared" si="321"/>
        <v>0</v>
      </c>
      <c r="N106" s="418">
        <v>0</v>
      </c>
      <c r="O106" s="418">
        <v>0</v>
      </c>
      <c r="P106" s="68">
        <f t="shared" si="322"/>
        <v>5202</v>
      </c>
      <c r="Q106" s="68">
        <f t="shared" si="323"/>
        <v>154</v>
      </c>
      <c r="R106" s="418">
        <v>756</v>
      </c>
      <c r="S106" s="419">
        <f t="shared" si="324"/>
        <v>5.8299999999999998E-2</v>
      </c>
      <c r="T106" s="420">
        <v>0</v>
      </c>
      <c r="U106" s="707">
        <v>5.8299999999999998E-2</v>
      </c>
      <c r="V106" s="427">
        <f t="shared" si="325"/>
        <v>0</v>
      </c>
      <c r="W106" s="421">
        <f t="shared" si="325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 t="shared" si="326"/>
        <v>0</v>
      </c>
      <c r="AG106" s="421">
        <f t="shared" si="327"/>
        <v>0</v>
      </c>
      <c r="AH106" s="421">
        <f t="shared" si="328"/>
        <v>0</v>
      </c>
      <c r="AI106" s="421">
        <v>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329"/>
        <v>0</v>
      </c>
      <c r="AP106" s="421">
        <f t="shared" si="330"/>
        <v>0</v>
      </c>
      <c r="AQ106" s="421">
        <f t="shared" si="331"/>
        <v>0</v>
      </c>
      <c r="AR106" s="421">
        <f t="shared" si="332"/>
        <v>0</v>
      </c>
      <c r="AS106" s="421">
        <f t="shared" si="332"/>
        <v>0</v>
      </c>
      <c r="AT106" s="421">
        <f t="shared" si="333"/>
        <v>0</v>
      </c>
      <c r="AU106" s="68">
        <f t="shared" si="334"/>
        <v>0</v>
      </c>
      <c r="AV106" s="68">
        <f t="shared" si="335"/>
        <v>0</v>
      </c>
      <c r="AW106" s="421">
        <v>0</v>
      </c>
      <c r="AX106" s="421">
        <v>0</v>
      </c>
      <c r="AY106" s="421">
        <f t="shared" si="336"/>
        <v>0</v>
      </c>
      <c r="AZ106" s="421">
        <f t="shared" si="337"/>
        <v>0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 t="shared" si="338"/>
        <v>0</v>
      </c>
      <c r="BL106" s="422">
        <f t="shared" si="339"/>
        <v>0</v>
      </c>
      <c r="BM106" s="611">
        <f t="shared" si="340"/>
        <v>0</v>
      </c>
      <c r="BN106" s="428">
        <f t="shared" si="341"/>
        <v>21503</v>
      </c>
      <c r="BO106" s="421">
        <f t="shared" si="342"/>
        <v>15391</v>
      </c>
      <c r="BP106" s="421">
        <f t="shared" si="343"/>
        <v>0</v>
      </c>
      <c r="BQ106" s="421">
        <f t="shared" si="343"/>
        <v>15391</v>
      </c>
      <c r="BR106" s="421">
        <f t="shared" si="344"/>
        <v>0</v>
      </c>
      <c r="BS106" s="421">
        <f t="shared" si="345"/>
        <v>0</v>
      </c>
      <c r="BT106" s="421">
        <f t="shared" si="345"/>
        <v>0</v>
      </c>
      <c r="BU106" s="421">
        <f t="shared" si="346"/>
        <v>5202</v>
      </c>
      <c r="BV106" s="421">
        <f t="shared" si="346"/>
        <v>154</v>
      </c>
      <c r="BW106" s="421">
        <f t="shared" si="347"/>
        <v>756</v>
      </c>
      <c r="BX106" s="422">
        <f t="shared" si="348"/>
        <v>5.8299999999999998E-2</v>
      </c>
      <c r="BY106" s="422">
        <f t="shared" si="349"/>
        <v>0</v>
      </c>
      <c r="BZ106" s="611">
        <f t="shared" si="349"/>
        <v>5.8299999999999998E-2</v>
      </c>
      <c r="CA106" s="423"/>
      <c r="CB106" s="418"/>
      <c r="CC106" s="418"/>
      <c r="CD106" s="418"/>
      <c r="CE106" s="418"/>
      <c r="CF106" s="527"/>
    </row>
    <row r="107" spans="1:84" ht="12.95" customHeight="1" x14ac:dyDescent="0.25">
      <c r="A107" s="275">
        <v>18</v>
      </c>
      <c r="B107" s="277">
        <v>4434</v>
      </c>
      <c r="C107" s="277">
        <v>650025768</v>
      </c>
      <c r="D107" s="277">
        <v>72744481</v>
      </c>
      <c r="E107" s="296" t="s">
        <v>344</v>
      </c>
      <c r="F107" s="297"/>
      <c r="G107" s="298"/>
      <c r="H107" s="298"/>
      <c r="I107" s="473">
        <f t="shared" ref="I107:BT107" si="352">SUM(I101:I106)</f>
        <v>20415832</v>
      </c>
      <c r="J107" s="470">
        <f t="shared" si="352"/>
        <v>15000373</v>
      </c>
      <c r="K107" s="470">
        <f t="shared" si="352"/>
        <v>12898371</v>
      </c>
      <c r="L107" s="470">
        <f t="shared" si="352"/>
        <v>2102002</v>
      </c>
      <c r="M107" s="470">
        <f t="shared" si="352"/>
        <v>0</v>
      </c>
      <c r="N107" s="470">
        <f t="shared" si="352"/>
        <v>0</v>
      </c>
      <c r="O107" s="470">
        <f t="shared" si="352"/>
        <v>0</v>
      </c>
      <c r="P107" s="470">
        <f t="shared" si="352"/>
        <v>5070125</v>
      </c>
      <c r="Q107" s="470">
        <f t="shared" si="352"/>
        <v>150003</v>
      </c>
      <c r="R107" s="470">
        <f t="shared" si="352"/>
        <v>195331</v>
      </c>
      <c r="S107" s="471">
        <f t="shared" si="352"/>
        <v>26.976900000000001</v>
      </c>
      <c r="T107" s="471">
        <f t="shared" si="352"/>
        <v>20.578900000000001</v>
      </c>
      <c r="U107" s="292">
        <f t="shared" si="352"/>
        <v>6.3980000000000006</v>
      </c>
      <c r="V107" s="475">
        <f t="shared" si="352"/>
        <v>-44800</v>
      </c>
      <c r="W107" s="470">
        <f t="shared" si="352"/>
        <v>-71680</v>
      </c>
      <c r="X107" s="470">
        <f t="shared" si="352"/>
        <v>1367331</v>
      </c>
      <c r="Y107" s="470">
        <f t="shared" si="352"/>
        <v>0</v>
      </c>
      <c r="Z107" s="470">
        <f t="shared" si="352"/>
        <v>0</v>
      </c>
      <c r="AA107" s="470">
        <f t="shared" si="352"/>
        <v>0</v>
      </c>
      <c r="AB107" s="470">
        <f t="shared" si="352"/>
        <v>0</v>
      </c>
      <c r="AC107" s="470">
        <f t="shared" si="352"/>
        <v>0</v>
      </c>
      <c r="AD107" s="470">
        <f t="shared" si="352"/>
        <v>0</v>
      </c>
      <c r="AE107" s="470">
        <f t="shared" si="352"/>
        <v>0</v>
      </c>
      <c r="AF107" s="470">
        <f t="shared" si="352"/>
        <v>1322531</v>
      </c>
      <c r="AG107" s="470">
        <f t="shared" si="352"/>
        <v>-71680</v>
      </c>
      <c r="AH107" s="470">
        <f t="shared" si="352"/>
        <v>1250851</v>
      </c>
      <c r="AI107" s="470">
        <f t="shared" si="352"/>
        <v>44800</v>
      </c>
      <c r="AJ107" s="470">
        <f t="shared" si="352"/>
        <v>71680</v>
      </c>
      <c r="AK107" s="470">
        <f t="shared" ref="AK107" si="353">SUM(AK101:AK106)</f>
        <v>0</v>
      </c>
      <c r="AL107" s="470">
        <f t="shared" si="352"/>
        <v>0</v>
      </c>
      <c r="AM107" s="470">
        <f t="shared" si="352"/>
        <v>0</v>
      </c>
      <c r="AN107" s="470">
        <f t="shared" si="352"/>
        <v>0</v>
      </c>
      <c r="AO107" s="470">
        <f t="shared" si="352"/>
        <v>44800</v>
      </c>
      <c r="AP107" s="470">
        <f t="shared" si="352"/>
        <v>71680</v>
      </c>
      <c r="AQ107" s="470">
        <f t="shared" si="352"/>
        <v>116480</v>
      </c>
      <c r="AR107" s="470">
        <f t="shared" si="352"/>
        <v>1367331</v>
      </c>
      <c r="AS107" s="470">
        <f t="shared" si="352"/>
        <v>0</v>
      </c>
      <c r="AT107" s="470">
        <f t="shared" si="352"/>
        <v>1367331</v>
      </c>
      <c r="AU107" s="470">
        <f t="shared" si="352"/>
        <v>462158</v>
      </c>
      <c r="AV107" s="470">
        <f t="shared" si="352"/>
        <v>12508</v>
      </c>
      <c r="AW107" s="470">
        <f t="shared" si="352"/>
        <v>0</v>
      </c>
      <c r="AX107" s="470">
        <f t="shared" si="352"/>
        <v>0</v>
      </c>
      <c r="AY107" s="470">
        <f t="shared" si="352"/>
        <v>0</v>
      </c>
      <c r="AZ107" s="470">
        <f t="shared" si="352"/>
        <v>1841997</v>
      </c>
      <c r="BA107" s="471">
        <f t="shared" si="352"/>
        <v>0</v>
      </c>
      <c r="BB107" s="471">
        <f t="shared" si="352"/>
        <v>-0.14000000000000001</v>
      </c>
      <c r="BC107" s="471">
        <f t="shared" si="352"/>
        <v>3.69</v>
      </c>
      <c r="BD107" s="471">
        <f t="shared" si="352"/>
        <v>0</v>
      </c>
      <c r="BE107" s="471">
        <f t="shared" si="352"/>
        <v>0</v>
      </c>
      <c r="BF107" s="471">
        <f t="shared" si="352"/>
        <v>0</v>
      </c>
      <c r="BG107" s="471">
        <f t="shared" si="352"/>
        <v>0</v>
      </c>
      <c r="BH107" s="471">
        <f t="shared" si="352"/>
        <v>0</v>
      </c>
      <c r="BI107" s="471">
        <f t="shared" si="352"/>
        <v>0</v>
      </c>
      <c r="BJ107" s="471">
        <f t="shared" si="352"/>
        <v>0</v>
      </c>
      <c r="BK107" s="471">
        <f t="shared" si="352"/>
        <v>3.69</v>
      </c>
      <c r="BL107" s="471">
        <f t="shared" si="352"/>
        <v>-0.14000000000000001</v>
      </c>
      <c r="BM107" s="561">
        <f t="shared" si="352"/>
        <v>3.55</v>
      </c>
      <c r="BN107" s="473">
        <f t="shared" si="352"/>
        <v>22257829</v>
      </c>
      <c r="BO107" s="470">
        <f t="shared" si="352"/>
        <v>16251224</v>
      </c>
      <c r="BP107" s="470">
        <f t="shared" si="352"/>
        <v>14220902</v>
      </c>
      <c r="BQ107" s="470">
        <f t="shared" si="352"/>
        <v>2030322</v>
      </c>
      <c r="BR107" s="470">
        <f t="shared" si="352"/>
        <v>116480</v>
      </c>
      <c r="BS107" s="470">
        <f t="shared" si="352"/>
        <v>44800</v>
      </c>
      <c r="BT107" s="470">
        <f t="shared" si="352"/>
        <v>71680</v>
      </c>
      <c r="BU107" s="470">
        <f t="shared" ref="BU107:CF107" si="354">SUM(BU101:BU106)</f>
        <v>5532283</v>
      </c>
      <c r="BV107" s="470">
        <f t="shared" si="354"/>
        <v>162511</v>
      </c>
      <c r="BW107" s="470">
        <f t="shared" si="354"/>
        <v>195331</v>
      </c>
      <c r="BX107" s="471">
        <f t="shared" si="354"/>
        <v>30.526900000000001</v>
      </c>
      <c r="BY107" s="471">
        <f t="shared" si="354"/>
        <v>24.268900000000002</v>
      </c>
      <c r="BZ107" s="561">
        <f t="shared" si="354"/>
        <v>6.258</v>
      </c>
      <c r="CA107" s="874">
        <f t="shared" si="354"/>
        <v>0</v>
      </c>
      <c r="CB107" s="871">
        <f t="shared" si="354"/>
        <v>0</v>
      </c>
      <c r="CC107" s="871">
        <f t="shared" si="354"/>
        <v>0</v>
      </c>
      <c r="CD107" s="871">
        <f t="shared" si="354"/>
        <v>0</v>
      </c>
      <c r="CE107" s="871">
        <f t="shared" si="354"/>
        <v>0</v>
      </c>
      <c r="CF107" s="847">
        <f t="shared" si="354"/>
        <v>0</v>
      </c>
    </row>
    <row r="108" spans="1:84" ht="12.95" customHeight="1" x14ac:dyDescent="0.25">
      <c r="A108" s="282">
        <v>19</v>
      </c>
      <c r="B108" s="283">
        <v>4441</v>
      </c>
      <c r="C108" s="283">
        <v>600074668</v>
      </c>
      <c r="D108" s="283">
        <v>46750495</v>
      </c>
      <c r="E108" s="299" t="s">
        <v>345</v>
      </c>
      <c r="F108" s="300">
        <v>3111</v>
      </c>
      <c r="G108" s="286" t="s">
        <v>305</v>
      </c>
      <c r="H108" s="286" t="s">
        <v>271</v>
      </c>
      <c r="I108" s="598">
        <f t="shared" ref="I108:I113" si="355">J108+M108+P108+Q108+R108</f>
        <v>4498637</v>
      </c>
      <c r="J108" s="418">
        <f t="shared" si="249"/>
        <v>3326770</v>
      </c>
      <c r="K108" s="418">
        <v>3147058</v>
      </c>
      <c r="L108" s="418">
        <v>179712</v>
      </c>
      <c r="M108" s="418">
        <f t="shared" ref="M108:M113" si="356">N108+O108</f>
        <v>0</v>
      </c>
      <c r="N108" s="418">
        <v>0</v>
      </c>
      <c r="O108" s="418">
        <v>0</v>
      </c>
      <c r="P108" s="68">
        <f t="shared" ref="P108:P113" si="357">ROUND((J108+M108)*33.8%,0)</f>
        <v>1124448</v>
      </c>
      <c r="Q108" s="68">
        <f t="shared" ref="Q108:Q113" si="358">ROUND(J108*1%,0)</f>
        <v>33268</v>
      </c>
      <c r="R108" s="418">
        <v>14151</v>
      </c>
      <c r="S108" s="419">
        <f t="shared" ref="S108:S113" si="359">T108+U108</f>
        <v>6.3651999999999997</v>
      </c>
      <c r="T108" s="420">
        <v>5.6452</v>
      </c>
      <c r="U108" s="707">
        <v>0.72</v>
      </c>
      <c r="V108" s="427">
        <f t="shared" ref="V108:W113" si="360">AI108*-1</f>
        <v>0</v>
      </c>
      <c r="W108" s="421">
        <f t="shared" si="360"/>
        <v>0</v>
      </c>
      <c r="X108" s="421">
        <v>0</v>
      </c>
      <c r="Y108" s="421">
        <v>0</v>
      </c>
      <c r="Z108" s="421">
        <v>0</v>
      </c>
      <c r="AA108" s="421">
        <v>0</v>
      </c>
      <c r="AB108" s="421">
        <v>0</v>
      </c>
      <c r="AC108" s="421">
        <v>0</v>
      </c>
      <c r="AD108" s="421">
        <v>0</v>
      </c>
      <c r="AE108" s="421">
        <v>0</v>
      </c>
      <c r="AF108" s="421">
        <f t="shared" ref="AF108:AF113" si="361">V108+X108+Y108+AA108+AB108+AD108</f>
        <v>0</v>
      </c>
      <c r="AG108" s="421">
        <f t="shared" ref="AG108:AG113" si="362">W108+Z108+AC108+AE108</f>
        <v>0</v>
      </c>
      <c r="AH108" s="421">
        <f t="shared" ref="AH108:AH113" si="363">SUM(AF108:AG108)</f>
        <v>0</v>
      </c>
      <c r="AI108" s="421">
        <v>0</v>
      </c>
      <c r="AJ108" s="421">
        <v>0</v>
      </c>
      <c r="AK108" s="421">
        <v>0</v>
      </c>
      <c r="AL108" s="421">
        <v>0</v>
      </c>
      <c r="AM108" s="421">
        <v>0</v>
      </c>
      <c r="AN108" s="421">
        <v>0</v>
      </c>
      <c r="AO108" s="421">
        <f t="shared" ref="AO108:AO113" si="364">AI108+AK108+AL108+AM108</f>
        <v>0</v>
      </c>
      <c r="AP108" s="421">
        <f t="shared" ref="AP108:AP113" si="365">AJ108+AN108</f>
        <v>0</v>
      </c>
      <c r="AQ108" s="421">
        <f t="shared" ref="AQ108:AQ113" si="366">SUM(AO108:AP108)</f>
        <v>0</v>
      </c>
      <c r="AR108" s="421">
        <f t="shared" ref="AR108:AS113" si="367">AF108+AO108</f>
        <v>0</v>
      </c>
      <c r="AS108" s="421">
        <f t="shared" si="367"/>
        <v>0</v>
      </c>
      <c r="AT108" s="421">
        <f t="shared" ref="AT108:AT113" si="368">SUM(AR108:AS108)</f>
        <v>0</v>
      </c>
      <c r="AU108" s="68">
        <f t="shared" ref="AU108:AU113" si="369">ROUND((AH108+AI108+AJ108+AK108+AL108)*33.8%,0)</f>
        <v>0</v>
      </c>
      <c r="AV108" s="68">
        <f t="shared" ref="AV108:AV113" si="370">ROUND(AH108*1%,0)</f>
        <v>0</v>
      </c>
      <c r="AW108" s="421">
        <v>0</v>
      </c>
      <c r="AX108" s="421">
        <v>0</v>
      </c>
      <c r="AY108" s="421">
        <f t="shared" ref="AY108:AY113" si="371">AW108+AX108</f>
        <v>0</v>
      </c>
      <c r="AZ108" s="421">
        <f t="shared" ref="AZ108:AZ113" si="372">AT108+AU108+AV108+AY108</f>
        <v>0</v>
      </c>
      <c r="BA108" s="422">
        <v>0</v>
      </c>
      <c r="BB108" s="422">
        <v>0</v>
      </c>
      <c r="BC108" s="422">
        <v>0</v>
      </c>
      <c r="BD108" s="422">
        <v>0</v>
      </c>
      <c r="BE108" s="422">
        <v>0</v>
      </c>
      <c r="BF108" s="422">
        <v>0</v>
      </c>
      <c r="BG108" s="422">
        <v>0</v>
      </c>
      <c r="BH108" s="422">
        <v>0</v>
      </c>
      <c r="BI108" s="422">
        <v>0</v>
      </c>
      <c r="BJ108" s="422">
        <v>0</v>
      </c>
      <c r="BK108" s="422">
        <f t="shared" ref="BK108:BK113" si="373">BA108+BC108+BD108+BF108+BH108+BI108</f>
        <v>0</v>
      </c>
      <c r="BL108" s="422">
        <f t="shared" ref="BL108:BL113" si="374">BB108+BE108+BG108+BJ108</f>
        <v>0</v>
      </c>
      <c r="BM108" s="611">
        <f t="shared" ref="BM108:BM113" si="375">SUM(BK108:BL108)</f>
        <v>0</v>
      </c>
      <c r="BN108" s="428">
        <f t="shared" ref="BN108:BN113" si="376">I108+AZ108</f>
        <v>4498637</v>
      </c>
      <c r="BO108" s="421">
        <f t="shared" ref="BO108:BO113" si="377">J108+AH108</f>
        <v>3326770</v>
      </c>
      <c r="BP108" s="421">
        <f t="shared" ref="BP108:BQ113" si="378">K108+AF108</f>
        <v>3147058</v>
      </c>
      <c r="BQ108" s="421">
        <f t="shared" si="378"/>
        <v>179712</v>
      </c>
      <c r="BR108" s="421">
        <f t="shared" ref="BR108:BR113" si="379">M108+AQ108</f>
        <v>0</v>
      </c>
      <c r="BS108" s="421">
        <f t="shared" ref="BS108:BT113" si="380">N108+AO108</f>
        <v>0</v>
      </c>
      <c r="BT108" s="421">
        <f t="shared" si="380"/>
        <v>0</v>
      </c>
      <c r="BU108" s="421">
        <f t="shared" ref="BU108:BV113" si="381">P108+AU108</f>
        <v>1124448</v>
      </c>
      <c r="BV108" s="421">
        <f t="shared" si="381"/>
        <v>33268</v>
      </c>
      <c r="BW108" s="421">
        <f t="shared" ref="BW108:BW113" si="382">R108+AY108</f>
        <v>14151</v>
      </c>
      <c r="BX108" s="422">
        <f t="shared" ref="BX108:BX113" si="383">S108+BM108</f>
        <v>6.3651999999999997</v>
      </c>
      <c r="BY108" s="422">
        <f t="shared" ref="BY108:BZ113" si="384">T108+BK108</f>
        <v>5.6452</v>
      </c>
      <c r="BZ108" s="611">
        <f t="shared" si="384"/>
        <v>0.72</v>
      </c>
      <c r="CA108" s="423"/>
      <c r="CB108" s="418"/>
      <c r="CC108" s="418"/>
      <c r="CD108" s="418"/>
      <c r="CE108" s="418"/>
      <c r="CF108" s="527"/>
    </row>
    <row r="109" spans="1:84" ht="12.95" customHeight="1" x14ac:dyDescent="0.25">
      <c r="A109" s="282">
        <v>19</v>
      </c>
      <c r="B109" s="283">
        <v>4441</v>
      </c>
      <c r="C109" s="283">
        <v>600074668</v>
      </c>
      <c r="D109" s="283">
        <v>46750495</v>
      </c>
      <c r="E109" s="299" t="s">
        <v>345</v>
      </c>
      <c r="F109" s="300">
        <v>3117</v>
      </c>
      <c r="G109" s="286" t="s">
        <v>309</v>
      </c>
      <c r="H109" s="286" t="s">
        <v>271</v>
      </c>
      <c r="I109" s="598">
        <f t="shared" si="355"/>
        <v>4149617</v>
      </c>
      <c r="J109" s="418">
        <f t="shared" si="249"/>
        <v>3032307</v>
      </c>
      <c r="K109" s="418">
        <v>2639286</v>
      </c>
      <c r="L109" s="418">
        <v>393021</v>
      </c>
      <c r="M109" s="418">
        <f t="shared" si="356"/>
        <v>0</v>
      </c>
      <c r="N109" s="418">
        <v>0</v>
      </c>
      <c r="O109" s="418">
        <v>0</v>
      </c>
      <c r="P109" s="68">
        <f t="shared" si="357"/>
        <v>1024920</v>
      </c>
      <c r="Q109" s="68">
        <f t="shared" si="358"/>
        <v>30323</v>
      </c>
      <c r="R109" s="418">
        <v>62067</v>
      </c>
      <c r="S109" s="419">
        <f t="shared" si="359"/>
        <v>5.0988999999999995</v>
      </c>
      <c r="T109" s="420">
        <v>4.0454999999999997</v>
      </c>
      <c r="U109" s="707">
        <v>1.0533999999999999</v>
      </c>
      <c r="V109" s="427">
        <f t="shared" si="360"/>
        <v>0</v>
      </c>
      <c r="W109" s="421">
        <f t="shared" si="360"/>
        <v>-7680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 t="shared" si="361"/>
        <v>0</v>
      </c>
      <c r="AG109" s="421">
        <f t="shared" si="362"/>
        <v>-7680</v>
      </c>
      <c r="AH109" s="421">
        <f t="shared" si="363"/>
        <v>-7680</v>
      </c>
      <c r="AI109" s="421">
        <v>0</v>
      </c>
      <c r="AJ109" s="421">
        <v>7680</v>
      </c>
      <c r="AK109" s="421">
        <v>0</v>
      </c>
      <c r="AL109" s="421">
        <v>0</v>
      </c>
      <c r="AM109" s="421">
        <v>0</v>
      </c>
      <c r="AN109" s="421">
        <v>0</v>
      </c>
      <c r="AO109" s="421">
        <f t="shared" si="364"/>
        <v>0</v>
      </c>
      <c r="AP109" s="421">
        <f t="shared" si="365"/>
        <v>7680</v>
      </c>
      <c r="AQ109" s="421">
        <f t="shared" si="366"/>
        <v>7680</v>
      </c>
      <c r="AR109" s="421">
        <f t="shared" si="367"/>
        <v>0</v>
      </c>
      <c r="AS109" s="421">
        <f t="shared" si="367"/>
        <v>0</v>
      </c>
      <c r="AT109" s="421">
        <f t="shared" si="368"/>
        <v>0</v>
      </c>
      <c r="AU109" s="68">
        <f t="shared" si="369"/>
        <v>0</v>
      </c>
      <c r="AV109" s="68">
        <f t="shared" si="370"/>
        <v>-77</v>
      </c>
      <c r="AW109" s="421">
        <v>0</v>
      </c>
      <c r="AX109" s="421">
        <v>0</v>
      </c>
      <c r="AY109" s="421">
        <f t="shared" si="371"/>
        <v>0</v>
      </c>
      <c r="AZ109" s="421">
        <f t="shared" si="372"/>
        <v>-77</v>
      </c>
      <c r="BA109" s="422">
        <v>0</v>
      </c>
      <c r="BB109" s="422">
        <v>-0.02</v>
      </c>
      <c r="BC109" s="422">
        <v>0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 t="shared" si="373"/>
        <v>0</v>
      </c>
      <c r="BL109" s="422">
        <f t="shared" si="374"/>
        <v>-0.02</v>
      </c>
      <c r="BM109" s="611">
        <f t="shared" si="375"/>
        <v>-0.02</v>
      </c>
      <c r="BN109" s="428">
        <f t="shared" si="376"/>
        <v>4149540</v>
      </c>
      <c r="BO109" s="421">
        <f t="shared" si="377"/>
        <v>3024627</v>
      </c>
      <c r="BP109" s="421">
        <f t="shared" si="378"/>
        <v>2639286</v>
      </c>
      <c r="BQ109" s="421">
        <f t="shared" si="378"/>
        <v>385341</v>
      </c>
      <c r="BR109" s="421">
        <f t="shared" si="379"/>
        <v>7680</v>
      </c>
      <c r="BS109" s="421">
        <f t="shared" si="380"/>
        <v>0</v>
      </c>
      <c r="BT109" s="421">
        <f t="shared" si="380"/>
        <v>7680</v>
      </c>
      <c r="BU109" s="421">
        <f t="shared" si="381"/>
        <v>1024920</v>
      </c>
      <c r="BV109" s="421">
        <f t="shared" si="381"/>
        <v>30246</v>
      </c>
      <c r="BW109" s="421">
        <f t="shared" si="382"/>
        <v>62067</v>
      </c>
      <c r="BX109" s="422">
        <f t="shared" si="383"/>
        <v>5.0789</v>
      </c>
      <c r="BY109" s="422">
        <f t="shared" si="384"/>
        <v>4.0454999999999997</v>
      </c>
      <c r="BZ109" s="611">
        <f t="shared" si="384"/>
        <v>1.0333999999999999</v>
      </c>
      <c r="CA109" s="423"/>
      <c r="CB109" s="418"/>
      <c r="CC109" s="418"/>
      <c r="CD109" s="418"/>
      <c r="CE109" s="418"/>
      <c r="CF109" s="527"/>
    </row>
    <row r="110" spans="1:84" ht="12.95" customHeight="1" x14ac:dyDescent="0.25">
      <c r="A110" s="282">
        <v>19</v>
      </c>
      <c r="B110" s="283">
        <v>4441</v>
      </c>
      <c r="C110" s="283">
        <v>600074668</v>
      </c>
      <c r="D110" s="283">
        <v>46750495</v>
      </c>
      <c r="E110" s="299" t="s">
        <v>345</v>
      </c>
      <c r="F110" s="300">
        <v>3117</v>
      </c>
      <c r="G110" s="286" t="s">
        <v>299</v>
      </c>
      <c r="H110" s="286" t="s">
        <v>272</v>
      </c>
      <c r="I110" s="598">
        <f t="shared" si="355"/>
        <v>0</v>
      </c>
      <c r="J110" s="418">
        <f t="shared" si="249"/>
        <v>0</v>
      </c>
      <c r="K110" s="418">
        <v>0</v>
      </c>
      <c r="L110" s="418">
        <v>0</v>
      </c>
      <c r="M110" s="418">
        <f t="shared" si="356"/>
        <v>0</v>
      </c>
      <c r="N110" s="418">
        <v>0</v>
      </c>
      <c r="O110" s="418">
        <v>0</v>
      </c>
      <c r="P110" s="68">
        <f t="shared" si="357"/>
        <v>0</v>
      </c>
      <c r="Q110" s="68">
        <f t="shared" si="358"/>
        <v>0</v>
      </c>
      <c r="R110" s="418">
        <v>0</v>
      </c>
      <c r="S110" s="419">
        <f t="shared" si="359"/>
        <v>0</v>
      </c>
      <c r="T110" s="420">
        <v>0</v>
      </c>
      <c r="U110" s="707">
        <v>0</v>
      </c>
      <c r="V110" s="427">
        <f t="shared" si="360"/>
        <v>0</v>
      </c>
      <c r="W110" s="421">
        <f t="shared" si="360"/>
        <v>0</v>
      </c>
      <c r="X110" s="421">
        <f>278101-84975</f>
        <v>193126</v>
      </c>
      <c r="Y110" s="421">
        <v>0</v>
      </c>
      <c r="Z110" s="421">
        <v>0</v>
      </c>
      <c r="AA110" s="421">
        <v>0</v>
      </c>
      <c r="AB110" s="421">
        <v>0</v>
      </c>
      <c r="AC110" s="421">
        <v>0</v>
      </c>
      <c r="AD110" s="421">
        <v>0</v>
      </c>
      <c r="AE110" s="421">
        <v>0</v>
      </c>
      <c r="AF110" s="421">
        <f t="shared" si="361"/>
        <v>193126</v>
      </c>
      <c r="AG110" s="421">
        <f t="shared" si="362"/>
        <v>0</v>
      </c>
      <c r="AH110" s="421">
        <f t="shared" si="363"/>
        <v>193126</v>
      </c>
      <c r="AI110" s="421">
        <v>0</v>
      </c>
      <c r="AJ110" s="421">
        <v>0</v>
      </c>
      <c r="AK110" s="421">
        <v>0</v>
      </c>
      <c r="AL110" s="421">
        <v>0</v>
      </c>
      <c r="AM110" s="421">
        <v>0</v>
      </c>
      <c r="AN110" s="421">
        <v>0</v>
      </c>
      <c r="AO110" s="421">
        <f t="shared" si="364"/>
        <v>0</v>
      </c>
      <c r="AP110" s="421">
        <f t="shared" si="365"/>
        <v>0</v>
      </c>
      <c r="AQ110" s="421">
        <f t="shared" si="366"/>
        <v>0</v>
      </c>
      <c r="AR110" s="421">
        <f t="shared" si="367"/>
        <v>193126</v>
      </c>
      <c r="AS110" s="421">
        <f t="shared" si="367"/>
        <v>0</v>
      </c>
      <c r="AT110" s="421">
        <f t="shared" si="368"/>
        <v>193126</v>
      </c>
      <c r="AU110" s="68">
        <f t="shared" si="369"/>
        <v>65277</v>
      </c>
      <c r="AV110" s="68">
        <f t="shared" si="370"/>
        <v>1931</v>
      </c>
      <c r="AW110" s="421">
        <v>0</v>
      </c>
      <c r="AX110" s="421">
        <v>0</v>
      </c>
      <c r="AY110" s="421">
        <f t="shared" si="371"/>
        <v>0</v>
      </c>
      <c r="AZ110" s="421">
        <f t="shared" si="372"/>
        <v>260334</v>
      </c>
      <c r="BA110" s="422">
        <v>0</v>
      </c>
      <c r="BB110" s="422">
        <v>0</v>
      </c>
      <c r="BC110" s="422">
        <f>0.75-0.23</f>
        <v>0.52</v>
      </c>
      <c r="BD110" s="422">
        <v>0</v>
      </c>
      <c r="BE110" s="422">
        <v>0</v>
      </c>
      <c r="BF110" s="422">
        <v>0</v>
      </c>
      <c r="BG110" s="422">
        <v>0</v>
      </c>
      <c r="BH110" s="422">
        <v>0</v>
      </c>
      <c r="BI110" s="422">
        <v>0</v>
      </c>
      <c r="BJ110" s="422">
        <v>0</v>
      </c>
      <c r="BK110" s="422">
        <f t="shared" si="373"/>
        <v>0.52</v>
      </c>
      <c r="BL110" s="422">
        <f t="shared" si="374"/>
        <v>0</v>
      </c>
      <c r="BM110" s="611">
        <f t="shared" si="375"/>
        <v>0.52</v>
      </c>
      <c r="BN110" s="428">
        <f t="shared" si="376"/>
        <v>260334</v>
      </c>
      <c r="BO110" s="421">
        <f t="shared" si="377"/>
        <v>193126</v>
      </c>
      <c r="BP110" s="421">
        <f t="shared" si="378"/>
        <v>193126</v>
      </c>
      <c r="BQ110" s="421">
        <f t="shared" si="378"/>
        <v>0</v>
      </c>
      <c r="BR110" s="421">
        <f t="shared" si="379"/>
        <v>0</v>
      </c>
      <c r="BS110" s="421">
        <f t="shared" si="380"/>
        <v>0</v>
      </c>
      <c r="BT110" s="421">
        <f t="shared" si="380"/>
        <v>0</v>
      </c>
      <c r="BU110" s="421">
        <f t="shared" si="381"/>
        <v>65277</v>
      </c>
      <c r="BV110" s="421">
        <f t="shared" si="381"/>
        <v>1931</v>
      </c>
      <c r="BW110" s="421">
        <f t="shared" si="382"/>
        <v>0</v>
      </c>
      <c r="BX110" s="422">
        <f t="shared" si="383"/>
        <v>0.52</v>
      </c>
      <c r="BY110" s="422">
        <f t="shared" si="384"/>
        <v>0.52</v>
      </c>
      <c r="BZ110" s="611">
        <f t="shared" si="384"/>
        <v>0</v>
      </c>
      <c r="CA110" s="423"/>
      <c r="CB110" s="418"/>
      <c r="CC110" s="418"/>
      <c r="CD110" s="418"/>
      <c r="CE110" s="418"/>
      <c r="CF110" s="527"/>
    </row>
    <row r="111" spans="1:84" ht="12.95" customHeight="1" x14ac:dyDescent="0.25">
      <c r="A111" s="282">
        <v>19</v>
      </c>
      <c r="B111" s="283">
        <v>4441</v>
      </c>
      <c r="C111" s="283">
        <v>600074668</v>
      </c>
      <c r="D111" s="283">
        <v>46750495</v>
      </c>
      <c r="E111" s="299" t="s">
        <v>345</v>
      </c>
      <c r="F111" s="300">
        <v>3141</v>
      </c>
      <c r="G111" s="286" t="s">
        <v>295</v>
      </c>
      <c r="H111" s="286" t="s">
        <v>272</v>
      </c>
      <c r="I111" s="598">
        <f t="shared" si="355"/>
        <v>800514</v>
      </c>
      <c r="J111" s="418">
        <f t="shared" si="249"/>
        <v>591360</v>
      </c>
      <c r="K111" s="418">
        <v>0</v>
      </c>
      <c r="L111" s="418">
        <v>591360</v>
      </c>
      <c r="M111" s="418">
        <f t="shared" si="356"/>
        <v>0</v>
      </c>
      <c r="N111" s="418">
        <v>0</v>
      </c>
      <c r="O111" s="418">
        <v>0</v>
      </c>
      <c r="P111" s="68">
        <f t="shared" si="357"/>
        <v>199880</v>
      </c>
      <c r="Q111" s="68">
        <f t="shared" si="358"/>
        <v>5914</v>
      </c>
      <c r="R111" s="418">
        <v>3360</v>
      </c>
      <c r="S111" s="419">
        <f t="shared" si="359"/>
        <v>1.7733000000000001</v>
      </c>
      <c r="T111" s="420">
        <v>0</v>
      </c>
      <c r="U111" s="707">
        <v>1.7733000000000001</v>
      </c>
      <c r="V111" s="427">
        <f t="shared" si="360"/>
        <v>0</v>
      </c>
      <c r="W111" s="421">
        <f t="shared" si="360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 t="shared" si="361"/>
        <v>0</v>
      </c>
      <c r="AG111" s="421">
        <f t="shared" si="362"/>
        <v>0</v>
      </c>
      <c r="AH111" s="421">
        <f t="shared" si="363"/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si="364"/>
        <v>0</v>
      </c>
      <c r="AP111" s="421">
        <f t="shared" si="365"/>
        <v>0</v>
      </c>
      <c r="AQ111" s="421">
        <f t="shared" si="366"/>
        <v>0</v>
      </c>
      <c r="AR111" s="421">
        <f t="shared" si="367"/>
        <v>0</v>
      </c>
      <c r="AS111" s="421">
        <f t="shared" si="367"/>
        <v>0</v>
      </c>
      <c r="AT111" s="421">
        <f t="shared" si="368"/>
        <v>0</v>
      </c>
      <c r="AU111" s="68">
        <f t="shared" si="369"/>
        <v>0</v>
      </c>
      <c r="AV111" s="68">
        <f t="shared" si="370"/>
        <v>0</v>
      </c>
      <c r="AW111" s="421">
        <v>0</v>
      </c>
      <c r="AX111" s="421">
        <v>0</v>
      </c>
      <c r="AY111" s="421">
        <f t="shared" si="371"/>
        <v>0</v>
      </c>
      <c r="AZ111" s="421">
        <f t="shared" si="372"/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 t="shared" si="373"/>
        <v>0</v>
      </c>
      <c r="BL111" s="422">
        <f t="shared" si="374"/>
        <v>0</v>
      </c>
      <c r="BM111" s="611">
        <f t="shared" si="375"/>
        <v>0</v>
      </c>
      <c r="BN111" s="428">
        <f t="shared" si="376"/>
        <v>800514</v>
      </c>
      <c r="BO111" s="421">
        <f t="shared" si="377"/>
        <v>591360</v>
      </c>
      <c r="BP111" s="421">
        <f t="shared" si="378"/>
        <v>0</v>
      </c>
      <c r="BQ111" s="421">
        <f t="shared" si="378"/>
        <v>591360</v>
      </c>
      <c r="BR111" s="421">
        <f t="shared" si="379"/>
        <v>0</v>
      </c>
      <c r="BS111" s="421">
        <f t="shared" si="380"/>
        <v>0</v>
      </c>
      <c r="BT111" s="421">
        <f t="shared" si="380"/>
        <v>0</v>
      </c>
      <c r="BU111" s="421">
        <f t="shared" si="381"/>
        <v>199880</v>
      </c>
      <c r="BV111" s="421">
        <f t="shared" si="381"/>
        <v>5914</v>
      </c>
      <c r="BW111" s="421">
        <f t="shared" si="382"/>
        <v>3360</v>
      </c>
      <c r="BX111" s="422">
        <f t="shared" si="383"/>
        <v>1.7733000000000001</v>
      </c>
      <c r="BY111" s="422">
        <f t="shared" si="384"/>
        <v>0</v>
      </c>
      <c r="BZ111" s="611">
        <f t="shared" si="384"/>
        <v>1.7733000000000001</v>
      </c>
      <c r="CA111" s="423"/>
      <c r="CB111" s="418"/>
      <c r="CC111" s="418"/>
      <c r="CD111" s="418"/>
      <c r="CE111" s="418"/>
      <c r="CF111" s="527"/>
    </row>
    <row r="112" spans="1:84" ht="12.95" customHeight="1" x14ac:dyDescent="0.25">
      <c r="A112" s="282">
        <v>19</v>
      </c>
      <c r="B112" s="283">
        <v>4441</v>
      </c>
      <c r="C112" s="283">
        <v>600074668</v>
      </c>
      <c r="D112" s="283">
        <v>46750495</v>
      </c>
      <c r="E112" s="299" t="s">
        <v>345</v>
      </c>
      <c r="F112" s="300">
        <v>3143</v>
      </c>
      <c r="G112" s="286" t="s">
        <v>596</v>
      </c>
      <c r="H112" s="286" t="s">
        <v>271</v>
      </c>
      <c r="I112" s="598">
        <f t="shared" si="355"/>
        <v>1250701</v>
      </c>
      <c r="J112" s="418">
        <f t="shared" si="249"/>
        <v>927820</v>
      </c>
      <c r="K112" s="418">
        <v>927820</v>
      </c>
      <c r="L112" s="418">
        <v>0</v>
      </c>
      <c r="M112" s="418">
        <f t="shared" si="356"/>
        <v>0</v>
      </c>
      <c r="N112" s="418">
        <v>0</v>
      </c>
      <c r="O112" s="418">
        <v>0</v>
      </c>
      <c r="P112" s="68">
        <f t="shared" si="357"/>
        <v>313603</v>
      </c>
      <c r="Q112" s="68">
        <f t="shared" si="358"/>
        <v>9278</v>
      </c>
      <c r="R112" s="418">
        <v>0</v>
      </c>
      <c r="S112" s="419">
        <f t="shared" si="359"/>
        <v>1.8929</v>
      </c>
      <c r="T112" s="420">
        <v>1.8929</v>
      </c>
      <c r="U112" s="707">
        <v>0</v>
      </c>
      <c r="V112" s="427">
        <f t="shared" si="360"/>
        <v>0</v>
      </c>
      <c r="W112" s="421">
        <f t="shared" si="360"/>
        <v>0</v>
      </c>
      <c r="X112" s="421">
        <v>0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f t="shared" si="361"/>
        <v>0</v>
      </c>
      <c r="AG112" s="421">
        <f t="shared" si="362"/>
        <v>0</v>
      </c>
      <c r="AH112" s="421">
        <f t="shared" si="363"/>
        <v>0</v>
      </c>
      <c r="AI112" s="421">
        <v>0</v>
      </c>
      <c r="AJ112" s="421">
        <v>0</v>
      </c>
      <c r="AK112" s="421">
        <v>0</v>
      </c>
      <c r="AL112" s="421">
        <v>0</v>
      </c>
      <c r="AM112" s="421">
        <v>0</v>
      </c>
      <c r="AN112" s="421">
        <v>0</v>
      </c>
      <c r="AO112" s="421">
        <f t="shared" si="364"/>
        <v>0</v>
      </c>
      <c r="AP112" s="421">
        <f t="shared" si="365"/>
        <v>0</v>
      </c>
      <c r="AQ112" s="421">
        <f t="shared" si="366"/>
        <v>0</v>
      </c>
      <c r="AR112" s="421">
        <f t="shared" si="367"/>
        <v>0</v>
      </c>
      <c r="AS112" s="421">
        <f t="shared" si="367"/>
        <v>0</v>
      </c>
      <c r="AT112" s="421">
        <f t="shared" si="368"/>
        <v>0</v>
      </c>
      <c r="AU112" s="68">
        <f t="shared" si="369"/>
        <v>0</v>
      </c>
      <c r="AV112" s="68">
        <f t="shared" si="370"/>
        <v>0</v>
      </c>
      <c r="AW112" s="421">
        <v>0</v>
      </c>
      <c r="AX112" s="421">
        <v>0</v>
      </c>
      <c r="AY112" s="421">
        <f t="shared" si="371"/>
        <v>0</v>
      </c>
      <c r="AZ112" s="421">
        <f t="shared" si="372"/>
        <v>0</v>
      </c>
      <c r="BA112" s="422">
        <v>0</v>
      </c>
      <c r="BB112" s="422">
        <v>0</v>
      </c>
      <c r="BC112" s="422">
        <v>0</v>
      </c>
      <c r="BD112" s="422">
        <v>0</v>
      </c>
      <c r="BE112" s="422">
        <v>0</v>
      </c>
      <c r="BF112" s="422">
        <v>0</v>
      </c>
      <c r="BG112" s="422">
        <v>0</v>
      </c>
      <c r="BH112" s="422">
        <v>0</v>
      </c>
      <c r="BI112" s="422">
        <v>0</v>
      </c>
      <c r="BJ112" s="422">
        <v>0</v>
      </c>
      <c r="BK112" s="422">
        <f t="shared" si="373"/>
        <v>0</v>
      </c>
      <c r="BL112" s="422">
        <f t="shared" si="374"/>
        <v>0</v>
      </c>
      <c r="BM112" s="611">
        <f t="shared" si="375"/>
        <v>0</v>
      </c>
      <c r="BN112" s="428">
        <f t="shared" si="376"/>
        <v>1250701</v>
      </c>
      <c r="BO112" s="421">
        <f t="shared" si="377"/>
        <v>927820</v>
      </c>
      <c r="BP112" s="421">
        <f t="shared" si="378"/>
        <v>927820</v>
      </c>
      <c r="BQ112" s="421">
        <f t="shared" si="378"/>
        <v>0</v>
      </c>
      <c r="BR112" s="421">
        <f t="shared" si="379"/>
        <v>0</v>
      </c>
      <c r="BS112" s="421">
        <f t="shared" si="380"/>
        <v>0</v>
      </c>
      <c r="BT112" s="421">
        <f t="shared" si="380"/>
        <v>0</v>
      </c>
      <c r="BU112" s="421">
        <f t="shared" si="381"/>
        <v>313603</v>
      </c>
      <c r="BV112" s="421">
        <f t="shared" si="381"/>
        <v>9278</v>
      </c>
      <c r="BW112" s="421">
        <f t="shared" si="382"/>
        <v>0</v>
      </c>
      <c r="BX112" s="422">
        <f t="shared" si="383"/>
        <v>1.8929</v>
      </c>
      <c r="BY112" s="422">
        <f t="shared" si="384"/>
        <v>1.8929</v>
      </c>
      <c r="BZ112" s="611">
        <f t="shared" si="384"/>
        <v>0</v>
      </c>
      <c r="CA112" s="423"/>
      <c r="CB112" s="418"/>
      <c r="CC112" s="418"/>
      <c r="CD112" s="418"/>
      <c r="CE112" s="418"/>
      <c r="CF112" s="527"/>
    </row>
    <row r="113" spans="1:84" ht="12.95" customHeight="1" x14ac:dyDescent="0.25">
      <c r="A113" s="282">
        <v>19</v>
      </c>
      <c r="B113" s="283">
        <v>4441</v>
      </c>
      <c r="C113" s="283">
        <v>600074668</v>
      </c>
      <c r="D113" s="283">
        <v>46750495</v>
      </c>
      <c r="E113" s="299" t="s">
        <v>345</v>
      </c>
      <c r="F113" s="300">
        <v>3143</v>
      </c>
      <c r="G113" s="286" t="s">
        <v>597</v>
      </c>
      <c r="H113" s="286" t="s">
        <v>272</v>
      </c>
      <c r="I113" s="598">
        <f t="shared" si="355"/>
        <v>22020</v>
      </c>
      <c r="J113" s="418">
        <f t="shared" si="249"/>
        <v>15761</v>
      </c>
      <c r="K113" s="418">
        <v>0</v>
      </c>
      <c r="L113" s="418">
        <v>15761</v>
      </c>
      <c r="M113" s="418">
        <f t="shared" si="356"/>
        <v>0</v>
      </c>
      <c r="N113" s="418">
        <v>0</v>
      </c>
      <c r="O113" s="418">
        <v>0</v>
      </c>
      <c r="P113" s="68">
        <f t="shared" si="357"/>
        <v>5327</v>
      </c>
      <c r="Q113" s="68">
        <f t="shared" si="358"/>
        <v>158</v>
      </c>
      <c r="R113" s="418">
        <v>774</v>
      </c>
      <c r="S113" s="419">
        <f t="shared" si="359"/>
        <v>5.9700000000000003E-2</v>
      </c>
      <c r="T113" s="420">
        <v>0</v>
      </c>
      <c r="U113" s="707">
        <v>5.9700000000000003E-2</v>
      </c>
      <c r="V113" s="427">
        <f t="shared" si="360"/>
        <v>0</v>
      </c>
      <c r="W113" s="421">
        <f t="shared" si="360"/>
        <v>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f t="shared" si="361"/>
        <v>0</v>
      </c>
      <c r="AG113" s="421">
        <f t="shared" si="362"/>
        <v>0</v>
      </c>
      <c r="AH113" s="421">
        <f t="shared" si="363"/>
        <v>0</v>
      </c>
      <c r="AI113" s="421">
        <v>0</v>
      </c>
      <c r="AJ113" s="421">
        <v>0</v>
      </c>
      <c r="AK113" s="421">
        <v>0</v>
      </c>
      <c r="AL113" s="421">
        <v>0</v>
      </c>
      <c r="AM113" s="421">
        <v>0</v>
      </c>
      <c r="AN113" s="421">
        <v>0</v>
      </c>
      <c r="AO113" s="421">
        <f t="shared" si="364"/>
        <v>0</v>
      </c>
      <c r="AP113" s="421">
        <f t="shared" si="365"/>
        <v>0</v>
      </c>
      <c r="AQ113" s="421">
        <f t="shared" si="366"/>
        <v>0</v>
      </c>
      <c r="AR113" s="421">
        <f t="shared" si="367"/>
        <v>0</v>
      </c>
      <c r="AS113" s="421">
        <f t="shared" si="367"/>
        <v>0</v>
      </c>
      <c r="AT113" s="421">
        <f t="shared" si="368"/>
        <v>0</v>
      </c>
      <c r="AU113" s="68">
        <f t="shared" si="369"/>
        <v>0</v>
      </c>
      <c r="AV113" s="68">
        <f t="shared" si="370"/>
        <v>0</v>
      </c>
      <c r="AW113" s="421">
        <v>0</v>
      </c>
      <c r="AX113" s="421">
        <v>0</v>
      </c>
      <c r="AY113" s="421">
        <f t="shared" si="371"/>
        <v>0</v>
      </c>
      <c r="AZ113" s="421">
        <f t="shared" si="372"/>
        <v>0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0</v>
      </c>
      <c r="BG113" s="422">
        <v>0</v>
      </c>
      <c r="BH113" s="422">
        <v>0</v>
      </c>
      <c r="BI113" s="422">
        <v>0</v>
      </c>
      <c r="BJ113" s="422">
        <v>0</v>
      </c>
      <c r="BK113" s="422">
        <f t="shared" si="373"/>
        <v>0</v>
      </c>
      <c r="BL113" s="422">
        <f t="shared" si="374"/>
        <v>0</v>
      </c>
      <c r="BM113" s="611">
        <f t="shared" si="375"/>
        <v>0</v>
      </c>
      <c r="BN113" s="428">
        <f t="shared" si="376"/>
        <v>22020</v>
      </c>
      <c r="BO113" s="421">
        <f t="shared" si="377"/>
        <v>15761</v>
      </c>
      <c r="BP113" s="421">
        <f t="shared" si="378"/>
        <v>0</v>
      </c>
      <c r="BQ113" s="421">
        <f t="shared" si="378"/>
        <v>15761</v>
      </c>
      <c r="BR113" s="421">
        <f t="shared" si="379"/>
        <v>0</v>
      </c>
      <c r="BS113" s="421">
        <f t="shared" si="380"/>
        <v>0</v>
      </c>
      <c r="BT113" s="421">
        <f t="shared" si="380"/>
        <v>0</v>
      </c>
      <c r="BU113" s="421">
        <f t="shared" si="381"/>
        <v>5327</v>
      </c>
      <c r="BV113" s="421">
        <f t="shared" si="381"/>
        <v>158</v>
      </c>
      <c r="BW113" s="421">
        <f t="shared" si="382"/>
        <v>774</v>
      </c>
      <c r="BX113" s="422">
        <f t="shared" si="383"/>
        <v>5.9700000000000003E-2</v>
      </c>
      <c r="BY113" s="422">
        <f t="shared" si="384"/>
        <v>0</v>
      </c>
      <c r="BZ113" s="611">
        <f t="shared" si="384"/>
        <v>5.9700000000000003E-2</v>
      </c>
      <c r="CA113" s="423"/>
      <c r="CB113" s="418"/>
      <c r="CC113" s="418"/>
      <c r="CD113" s="418"/>
      <c r="CE113" s="418"/>
      <c r="CF113" s="527"/>
    </row>
    <row r="114" spans="1:84" ht="12.95" customHeight="1" x14ac:dyDescent="0.25">
      <c r="A114" s="275">
        <v>19</v>
      </c>
      <c r="B114" s="277">
        <v>4441</v>
      </c>
      <c r="C114" s="277">
        <v>600074668</v>
      </c>
      <c r="D114" s="277">
        <v>46750495</v>
      </c>
      <c r="E114" s="296" t="s">
        <v>346</v>
      </c>
      <c r="F114" s="297"/>
      <c r="G114" s="298"/>
      <c r="H114" s="298"/>
      <c r="I114" s="473">
        <f t="shared" ref="I114:BT114" si="385">SUM(I108:I113)</f>
        <v>10721489</v>
      </c>
      <c r="J114" s="470">
        <f t="shared" si="385"/>
        <v>7894018</v>
      </c>
      <c r="K114" s="470">
        <f t="shared" si="385"/>
        <v>6714164</v>
      </c>
      <c r="L114" s="470">
        <f t="shared" si="385"/>
        <v>1179854</v>
      </c>
      <c r="M114" s="470">
        <f t="shared" si="385"/>
        <v>0</v>
      </c>
      <c r="N114" s="470">
        <f t="shared" si="385"/>
        <v>0</v>
      </c>
      <c r="O114" s="470">
        <f t="shared" si="385"/>
        <v>0</v>
      </c>
      <c r="P114" s="470">
        <f t="shared" si="385"/>
        <v>2668178</v>
      </c>
      <c r="Q114" s="470">
        <f t="shared" si="385"/>
        <v>78941</v>
      </c>
      <c r="R114" s="470">
        <f t="shared" si="385"/>
        <v>80352</v>
      </c>
      <c r="S114" s="471">
        <f t="shared" si="385"/>
        <v>15.189999999999998</v>
      </c>
      <c r="T114" s="471">
        <f t="shared" si="385"/>
        <v>11.583600000000001</v>
      </c>
      <c r="U114" s="292">
        <f t="shared" si="385"/>
        <v>3.6063999999999998</v>
      </c>
      <c r="V114" s="475">
        <f t="shared" si="385"/>
        <v>0</v>
      </c>
      <c r="W114" s="470">
        <f t="shared" si="385"/>
        <v>-7680</v>
      </c>
      <c r="X114" s="470">
        <f t="shared" si="385"/>
        <v>193126</v>
      </c>
      <c r="Y114" s="470">
        <f t="shared" si="385"/>
        <v>0</v>
      </c>
      <c r="Z114" s="470">
        <f t="shared" si="385"/>
        <v>0</v>
      </c>
      <c r="AA114" s="470">
        <f t="shared" si="385"/>
        <v>0</v>
      </c>
      <c r="AB114" s="470">
        <f t="shared" si="385"/>
        <v>0</v>
      </c>
      <c r="AC114" s="470">
        <f t="shared" si="385"/>
        <v>0</v>
      </c>
      <c r="AD114" s="470">
        <f t="shared" si="385"/>
        <v>0</v>
      </c>
      <c r="AE114" s="470">
        <f t="shared" si="385"/>
        <v>0</v>
      </c>
      <c r="AF114" s="470">
        <f t="shared" si="385"/>
        <v>193126</v>
      </c>
      <c r="AG114" s="470">
        <f t="shared" si="385"/>
        <v>-7680</v>
      </c>
      <c r="AH114" s="470">
        <f t="shared" si="385"/>
        <v>185446</v>
      </c>
      <c r="AI114" s="470">
        <f t="shared" si="385"/>
        <v>0</v>
      </c>
      <c r="AJ114" s="470">
        <f t="shared" si="385"/>
        <v>7680</v>
      </c>
      <c r="AK114" s="470">
        <f t="shared" ref="AK114" si="386">SUM(AK108:AK113)</f>
        <v>0</v>
      </c>
      <c r="AL114" s="470">
        <f t="shared" si="385"/>
        <v>0</v>
      </c>
      <c r="AM114" s="470">
        <f t="shared" si="385"/>
        <v>0</v>
      </c>
      <c r="AN114" s="470">
        <f t="shared" si="385"/>
        <v>0</v>
      </c>
      <c r="AO114" s="470">
        <f t="shared" si="385"/>
        <v>0</v>
      </c>
      <c r="AP114" s="470">
        <f t="shared" si="385"/>
        <v>7680</v>
      </c>
      <c r="AQ114" s="470">
        <f t="shared" si="385"/>
        <v>7680</v>
      </c>
      <c r="AR114" s="470">
        <f t="shared" si="385"/>
        <v>193126</v>
      </c>
      <c r="AS114" s="470">
        <f t="shared" si="385"/>
        <v>0</v>
      </c>
      <c r="AT114" s="470">
        <f t="shared" si="385"/>
        <v>193126</v>
      </c>
      <c r="AU114" s="470">
        <f t="shared" si="385"/>
        <v>65277</v>
      </c>
      <c r="AV114" s="470">
        <f t="shared" si="385"/>
        <v>1854</v>
      </c>
      <c r="AW114" s="470">
        <f t="shared" si="385"/>
        <v>0</v>
      </c>
      <c r="AX114" s="470">
        <f t="shared" si="385"/>
        <v>0</v>
      </c>
      <c r="AY114" s="470">
        <f t="shared" si="385"/>
        <v>0</v>
      </c>
      <c r="AZ114" s="470">
        <f t="shared" si="385"/>
        <v>260257</v>
      </c>
      <c r="BA114" s="471">
        <f t="shared" si="385"/>
        <v>0</v>
      </c>
      <c r="BB114" s="471">
        <f t="shared" si="385"/>
        <v>-0.02</v>
      </c>
      <c r="BC114" s="471">
        <f t="shared" si="385"/>
        <v>0.52</v>
      </c>
      <c r="BD114" s="471">
        <f t="shared" si="385"/>
        <v>0</v>
      </c>
      <c r="BE114" s="471">
        <f t="shared" si="385"/>
        <v>0</v>
      </c>
      <c r="BF114" s="471">
        <f t="shared" si="385"/>
        <v>0</v>
      </c>
      <c r="BG114" s="471">
        <f t="shared" si="385"/>
        <v>0</v>
      </c>
      <c r="BH114" s="471">
        <f t="shared" si="385"/>
        <v>0</v>
      </c>
      <c r="BI114" s="471">
        <f t="shared" si="385"/>
        <v>0</v>
      </c>
      <c r="BJ114" s="471">
        <f t="shared" si="385"/>
        <v>0</v>
      </c>
      <c r="BK114" s="471">
        <f t="shared" si="385"/>
        <v>0.52</v>
      </c>
      <c r="BL114" s="471">
        <f t="shared" si="385"/>
        <v>-0.02</v>
      </c>
      <c r="BM114" s="561">
        <f t="shared" si="385"/>
        <v>0.5</v>
      </c>
      <c r="BN114" s="473">
        <f t="shared" si="385"/>
        <v>10981746</v>
      </c>
      <c r="BO114" s="470">
        <f t="shared" si="385"/>
        <v>8079464</v>
      </c>
      <c r="BP114" s="470">
        <f t="shared" si="385"/>
        <v>6907290</v>
      </c>
      <c r="BQ114" s="470">
        <f t="shared" si="385"/>
        <v>1172174</v>
      </c>
      <c r="BR114" s="470">
        <f t="shared" si="385"/>
        <v>7680</v>
      </c>
      <c r="BS114" s="470">
        <f t="shared" si="385"/>
        <v>0</v>
      </c>
      <c r="BT114" s="470">
        <f t="shared" si="385"/>
        <v>7680</v>
      </c>
      <c r="BU114" s="470">
        <f t="shared" ref="BU114:CF114" si="387">SUM(BU108:BU113)</f>
        <v>2733455</v>
      </c>
      <c r="BV114" s="470">
        <f t="shared" si="387"/>
        <v>80795</v>
      </c>
      <c r="BW114" s="470">
        <f t="shared" si="387"/>
        <v>80352</v>
      </c>
      <c r="BX114" s="471">
        <f t="shared" si="387"/>
        <v>15.689999999999998</v>
      </c>
      <c r="BY114" s="471">
        <f t="shared" si="387"/>
        <v>12.1036</v>
      </c>
      <c r="BZ114" s="561">
        <f t="shared" si="387"/>
        <v>3.5863999999999998</v>
      </c>
      <c r="CA114" s="874">
        <f t="shared" si="387"/>
        <v>0</v>
      </c>
      <c r="CB114" s="871">
        <f t="shared" si="387"/>
        <v>0</v>
      </c>
      <c r="CC114" s="871">
        <f t="shared" si="387"/>
        <v>0</v>
      </c>
      <c r="CD114" s="871">
        <f t="shared" si="387"/>
        <v>0</v>
      </c>
      <c r="CE114" s="871">
        <f t="shared" si="387"/>
        <v>0</v>
      </c>
      <c r="CF114" s="847">
        <f t="shared" si="387"/>
        <v>0</v>
      </c>
    </row>
    <row r="115" spans="1:84" ht="12.95" customHeight="1" x14ac:dyDescent="0.25">
      <c r="A115" s="282">
        <v>20</v>
      </c>
      <c r="B115" s="283">
        <v>4428</v>
      </c>
      <c r="C115" s="283">
        <v>600074242</v>
      </c>
      <c r="D115" s="283">
        <v>71010513</v>
      </c>
      <c r="E115" s="299" t="s">
        <v>347</v>
      </c>
      <c r="F115" s="300">
        <v>3111</v>
      </c>
      <c r="G115" s="286" t="s">
        <v>305</v>
      </c>
      <c r="H115" s="286" t="s">
        <v>271</v>
      </c>
      <c r="I115" s="598">
        <f t="shared" ref="I115:I117" si="388">J115+M115+P115+Q115+R115</f>
        <v>3075347</v>
      </c>
      <c r="J115" s="418">
        <f t="shared" si="249"/>
        <v>2274238</v>
      </c>
      <c r="K115" s="418">
        <v>2052446</v>
      </c>
      <c r="L115" s="418">
        <v>221792</v>
      </c>
      <c r="M115" s="418">
        <f t="shared" ref="M115:M117" si="389">N115+O115</f>
        <v>0</v>
      </c>
      <c r="N115" s="418">
        <v>0</v>
      </c>
      <c r="O115" s="418">
        <v>0</v>
      </c>
      <c r="P115" s="68">
        <f t="shared" ref="P115:P117" si="390">ROUND((J115+M115)*33.8%,0)</f>
        <v>768692</v>
      </c>
      <c r="Q115" s="68">
        <f t="shared" ref="Q115:Q117" si="391">ROUND(J115*1%,0)</f>
        <v>22742</v>
      </c>
      <c r="R115" s="418">
        <v>9675</v>
      </c>
      <c r="S115" s="419">
        <f>T115+U115</f>
        <v>4.7466999999999997</v>
      </c>
      <c r="T115" s="420">
        <v>4</v>
      </c>
      <c r="U115" s="707">
        <v>0.74669999999999992</v>
      </c>
      <c r="V115" s="427">
        <f t="shared" ref="V115:W117" si="392">AI115*-1</f>
        <v>0</v>
      </c>
      <c r="W115" s="421">
        <f t="shared" si="392"/>
        <v>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>V115+X115+Y115+AA115+AB115+AD115</f>
        <v>0</v>
      </c>
      <c r="AG115" s="421">
        <f>W115+Z115+AC115+AE115</f>
        <v>0</v>
      </c>
      <c r="AH115" s="421">
        <f>SUM(AF115:AG115)</f>
        <v>0</v>
      </c>
      <c r="AI115" s="421">
        <v>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ref="AO115:AO117" si="393">AI115+AK115+AL115+AM115</f>
        <v>0</v>
      </c>
      <c r="AP115" s="421">
        <f>AJ115+AN115</f>
        <v>0</v>
      </c>
      <c r="AQ115" s="421">
        <f>SUM(AO115:AP115)</f>
        <v>0</v>
      </c>
      <c r="AR115" s="421">
        <f t="shared" ref="AR115:AS117" si="394">AF115+AO115</f>
        <v>0</v>
      </c>
      <c r="AS115" s="421">
        <f t="shared" si="394"/>
        <v>0</v>
      </c>
      <c r="AT115" s="421">
        <f>SUM(AR115:AS115)</f>
        <v>0</v>
      </c>
      <c r="AU115" s="68">
        <f t="shared" ref="AU115:AU117" si="395">ROUND((AH115+AI115+AJ115+AK115+AL115)*33.8%,0)</f>
        <v>0</v>
      </c>
      <c r="AV115" s="68">
        <f>ROUND(AH115*1%,0)</f>
        <v>0</v>
      </c>
      <c r="AW115" s="421">
        <v>0</v>
      </c>
      <c r="AX115" s="421">
        <v>0</v>
      </c>
      <c r="AY115" s="421">
        <f>AW115+AX115</f>
        <v>0</v>
      </c>
      <c r="AZ115" s="421">
        <f>AT115+AU115+AV115+AY115</f>
        <v>0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>BA115+BC115+BD115+BF115+BH115+BI115</f>
        <v>0</v>
      </c>
      <c r="BL115" s="422">
        <f>BB115+BE115+BG115+BJ115</f>
        <v>0</v>
      </c>
      <c r="BM115" s="611">
        <f>SUM(BK115:BL115)</f>
        <v>0</v>
      </c>
      <c r="BN115" s="428">
        <f>I115+AZ115</f>
        <v>3075347</v>
      </c>
      <c r="BO115" s="421">
        <f>J115+AH115</f>
        <v>2274238</v>
      </c>
      <c r="BP115" s="421">
        <f t="shared" ref="BP115:BQ117" si="396">K115+AF115</f>
        <v>2052446</v>
      </c>
      <c r="BQ115" s="421">
        <f t="shared" si="396"/>
        <v>221792</v>
      </c>
      <c r="BR115" s="421">
        <f>M115+AQ115</f>
        <v>0</v>
      </c>
      <c r="BS115" s="421">
        <f t="shared" ref="BS115:BT117" si="397">N115+AO115</f>
        <v>0</v>
      </c>
      <c r="BT115" s="421">
        <f t="shared" si="397"/>
        <v>0</v>
      </c>
      <c r="BU115" s="421">
        <f t="shared" ref="BU115:BV117" si="398">P115+AU115</f>
        <v>768692</v>
      </c>
      <c r="BV115" s="421">
        <f t="shared" si="398"/>
        <v>22742</v>
      </c>
      <c r="BW115" s="421">
        <f>R115+AY115</f>
        <v>9675</v>
      </c>
      <c r="BX115" s="422">
        <f>S115+BM115</f>
        <v>4.7466999999999997</v>
      </c>
      <c r="BY115" s="422">
        <f t="shared" ref="BY115:BZ117" si="399">T115+BK115</f>
        <v>4</v>
      </c>
      <c r="BZ115" s="611">
        <f t="shared" si="399"/>
        <v>0.74669999999999992</v>
      </c>
      <c r="CA115" s="875"/>
      <c r="CB115" s="872"/>
      <c r="CC115" s="872"/>
      <c r="CD115" s="872"/>
      <c r="CE115" s="872"/>
      <c r="CF115" s="876"/>
    </row>
    <row r="116" spans="1:84" ht="12.95" customHeight="1" x14ac:dyDescent="0.25">
      <c r="A116" s="282">
        <v>20</v>
      </c>
      <c r="B116" s="283">
        <v>4428</v>
      </c>
      <c r="C116" s="283">
        <v>600074242</v>
      </c>
      <c r="D116" s="283">
        <v>71010513</v>
      </c>
      <c r="E116" s="299" t="s">
        <v>347</v>
      </c>
      <c r="F116" s="300">
        <v>3111</v>
      </c>
      <c r="G116" s="301" t="s">
        <v>299</v>
      </c>
      <c r="H116" s="286" t="s">
        <v>272</v>
      </c>
      <c r="I116" s="598">
        <f t="shared" si="388"/>
        <v>0</v>
      </c>
      <c r="J116" s="418">
        <f t="shared" si="249"/>
        <v>0</v>
      </c>
      <c r="K116" s="418">
        <v>0</v>
      </c>
      <c r="L116" s="418">
        <v>0</v>
      </c>
      <c r="M116" s="418">
        <f t="shared" si="389"/>
        <v>0</v>
      </c>
      <c r="N116" s="418">
        <v>0</v>
      </c>
      <c r="O116" s="418">
        <v>0</v>
      </c>
      <c r="P116" s="68">
        <f t="shared" si="390"/>
        <v>0</v>
      </c>
      <c r="Q116" s="68">
        <f t="shared" si="391"/>
        <v>0</v>
      </c>
      <c r="R116" s="418">
        <v>0</v>
      </c>
      <c r="S116" s="419">
        <f t="shared" ref="S116" si="400">T116+U116</f>
        <v>0</v>
      </c>
      <c r="T116" s="420">
        <v>0</v>
      </c>
      <c r="U116" s="707">
        <v>0</v>
      </c>
      <c r="V116" s="427">
        <f t="shared" si="392"/>
        <v>0</v>
      </c>
      <c r="W116" s="421">
        <f t="shared" si="392"/>
        <v>0</v>
      </c>
      <c r="X116" s="421">
        <v>370801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>V116+X116+Y116+AA116+AB116+AD116</f>
        <v>370801</v>
      </c>
      <c r="AG116" s="421">
        <f>W116+Z116+AC116+AE116</f>
        <v>0</v>
      </c>
      <c r="AH116" s="421">
        <f>SUM(AF116:AG116)</f>
        <v>370801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si="393"/>
        <v>0</v>
      </c>
      <c r="AP116" s="421">
        <f>AJ116+AN116</f>
        <v>0</v>
      </c>
      <c r="AQ116" s="421">
        <f>SUM(AO116:AP116)</f>
        <v>0</v>
      </c>
      <c r="AR116" s="421">
        <f t="shared" si="394"/>
        <v>370801</v>
      </c>
      <c r="AS116" s="421">
        <f t="shared" si="394"/>
        <v>0</v>
      </c>
      <c r="AT116" s="421">
        <f>SUM(AR116:AS116)</f>
        <v>370801</v>
      </c>
      <c r="AU116" s="68">
        <f t="shared" si="395"/>
        <v>125331</v>
      </c>
      <c r="AV116" s="68">
        <f>ROUND(AH116*1%,0)</f>
        <v>3708</v>
      </c>
      <c r="AW116" s="421">
        <v>0</v>
      </c>
      <c r="AX116" s="421">
        <v>0</v>
      </c>
      <c r="AY116" s="421">
        <f>AW116+AX116</f>
        <v>0</v>
      </c>
      <c r="AZ116" s="421">
        <f>AT116+AU116+AV116+AY116</f>
        <v>499840</v>
      </c>
      <c r="BA116" s="422">
        <v>0</v>
      </c>
      <c r="BB116" s="422">
        <v>0</v>
      </c>
      <c r="BC116" s="422">
        <v>1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>BA116+BC116+BD116+BF116+BH116+BI116</f>
        <v>1</v>
      </c>
      <c r="BL116" s="422">
        <f>BB116+BE116+BG116+BJ116</f>
        <v>0</v>
      </c>
      <c r="BM116" s="611">
        <f>SUM(BK116:BL116)</f>
        <v>1</v>
      </c>
      <c r="BN116" s="428">
        <f>I116+AZ116</f>
        <v>499840</v>
      </c>
      <c r="BO116" s="421">
        <f>J116+AH116</f>
        <v>370801</v>
      </c>
      <c r="BP116" s="421">
        <f t="shared" si="396"/>
        <v>370801</v>
      </c>
      <c r="BQ116" s="421">
        <f t="shared" si="396"/>
        <v>0</v>
      </c>
      <c r="BR116" s="421">
        <f>M116+AQ116</f>
        <v>0</v>
      </c>
      <c r="BS116" s="421">
        <f t="shared" si="397"/>
        <v>0</v>
      </c>
      <c r="BT116" s="421">
        <f t="shared" si="397"/>
        <v>0</v>
      </c>
      <c r="BU116" s="421">
        <f t="shared" si="398"/>
        <v>125331</v>
      </c>
      <c r="BV116" s="421">
        <f t="shared" si="398"/>
        <v>3708</v>
      </c>
      <c r="BW116" s="421">
        <f>R116+AY116</f>
        <v>0</v>
      </c>
      <c r="BX116" s="422">
        <f>S116+BM116</f>
        <v>1</v>
      </c>
      <c r="BY116" s="422">
        <f t="shared" si="399"/>
        <v>1</v>
      </c>
      <c r="BZ116" s="611">
        <f t="shared" si="399"/>
        <v>0</v>
      </c>
      <c r="CA116" s="875"/>
      <c r="CB116" s="872"/>
      <c r="CC116" s="872"/>
      <c r="CD116" s="872"/>
      <c r="CE116" s="872"/>
      <c r="CF116" s="876"/>
    </row>
    <row r="117" spans="1:84" ht="12.95" customHeight="1" x14ac:dyDescent="0.25">
      <c r="A117" s="282">
        <v>20</v>
      </c>
      <c r="B117" s="283">
        <v>4428</v>
      </c>
      <c r="C117" s="283">
        <v>600074242</v>
      </c>
      <c r="D117" s="283">
        <v>71010513</v>
      </c>
      <c r="E117" s="299" t="s">
        <v>347</v>
      </c>
      <c r="F117" s="300">
        <v>3141</v>
      </c>
      <c r="G117" s="301" t="s">
        <v>295</v>
      </c>
      <c r="H117" s="286" t="s">
        <v>272</v>
      </c>
      <c r="I117" s="598">
        <f t="shared" si="388"/>
        <v>502283</v>
      </c>
      <c r="J117" s="418">
        <f t="shared" si="249"/>
        <v>371263</v>
      </c>
      <c r="K117" s="418">
        <v>0</v>
      </c>
      <c r="L117" s="418">
        <v>371263</v>
      </c>
      <c r="M117" s="418">
        <f t="shared" si="389"/>
        <v>0</v>
      </c>
      <c r="N117" s="418">
        <v>0</v>
      </c>
      <c r="O117" s="418">
        <v>0</v>
      </c>
      <c r="P117" s="68">
        <f t="shared" si="390"/>
        <v>125487</v>
      </c>
      <c r="Q117" s="68">
        <f t="shared" si="391"/>
        <v>3713</v>
      </c>
      <c r="R117" s="418">
        <v>1820</v>
      </c>
      <c r="S117" s="419">
        <f>T117+U117</f>
        <v>1.1133</v>
      </c>
      <c r="T117" s="420">
        <v>0</v>
      </c>
      <c r="U117" s="707">
        <v>1.1133</v>
      </c>
      <c r="V117" s="427">
        <f t="shared" si="392"/>
        <v>0</v>
      </c>
      <c r="W117" s="421">
        <f t="shared" si="392"/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>V117+X117+Y117+AA117+AB117+AD117</f>
        <v>0</v>
      </c>
      <c r="AG117" s="421">
        <f>W117+Z117+AC117+AE117</f>
        <v>0</v>
      </c>
      <c r="AH117" s="421">
        <f>SUM(AF117:AG117)</f>
        <v>0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393"/>
        <v>0</v>
      </c>
      <c r="AP117" s="421">
        <f>AJ117+AN117</f>
        <v>0</v>
      </c>
      <c r="AQ117" s="421">
        <f>SUM(AO117:AP117)</f>
        <v>0</v>
      </c>
      <c r="AR117" s="421">
        <f t="shared" si="394"/>
        <v>0</v>
      </c>
      <c r="AS117" s="421">
        <f t="shared" si="394"/>
        <v>0</v>
      </c>
      <c r="AT117" s="421">
        <f>SUM(AR117:AS117)</f>
        <v>0</v>
      </c>
      <c r="AU117" s="68">
        <f t="shared" si="395"/>
        <v>0</v>
      </c>
      <c r="AV117" s="68">
        <f>ROUND(AH117*1%,0)</f>
        <v>0</v>
      </c>
      <c r="AW117" s="421">
        <v>0</v>
      </c>
      <c r="AX117" s="421">
        <v>0</v>
      </c>
      <c r="AY117" s="421">
        <f>AW117+AX117</f>
        <v>0</v>
      </c>
      <c r="AZ117" s="421">
        <f>AT117+AU117+AV117+AY117</f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>BA117+BC117+BD117+BF117+BH117+BI117</f>
        <v>0</v>
      </c>
      <c r="BL117" s="422">
        <f>BB117+BE117+BG117+BJ117</f>
        <v>0</v>
      </c>
      <c r="BM117" s="611">
        <f>SUM(BK117:BL117)</f>
        <v>0</v>
      </c>
      <c r="BN117" s="428">
        <f>I117+AZ117</f>
        <v>502283</v>
      </c>
      <c r="BO117" s="421">
        <f>J117+AH117</f>
        <v>371263</v>
      </c>
      <c r="BP117" s="421">
        <f t="shared" si="396"/>
        <v>0</v>
      </c>
      <c r="BQ117" s="421">
        <f t="shared" si="396"/>
        <v>371263</v>
      </c>
      <c r="BR117" s="421">
        <f>M117+AQ117</f>
        <v>0</v>
      </c>
      <c r="BS117" s="421">
        <f t="shared" si="397"/>
        <v>0</v>
      </c>
      <c r="BT117" s="421">
        <f t="shared" si="397"/>
        <v>0</v>
      </c>
      <c r="BU117" s="421">
        <f t="shared" si="398"/>
        <v>125487</v>
      </c>
      <c r="BV117" s="421">
        <f t="shared" si="398"/>
        <v>3713</v>
      </c>
      <c r="BW117" s="421">
        <f>R117+AY117</f>
        <v>1820</v>
      </c>
      <c r="BX117" s="422">
        <f>S117+BM117</f>
        <v>1.1133</v>
      </c>
      <c r="BY117" s="422">
        <f t="shared" si="399"/>
        <v>0</v>
      </c>
      <c r="BZ117" s="611">
        <f t="shared" si="399"/>
        <v>1.1133</v>
      </c>
      <c r="CA117" s="875"/>
      <c r="CB117" s="872"/>
      <c r="CC117" s="872"/>
      <c r="CD117" s="872"/>
      <c r="CE117" s="872"/>
      <c r="CF117" s="876"/>
    </row>
    <row r="118" spans="1:84" ht="12.95" customHeight="1" x14ac:dyDescent="0.25">
      <c r="A118" s="275">
        <v>20</v>
      </c>
      <c r="B118" s="277">
        <v>4428</v>
      </c>
      <c r="C118" s="277">
        <v>600074242</v>
      </c>
      <c r="D118" s="277">
        <v>71010513</v>
      </c>
      <c r="E118" s="296" t="s">
        <v>348</v>
      </c>
      <c r="F118" s="297"/>
      <c r="G118" s="298"/>
      <c r="H118" s="298"/>
      <c r="I118" s="473">
        <f t="shared" ref="I118:BU118" si="401">SUM(I115:I117)</f>
        <v>3577630</v>
      </c>
      <c r="J118" s="470">
        <f t="shared" si="401"/>
        <v>2645501</v>
      </c>
      <c r="K118" s="470">
        <f t="shared" si="401"/>
        <v>2052446</v>
      </c>
      <c r="L118" s="470">
        <f t="shared" si="401"/>
        <v>593055</v>
      </c>
      <c r="M118" s="470">
        <f t="shared" si="401"/>
        <v>0</v>
      </c>
      <c r="N118" s="470">
        <f t="shared" si="401"/>
        <v>0</v>
      </c>
      <c r="O118" s="470">
        <f t="shared" si="401"/>
        <v>0</v>
      </c>
      <c r="P118" s="470">
        <f t="shared" si="401"/>
        <v>894179</v>
      </c>
      <c r="Q118" s="470">
        <f t="shared" si="401"/>
        <v>26455</v>
      </c>
      <c r="R118" s="470">
        <f t="shared" si="401"/>
        <v>11495</v>
      </c>
      <c r="S118" s="471">
        <f t="shared" si="401"/>
        <v>5.8599999999999994</v>
      </c>
      <c r="T118" s="471">
        <f t="shared" si="401"/>
        <v>4</v>
      </c>
      <c r="U118" s="292">
        <f t="shared" si="401"/>
        <v>1.8599999999999999</v>
      </c>
      <c r="V118" s="475">
        <f t="shared" si="401"/>
        <v>0</v>
      </c>
      <c r="W118" s="470">
        <f t="shared" si="401"/>
        <v>0</v>
      </c>
      <c r="X118" s="470">
        <f t="shared" si="401"/>
        <v>370801</v>
      </c>
      <c r="Y118" s="470">
        <f t="shared" si="401"/>
        <v>0</v>
      </c>
      <c r="Z118" s="470">
        <f t="shared" si="401"/>
        <v>0</v>
      </c>
      <c r="AA118" s="470">
        <f t="shared" si="401"/>
        <v>0</v>
      </c>
      <c r="AB118" s="470">
        <f t="shared" si="401"/>
        <v>0</v>
      </c>
      <c r="AC118" s="470">
        <f t="shared" si="401"/>
        <v>0</v>
      </c>
      <c r="AD118" s="470">
        <f t="shared" si="401"/>
        <v>0</v>
      </c>
      <c r="AE118" s="470">
        <f t="shared" si="401"/>
        <v>0</v>
      </c>
      <c r="AF118" s="470">
        <f t="shared" si="401"/>
        <v>370801</v>
      </c>
      <c r="AG118" s="470">
        <f t="shared" si="401"/>
        <v>0</v>
      </c>
      <c r="AH118" s="470">
        <f t="shared" si="401"/>
        <v>370801</v>
      </c>
      <c r="AI118" s="470">
        <f t="shared" si="401"/>
        <v>0</v>
      </c>
      <c r="AJ118" s="470">
        <f t="shared" si="401"/>
        <v>0</v>
      </c>
      <c r="AK118" s="470">
        <f t="shared" ref="AK118" si="402">SUM(AK115:AK117)</f>
        <v>0</v>
      </c>
      <c r="AL118" s="470">
        <f t="shared" si="401"/>
        <v>0</v>
      </c>
      <c r="AM118" s="470">
        <f t="shared" si="401"/>
        <v>0</v>
      </c>
      <c r="AN118" s="470">
        <f t="shared" si="401"/>
        <v>0</v>
      </c>
      <c r="AO118" s="470">
        <f t="shared" si="401"/>
        <v>0</v>
      </c>
      <c r="AP118" s="470">
        <f t="shared" si="401"/>
        <v>0</v>
      </c>
      <c r="AQ118" s="470">
        <f t="shared" si="401"/>
        <v>0</v>
      </c>
      <c r="AR118" s="470">
        <f t="shared" si="401"/>
        <v>370801</v>
      </c>
      <c r="AS118" s="470">
        <f t="shared" si="401"/>
        <v>0</v>
      </c>
      <c r="AT118" s="470">
        <f t="shared" si="401"/>
        <v>370801</v>
      </c>
      <c r="AU118" s="470">
        <f t="shared" si="401"/>
        <v>125331</v>
      </c>
      <c r="AV118" s="470">
        <f t="shared" si="401"/>
        <v>3708</v>
      </c>
      <c r="AW118" s="470">
        <f t="shared" si="401"/>
        <v>0</v>
      </c>
      <c r="AX118" s="470">
        <f t="shared" si="401"/>
        <v>0</v>
      </c>
      <c r="AY118" s="470">
        <f t="shared" si="401"/>
        <v>0</v>
      </c>
      <c r="AZ118" s="470">
        <f t="shared" si="401"/>
        <v>499840</v>
      </c>
      <c r="BA118" s="471">
        <f t="shared" si="401"/>
        <v>0</v>
      </c>
      <c r="BB118" s="471">
        <f t="shared" si="401"/>
        <v>0</v>
      </c>
      <c r="BC118" s="471">
        <f t="shared" si="401"/>
        <v>1</v>
      </c>
      <c r="BD118" s="471">
        <f t="shared" si="401"/>
        <v>0</v>
      </c>
      <c r="BE118" s="471">
        <f t="shared" si="401"/>
        <v>0</v>
      </c>
      <c r="BF118" s="471">
        <f t="shared" si="401"/>
        <v>0</v>
      </c>
      <c r="BG118" s="471">
        <f t="shared" si="401"/>
        <v>0</v>
      </c>
      <c r="BH118" s="471">
        <f t="shared" si="401"/>
        <v>0</v>
      </c>
      <c r="BI118" s="471">
        <f t="shared" si="401"/>
        <v>0</v>
      </c>
      <c r="BJ118" s="471">
        <f t="shared" si="401"/>
        <v>0</v>
      </c>
      <c r="BK118" s="471">
        <f t="shared" si="401"/>
        <v>1</v>
      </c>
      <c r="BL118" s="471">
        <f t="shared" si="401"/>
        <v>0</v>
      </c>
      <c r="BM118" s="561">
        <f t="shared" si="401"/>
        <v>1</v>
      </c>
      <c r="BN118" s="473">
        <f t="shared" si="401"/>
        <v>4077470</v>
      </c>
      <c r="BO118" s="470">
        <f t="shared" si="401"/>
        <v>3016302</v>
      </c>
      <c r="BP118" s="470">
        <f t="shared" si="401"/>
        <v>2423247</v>
      </c>
      <c r="BQ118" s="470">
        <f t="shared" si="401"/>
        <v>593055</v>
      </c>
      <c r="BR118" s="470">
        <f t="shared" si="401"/>
        <v>0</v>
      </c>
      <c r="BS118" s="470">
        <f t="shared" si="401"/>
        <v>0</v>
      </c>
      <c r="BT118" s="470">
        <f t="shared" si="401"/>
        <v>0</v>
      </c>
      <c r="BU118" s="470">
        <f t="shared" si="401"/>
        <v>1019510</v>
      </c>
      <c r="BV118" s="470">
        <f t="shared" ref="BV118:CF118" si="403">SUM(BV115:BV117)</f>
        <v>30163</v>
      </c>
      <c r="BW118" s="470">
        <f t="shared" si="403"/>
        <v>11495</v>
      </c>
      <c r="BX118" s="471">
        <f t="shared" si="403"/>
        <v>6.8599999999999994</v>
      </c>
      <c r="BY118" s="471">
        <f t="shared" si="403"/>
        <v>5</v>
      </c>
      <c r="BZ118" s="561">
        <f t="shared" si="403"/>
        <v>1.8599999999999999</v>
      </c>
      <c r="CA118" s="874">
        <f t="shared" si="403"/>
        <v>0</v>
      </c>
      <c r="CB118" s="871">
        <f t="shared" si="403"/>
        <v>0</v>
      </c>
      <c r="CC118" s="871">
        <f t="shared" si="403"/>
        <v>0</v>
      </c>
      <c r="CD118" s="871">
        <f t="shared" si="403"/>
        <v>0</v>
      </c>
      <c r="CE118" s="871">
        <f t="shared" si="403"/>
        <v>0</v>
      </c>
      <c r="CF118" s="847">
        <f t="shared" si="403"/>
        <v>0</v>
      </c>
    </row>
    <row r="119" spans="1:84" ht="12.95" customHeight="1" x14ac:dyDescent="0.25">
      <c r="A119" s="282">
        <v>21</v>
      </c>
      <c r="B119" s="283">
        <v>4463</v>
      </c>
      <c r="C119" s="283">
        <v>600074684</v>
      </c>
      <c r="D119" s="283">
        <v>71010467</v>
      </c>
      <c r="E119" s="299" t="s">
        <v>349</v>
      </c>
      <c r="F119" s="300">
        <v>3117</v>
      </c>
      <c r="G119" s="301" t="s">
        <v>309</v>
      </c>
      <c r="H119" s="286" t="s">
        <v>271</v>
      </c>
      <c r="I119" s="598">
        <f t="shared" ref="I119:I122" si="404">J119+M119+P119+Q119+R119</f>
        <v>2772803</v>
      </c>
      <c r="J119" s="418">
        <f t="shared" si="249"/>
        <v>2032599</v>
      </c>
      <c r="K119" s="418">
        <v>1878277</v>
      </c>
      <c r="L119" s="418">
        <v>154322</v>
      </c>
      <c r="M119" s="418">
        <f t="shared" ref="M119:M122" si="405">N119+O119</f>
        <v>0</v>
      </c>
      <c r="N119" s="418">
        <v>0</v>
      </c>
      <c r="O119" s="418">
        <v>0</v>
      </c>
      <c r="P119" s="68">
        <f>ROUND((J119+M119)*33.8%,0)+1</f>
        <v>687019</v>
      </c>
      <c r="Q119" s="68">
        <f t="shared" ref="Q119:Q122" si="406">ROUND(J119*1%,0)</f>
        <v>20326</v>
      </c>
      <c r="R119" s="418">
        <v>32859</v>
      </c>
      <c r="S119" s="419">
        <f>T119+U119</f>
        <v>3.0363000000000002</v>
      </c>
      <c r="T119" s="420">
        <v>2.6364000000000001</v>
      </c>
      <c r="U119" s="707">
        <v>0.39989999999999998</v>
      </c>
      <c r="V119" s="427">
        <f t="shared" ref="V119:W122" si="407">AI119*-1</f>
        <v>0</v>
      </c>
      <c r="W119" s="421">
        <f t="shared" si="407"/>
        <v>0</v>
      </c>
      <c r="X119" s="421">
        <v>0</v>
      </c>
      <c r="Y119" s="421">
        <v>0</v>
      </c>
      <c r="Z119" s="421">
        <v>0</v>
      </c>
      <c r="AA119" s="421">
        <v>0</v>
      </c>
      <c r="AB119" s="421">
        <v>0</v>
      </c>
      <c r="AC119" s="421">
        <v>0</v>
      </c>
      <c r="AD119" s="421">
        <v>0</v>
      </c>
      <c r="AE119" s="421">
        <v>0</v>
      </c>
      <c r="AF119" s="421">
        <f>V119+X119+Y119+AA119+AB119+AD119</f>
        <v>0</v>
      </c>
      <c r="AG119" s="421">
        <f>W119+Z119+AC119+AE119</f>
        <v>0</v>
      </c>
      <c r="AH119" s="421">
        <f>SUM(AF119:AG119)</f>
        <v>0</v>
      </c>
      <c r="AI119" s="421">
        <v>0</v>
      </c>
      <c r="AJ119" s="421">
        <v>0</v>
      </c>
      <c r="AK119" s="421">
        <v>0</v>
      </c>
      <c r="AL119" s="421">
        <v>0</v>
      </c>
      <c r="AM119" s="421">
        <v>0</v>
      </c>
      <c r="AN119" s="421">
        <v>0</v>
      </c>
      <c r="AO119" s="421">
        <f t="shared" ref="AO119:AO122" si="408">AI119+AK119+AL119+AM119</f>
        <v>0</v>
      </c>
      <c r="AP119" s="421">
        <f>AJ119+AN119</f>
        <v>0</v>
      </c>
      <c r="AQ119" s="421">
        <f>SUM(AO119:AP119)</f>
        <v>0</v>
      </c>
      <c r="AR119" s="421">
        <f t="shared" ref="AR119:AS122" si="409">AF119+AO119</f>
        <v>0</v>
      </c>
      <c r="AS119" s="421">
        <f t="shared" si="409"/>
        <v>0</v>
      </c>
      <c r="AT119" s="421">
        <f>SUM(AR119:AS119)</f>
        <v>0</v>
      </c>
      <c r="AU119" s="68">
        <f t="shared" ref="AU119:AU122" si="410">ROUND((AH119+AI119+AJ119+AK119+AL119)*33.8%,0)</f>
        <v>0</v>
      </c>
      <c r="AV119" s="68">
        <f>ROUND(AH119*1%,0)</f>
        <v>0</v>
      </c>
      <c r="AW119" s="421">
        <v>0</v>
      </c>
      <c r="AX119" s="421">
        <v>0</v>
      </c>
      <c r="AY119" s="421">
        <f>AW119+AX119</f>
        <v>0</v>
      </c>
      <c r="AZ119" s="421">
        <f>AT119+AU119+AV119+AY119</f>
        <v>0</v>
      </c>
      <c r="BA119" s="422">
        <v>0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</v>
      </c>
      <c r="BI119" s="422">
        <v>0</v>
      </c>
      <c r="BJ119" s="422">
        <v>0</v>
      </c>
      <c r="BK119" s="422">
        <f>BA119+BC119+BD119+BF119+BH119+BI119</f>
        <v>0</v>
      </c>
      <c r="BL119" s="422">
        <f>BB119+BE119+BG119+BJ119</f>
        <v>0</v>
      </c>
      <c r="BM119" s="611">
        <f>SUM(BK119:BL119)</f>
        <v>0</v>
      </c>
      <c r="BN119" s="428">
        <f>I119+AZ119</f>
        <v>2772803</v>
      </c>
      <c r="BO119" s="421">
        <f>J119+AH119</f>
        <v>2032599</v>
      </c>
      <c r="BP119" s="421">
        <f t="shared" ref="BP119:BQ122" si="411">K119+AF119</f>
        <v>1878277</v>
      </c>
      <c r="BQ119" s="421">
        <f t="shared" si="411"/>
        <v>154322</v>
      </c>
      <c r="BR119" s="421">
        <f>M119+AQ119</f>
        <v>0</v>
      </c>
      <c r="BS119" s="421">
        <f t="shared" ref="BS119:BT122" si="412">N119+AO119</f>
        <v>0</v>
      </c>
      <c r="BT119" s="421">
        <f t="shared" si="412"/>
        <v>0</v>
      </c>
      <c r="BU119" s="421">
        <f t="shared" ref="BU119:BV122" si="413">P119+AU119</f>
        <v>687019</v>
      </c>
      <c r="BV119" s="421">
        <f t="shared" si="413"/>
        <v>20326</v>
      </c>
      <c r="BW119" s="421">
        <f>R119+AY119</f>
        <v>32859</v>
      </c>
      <c r="BX119" s="422">
        <f>S119+BM119</f>
        <v>3.0363000000000002</v>
      </c>
      <c r="BY119" s="422">
        <f t="shared" ref="BY119:BZ122" si="414">T119+BK119</f>
        <v>2.6364000000000001</v>
      </c>
      <c r="BZ119" s="611">
        <f t="shared" si="414"/>
        <v>0.39989999999999998</v>
      </c>
      <c r="CA119" s="875"/>
      <c r="CB119" s="872"/>
      <c r="CC119" s="872"/>
      <c r="CD119" s="872"/>
      <c r="CE119" s="872"/>
      <c r="CF119" s="876"/>
    </row>
    <row r="120" spans="1:84" ht="12.95" customHeight="1" x14ac:dyDescent="0.25">
      <c r="A120" s="282">
        <v>21</v>
      </c>
      <c r="B120" s="283">
        <v>4463</v>
      </c>
      <c r="C120" s="283">
        <v>600074684</v>
      </c>
      <c r="D120" s="283">
        <v>71010467</v>
      </c>
      <c r="E120" s="299" t="s">
        <v>349</v>
      </c>
      <c r="F120" s="300">
        <v>3117</v>
      </c>
      <c r="G120" s="286" t="s">
        <v>299</v>
      </c>
      <c r="H120" s="286" t="s">
        <v>272</v>
      </c>
      <c r="I120" s="598">
        <f t="shared" si="404"/>
        <v>0</v>
      </c>
      <c r="J120" s="418">
        <f t="shared" si="249"/>
        <v>0</v>
      </c>
      <c r="K120" s="418">
        <v>0</v>
      </c>
      <c r="L120" s="418">
        <v>0</v>
      </c>
      <c r="M120" s="418">
        <f t="shared" si="405"/>
        <v>0</v>
      </c>
      <c r="N120" s="418">
        <v>0</v>
      </c>
      <c r="O120" s="418">
        <v>0</v>
      </c>
      <c r="P120" s="68">
        <f t="shared" ref="P120:P122" si="415">ROUND((J120+M120)*33.8%,0)</f>
        <v>0</v>
      </c>
      <c r="Q120" s="68">
        <f t="shared" si="406"/>
        <v>0</v>
      </c>
      <c r="R120" s="418">
        <v>0</v>
      </c>
      <c r="S120" s="419">
        <f t="shared" ref="S120" si="416">T120+U120</f>
        <v>0</v>
      </c>
      <c r="T120" s="420">
        <v>0</v>
      </c>
      <c r="U120" s="707">
        <v>0</v>
      </c>
      <c r="V120" s="427">
        <f t="shared" si="407"/>
        <v>0</v>
      </c>
      <c r="W120" s="421">
        <f t="shared" si="407"/>
        <v>0</v>
      </c>
      <c r="X120" s="421">
        <v>185401</v>
      </c>
      <c r="Y120" s="421">
        <v>0</v>
      </c>
      <c r="Z120" s="421">
        <v>0</v>
      </c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f>V120+X120+Y120+AA120+AB120+AD120</f>
        <v>185401</v>
      </c>
      <c r="AG120" s="421">
        <f>W120+Z120+AC120+AE120</f>
        <v>0</v>
      </c>
      <c r="AH120" s="421">
        <f>SUM(AF120:AG120)</f>
        <v>185401</v>
      </c>
      <c r="AI120" s="421">
        <v>0</v>
      </c>
      <c r="AJ120" s="421">
        <v>0</v>
      </c>
      <c r="AK120" s="421">
        <v>0</v>
      </c>
      <c r="AL120" s="421">
        <v>0</v>
      </c>
      <c r="AM120" s="421">
        <v>0</v>
      </c>
      <c r="AN120" s="421">
        <v>0</v>
      </c>
      <c r="AO120" s="421">
        <f t="shared" si="408"/>
        <v>0</v>
      </c>
      <c r="AP120" s="421">
        <f>AJ120+AN120</f>
        <v>0</v>
      </c>
      <c r="AQ120" s="421">
        <f>SUM(AO120:AP120)</f>
        <v>0</v>
      </c>
      <c r="AR120" s="421">
        <f t="shared" si="409"/>
        <v>185401</v>
      </c>
      <c r="AS120" s="421">
        <f t="shared" si="409"/>
        <v>0</v>
      </c>
      <c r="AT120" s="421">
        <f>SUM(AR120:AS120)</f>
        <v>185401</v>
      </c>
      <c r="AU120" s="68">
        <f t="shared" si="410"/>
        <v>62666</v>
      </c>
      <c r="AV120" s="68">
        <f>ROUND(AH120*1%,0)</f>
        <v>1854</v>
      </c>
      <c r="AW120" s="421">
        <v>0</v>
      </c>
      <c r="AX120" s="421">
        <v>0</v>
      </c>
      <c r="AY120" s="421">
        <f>AW120+AX120</f>
        <v>0</v>
      </c>
      <c r="AZ120" s="421">
        <f>AT120+AU120+AV120+AY120</f>
        <v>249921</v>
      </c>
      <c r="BA120" s="422">
        <v>0</v>
      </c>
      <c r="BB120" s="422">
        <v>0</v>
      </c>
      <c r="BC120" s="422">
        <v>0.5</v>
      </c>
      <c r="BD120" s="422">
        <v>0</v>
      </c>
      <c r="BE120" s="422">
        <v>0</v>
      </c>
      <c r="BF120" s="422">
        <v>0</v>
      </c>
      <c r="BG120" s="422">
        <v>0</v>
      </c>
      <c r="BH120" s="422">
        <v>0</v>
      </c>
      <c r="BI120" s="422">
        <v>0</v>
      </c>
      <c r="BJ120" s="422">
        <v>0</v>
      </c>
      <c r="BK120" s="422">
        <f>BA120+BC120+BD120+BF120+BH120+BI120</f>
        <v>0.5</v>
      </c>
      <c r="BL120" s="422">
        <f>BB120+BE120+BG120+BJ120</f>
        <v>0</v>
      </c>
      <c r="BM120" s="611">
        <f>SUM(BK120:BL120)</f>
        <v>0.5</v>
      </c>
      <c r="BN120" s="428">
        <f>I120+AZ120</f>
        <v>249921</v>
      </c>
      <c r="BO120" s="421">
        <f>J120+AH120</f>
        <v>185401</v>
      </c>
      <c r="BP120" s="421">
        <f t="shared" si="411"/>
        <v>185401</v>
      </c>
      <c r="BQ120" s="421">
        <f t="shared" si="411"/>
        <v>0</v>
      </c>
      <c r="BR120" s="421">
        <f>M120+AQ120</f>
        <v>0</v>
      </c>
      <c r="BS120" s="421">
        <f t="shared" si="412"/>
        <v>0</v>
      </c>
      <c r="BT120" s="421">
        <f t="shared" si="412"/>
        <v>0</v>
      </c>
      <c r="BU120" s="421">
        <f t="shared" si="413"/>
        <v>62666</v>
      </c>
      <c r="BV120" s="421">
        <f t="shared" si="413"/>
        <v>1854</v>
      </c>
      <c r="BW120" s="421">
        <f>R120+AY120</f>
        <v>0</v>
      </c>
      <c r="BX120" s="422">
        <f>S120+BM120</f>
        <v>0.5</v>
      </c>
      <c r="BY120" s="422">
        <f t="shared" si="414"/>
        <v>0.5</v>
      </c>
      <c r="BZ120" s="611">
        <f t="shared" si="414"/>
        <v>0</v>
      </c>
      <c r="CA120" s="875"/>
      <c r="CB120" s="872"/>
      <c r="CC120" s="872"/>
      <c r="CD120" s="872"/>
      <c r="CE120" s="872"/>
      <c r="CF120" s="876"/>
    </row>
    <row r="121" spans="1:84" ht="12.95" customHeight="1" x14ac:dyDescent="0.25">
      <c r="A121" s="282">
        <v>21</v>
      </c>
      <c r="B121" s="283">
        <v>4463</v>
      </c>
      <c r="C121" s="283">
        <v>600074684</v>
      </c>
      <c r="D121" s="283">
        <v>71010467</v>
      </c>
      <c r="E121" s="299" t="s">
        <v>349</v>
      </c>
      <c r="F121" s="300">
        <v>3143</v>
      </c>
      <c r="G121" s="286" t="s">
        <v>596</v>
      </c>
      <c r="H121" s="286" t="s">
        <v>271</v>
      </c>
      <c r="I121" s="598">
        <f t="shared" si="404"/>
        <v>615391</v>
      </c>
      <c r="J121" s="418">
        <f t="shared" si="249"/>
        <v>456522</v>
      </c>
      <c r="K121" s="418">
        <v>456522</v>
      </c>
      <c r="L121" s="418">
        <v>0</v>
      </c>
      <c r="M121" s="418">
        <f t="shared" si="405"/>
        <v>0</v>
      </c>
      <c r="N121" s="418">
        <v>0</v>
      </c>
      <c r="O121" s="418">
        <v>0</v>
      </c>
      <c r="P121" s="68">
        <f t="shared" si="415"/>
        <v>154304</v>
      </c>
      <c r="Q121" s="68">
        <f t="shared" si="406"/>
        <v>4565</v>
      </c>
      <c r="R121" s="418"/>
      <c r="S121" s="419">
        <f>T121+U121</f>
        <v>0.85709999999999997</v>
      </c>
      <c r="T121" s="420">
        <v>0.85709999999999997</v>
      </c>
      <c r="U121" s="707">
        <v>0</v>
      </c>
      <c r="V121" s="427">
        <f t="shared" si="407"/>
        <v>0</v>
      </c>
      <c r="W121" s="421">
        <f t="shared" si="407"/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>V121+X121+Y121+AA121+AB121+AD121</f>
        <v>0</v>
      </c>
      <c r="AG121" s="421">
        <f>W121+Z121+AC121+AE121</f>
        <v>0</v>
      </c>
      <c r="AH121" s="421">
        <f>SUM(AF121:AG121)</f>
        <v>0</v>
      </c>
      <c r="AI121" s="421">
        <v>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si="408"/>
        <v>0</v>
      </c>
      <c r="AP121" s="421">
        <f>AJ121+AN121</f>
        <v>0</v>
      </c>
      <c r="AQ121" s="421">
        <f>SUM(AO121:AP121)</f>
        <v>0</v>
      </c>
      <c r="AR121" s="421">
        <f t="shared" si="409"/>
        <v>0</v>
      </c>
      <c r="AS121" s="421">
        <f t="shared" si="409"/>
        <v>0</v>
      </c>
      <c r="AT121" s="421">
        <f>SUM(AR121:AS121)</f>
        <v>0</v>
      </c>
      <c r="AU121" s="68">
        <f t="shared" si="410"/>
        <v>0</v>
      </c>
      <c r="AV121" s="68">
        <f>ROUND(AH121*1%,0)</f>
        <v>0</v>
      </c>
      <c r="AW121" s="421">
        <v>0</v>
      </c>
      <c r="AX121" s="421">
        <v>0</v>
      </c>
      <c r="AY121" s="421">
        <f>AW121+AX121</f>
        <v>0</v>
      </c>
      <c r="AZ121" s="421">
        <f>AT121+AU121+AV121+AY121</f>
        <v>0</v>
      </c>
      <c r="BA121" s="422">
        <v>0</v>
      </c>
      <c r="BB121" s="422">
        <v>0</v>
      </c>
      <c r="BC121" s="422">
        <v>0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0</v>
      </c>
      <c r="BL121" s="422">
        <f>BB121+BE121+BG121+BJ121</f>
        <v>0</v>
      </c>
      <c r="BM121" s="611">
        <f>SUM(BK121:BL121)</f>
        <v>0</v>
      </c>
      <c r="BN121" s="428">
        <f>I121+AZ121</f>
        <v>615391</v>
      </c>
      <c r="BO121" s="421">
        <f>J121+AH121</f>
        <v>456522</v>
      </c>
      <c r="BP121" s="421">
        <f t="shared" si="411"/>
        <v>456522</v>
      </c>
      <c r="BQ121" s="421">
        <f t="shared" si="411"/>
        <v>0</v>
      </c>
      <c r="BR121" s="421">
        <f>M121+AQ121</f>
        <v>0</v>
      </c>
      <c r="BS121" s="421">
        <f t="shared" si="412"/>
        <v>0</v>
      </c>
      <c r="BT121" s="421">
        <f t="shared" si="412"/>
        <v>0</v>
      </c>
      <c r="BU121" s="421">
        <f t="shared" si="413"/>
        <v>154304</v>
      </c>
      <c r="BV121" s="421">
        <f t="shared" si="413"/>
        <v>4565</v>
      </c>
      <c r="BW121" s="421">
        <f>R121+AY121</f>
        <v>0</v>
      </c>
      <c r="BX121" s="422">
        <f>S121+BM121</f>
        <v>0.85709999999999997</v>
      </c>
      <c r="BY121" s="422">
        <f t="shared" si="414"/>
        <v>0.85709999999999997</v>
      </c>
      <c r="BZ121" s="611">
        <f t="shared" si="414"/>
        <v>0</v>
      </c>
      <c r="CA121" s="875"/>
      <c r="CB121" s="872"/>
      <c r="CC121" s="872"/>
      <c r="CD121" s="872"/>
      <c r="CE121" s="872"/>
      <c r="CF121" s="876"/>
    </row>
    <row r="122" spans="1:84" ht="12.95" customHeight="1" x14ac:dyDescent="0.25">
      <c r="A122" s="282">
        <v>21</v>
      </c>
      <c r="B122" s="283">
        <v>4463</v>
      </c>
      <c r="C122" s="283">
        <v>600074684</v>
      </c>
      <c r="D122" s="283">
        <v>71010467</v>
      </c>
      <c r="E122" s="299" t="s">
        <v>349</v>
      </c>
      <c r="F122" s="300">
        <v>3143</v>
      </c>
      <c r="G122" s="286" t="s">
        <v>597</v>
      </c>
      <c r="H122" s="286" t="s">
        <v>272</v>
      </c>
      <c r="I122" s="598">
        <f t="shared" si="404"/>
        <v>12799</v>
      </c>
      <c r="J122" s="418">
        <f t="shared" si="249"/>
        <v>9161</v>
      </c>
      <c r="K122" s="418">
        <v>0</v>
      </c>
      <c r="L122" s="418">
        <v>9161</v>
      </c>
      <c r="M122" s="418">
        <f t="shared" si="405"/>
        <v>0</v>
      </c>
      <c r="N122" s="418">
        <v>0</v>
      </c>
      <c r="O122" s="418">
        <v>0</v>
      </c>
      <c r="P122" s="68">
        <f t="shared" si="415"/>
        <v>3096</v>
      </c>
      <c r="Q122" s="68">
        <f t="shared" si="406"/>
        <v>92</v>
      </c>
      <c r="R122" s="418">
        <v>450</v>
      </c>
      <c r="S122" s="419">
        <f>T122+U122</f>
        <v>3.4700000000000002E-2</v>
      </c>
      <c r="T122" s="420">
        <v>0</v>
      </c>
      <c r="U122" s="707">
        <v>3.4700000000000002E-2</v>
      </c>
      <c r="V122" s="427">
        <f t="shared" si="407"/>
        <v>0</v>
      </c>
      <c r="W122" s="421">
        <f t="shared" si="407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0</v>
      </c>
      <c r="AG122" s="421">
        <f>W122+Z122+AC122+AE122</f>
        <v>0</v>
      </c>
      <c r="AH122" s="421">
        <f>SUM(AF122:AG122)</f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408"/>
        <v>0</v>
      </c>
      <c r="AP122" s="421">
        <f>AJ122+AN122</f>
        <v>0</v>
      </c>
      <c r="AQ122" s="421">
        <f>SUM(AO122:AP122)</f>
        <v>0</v>
      </c>
      <c r="AR122" s="421">
        <f t="shared" si="409"/>
        <v>0</v>
      </c>
      <c r="AS122" s="421">
        <f t="shared" si="409"/>
        <v>0</v>
      </c>
      <c r="AT122" s="421">
        <f>SUM(AR122:AS122)</f>
        <v>0</v>
      </c>
      <c r="AU122" s="68">
        <f t="shared" si="410"/>
        <v>0</v>
      </c>
      <c r="AV122" s="68">
        <f>ROUND(AH122*1%,0)</f>
        <v>0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611">
        <f>SUM(BK122:BL122)</f>
        <v>0</v>
      </c>
      <c r="BN122" s="428">
        <f>I122+AZ122</f>
        <v>12799</v>
      </c>
      <c r="BO122" s="421">
        <f>J122+AH122</f>
        <v>9161</v>
      </c>
      <c r="BP122" s="421">
        <f t="shared" si="411"/>
        <v>0</v>
      </c>
      <c r="BQ122" s="421">
        <f t="shared" si="411"/>
        <v>9161</v>
      </c>
      <c r="BR122" s="421">
        <f>M122+AQ122</f>
        <v>0</v>
      </c>
      <c r="BS122" s="421">
        <f t="shared" si="412"/>
        <v>0</v>
      </c>
      <c r="BT122" s="421">
        <f t="shared" si="412"/>
        <v>0</v>
      </c>
      <c r="BU122" s="421">
        <f t="shared" si="413"/>
        <v>3096</v>
      </c>
      <c r="BV122" s="421">
        <f t="shared" si="413"/>
        <v>92</v>
      </c>
      <c r="BW122" s="421">
        <f>R122+AY122</f>
        <v>450</v>
      </c>
      <c r="BX122" s="422">
        <f>S122+BM122</f>
        <v>3.4700000000000002E-2</v>
      </c>
      <c r="BY122" s="422">
        <f t="shared" si="414"/>
        <v>0</v>
      </c>
      <c r="BZ122" s="611">
        <f t="shared" si="414"/>
        <v>3.4700000000000002E-2</v>
      </c>
      <c r="CA122" s="875"/>
      <c r="CB122" s="872"/>
      <c r="CC122" s="872"/>
      <c r="CD122" s="872"/>
      <c r="CE122" s="872"/>
      <c r="CF122" s="876"/>
    </row>
    <row r="123" spans="1:84" ht="12.95" customHeight="1" thickBot="1" x14ac:dyDescent="0.3">
      <c r="A123" s="302">
        <v>21</v>
      </c>
      <c r="B123" s="303">
        <v>4463</v>
      </c>
      <c r="C123" s="303">
        <v>600074684</v>
      </c>
      <c r="D123" s="303">
        <v>71010467</v>
      </c>
      <c r="E123" s="296" t="s">
        <v>350</v>
      </c>
      <c r="F123" s="297"/>
      <c r="G123" s="298"/>
      <c r="H123" s="298"/>
      <c r="I123" s="517">
        <f t="shared" ref="I123:BU123" si="417">SUM(I119:I122)</f>
        <v>3400993</v>
      </c>
      <c r="J123" s="518">
        <f t="shared" si="417"/>
        <v>2498282</v>
      </c>
      <c r="K123" s="518">
        <f t="shared" si="417"/>
        <v>2334799</v>
      </c>
      <c r="L123" s="518">
        <f t="shared" si="417"/>
        <v>163483</v>
      </c>
      <c r="M123" s="518">
        <f t="shared" si="417"/>
        <v>0</v>
      </c>
      <c r="N123" s="518">
        <f t="shared" si="417"/>
        <v>0</v>
      </c>
      <c r="O123" s="518">
        <f t="shared" si="417"/>
        <v>0</v>
      </c>
      <c r="P123" s="518">
        <f t="shared" si="417"/>
        <v>844419</v>
      </c>
      <c r="Q123" s="518">
        <f t="shared" si="417"/>
        <v>24983</v>
      </c>
      <c r="R123" s="518">
        <f t="shared" si="417"/>
        <v>33309</v>
      </c>
      <c r="S123" s="519">
        <f t="shared" si="417"/>
        <v>3.9281000000000001</v>
      </c>
      <c r="T123" s="519">
        <f t="shared" si="417"/>
        <v>3.4935</v>
      </c>
      <c r="U123" s="533">
        <f t="shared" si="417"/>
        <v>0.43459999999999999</v>
      </c>
      <c r="V123" s="625">
        <f t="shared" si="417"/>
        <v>0</v>
      </c>
      <c r="W123" s="518">
        <f t="shared" si="417"/>
        <v>0</v>
      </c>
      <c r="X123" s="518">
        <f t="shared" si="417"/>
        <v>185401</v>
      </c>
      <c r="Y123" s="518">
        <f t="shared" si="417"/>
        <v>0</v>
      </c>
      <c r="Z123" s="518">
        <f t="shared" si="417"/>
        <v>0</v>
      </c>
      <c r="AA123" s="518">
        <f t="shared" si="417"/>
        <v>0</v>
      </c>
      <c r="AB123" s="518">
        <f t="shared" si="417"/>
        <v>0</v>
      </c>
      <c r="AC123" s="518">
        <f t="shared" si="417"/>
        <v>0</v>
      </c>
      <c r="AD123" s="518">
        <f t="shared" si="417"/>
        <v>0</v>
      </c>
      <c r="AE123" s="518">
        <f t="shared" si="417"/>
        <v>0</v>
      </c>
      <c r="AF123" s="518">
        <f t="shared" si="417"/>
        <v>185401</v>
      </c>
      <c r="AG123" s="518">
        <f t="shared" si="417"/>
        <v>0</v>
      </c>
      <c r="AH123" s="518">
        <f t="shared" si="417"/>
        <v>185401</v>
      </c>
      <c r="AI123" s="518">
        <f t="shared" si="417"/>
        <v>0</v>
      </c>
      <c r="AJ123" s="518">
        <f t="shared" si="417"/>
        <v>0</v>
      </c>
      <c r="AK123" s="518">
        <f t="shared" ref="AK123" si="418">SUM(AK119:AK122)</f>
        <v>0</v>
      </c>
      <c r="AL123" s="518">
        <f t="shared" si="417"/>
        <v>0</v>
      </c>
      <c r="AM123" s="518">
        <f t="shared" si="417"/>
        <v>0</v>
      </c>
      <c r="AN123" s="518">
        <f t="shared" si="417"/>
        <v>0</v>
      </c>
      <c r="AO123" s="518">
        <f t="shared" si="417"/>
        <v>0</v>
      </c>
      <c r="AP123" s="518">
        <f t="shared" si="417"/>
        <v>0</v>
      </c>
      <c r="AQ123" s="518">
        <f t="shared" si="417"/>
        <v>0</v>
      </c>
      <c r="AR123" s="518">
        <f t="shared" si="417"/>
        <v>185401</v>
      </c>
      <c r="AS123" s="518">
        <f t="shared" si="417"/>
        <v>0</v>
      </c>
      <c r="AT123" s="518">
        <f t="shared" si="417"/>
        <v>185401</v>
      </c>
      <c r="AU123" s="518">
        <f t="shared" si="417"/>
        <v>62666</v>
      </c>
      <c r="AV123" s="518">
        <f t="shared" si="417"/>
        <v>1854</v>
      </c>
      <c r="AW123" s="518">
        <f t="shared" si="417"/>
        <v>0</v>
      </c>
      <c r="AX123" s="518">
        <f t="shared" si="417"/>
        <v>0</v>
      </c>
      <c r="AY123" s="518">
        <f t="shared" si="417"/>
        <v>0</v>
      </c>
      <c r="AZ123" s="518">
        <f t="shared" si="417"/>
        <v>249921</v>
      </c>
      <c r="BA123" s="519">
        <f t="shared" si="417"/>
        <v>0</v>
      </c>
      <c r="BB123" s="519">
        <f t="shared" si="417"/>
        <v>0</v>
      </c>
      <c r="BC123" s="519">
        <f t="shared" si="417"/>
        <v>0.5</v>
      </c>
      <c r="BD123" s="519">
        <f t="shared" si="417"/>
        <v>0</v>
      </c>
      <c r="BE123" s="519">
        <f t="shared" si="417"/>
        <v>0</v>
      </c>
      <c r="BF123" s="519">
        <f t="shared" si="417"/>
        <v>0</v>
      </c>
      <c r="BG123" s="519">
        <f t="shared" si="417"/>
        <v>0</v>
      </c>
      <c r="BH123" s="519">
        <f t="shared" si="417"/>
        <v>0</v>
      </c>
      <c r="BI123" s="519">
        <f t="shared" si="417"/>
        <v>0</v>
      </c>
      <c r="BJ123" s="519">
        <f t="shared" si="417"/>
        <v>0</v>
      </c>
      <c r="BK123" s="519">
        <f t="shared" si="417"/>
        <v>0.5</v>
      </c>
      <c r="BL123" s="519">
        <f t="shared" si="417"/>
        <v>0</v>
      </c>
      <c r="BM123" s="627">
        <f t="shared" si="417"/>
        <v>0.5</v>
      </c>
      <c r="BN123" s="517">
        <f t="shared" si="417"/>
        <v>3650914</v>
      </c>
      <c r="BO123" s="518">
        <f t="shared" si="417"/>
        <v>2683683</v>
      </c>
      <c r="BP123" s="518">
        <f t="shared" si="417"/>
        <v>2520200</v>
      </c>
      <c r="BQ123" s="518">
        <f t="shared" si="417"/>
        <v>163483</v>
      </c>
      <c r="BR123" s="518">
        <f t="shared" si="417"/>
        <v>0</v>
      </c>
      <c r="BS123" s="518">
        <f t="shared" si="417"/>
        <v>0</v>
      </c>
      <c r="BT123" s="518">
        <f t="shared" si="417"/>
        <v>0</v>
      </c>
      <c r="BU123" s="518">
        <f t="shared" si="417"/>
        <v>907085</v>
      </c>
      <c r="BV123" s="518">
        <f t="shared" ref="BV123:CF123" si="419">SUM(BV119:BV122)</f>
        <v>26837</v>
      </c>
      <c r="BW123" s="518">
        <f t="shared" si="419"/>
        <v>33309</v>
      </c>
      <c r="BX123" s="519">
        <f t="shared" si="419"/>
        <v>4.4280999999999997</v>
      </c>
      <c r="BY123" s="519">
        <f t="shared" si="419"/>
        <v>3.9935</v>
      </c>
      <c r="BZ123" s="627">
        <f t="shared" si="419"/>
        <v>0.43459999999999999</v>
      </c>
      <c r="CA123" s="877">
        <f t="shared" si="419"/>
        <v>0</v>
      </c>
      <c r="CB123" s="878">
        <f t="shared" si="419"/>
        <v>0</v>
      </c>
      <c r="CC123" s="878">
        <f t="shared" si="419"/>
        <v>0</v>
      </c>
      <c r="CD123" s="878">
        <f t="shared" si="419"/>
        <v>0</v>
      </c>
      <c r="CE123" s="878">
        <f t="shared" si="419"/>
        <v>0</v>
      </c>
      <c r="CF123" s="879">
        <f t="shared" si="419"/>
        <v>0</v>
      </c>
    </row>
    <row r="124" spans="1:84" ht="14.25" customHeight="1" thickBot="1" x14ac:dyDescent="0.3">
      <c r="A124" s="304"/>
      <c r="B124" s="305"/>
      <c r="C124" s="306"/>
      <c r="D124" s="305"/>
      <c r="E124" s="307" t="s">
        <v>759</v>
      </c>
      <c r="F124" s="306"/>
      <c r="G124" s="308"/>
      <c r="H124" s="309"/>
      <c r="I124" s="576">
        <f t="shared" ref="I124:BU124" si="420">I123+I118+I114+I107+I100+I93+I86+I79+I72+I65+I58+I56+I50+I46+I44+I42+I36+I30+I24+I18+I13</f>
        <v>316977109</v>
      </c>
      <c r="J124" s="476">
        <f t="shared" si="420"/>
        <v>233049288</v>
      </c>
      <c r="K124" s="476">
        <f t="shared" si="420"/>
        <v>204103593</v>
      </c>
      <c r="L124" s="476">
        <f t="shared" si="420"/>
        <v>28945695</v>
      </c>
      <c r="M124" s="476">
        <f t="shared" si="420"/>
        <v>0</v>
      </c>
      <c r="N124" s="476">
        <f t="shared" si="420"/>
        <v>0</v>
      </c>
      <c r="O124" s="476">
        <f t="shared" si="420"/>
        <v>0</v>
      </c>
      <c r="P124" s="589">
        <f t="shared" si="420"/>
        <v>78770655</v>
      </c>
      <c r="Q124" s="589">
        <f t="shared" si="420"/>
        <v>2330497</v>
      </c>
      <c r="R124" s="476">
        <f t="shared" si="420"/>
        <v>2826669</v>
      </c>
      <c r="S124" s="603">
        <f t="shared" si="420"/>
        <v>408.78740000000005</v>
      </c>
      <c r="T124" s="603">
        <f t="shared" si="420"/>
        <v>320.0394</v>
      </c>
      <c r="U124" s="709">
        <f t="shared" si="420"/>
        <v>88.74799999999999</v>
      </c>
      <c r="V124" s="476">
        <f t="shared" si="420"/>
        <v>-442240</v>
      </c>
      <c r="W124" s="476">
        <f t="shared" si="420"/>
        <v>-396160</v>
      </c>
      <c r="X124" s="476">
        <f t="shared" si="420"/>
        <v>18640237</v>
      </c>
      <c r="Y124" s="476">
        <f t="shared" si="420"/>
        <v>0</v>
      </c>
      <c r="Z124" s="476">
        <f t="shared" si="420"/>
        <v>0</v>
      </c>
      <c r="AA124" s="476">
        <f t="shared" si="420"/>
        <v>0</v>
      </c>
      <c r="AB124" s="772">
        <f t="shared" si="420"/>
        <v>338400</v>
      </c>
      <c r="AC124" s="476">
        <f t="shared" si="420"/>
        <v>0</v>
      </c>
      <c r="AD124" s="476">
        <f t="shared" si="420"/>
        <v>0</v>
      </c>
      <c r="AE124" s="476">
        <f t="shared" si="420"/>
        <v>0</v>
      </c>
      <c r="AF124" s="476">
        <f t="shared" si="420"/>
        <v>18536397</v>
      </c>
      <c r="AG124" s="476">
        <f t="shared" si="420"/>
        <v>-396160</v>
      </c>
      <c r="AH124" s="476">
        <f t="shared" si="420"/>
        <v>18140237</v>
      </c>
      <c r="AI124" s="476">
        <f t="shared" si="420"/>
        <v>442240</v>
      </c>
      <c r="AJ124" s="476">
        <f t="shared" si="420"/>
        <v>396160</v>
      </c>
      <c r="AK124" s="772">
        <f t="shared" ref="AK124" si="421">AK123+AK118+AK114+AK107+AK100+AK93+AK86+AK79+AK72+AK65+AK58+AK56+AK50+AK46+AK44+AK42+AK36+AK30+AK24+AK18+AK13</f>
        <v>0</v>
      </c>
      <c r="AL124" s="476">
        <f t="shared" si="420"/>
        <v>105920</v>
      </c>
      <c r="AM124" s="476">
        <f t="shared" si="420"/>
        <v>0</v>
      </c>
      <c r="AN124" s="476">
        <f t="shared" si="420"/>
        <v>0</v>
      </c>
      <c r="AO124" s="476">
        <f t="shared" si="420"/>
        <v>548160</v>
      </c>
      <c r="AP124" s="476">
        <f t="shared" si="420"/>
        <v>396160</v>
      </c>
      <c r="AQ124" s="476">
        <f t="shared" si="420"/>
        <v>944320</v>
      </c>
      <c r="AR124" s="476">
        <f t="shared" si="420"/>
        <v>19084557</v>
      </c>
      <c r="AS124" s="476">
        <f t="shared" si="420"/>
        <v>0</v>
      </c>
      <c r="AT124" s="476">
        <f t="shared" si="420"/>
        <v>19084557</v>
      </c>
      <c r="AU124" s="476">
        <f t="shared" si="420"/>
        <v>6450582</v>
      </c>
      <c r="AV124" s="476">
        <f t="shared" si="420"/>
        <v>181402</v>
      </c>
      <c r="AW124" s="476">
        <f t="shared" si="420"/>
        <v>16500</v>
      </c>
      <c r="AX124" s="476">
        <f t="shared" si="420"/>
        <v>0</v>
      </c>
      <c r="AY124" s="476">
        <f t="shared" si="420"/>
        <v>16500</v>
      </c>
      <c r="AZ124" s="476">
        <f t="shared" si="420"/>
        <v>25733041</v>
      </c>
      <c r="BA124" s="603">
        <f t="shared" si="420"/>
        <v>-0.41000000000000003</v>
      </c>
      <c r="BB124" s="603">
        <f t="shared" si="420"/>
        <v>-0.88000000000000012</v>
      </c>
      <c r="BC124" s="603">
        <f t="shared" si="420"/>
        <v>51.7</v>
      </c>
      <c r="BD124" s="603">
        <f t="shared" si="420"/>
        <v>0.60000000000000009</v>
      </c>
      <c r="BE124" s="603">
        <f t="shared" si="420"/>
        <v>0</v>
      </c>
      <c r="BF124" s="603">
        <f t="shared" si="420"/>
        <v>0</v>
      </c>
      <c r="BG124" s="603">
        <f t="shared" si="420"/>
        <v>0</v>
      </c>
      <c r="BH124" s="603">
        <f t="shared" si="420"/>
        <v>0</v>
      </c>
      <c r="BI124" s="603">
        <f t="shared" si="420"/>
        <v>0</v>
      </c>
      <c r="BJ124" s="603">
        <f t="shared" si="420"/>
        <v>0</v>
      </c>
      <c r="BK124" s="603">
        <f t="shared" si="420"/>
        <v>51.89</v>
      </c>
      <c r="BL124" s="603">
        <f t="shared" si="420"/>
        <v>-0.88000000000000012</v>
      </c>
      <c r="BM124" s="641">
        <f t="shared" si="420"/>
        <v>51.010000000000005</v>
      </c>
      <c r="BN124" s="576">
        <f t="shared" si="420"/>
        <v>342710150</v>
      </c>
      <c r="BO124" s="476">
        <f t="shared" si="420"/>
        <v>251189525</v>
      </c>
      <c r="BP124" s="476">
        <f t="shared" si="420"/>
        <v>222639990</v>
      </c>
      <c r="BQ124" s="476">
        <f t="shared" si="420"/>
        <v>28549535</v>
      </c>
      <c r="BR124" s="476">
        <f t="shared" si="420"/>
        <v>944320</v>
      </c>
      <c r="BS124" s="476">
        <f t="shared" si="420"/>
        <v>548160</v>
      </c>
      <c r="BT124" s="476">
        <f t="shared" si="420"/>
        <v>396160</v>
      </c>
      <c r="BU124" s="476">
        <f t="shared" si="420"/>
        <v>85221237</v>
      </c>
      <c r="BV124" s="476">
        <f t="shared" ref="BV124:CF124" si="422">BV123+BV118+BV114+BV107+BV100+BV93+BV86+BV79+BV72+BV65+BV58+BV56+BV50+BV46+BV44+BV42+BV36+BV30+BV24+BV18+BV13</f>
        <v>2511899</v>
      </c>
      <c r="BW124" s="476">
        <f t="shared" si="422"/>
        <v>2843169</v>
      </c>
      <c r="BX124" s="603">
        <f t="shared" si="422"/>
        <v>459.79740000000004</v>
      </c>
      <c r="BY124" s="603">
        <f t="shared" si="422"/>
        <v>371.92940000000004</v>
      </c>
      <c r="BZ124" s="641">
        <f t="shared" si="422"/>
        <v>87.867999999999995</v>
      </c>
      <c r="CA124" s="880">
        <f t="shared" si="422"/>
        <v>456163</v>
      </c>
      <c r="CB124" s="881">
        <f t="shared" si="422"/>
        <v>338400</v>
      </c>
      <c r="CC124" s="881">
        <f t="shared" si="422"/>
        <v>0</v>
      </c>
      <c r="CD124" s="881">
        <f t="shared" si="422"/>
        <v>114379</v>
      </c>
      <c r="CE124" s="881">
        <f t="shared" si="422"/>
        <v>3384</v>
      </c>
      <c r="CF124" s="882">
        <f t="shared" si="422"/>
        <v>0.60000000000000009</v>
      </c>
    </row>
    <row r="125" spans="1:84" ht="12.75" customHeight="1" x14ac:dyDescent="0.25">
      <c r="B125" s="311"/>
      <c r="D125" s="311"/>
      <c r="E125" s="312"/>
      <c r="I125" s="432">
        <f>J124+M124+P124+Q124+R124</f>
        <v>316977109</v>
      </c>
      <c r="J125" s="432">
        <f>SUM(K124:L124)</f>
        <v>233049288</v>
      </c>
      <c r="K125" s="432"/>
      <c r="L125" s="432"/>
      <c r="M125" s="432">
        <f>SUM(N124:O124)</f>
        <v>0</v>
      </c>
      <c r="N125" s="432"/>
      <c r="O125" s="432"/>
      <c r="P125" s="432"/>
      <c r="Q125" s="432"/>
      <c r="R125" s="432"/>
      <c r="S125" s="433">
        <f>SUM(T124:U124)</f>
        <v>408.78739999999999</v>
      </c>
      <c r="T125" s="433"/>
      <c r="U125" s="710"/>
      <c r="V125" s="432">
        <f>AI124</f>
        <v>442240</v>
      </c>
      <c r="W125" s="432">
        <f>AJ124</f>
        <v>396160</v>
      </c>
      <c r="X125" s="433"/>
      <c r="Y125" s="432"/>
      <c r="Z125" s="432"/>
      <c r="AA125" s="433"/>
      <c r="AB125" s="433"/>
      <c r="AC125" s="433"/>
      <c r="AD125" s="433"/>
      <c r="AE125" s="433"/>
      <c r="AF125" s="434"/>
      <c r="AG125" s="434"/>
      <c r="AH125" s="434">
        <f>SUM(AF124:AG124)</f>
        <v>18140237</v>
      </c>
      <c r="AI125" s="434">
        <f>V124</f>
        <v>-442240</v>
      </c>
      <c r="AJ125" s="434">
        <f>W124</f>
        <v>-396160</v>
      </c>
      <c r="AK125" s="434"/>
      <c r="AL125" s="435"/>
      <c r="AM125" s="435"/>
      <c r="AN125" s="435"/>
      <c r="AO125" s="434"/>
      <c r="AP125" s="434"/>
      <c r="AQ125" s="434">
        <f>SUM(AO124:AP124)</f>
        <v>944320</v>
      </c>
      <c r="AR125" s="434"/>
      <c r="AS125" s="434"/>
      <c r="AT125" s="434">
        <f>SUM(AR124:AS124)</f>
        <v>19084557</v>
      </c>
      <c r="AU125" s="436"/>
      <c r="AV125" s="436"/>
      <c r="AW125" s="435"/>
      <c r="AX125" s="435"/>
      <c r="AY125" s="434">
        <f>SUM(AW124:AX124)</f>
        <v>16500</v>
      </c>
      <c r="AZ125" s="434">
        <f>AH124+AQ124+AU124+AV124+AY124</f>
        <v>25733041</v>
      </c>
      <c r="BA125" s="437"/>
      <c r="BB125" s="437"/>
      <c r="BC125" s="437"/>
      <c r="BD125" s="437"/>
      <c r="BE125" s="437"/>
      <c r="BF125" s="437"/>
      <c r="BG125" s="437"/>
      <c r="BH125" s="437"/>
      <c r="BI125" s="437"/>
      <c r="BJ125" s="437"/>
      <c r="BK125" s="525">
        <f>BA124+BC124+BD124+BF124+BH124+BI124</f>
        <v>51.890000000000008</v>
      </c>
      <c r="BL125" s="525">
        <f>BB124+BE124+BG124+BJ124</f>
        <v>-0.88000000000000012</v>
      </c>
      <c r="BM125" s="525">
        <f>SUM(BK124:BL124)</f>
        <v>51.01</v>
      </c>
      <c r="BN125" s="432">
        <f>BO124+BR124+BU124+BV124+BW124</f>
        <v>342710150</v>
      </c>
      <c r="BO125" s="432">
        <f>SUM(BP124:BQ124)</f>
        <v>251189525</v>
      </c>
      <c r="BP125" s="435">
        <f>K124+AF124</f>
        <v>222639990</v>
      </c>
      <c r="BQ125" s="435">
        <f>L124+AG124</f>
        <v>28549535</v>
      </c>
      <c r="BR125" s="86">
        <f>SUM(BS124:BT124)</f>
        <v>944320</v>
      </c>
      <c r="BS125" s="435">
        <f>N124+AO124</f>
        <v>548160</v>
      </c>
      <c r="BT125" s="435">
        <f>O124+AP124</f>
        <v>396160</v>
      </c>
      <c r="BU125" s="435">
        <f>P124+AU124</f>
        <v>85221237</v>
      </c>
      <c r="BV125" s="435">
        <f>Q124+AV124</f>
        <v>2511899</v>
      </c>
      <c r="BW125" s="435">
        <f>R124+AY124</f>
        <v>2843169</v>
      </c>
      <c r="BX125" s="433">
        <f>SUM(BY124:BZ124)</f>
        <v>459.79740000000004</v>
      </c>
      <c r="BY125" s="437">
        <f>T124+BK124</f>
        <v>371.92939999999999</v>
      </c>
      <c r="BZ125" s="437">
        <f>U124+BL124</f>
        <v>87.867999999999995</v>
      </c>
      <c r="CA125" s="236">
        <f>SUM(CB124:CE124)</f>
        <v>456163</v>
      </c>
      <c r="CB125" s="8"/>
      <c r="CC125" s="8"/>
      <c r="CD125" s="8"/>
      <c r="CE125" s="8"/>
      <c r="CF125" s="7"/>
    </row>
    <row r="126" spans="1:84" ht="12.75" customHeight="1" thickBot="1" x14ac:dyDescent="0.3">
      <c r="B126" s="311"/>
      <c r="D126" s="311"/>
      <c r="E126" s="252"/>
      <c r="I126" s="432">
        <f>J127+M127+P127+Q127+R127</f>
        <v>316977109</v>
      </c>
      <c r="J126" s="432">
        <f>SUM(K127:L127)</f>
        <v>233049288</v>
      </c>
      <c r="K126" s="432"/>
      <c r="L126" s="432"/>
      <c r="M126" s="432">
        <f>SUM(N127:O127)</f>
        <v>0</v>
      </c>
      <c r="N126" s="432"/>
      <c r="O126" s="432"/>
      <c r="P126" s="432"/>
      <c r="Q126" s="432"/>
      <c r="R126" s="432"/>
      <c r="S126" s="433">
        <f>SUM(T127:U127)</f>
        <v>408.78739999999999</v>
      </c>
      <c r="T126" s="433"/>
      <c r="U126" s="710"/>
      <c r="V126" s="432">
        <f>AI127</f>
        <v>442240</v>
      </c>
      <c r="W126" s="432">
        <f>AJ127</f>
        <v>396160</v>
      </c>
      <c r="X126" s="433"/>
      <c r="Y126" s="432"/>
      <c r="Z126" s="432"/>
      <c r="AA126" s="433"/>
      <c r="AB126" s="433"/>
      <c r="AC126" s="433"/>
      <c r="AD126" s="433"/>
      <c r="AE126" s="433"/>
      <c r="AF126" s="434"/>
      <c r="AG126" s="434"/>
      <c r="AH126" s="434">
        <f>SUM(AF127:AG127)</f>
        <v>18140237</v>
      </c>
      <c r="AI126" s="434"/>
      <c r="AJ126" s="434"/>
      <c r="AK126" s="434"/>
      <c r="AL126" s="435"/>
      <c r="AM126" s="435"/>
      <c r="AN126" s="435"/>
      <c r="AO126" s="434"/>
      <c r="AP126" s="434"/>
      <c r="AQ126" s="434">
        <f>SUM(AO127:AP127)</f>
        <v>944320</v>
      </c>
      <c r="AR126" s="434"/>
      <c r="AS126" s="434"/>
      <c r="AT126" s="434">
        <f>SUM(AR127:AS127)</f>
        <v>19084557</v>
      </c>
      <c r="AU126" s="436"/>
      <c r="AV126" s="436"/>
      <c r="AW126" s="435"/>
      <c r="AX126" s="435"/>
      <c r="AY126" s="434">
        <f>SUM(AW127:AX127)</f>
        <v>16500</v>
      </c>
      <c r="AZ126" s="434">
        <f>AH127+AQ127+AU127+AV127+AY127</f>
        <v>25733041</v>
      </c>
      <c r="BA126" s="437"/>
      <c r="BB126" s="437"/>
      <c r="BC126" s="437"/>
      <c r="BD126" s="437"/>
      <c r="BE126" s="437"/>
      <c r="BF126" s="437"/>
      <c r="BG126" s="437"/>
      <c r="BH126" s="437"/>
      <c r="BI126" s="437"/>
      <c r="BJ126" s="437"/>
      <c r="BK126" s="525">
        <f>BA127+BC127+BD127+BF127+BH127+BI127</f>
        <v>51.889999999999993</v>
      </c>
      <c r="BL126" s="525">
        <f>BB127+BE127+BG127+BJ127</f>
        <v>-0.88000000000000012</v>
      </c>
      <c r="BM126" s="525">
        <f>SUM(BK127:BL127)</f>
        <v>51.009999999999991</v>
      </c>
      <c r="BN126" s="432">
        <f>BO127+BR127+BU127+BV127+BW127</f>
        <v>342710150</v>
      </c>
      <c r="BO126" s="432">
        <f>SUM(BP127:BQ127)</f>
        <v>251189525</v>
      </c>
      <c r="BP126" s="53"/>
      <c r="BQ126" s="53"/>
      <c r="BR126" s="86">
        <f>SUM(BS127:BT127)</f>
        <v>944320</v>
      </c>
      <c r="BS126" s="53"/>
      <c r="BT126" s="53"/>
      <c r="BU126" s="53"/>
      <c r="BV126" s="53"/>
      <c r="BW126" s="53"/>
      <c r="BX126" s="433">
        <f>SUM(BY127:BZ127)</f>
        <v>459.79739999999998</v>
      </c>
      <c r="BY126" s="87"/>
      <c r="BZ126" s="87"/>
      <c r="CA126" s="236">
        <f>SUM(CB127:CE127)</f>
        <v>456163</v>
      </c>
      <c r="CB126" s="8"/>
      <c r="CC126" s="8"/>
      <c r="CD126" s="8"/>
      <c r="CE126" s="8"/>
      <c r="CF126" s="7"/>
    </row>
    <row r="127" spans="1:84" s="89" customFormat="1" ht="12.95" customHeight="1" thickBot="1" x14ac:dyDescent="0.3">
      <c r="D127" s="313"/>
      <c r="E127" s="314"/>
      <c r="F127" s="313"/>
      <c r="G127" s="315"/>
      <c r="H127" s="486" t="s">
        <v>0</v>
      </c>
      <c r="I127" s="139">
        <f t="shared" ref="I127:BU127" si="423">SUM(I128:I137)</f>
        <v>316977109</v>
      </c>
      <c r="J127" s="34">
        <f t="shared" si="423"/>
        <v>233049288</v>
      </c>
      <c r="K127" s="34">
        <f t="shared" si="423"/>
        <v>204103593</v>
      </c>
      <c r="L127" s="34">
        <f t="shared" si="423"/>
        <v>28945695</v>
      </c>
      <c r="M127" s="34">
        <f t="shared" si="423"/>
        <v>0</v>
      </c>
      <c r="N127" s="34">
        <f t="shared" si="423"/>
        <v>0</v>
      </c>
      <c r="O127" s="34">
        <f t="shared" si="423"/>
        <v>0</v>
      </c>
      <c r="P127" s="34">
        <f t="shared" si="423"/>
        <v>78770655</v>
      </c>
      <c r="Q127" s="34">
        <f t="shared" si="423"/>
        <v>2330497</v>
      </c>
      <c r="R127" s="34">
        <f t="shared" si="423"/>
        <v>2826669</v>
      </c>
      <c r="S127" s="35">
        <f t="shared" si="423"/>
        <v>408.78739999999993</v>
      </c>
      <c r="T127" s="35">
        <f t="shared" si="423"/>
        <v>320.0394</v>
      </c>
      <c r="U127" s="711">
        <f t="shared" si="423"/>
        <v>88.748000000000005</v>
      </c>
      <c r="V127" s="149">
        <f t="shared" si="423"/>
        <v>-442240</v>
      </c>
      <c r="W127" s="34">
        <f t="shared" si="423"/>
        <v>-396160</v>
      </c>
      <c r="X127" s="34">
        <f t="shared" si="423"/>
        <v>18640237</v>
      </c>
      <c r="Y127" s="34">
        <f t="shared" si="423"/>
        <v>0</v>
      </c>
      <c r="Z127" s="34">
        <f t="shared" si="423"/>
        <v>0</v>
      </c>
      <c r="AA127" s="34">
        <f t="shared" si="423"/>
        <v>0</v>
      </c>
      <c r="AB127" s="768">
        <f t="shared" si="423"/>
        <v>338400</v>
      </c>
      <c r="AC127" s="34">
        <f t="shared" si="423"/>
        <v>0</v>
      </c>
      <c r="AD127" s="34">
        <f t="shared" si="423"/>
        <v>0</v>
      </c>
      <c r="AE127" s="34">
        <f t="shared" si="423"/>
        <v>0</v>
      </c>
      <c r="AF127" s="34">
        <f t="shared" si="423"/>
        <v>18536397</v>
      </c>
      <c r="AG127" s="34">
        <f t="shared" si="423"/>
        <v>-396160</v>
      </c>
      <c r="AH127" s="34">
        <f t="shared" si="423"/>
        <v>18140237</v>
      </c>
      <c r="AI127" s="34">
        <f t="shared" si="423"/>
        <v>442240</v>
      </c>
      <c r="AJ127" s="34">
        <f t="shared" si="423"/>
        <v>396160</v>
      </c>
      <c r="AK127" s="768">
        <f t="shared" ref="AK127" si="424">SUM(AK128:AK137)</f>
        <v>0</v>
      </c>
      <c r="AL127" s="34">
        <f t="shared" si="423"/>
        <v>105920</v>
      </c>
      <c r="AM127" s="34">
        <f t="shared" si="423"/>
        <v>0</v>
      </c>
      <c r="AN127" s="34">
        <f t="shared" si="423"/>
        <v>0</v>
      </c>
      <c r="AO127" s="34">
        <f t="shared" si="423"/>
        <v>548160</v>
      </c>
      <c r="AP127" s="34">
        <f t="shared" si="423"/>
        <v>396160</v>
      </c>
      <c r="AQ127" s="34">
        <f t="shared" si="423"/>
        <v>944320</v>
      </c>
      <c r="AR127" s="34">
        <f t="shared" si="423"/>
        <v>19084557</v>
      </c>
      <c r="AS127" s="34">
        <f t="shared" si="423"/>
        <v>0</v>
      </c>
      <c r="AT127" s="34">
        <f t="shared" si="423"/>
        <v>19084557</v>
      </c>
      <c r="AU127" s="34">
        <f t="shared" si="423"/>
        <v>6450582</v>
      </c>
      <c r="AV127" s="34">
        <f t="shared" si="423"/>
        <v>181402</v>
      </c>
      <c r="AW127" s="34">
        <f t="shared" si="423"/>
        <v>16500</v>
      </c>
      <c r="AX127" s="34">
        <f t="shared" si="423"/>
        <v>0</v>
      </c>
      <c r="AY127" s="34">
        <f t="shared" si="423"/>
        <v>16500</v>
      </c>
      <c r="AZ127" s="34">
        <f t="shared" si="423"/>
        <v>25733041</v>
      </c>
      <c r="BA127" s="35">
        <f t="shared" si="423"/>
        <v>-0.41000000000000003</v>
      </c>
      <c r="BB127" s="35">
        <f t="shared" si="423"/>
        <v>-0.88000000000000012</v>
      </c>
      <c r="BC127" s="35">
        <f t="shared" si="423"/>
        <v>51.699999999999989</v>
      </c>
      <c r="BD127" s="35">
        <f t="shared" si="423"/>
        <v>0.60000000000000009</v>
      </c>
      <c r="BE127" s="35">
        <f t="shared" si="423"/>
        <v>0</v>
      </c>
      <c r="BF127" s="35">
        <f t="shared" si="423"/>
        <v>0</v>
      </c>
      <c r="BG127" s="35">
        <f t="shared" si="423"/>
        <v>0</v>
      </c>
      <c r="BH127" s="35">
        <f t="shared" si="423"/>
        <v>0</v>
      </c>
      <c r="BI127" s="35">
        <f t="shared" si="423"/>
        <v>0</v>
      </c>
      <c r="BJ127" s="35">
        <f t="shared" si="423"/>
        <v>0</v>
      </c>
      <c r="BK127" s="35">
        <f t="shared" si="423"/>
        <v>51.889999999999993</v>
      </c>
      <c r="BL127" s="35">
        <f t="shared" si="423"/>
        <v>-0.88000000000000012</v>
      </c>
      <c r="BM127" s="148">
        <f t="shared" si="423"/>
        <v>51.01</v>
      </c>
      <c r="BN127" s="139">
        <f t="shared" si="423"/>
        <v>342710150</v>
      </c>
      <c r="BO127" s="34">
        <f t="shared" si="423"/>
        <v>251189525</v>
      </c>
      <c r="BP127" s="34">
        <f t="shared" si="423"/>
        <v>222639990</v>
      </c>
      <c r="BQ127" s="34">
        <f t="shared" si="423"/>
        <v>28549535</v>
      </c>
      <c r="BR127" s="34">
        <f t="shared" si="423"/>
        <v>944320</v>
      </c>
      <c r="BS127" s="34">
        <f t="shared" si="423"/>
        <v>548160</v>
      </c>
      <c r="BT127" s="34">
        <f t="shared" si="423"/>
        <v>396160</v>
      </c>
      <c r="BU127" s="34">
        <f t="shared" si="423"/>
        <v>85221237</v>
      </c>
      <c r="BV127" s="34">
        <f t="shared" ref="BV127:BZ127" si="425">SUM(BV128:BV137)</f>
        <v>2511899</v>
      </c>
      <c r="BW127" s="34">
        <f t="shared" si="425"/>
        <v>2843169</v>
      </c>
      <c r="BX127" s="35">
        <f t="shared" si="425"/>
        <v>459.79740000000004</v>
      </c>
      <c r="BY127" s="35">
        <f t="shared" si="425"/>
        <v>371.92939999999999</v>
      </c>
      <c r="BZ127" s="148">
        <f t="shared" si="425"/>
        <v>87.868000000000009</v>
      </c>
      <c r="CA127" s="779">
        <f t="shared" ref="CA127:CF127" si="426">SUM(CA128:CA137)</f>
        <v>456163</v>
      </c>
      <c r="CB127" s="768">
        <f t="shared" si="426"/>
        <v>338400</v>
      </c>
      <c r="CC127" s="768">
        <f t="shared" si="426"/>
        <v>0</v>
      </c>
      <c r="CD127" s="768">
        <f t="shared" si="426"/>
        <v>114379</v>
      </c>
      <c r="CE127" s="768">
        <f t="shared" si="426"/>
        <v>3384</v>
      </c>
      <c r="CF127" s="781">
        <f t="shared" si="426"/>
        <v>0.60000000000000009</v>
      </c>
    </row>
    <row r="128" spans="1:84" s="89" customFormat="1" ht="12.95" customHeight="1" x14ac:dyDescent="0.25">
      <c r="D128" s="313"/>
      <c r="E128" s="314"/>
      <c r="F128" s="313"/>
      <c r="G128" s="315"/>
      <c r="H128" s="485">
        <v>3111</v>
      </c>
      <c r="I128" s="503">
        <f t="shared" ref="I128:BU128" si="427">SUMIF($F$12:$F$464,"=3111",I$12:I$464)</f>
        <v>67491893</v>
      </c>
      <c r="J128" s="504">
        <f t="shared" si="427"/>
        <v>49908136</v>
      </c>
      <c r="K128" s="504">
        <f t="shared" si="427"/>
        <v>45999958</v>
      </c>
      <c r="L128" s="504">
        <f t="shared" si="427"/>
        <v>3908178</v>
      </c>
      <c r="M128" s="504">
        <f t="shared" si="427"/>
        <v>0</v>
      </c>
      <c r="N128" s="504">
        <f t="shared" si="427"/>
        <v>0</v>
      </c>
      <c r="O128" s="504">
        <f t="shared" si="427"/>
        <v>0</v>
      </c>
      <c r="P128" s="504">
        <f t="shared" si="427"/>
        <v>16868949</v>
      </c>
      <c r="Q128" s="504">
        <f t="shared" si="427"/>
        <v>499084</v>
      </c>
      <c r="R128" s="504">
        <f t="shared" si="427"/>
        <v>215724</v>
      </c>
      <c r="S128" s="507">
        <f t="shared" si="427"/>
        <v>95.29310000000001</v>
      </c>
      <c r="T128" s="507">
        <f t="shared" si="427"/>
        <v>81.037100000000009</v>
      </c>
      <c r="U128" s="712">
        <f t="shared" si="427"/>
        <v>14.256000000000002</v>
      </c>
      <c r="V128" s="505">
        <f t="shared" si="427"/>
        <v>-20480</v>
      </c>
      <c r="W128" s="504">
        <f t="shared" si="427"/>
        <v>-60160</v>
      </c>
      <c r="X128" s="504">
        <f t="shared" si="427"/>
        <v>2233634</v>
      </c>
      <c r="Y128" s="504">
        <f t="shared" si="427"/>
        <v>0</v>
      </c>
      <c r="Z128" s="504">
        <f t="shared" si="427"/>
        <v>0</v>
      </c>
      <c r="AA128" s="504">
        <f t="shared" si="427"/>
        <v>0</v>
      </c>
      <c r="AB128" s="504">
        <f t="shared" si="427"/>
        <v>0</v>
      </c>
      <c r="AC128" s="504">
        <f t="shared" si="427"/>
        <v>0</v>
      </c>
      <c r="AD128" s="504">
        <f t="shared" si="427"/>
        <v>0</v>
      </c>
      <c r="AE128" s="504">
        <f t="shared" si="427"/>
        <v>0</v>
      </c>
      <c r="AF128" s="504">
        <f t="shared" si="427"/>
        <v>2213154</v>
      </c>
      <c r="AG128" s="504">
        <f t="shared" si="427"/>
        <v>-60160</v>
      </c>
      <c r="AH128" s="504">
        <f t="shared" si="427"/>
        <v>2152994</v>
      </c>
      <c r="AI128" s="504">
        <f t="shared" si="427"/>
        <v>20480</v>
      </c>
      <c r="AJ128" s="504">
        <f t="shared" si="427"/>
        <v>60160</v>
      </c>
      <c r="AK128" s="504">
        <f t="shared" si="427"/>
        <v>0</v>
      </c>
      <c r="AL128" s="504">
        <f t="shared" si="427"/>
        <v>0</v>
      </c>
      <c r="AM128" s="504">
        <f t="shared" si="427"/>
        <v>0</v>
      </c>
      <c r="AN128" s="504">
        <f t="shared" si="427"/>
        <v>0</v>
      </c>
      <c r="AO128" s="504">
        <f t="shared" si="427"/>
        <v>20480</v>
      </c>
      <c r="AP128" s="504">
        <f t="shared" si="427"/>
        <v>60160</v>
      </c>
      <c r="AQ128" s="504">
        <f t="shared" si="427"/>
        <v>80640</v>
      </c>
      <c r="AR128" s="504">
        <f t="shared" si="427"/>
        <v>2233634</v>
      </c>
      <c r="AS128" s="504">
        <f t="shared" si="427"/>
        <v>0</v>
      </c>
      <c r="AT128" s="504">
        <f t="shared" si="427"/>
        <v>2233634</v>
      </c>
      <c r="AU128" s="504">
        <f t="shared" si="427"/>
        <v>754968</v>
      </c>
      <c r="AV128" s="504">
        <f t="shared" si="427"/>
        <v>21530</v>
      </c>
      <c r="AW128" s="504">
        <f t="shared" si="427"/>
        <v>1000</v>
      </c>
      <c r="AX128" s="504">
        <f t="shared" si="427"/>
        <v>0</v>
      </c>
      <c r="AY128" s="504">
        <f t="shared" si="427"/>
        <v>1000</v>
      </c>
      <c r="AZ128" s="504">
        <f t="shared" si="427"/>
        <v>3011132</v>
      </c>
      <c r="BA128" s="507">
        <f t="shared" si="427"/>
        <v>0</v>
      </c>
      <c r="BB128" s="507">
        <f t="shared" si="427"/>
        <v>-0.11</v>
      </c>
      <c r="BC128" s="507">
        <f t="shared" si="427"/>
        <v>6.21</v>
      </c>
      <c r="BD128" s="507">
        <f t="shared" si="427"/>
        <v>0</v>
      </c>
      <c r="BE128" s="507">
        <f t="shared" si="427"/>
        <v>0</v>
      </c>
      <c r="BF128" s="507">
        <f t="shared" si="427"/>
        <v>0</v>
      </c>
      <c r="BG128" s="507">
        <f t="shared" si="427"/>
        <v>0</v>
      </c>
      <c r="BH128" s="507">
        <f t="shared" si="427"/>
        <v>0</v>
      </c>
      <c r="BI128" s="507">
        <f t="shared" si="427"/>
        <v>0</v>
      </c>
      <c r="BJ128" s="507">
        <f t="shared" si="427"/>
        <v>0</v>
      </c>
      <c r="BK128" s="507">
        <f t="shared" si="427"/>
        <v>6.21</v>
      </c>
      <c r="BL128" s="507">
        <f t="shared" si="427"/>
        <v>-0.11</v>
      </c>
      <c r="BM128" s="508">
        <f t="shared" si="427"/>
        <v>6.1</v>
      </c>
      <c r="BN128" s="503">
        <f t="shared" si="427"/>
        <v>70503025</v>
      </c>
      <c r="BO128" s="504">
        <f t="shared" si="427"/>
        <v>52061130</v>
      </c>
      <c r="BP128" s="504">
        <f t="shared" si="427"/>
        <v>48213112</v>
      </c>
      <c r="BQ128" s="504">
        <f t="shared" si="427"/>
        <v>3848018</v>
      </c>
      <c r="BR128" s="504">
        <f t="shared" si="427"/>
        <v>80640</v>
      </c>
      <c r="BS128" s="504">
        <f t="shared" si="427"/>
        <v>20480</v>
      </c>
      <c r="BT128" s="504">
        <f t="shared" si="427"/>
        <v>60160</v>
      </c>
      <c r="BU128" s="504">
        <f t="shared" si="427"/>
        <v>17623917</v>
      </c>
      <c r="BV128" s="504">
        <f t="shared" ref="BV128:CF128" si="428">SUMIF($F$12:$F$464,"=3111",BV$12:BV$464)</f>
        <v>520614</v>
      </c>
      <c r="BW128" s="504">
        <f t="shared" si="428"/>
        <v>216724</v>
      </c>
      <c r="BX128" s="507">
        <f t="shared" si="428"/>
        <v>101.3931</v>
      </c>
      <c r="BY128" s="507">
        <f t="shared" si="428"/>
        <v>87.247100000000003</v>
      </c>
      <c r="BZ128" s="508">
        <f t="shared" si="428"/>
        <v>14.146000000000001</v>
      </c>
      <c r="CA128" s="503">
        <f t="shared" si="428"/>
        <v>0</v>
      </c>
      <c r="CB128" s="504">
        <f t="shared" si="428"/>
        <v>0</v>
      </c>
      <c r="CC128" s="504">
        <f t="shared" si="428"/>
        <v>0</v>
      </c>
      <c r="CD128" s="504">
        <f t="shared" si="428"/>
        <v>0</v>
      </c>
      <c r="CE128" s="504">
        <f t="shared" si="428"/>
        <v>0</v>
      </c>
      <c r="CF128" s="510">
        <f t="shared" si="428"/>
        <v>0</v>
      </c>
    </row>
    <row r="129" spans="4:84" s="89" customFormat="1" ht="12.95" customHeight="1" x14ac:dyDescent="0.25">
      <c r="D129" s="313"/>
      <c r="E129" s="314"/>
      <c r="F129" s="313"/>
      <c r="G129" s="315"/>
      <c r="H129" s="19">
        <v>3113</v>
      </c>
      <c r="I129" s="167">
        <f t="shared" ref="I129:BU129" si="429">SUMIF($F$12:$F$464,"=3113",I$12:I$464)</f>
        <v>151301305</v>
      </c>
      <c r="J129" s="16">
        <f t="shared" si="429"/>
        <v>110748912</v>
      </c>
      <c r="K129" s="16">
        <f t="shared" si="429"/>
        <v>102781469</v>
      </c>
      <c r="L129" s="16">
        <f t="shared" si="429"/>
        <v>7967443</v>
      </c>
      <c r="M129" s="16">
        <f t="shared" si="429"/>
        <v>0</v>
      </c>
      <c r="N129" s="16">
        <f t="shared" si="429"/>
        <v>0</v>
      </c>
      <c r="O129" s="16">
        <f t="shared" si="429"/>
        <v>0</v>
      </c>
      <c r="P129" s="16">
        <f t="shared" si="429"/>
        <v>37433131</v>
      </c>
      <c r="Q129" s="16">
        <f t="shared" si="429"/>
        <v>1107489</v>
      </c>
      <c r="R129" s="16">
        <f t="shared" si="429"/>
        <v>2011773</v>
      </c>
      <c r="S129" s="13">
        <f t="shared" si="429"/>
        <v>169.96610000000001</v>
      </c>
      <c r="T129" s="13">
        <f t="shared" si="429"/>
        <v>146.1361</v>
      </c>
      <c r="U129" s="713">
        <f t="shared" si="429"/>
        <v>23.83</v>
      </c>
      <c r="V129" s="168">
        <f t="shared" si="429"/>
        <v>-226560</v>
      </c>
      <c r="W129" s="16">
        <f t="shared" si="429"/>
        <v>-117120</v>
      </c>
      <c r="X129" s="16">
        <f t="shared" si="429"/>
        <v>11874633</v>
      </c>
      <c r="Y129" s="16">
        <f t="shared" si="429"/>
        <v>0</v>
      </c>
      <c r="Z129" s="16">
        <f t="shared" si="429"/>
        <v>0</v>
      </c>
      <c r="AA129" s="16">
        <f t="shared" si="429"/>
        <v>0</v>
      </c>
      <c r="AB129" s="16">
        <f t="shared" si="429"/>
        <v>338400</v>
      </c>
      <c r="AC129" s="16">
        <f t="shared" si="429"/>
        <v>0</v>
      </c>
      <c r="AD129" s="16">
        <f t="shared" si="429"/>
        <v>0</v>
      </c>
      <c r="AE129" s="16">
        <f t="shared" si="429"/>
        <v>0</v>
      </c>
      <c r="AF129" s="16">
        <f t="shared" si="429"/>
        <v>11986473</v>
      </c>
      <c r="AG129" s="16">
        <f t="shared" si="429"/>
        <v>-117120</v>
      </c>
      <c r="AH129" s="16">
        <f t="shared" si="429"/>
        <v>11869353</v>
      </c>
      <c r="AI129" s="16">
        <f t="shared" si="429"/>
        <v>226560</v>
      </c>
      <c r="AJ129" s="16">
        <f t="shared" si="429"/>
        <v>117120</v>
      </c>
      <c r="AK129" s="16">
        <f t="shared" si="429"/>
        <v>0</v>
      </c>
      <c r="AL129" s="16">
        <f t="shared" si="429"/>
        <v>105920</v>
      </c>
      <c r="AM129" s="16">
        <f t="shared" si="429"/>
        <v>0</v>
      </c>
      <c r="AN129" s="16">
        <f t="shared" si="429"/>
        <v>0</v>
      </c>
      <c r="AO129" s="16">
        <f t="shared" si="429"/>
        <v>332480</v>
      </c>
      <c r="AP129" s="16">
        <f t="shared" si="429"/>
        <v>117120</v>
      </c>
      <c r="AQ129" s="16">
        <f t="shared" si="429"/>
        <v>449600</v>
      </c>
      <c r="AR129" s="16">
        <f t="shared" si="429"/>
        <v>12318953</v>
      </c>
      <c r="AS129" s="16">
        <f t="shared" si="429"/>
        <v>0</v>
      </c>
      <c r="AT129" s="16">
        <f t="shared" si="429"/>
        <v>12318953</v>
      </c>
      <c r="AU129" s="16">
        <f t="shared" si="429"/>
        <v>4163806</v>
      </c>
      <c r="AV129" s="16">
        <f t="shared" si="429"/>
        <v>118693</v>
      </c>
      <c r="AW129" s="16">
        <f t="shared" si="429"/>
        <v>2500</v>
      </c>
      <c r="AX129" s="16">
        <f t="shared" si="429"/>
        <v>0</v>
      </c>
      <c r="AY129" s="16">
        <f t="shared" si="429"/>
        <v>2500</v>
      </c>
      <c r="AZ129" s="16">
        <f t="shared" si="429"/>
        <v>16603952</v>
      </c>
      <c r="BA129" s="13">
        <f t="shared" si="429"/>
        <v>-0.23</v>
      </c>
      <c r="BB129" s="13">
        <f t="shared" si="429"/>
        <v>-0.29000000000000004</v>
      </c>
      <c r="BC129" s="13">
        <f t="shared" si="429"/>
        <v>33.179999999999993</v>
      </c>
      <c r="BD129" s="13">
        <f t="shared" si="429"/>
        <v>0.60000000000000009</v>
      </c>
      <c r="BE129" s="13">
        <f t="shared" si="429"/>
        <v>0</v>
      </c>
      <c r="BF129" s="13">
        <f t="shared" si="429"/>
        <v>0</v>
      </c>
      <c r="BG129" s="13">
        <f t="shared" si="429"/>
        <v>0</v>
      </c>
      <c r="BH129" s="13">
        <f t="shared" si="429"/>
        <v>0</v>
      </c>
      <c r="BI129" s="13">
        <f t="shared" si="429"/>
        <v>0</v>
      </c>
      <c r="BJ129" s="13">
        <f t="shared" si="429"/>
        <v>0</v>
      </c>
      <c r="BK129" s="13">
        <f t="shared" si="429"/>
        <v>33.549999999999997</v>
      </c>
      <c r="BL129" s="13">
        <f t="shared" si="429"/>
        <v>-0.29000000000000004</v>
      </c>
      <c r="BM129" s="169">
        <f t="shared" si="429"/>
        <v>33.26</v>
      </c>
      <c r="BN129" s="167">
        <f t="shared" si="429"/>
        <v>167905257</v>
      </c>
      <c r="BO129" s="16">
        <f t="shared" si="429"/>
        <v>122618265</v>
      </c>
      <c r="BP129" s="16">
        <f t="shared" si="429"/>
        <v>114767942</v>
      </c>
      <c r="BQ129" s="16">
        <f t="shared" si="429"/>
        <v>7850323</v>
      </c>
      <c r="BR129" s="16">
        <f t="shared" si="429"/>
        <v>449600</v>
      </c>
      <c r="BS129" s="16">
        <f t="shared" si="429"/>
        <v>332480</v>
      </c>
      <c r="BT129" s="16">
        <f t="shared" si="429"/>
        <v>117120</v>
      </c>
      <c r="BU129" s="16">
        <f t="shared" si="429"/>
        <v>41596937</v>
      </c>
      <c r="BV129" s="16">
        <f t="shared" ref="BV129:CF129" si="430">SUMIF($F$12:$F$464,"=3113",BV$12:BV$464)</f>
        <v>1226182</v>
      </c>
      <c r="BW129" s="16">
        <f t="shared" si="430"/>
        <v>2014273</v>
      </c>
      <c r="BX129" s="13">
        <f t="shared" si="430"/>
        <v>203.22610000000003</v>
      </c>
      <c r="BY129" s="13">
        <f t="shared" si="430"/>
        <v>179.68610000000001</v>
      </c>
      <c r="BZ129" s="169">
        <f t="shared" si="430"/>
        <v>23.540000000000003</v>
      </c>
      <c r="CA129" s="167">
        <f t="shared" si="430"/>
        <v>456163</v>
      </c>
      <c r="CB129" s="16">
        <f t="shared" si="430"/>
        <v>338400</v>
      </c>
      <c r="CC129" s="16">
        <f t="shared" si="430"/>
        <v>0</v>
      </c>
      <c r="CD129" s="16">
        <f t="shared" si="430"/>
        <v>114379</v>
      </c>
      <c r="CE129" s="16">
        <f t="shared" si="430"/>
        <v>3384</v>
      </c>
      <c r="CF129" s="17">
        <f t="shared" si="430"/>
        <v>0.60000000000000009</v>
      </c>
    </row>
    <row r="130" spans="4:84" s="89" customFormat="1" ht="12.95" customHeight="1" x14ac:dyDescent="0.25">
      <c r="D130" s="313"/>
      <c r="E130" s="314"/>
      <c r="F130" s="313"/>
      <c r="G130" s="315"/>
      <c r="H130" s="19">
        <v>3114</v>
      </c>
      <c r="I130" s="167">
        <f t="shared" ref="I130:BU130" si="431">SUMIF($F$12:$F$464,"=3114",I$12:I$464)</f>
        <v>8980912</v>
      </c>
      <c r="J130" s="16">
        <f t="shared" si="431"/>
        <v>6614840</v>
      </c>
      <c r="K130" s="16">
        <f t="shared" si="431"/>
        <v>6114724</v>
      </c>
      <c r="L130" s="16">
        <f t="shared" si="431"/>
        <v>500116</v>
      </c>
      <c r="M130" s="16">
        <f t="shared" si="431"/>
        <v>0</v>
      </c>
      <c r="N130" s="16">
        <f t="shared" si="431"/>
        <v>0</v>
      </c>
      <c r="O130" s="16">
        <f t="shared" si="431"/>
        <v>0</v>
      </c>
      <c r="P130" s="16">
        <f t="shared" si="431"/>
        <v>2235816</v>
      </c>
      <c r="Q130" s="16">
        <f t="shared" si="431"/>
        <v>66149</v>
      </c>
      <c r="R130" s="16">
        <f t="shared" si="431"/>
        <v>64107</v>
      </c>
      <c r="S130" s="13">
        <f t="shared" si="431"/>
        <v>10.0771</v>
      </c>
      <c r="T130" s="13">
        <f t="shared" si="431"/>
        <v>8.6438000000000006</v>
      </c>
      <c r="U130" s="713">
        <f t="shared" si="431"/>
        <v>1.4333</v>
      </c>
      <c r="V130" s="168">
        <f t="shared" si="431"/>
        <v>-44800</v>
      </c>
      <c r="W130" s="16">
        <f t="shared" si="431"/>
        <v>-12800</v>
      </c>
      <c r="X130" s="16">
        <f t="shared" si="431"/>
        <v>0</v>
      </c>
      <c r="Y130" s="16">
        <f t="shared" si="431"/>
        <v>0</v>
      </c>
      <c r="Z130" s="16">
        <f t="shared" si="431"/>
        <v>0</v>
      </c>
      <c r="AA130" s="16">
        <f t="shared" si="431"/>
        <v>0</v>
      </c>
      <c r="AB130" s="16">
        <f t="shared" si="431"/>
        <v>0</v>
      </c>
      <c r="AC130" s="16">
        <f t="shared" si="431"/>
        <v>0</v>
      </c>
      <c r="AD130" s="16">
        <f t="shared" si="431"/>
        <v>0</v>
      </c>
      <c r="AE130" s="16">
        <f t="shared" si="431"/>
        <v>0</v>
      </c>
      <c r="AF130" s="16">
        <f t="shared" si="431"/>
        <v>-44800</v>
      </c>
      <c r="AG130" s="16">
        <f t="shared" si="431"/>
        <v>-12800</v>
      </c>
      <c r="AH130" s="16">
        <f t="shared" si="431"/>
        <v>-57600</v>
      </c>
      <c r="AI130" s="16">
        <f t="shared" si="431"/>
        <v>44800</v>
      </c>
      <c r="AJ130" s="16">
        <f t="shared" si="431"/>
        <v>12800</v>
      </c>
      <c r="AK130" s="16">
        <f t="shared" si="431"/>
        <v>0</v>
      </c>
      <c r="AL130" s="16">
        <f t="shared" si="431"/>
        <v>0</v>
      </c>
      <c r="AM130" s="16">
        <f t="shared" si="431"/>
        <v>0</v>
      </c>
      <c r="AN130" s="16">
        <f t="shared" si="431"/>
        <v>0</v>
      </c>
      <c r="AO130" s="16">
        <f t="shared" si="431"/>
        <v>44800</v>
      </c>
      <c r="AP130" s="16">
        <f t="shared" si="431"/>
        <v>12800</v>
      </c>
      <c r="AQ130" s="16">
        <f t="shared" si="431"/>
        <v>57600</v>
      </c>
      <c r="AR130" s="16">
        <f t="shared" si="431"/>
        <v>0</v>
      </c>
      <c r="AS130" s="16">
        <f t="shared" si="431"/>
        <v>0</v>
      </c>
      <c r="AT130" s="16">
        <f t="shared" si="431"/>
        <v>0</v>
      </c>
      <c r="AU130" s="16">
        <f t="shared" si="431"/>
        <v>0</v>
      </c>
      <c r="AV130" s="16">
        <f t="shared" si="431"/>
        <v>-576</v>
      </c>
      <c r="AW130" s="16">
        <f t="shared" si="431"/>
        <v>0</v>
      </c>
      <c r="AX130" s="16">
        <f t="shared" si="431"/>
        <v>0</v>
      </c>
      <c r="AY130" s="16">
        <f t="shared" si="431"/>
        <v>0</v>
      </c>
      <c r="AZ130" s="16">
        <f t="shared" si="431"/>
        <v>-576</v>
      </c>
      <c r="BA130" s="13">
        <f t="shared" si="431"/>
        <v>-0.06</v>
      </c>
      <c r="BB130" s="13">
        <f t="shared" si="431"/>
        <v>-0.04</v>
      </c>
      <c r="BC130" s="13">
        <f t="shared" si="431"/>
        <v>0</v>
      </c>
      <c r="BD130" s="13">
        <f t="shared" si="431"/>
        <v>0</v>
      </c>
      <c r="BE130" s="13">
        <f t="shared" si="431"/>
        <v>0</v>
      </c>
      <c r="BF130" s="13">
        <f t="shared" si="431"/>
        <v>0</v>
      </c>
      <c r="BG130" s="13">
        <f t="shared" si="431"/>
        <v>0</v>
      </c>
      <c r="BH130" s="13">
        <f t="shared" si="431"/>
        <v>0</v>
      </c>
      <c r="BI130" s="13">
        <f t="shared" si="431"/>
        <v>0</v>
      </c>
      <c r="BJ130" s="13">
        <f t="shared" si="431"/>
        <v>0</v>
      </c>
      <c r="BK130" s="13">
        <f t="shared" si="431"/>
        <v>-0.06</v>
      </c>
      <c r="BL130" s="13">
        <f t="shared" si="431"/>
        <v>-0.04</v>
      </c>
      <c r="BM130" s="169">
        <f t="shared" si="431"/>
        <v>-0.1</v>
      </c>
      <c r="BN130" s="167">
        <f t="shared" si="431"/>
        <v>8980336</v>
      </c>
      <c r="BO130" s="16">
        <f t="shared" si="431"/>
        <v>6557240</v>
      </c>
      <c r="BP130" s="16">
        <f t="shared" si="431"/>
        <v>6069924</v>
      </c>
      <c r="BQ130" s="16">
        <f t="shared" si="431"/>
        <v>487316</v>
      </c>
      <c r="BR130" s="16">
        <f t="shared" si="431"/>
        <v>57600</v>
      </c>
      <c r="BS130" s="16">
        <f t="shared" si="431"/>
        <v>44800</v>
      </c>
      <c r="BT130" s="16">
        <f t="shared" si="431"/>
        <v>12800</v>
      </c>
      <c r="BU130" s="16">
        <f t="shared" si="431"/>
        <v>2235816</v>
      </c>
      <c r="BV130" s="16">
        <f t="shared" ref="BV130:CF130" si="432">SUMIF($F$12:$F$464,"=3114",BV$12:BV$464)</f>
        <v>65573</v>
      </c>
      <c r="BW130" s="16">
        <f t="shared" si="432"/>
        <v>64107</v>
      </c>
      <c r="BX130" s="13">
        <f t="shared" si="432"/>
        <v>9.9771000000000001</v>
      </c>
      <c r="BY130" s="13">
        <f t="shared" si="432"/>
        <v>8.5838000000000001</v>
      </c>
      <c r="BZ130" s="169">
        <f t="shared" si="432"/>
        <v>1.3933</v>
      </c>
      <c r="CA130" s="167">
        <f t="shared" si="432"/>
        <v>0</v>
      </c>
      <c r="CB130" s="16">
        <f t="shared" si="432"/>
        <v>0</v>
      </c>
      <c r="CC130" s="16">
        <f t="shared" si="432"/>
        <v>0</v>
      </c>
      <c r="CD130" s="16">
        <f t="shared" si="432"/>
        <v>0</v>
      </c>
      <c r="CE130" s="16">
        <f t="shared" si="432"/>
        <v>0</v>
      </c>
      <c r="CF130" s="17">
        <f t="shared" si="432"/>
        <v>0</v>
      </c>
    </row>
    <row r="131" spans="4:84" s="89" customFormat="1" ht="12.95" customHeight="1" x14ac:dyDescent="0.25">
      <c r="D131" s="313"/>
      <c r="E131" s="314"/>
      <c r="F131" s="313"/>
      <c r="G131" s="315"/>
      <c r="H131" s="19">
        <v>3117</v>
      </c>
      <c r="I131" s="167">
        <f t="shared" ref="I131:BU131" si="433">SUMIF($F$12:$F$464,"=3117",I$12:I$464)</f>
        <v>27575853</v>
      </c>
      <c r="J131" s="16">
        <f t="shared" si="433"/>
        <v>20166157</v>
      </c>
      <c r="K131" s="16">
        <f t="shared" si="433"/>
        <v>18016606</v>
      </c>
      <c r="L131" s="16">
        <f t="shared" si="433"/>
        <v>2149551</v>
      </c>
      <c r="M131" s="16">
        <f t="shared" si="433"/>
        <v>0</v>
      </c>
      <c r="N131" s="16">
        <f t="shared" si="433"/>
        <v>0</v>
      </c>
      <c r="O131" s="16">
        <f t="shared" si="433"/>
        <v>0</v>
      </c>
      <c r="P131" s="16">
        <f t="shared" si="433"/>
        <v>6816161</v>
      </c>
      <c r="Q131" s="16">
        <f t="shared" si="433"/>
        <v>201661</v>
      </c>
      <c r="R131" s="16">
        <f t="shared" si="433"/>
        <v>391874</v>
      </c>
      <c r="S131" s="13">
        <f t="shared" si="433"/>
        <v>33.483499999999999</v>
      </c>
      <c r="T131" s="13">
        <f t="shared" si="433"/>
        <v>27.868700000000004</v>
      </c>
      <c r="U131" s="713">
        <f t="shared" si="433"/>
        <v>5.6147999999999998</v>
      </c>
      <c r="V131" s="168">
        <f t="shared" si="433"/>
        <v>-12800</v>
      </c>
      <c r="W131" s="16">
        <f t="shared" si="433"/>
        <v>-145280</v>
      </c>
      <c r="X131" s="16">
        <f t="shared" si="433"/>
        <v>4531970</v>
      </c>
      <c r="Y131" s="16">
        <f t="shared" si="433"/>
        <v>0</v>
      </c>
      <c r="Z131" s="16">
        <f t="shared" si="433"/>
        <v>0</v>
      </c>
      <c r="AA131" s="16">
        <f t="shared" si="433"/>
        <v>0</v>
      </c>
      <c r="AB131" s="16">
        <f t="shared" si="433"/>
        <v>0</v>
      </c>
      <c r="AC131" s="16">
        <f t="shared" si="433"/>
        <v>0</v>
      </c>
      <c r="AD131" s="16">
        <f t="shared" si="433"/>
        <v>0</v>
      </c>
      <c r="AE131" s="16">
        <f t="shared" si="433"/>
        <v>0</v>
      </c>
      <c r="AF131" s="16">
        <f t="shared" si="433"/>
        <v>4519170</v>
      </c>
      <c r="AG131" s="16">
        <f t="shared" si="433"/>
        <v>-145280</v>
      </c>
      <c r="AH131" s="16">
        <f t="shared" si="433"/>
        <v>4373890</v>
      </c>
      <c r="AI131" s="16">
        <f t="shared" si="433"/>
        <v>12800</v>
      </c>
      <c r="AJ131" s="16">
        <f t="shared" si="433"/>
        <v>145280</v>
      </c>
      <c r="AK131" s="16">
        <f t="shared" si="433"/>
        <v>0</v>
      </c>
      <c r="AL131" s="16">
        <f t="shared" si="433"/>
        <v>0</v>
      </c>
      <c r="AM131" s="16">
        <f t="shared" si="433"/>
        <v>0</v>
      </c>
      <c r="AN131" s="16">
        <f t="shared" si="433"/>
        <v>0</v>
      </c>
      <c r="AO131" s="16">
        <f t="shared" si="433"/>
        <v>12800</v>
      </c>
      <c r="AP131" s="16">
        <f t="shared" si="433"/>
        <v>145280</v>
      </c>
      <c r="AQ131" s="16">
        <f t="shared" si="433"/>
        <v>158080</v>
      </c>
      <c r="AR131" s="16">
        <f t="shared" si="433"/>
        <v>4531970</v>
      </c>
      <c r="AS131" s="16">
        <f t="shared" si="433"/>
        <v>0</v>
      </c>
      <c r="AT131" s="16">
        <f t="shared" si="433"/>
        <v>4531970</v>
      </c>
      <c r="AU131" s="16">
        <f t="shared" si="433"/>
        <v>1531808</v>
      </c>
      <c r="AV131" s="16">
        <f t="shared" si="433"/>
        <v>43739</v>
      </c>
      <c r="AW131" s="16">
        <f t="shared" si="433"/>
        <v>13000</v>
      </c>
      <c r="AX131" s="16">
        <f t="shared" si="433"/>
        <v>0</v>
      </c>
      <c r="AY131" s="16">
        <f t="shared" si="433"/>
        <v>13000</v>
      </c>
      <c r="AZ131" s="16">
        <f t="shared" si="433"/>
        <v>6120517</v>
      </c>
      <c r="BA131" s="13">
        <f t="shared" si="433"/>
        <v>0</v>
      </c>
      <c r="BB131" s="13">
        <f t="shared" si="433"/>
        <v>-0.42000000000000004</v>
      </c>
      <c r="BC131" s="13">
        <f t="shared" si="433"/>
        <v>12.309999999999999</v>
      </c>
      <c r="BD131" s="13">
        <f t="shared" si="433"/>
        <v>0</v>
      </c>
      <c r="BE131" s="13">
        <f t="shared" si="433"/>
        <v>0</v>
      </c>
      <c r="BF131" s="13">
        <f t="shared" si="433"/>
        <v>0</v>
      </c>
      <c r="BG131" s="13">
        <f t="shared" si="433"/>
        <v>0</v>
      </c>
      <c r="BH131" s="13">
        <f t="shared" si="433"/>
        <v>0</v>
      </c>
      <c r="BI131" s="13">
        <f t="shared" si="433"/>
        <v>0</v>
      </c>
      <c r="BJ131" s="13">
        <f t="shared" si="433"/>
        <v>0</v>
      </c>
      <c r="BK131" s="13">
        <f t="shared" si="433"/>
        <v>12.309999999999999</v>
      </c>
      <c r="BL131" s="13">
        <f t="shared" si="433"/>
        <v>-0.42000000000000004</v>
      </c>
      <c r="BM131" s="169">
        <f t="shared" si="433"/>
        <v>11.89</v>
      </c>
      <c r="BN131" s="167">
        <f t="shared" si="433"/>
        <v>33696370</v>
      </c>
      <c r="BO131" s="16">
        <f t="shared" si="433"/>
        <v>24540047</v>
      </c>
      <c r="BP131" s="16">
        <f t="shared" si="433"/>
        <v>22535776</v>
      </c>
      <c r="BQ131" s="16">
        <f t="shared" si="433"/>
        <v>2004271</v>
      </c>
      <c r="BR131" s="16">
        <f t="shared" si="433"/>
        <v>158080</v>
      </c>
      <c r="BS131" s="16">
        <f t="shared" si="433"/>
        <v>12800</v>
      </c>
      <c r="BT131" s="16">
        <f t="shared" si="433"/>
        <v>145280</v>
      </c>
      <c r="BU131" s="16">
        <f t="shared" si="433"/>
        <v>8347969</v>
      </c>
      <c r="BV131" s="16">
        <f t="shared" ref="BV131:CF131" si="434">SUMIF($F$12:$F$464,"=3117",BV$12:BV$464)</f>
        <v>245400</v>
      </c>
      <c r="BW131" s="16">
        <f t="shared" si="434"/>
        <v>404874</v>
      </c>
      <c r="BX131" s="13">
        <f t="shared" si="434"/>
        <v>45.3735</v>
      </c>
      <c r="BY131" s="13">
        <f t="shared" si="434"/>
        <v>40.178699999999999</v>
      </c>
      <c r="BZ131" s="169">
        <f t="shared" si="434"/>
        <v>5.1947999999999999</v>
      </c>
      <c r="CA131" s="167">
        <f t="shared" si="434"/>
        <v>0</v>
      </c>
      <c r="CB131" s="16">
        <f t="shared" si="434"/>
        <v>0</v>
      </c>
      <c r="CC131" s="16">
        <f t="shared" si="434"/>
        <v>0</v>
      </c>
      <c r="CD131" s="16">
        <f t="shared" si="434"/>
        <v>0</v>
      </c>
      <c r="CE131" s="16">
        <f t="shared" si="434"/>
        <v>0</v>
      </c>
      <c r="CF131" s="17">
        <f t="shared" si="434"/>
        <v>0</v>
      </c>
    </row>
    <row r="132" spans="4:84" s="89" customFormat="1" ht="12.95" customHeight="1" x14ac:dyDescent="0.25">
      <c r="D132" s="313"/>
      <c r="E132" s="314"/>
      <c r="F132" s="313"/>
      <c r="G132" s="315"/>
      <c r="H132" s="19">
        <v>3122</v>
      </c>
      <c r="I132" s="167">
        <f t="shared" ref="I132:BU132" si="435">SUMIF($F$12:$F$464,"=3122",I$12:I$464)</f>
        <v>0</v>
      </c>
      <c r="J132" s="16">
        <f t="shared" si="435"/>
        <v>0</v>
      </c>
      <c r="K132" s="16">
        <f t="shared" si="435"/>
        <v>0</v>
      </c>
      <c r="L132" s="16">
        <f t="shared" si="435"/>
        <v>0</v>
      </c>
      <c r="M132" s="16">
        <f t="shared" si="435"/>
        <v>0</v>
      </c>
      <c r="N132" s="16">
        <f t="shared" si="435"/>
        <v>0</v>
      </c>
      <c r="O132" s="16">
        <f t="shared" si="435"/>
        <v>0</v>
      </c>
      <c r="P132" s="16">
        <f t="shared" si="435"/>
        <v>0</v>
      </c>
      <c r="Q132" s="16">
        <f t="shared" si="435"/>
        <v>0</v>
      </c>
      <c r="R132" s="16">
        <f t="shared" si="435"/>
        <v>0</v>
      </c>
      <c r="S132" s="13">
        <f t="shared" si="435"/>
        <v>0</v>
      </c>
      <c r="T132" s="13">
        <f t="shared" si="435"/>
        <v>0</v>
      </c>
      <c r="U132" s="713">
        <f t="shared" si="435"/>
        <v>0</v>
      </c>
      <c r="V132" s="168">
        <f t="shared" si="435"/>
        <v>0</v>
      </c>
      <c r="W132" s="16">
        <f t="shared" si="435"/>
        <v>0</v>
      </c>
      <c r="X132" s="16">
        <f t="shared" si="435"/>
        <v>0</v>
      </c>
      <c r="Y132" s="16">
        <f t="shared" si="435"/>
        <v>0</v>
      </c>
      <c r="Z132" s="16">
        <f t="shared" si="435"/>
        <v>0</v>
      </c>
      <c r="AA132" s="16">
        <f t="shared" si="435"/>
        <v>0</v>
      </c>
      <c r="AB132" s="16">
        <f t="shared" si="435"/>
        <v>0</v>
      </c>
      <c r="AC132" s="16">
        <f t="shared" si="435"/>
        <v>0</v>
      </c>
      <c r="AD132" s="16">
        <f t="shared" si="435"/>
        <v>0</v>
      </c>
      <c r="AE132" s="16">
        <f t="shared" si="435"/>
        <v>0</v>
      </c>
      <c r="AF132" s="16">
        <f t="shared" si="435"/>
        <v>0</v>
      </c>
      <c r="AG132" s="16">
        <f t="shared" si="435"/>
        <v>0</v>
      </c>
      <c r="AH132" s="16">
        <f t="shared" si="435"/>
        <v>0</v>
      </c>
      <c r="AI132" s="16">
        <f t="shared" si="435"/>
        <v>0</v>
      </c>
      <c r="AJ132" s="16">
        <f t="shared" si="435"/>
        <v>0</v>
      </c>
      <c r="AK132" s="16">
        <f t="shared" si="435"/>
        <v>0</v>
      </c>
      <c r="AL132" s="16">
        <f t="shared" si="435"/>
        <v>0</v>
      </c>
      <c r="AM132" s="16">
        <f t="shared" si="435"/>
        <v>0</v>
      </c>
      <c r="AN132" s="16">
        <f t="shared" si="435"/>
        <v>0</v>
      </c>
      <c r="AO132" s="16">
        <f t="shared" si="435"/>
        <v>0</v>
      </c>
      <c r="AP132" s="16">
        <f t="shared" si="435"/>
        <v>0</v>
      </c>
      <c r="AQ132" s="16">
        <f t="shared" si="435"/>
        <v>0</v>
      </c>
      <c r="AR132" s="16">
        <f t="shared" si="435"/>
        <v>0</v>
      </c>
      <c r="AS132" s="16">
        <f t="shared" si="435"/>
        <v>0</v>
      </c>
      <c r="AT132" s="16">
        <f t="shared" si="435"/>
        <v>0</v>
      </c>
      <c r="AU132" s="16">
        <f t="shared" si="435"/>
        <v>0</v>
      </c>
      <c r="AV132" s="16">
        <f t="shared" si="435"/>
        <v>0</v>
      </c>
      <c r="AW132" s="16">
        <f t="shared" si="435"/>
        <v>0</v>
      </c>
      <c r="AX132" s="16">
        <f t="shared" si="435"/>
        <v>0</v>
      </c>
      <c r="AY132" s="16">
        <f t="shared" si="435"/>
        <v>0</v>
      </c>
      <c r="AZ132" s="16">
        <f t="shared" si="435"/>
        <v>0</v>
      </c>
      <c r="BA132" s="13">
        <f t="shared" si="435"/>
        <v>0</v>
      </c>
      <c r="BB132" s="13">
        <f t="shared" si="435"/>
        <v>0</v>
      </c>
      <c r="BC132" s="13">
        <f t="shared" si="435"/>
        <v>0</v>
      </c>
      <c r="BD132" s="13">
        <f t="shared" si="435"/>
        <v>0</v>
      </c>
      <c r="BE132" s="13">
        <f t="shared" si="435"/>
        <v>0</v>
      </c>
      <c r="BF132" s="13">
        <f t="shared" si="435"/>
        <v>0</v>
      </c>
      <c r="BG132" s="13">
        <f t="shared" si="435"/>
        <v>0</v>
      </c>
      <c r="BH132" s="13">
        <f t="shared" si="435"/>
        <v>0</v>
      </c>
      <c r="BI132" s="13">
        <f t="shared" si="435"/>
        <v>0</v>
      </c>
      <c r="BJ132" s="13">
        <f t="shared" si="435"/>
        <v>0</v>
      </c>
      <c r="BK132" s="13">
        <f t="shared" si="435"/>
        <v>0</v>
      </c>
      <c r="BL132" s="13">
        <f t="shared" si="435"/>
        <v>0</v>
      </c>
      <c r="BM132" s="169">
        <f t="shared" si="435"/>
        <v>0</v>
      </c>
      <c r="BN132" s="167">
        <f t="shared" si="435"/>
        <v>0</v>
      </c>
      <c r="BO132" s="16">
        <f t="shared" si="435"/>
        <v>0</v>
      </c>
      <c r="BP132" s="16">
        <f t="shared" si="435"/>
        <v>0</v>
      </c>
      <c r="BQ132" s="16">
        <f t="shared" si="435"/>
        <v>0</v>
      </c>
      <c r="BR132" s="16">
        <f t="shared" si="435"/>
        <v>0</v>
      </c>
      <c r="BS132" s="16">
        <f t="shared" si="435"/>
        <v>0</v>
      </c>
      <c r="BT132" s="16">
        <f t="shared" si="435"/>
        <v>0</v>
      </c>
      <c r="BU132" s="16">
        <f t="shared" si="435"/>
        <v>0</v>
      </c>
      <c r="BV132" s="16">
        <f t="shared" ref="BV132:CF132" si="436">SUMIF($F$12:$F$464,"=3122",BV$12:BV$464)</f>
        <v>0</v>
      </c>
      <c r="BW132" s="16">
        <f t="shared" si="436"/>
        <v>0</v>
      </c>
      <c r="BX132" s="13">
        <f t="shared" si="436"/>
        <v>0</v>
      </c>
      <c r="BY132" s="13">
        <f t="shared" si="436"/>
        <v>0</v>
      </c>
      <c r="BZ132" s="169">
        <f t="shared" si="436"/>
        <v>0</v>
      </c>
      <c r="CA132" s="167">
        <f t="shared" si="436"/>
        <v>0</v>
      </c>
      <c r="CB132" s="16">
        <f t="shared" si="436"/>
        <v>0</v>
      </c>
      <c r="CC132" s="16">
        <f t="shared" si="436"/>
        <v>0</v>
      </c>
      <c r="CD132" s="16">
        <f t="shared" si="436"/>
        <v>0</v>
      </c>
      <c r="CE132" s="16">
        <f t="shared" si="436"/>
        <v>0</v>
      </c>
      <c r="CF132" s="17">
        <f t="shared" si="436"/>
        <v>0</v>
      </c>
    </row>
    <row r="133" spans="4:84" s="89" customFormat="1" ht="12.95" customHeight="1" x14ac:dyDescent="0.25">
      <c r="D133" s="313"/>
      <c r="E133" s="314"/>
      <c r="F133" s="313"/>
      <c r="G133" s="315"/>
      <c r="H133" s="19">
        <v>3124</v>
      </c>
      <c r="I133" s="167">
        <f t="shared" ref="I133:BU133" si="437">SUMIF($F$12:$F$464,"=3124",I$12:I$464)</f>
        <v>0</v>
      </c>
      <c r="J133" s="16">
        <f t="shared" si="437"/>
        <v>0</v>
      </c>
      <c r="K133" s="16">
        <f t="shared" si="437"/>
        <v>0</v>
      </c>
      <c r="L133" s="16">
        <f t="shared" si="437"/>
        <v>0</v>
      </c>
      <c r="M133" s="16">
        <f t="shared" si="437"/>
        <v>0</v>
      </c>
      <c r="N133" s="16">
        <f t="shared" si="437"/>
        <v>0</v>
      </c>
      <c r="O133" s="16">
        <f t="shared" si="437"/>
        <v>0</v>
      </c>
      <c r="P133" s="16">
        <f t="shared" si="437"/>
        <v>0</v>
      </c>
      <c r="Q133" s="16">
        <f t="shared" si="437"/>
        <v>0</v>
      </c>
      <c r="R133" s="16">
        <f t="shared" si="437"/>
        <v>0</v>
      </c>
      <c r="S133" s="13">
        <f t="shared" si="437"/>
        <v>0</v>
      </c>
      <c r="T133" s="13">
        <f t="shared" si="437"/>
        <v>0</v>
      </c>
      <c r="U133" s="713">
        <f t="shared" si="437"/>
        <v>0</v>
      </c>
      <c r="V133" s="168">
        <f t="shared" si="437"/>
        <v>0</v>
      </c>
      <c r="W133" s="16">
        <f t="shared" si="437"/>
        <v>0</v>
      </c>
      <c r="X133" s="16">
        <f t="shared" si="437"/>
        <v>0</v>
      </c>
      <c r="Y133" s="16">
        <f t="shared" si="437"/>
        <v>0</v>
      </c>
      <c r="Z133" s="16">
        <f t="shared" si="437"/>
        <v>0</v>
      </c>
      <c r="AA133" s="16">
        <f t="shared" si="437"/>
        <v>0</v>
      </c>
      <c r="AB133" s="16">
        <f t="shared" si="437"/>
        <v>0</v>
      </c>
      <c r="AC133" s="16">
        <f t="shared" si="437"/>
        <v>0</v>
      </c>
      <c r="AD133" s="16">
        <f t="shared" si="437"/>
        <v>0</v>
      </c>
      <c r="AE133" s="16">
        <f t="shared" si="437"/>
        <v>0</v>
      </c>
      <c r="AF133" s="16">
        <f t="shared" si="437"/>
        <v>0</v>
      </c>
      <c r="AG133" s="16">
        <f t="shared" si="437"/>
        <v>0</v>
      </c>
      <c r="AH133" s="16">
        <f t="shared" si="437"/>
        <v>0</v>
      </c>
      <c r="AI133" s="16">
        <f t="shared" si="437"/>
        <v>0</v>
      </c>
      <c r="AJ133" s="16">
        <f t="shared" si="437"/>
        <v>0</v>
      </c>
      <c r="AK133" s="16">
        <f t="shared" si="437"/>
        <v>0</v>
      </c>
      <c r="AL133" s="16">
        <f t="shared" si="437"/>
        <v>0</v>
      </c>
      <c r="AM133" s="16">
        <f t="shared" si="437"/>
        <v>0</v>
      </c>
      <c r="AN133" s="16">
        <f t="shared" si="437"/>
        <v>0</v>
      </c>
      <c r="AO133" s="16">
        <f t="shared" si="437"/>
        <v>0</v>
      </c>
      <c r="AP133" s="16">
        <f t="shared" si="437"/>
        <v>0</v>
      </c>
      <c r="AQ133" s="16">
        <f t="shared" si="437"/>
        <v>0</v>
      </c>
      <c r="AR133" s="16">
        <f t="shared" si="437"/>
        <v>0</v>
      </c>
      <c r="AS133" s="16">
        <f t="shared" si="437"/>
        <v>0</v>
      </c>
      <c r="AT133" s="16">
        <f t="shared" si="437"/>
        <v>0</v>
      </c>
      <c r="AU133" s="16">
        <f t="shared" si="437"/>
        <v>0</v>
      </c>
      <c r="AV133" s="16">
        <f t="shared" si="437"/>
        <v>0</v>
      </c>
      <c r="AW133" s="16">
        <f t="shared" si="437"/>
        <v>0</v>
      </c>
      <c r="AX133" s="16">
        <f t="shared" si="437"/>
        <v>0</v>
      </c>
      <c r="AY133" s="16">
        <f t="shared" si="437"/>
        <v>0</v>
      </c>
      <c r="AZ133" s="16">
        <f t="shared" si="437"/>
        <v>0</v>
      </c>
      <c r="BA133" s="13">
        <f t="shared" si="437"/>
        <v>0</v>
      </c>
      <c r="BB133" s="13">
        <f t="shared" si="437"/>
        <v>0</v>
      </c>
      <c r="BC133" s="13">
        <f t="shared" si="437"/>
        <v>0</v>
      </c>
      <c r="BD133" s="13">
        <f t="shared" si="437"/>
        <v>0</v>
      </c>
      <c r="BE133" s="13">
        <f t="shared" si="437"/>
        <v>0</v>
      </c>
      <c r="BF133" s="13">
        <f t="shared" si="437"/>
        <v>0</v>
      </c>
      <c r="BG133" s="13">
        <f t="shared" si="437"/>
        <v>0</v>
      </c>
      <c r="BH133" s="13">
        <f t="shared" si="437"/>
        <v>0</v>
      </c>
      <c r="BI133" s="13">
        <f t="shared" si="437"/>
        <v>0</v>
      </c>
      <c r="BJ133" s="13">
        <f t="shared" si="437"/>
        <v>0</v>
      </c>
      <c r="BK133" s="13">
        <f t="shared" si="437"/>
        <v>0</v>
      </c>
      <c r="BL133" s="13">
        <f t="shared" si="437"/>
        <v>0</v>
      </c>
      <c r="BM133" s="169">
        <f t="shared" si="437"/>
        <v>0</v>
      </c>
      <c r="BN133" s="167">
        <f t="shared" si="437"/>
        <v>0</v>
      </c>
      <c r="BO133" s="16">
        <f t="shared" si="437"/>
        <v>0</v>
      </c>
      <c r="BP133" s="16">
        <f t="shared" si="437"/>
        <v>0</v>
      </c>
      <c r="BQ133" s="16">
        <f t="shared" si="437"/>
        <v>0</v>
      </c>
      <c r="BR133" s="16">
        <f t="shared" si="437"/>
        <v>0</v>
      </c>
      <c r="BS133" s="16">
        <f t="shared" si="437"/>
        <v>0</v>
      </c>
      <c r="BT133" s="16">
        <f t="shared" si="437"/>
        <v>0</v>
      </c>
      <c r="BU133" s="16">
        <f t="shared" si="437"/>
        <v>0</v>
      </c>
      <c r="BV133" s="16">
        <f t="shared" ref="BV133:CF133" si="438">SUMIF($F$12:$F$464,"=3124",BV$12:BV$464)</f>
        <v>0</v>
      </c>
      <c r="BW133" s="16">
        <f t="shared" si="438"/>
        <v>0</v>
      </c>
      <c r="BX133" s="13">
        <f t="shared" si="438"/>
        <v>0</v>
      </c>
      <c r="BY133" s="13">
        <f t="shared" si="438"/>
        <v>0</v>
      </c>
      <c r="BZ133" s="169">
        <f t="shared" si="438"/>
        <v>0</v>
      </c>
      <c r="CA133" s="167">
        <f t="shared" si="438"/>
        <v>0</v>
      </c>
      <c r="CB133" s="16">
        <f t="shared" si="438"/>
        <v>0</v>
      </c>
      <c r="CC133" s="16">
        <f t="shared" si="438"/>
        <v>0</v>
      </c>
      <c r="CD133" s="16">
        <f t="shared" si="438"/>
        <v>0</v>
      </c>
      <c r="CE133" s="16">
        <f t="shared" si="438"/>
        <v>0</v>
      </c>
      <c r="CF133" s="17">
        <f t="shared" si="438"/>
        <v>0</v>
      </c>
    </row>
    <row r="134" spans="4:84" s="89" customFormat="1" ht="12.95" customHeight="1" x14ac:dyDescent="0.25">
      <c r="D134" s="313"/>
      <c r="E134" s="314"/>
      <c r="F134" s="313"/>
      <c r="G134" s="315"/>
      <c r="H134" s="19">
        <v>3141</v>
      </c>
      <c r="I134" s="167">
        <f t="shared" ref="I134:BU134" si="439">SUMIF($F$12:$F$464,"=3141",I$12:I$464)</f>
        <v>17193390</v>
      </c>
      <c r="J134" s="16">
        <f t="shared" si="439"/>
        <v>12678941</v>
      </c>
      <c r="K134" s="16">
        <f t="shared" si="439"/>
        <v>0</v>
      </c>
      <c r="L134" s="16">
        <f t="shared" si="439"/>
        <v>12678941</v>
      </c>
      <c r="M134" s="16">
        <f t="shared" si="439"/>
        <v>0</v>
      </c>
      <c r="N134" s="16">
        <f t="shared" si="439"/>
        <v>0</v>
      </c>
      <c r="O134" s="16">
        <f t="shared" si="439"/>
        <v>0</v>
      </c>
      <c r="P134" s="16">
        <f t="shared" si="439"/>
        <v>4285482</v>
      </c>
      <c r="Q134" s="16">
        <f t="shared" si="439"/>
        <v>126790</v>
      </c>
      <c r="R134" s="16">
        <f t="shared" si="439"/>
        <v>102177</v>
      </c>
      <c r="S134" s="13">
        <f t="shared" si="439"/>
        <v>38.020100000000006</v>
      </c>
      <c r="T134" s="13">
        <f t="shared" si="439"/>
        <v>0</v>
      </c>
      <c r="U134" s="713">
        <f t="shared" si="439"/>
        <v>38.020100000000006</v>
      </c>
      <c r="V134" s="168">
        <f t="shared" si="439"/>
        <v>0</v>
      </c>
      <c r="W134" s="16">
        <f t="shared" si="439"/>
        <v>-41600</v>
      </c>
      <c r="X134" s="16">
        <f t="shared" si="439"/>
        <v>0</v>
      </c>
      <c r="Y134" s="16">
        <f t="shared" si="439"/>
        <v>0</v>
      </c>
      <c r="Z134" s="16">
        <f t="shared" si="439"/>
        <v>0</v>
      </c>
      <c r="AA134" s="16">
        <f t="shared" si="439"/>
        <v>0</v>
      </c>
      <c r="AB134" s="16">
        <f t="shared" si="439"/>
        <v>0</v>
      </c>
      <c r="AC134" s="16">
        <f t="shared" si="439"/>
        <v>0</v>
      </c>
      <c r="AD134" s="16">
        <f t="shared" si="439"/>
        <v>0</v>
      </c>
      <c r="AE134" s="16">
        <f t="shared" si="439"/>
        <v>0</v>
      </c>
      <c r="AF134" s="16">
        <f t="shared" si="439"/>
        <v>0</v>
      </c>
      <c r="AG134" s="16">
        <f t="shared" si="439"/>
        <v>-41600</v>
      </c>
      <c r="AH134" s="16">
        <f t="shared" si="439"/>
        <v>-41600</v>
      </c>
      <c r="AI134" s="16">
        <f t="shared" si="439"/>
        <v>0</v>
      </c>
      <c r="AJ134" s="16">
        <f t="shared" si="439"/>
        <v>41600</v>
      </c>
      <c r="AK134" s="16">
        <f t="shared" si="439"/>
        <v>0</v>
      </c>
      <c r="AL134" s="16">
        <f t="shared" si="439"/>
        <v>0</v>
      </c>
      <c r="AM134" s="16">
        <f t="shared" si="439"/>
        <v>0</v>
      </c>
      <c r="AN134" s="16">
        <f t="shared" si="439"/>
        <v>0</v>
      </c>
      <c r="AO134" s="16">
        <f t="shared" si="439"/>
        <v>0</v>
      </c>
      <c r="AP134" s="16">
        <f t="shared" si="439"/>
        <v>41600</v>
      </c>
      <c r="AQ134" s="16">
        <f t="shared" si="439"/>
        <v>41600</v>
      </c>
      <c r="AR134" s="16">
        <f t="shared" si="439"/>
        <v>0</v>
      </c>
      <c r="AS134" s="16">
        <f t="shared" si="439"/>
        <v>0</v>
      </c>
      <c r="AT134" s="16">
        <f t="shared" si="439"/>
        <v>0</v>
      </c>
      <c r="AU134" s="16">
        <f t="shared" si="439"/>
        <v>0</v>
      </c>
      <c r="AV134" s="16">
        <f t="shared" si="439"/>
        <v>-416</v>
      </c>
      <c r="AW134" s="16">
        <f t="shared" si="439"/>
        <v>0</v>
      </c>
      <c r="AX134" s="16">
        <f t="shared" si="439"/>
        <v>0</v>
      </c>
      <c r="AY134" s="16">
        <f t="shared" si="439"/>
        <v>0</v>
      </c>
      <c r="AZ134" s="16">
        <f t="shared" si="439"/>
        <v>-416</v>
      </c>
      <c r="BA134" s="13">
        <f t="shared" si="439"/>
        <v>0</v>
      </c>
      <c r="BB134" s="13">
        <f t="shared" si="439"/>
        <v>-0.02</v>
      </c>
      <c r="BC134" s="13">
        <f t="shared" si="439"/>
        <v>0</v>
      </c>
      <c r="BD134" s="13">
        <f t="shared" si="439"/>
        <v>0</v>
      </c>
      <c r="BE134" s="13">
        <f t="shared" si="439"/>
        <v>0</v>
      </c>
      <c r="BF134" s="13">
        <f t="shared" si="439"/>
        <v>0</v>
      </c>
      <c r="BG134" s="13">
        <f t="shared" si="439"/>
        <v>0</v>
      </c>
      <c r="BH134" s="13">
        <f t="shared" si="439"/>
        <v>0</v>
      </c>
      <c r="BI134" s="13">
        <f t="shared" si="439"/>
        <v>0</v>
      </c>
      <c r="BJ134" s="13">
        <f t="shared" si="439"/>
        <v>0</v>
      </c>
      <c r="BK134" s="13">
        <f t="shared" si="439"/>
        <v>0</v>
      </c>
      <c r="BL134" s="13">
        <f t="shared" si="439"/>
        <v>-0.02</v>
      </c>
      <c r="BM134" s="169">
        <f t="shared" si="439"/>
        <v>-0.02</v>
      </c>
      <c r="BN134" s="167">
        <f t="shared" si="439"/>
        <v>17192974</v>
      </c>
      <c r="BO134" s="16">
        <f t="shared" si="439"/>
        <v>12637341</v>
      </c>
      <c r="BP134" s="16">
        <f t="shared" si="439"/>
        <v>0</v>
      </c>
      <c r="BQ134" s="16">
        <f t="shared" si="439"/>
        <v>12637341</v>
      </c>
      <c r="BR134" s="16">
        <f t="shared" si="439"/>
        <v>41600</v>
      </c>
      <c r="BS134" s="16">
        <f t="shared" si="439"/>
        <v>0</v>
      </c>
      <c r="BT134" s="16">
        <f t="shared" si="439"/>
        <v>41600</v>
      </c>
      <c r="BU134" s="16">
        <f t="shared" si="439"/>
        <v>4285482</v>
      </c>
      <c r="BV134" s="16">
        <f t="shared" ref="BV134:CF134" si="440">SUMIF($F$12:$F$464,"=3141",BV$12:BV$464)</f>
        <v>126374</v>
      </c>
      <c r="BW134" s="16">
        <f t="shared" si="440"/>
        <v>102177</v>
      </c>
      <c r="BX134" s="13">
        <f t="shared" si="440"/>
        <v>38.00010000000001</v>
      </c>
      <c r="BY134" s="13">
        <f t="shared" si="440"/>
        <v>0</v>
      </c>
      <c r="BZ134" s="169">
        <f t="shared" si="440"/>
        <v>38.00010000000001</v>
      </c>
      <c r="CA134" s="167">
        <f t="shared" si="440"/>
        <v>0</v>
      </c>
      <c r="CB134" s="16">
        <f t="shared" si="440"/>
        <v>0</v>
      </c>
      <c r="CC134" s="16">
        <f t="shared" si="440"/>
        <v>0</v>
      </c>
      <c r="CD134" s="16">
        <f t="shared" si="440"/>
        <v>0</v>
      </c>
      <c r="CE134" s="16">
        <f t="shared" si="440"/>
        <v>0</v>
      </c>
      <c r="CF134" s="17">
        <f t="shared" si="440"/>
        <v>0</v>
      </c>
    </row>
    <row r="135" spans="4:84" s="89" customFormat="1" ht="12.95" customHeight="1" x14ac:dyDescent="0.25">
      <c r="D135" s="313"/>
      <c r="E135" s="314"/>
      <c r="F135" s="313"/>
      <c r="G135" s="315"/>
      <c r="H135" s="19">
        <v>3143</v>
      </c>
      <c r="I135" s="167">
        <f t="shared" ref="I135:BU135" si="441">SUMIF($F$12:$F$464,"=3143",I$12:I$464)</f>
        <v>20372603</v>
      </c>
      <c r="J135" s="16">
        <f t="shared" si="441"/>
        <v>15102018</v>
      </c>
      <c r="K135" s="16">
        <f t="shared" si="441"/>
        <v>14794748</v>
      </c>
      <c r="L135" s="16">
        <f t="shared" si="441"/>
        <v>307270</v>
      </c>
      <c r="M135" s="16">
        <f t="shared" si="441"/>
        <v>0</v>
      </c>
      <c r="N135" s="16">
        <f t="shared" si="441"/>
        <v>0</v>
      </c>
      <c r="O135" s="16">
        <f t="shared" si="441"/>
        <v>0</v>
      </c>
      <c r="P135" s="16">
        <f t="shared" si="441"/>
        <v>5104480</v>
      </c>
      <c r="Q135" s="16">
        <f t="shared" si="441"/>
        <v>151021</v>
      </c>
      <c r="R135" s="16">
        <f t="shared" si="441"/>
        <v>15084</v>
      </c>
      <c r="S135" s="13">
        <f t="shared" si="441"/>
        <v>30.493999999999996</v>
      </c>
      <c r="T135" s="13">
        <f t="shared" si="441"/>
        <v>29.330099999999998</v>
      </c>
      <c r="U135" s="713">
        <f t="shared" si="441"/>
        <v>1.1638999999999999</v>
      </c>
      <c r="V135" s="168">
        <f t="shared" si="441"/>
        <v>-73600</v>
      </c>
      <c r="W135" s="16">
        <f t="shared" si="441"/>
        <v>0</v>
      </c>
      <c r="X135" s="16">
        <f t="shared" si="441"/>
        <v>0</v>
      </c>
      <c r="Y135" s="16">
        <f t="shared" si="441"/>
        <v>0</v>
      </c>
      <c r="Z135" s="16">
        <f t="shared" si="441"/>
        <v>0</v>
      </c>
      <c r="AA135" s="16">
        <f t="shared" si="441"/>
        <v>0</v>
      </c>
      <c r="AB135" s="16">
        <f t="shared" si="441"/>
        <v>0</v>
      </c>
      <c r="AC135" s="16">
        <f t="shared" si="441"/>
        <v>0</v>
      </c>
      <c r="AD135" s="16">
        <f t="shared" si="441"/>
        <v>0</v>
      </c>
      <c r="AE135" s="16">
        <f t="shared" si="441"/>
        <v>0</v>
      </c>
      <c r="AF135" s="16">
        <f t="shared" si="441"/>
        <v>-73600</v>
      </c>
      <c r="AG135" s="16">
        <f t="shared" si="441"/>
        <v>0</v>
      </c>
      <c r="AH135" s="16">
        <f t="shared" si="441"/>
        <v>-73600</v>
      </c>
      <c r="AI135" s="16">
        <f t="shared" si="441"/>
        <v>73600</v>
      </c>
      <c r="AJ135" s="16">
        <f t="shared" si="441"/>
        <v>0</v>
      </c>
      <c r="AK135" s="16">
        <f t="shared" si="441"/>
        <v>0</v>
      </c>
      <c r="AL135" s="16">
        <f t="shared" si="441"/>
        <v>0</v>
      </c>
      <c r="AM135" s="16">
        <f t="shared" si="441"/>
        <v>0</v>
      </c>
      <c r="AN135" s="16">
        <f t="shared" si="441"/>
        <v>0</v>
      </c>
      <c r="AO135" s="16">
        <f t="shared" si="441"/>
        <v>73600</v>
      </c>
      <c r="AP135" s="16">
        <f t="shared" si="441"/>
        <v>0</v>
      </c>
      <c r="AQ135" s="16">
        <f t="shared" si="441"/>
        <v>73600</v>
      </c>
      <c r="AR135" s="16">
        <f t="shared" si="441"/>
        <v>0</v>
      </c>
      <c r="AS135" s="16">
        <f t="shared" si="441"/>
        <v>0</v>
      </c>
      <c r="AT135" s="16">
        <f t="shared" si="441"/>
        <v>0</v>
      </c>
      <c r="AU135" s="16">
        <f t="shared" si="441"/>
        <v>0</v>
      </c>
      <c r="AV135" s="16">
        <f t="shared" si="441"/>
        <v>-736</v>
      </c>
      <c r="AW135" s="16">
        <f t="shared" si="441"/>
        <v>0</v>
      </c>
      <c r="AX135" s="16">
        <f t="shared" si="441"/>
        <v>0</v>
      </c>
      <c r="AY135" s="16">
        <f t="shared" si="441"/>
        <v>0</v>
      </c>
      <c r="AZ135" s="16">
        <f t="shared" si="441"/>
        <v>-736</v>
      </c>
      <c r="BA135" s="13">
        <f t="shared" si="441"/>
        <v>0</v>
      </c>
      <c r="BB135" s="13">
        <f t="shared" si="441"/>
        <v>0</v>
      </c>
      <c r="BC135" s="13">
        <f t="shared" si="441"/>
        <v>0</v>
      </c>
      <c r="BD135" s="13">
        <f t="shared" si="441"/>
        <v>0</v>
      </c>
      <c r="BE135" s="13">
        <f t="shared" si="441"/>
        <v>0</v>
      </c>
      <c r="BF135" s="13">
        <f t="shared" si="441"/>
        <v>0</v>
      </c>
      <c r="BG135" s="13">
        <f t="shared" si="441"/>
        <v>0</v>
      </c>
      <c r="BH135" s="13">
        <f t="shared" si="441"/>
        <v>0</v>
      </c>
      <c r="BI135" s="13">
        <f t="shared" si="441"/>
        <v>0</v>
      </c>
      <c r="BJ135" s="13">
        <f t="shared" si="441"/>
        <v>0</v>
      </c>
      <c r="BK135" s="13">
        <f t="shared" si="441"/>
        <v>0</v>
      </c>
      <c r="BL135" s="13">
        <f t="shared" si="441"/>
        <v>0</v>
      </c>
      <c r="BM135" s="169">
        <f t="shared" si="441"/>
        <v>0</v>
      </c>
      <c r="BN135" s="167">
        <f t="shared" si="441"/>
        <v>20371867</v>
      </c>
      <c r="BO135" s="16">
        <f t="shared" si="441"/>
        <v>15028418</v>
      </c>
      <c r="BP135" s="16">
        <f t="shared" si="441"/>
        <v>14721148</v>
      </c>
      <c r="BQ135" s="16">
        <f t="shared" si="441"/>
        <v>307270</v>
      </c>
      <c r="BR135" s="16">
        <f t="shared" si="441"/>
        <v>73600</v>
      </c>
      <c r="BS135" s="16">
        <f t="shared" si="441"/>
        <v>73600</v>
      </c>
      <c r="BT135" s="16">
        <f t="shared" si="441"/>
        <v>0</v>
      </c>
      <c r="BU135" s="16">
        <f t="shared" si="441"/>
        <v>5104480</v>
      </c>
      <c r="BV135" s="16">
        <f t="shared" ref="BV135:CF135" si="442">SUMIF($F$12:$F$464,"=3143",BV$12:BV$464)</f>
        <v>150285</v>
      </c>
      <c r="BW135" s="16">
        <f t="shared" si="442"/>
        <v>15084</v>
      </c>
      <c r="BX135" s="13">
        <f t="shared" si="442"/>
        <v>30.493999999999996</v>
      </c>
      <c r="BY135" s="13">
        <f t="shared" si="442"/>
        <v>29.330099999999998</v>
      </c>
      <c r="BZ135" s="169">
        <f t="shared" si="442"/>
        <v>1.1638999999999999</v>
      </c>
      <c r="CA135" s="167">
        <f t="shared" si="442"/>
        <v>0</v>
      </c>
      <c r="CB135" s="16">
        <f t="shared" si="442"/>
        <v>0</v>
      </c>
      <c r="CC135" s="16">
        <f t="shared" si="442"/>
        <v>0</v>
      </c>
      <c r="CD135" s="16">
        <f t="shared" si="442"/>
        <v>0</v>
      </c>
      <c r="CE135" s="16">
        <f t="shared" si="442"/>
        <v>0</v>
      </c>
      <c r="CF135" s="17">
        <f t="shared" si="442"/>
        <v>0</v>
      </c>
    </row>
    <row r="136" spans="4:84" s="89" customFormat="1" ht="12.95" customHeight="1" x14ac:dyDescent="0.25">
      <c r="D136" s="313"/>
      <c r="E136" s="314"/>
      <c r="F136" s="313"/>
      <c r="G136" s="315"/>
      <c r="H136" s="19">
        <v>3231</v>
      </c>
      <c r="I136" s="167">
        <f t="shared" ref="I136:BU136" si="443">SUMIF($F$12:$F$464,"=3231",I$12:I$464)</f>
        <v>16514286</v>
      </c>
      <c r="J136" s="16">
        <f t="shared" si="443"/>
        <v>12236963</v>
      </c>
      <c r="K136" s="16">
        <f t="shared" si="443"/>
        <v>11787964</v>
      </c>
      <c r="L136" s="16">
        <f t="shared" si="443"/>
        <v>448999</v>
      </c>
      <c r="M136" s="16">
        <f t="shared" si="443"/>
        <v>0</v>
      </c>
      <c r="N136" s="16">
        <f t="shared" si="443"/>
        <v>0</v>
      </c>
      <c r="O136" s="16">
        <f t="shared" si="443"/>
        <v>0</v>
      </c>
      <c r="P136" s="16">
        <f t="shared" si="443"/>
        <v>4136093</v>
      </c>
      <c r="Q136" s="16">
        <f t="shared" si="443"/>
        <v>122370</v>
      </c>
      <c r="R136" s="16">
        <f t="shared" si="443"/>
        <v>18860</v>
      </c>
      <c r="S136" s="13">
        <f t="shared" si="443"/>
        <v>19.9435</v>
      </c>
      <c r="T136" s="13">
        <f t="shared" si="443"/>
        <v>18.683599999999998</v>
      </c>
      <c r="U136" s="713">
        <f t="shared" si="443"/>
        <v>1.2599</v>
      </c>
      <c r="V136" s="168">
        <f t="shared" si="443"/>
        <v>0</v>
      </c>
      <c r="W136" s="16">
        <f t="shared" si="443"/>
        <v>-19200</v>
      </c>
      <c r="X136" s="16">
        <f t="shared" si="443"/>
        <v>0</v>
      </c>
      <c r="Y136" s="16">
        <f t="shared" si="443"/>
        <v>0</v>
      </c>
      <c r="Z136" s="16">
        <f t="shared" si="443"/>
        <v>0</v>
      </c>
      <c r="AA136" s="16">
        <f t="shared" si="443"/>
        <v>0</v>
      </c>
      <c r="AB136" s="16">
        <f t="shared" si="443"/>
        <v>0</v>
      </c>
      <c r="AC136" s="16">
        <f t="shared" si="443"/>
        <v>0</v>
      </c>
      <c r="AD136" s="16">
        <f t="shared" si="443"/>
        <v>0</v>
      </c>
      <c r="AE136" s="16">
        <f t="shared" si="443"/>
        <v>0</v>
      </c>
      <c r="AF136" s="16">
        <f t="shared" si="443"/>
        <v>0</v>
      </c>
      <c r="AG136" s="16">
        <f t="shared" si="443"/>
        <v>-19200</v>
      </c>
      <c r="AH136" s="16">
        <f t="shared" si="443"/>
        <v>-19200</v>
      </c>
      <c r="AI136" s="16">
        <f t="shared" si="443"/>
        <v>0</v>
      </c>
      <c r="AJ136" s="16">
        <f t="shared" si="443"/>
        <v>19200</v>
      </c>
      <c r="AK136" s="16">
        <f t="shared" si="443"/>
        <v>0</v>
      </c>
      <c r="AL136" s="16">
        <f t="shared" si="443"/>
        <v>0</v>
      </c>
      <c r="AM136" s="16">
        <f t="shared" si="443"/>
        <v>0</v>
      </c>
      <c r="AN136" s="16">
        <f t="shared" si="443"/>
        <v>0</v>
      </c>
      <c r="AO136" s="16">
        <f t="shared" si="443"/>
        <v>0</v>
      </c>
      <c r="AP136" s="16">
        <f t="shared" si="443"/>
        <v>19200</v>
      </c>
      <c r="AQ136" s="16">
        <f t="shared" si="443"/>
        <v>19200</v>
      </c>
      <c r="AR136" s="16">
        <f t="shared" si="443"/>
        <v>0</v>
      </c>
      <c r="AS136" s="16">
        <f t="shared" si="443"/>
        <v>0</v>
      </c>
      <c r="AT136" s="16">
        <f t="shared" si="443"/>
        <v>0</v>
      </c>
      <c r="AU136" s="16">
        <f t="shared" si="443"/>
        <v>0</v>
      </c>
      <c r="AV136" s="16">
        <f t="shared" si="443"/>
        <v>-192</v>
      </c>
      <c r="AW136" s="16">
        <f t="shared" si="443"/>
        <v>0</v>
      </c>
      <c r="AX136" s="16">
        <f t="shared" si="443"/>
        <v>0</v>
      </c>
      <c r="AY136" s="16">
        <f t="shared" si="443"/>
        <v>0</v>
      </c>
      <c r="AZ136" s="16">
        <f t="shared" si="443"/>
        <v>-192</v>
      </c>
      <c r="BA136" s="13">
        <f t="shared" si="443"/>
        <v>0</v>
      </c>
      <c r="BB136" s="13">
        <f t="shared" si="443"/>
        <v>0</v>
      </c>
      <c r="BC136" s="13">
        <f t="shared" si="443"/>
        <v>0</v>
      </c>
      <c r="BD136" s="13">
        <f t="shared" si="443"/>
        <v>0</v>
      </c>
      <c r="BE136" s="13">
        <f t="shared" si="443"/>
        <v>0</v>
      </c>
      <c r="BF136" s="13">
        <f t="shared" si="443"/>
        <v>0</v>
      </c>
      <c r="BG136" s="13">
        <f t="shared" si="443"/>
        <v>0</v>
      </c>
      <c r="BH136" s="13">
        <f t="shared" si="443"/>
        <v>0</v>
      </c>
      <c r="BI136" s="13">
        <f t="shared" si="443"/>
        <v>0</v>
      </c>
      <c r="BJ136" s="13">
        <f t="shared" si="443"/>
        <v>0</v>
      </c>
      <c r="BK136" s="13">
        <f t="shared" si="443"/>
        <v>0</v>
      </c>
      <c r="BL136" s="13">
        <f t="shared" si="443"/>
        <v>0</v>
      </c>
      <c r="BM136" s="169">
        <f t="shared" si="443"/>
        <v>0</v>
      </c>
      <c r="BN136" s="167">
        <f t="shared" si="443"/>
        <v>16514094</v>
      </c>
      <c r="BO136" s="16">
        <f t="shared" si="443"/>
        <v>12217763</v>
      </c>
      <c r="BP136" s="16">
        <f t="shared" si="443"/>
        <v>11787964</v>
      </c>
      <c r="BQ136" s="16">
        <f t="shared" si="443"/>
        <v>429799</v>
      </c>
      <c r="BR136" s="16">
        <f t="shared" si="443"/>
        <v>19200</v>
      </c>
      <c r="BS136" s="16">
        <f t="shared" si="443"/>
        <v>0</v>
      </c>
      <c r="BT136" s="16">
        <f t="shared" si="443"/>
        <v>19200</v>
      </c>
      <c r="BU136" s="16">
        <f t="shared" si="443"/>
        <v>4136093</v>
      </c>
      <c r="BV136" s="16">
        <f t="shared" ref="BV136:CF136" si="444">SUMIF($F$12:$F$464,"=3231",BV$12:BV$464)</f>
        <v>122178</v>
      </c>
      <c r="BW136" s="16">
        <f t="shared" si="444"/>
        <v>18860</v>
      </c>
      <c r="BX136" s="13">
        <f t="shared" si="444"/>
        <v>19.9435</v>
      </c>
      <c r="BY136" s="13">
        <f t="shared" si="444"/>
        <v>18.683599999999998</v>
      </c>
      <c r="BZ136" s="169">
        <f t="shared" si="444"/>
        <v>1.2599</v>
      </c>
      <c r="CA136" s="167">
        <f t="shared" si="444"/>
        <v>0</v>
      </c>
      <c r="CB136" s="16">
        <f t="shared" si="444"/>
        <v>0</v>
      </c>
      <c r="CC136" s="16">
        <f t="shared" si="444"/>
        <v>0</v>
      </c>
      <c r="CD136" s="16">
        <f t="shared" si="444"/>
        <v>0</v>
      </c>
      <c r="CE136" s="16">
        <f t="shared" si="444"/>
        <v>0</v>
      </c>
      <c r="CF136" s="17">
        <f t="shared" si="444"/>
        <v>0</v>
      </c>
    </row>
    <row r="137" spans="4:84" s="89" customFormat="1" ht="12.95" customHeight="1" thickBot="1" x14ac:dyDescent="0.3">
      <c r="D137" s="313"/>
      <c r="E137" s="314"/>
      <c r="F137" s="313"/>
      <c r="G137" s="315"/>
      <c r="H137" s="138">
        <v>3233</v>
      </c>
      <c r="I137" s="170">
        <f t="shared" ref="I137:BU137" si="445">SUMIF($F$12:$F$464,"=3233",I$12:I$464)</f>
        <v>7546867</v>
      </c>
      <c r="J137" s="171">
        <f t="shared" si="445"/>
        <v>5593321</v>
      </c>
      <c r="K137" s="171">
        <f t="shared" si="445"/>
        <v>4608124</v>
      </c>
      <c r="L137" s="171">
        <f t="shared" si="445"/>
        <v>985197</v>
      </c>
      <c r="M137" s="171">
        <f t="shared" si="445"/>
        <v>0</v>
      </c>
      <c r="N137" s="171">
        <f t="shared" si="445"/>
        <v>0</v>
      </c>
      <c r="O137" s="171">
        <f t="shared" si="445"/>
        <v>0</v>
      </c>
      <c r="P137" s="171">
        <f t="shared" si="445"/>
        <v>1890543</v>
      </c>
      <c r="Q137" s="171">
        <f t="shared" si="445"/>
        <v>55933</v>
      </c>
      <c r="R137" s="171">
        <f t="shared" si="445"/>
        <v>7070</v>
      </c>
      <c r="S137" s="172">
        <f t="shared" si="445"/>
        <v>11.51</v>
      </c>
      <c r="T137" s="172">
        <f t="shared" si="445"/>
        <v>8.34</v>
      </c>
      <c r="U137" s="714">
        <f t="shared" si="445"/>
        <v>3.17</v>
      </c>
      <c r="V137" s="174">
        <f t="shared" si="445"/>
        <v>-64000</v>
      </c>
      <c r="W137" s="171">
        <f t="shared" si="445"/>
        <v>0</v>
      </c>
      <c r="X137" s="171">
        <f t="shared" si="445"/>
        <v>0</v>
      </c>
      <c r="Y137" s="171">
        <f t="shared" si="445"/>
        <v>0</v>
      </c>
      <c r="Z137" s="171">
        <f t="shared" si="445"/>
        <v>0</v>
      </c>
      <c r="AA137" s="171">
        <f t="shared" si="445"/>
        <v>0</v>
      </c>
      <c r="AB137" s="171">
        <f t="shared" si="445"/>
        <v>0</v>
      </c>
      <c r="AC137" s="171">
        <f t="shared" si="445"/>
        <v>0</v>
      </c>
      <c r="AD137" s="171">
        <f t="shared" si="445"/>
        <v>0</v>
      </c>
      <c r="AE137" s="171">
        <f t="shared" si="445"/>
        <v>0</v>
      </c>
      <c r="AF137" s="171">
        <f t="shared" si="445"/>
        <v>-64000</v>
      </c>
      <c r="AG137" s="171">
        <f t="shared" si="445"/>
        <v>0</v>
      </c>
      <c r="AH137" s="171">
        <f t="shared" si="445"/>
        <v>-64000</v>
      </c>
      <c r="AI137" s="171">
        <f t="shared" si="445"/>
        <v>64000</v>
      </c>
      <c r="AJ137" s="171">
        <f t="shared" si="445"/>
        <v>0</v>
      </c>
      <c r="AK137" s="171">
        <f t="shared" si="445"/>
        <v>0</v>
      </c>
      <c r="AL137" s="171">
        <f t="shared" si="445"/>
        <v>0</v>
      </c>
      <c r="AM137" s="171">
        <f t="shared" si="445"/>
        <v>0</v>
      </c>
      <c r="AN137" s="171">
        <f t="shared" si="445"/>
        <v>0</v>
      </c>
      <c r="AO137" s="171">
        <f t="shared" si="445"/>
        <v>64000</v>
      </c>
      <c r="AP137" s="171">
        <f t="shared" si="445"/>
        <v>0</v>
      </c>
      <c r="AQ137" s="171">
        <f t="shared" si="445"/>
        <v>64000</v>
      </c>
      <c r="AR137" s="171">
        <f t="shared" si="445"/>
        <v>0</v>
      </c>
      <c r="AS137" s="171">
        <f t="shared" si="445"/>
        <v>0</v>
      </c>
      <c r="AT137" s="171">
        <f t="shared" si="445"/>
        <v>0</v>
      </c>
      <c r="AU137" s="171">
        <f t="shared" si="445"/>
        <v>0</v>
      </c>
      <c r="AV137" s="171">
        <f t="shared" si="445"/>
        <v>-640</v>
      </c>
      <c r="AW137" s="171">
        <f t="shared" si="445"/>
        <v>0</v>
      </c>
      <c r="AX137" s="171">
        <f t="shared" si="445"/>
        <v>0</v>
      </c>
      <c r="AY137" s="171">
        <f t="shared" si="445"/>
        <v>0</v>
      </c>
      <c r="AZ137" s="171">
        <f t="shared" si="445"/>
        <v>-640</v>
      </c>
      <c r="BA137" s="172">
        <f t="shared" si="445"/>
        <v>-0.12</v>
      </c>
      <c r="BB137" s="172">
        <f t="shared" si="445"/>
        <v>0</v>
      </c>
      <c r="BC137" s="172">
        <f t="shared" si="445"/>
        <v>0</v>
      </c>
      <c r="BD137" s="172">
        <f t="shared" si="445"/>
        <v>0</v>
      </c>
      <c r="BE137" s="172">
        <f t="shared" si="445"/>
        <v>0</v>
      </c>
      <c r="BF137" s="172">
        <f t="shared" si="445"/>
        <v>0</v>
      </c>
      <c r="BG137" s="172">
        <f t="shared" si="445"/>
        <v>0</v>
      </c>
      <c r="BH137" s="172">
        <f t="shared" si="445"/>
        <v>0</v>
      </c>
      <c r="BI137" s="172">
        <f t="shared" si="445"/>
        <v>0</v>
      </c>
      <c r="BJ137" s="172">
        <f t="shared" si="445"/>
        <v>0</v>
      </c>
      <c r="BK137" s="172">
        <f t="shared" si="445"/>
        <v>-0.12</v>
      </c>
      <c r="BL137" s="172">
        <f t="shared" si="445"/>
        <v>0</v>
      </c>
      <c r="BM137" s="175">
        <f t="shared" si="445"/>
        <v>-0.12</v>
      </c>
      <c r="BN137" s="170">
        <f t="shared" si="445"/>
        <v>7546227</v>
      </c>
      <c r="BO137" s="171">
        <f t="shared" si="445"/>
        <v>5529321</v>
      </c>
      <c r="BP137" s="171">
        <f t="shared" si="445"/>
        <v>4544124</v>
      </c>
      <c r="BQ137" s="171">
        <f t="shared" si="445"/>
        <v>985197</v>
      </c>
      <c r="BR137" s="171">
        <f t="shared" si="445"/>
        <v>64000</v>
      </c>
      <c r="BS137" s="171">
        <f t="shared" si="445"/>
        <v>64000</v>
      </c>
      <c r="BT137" s="171">
        <f t="shared" si="445"/>
        <v>0</v>
      </c>
      <c r="BU137" s="171">
        <f t="shared" si="445"/>
        <v>1890543</v>
      </c>
      <c r="BV137" s="171">
        <f t="shared" ref="BV137:CF137" si="446">SUMIF($F$12:$F$464,"=3233",BV$12:BV$464)</f>
        <v>55293</v>
      </c>
      <c r="BW137" s="171">
        <f t="shared" si="446"/>
        <v>7070</v>
      </c>
      <c r="BX137" s="172">
        <f t="shared" si="446"/>
        <v>11.39</v>
      </c>
      <c r="BY137" s="172">
        <f t="shared" si="446"/>
        <v>8.2199999999999989</v>
      </c>
      <c r="BZ137" s="175">
        <f t="shared" si="446"/>
        <v>3.17</v>
      </c>
      <c r="CA137" s="170">
        <f t="shared" si="446"/>
        <v>0</v>
      </c>
      <c r="CB137" s="171">
        <f t="shared" si="446"/>
        <v>0</v>
      </c>
      <c r="CC137" s="171">
        <f t="shared" si="446"/>
        <v>0</v>
      </c>
      <c r="CD137" s="171">
        <f t="shared" si="446"/>
        <v>0</v>
      </c>
      <c r="CE137" s="171">
        <f t="shared" si="446"/>
        <v>0</v>
      </c>
      <c r="CF137" s="173">
        <f t="shared" si="446"/>
        <v>0</v>
      </c>
    </row>
    <row r="138" spans="4:84" ht="12.95" customHeight="1" x14ac:dyDescent="0.25">
      <c r="E138" s="252"/>
    </row>
    <row r="139" spans="4:84" ht="12.95" customHeight="1" x14ac:dyDescent="0.25">
      <c r="E139" s="252"/>
    </row>
    <row r="140" spans="4:84" ht="12.95" customHeight="1" x14ac:dyDescent="0.25">
      <c r="E140" s="252"/>
    </row>
    <row r="143" spans="4:84" x14ac:dyDescent="0.25">
      <c r="AS143" s="316"/>
    </row>
    <row r="155" spans="82:82" x14ac:dyDescent="0.25">
      <c r="CD155" s="777"/>
    </row>
  </sheetData>
  <mergeCells count="59">
    <mergeCell ref="CA6:CF7"/>
    <mergeCell ref="CA8:CF9"/>
    <mergeCell ref="AB9:AC10"/>
    <mergeCell ref="AK9:AK10"/>
    <mergeCell ref="AB11:AC11"/>
    <mergeCell ref="BD8:BE10"/>
    <mergeCell ref="BD11:BE11"/>
    <mergeCell ref="BW9:BW10"/>
    <mergeCell ref="V6:BM6"/>
    <mergeCell ref="BN6:BZ7"/>
    <mergeCell ref="V7:AH8"/>
    <mergeCell ref="AI7:AQ8"/>
    <mergeCell ref="AR7:AT9"/>
    <mergeCell ref="AU7:AU10"/>
    <mergeCell ref="AV7:AV10"/>
    <mergeCell ref="AW7:AY9"/>
    <mergeCell ref="BY8:BZ9"/>
    <mergeCell ref="BU9:BU10"/>
    <mergeCell ref="AL9:AL10"/>
    <mergeCell ref="BR9:BR10"/>
    <mergeCell ref="BC8:BC9"/>
    <mergeCell ref="BF8:BG8"/>
    <mergeCell ref="BH8:BH9"/>
    <mergeCell ref="BI8:BJ9"/>
    <mergeCell ref="AZ7:AZ10"/>
    <mergeCell ref="BV9:BV10"/>
    <mergeCell ref="BK8:BM9"/>
    <mergeCell ref="BN8:BN10"/>
    <mergeCell ref="BO8:BW8"/>
    <mergeCell ref="A3:E3"/>
    <mergeCell ref="I8:I10"/>
    <mergeCell ref="I6:U7"/>
    <mergeCell ref="AQ9:AQ10"/>
    <mergeCell ref="Q9:Q10"/>
    <mergeCell ref="R9:R10"/>
    <mergeCell ref="J8:R8"/>
    <mergeCell ref="S8:S10"/>
    <mergeCell ref="T8:U9"/>
    <mergeCell ref="J9:J10"/>
    <mergeCell ref="K9:L9"/>
    <mergeCell ref="M9:M10"/>
    <mergeCell ref="P9:P10"/>
    <mergeCell ref="AD9:AE9"/>
    <mergeCell ref="AF9:AG9"/>
    <mergeCell ref="AO9:AP9"/>
    <mergeCell ref="N9:O9"/>
    <mergeCell ref="AM9:AN9"/>
    <mergeCell ref="BA7:BM7"/>
    <mergeCell ref="BX8:BX10"/>
    <mergeCell ref="BS9:BT9"/>
    <mergeCell ref="BO9:BO10"/>
    <mergeCell ref="BP9:BQ9"/>
    <mergeCell ref="BA8:BB9"/>
    <mergeCell ref="V9:W9"/>
    <mergeCell ref="X9:X10"/>
    <mergeCell ref="Y9:Z9"/>
    <mergeCell ref="AA9:AA10"/>
    <mergeCell ref="AH9:AH10"/>
    <mergeCell ref="AI9:AJ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CF184"/>
  <sheetViews>
    <sheetView zoomScaleNormal="100" workbookViewId="0">
      <pane xSplit="8" ySplit="11" topLeftCell="BO149" activePane="bottomRight" state="frozen"/>
      <selection activeCell="AN1" sqref="AN1:AO1"/>
      <selection pane="topRight" activeCell="AN1" sqref="AN1:AO1"/>
      <selection pane="bottomLeft" activeCell="AN1" sqref="AN1:AO1"/>
      <selection pane="bottomRight" activeCell="BN6" sqref="BN6:CF7"/>
    </sheetView>
  </sheetViews>
  <sheetFormatPr defaultColWidth="9.140625" defaultRowHeight="15" x14ac:dyDescent="0.25"/>
  <cols>
    <col min="1" max="1" width="5" style="310" customWidth="1"/>
    <col min="2" max="2" width="7.140625" style="252" bestFit="1" customWidth="1"/>
    <col min="3" max="3" width="9.28515625" style="344" customWidth="1"/>
    <col min="4" max="4" width="8.7109375" style="252" customWidth="1"/>
    <col min="5" max="5" width="39.42578125" style="252" customWidth="1"/>
    <col min="6" max="6" width="6.140625" style="252" customWidth="1"/>
    <col min="7" max="7" width="10.28515625" style="252" bestFit="1" customWidth="1"/>
    <col min="8" max="8" width="8" style="252" bestFit="1" customWidth="1"/>
    <col min="9" max="12" width="10.85546875" style="316" customWidth="1"/>
    <col min="13" max="13" width="10.85546875" style="316" hidden="1" customWidth="1"/>
    <col min="14" max="14" width="10.140625" style="316" hidden="1" customWidth="1"/>
    <col min="15" max="15" width="10" style="316" hidden="1" customWidth="1"/>
    <col min="16" max="18" width="10.85546875" style="316" customWidth="1"/>
    <col min="19" max="21" width="9.28515625" style="317" customWidth="1"/>
    <col min="22" max="27" width="10.28515625" style="316" customWidth="1"/>
    <col min="28" max="28" width="10.5703125" style="316" customWidth="1"/>
    <col min="29" max="29" width="10.28515625" style="316" hidden="1" customWidth="1"/>
    <col min="30" max="44" width="10.28515625" style="316" customWidth="1"/>
    <col min="45" max="45" width="10.28515625" style="317" customWidth="1"/>
    <col min="46" max="47" width="10.42578125" style="317" customWidth="1"/>
    <col min="48" max="48" width="11.28515625" style="316" customWidth="1"/>
    <col min="49" max="49" width="8.7109375" style="316" customWidth="1"/>
    <col min="50" max="50" width="10" style="316" customWidth="1"/>
    <col min="51" max="51" width="10.42578125" style="316" customWidth="1"/>
    <col min="52" max="52" width="15" style="316" customWidth="1"/>
    <col min="53" max="53" width="10.28515625" style="317" customWidth="1"/>
    <col min="54" max="54" width="8.85546875" style="317" customWidth="1"/>
    <col min="55" max="55" width="9.42578125" style="317" customWidth="1"/>
    <col min="56" max="56" width="10.140625" style="317" customWidth="1"/>
    <col min="57" max="57" width="9.140625" style="317" hidden="1" customWidth="1"/>
    <col min="58" max="58" width="10.140625" style="317" customWidth="1"/>
    <col min="59" max="63" width="9.140625" style="317" customWidth="1"/>
    <col min="64" max="64" width="10.42578125" style="317" customWidth="1"/>
    <col min="65" max="65" width="9.140625" style="317" customWidth="1"/>
    <col min="66" max="75" width="10.85546875" style="317" customWidth="1"/>
    <col min="76" max="78" width="9.28515625" style="317" customWidth="1"/>
    <col min="79" max="83" width="9.7109375" style="316" customWidth="1"/>
    <col min="84" max="84" width="9.7109375" style="317" customWidth="1"/>
    <col min="85" max="86" width="9.140625" style="252" customWidth="1"/>
    <col min="87" max="16384" width="9.140625" style="252"/>
  </cols>
  <sheetData>
    <row r="1" spans="1:84" ht="12" customHeight="1" x14ac:dyDescent="0.25">
      <c r="A1" s="400" t="s">
        <v>2</v>
      </c>
      <c r="B1" s="400"/>
      <c r="C1" s="250"/>
      <c r="D1" s="400"/>
      <c r="E1" s="400"/>
      <c r="F1" s="251"/>
      <c r="G1" s="251"/>
      <c r="H1" s="251"/>
      <c r="AV1" s="53"/>
      <c r="AW1" s="53"/>
      <c r="AX1" s="53"/>
      <c r="AY1" s="53"/>
      <c r="AZ1" s="53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</row>
    <row r="2" spans="1:84" ht="12" customHeight="1" x14ac:dyDescent="0.25">
      <c r="A2" s="400" t="s">
        <v>3</v>
      </c>
      <c r="B2" s="400"/>
      <c r="C2" s="250"/>
      <c r="D2" s="400"/>
      <c r="E2" s="400"/>
      <c r="F2" s="251"/>
      <c r="G2" s="251"/>
      <c r="H2" s="251"/>
    </row>
    <row r="3" spans="1:84" ht="12" customHeight="1" x14ac:dyDescent="0.25">
      <c r="A3" s="1083" t="s">
        <v>4</v>
      </c>
      <c r="B3" s="1083"/>
      <c r="C3" s="1083"/>
      <c r="D3" s="1083"/>
      <c r="E3" s="1083"/>
      <c r="F3" s="251"/>
      <c r="G3" s="251"/>
      <c r="H3" s="251"/>
      <c r="AW3" s="524"/>
      <c r="AX3" s="524"/>
      <c r="AY3" s="524"/>
    </row>
    <row r="4" spans="1:84" ht="12" customHeight="1" x14ac:dyDescent="0.25">
      <c r="A4" s="253"/>
      <c r="B4" s="400"/>
      <c r="C4" s="400"/>
      <c r="D4" s="400"/>
      <c r="E4" s="400"/>
      <c r="F4" s="251"/>
      <c r="G4" s="251"/>
      <c r="H4" s="251"/>
      <c r="AX4" s="523"/>
      <c r="AY4" s="523"/>
    </row>
    <row r="5" spans="1:84" ht="23.25" customHeight="1" thickBot="1" x14ac:dyDescent="0.3">
      <c r="A5" s="182" t="s">
        <v>806</v>
      </c>
      <c r="B5" s="51"/>
      <c r="C5" s="51"/>
      <c r="D5" s="51"/>
      <c r="E5" s="52"/>
      <c r="F5" s="254"/>
      <c r="G5" s="254"/>
      <c r="H5" s="254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4"/>
      <c r="T5" s="704"/>
      <c r="U5" s="704"/>
      <c r="V5" s="705"/>
      <c r="W5" s="705"/>
      <c r="X5" s="705"/>
      <c r="Y5" s="705"/>
      <c r="Z5" s="705"/>
      <c r="AA5" s="705"/>
      <c r="AB5" s="705"/>
      <c r="AC5" s="705"/>
      <c r="AD5" s="705"/>
      <c r="AE5" s="705"/>
      <c r="AF5" s="705"/>
      <c r="AG5" s="705"/>
      <c r="AH5" s="705"/>
      <c r="AX5" s="523"/>
      <c r="AY5" s="523"/>
    </row>
    <row r="6" spans="1:84" ht="15" customHeight="1" x14ac:dyDescent="0.25">
      <c r="A6" s="555" t="s">
        <v>805</v>
      </c>
      <c r="B6" s="556"/>
      <c r="C6" s="557"/>
      <c r="D6" s="557"/>
      <c r="E6" s="556"/>
      <c r="F6" s="556"/>
      <c r="G6" s="52"/>
      <c r="H6" s="251"/>
      <c r="I6" s="969" t="s">
        <v>807</v>
      </c>
      <c r="J6" s="970"/>
      <c r="K6" s="970"/>
      <c r="L6" s="970"/>
      <c r="M6" s="970"/>
      <c r="N6" s="970"/>
      <c r="O6" s="970"/>
      <c r="P6" s="970"/>
      <c r="Q6" s="970"/>
      <c r="R6" s="970"/>
      <c r="S6" s="970"/>
      <c r="T6" s="970"/>
      <c r="U6" s="970"/>
      <c r="V6" s="1073" t="s">
        <v>818</v>
      </c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6"/>
      <c r="BN6" s="1022" t="s">
        <v>913</v>
      </c>
      <c r="BO6" s="1023"/>
      <c r="BP6" s="1023"/>
      <c r="BQ6" s="1023"/>
      <c r="BR6" s="1023"/>
      <c r="BS6" s="1023"/>
      <c r="BT6" s="1023"/>
      <c r="BU6" s="1023"/>
      <c r="BV6" s="1023"/>
      <c r="BW6" s="1023"/>
      <c r="BX6" s="1023"/>
      <c r="BY6" s="1023"/>
      <c r="BZ6" s="1024"/>
      <c r="CA6" s="1008" t="s">
        <v>914</v>
      </c>
      <c r="CB6" s="1009"/>
      <c r="CC6" s="1009"/>
      <c r="CD6" s="1009"/>
      <c r="CE6" s="1009"/>
      <c r="CF6" s="1010"/>
    </row>
    <row r="7" spans="1:84" ht="16.5" customHeight="1" thickBot="1" x14ac:dyDescent="0.3">
      <c r="A7" s="253"/>
      <c r="B7" s="255"/>
      <c r="C7" s="89"/>
      <c r="D7" s="256"/>
      <c r="E7" s="255"/>
      <c r="F7" s="251"/>
      <c r="G7" s="251"/>
      <c r="H7" s="251"/>
      <c r="I7" s="972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1074" t="s">
        <v>814</v>
      </c>
      <c r="W7" s="995"/>
      <c r="X7" s="995"/>
      <c r="Y7" s="995"/>
      <c r="Z7" s="995"/>
      <c r="AA7" s="995"/>
      <c r="AB7" s="995"/>
      <c r="AC7" s="995"/>
      <c r="AD7" s="995"/>
      <c r="AE7" s="995"/>
      <c r="AF7" s="995"/>
      <c r="AG7" s="995"/>
      <c r="AH7" s="996"/>
      <c r="AI7" s="994" t="s">
        <v>815</v>
      </c>
      <c r="AJ7" s="995"/>
      <c r="AK7" s="995"/>
      <c r="AL7" s="995"/>
      <c r="AM7" s="995"/>
      <c r="AN7" s="995"/>
      <c r="AO7" s="995"/>
      <c r="AP7" s="995"/>
      <c r="AQ7" s="996"/>
      <c r="AR7" s="1039" t="s">
        <v>832</v>
      </c>
      <c r="AS7" s="1039"/>
      <c r="AT7" s="1039"/>
      <c r="AU7" s="966" t="s">
        <v>5</v>
      </c>
      <c r="AV7" s="966" t="s">
        <v>275</v>
      </c>
      <c r="AW7" s="1054" t="s">
        <v>799</v>
      </c>
      <c r="AX7" s="1054"/>
      <c r="AY7" s="1055"/>
      <c r="AZ7" s="1060" t="s">
        <v>289</v>
      </c>
      <c r="BA7" s="1063" t="s">
        <v>817</v>
      </c>
      <c r="BB7" s="1064"/>
      <c r="BC7" s="1064"/>
      <c r="BD7" s="1064"/>
      <c r="BE7" s="1064"/>
      <c r="BF7" s="1064"/>
      <c r="BG7" s="1064"/>
      <c r="BH7" s="1064"/>
      <c r="BI7" s="1064"/>
      <c r="BJ7" s="1064"/>
      <c r="BK7" s="1064"/>
      <c r="BL7" s="1064"/>
      <c r="BM7" s="1065"/>
      <c r="BN7" s="1025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7"/>
      <c r="CA7" s="1011"/>
      <c r="CB7" s="1012"/>
      <c r="CC7" s="1012"/>
      <c r="CD7" s="1012"/>
      <c r="CE7" s="1012"/>
      <c r="CF7" s="1013"/>
    </row>
    <row r="8" spans="1:84" ht="15" customHeight="1" x14ac:dyDescent="0.25">
      <c r="A8" s="257"/>
      <c r="B8" s="258"/>
      <c r="C8" s="258"/>
      <c r="D8" s="258"/>
      <c r="E8" s="258"/>
      <c r="F8" s="258"/>
      <c r="G8" s="258"/>
      <c r="H8" s="258"/>
      <c r="I8" s="1076" t="s">
        <v>6</v>
      </c>
      <c r="J8" s="977" t="s">
        <v>780</v>
      </c>
      <c r="K8" s="978"/>
      <c r="L8" s="978"/>
      <c r="M8" s="978"/>
      <c r="N8" s="978"/>
      <c r="O8" s="978"/>
      <c r="P8" s="978"/>
      <c r="Q8" s="978"/>
      <c r="R8" s="979"/>
      <c r="S8" s="983" t="s">
        <v>822</v>
      </c>
      <c r="T8" s="986" t="s">
        <v>823</v>
      </c>
      <c r="U8" s="1079"/>
      <c r="V8" s="1075"/>
      <c r="W8" s="998"/>
      <c r="X8" s="998"/>
      <c r="Y8" s="998"/>
      <c r="Z8" s="998"/>
      <c r="AA8" s="998"/>
      <c r="AB8" s="998"/>
      <c r="AC8" s="998"/>
      <c r="AD8" s="998"/>
      <c r="AE8" s="998"/>
      <c r="AF8" s="998"/>
      <c r="AG8" s="998"/>
      <c r="AH8" s="999"/>
      <c r="AI8" s="997"/>
      <c r="AJ8" s="998"/>
      <c r="AK8" s="998"/>
      <c r="AL8" s="998"/>
      <c r="AM8" s="998"/>
      <c r="AN8" s="998"/>
      <c r="AO8" s="998"/>
      <c r="AP8" s="998"/>
      <c r="AQ8" s="999"/>
      <c r="AR8" s="1039"/>
      <c r="AS8" s="1039"/>
      <c r="AT8" s="1039"/>
      <c r="AU8" s="967"/>
      <c r="AV8" s="967"/>
      <c r="AW8" s="1056"/>
      <c r="AX8" s="1056"/>
      <c r="AY8" s="1057"/>
      <c r="AZ8" s="1061"/>
      <c r="BA8" s="1000" t="s">
        <v>276</v>
      </c>
      <c r="BB8" s="1052"/>
      <c r="BC8" s="1066" t="s">
        <v>277</v>
      </c>
      <c r="BD8" s="1042" t="s">
        <v>880</v>
      </c>
      <c r="BE8" s="1043"/>
      <c r="BF8" s="1006" t="s">
        <v>816</v>
      </c>
      <c r="BG8" s="1007"/>
      <c r="BH8" s="1066" t="s">
        <v>790</v>
      </c>
      <c r="BI8" s="1000" t="s">
        <v>278</v>
      </c>
      <c r="BJ8" s="1052"/>
      <c r="BK8" s="1000" t="s">
        <v>833</v>
      </c>
      <c r="BL8" s="1001"/>
      <c r="BM8" s="1002"/>
      <c r="BN8" s="1070" t="s">
        <v>6</v>
      </c>
      <c r="BO8" s="1032" t="s">
        <v>780</v>
      </c>
      <c r="BP8" s="1032"/>
      <c r="BQ8" s="1032"/>
      <c r="BR8" s="1032"/>
      <c r="BS8" s="1032"/>
      <c r="BT8" s="1032"/>
      <c r="BU8" s="1032"/>
      <c r="BV8" s="1032"/>
      <c r="BW8" s="1032"/>
      <c r="BX8" s="983" t="s">
        <v>822</v>
      </c>
      <c r="BY8" s="1048" t="s">
        <v>838</v>
      </c>
      <c r="BZ8" s="1049"/>
      <c r="CA8" s="1014" t="s">
        <v>888</v>
      </c>
      <c r="CB8" s="1015"/>
      <c r="CC8" s="1015"/>
      <c r="CD8" s="1015"/>
      <c r="CE8" s="1015"/>
      <c r="CF8" s="1016"/>
    </row>
    <row r="9" spans="1:84" ht="23.1" customHeight="1" thickBot="1" x14ac:dyDescent="0.3">
      <c r="A9" s="259" t="s">
        <v>777</v>
      </c>
      <c r="B9" s="89"/>
      <c r="C9" s="89"/>
      <c r="D9" s="260"/>
      <c r="E9" s="89"/>
      <c r="F9" s="261"/>
      <c r="G9" s="262"/>
      <c r="H9" s="262"/>
      <c r="I9" s="1077"/>
      <c r="J9" s="1028" t="s">
        <v>268</v>
      </c>
      <c r="K9" s="962" t="s">
        <v>839</v>
      </c>
      <c r="L9" s="963"/>
      <c r="M9" s="1030" t="s">
        <v>274</v>
      </c>
      <c r="N9" s="962" t="s">
        <v>837</v>
      </c>
      <c r="O9" s="963"/>
      <c r="P9" s="1034" t="s">
        <v>5</v>
      </c>
      <c r="Q9" s="1034" t="s">
        <v>1</v>
      </c>
      <c r="R9" s="1034" t="s">
        <v>7</v>
      </c>
      <c r="S9" s="984"/>
      <c r="T9" s="988"/>
      <c r="U9" s="1080"/>
      <c r="V9" s="1069" t="s">
        <v>279</v>
      </c>
      <c r="W9" s="958"/>
      <c r="X9" s="954" t="s">
        <v>821</v>
      </c>
      <c r="Y9" s="959" t="s">
        <v>826</v>
      </c>
      <c r="Z9" s="959"/>
      <c r="AA9" s="954" t="s">
        <v>820</v>
      </c>
      <c r="AB9" s="950" t="s">
        <v>881</v>
      </c>
      <c r="AC9" s="951"/>
      <c r="AD9" s="1068" t="s">
        <v>278</v>
      </c>
      <c r="AE9" s="1068"/>
      <c r="AF9" s="957" t="s">
        <v>791</v>
      </c>
      <c r="AG9" s="958"/>
      <c r="AH9" s="992" t="s">
        <v>791</v>
      </c>
      <c r="AI9" s="957" t="s">
        <v>280</v>
      </c>
      <c r="AJ9" s="958"/>
      <c r="AK9" s="1020" t="s">
        <v>881</v>
      </c>
      <c r="AL9" s="955" t="s">
        <v>819</v>
      </c>
      <c r="AM9" s="957" t="s">
        <v>281</v>
      </c>
      <c r="AN9" s="958"/>
      <c r="AO9" s="957" t="s">
        <v>748</v>
      </c>
      <c r="AP9" s="958"/>
      <c r="AQ9" s="992" t="s">
        <v>748</v>
      </c>
      <c r="AR9" s="1039"/>
      <c r="AS9" s="1039"/>
      <c r="AT9" s="1039"/>
      <c r="AU9" s="967"/>
      <c r="AV9" s="967"/>
      <c r="AW9" s="1058"/>
      <c r="AX9" s="1058"/>
      <c r="AY9" s="1059"/>
      <c r="AZ9" s="1061"/>
      <c r="BA9" s="1003"/>
      <c r="BB9" s="1053"/>
      <c r="BC9" s="1067"/>
      <c r="BD9" s="1044"/>
      <c r="BE9" s="1045"/>
      <c r="BF9" s="570" t="s">
        <v>800</v>
      </c>
      <c r="BG9" s="570" t="s">
        <v>801</v>
      </c>
      <c r="BH9" s="1067"/>
      <c r="BI9" s="1003"/>
      <c r="BJ9" s="1053"/>
      <c r="BK9" s="1003"/>
      <c r="BL9" s="1004"/>
      <c r="BM9" s="1005"/>
      <c r="BN9" s="1071"/>
      <c r="BO9" s="1028" t="s">
        <v>268</v>
      </c>
      <c r="BP9" s="962" t="s">
        <v>839</v>
      </c>
      <c r="BQ9" s="963"/>
      <c r="BR9" s="1030" t="s">
        <v>274</v>
      </c>
      <c r="BS9" s="1033" t="s">
        <v>847</v>
      </c>
      <c r="BT9" s="1033"/>
      <c r="BU9" s="1034" t="s">
        <v>5</v>
      </c>
      <c r="BV9" s="1034" t="s">
        <v>1</v>
      </c>
      <c r="BW9" s="1034" t="s">
        <v>7</v>
      </c>
      <c r="BX9" s="984"/>
      <c r="BY9" s="1050"/>
      <c r="BZ9" s="1051"/>
      <c r="CA9" s="1017"/>
      <c r="CB9" s="1018"/>
      <c r="CC9" s="1018"/>
      <c r="CD9" s="1018"/>
      <c r="CE9" s="1018"/>
      <c r="CF9" s="1019"/>
    </row>
    <row r="10" spans="1:84" ht="34.5" thickBot="1" x14ac:dyDescent="0.3">
      <c r="A10" s="263" t="s">
        <v>756</v>
      </c>
      <c r="B10" s="264" t="s">
        <v>527</v>
      </c>
      <c r="C10" s="264" t="s">
        <v>528</v>
      </c>
      <c r="D10" s="264" t="s">
        <v>258</v>
      </c>
      <c r="E10" s="163" t="s">
        <v>758</v>
      </c>
      <c r="F10" s="264" t="s">
        <v>0</v>
      </c>
      <c r="G10" s="265" t="s">
        <v>259</v>
      </c>
      <c r="H10" s="37" t="s">
        <v>270</v>
      </c>
      <c r="I10" s="1078"/>
      <c r="J10" s="1029"/>
      <c r="K10" s="590" t="s">
        <v>812</v>
      </c>
      <c r="L10" s="590" t="s">
        <v>813</v>
      </c>
      <c r="M10" s="1031"/>
      <c r="N10" s="590" t="s">
        <v>812</v>
      </c>
      <c r="O10" s="590" t="s">
        <v>813</v>
      </c>
      <c r="P10" s="1035"/>
      <c r="Q10" s="1035"/>
      <c r="R10" s="1035"/>
      <c r="S10" s="985"/>
      <c r="T10" s="601" t="s">
        <v>812</v>
      </c>
      <c r="U10" s="608" t="s">
        <v>813</v>
      </c>
      <c r="V10" s="609" t="s">
        <v>812</v>
      </c>
      <c r="W10" s="590" t="s">
        <v>813</v>
      </c>
      <c r="X10" s="954"/>
      <c r="Y10" s="590" t="s">
        <v>812</v>
      </c>
      <c r="Z10" s="590" t="s">
        <v>813</v>
      </c>
      <c r="AA10" s="954"/>
      <c r="AB10" s="952"/>
      <c r="AC10" s="953"/>
      <c r="AD10" s="590" t="s">
        <v>812</v>
      </c>
      <c r="AE10" s="596" t="s">
        <v>813</v>
      </c>
      <c r="AF10" s="590" t="s">
        <v>812</v>
      </c>
      <c r="AG10" s="596" t="s">
        <v>813</v>
      </c>
      <c r="AH10" s="993"/>
      <c r="AI10" s="591" t="s">
        <v>812</v>
      </c>
      <c r="AJ10" s="591" t="s">
        <v>813</v>
      </c>
      <c r="AK10" s="1021"/>
      <c r="AL10" s="956"/>
      <c r="AM10" s="590" t="s">
        <v>812</v>
      </c>
      <c r="AN10" s="590" t="s">
        <v>813</v>
      </c>
      <c r="AO10" s="590" t="s">
        <v>812</v>
      </c>
      <c r="AP10" s="590" t="s">
        <v>813</v>
      </c>
      <c r="AQ10" s="993"/>
      <c r="AR10" s="590" t="s">
        <v>812</v>
      </c>
      <c r="AS10" s="590" t="s">
        <v>813</v>
      </c>
      <c r="AT10" s="590" t="s">
        <v>256</v>
      </c>
      <c r="AU10" s="968"/>
      <c r="AV10" s="968"/>
      <c r="AW10" s="406" t="s">
        <v>277</v>
      </c>
      <c r="AX10" s="406" t="s">
        <v>282</v>
      </c>
      <c r="AY10" s="406" t="s">
        <v>749</v>
      </c>
      <c r="AZ10" s="1062"/>
      <c r="BA10" s="601" t="s">
        <v>812</v>
      </c>
      <c r="BB10" s="601" t="s">
        <v>813</v>
      </c>
      <c r="BC10" s="601" t="s">
        <v>812</v>
      </c>
      <c r="BD10" s="1046"/>
      <c r="BE10" s="1047"/>
      <c r="BF10" s="601" t="s">
        <v>812</v>
      </c>
      <c r="BG10" s="601" t="s">
        <v>813</v>
      </c>
      <c r="BH10" s="601" t="s">
        <v>812</v>
      </c>
      <c r="BI10" s="601" t="s">
        <v>812</v>
      </c>
      <c r="BJ10" s="601" t="s">
        <v>813</v>
      </c>
      <c r="BK10" s="601" t="s">
        <v>812</v>
      </c>
      <c r="BL10" s="601" t="s">
        <v>813</v>
      </c>
      <c r="BM10" s="407" t="s">
        <v>836</v>
      </c>
      <c r="BN10" s="1072"/>
      <c r="BO10" s="1029"/>
      <c r="BP10" s="591" t="s">
        <v>812</v>
      </c>
      <c r="BQ10" s="591" t="s">
        <v>813</v>
      </c>
      <c r="BR10" s="1031"/>
      <c r="BS10" s="591" t="s">
        <v>812</v>
      </c>
      <c r="BT10" s="591" t="s">
        <v>813</v>
      </c>
      <c r="BU10" s="1035"/>
      <c r="BV10" s="1035"/>
      <c r="BW10" s="1035"/>
      <c r="BX10" s="985"/>
      <c r="BY10" s="601" t="s">
        <v>812</v>
      </c>
      <c r="BZ10" s="602" t="s">
        <v>813</v>
      </c>
      <c r="CA10" s="786" t="s">
        <v>886</v>
      </c>
      <c r="CB10" s="787" t="s">
        <v>268</v>
      </c>
      <c r="CC10" s="787" t="s">
        <v>274</v>
      </c>
      <c r="CD10" s="787" t="s">
        <v>885</v>
      </c>
      <c r="CE10" s="787" t="s">
        <v>1</v>
      </c>
      <c r="CF10" s="788" t="s">
        <v>887</v>
      </c>
    </row>
    <row r="11" spans="1:84" s="269" customFormat="1" ht="11.25" customHeight="1" thickBot="1" x14ac:dyDescent="0.25">
      <c r="A11" s="266" t="s">
        <v>529</v>
      </c>
      <c r="B11" s="267" t="s">
        <v>530</v>
      </c>
      <c r="C11" s="267" t="s">
        <v>260</v>
      </c>
      <c r="D11" s="267" t="s">
        <v>261</v>
      </c>
      <c r="E11" s="267" t="s">
        <v>531</v>
      </c>
      <c r="F11" s="267" t="s">
        <v>0</v>
      </c>
      <c r="G11" s="267" t="s">
        <v>532</v>
      </c>
      <c r="H11" s="268" t="s">
        <v>752</v>
      </c>
      <c r="I11" s="140" t="s">
        <v>262</v>
      </c>
      <c r="J11" s="141" t="s">
        <v>263</v>
      </c>
      <c r="K11" s="141" t="s">
        <v>808</v>
      </c>
      <c r="L11" s="141" t="s">
        <v>809</v>
      </c>
      <c r="M11" s="141" t="s">
        <v>269</v>
      </c>
      <c r="N11" s="141" t="s">
        <v>810</v>
      </c>
      <c r="O11" s="141" t="s">
        <v>811</v>
      </c>
      <c r="P11" s="141" t="s">
        <v>264</v>
      </c>
      <c r="Q11" s="141" t="s">
        <v>265</v>
      </c>
      <c r="R11" s="141" t="s">
        <v>266</v>
      </c>
      <c r="S11" s="404" t="s">
        <v>267</v>
      </c>
      <c r="T11" s="142" t="s">
        <v>533</v>
      </c>
      <c r="U11" s="180" t="s">
        <v>534</v>
      </c>
      <c r="V11" s="526" t="s">
        <v>824</v>
      </c>
      <c r="W11" s="141" t="s">
        <v>825</v>
      </c>
      <c r="X11" s="141" t="s">
        <v>824</v>
      </c>
      <c r="Y11" s="141" t="s">
        <v>824</v>
      </c>
      <c r="Z11" s="141" t="s">
        <v>825</v>
      </c>
      <c r="AA11" s="141" t="s">
        <v>824</v>
      </c>
      <c r="AB11" s="1081" t="s">
        <v>882</v>
      </c>
      <c r="AC11" s="1082"/>
      <c r="AD11" s="141" t="s">
        <v>824</v>
      </c>
      <c r="AE11" s="141" t="s">
        <v>825</v>
      </c>
      <c r="AF11" s="141" t="s">
        <v>824</v>
      </c>
      <c r="AG11" s="141" t="s">
        <v>825</v>
      </c>
      <c r="AH11" s="141" t="s">
        <v>834</v>
      </c>
      <c r="AI11" s="141" t="s">
        <v>827</v>
      </c>
      <c r="AJ11" s="141" t="s">
        <v>828</v>
      </c>
      <c r="AK11" s="758" t="s">
        <v>883</v>
      </c>
      <c r="AL11" s="141" t="s">
        <v>827</v>
      </c>
      <c r="AM11" s="141" t="s">
        <v>827</v>
      </c>
      <c r="AN11" s="141" t="s">
        <v>828</v>
      </c>
      <c r="AO11" s="141" t="s">
        <v>827</v>
      </c>
      <c r="AP11" s="141" t="s">
        <v>828</v>
      </c>
      <c r="AQ11" s="141" t="s">
        <v>835</v>
      </c>
      <c r="AR11" s="526" t="s">
        <v>829</v>
      </c>
      <c r="AS11" s="526" t="s">
        <v>830</v>
      </c>
      <c r="AT11" s="141" t="s">
        <v>831</v>
      </c>
      <c r="AU11" s="141" t="s">
        <v>283</v>
      </c>
      <c r="AV11" s="141" t="s">
        <v>284</v>
      </c>
      <c r="AW11" s="141" t="s">
        <v>285</v>
      </c>
      <c r="AX11" s="141" t="s">
        <v>285</v>
      </c>
      <c r="AY11" s="141" t="s">
        <v>285</v>
      </c>
      <c r="AZ11" s="141" t="s">
        <v>290</v>
      </c>
      <c r="BA11" s="404" t="s">
        <v>286</v>
      </c>
      <c r="BB11" s="142" t="s">
        <v>287</v>
      </c>
      <c r="BC11" s="142" t="s">
        <v>286</v>
      </c>
      <c r="BD11" s="1081" t="s">
        <v>884</v>
      </c>
      <c r="BE11" s="1082"/>
      <c r="BF11" s="142" t="s">
        <v>286</v>
      </c>
      <c r="BG11" s="142" t="s">
        <v>287</v>
      </c>
      <c r="BH11" s="142" t="s">
        <v>286</v>
      </c>
      <c r="BI11" s="142" t="s">
        <v>286</v>
      </c>
      <c r="BJ11" s="142" t="s">
        <v>287</v>
      </c>
      <c r="BK11" s="142" t="s">
        <v>286</v>
      </c>
      <c r="BL11" s="142" t="s">
        <v>287</v>
      </c>
      <c r="BM11" s="143" t="s">
        <v>288</v>
      </c>
      <c r="BN11" s="140" t="s">
        <v>262</v>
      </c>
      <c r="BO11" s="141" t="s">
        <v>263</v>
      </c>
      <c r="BP11" s="141" t="s">
        <v>808</v>
      </c>
      <c r="BQ11" s="141" t="s">
        <v>809</v>
      </c>
      <c r="BR11" s="141" t="s">
        <v>269</v>
      </c>
      <c r="BS11" s="141" t="s">
        <v>810</v>
      </c>
      <c r="BT11" s="141" t="s">
        <v>811</v>
      </c>
      <c r="BU11" s="141" t="s">
        <v>264</v>
      </c>
      <c r="BV11" s="141" t="s">
        <v>265</v>
      </c>
      <c r="BW11" s="141" t="s">
        <v>266</v>
      </c>
      <c r="BX11" s="142" t="s">
        <v>267</v>
      </c>
      <c r="BY11" s="142" t="s">
        <v>533</v>
      </c>
      <c r="BZ11" s="180" t="s">
        <v>534</v>
      </c>
      <c r="CA11" s="757" t="s">
        <v>889</v>
      </c>
      <c r="CB11" s="757" t="s">
        <v>882</v>
      </c>
      <c r="CC11" s="757" t="s">
        <v>883</v>
      </c>
      <c r="CD11" s="757" t="s">
        <v>890</v>
      </c>
      <c r="CE11" s="757" t="s">
        <v>891</v>
      </c>
      <c r="CF11" s="839" t="s">
        <v>884</v>
      </c>
    </row>
    <row r="12" spans="1:84" ht="14.1" customHeight="1" x14ac:dyDescent="0.25">
      <c r="A12" s="270">
        <v>1</v>
      </c>
      <c r="B12" s="319">
        <v>5489</v>
      </c>
      <c r="C12" s="320">
        <v>600099482</v>
      </c>
      <c r="D12" s="272">
        <v>71166289</v>
      </c>
      <c r="E12" s="321" t="s">
        <v>351</v>
      </c>
      <c r="F12" s="272">
        <v>3111</v>
      </c>
      <c r="G12" s="321" t="s">
        <v>305</v>
      </c>
      <c r="H12" s="322" t="s">
        <v>271</v>
      </c>
      <c r="I12" s="408">
        <f>J12+P12+Q12+R12</f>
        <v>3507062</v>
      </c>
      <c r="J12" s="409">
        <f>K12+L12</f>
        <v>2591134</v>
      </c>
      <c r="K12" s="409">
        <v>2356014</v>
      </c>
      <c r="L12" s="409">
        <v>235120</v>
      </c>
      <c r="M12" s="409">
        <f>N12+O12</f>
        <v>0</v>
      </c>
      <c r="N12" s="409">
        <v>0</v>
      </c>
      <c r="O12" s="409">
        <v>0</v>
      </c>
      <c r="P12" s="144">
        <f>ROUND((J12+M12)*33.8%,0)</f>
        <v>875803</v>
      </c>
      <c r="Q12" s="144">
        <f>ROUND(J12*1%,0)</f>
        <v>25911</v>
      </c>
      <c r="R12" s="409">
        <v>14214</v>
      </c>
      <c r="S12" s="410">
        <f>T12+U12</f>
        <v>4.8645999999999994</v>
      </c>
      <c r="T12" s="411">
        <v>4.0644999999999998</v>
      </c>
      <c r="U12" s="509">
        <v>0.80010000000000003</v>
      </c>
      <c r="V12" s="412">
        <f t="shared" ref="V12:W14" si="0">AI12*-1</f>
        <v>0</v>
      </c>
      <c r="W12" s="413">
        <f t="shared" si="0"/>
        <v>-5120</v>
      </c>
      <c r="X12" s="413">
        <v>0</v>
      </c>
      <c r="Y12" s="413">
        <v>0</v>
      </c>
      <c r="Z12" s="413">
        <v>0</v>
      </c>
      <c r="AA12" s="413">
        <v>0</v>
      </c>
      <c r="AB12" s="413">
        <v>0</v>
      </c>
      <c r="AC12" s="413">
        <v>0</v>
      </c>
      <c r="AD12" s="413">
        <v>0</v>
      </c>
      <c r="AE12" s="413">
        <v>0</v>
      </c>
      <c r="AF12" s="413">
        <f>V12+X12+Y12+AA12+AB12+AD12</f>
        <v>0</v>
      </c>
      <c r="AG12" s="413">
        <f>W12+Z12+AC12+AE12</f>
        <v>-5120</v>
      </c>
      <c r="AH12" s="413">
        <f>SUM(AF12:AG12)</f>
        <v>-5120</v>
      </c>
      <c r="AI12" s="413">
        <v>0</v>
      </c>
      <c r="AJ12" s="413">
        <v>5120</v>
      </c>
      <c r="AK12" s="413">
        <v>0</v>
      </c>
      <c r="AL12" s="413">
        <v>0</v>
      </c>
      <c r="AM12" s="413">
        <v>0</v>
      </c>
      <c r="AN12" s="413">
        <v>0</v>
      </c>
      <c r="AO12" s="421">
        <f>AI12+AK12+AL12+AM12</f>
        <v>0</v>
      </c>
      <c r="AP12" s="413">
        <f>AJ12+AN12</f>
        <v>5120</v>
      </c>
      <c r="AQ12" s="413">
        <f>SUM(AO12:AP12)</f>
        <v>5120</v>
      </c>
      <c r="AR12" s="413">
        <f t="shared" ref="AR12:AS14" si="1">AF12+AO12</f>
        <v>0</v>
      </c>
      <c r="AS12" s="413">
        <f t="shared" si="1"/>
        <v>0</v>
      </c>
      <c r="AT12" s="413">
        <f>SUM(AR12:AS12)</f>
        <v>0</v>
      </c>
      <c r="AU12" s="68">
        <f>ROUND((AH12+AI12+AJ12+AK12+AL12)*33.8%,0)</f>
        <v>0</v>
      </c>
      <c r="AV12" s="144">
        <f>ROUND(AH12*1%,0)</f>
        <v>-51</v>
      </c>
      <c r="AW12" s="413">
        <v>0</v>
      </c>
      <c r="AX12" s="413">
        <v>0</v>
      </c>
      <c r="AY12" s="413">
        <f>AW12+AX12</f>
        <v>0</v>
      </c>
      <c r="AZ12" s="413">
        <f>AT12+AU12+AV12+AY12</f>
        <v>-51</v>
      </c>
      <c r="BA12" s="414">
        <v>0</v>
      </c>
      <c r="BB12" s="414">
        <v>-0.02</v>
      </c>
      <c r="BC12" s="414">
        <v>0</v>
      </c>
      <c r="BD12" s="414">
        <v>0</v>
      </c>
      <c r="BE12" s="414">
        <v>0</v>
      </c>
      <c r="BF12" s="414">
        <v>0</v>
      </c>
      <c r="BG12" s="414">
        <v>0</v>
      </c>
      <c r="BH12" s="414">
        <v>0</v>
      </c>
      <c r="BI12" s="414">
        <v>0</v>
      </c>
      <c r="BJ12" s="414">
        <v>0</v>
      </c>
      <c r="BK12" s="414">
        <f>BA12+BC12+BD12+BF12+BH12+BI12</f>
        <v>0</v>
      </c>
      <c r="BL12" s="414">
        <f>BB12+BE12+BG12+BJ12</f>
        <v>-0.02</v>
      </c>
      <c r="BM12" s="610">
        <f>SUM(BK12:BL12)</f>
        <v>-0.02</v>
      </c>
      <c r="BN12" s="415">
        <f>I12+AZ12</f>
        <v>3507011</v>
      </c>
      <c r="BO12" s="413">
        <f>J12+AH12</f>
        <v>2586014</v>
      </c>
      <c r="BP12" s="413">
        <f t="shared" ref="BP12:BQ14" si="2">K12+AF12</f>
        <v>2356014</v>
      </c>
      <c r="BQ12" s="413">
        <f t="shared" si="2"/>
        <v>230000</v>
      </c>
      <c r="BR12" s="413">
        <f>M12+AQ12</f>
        <v>5120</v>
      </c>
      <c r="BS12" s="413">
        <f t="shared" ref="BS12:BT14" si="3">N12+AO12</f>
        <v>0</v>
      </c>
      <c r="BT12" s="413">
        <f t="shared" si="3"/>
        <v>5120</v>
      </c>
      <c r="BU12" s="413">
        <f t="shared" ref="BU12:BV14" si="4">P12+AU12</f>
        <v>875803</v>
      </c>
      <c r="BV12" s="413">
        <f t="shared" si="4"/>
        <v>25860</v>
      </c>
      <c r="BW12" s="413">
        <f>R12+AY12</f>
        <v>14214</v>
      </c>
      <c r="BX12" s="414">
        <f>S12+BM12</f>
        <v>4.8445999999999998</v>
      </c>
      <c r="BY12" s="414">
        <f t="shared" ref="BY12:BZ14" si="5">T12+BK12</f>
        <v>4.0644999999999998</v>
      </c>
      <c r="BZ12" s="610">
        <f t="shared" si="5"/>
        <v>0.78010000000000002</v>
      </c>
      <c r="CA12" s="408"/>
      <c r="CB12" s="409"/>
      <c r="CC12" s="409"/>
      <c r="CD12" s="409"/>
      <c r="CE12" s="409"/>
      <c r="CF12" s="509"/>
    </row>
    <row r="13" spans="1:84" ht="12.95" customHeight="1" x14ac:dyDescent="0.25">
      <c r="A13" s="282">
        <v>1</v>
      </c>
      <c r="B13" s="323">
        <v>5489</v>
      </c>
      <c r="C13" s="324">
        <v>600099482</v>
      </c>
      <c r="D13" s="283">
        <v>71166289</v>
      </c>
      <c r="E13" s="325" t="s">
        <v>351</v>
      </c>
      <c r="F13" s="283">
        <v>3111</v>
      </c>
      <c r="G13" s="325" t="s">
        <v>299</v>
      </c>
      <c r="H13" s="286" t="s">
        <v>272</v>
      </c>
      <c r="I13" s="423">
        <f t="shared" ref="I13:I14" si="6">J13+P13+Q13+R13</f>
        <v>0</v>
      </c>
      <c r="J13" s="418">
        <f t="shared" ref="J13:J76" si="7">K13+L13</f>
        <v>0</v>
      </c>
      <c r="K13" s="418">
        <v>0</v>
      </c>
      <c r="L13" s="418">
        <v>0</v>
      </c>
      <c r="M13" s="418">
        <f>N13+O13</f>
        <v>0</v>
      </c>
      <c r="N13" s="418">
        <v>0</v>
      </c>
      <c r="O13" s="418">
        <v>0</v>
      </c>
      <c r="P13" s="68">
        <f t="shared" ref="P13:P14" si="8">ROUND((J13+M13)*33.8%,0)</f>
        <v>0</v>
      </c>
      <c r="Q13" s="68">
        <f t="shared" ref="Q13:Q14" si="9">ROUND(J13*1%,0)</f>
        <v>0</v>
      </c>
      <c r="R13" s="418">
        <v>0</v>
      </c>
      <c r="S13" s="419">
        <f>T13+U13</f>
        <v>0</v>
      </c>
      <c r="T13" s="420">
        <v>0</v>
      </c>
      <c r="U13" s="527">
        <v>0</v>
      </c>
      <c r="V13" s="427">
        <f t="shared" si="0"/>
        <v>0</v>
      </c>
      <c r="W13" s="421">
        <f t="shared" si="0"/>
        <v>0</v>
      </c>
      <c r="X13" s="421">
        <v>0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f>V13+X13+Y13+AA13+AB13+AD13</f>
        <v>0</v>
      </c>
      <c r="AG13" s="421">
        <f>W13+Z13+AC13+AE13</f>
        <v>0</v>
      </c>
      <c r="AH13" s="421">
        <f>SUM(AF13:AG13)</f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f>AI13+AK13+AL13+AM13</f>
        <v>0</v>
      </c>
      <c r="AP13" s="421">
        <f>AJ13+AN13</f>
        <v>0</v>
      </c>
      <c r="AQ13" s="421">
        <f>SUM(AO13:AP13)</f>
        <v>0</v>
      </c>
      <c r="AR13" s="421">
        <f t="shared" si="1"/>
        <v>0</v>
      </c>
      <c r="AS13" s="421">
        <f t="shared" si="1"/>
        <v>0</v>
      </c>
      <c r="AT13" s="421">
        <f>SUM(AR13:AS13)</f>
        <v>0</v>
      </c>
      <c r="AU13" s="68">
        <f>ROUND((AH13+AI13+AJ13+AK13+AL13)*33.8%,0)</f>
        <v>0</v>
      </c>
      <c r="AV13" s="68">
        <f>ROUND(AH13*1%,0)</f>
        <v>0</v>
      </c>
      <c r="AW13" s="421">
        <v>0</v>
      </c>
      <c r="AX13" s="421">
        <v>0</v>
      </c>
      <c r="AY13" s="421">
        <f>AW13+AX13</f>
        <v>0</v>
      </c>
      <c r="AZ13" s="421">
        <f>AT13+AU13+AV13+AY13</f>
        <v>0</v>
      </c>
      <c r="BA13" s="422">
        <v>0</v>
      </c>
      <c r="BB13" s="422">
        <v>0</v>
      </c>
      <c r="BC13" s="422">
        <v>0</v>
      </c>
      <c r="BD13" s="422">
        <v>0</v>
      </c>
      <c r="BE13" s="422">
        <v>0</v>
      </c>
      <c r="BF13" s="422">
        <v>0</v>
      </c>
      <c r="BG13" s="422">
        <v>0</v>
      </c>
      <c r="BH13" s="422">
        <v>0</v>
      </c>
      <c r="BI13" s="422">
        <v>0</v>
      </c>
      <c r="BJ13" s="422">
        <v>0</v>
      </c>
      <c r="BK13" s="422">
        <f>BA13+BC13+BD13+BF13+BH13+BI13</f>
        <v>0</v>
      </c>
      <c r="BL13" s="422">
        <f>BB13+BE13+BG13+BJ13</f>
        <v>0</v>
      </c>
      <c r="BM13" s="611">
        <f>SUM(BK13:BL13)</f>
        <v>0</v>
      </c>
      <c r="BN13" s="428">
        <f>I13+AZ13</f>
        <v>0</v>
      </c>
      <c r="BO13" s="421">
        <f>J13+AH13</f>
        <v>0</v>
      </c>
      <c r="BP13" s="421">
        <f t="shared" si="2"/>
        <v>0</v>
      </c>
      <c r="BQ13" s="421">
        <f t="shared" si="2"/>
        <v>0</v>
      </c>
      <c r="BR13" s="421">
        <f>M13+AQ13</f>
        <v>0</v>
      </c>
      <c r="BS13" s="421">
        <f t="shared" si="3"/>
        <v>0</v>
      </c>
      <c r="BT13" s="421">
        <f t="shared" si="3"/>
        <v>0</v>
      </c>
      <c r="BU13" s="421">
        <f t="shared" si="4"/>
        <v>0</v>
      </c>
      <c r="BV13" s="421">
        <f t="shared" si="4"/>
        <v>0</v>
      </c>
      <c r="BW13" s="421">
        <f>R13+AY13</f>
        <v>0</v>
      </c>
      <c r="BX13" s="422">
        <f>S13+BM13</f>
        <v>0</v>
      </c>
      <c r="BY13" s="422">
        <f t="shared" si="5"/>
        <v>0</v>
      </c>
      <c r="BZ13" s="611">
        <f t="shared" si="5"/>
        <v>0</v>
      </c>
      <c r="CA13" s="423"/>
      <c r="CB13" s="418"/>
      <c r="CC13" s="418"/>
      <c r="CD13" s="418"/>
      <c r="CE13" s="418"/>
      <c r="CF13" s="527"/>
    </row>
    <row r="14" spans="1:84" ht="12.95" customHeight="1" x14ac:dyDescent="0.25">
      <c r="A14" s="282">
        <v>1</v>
      </c>
      <c r="B14" s="323">
        <v>5489</v>
      </c>
      <c r="C14" s="324">
        <v>600099482</v>
      </c>
      <c r="D14" s="283">
        <v>71166289</v>
      </c>
      <c r="E14" s="325" t="s">
        <v>351</v>
      </c>
      <c r="F14" s="283">
        <v>3141</v>
      </c>
      <c r="G14" s="325" t="s">
        <v>295</v>
      </c>
      <c r="H14" s="286" t="s">
        <v>272</v>
      </c>
      <c r="I14" s="423">
        <f t="shared" si="6"/>
        <v>412027</v>
      </c>
      <c r="J14" s="418">
        <f t="shared" si="7"/>
        <v>304567</v>
      </c>
      <c r="K14" s="418">
        <v>0</v>
      </c>
      <c r="L14" s="418">
        <v>304567</v>
      </c>
      <c r="M14" s="418">
        <f>N14+O14</f>
        <v>0</v>
      </c>
      <c r="N14" s="418">
        <v>0</v>
      </c>
      <c r="O14" s="418">
        <v>0</v>
      </c>
      <c r="P14" s="68">
        <f t="shared" si="8"/>
        <v>102944</v>
      </c>
      <c r="Q14" s="68">
        <f t="shared" si="9"/>
        <v>3046</v>
      </c>
      <c r="R14" s="418">
        <v>1470</v>
      </c>
      <c r="S14" s="419">
        <f>T14+U14</f>
        <v>0.9133</v>
      </c>
      <c r="T14" s="420">
        <v>0</v>
      </c>
      <c r="U14" s="527">
        <v>0.9133</v>
      </c>
      <c r="V14" s="427">
        <f t="shared" si="0"/>
        <v>0</v>
      </c>
      <c r="W14" s="421">
        <f t="shared" si="0"/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f>V14+X14+Y14+AA14+AB14+AD14</f>
        <v>0</v>
      </c>
      <c r="AG14" s="421">
        <f>W14+Z14+AC14+AE14</f>
        <v>0</v>
      </c>
      <c r="AH14" s="421">
        <f>SUM(AF14:AG14)</f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f>AI14+AK14+AL14+AM14</f>
        <v>0</v>
      </c>
      <c r="AP14" s="421">
        <f>AJ14+AN14</f>
        <v>0</v>
      </c>
      <c r="AQ14" s="421">
        <f>SUM(AO14:AP14)</f>
        <v>0</v>
      </c>
      <c r="AR14" s="421">
        <f t="shared" si="1"/>
        <v>0</v>
      </c>
      <c r="AS14" s="421">
        <f t="shared" si="1"/>
        <v>0</v>
      </c>
      <c r="AT14" s="421">
        <f>SUM(AR14:AS14)</f>
        <v>0</v>
      </c>
      <c r="AU14" s="68">
        <f>ROUND((AH14+AI14+AJ14+AK14+AL14)*33.8%,0)</f>
        <v>0</v>
      </c>
      <c r="AV14" s="68">
        <f>ROUND(AH14*1%,0)</f>
        <v>0</v>
      </c>
      <c r="AW14" s="421">
        <v>0</v>
      </c>
      <c r="AX14" s="421">
        <v>0</v>
      </c>
      <c r="AY14" s="421">
        <f>AW14+AX14</f>
        <v>0</v>
      </c>
      <c r="AZ14" s="421">
        <f>AT14+AU14+AV14+AY14</f>
        <v>0</v>
      </c>
      <c r="BA14" s="422">
        <v>0</v>
      </c>
      <c r="BB14" s="422">
        <v>0</v>
      </c>
      <c r="BC14" s="422">
        <v>0</v>
      </c>
      <c r="BD14" s="422">
        <v>0</v>
      </c>
      <c r="BE14" s="422">
        <v>0</v>
      </c>
      <c r="BF14" s="422">
        <v>0</v>
      </c>
      <c r="BG14" s="422">
        <v>0</v>
      </c>
      <c r="BH14" s="422">
        <v>0</v>
      </c>
      <c r="BI14" s="422">
        <v>0</v>
      </c>
      <c r="BJ14" s="422">
        <v>0</v>
      </c>
      <c r="BK14" s="422">
        <f>BA14+BC14+BD14+BF14+BH14+BI14</f>
        <v>0</v>
      </c>
      <c r="BL14" s="422">
        <f>BB14+BE14+BG14+BJ14</f>
        <v>0</v>
      </c>
      <c r="BM14" s="611">
        <f>SUM(BK14:BL14)</f>
        <v>0</v>
      </c>
      <c r="BN14" s="428">
        <f>I14+AZ14</f>
        <v>412027</v>
      </c>
      <c r="BO14" s="421">
        <f>J14+AH14</f>
        <v>304567</v>
      </c>
      <c r="BP14" s="421">
        <f t="shared" si="2"/>
        <v>0</v>
      </c>
      <c r="BQ14" s="421">
        <f t="shared" si="2"/>
        <v>304567</v>
      </c>
      <c r="BR14" s="421">
        <f>M14+AQ14</f>
        <v>0</v>
      </c>
      <c r="BS14" s="421">
        <f t="shared" si="3"/>
        <v>0</v>
      </c>
      <c r="BT14" s="421">
        <f t="shared" si="3"/>
        <v>0</v>
      </c>
      <c r="BU14" s="421">
        <f t="shared" si="4"/>
        <v>102944</v>
      </c>
      <c r="BV14" s="421">
        <f t="shared" si="4"/>
        <v>3046</v>
      </c>
      <c r="BW14" s="421">
        <f>R14+AY14</f>
        <v>1470</v>
      </c>
      <c r="BX14" s="422">
        <f>S14+BM14</f>
        <v>0.9133</v>
      </c>
      <c r="BY14" s="422">
        <f t="shared" si="5"/>
        <v>0</v>
      </c>
      <c r="BZ14" s="611">
        <f t="shared" si="5"/>
        <v>0.9133</v>
      </c>
      <c r="CA14" s="423"/>
      <c r="CB14" s="418"/>
      <c r="CC14" s="418"/>
      <c r="CD14" s="418"/>
      <c r="CE14" s="418"/>
      <c r="CF14" s="527"/>
    </row>
    <row r="15" spans="1:84" ht="12.95" customHeight="1" x14ac:dyDescent="0.25">
      <c r="A15" s="326">
        <v>1</v>
      </c>
      <c r="B15" s="327">
        <v>5489</v>
      </c>
      <c r="C15" s="328">
        <v>600099482</v>
      </c>
      <c r="D15" s="327">
        <v>71166289</v>
      </c>
      <c r="E15" s="329" t="s">
        <v>352</v>
      </c>
      <c r="F15" s="277"/>
      <c r="G15" s="329"/>
      <c r="H15" s="291"/>
      <c r="I15" s="481">
        <f t="shared" ref="I15:BU15" si="10">SUM(I12:I14)</f>
        <v>3919089</v>
      </c>
      <c r="J15" s="477">
        <f t="shared" si="10"/>
        <v>2895701</v>
      </c>
      <c r="K15" s="477">
        <f t="shared" si="10"/>
        <v>2356014</v>
      </c>
      <c r="L15" s="477">
        <f t="shared" si="10"/>
        <v>539687</v>
      </c>
      <c r="M15" s="477">
        <f t="shared" si="10"/>
        <v>0</v>
      </c>
      <c r="N15" s="477">
        <f t="shared" si="10"/>
        <v>0</v>
      </c>
      <c r="O15" s="477">
        <f t="shared" si="10"/>
        <v>0</v>
      </c>
      <c r="P15" s="477">
        <f t="shared" si="10"/>
        <v>978747</v>
      </c>
      <c r="Q15" s="477">
        <f t="shared" si="10"/>
        <v>28957</v>
      </c>
      <c r="R15" s="477">
        <f t="shared" si="10"/>
        <v>15684</v>
      </c>
      <c r="S15" s="478">
        <f t="shared" si="10"/>
        <v>5.7778999999999989</v>
      </c>
      <c r="T15" s="478">
        <f t="shared" si="10"/>
        <v>4.0644999999999998</v>
      </c>
      <c r="U15" s="330">
        <f t="shared" si="10"/>
        <v>1.7134</v>
      </c>
      <c r="V15" s="483">
        <f t="shared" si="10"/>
        <v>0</v>
      </c>
      <c r="W15" s="477">
        <f t="shared" si="10"/>
        <v>-5120</v>
      </c>
      <c r="X15" s="477">
        <f t="shared" si="10"/>
        <v>0</v>
      </c>
      <c r="Y15" s="477">
        <f t="shared" si="10"/>
        <v>0</v>
      </c>
      <c r="Z15" s="477">
        <f t="shared" si="10"/>
        <v>0</v>
      </c>
      <c r="AA15" s="477">
        <f t="shared" si="10"/>
        <v>0</v>
      </c>
      <c r="AB15" s="477">
        <f t="shared" si="10"/>
        <v>0</v>
      </c>
      <c r="AC15" s="477">
        <f t="shared" si="10"/>
        <v>0</v>
      </c>
      <c r="AD15" s="477">
        <f t="shared" si="10"/>
        <v>0</v>
      </c>
      <c r="AE15" s="477">
        <f t="shared" si="10"/>
        <v>0</v>
      </c>
      <c r="AF15" s="477">
        <f t="shared" si="10"/>
        <v>0</v>
      </c>
      <c r="AG15" s="477">
        <f t="shared" si="10"/>
        <v>-5120</v>
      </c>
      <c r="AH15" s="477">
        <f t="shared" si="10"/>
        <v>-5120</v>
      </c>
      <c r="AI15" s="477">
        <f t="shared" si="10"/>
        <v>0</v>
      </c>
      <c r="AJ15" s="477">
        <f t="shared" si="10"/>
        <v>5120</v>
      </c>
      <c r="AK15" s="477">
        <f t="shared" ref="AK15" si="11">SUM(AK12:AK14)</f>
        <v>0</v>
      </c>
      <c r="AL15" s="477">
        <f t="shared" si="10"/>
        <v>0</v>
      </c>
      <c r="AM15" s="477">
        <f t="shared" si="10"/>
        <v>0</v>
      </c>
      <c r="AN15" s="477">
        <f t="shared" si="10"/>
        <v>0</v>
      </c>
      <c r="AO15" s="477">
        <f t="shared" si="10"/>
        <v>0</v>
      </c>
      <c r="AP15" s="477">
        <f t="shared" si="10"/>
        <v>5120</v>
      </c>
      <c r="AQ15" s="477">
        <f t="shared" si="10"/>
        <v>5120</v>
      </c>
      <c r="AR15" s="477">
        <f t="shared" si="10"/>
        <v>0</v>
      </c>
      <c r="AS15" s="477">
        <f t="shared" si="10"/>
        <v>0</v>
      </c>
      <c r="AT15" s="477">
        <f t="shared" si="10"/>
        <v>0</v>
      </c>
      <c r="AU15" s="477">
        <f t="shared" si="10"/>
        <v>0</v>
      </c>
      <c r="AV15" s="477">
        <f t="shared" si="10"/>
        <v>-51</v>
      </c>
      <c r="AW15" s="477">
        <f t="shared" si="10"/>
        <v>0</v>
      </c>
      <c r="AX15" s="477">
        <f t="shared" si="10"/>
        <v>0</v>
      </c>
      <c r="AY15" s="477">
        <f t="shared" si="10"/>
        <v>0</v>
      </c>
      <c r="AZ15" s="477">
        <f t="shared" si="10"/>
        <v>-51</v>
      </c>
      <c r="BA15" s="478">
        <f t="shared" si="10"/>
        <v>0</v>
      </c>
      <c r="BB15" s="478">
        <f t="shared" si="10"/>
        <v>-0.02</v>
      </c>
      <c r="BC15" s="478">
        <f t="shared" si="10"/>
        <v>0</v>
      </c>
      <c r="BD15" s="478">
        <f t="shared" si="10"/>
        <v>0</v>
      </c>
      <c r="BE15" s="478">
        <f t="shared" si="10"/>
        <v>0</v>
      </c>
      <c r="BF15" s="478">
        <f t="shared" si="10"/>
        <v>0</v>
      </c>
      <c r="BG15" s="478">
        <f t="shared" si="10"/>
        <v>0</v>
      </c>
      <c r="BH15" s="478">
        <f t="shared" si="10"/>
        <v>0</v>
      </c>
      <c r="BI15" s="478">
        <f t="shared" si="10"/>
        <v>0</v>
      </c>
      <c r="BJ15" s="478">
        <f t="shared" si="10"/>
        <v>0</v>
      </c>
      <c r="BK15" s="478">
        <f t="shared" si="10"/>
        <v>0</v>
      </c>
      <c r="BL15" s="478">
        <f t="shared" si="10"/>
        <v>-0.02</v>
      </c>
      <c r="BM15" s="559">
        <f t="shared" si="10"/>
        <v>-0.02</v>
      </c>
      <c r="BN15" s="481">
        <f t="shared" si="10"/>
        <v>3919038</v>
      </c>
      <c r="BO15" s="477">
        <f t="shared" si="10"/>
        <v>2890581</v>
      </c>
      <c r="BP15" s="477">
        <f t="shared" si="10"/>
        <v>2356014</v>
      </c>
      <c r="BQ15" s="477">
        <f t="shared" si="10"/>
        <v>534567</v>
      </c>
      <c r="BR15" s="477">
        <f t="shared" si="10"/>
        <v>5120</v>
      </c>
      <c r="BS15" s="477">
        <f t="shared" si="10"/>
        <v>0</v>
      </c>
      <c r="BT15" s="477">
        <f t="shared" si="10"/>
        <v>5120</v>
      </c>
      <c r="BU15" s="477">
        <f t="shared" si="10"/>
        <v>978747</v>
      </c>
      <c r="BV15" s="477">
        <f t="shared" ref="BV15:CF15" si="12">SUM(BV12:BV14)</f>
        <v>28906</v>
      </c>
      <c r="BW15" s="477">
        <f t="shared" si="12"/>
        <v>15684</v>
      </c>
      <c r="BX15" s="478">
        <f t="shared" si="12"/>
        <v>5.7578999999999994</v>
      </c>
      <c r="BY15" s="478">
        <f t="shared" si="12"/>
        <v>4.0644999999999998</v>
      </c>
      <c r="BZ15" s="559">
        <f t="shared" si="12"/>
        <v>1.6934</v>
      </c>
      <c r="CA15" s="885">
        <f t="shared" si="12"/>
        <v>0</v>
      </c>
      <c r="CB15" s="883">
        <f t="shared" si="12"/>
        <v>0</v>
      </c>
      <c r="CC15" s="883">
        <f t="shared" si="12"/>
        <v>0</v>
      </c>
      <c r="CD15" s="883">
        <f t="shared" si="12"/>
        <v>0</v>
      </c>
      <c r="CE15" s="883">
        <f t="shared" si="12"/>
        <v>0</v>
      </c>
      <c r="CF15" s="845">
        <f t="shared" si="12"/>
        <v>0</v>
      </c>
    </row>
    <row r="16" spans="1:84" ht="12.95" customHeight="1" x14ac:dyDescent="0.25">
      <c r="A16" s="282">
        <v>2</v>
      </c>
      <c r="B16" s="323">
        <v>5451</v>
      </c>
      <c r="C16" s="324">
        <v>600098893</v>
      </c>
      <c r="D16" s="283">
        <v>70939331</v>
      </c>
      <c r="E16" s="325" t="s">
        <v>353</v>
      </c>
      <c r="F16" s="283">
        <v>3111</v>
      </c>
      <c r="G16" s="325" t="s">
        <v>305</v>
      </c>
      <c r="H16" s="286" t="s">
        <v>271</v>
      </c>
      <c r="I16" s="423">
        <f t="shared" ref="I16:I18" si="13">J16+P16+Q16+R16</f>
        <v>10748679</v>
      </c>
      <c r="J16" s="418">
        <f t="shared" si="7"/>
        <v>7946146</v>
      </c>
      <c r="K16" s="418">
        <v>7171250</v>
      </c>
      <c r="L16" s="418">
        <v>774896</v>
      </c>
      <c r="M16" s="418">
        <f t="shared" ref="M16:M18" si="14">N16+O16</f>
        <v>0</v>
      </c>
      <c r="N16" s="418">
        <v>0</v>
      </c>
      <c r="O16" s="418">
        <v>0</v>
      </c>
      <c r="P16" s="68">
        <f t="shared" ref="P16:P18" si="15">ROUND((J16+M16)*33.8%,0)</f>
        <v>2685797</v>
      </c>
      <c r="Q16" s="68">
        <f t="shared" ref="Q16:Q18" si="16">ROUND(J16*1%,0)</f>
        <v>79461</v>
      </c>
      <c r="R16" s="418">
        <v>37275</v>
      </c>
      <c r="S16" s="419">
        <f>T16+U16</f>
        <v>14.8993</v>
      </c>
      <c r="T16" s="420">
        <v>12.2258</v>
      </c>
      <c r="U16" s="527">
        <v>2.6734999999999998</v>
      </c>
      <c r="V16" s="427">
        <f t="shared" ref="V16:W18" si="17">AI16*-1</f>
        <v>0</v>
      </c>
      <c r="W16" s="421">
        <f t="shared" si="17"/>
        <v>-43776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f>V16+X16+Y16+AA16+AB16+AD16</f>
        <v>0</v>
      </c>
      <c r="AG16" s="421">
        <f>W16+Z16+AC16+AE16</f>
        <v>-43776</v>
      </c>
      <c r="AH16" s="421">
        <f>SUM(AF16:AG16)</f>
        <v>-43776</v>
      </c>
      <c r="AI16" s="421">
        <v>0</v>
      </c>
      <c r="AJ16" s="421">
        <v>43776</v>
      </c>
      <c r="AK16" s="421">
        <v>0</v>
      </c>
      <c r="AL16" s="421">
        <v>0</v>
      </c>
      <c r="AM16" s="421">
        <v>0</v>
      </c>
      <c r="AN16" s="421">
        <v>0</v>
      </c>
      <c r="AO16" s="421">
        <f t="shared" ref="AO16:AO18" si="18">AI16+AK16+AL16+AM16</f>
        <v>0</v>
      </c>
      <c r="AP16" s="421">
        <f>AJ16+AN16</f>
        <v>43776</v>
      </c>
      <c r="AQ16" s="421">
        <f>SUM(AO16:AP16)</f>
        <v>43776</v>
      </c>
      <c r="AR16" s="421">
        <f t="shared" ref="AR16:AS18" si="19">AF16+AO16</f>
        <v>0</v>
      </c>
      <c r="AS16" s="421">
        <f t="shared" si="19"/>
        <v>0</v>
      </c>
      <c r="AT16" s="421">
        <f>SUM(AR16:AS16)</f>
        <v>0</v>
      </c>
      <c r="AU16" s="68">
        <f t="shared" ref="AU16:AU18" si="20">ROUND((AH16+AI16+AJ16+AK16+AL16)*33.8%,0)</f>
        <v>0</v>
      </c>
      <c r="AV16" s="68">
        <f>ROUND(AH16*1%,0)</f>
        <v>-438</v>
      </c>
      <c r="AW16" s="421">
        <v>0</v>
      </c>
      <c r="AX16" s="421">
        <v>0</v>
      </c>
      <c r="AY16" s="421">
        <f>AW16+AX16</f>
        <v>0</v>
      </c>
      <c r="AZ16" s="421">
        <f>AT16+AU16+AV16+AY16</f>
        <v>-438</v>
      </c>
      <c r="BA16" s="422">
        <v>0</v>
      </c>
      <c r="BB16" s="422">
        <v>0</v>
      </c>
      <c r="BC16" s="422">
        <v>0</v>
      </c>
      <c r="BD16" s="422">
        <v>0</v>
      </c>
      <c r="BE16" s="422">
        <v>0</v>
      </c>
      <c r="BF16" s="422">
        <v>0</v>
      </c>
      <c r="BG16" s="422">
        <v>0</v>
      </c>
      <c r="BH16" s="422">
        <v>0</v>
      </c>
      <c r="BI16" s="422">
        <v>0</v>
      </c>
      <c r="BJ16" s="422">
        <v>0</v>
      </c>
      <c r="BK16" s="422">
        <f>BA16+BC16+BD16+BF16+BH16+BI16</f>
        <v>0</v>
      </c>
      <c r="BL16" s="422">
        <f>BB16+BE16+BG16+BJ16</f>
        <v>0</v>
      </c>
      <c r="BM16" s="611">
        <f>SUM(BK16:BL16)</f>
        <v>0</v>
      </c>
      <c r="BN16" s="428">
        <f>I16+AZ16</f>
        <v>10748241</v>
      </c>
      <c r="BO16" s="421">
        <f>J16+AH16</f>
        <v>7902370</v>
      </c>
      <c r="BP16" s="421">
        <f t="shared" ref="BP16:BQ18" si="21">K16+AF16</f>
        <v>7171250</v>
      </c>
      <c r="BQ16" s="421">
        <f t="shared" si="21"/>
        <v>731120</v>
      </c>
      <c r="BR16" s="421">
        <f>M16+AQ16</f>
        <v>43776</v>
      </c>
      <c r="BS16" s="421">
        <f t="shared" ref="BS16:BT18" si="22">N16+AO16</f>
        <v>0</v>
      </c>
      <c r="BT16" s="421">
        <f t="shared" si="22"/>
        <v>43776</v>
      </c>
      <c r="BU16" s="421">
        <f t="shared" ref="BU16:BV18" si="23">P16+AU16</f>
        <v>2685797</v>
      </c>
      <c r="BV16" s="421">
        <f t="shared" si="23"/>
        <v>79023</v>
      </c>
      <c r="BW16" s="421">
        <f>R16+AY16</f>
        <v>37275</v>
      </c>
      <c r="BX16" s="422">
        <f>S16+BM16</f>
        <v>14.8993</v>
      </c>
      <c r="BY16" s="422">
        <f t="shared" ref="BY16:BZ18" si="24">T16+BK16</f>
        <v>12.2258</v>
      </c>
      <c r="BZ16" s="611">
        <f t="shared" si="24"/>
        <v>2.6734999999999998</v>
      </c>
      <c r="CA16" s="423"/>
      <c r="CB16" s="418"/>
      <c r="CC16" s="418"/>
      <c r="CD16" s="418"/>
      <c r="CE16" s="418"/>
      <c r="CF16" s="527"/>
    </row>
    <row r="17" spans="1:84" ht="12.95" customHeight="1" x14ac:dyDescent="0.25">
      <c r="A17" s="282">
        <v>2</v>
      </c>
      <c r="B17" s="323">
        <v>5451</v>
      </c>
      <c r="C17" s="324">
        <v>600098893</v>
      </c>
      <c r="D17" s="283">
        <v>70939331</v>
      </c>
      <c r="E17" s="325" t="s">
        <v>353</v>
      </c>
      <c r="F17" s="283">
        <v>3111</v>
      </c>
      <c r="G17" s="325" t="s">
        <v>293</v>
      </c>
      <c r="H17" s="286" t="s">
        <v>271</v>
      </c>
      <c r="I17" s="423">
        <f t="shared" si="13"/>
        <v>523941</v>
      </c>
      <c r="J17" s="418">
        <f t="shared" si="7"/>
        <v>388680</v>
      </c>
      <c r="K17" s="418">
        <v>388680</v>
      </c>
      <c r="L17" s="418">
        <v>0</v>
      </c>
      <c r="M17" s="418">
        <f t="shared" si="14"/>
        <v>0</v>
      </c>
      <c r="N17" s="418">
        <v>0</v>
      </c>
      <c r="O17" s="418">
        <v>0</v>
      </c>
      <c r="P17" s="68">
        <f t="shared" si="15"/>
        <v>131374</v>
      </c>
      <c r="Q17" s="68">
        <f t="shared" si="16"/>
        <v>3887</v>
      </c>
      <c r="R17" s="418">
        <v>0</v>
      </c>
      <c r="S17" s="419">
        <f>T17+U17</f>
        <v>1</v>
      </c>
      <c r="T17" s="420">
        <v>1</v>
      </c>
      <c r="U17" s="527">
        <v>0</v>
      </c>
      <c r="V17" s="427">
        <f t="shared" si="17"/>
        <v>0</v>
      </c>
      <c r="W17" s="421">
        <f t="shared" si="17"/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f>V17+X17+Y17+AA17+AB17+AD17</f>
        <v>0</v>
      </c>
      <c r="AG17" s="421">
        <f>W17+Z17+AC17+AE17</f>
        <v>0</v>
      </c>
      <c r="AH17" s="421">
        <f>SUM(AF17:AG17)</f>
        <v>0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f t="shared" si="18"/>
        <v>0</v>
      </c>
      <c r="AP17" s="421">
        <f>AJ17+AN17</f>
        <v>0</v>
      </c>
      <c r="AQ17" s="421">
        <f>SUM(AO17:AP17)</f>
        <v>0</v>
      </c>
      <c r="AR17" s="421">
        <f t="shared" si="19"/>
        <v>0</v>
      </c>
      <c r="AS17" s="421">
        <f t="shared" si="19"/>
        <v>0</v>
      </c>
      <c r="AT17" s="421">
        <f>SUM(AR17:AS17)</f>
        <v>0</v>
      </c>
      <c r="AU17" s="68">
        <f t="shared" si="20"/>
        <v>0</v>
      </c>
      <c r="AV17" s="68">
        <f>ROUND(AH17*1%,0)</f>
        <v>0</v>
      </c>
      <c r="AW17" s="421">
        <v>0</v>
      </c>
      <c r="AX17" s="421">
        <v>0</v>
      </c>
      <c r="AY17" s="421">
        <f>AW17+AX17</f>
        <v>0</v>
      </c>
      <c r="AZ17" s="421">
        <f>AT17+AU17+AV17+AY17</f>
        <v>0</v>
      </c>
      <c r="BA17" s="422">
        <v>0</v>
      </c>
      <c r="BB17" s="422">
        <v>0</v>
      </c>
      <c r="BC17" s="422">
        <v>0</v>
      </c>
      <c r="BD17" s="422">
        <v>0</v>
      </c>
      <c r="BE17" s="422">
        <v>0</v>
      </c>
      <c r="BF17" s="422">
        <v>0</v>
      </c>
      <c r="BG17" s="422">
        <v>0</v>
      </c>
      <c r="BH17" s="422">
        <v>0</v>
      </c>
      <c r="BI17" s="422">
        <v>0</v>
      </c>
      <c r="BJ17" s="422">
        <v>0</v>
      </c>
      <c r="BK17" s="422">
        <f>BA17+BC17+BD17+BF17+BH17+BI17</f>
        <v>0</v>
      </c>
      <c r="BL17" s="422">
        <f>BB17+BE17+BG17+BJ17</f>
        <v>0</v>
      </c>
      <c r="BM17" s="611">
        <f>SUM(BK17:BL17)</f>
        <v>0</v>
      </c>
      <c r="BN17" s="428">
        <f>I17+AZ17</f>
        <v>523941</v>
      </c>
      <c r="BO17" s="421">
        <f>J17+AH17</f>
        <v>388680</v>
      </c>
      <c r="BP17" s="421">
        <f t="shared" si="21"/>
        <v>388680</v>
      </c>
      <c r="BQ17" s="421">
        <f t="shared" si="21"/>
        <v>0</v>
      </c>
      <c r="BR17" s="421">
        <f>M17+AQ17</f>
        <v>0</v>
      </c>
      <c r="BS17" s="421">
        <f t="shared" si="22"/>
        <v>0</v>
      </c>
      <c r="BT17" s="421">
        <f t="shared" si="22"/>
        <v>0</v>
      </c>
      <c r="BU17" s="421">
        <f t="shared" si="23"/>
        <v>131374</v>
      </c>
      <c r="BV17" s="421">
        <f t="shared" si="23"/>
        <v>3887</v>
      </c>
      <c r="BW17" s="421">
        <f>R17+AY17</f>
        <v>0</v>
      </c>
      <c r="BX17" s="422">
        <f>S17+BM17</f>
        <v>1</v>
      </c>
      <c r="BY17" s="422">
        <f t="shared" si="24"/>
        <v>1</v>
      </c>
      <c r="BZ17" s="611">
        <f t="shared" si="24"/>
        <v>0</v>
      </c>
      <c r="CA17" s="423"/>
      <c r="CB17" s="418"/>
      <c r="CC17" s="418"/>
      <c r="CD17" s="418"/>
      <c r="CE17" s="418"/>
      <c r="CF17" s="527"/>
    </row>
    <row r="18" spans="1:84" ht="12.95" customHeight="1" x14ac:dyDescent="0.25">
      <c r="A18" s="282">
        <v>2</v>
      </c>
      <c r="B18" s="323">
        <v>5451</v>
      </c>
      <c r="C18" s="324">
        <v>600098893</v>
      </c>
      <c r="D18" s="283">
        <v>70939331</v>
      </c>
      <c r="E18" s="325" t="s">
        <v>353</v>
      </c>
      <c r="F18" s="283">
        <v>3141</v>
      </c>
      <c r="G18" s="325" t="s">
        <v>295</v>
      </c>
      <c r="H18" s="286" t="s">
        <v>272</v>
      </c>
      <c r="I18" s="423">
        <f t="shared" si="13"/>
        <v>987362</v>
      </c>
      <c r="J18" s="418">
        <f t="shared" si="7"/>
        <v>729187</v>
      </c>
      <c r="K18" s="418">
        <v>0</v>
      </c>
      <c r="L18" s="418">
        <v>729187</v>
      </c>
      <c r="M18" s="418">
        <f t="shared" si="14"/>
        <v>0</v>
      </c>
      <c r="N18" s="418">
        <v>0</v>
      </c>
      <c r="O18" s="418">
        <v>0</v>
      </c>
      <c r="P18" s="68">
        <f t="shared" si="15"/>
        <v>246465</v>
      </c>
      <c r="Q18" s="68">
        <f t="shared" si="16"/>
        <v>7292</v>
      </c>
      <c r="R18" s="418">
        <v>4418</v>
      </c>
      <c r="S18" s="419">
        <f>T18+U18</f>
        <v>2.1865999999999999</v>
      </c>
      <c r="T18" s="420">
        <v>0</v>
      </c>
      <c r="U18" s="527">
        <v>2.1865999999999999</v>
      </c>
      <c r="V18" s="427">
        <f t="shared" si="17"/>
        <v>0</v>
      </c>
      <c r="W18" s="421">
        <f t="shared" si="17"/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f>V18+X18+Y18+AA18+AB18+AD18</f>
        <v>0</v>
      </c>
      <c r="AG18" s="421">
        <f>W18+Z18+AC18+AE18</f>
        <v>0</v>
      </c>
      <c r="AH18" s="421">
        <f>SUM(AF18:AG18)</f>
        <v>0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f t="shared" si="18"/>
        <v>0</v>
      </c>
      <c r="AP18" s="421">
        <f>AJ18+AN18</f>
        <v>0</v>
      </c>
      <c r="AQ18" s="421">
        <f>SUM(AO18:AP18)</f>
        <v>0</v>
      </c>
      <c r="AR18" s="421">
        <f t="shared" si="19"/>
        <v>0</v>
      </c>
      <c r="AS18" s="421">
        <f t="shared" si="19"/>
        <v>0</v>
      </c>
      <c r="AT18" s="421">
        <f>SUM(AR18:AS18)</f>
        <v>0</v>
      </c>
      <c r="AU18" s="68">
        <f t="shared" si="20"/>
        <v>0</v>
      </c>
      <c r="AV18" s="68">
        <f>ROUND(AH18*1%,0)</f>
        <v>0</v>
      </c>
      <c r="AW18" s="421">
        <v>0</v>
      </c>
      <c r="AX18" s="421">
        <v>0</v>
      </c>
      <c r="AY18" s="421">
        <f>AW18+AX18</f>
        <v>0</v>
      </c>
      <c r="AZ18" s="421">
        <f>AT18+AU18+AV18+AY18</f>
        <v>0</v>
      </c>
      <c r="BA18" s="422">
        <v>0</v>
      </c>
      <c r="BB18" s="422">
        <v>0</v>
      </c>
      <c r="BC18" s="422">
        <v>0</v>
      </c>
      <c r="BD18" s="422">
        <v>0</v>
      </c>
      <c r="BE18" s="422">
        <v>0</v>
      </c>
      <c r="BF18" s="422">
        <v>0</v>
      </c>
      <c r="BG18" s="422">
        <v>0</v>
      </c>
      <c r="BH18" s="422">
        <v>0</v>
      </c>
      <c r="BI18" s="422">
        <v>0</v>
      </c>
      <c r="BJ18" s="422">
        <v>0</v>
      </c>
      <c r="BK18" s="422">
        <f>BA18+BC18+BD18+BF18+BH18+BI18</f>
        <v>0</v>
      </c>
      <c r="BL18" s="422">
        <f>BB18+BE18+BG18+BJ18</f>
        <v>0</v>
      </c>
      <c r="BM18" s="611">
        <f>SUM(BK18:BL18)</f>
        <v>0</v>
      </c>
      <c r="BN18" s="428">
        <f>I18+AZ18</f>
        <v>987362</v>
      </c>
      <c r="BO18" s="421">
        <f>J18+AH18</f>
        <v>729187</v>
      </c>
      <c r="BP18" s="421">
        <f t="shared" si="21"/>
        <v>0</v>
      </c>
      <c r="BQ18" s="421">
        <f t="shared" si="21"/>
        <v>729187</v>
      </c>
      <c r="BR18" s="421">
        <f>M18+AQ18</f>
        <v>0</v>
      </c>
      <c r="BS18" s="421">
        <f t="shared" si="22"/>
        <v>0</v>
      </c>
      <c r="BT18" s="421">
        <f t="shared" si="22"/>
        <v>0</v>
      </c>
      <c r="BU18" s="421">
        <f t="shared" si="23"/>
        <v>246465</v>
      </c>
      <c r="BV18" s="421">
        <f t="shared" si="23"/>
        <v>7292</v>
      </c>
      <c r="BW18" s="421">
        <f>R18+AY18</f>
        <v>4418</v>
      </c>
      <c r="BX18" s="422">
        <f>S18+BM18</f>
        <v>2.1865999999999999</v>
      </c>
      <c r="BY18" s="422">
        <f t="shared" si="24"/>
        <v>0</v>
      </c>
      <c r="BZ18" s="611">
        <f t="shared" si="24"/>
        <v>2.1865999999999999</v>
      </c>
      <c r="CA18" s="423"/>
      <c r="CB18" s="418"/>
      <c r="CC18" s="418"/>
      <c r="CD18" s="418"/>
      <c r="CE18" s="418"/>
      <c r="CF18" s="527"/>
    </row>
    <row r="19" spans="1:84" ht="12.95" customHeight="1" x14ac:dyDescent="0.25">
      <c r="A19" s="326">
        <v>2</v>
      </c>
      <c r="B19" s="327">
        <v>5451</v>
      </c>
      <c r="C19" s="328">
        <v>600098893</v>
      </c>
      <c r="D19" s="327">
        <v>70939331</v>
      </c>
      <c r="E19" s="329" t="s">
        <v>354</v>
      </c>
      <c r="F19" s="277"/>
      <c r="G19" s="329"/>
      <c r="H19" s="291"/>
      <c r="I19" s="481">
        <f t="shared" ref="I19:BU19" si="25">SUM(I16:I18)</f>
        <v>12259982</v>
      </c>
      <c r="J19" s="477">
        <f t="shared" si="25"/>
        <v>9064013</v>
      </c>
      <c r="K19" s="477">
        <f t="shared" si="25"/>
        <v>7559930</v>
      </c>
      <c r="L19" s="477">
        <f t="shared" si="25"/>
        <v>1504083</v>
      </c>
      <c r="M19" s="477">
        <f t="shared" si="25"/>
        <v>0</v>
      </c>
      <c r="N19" s="477">
        <f t="shared" si="25"/>
        <v>0</v>
      </c>
      <c r="O19" s="477">
        <f t="shared" si="25"/>
        <v>0</v>
      </c>
      <c r="P19" s="477">
        <f t="shared" si="25"/>
        <v>3063636</v>
      </c>
      <c r="Q19" s="477">
        <f t="shared" si="25"/>
        <v>90640</v>
      </c>
      <c r="R19" s="477">
        <f t="shared" si="25"/>
        <v>41693</v>
      </c>
      <c r="S19" s="478">
        <f t="shared" si="25"/>
        <v>18.085899999999999</v>
      </c>
      <c r="T19" s="478">
        <f t="shared" si="25"/>
        <v>13.2258</v>
      </c>
      <c r="U19" s="330">
        <f t="shared" si="25"/>
        <v>4.8600999999999992</v>
      </c>
      <c r="V19" s="483">
        <f t="shared" si="25"/>
        <v>0</v>
      </c>
      <c r="W19" s="477">
        <f t="shared" si="25"/>
        <v>-43776</v>
      </c>
      <c r="X19" s="477">
        <f t="shared" si="25"/>
        <v>0</v>
      </c>
      <c r="Y19" s="477">
        <f t="shared" si="25"/>
        <v>0</v>
      </c>
      <c r="Z19" s="477">
        <f t="shared" si="25"/>
        <v>0</v>
      </c>
      <c r="AA19" s="477">
        <f t="shared" si="25"/>
        <v>0</v>
      </c>
      <c r="AB19" s="477">
        <f t="shared" si="25"/>
        <v>0</v>
      </c>
      <c r="AC19" s="477">
        <f t="shared" si="25"/>
        <v>0</v>
      </c>
      <c r="AD19" s="477">
        <f t="shared" si="25"/>
        <v>0</v>
      </c>
      <c r="AE19" s="477">
        <f t="shared" si="25"/>
        <v>0</v>
      </c>
      <c r="AF19" s="477">
        <f t="shared" si="25"/>
        <v>0</v>
      </c>
      <c r="AG19" s="477">
        <f t="shared" si="25"/>
        <v>-43776</v>
      </c>
      <c r="AH19" s="477">
        <f t="shared" si="25"/>
        <v>-43776</v>
      </c>
      <c r="AI19" s="477">
        <f t="shared" si="25"/>
        <v>0</v>
      </c>
      <c r="AJ19" s="477">
        <f t="shared" si="25"/>
        <v>43776</v>
      </c>
      <c r="AK19" s="477">
        <f t="shared" ref="AK19" si="26">SUM(AK16:AK18)</f>
        <v>0</v>
      </c>
      <c r="AL19" s="477">
        <f t="shared" si="25"/>
        <v>0</v>
      </c>
      <c r="AM19" s="477">
        <f t="shared" si="25"/>
        <v>0</v>
      </c>
      <c r="AN19" s="477">
        <f t="shared" si="25"/>
        <v>0</v>
      </c>
      <c r="AO19" s="477">
        <f t="shared" si="25"/>
        <v>0</v>
      </c>
      <c r="AP19" s="477">
        <f t="shared" si="25"/>
        <v>43776</v>
      </c>
      <c r="AQ19" s="477">
        <f t="shared" si="25"/>
        <v>43776</v>
      </c>
      <c r="AR19" s="477">
        <f t="shared" si="25"/>
        <v>0</v>
      </c>
      <c r="AS19" s="477">
        <f t="shared" si="25"/>
        <v>0</v>
      </c>
      <c r="AT19" s="477">
        <f t="shared" si="25"/>
        <v>0</v>
      </c>
      <c r="AU19" s="477">
        <f t="shared" si="25"/>
        <v>0</v>
      </c>
      <c r="AV19" s="477">
        <f t="shared" si="25"/>
        <v>-438</v>
      </c>
      <c r="AW19" s="477">
        <f t="shared" si="25"/>
        <v>0</v>
      </c>
      <c r="AX19" s="477">
        <f t="shared" si="25"/>
        <v>0</v>
      </c>
      <c r="AY19" s="477">
        <f t="shared" si="25"/>
        <v>0</v>
      </c>
      <c r="AZ19" s="477">
        <f t="shared" si="25"/>
        <v>-438</v>
      </c>
      <c r="BA19" s="478">
        <f t="shared" si="25"/>
        <v>0</v>
      </c>
      <c r="BB19" s="478">
        <f t="shared" si="25"/>
        <v>0</v>
      </c>
      <c r="BC19" s="478">
        <f t="shared" si="25"/>
        <v>0</v>
      </c>
      <c r="BD19" s="478">
        <f t="shared" si="25"/>
        <v>0</v>
      </c>
      <c r="BE19" s="478">
        <f t="shared" si="25"/>
        <v>0</v>
      </c>
      <c r="BF19" s="478">
        <f t="shared" si="25"/>
        <v>0</v>
      </c>
      <c r="BG19" s="478">
        <f t="shared" si="25"/>
        <v>0</v>
      </c>
      <c r="BH19" s="478">
        <f t="shared" si="25"/>
        <v>0</v>
      </c>
      <c r="BI19" s="478">
        <f t="shared" si="25"/>
        <v>0</v>
      </c>
      <c r="BJ19" s="478">
        <f t="shared" si="25"/>
        <v>0</v>
      </c>
      <c r="BK19" s="478">
        <f t="shared" si="25"/>
        <v>0</v>
      </c>
      <c r="BL19" s="478">
        <f t="shared" si="25"/>
        <v>0</v>
      </c>
      <c r="BM19" s="559">
        <f t="shared" si="25"/>
        <v>0</v>
      </c>
      <c r="BN19" s="481">
        <f t="shared" si="25"/>
        <v>12259544</v>
      </c>
      <c r="BO19" s="477">
        <f t="shared" si="25"/>
        <v>9020237</v>
      </c>
      <c r="BP19" s="477">
        <f t="shared" si="25"/>
        <v>7559930</v>
      </c>
      <c r="BQ19" s="477">
        <f t="shared" si="25"/>
        <v>1460307</v>
      </c>
      <c r="BR19" s="477">
        <f t="shared" si="25"/>
        <v>43776</v>
      </c>
      <c r="BS19" s="477">
        <f t="shared" si="25"/>
        <v>0</v>
      </c>
      <c r="BT19" s="477">
        <f t="shared" si="25"/>
        <v>43776</v>
      </c>
      <c r="BU19" s="477">
        <f t="shared" si="25"/>
        <v>3063636</v>
      </c>
      <c r="BV19" s="477">
        <f t="shared" ref="BV19:CF19" si="27">SUM(BV16:BV18)</f>
        <v>90202</v>
      </c>
      <c r="BW19" s="477">
        <f t="shared" si="27"/>
        <v>41693</v>
      </c>
      <c r="BX19" s="478">
        <f t="shared" si="27"/>
        <v>18.085899999999999</v>
      </c>
      <c r="BY19" s="478">
        <f t="shared" si="27"/>
        <v>13.2258</v>
      </c>
      <c r="BZ19" s="559">
        <f t="shared" si="27"/>
        <v>4.8600999999999992</v>
      </c>
      <c r="CA19" s="885">
        <f t="shared" si="27"/>
        <v>0</v>
      </c>
      <c r="CB19" s="883">
        <f t="shared" si="27"/>
        <v>0</v>
      </c>
      <c r="CC19" s="883">
        <f t="shared" si="27"/>
        <v>0</v>
      </c>
      <c r="CD19" s="883">
        <f t="shared" si="27"/>
        <v>0</v>
      </c>
      <c r="CE19" s="883">
        <f t="shared" si="27"/>
        <v>0</v>
      </c>
      <c r="CF19" s="845">
        <f t="shared" si="27"/>
        <v>0</v>
      </c>
    </row>
    <row r="20" spans="1:84" ht="12.95" customHeight="1" x14ac:dyDescent="0.25">
      <c r="A20" s="282">
        <v>3</v>
      </c>
      <c r="B20" s="323">
        <v>5450</v>
      </c>
      <c r="C20" s="324">
        <v>600098834</v>
      </c>
      <c r="D20" s="283">
        <v>70939322</v>
      </c>
      <c r="E20" s="325" t="s">
        <v>787</v>
      </c>
      <c r="F20" s="283">
        <v>3111</v>
      </c>
      <c r="G20" s="325" t="s">
        <v>305</v>
      </c>
      <c r="H20" s="286" t="s">
        <v>271</v>
      </c>
      <c r="I20" s="423">
        <f t="shared" ref="I20:I22" si="28">J20+P20+Q20+R20</f>
        <v>6776223</v>
      </c>
      <c r="J20" s="418">
        <f t="shared" si="7"/>
        <v>5008206</v>
      </c>
      <c r="K20" s="418">
        <v>4564660</v>
      </c>
      <c r="L20" s="418">
        <v>443546</v>
      </c>
      <c r="M20" s="418">
        <f t="shared" ref="M20:M22" si="29">N20+O20</f>
        <v>0</v>
      </c>
      <c r="N20" s="418">
        <v>0</v>
      </c>
      <c r="O20" s="418">
        <v>0</v>
      </c>
      <c r="P20" s="68">
        <f t="shared" ref="P20:P22" si="30">ROUND((J20+M20)*33.8%,0)</f>
        <v>1692774</v>
      </c>
      <c r="Q20" s="68">
        <f t="shared" ref="Q20:Q22" si="31">ROUND(J20*1%,0)</f>
        <v>50082</v>
      </c>
      <c r="R20" s="418">
        <v>25161</v>
      </c>
      <c r="S20" s="419">
        <f>T20+U20</f>
        <v>9.4392999999999994</v>
      </c>
      <c r="T20" s="420">
        <v>7.9459999999999997</v>
      </c>
      <c r="U20" s="527">
        <v>1.4933000000000001</v>
      </c>
      <c r="V20" s="427">
        <f t="shared" ref="V20:W22" si="32">AI20*-1</f>
        <v>-16000</v>
      </c>
      <c r="W20" s="421">
        <f t="shared" si="32"/>
        <v>-3200</v>
      </c>
      <c r="X20" s="421">
        <v>0</v>
      </c>
      <c r="Y20" s="421">
        <v>0</v>
      </c>
      <c r="Z20" s="421">
        <v>0</v>
      </c>
      <c r="AA20" s="421">
        <v>0</v>
      </c>
      <c r="AB20" s="421">
        <v>0</v>
      </c>
      <c r="AC20" s="421">
        <v>0</v>
      </c>
      <c r="AD20" s="421">
        <v>0</v>
      </c>
      <c r="AE20" s="421">
        <v>0</v>
      </c>
      <c r="AF20" s="421">
        <f>V20+X20+Y20+AA20+AB20+AD20</f>
        <v>-16000</v>
      </c>
      <c r="AG20" s="421">
        <f>W20+Z20+AC20+AE20</f>
        <v>-3200</v>
      </c>
      <c r="AH20" s="421">
        <f>SUM(AF20:AG20)</f>
        <v>-19200</v>
      </c>
      <c r="AI20" s="421">
        <f>3200+12800</f>
        <v>16000</v>
      </c>
      <c r="AJ20" s="421">
        <v>3200</v>
      </c>
      <c r="AK20" s="421">
        <v>0</v>
      </c>
      <c r="AL20" s="421">
        <v>31200</v>
      </c>
      <c r="AM20" s="421">
        <v>0</v>
      </c>
      <c r="AN20" s="421">
        <v>0</v>
      </c>
      <c r="AO20" s="421">
        <f t="shared" ref="AO20:AO22" si="33">AI20+AK20+AL20+AM20</f>
        <v>47200</v>
      </c>
      <c r="AP20" s="421">
        <f>AJ20+AN20</f>
        <v>3200</v>
      </c>
      <c r="AQ20" s="421">
        <f>SUM(AO20:AP20)</f>
        <v>50400</v>
      </c>
      <c r="AR20" s="421">
        <f t="shared" ref="AR20:AS22" si="34">AF20+AO20</f>
        <v>31200</v>
      </c>
      <c r="AS20" s="421">
        <f t="shared" si="34"/>
        <v>0</v>
      </c>
      <c r="AT20" s="421">
        <f>SUM(AR20:AS20)</f>
        <v>31200</v>
      </c>
      <c r="AU20" s="68">
        <f t="shared" ref="AU20:AU22" si="35">ROUND((AH20+AI20+AJ20+AK20+AL20)*33.8%,0)</f>
        <v>10546</v>
      </c>
      <c r="AV20" s="68">
        <f>ROUND(AH20*1%,0)</f>
        <v>-192</v>
      </c>
      <c r="AW20" s="421">
        <v>0</v>
      </c>
      <c r="AX20" s="421">
        <v>0</v>
      </c>
      <c r="AY20" s="421">
        <f>AW20+AX20</f>
        <v>0</v>
      </c>
      <c r="AZ20" s="421">
        <f>AT20+AU20+AV20+AY20</f>
        <v>41554</v>
      </c>
      <c r="BA20" s="422">
        <v>-0.02</v>
      </c>
      <c r="BB20" s="422">
        <v>0</v>
      </c>
      <c r="BC20" s="422">
        <v>0</v>
      </c>
      <c r="BD20" s="422">
        <v>0</v>
      </c>
      <c r="BE20" s="422">
        <v>0</v>
      </c>
      <c r="BF20" s="422">
        <v>0</v>
      </c>
      <c r="BG20" s="422">
        <v>0</v>
      </c>
      <c r="BH20" s="422">
        <v>0</v>
      </c>
      <c r="BI20" s="422">
        <v>0</v>
      </c>
      <c r="BJ20" s="422">
        <v>0</v>
      </c>
      <c r="BK20" s="422">
        <f>BA20+BC20+BD20+BF20+BH20+BI20</f>
        <v>-0.02</v>
      </c>
      <c r="BL20" s="422">
        <f>BB20+BE20+BG20+BJ20</f>
        <v>0</v>
      </c>
      <c r="BM20" s="611">
        <f>SUM(BK20:BL20)</f>
        <v>-0.02</v>
      </c>
      <c r="BN20" s="428">
        <f>I20+AZ20</f>
        <v>6817777</v>
      </c>
      <c r="BO20" s="421">
        <f>J20+AH20</f>
        <v>4989006</v>
      </c>
      <c r="BP20" s="421">
        <f t="shared" ref="BP20:BQ22" si="36">K20+AF20</f>
        <v>4548660</v>
      </c>
      <c r="BQ20" s="421">
        <f t="shared" si="36"/>
        <v>440346</v>
      </c>
      <c r="BR20" s="421">
        <f>M20+AQ20</f>
        <v>50400</v>
      </c>
      <c r="BS20" s="421">
        <f t="shared" ref="BS20:BT22" si="37">N20+AO20</f>
        <v>47200</v>
      </c>
      <c r="BT20" s="421">
        <f t="shared" si="37"/>
        <v>3200</v>
      </c>
      <c r="BU20" s="421">
        <f t="shared" ref="BU20:BV22" si="38">P20+AU20</f>
        <v>1703320</v>
      </c>
      <c r="BV20" s="421">
        <f t="shared" si="38"/>
        <v>49890</v>
      </c>
      <c r="BW20" s="421">
        <f>R20+AY20</f>
        <v>25161</v>
      </c>
      <c r="BX20" s="422">
        <f>S20+BM20</f>
        <v>9.4192999999999998</v>
      </c>
      <c r="BY20" s="422">
        <f t="shared" ref="BY20:BZ22" si="39">T20+BK20</f>
        <v>7.9260000000000002</v>
      </c>
      <c r="BZ20" s="611">
        <f t="shared" si="39"/>
        <v>1.4933000000000001</v>
      </c>
      <c r="CA20" s="423"/>
      <c r="CB20" s="418"/>
      <c r="CC20" s="418"/>
      <c r="CD20" s="418"/>
      <c r="CE20" s="418"/>
      <c r="CF20" s="527"/>
    </row>
    <row r="21" spans="1:84" ht="12.95" customHeight="1" x14ac:dyDescent="0.25">
      <c r="A21" s="282">
        <v>3</v>
      </c>
      <c r="B21" s="323">
        <v>5450</v>
      </c>
      <c r="C21" s="324">
        <v>600098834</v>
      </c>
      <c r="D21" s="283">
        <v>70939322</v>
      </c>
      <c r="E21" s="325" t="s">
        <v>787</v>
      </c>
      <c r="F21" s="283">
        <v>3111</v>
      </c>
      <c r="G21" s="325" t="s">
        <v>299</v>
      </c>
      <c r="H21" s="286" t="s">
        <v>272</v>
      </c>
      <c r="I21" s="423">
        <f t="shared" si="28"/>
        <v>0</v>
      </c>
      <c r="J21" s="418">
        <f t="shared" si="7"/>
        <v>0</v>
      </c>
      <c r="K21" s="418">
        <v>0</v>
      </c>
      <c r="L21" s="418">
        <v>0</v>
      </c>
      <c r="M21" s="418">
        <f>N21+O21</f>
        <v>0</v>
      </c>
      <c r="N21" s="418">
        <v>0</v>
      </c>
      <c r="O21" s="418">
        <v>0</v>
      </c>
      <c r="P21" s="68">
        <f t="shared" si="30"/>
        <v>0</v>
      </c>
      <c r="Q21" s="68">
        <f t="shared" si="31"/>
        <v>0</v>
      </c>
      <c r="R21" s="418">
        <v>0</v>
      </c>
      <c r="S21" s="419">
        <f>T21+U21</f>
        <v>0</v>
      </c>
      <c r="T21" s="420">
        <v>0</v>
      </c>
      <c r="U21" s="527">
        <v>0</v>
      </c>
      <c r="V21" s="427">
        <f t="shared" si="32"/>
        <v>0</v>
      </c>
      <c r="W21" s="421">
        <f t="shared" si="32"/>
        <v>0</v>
      </c>
      <c r="X21" s="421">
        <v>515006</v>
      </c>
      <c r="Y21" s="421">
        <v>0</v>
      </c>
      <c r="Z21" s="421">
        <v>0</v>
      </c>
      <c r="AA21" s="421">
        <v>0</v>
      </c>
      <c r="AB21" s="421">
        <v>0</v>
      </c>
      <c r="AC21" s="421">
        <v>0</v>
      </c>
      <c r="AD21" s="421">
        <v>0</v>
      </c>
      <c r="AE21" s="421">
        <v>0</v>
      </c>
      <c r="AF21" s="421">
        <f>V21+X21+Y21+AA21+AB21+AD21</f>
        <v>515006</v>
      </c>
      <c r="AG21" s="421">
        <f>W21+Z21+AC21+AE21</f>
        <v>0</v>
      </c>
      <c r="AH21" s="421">
        <f>SUM(AF21:AG21)</f>
        <v>515006</v>
      </c>
      <c r="AI21" s="421">
        <v>0</v>
      </c>
      <c r="AJ21" s="421">
        <v>0</v>
      </c>
      <c r="AK21" s="421">
        <v>0</v>
      </c>
      <c r="AL21" s="421">
        <v>0</v>
      </c>
      <c r="AM21" s="421">
        <v>0</v>
      </c>
      <c r="AN21" s="421">
        <v>0</v>
      </c>
      <c r="AO21" s="421">
        <f t="shared" si="33"/>
        <v>0</v>
      </c>
      <c r="AP21" s="421">
        <f>AJ21+AN21</f>
        <v>0</v>
      </c>
      <c r="AQ21" s="421">
        <f>SUM(AO21:AP21)</f>
        <v>0</v>
      </c>
      <c r="AR21" s="421">
        <f t="shared" si="34"/>
        <v>515006</v>
      </c>
      <c r="AS21" s="421">
        <f t="shared" si="34"/>
        <v>0</v>
      </c>
      <c r="AT21" s="421">
        <f>SUM(AR21:AS21)</f>
        <v>515006</v>
      </c>
      <c r="AU21" s="68">
        <f t="shared" si="35"/>
        <v>174072</v>
      </c>
      <c r="AV21" s="68">
        <f>ROUND(AH21*1%,0)</f>
        <v>5150</v>
      </c>
      <c r="AW21" s="421">
        <v>0</v>
      </c>
      <c r="AX21" s="421">
        <v>0</v>
      </c>
      <c r="AY21" s="421">
        <f>AW21+AX21</f>
        <v>0</v>
      </c>
      <c r="AZ21" s="421">
        <f>AT21+AU21+AV21+AY21</f>
        <v>694228</v>
      </c>
      <c r="BA21" s="422">
        <v>0</v>
      </c>
      <c r="BB21" s="422">
        <v>0</v>
      </c>
      <c r="BC21" s="422">
        <v>1.39</v>
      </c>
      <c r="BD21" s="422">
        <v>0</v>
      </c>
      <c r="BE21" s="422">
        <v>0</v>
      </c>
      <c r="BF21" s="422">
        <v>0</v>
      </c>
      <c r="BG21" s="422">
        <v>0</v>
      </c>
      <c r="BH21" s="422">
        <v>0</v>
      </c>
      <c r="BI21" s="422">
        <v>0</v>
      </c>
      <c r="BJ21" s="422">
        <v>0</v>
      </c>
      <c r="BK21" s="422">
        <f>BA21+BC21+BD21+BF21+BH21+BI21</f>
        <v>1.39</v>
      </c>
      <c r="BL21" s="422">
        <f>BB21+BE21+BG21+BJ21</f>
        <v>0</v>
      </c>
      <c r="BM21" s="611">
        <f>SUM(BK21:BL21)</f>
        <v>1.39</v>
      </c>
      <c r="BN21" s="428">
        <f>I21+AZ21</f>
        <v>694228</v>
      </c>
      <c r="BO21" s="421">
        <f>J21+AH21</f>
        <v>515006</v>
      </c>
      <c r="BP21" s="421">
        <f t="shared" si="36"/>
        <v>515006</v>
      </c>
      <c r="BQ21" s="421">
        <f t="shared" si="36"/>
        <v>0</v>
      </c>
      <c r="BR21" s="421">
        <f>M21+AQ21</f>
        <v>0</v>
      </c>
      <c r="BS21" s="421">
        <f t="shared" si="37"/>
        <v>0</v>
      </c>
      <c r="BT21" s="421">
        <f t="shared" si="37"/>
        <v>0</v>
      </c>
      <c r="BU21" s="421">
        <f t="shared" si="38"/>
        <v>174072</v>
      </c>
      <c r="BV21" s="421">
        <f t="shared" si="38"/>
        <v>5150</v>
      </c>
      <c r="BW21" s="421">
        <f>R21+AY21</f>
        <v>0</v>
      </c>
      <c r="BX21" s="422">
        <f>S21+BM21</f>
        <v>1.39</v>
      </c>
      <c r="BY21" s="422">
        <f t="shared" si="39"/>
        <v>1.39</v>
      </c>
      <c r="BZ21" s="611">
        <f t="shared" si="39"/>
        <v>0</v>
      </c>
      <c r="CA21" s="423"/>
      <c r="CB21" s="418"/>
      <c r="CC21" s="418"/>
      <c r="CD21" s="418"/>
      <c r="CE21" s="418"/>
      <c r="CF21" s="527"/>
    </row>
    <row r="22" spans="1:84" ht="12.95" customHeight="1" x14ac:dyDescent="0.25">
      <c r="A22" s="282">
        <v>3</v>
      </c>
      <c r="B22" s="323">
        <v>5450</v>
      </c>
      <c r="C22" s="324">
        <v>600098834</v>
      </c>
      <c r="D22" s="283">
        <v>70939322</v>
      </c>
      <c r="E22" s="325" t="s">
        <v>787</v>
      </c>
      <c r="F22" s="283">
        <v>3141</v>
      </c>
      <c r="G22" s="325" t="s">
        <v>295</v>
      </c>
      <c r="H22" s="286" t="s">
        <v>272</v>
      </c>
      <c r="I22" s="423">
        <f t="shared" si="28"/>
        <v>653242</v>
      </c>
      <c r="J22" s="418">
        <f t="shared" si="7"/>
        <v>482446</v>
      </c>
      <c r="K22" s="418">
        <v>0</v>
      </c>
      <c r="L22" s="418">
        <v>482446</v>
      </c>
      <c r="M22" s="418">
        <f t="shared" si="29"/>
        <v>0</v>
      </c>
      <c r="N22" s="418">
        <v>0</v>
      </c>
      <c r="O22" s="418">
        <v>0</v>
      </c>
      <c r="P22" s="68">
        <f t="shared" si="30"/>
        <v>163067</v>
      </c>
      <c r="Q22" s="68">
        <f t="shared" si="31"/>
        <v>4824</v>
      </c>
      <c r="R22" s="418">
        <v>2905</v>
      </c>
      <c r="S22" s="419">
        <f>T22+U22</f>
        <v>1.4467000000000001</v>
      </c>
      <c r="T22" s="420">
        <v>0</v>
      </c>
      <c r="U22" s="527">
        <v>1.4467000000000001</v>
      </c>
      <c r="V22" s="427">
        <f t="shared" si="32"/>
        <v>0</v>
      </c>
      <c r="W22" s="421">
        <f t="shared" si="32"/>
        <v>-3200</v>
      </c>
      <c r="X22" s="421">
        <v>0</v>
      </c>
      <c r="Y22" s="421">
        <v>0</v>
      </c>
      <c r="Z22" s="421">
        <v>0</v>
      </c>
      <c r="AA22" s="421">
        <v>0</v>
      </c>
      <c r="AB22" s="421">
        <v>0</v>
      </c>
      <c r="AC22" s="421">
        <v>0</v>
      </c>
      <c r="AD22" s="421">
        <v>0</v>
      </c>
      <c r="AE22" s="421">
        <v>0</v>
      </c>
      <c r="AF22" s="421">
        <f>V22+X22+Y22+AA22+AB22+AD22</f>
        <v>0</v>
      </c>
      <c r="AG22" s="421">
        <f>W22+Z22+AC22+AE22</f>
        <v>-3200</v>
      </c>
      <c r="AH22" s="421">
        <f>SUM(AF22:AG22)</f>
        <v>-3200</v>
      </c>
      <c r="AI22" s="421">
        <v>0</v>
      </c>
      <c r="AJ22" s="421">
        <v>3200</v>
      </c>
      <c r="AK22" s="421">
        <v>0</v>
      </c>
      <c r="AL22" s="421">
        <v>0</v>
      </c>
      <c r="AM22" s="421">
        <v>0</v>
      </c>
      <c r="AN22" s="421">
        <v>0</v>
      </c>
      <c r="AO22" s="421">
        <f t="shared" si="33"/>
        <v>0</v>
      </c>
      <c r="AP22" s="421">
        <f>AJ22+AN22</f>
        <v>3200</v>
      </c>
      <c r="AQ22" s="421">
        <f>SUM(AO22:AP22)</f>
        <v>3200</v>
      </c>
      <c r="AR22" s="421">
        <f t="shared" si="34"/>
        <v>0</v>
      </c>
      <c r="AS22" s="421">
        <f t="shared" si="34"/>
        <v>0</v>
      </c>
      <c r="AT22" s="421">
        <f>SUM(AR22:AS22)</f>
        <v>0</v>
      </c>
      <c r="AU22" s="68">
        <f t="shared" si="35"/>
        <v>0</v>
      </c>
      <c r="AV22" s="68">
        <f>ROUND(AH22*1%,0)</f>
        <v>-32</v>
      </c>
      <c r="AW22" s="421">
        <v>0</v>
      </c>
      <c r="AX22" s="421">
        <v>0</v>
      </c>
      <c r="AY22" s="421">
        <f>AW22+AX22</f>
        <v>0</v>
      </c>
      <c r="AZ22" s="421">
        <f>AT22+AU22+AV22+AY22</f>
        <v>-32</v>
      </c>
      <c r="BA22" s="422">
        <v>0</v>
      </c>
      <c r="BB22" s="422">
        <v>0</v>
      </c>
      <c r="BC22" s="422">
        <v>0</v>
      </c>
      <c r="BD22" s="422">
        <v>0</v>
      </c>
      <c r="BE22" s="422">
        <v>0</v>
      </c>
      <c r="BF22" s="422">
        <v>0</v>
      </c>
      <c r="BG22" s="422">
        <v>0</v>
      </c>
      <c r="BH22" s="422">
        <v>0</v>
      </c>
      <c r="BI22" s="422">
        <v>0</v>
      </c>
      <c r="BJ22" s="422">
        <v>0</v>
      </c>
      <c r="BK22" s="422">
        <f>BA22+BC22+BD22+BF22+BH22+BI22</f>
        <v>0</v>
      </c>
      <c r="BL22" s="422">
        <f>BB22+BE22+BG22+BJ22</f>
        <v>0</v>
      </c>
      <c r="BM22" s="611">
        <f>SUM(BK22:BL22)</f>
        <v>0</v>
      </c>
      <c r="BN22" s="428">
        <f>I22+AZ22</f>
        <v>653210</v>
      </c>
      <c r="BO22" s="421">
        <f>J22+AH22</f>
        <v>479246</v>
      </c>
      <c r="BP22" s="421">
        <f t="shared" si="36"/>
        <v>0</v>
      </c>
      <c r="BQ22" s="421">
        <f t="shared" si="36"/>
        <v>479246</v>
      </c>
      <c r="BR22" s="421">
        <f>M22+AQ22</f>
        <v>3200</v>
      </c>
      <c r="BS22" s="421">
        <f t="shared" si="37"/>
        <v>0</v>
      </c>
      <c r="BT22" s="421">
        <f t="shared" si="37"/>
        <v>3200</v>
      </c>
      <c r="BU22" s="421">
        <f t="shared" si="38"/>
        <v>163067</v>
      </c>
      <c r="BV22" s="421">
        <f t="shared" si="38"/>
        <v>4792</v>
      </c>
      <c r="BW22" s="421">
        <f>R22+AY22</f>
        <v>2905</v>
      </c>
      <c r="BX22" s="422">
        <f>S22+BM22</f>
        <v>1.4467000000000001</v>
      </c>
      <c r="BY22" s="422">
        <f t="shared" si="39"/>
        <v>0</v>
      </c>
      <c r="BZ22" s="611">
        <f t="shared" si="39"/>
        <v>1.4467000000000001</v>
      </c>
      <c r="CA22" s="423"/>
      <c r="CB22" s="418"/>
      <c r="CC22" s="418"/>
      <c r="CD22" s="418"/>
      <c r="CE22" s="418"/>
      <c r="CF22" s="527"/>
    </row>
    <row r="23" spans="1:84" ht="12.95" customHeight="1" x14ac:dyDescent="0.25">
      <c r="A23" s="326">
        <v>3</v>
      </c>
      <c r="B23" s="327">
        <v>5450</v>
      </c>
      <c r="C23" s="328">
        <v>600098834</v>
      </c>
      <c r="D23" s="327">
        <v>70939322</v>
      </c>
      <c r="E23" s="329" t="s">
        <v>355</v>
      </c>
      <c r="F23" s="293"/>
      <c r="G23" s="331"/>
      <c r="H23" s="294"/>
      <c r="I23" s="481">
        <f t="shared" ref="I23:BU23" si="40">SUM(I20:I22)</f>
        <v>7429465</v>
      </c>
      <c r="J23" s="477">
        <f t="shared" si="40"/>
        <v>5490652</v>
      </c>
      <c r="K23" s="477">
        <f t="shared" si="40"/>
        <v>4564660</v>
      </c>
      <c r="L23" s="477">
        <f t="shared" si="40"/>
        <v>925992</v>
      </c>
      <c r="M23" s="477">
        <f t="shared" si="40"/>
        <v>0</v>
      </c>
      <c r="N23" s="477">
        <f t="shared" si="40"/>
        <v>0</v>
      </c>
      <c r="O23" s="477">
        <f t="shared" si="40"/>
        <v>0</v>
      </c>
      <c r="P23" s="477">
        <f t="shared" si="40"/>
        <v>1855841</v>
      </c>
      <c r="Q23" s="477">
        <f t="shared" si="40"/>
        <v>54906</v>
      </c>
      <c r="R23" s="477">
        <f t="shared" si="40"/>
        <v>28066</v>
      </c>
      <c r="S23" s="478">
        <f t="shared" si="40"/>
        <v>10.885999999999999</v>
      </c>
      <c r="T23" s="478">
        <f t="shared" si="40"/>
        <v>7.9459999999999997</v>
      </c>
      <c r="U23" s="330">
        <f t="shared" si="40"/>
        <v>2.9400000000000004</v>
      </c>
      <c r="V23" s="483">
        <f t="shared" si="40"/>
        <v>-16000</v>
      </c>
      <c r="W23" s="477">
        <f t="shared" si="40"/>
        <v>-6400</v>
      </c>
      <c r="X23" s="477">
        <f t="shared" si="40"/>
        <v>515006</v>
      </c>
      <c r="Y23" s="477">
        <f t="shared" si="40"/>
        <v>0</v>
      </c>
      <c r="Z23" s="477">
        <f t="shared" si="40"/>
        <v>0</v>
      </c>
      <c r="AA23" s="477">
        <f t="shared" si="40"/>
        <v>0</v>
      </c>
      <c r="AB23" s="477">
        <f t="shared" si="40"/>
        <v>0</v>
      </c>
      <c r="AC23" s="477">
        <f t="shared" si="40"/>
        <v>0</v>
      </c>
      <c r="AD23" s="477">
        <f t="shared" si="40"/>
        <v>0</v>
      </c>
      <c r="AE23" s="477">
        <f t="shared" si="40"/>
        <v>0</v>
      </c>
      <c r="AF23" s="477">
        <f t="shared" si="40"/>
        <v>499006</v>
      </c>
      <c r="AG23" s="477">
        <f t="shared" si="40"/>
        <v>-6400</v>
      </c>
      <c r="AH23" s="477">
        <f t="shared" si="40"/>
        <v>492606</v>
      </c>
      <c r="AI23" s="477">
        <f t="shared" si="40"/>
        <v>16000</v>
      </c>
      <c r="AJ23" s="477">
        <f t="shared" si="40"/>
        <v>6400</v>
      </c>
      <c r="AK23" s="477">
        <f t="shared" ref="AK23" si="41">SUM(AK20:AK22)</f>
        <v>0</v>
      </c>
      <c r="AL23" s="477">
        <f t="shared" si="40"/>
        <v>31200</v>
      </c>
      <c r="AM23" s="477">
        <f t="shared" si="40"/>
        <v>0</v>
      </c>
      <c r="AN23" s="477">
        <f t="shared" si="40"/>
        <v>0</v>
      </c>
      <c r="AO23" s="477">
        <f t="shared" si="40"/>
        <v>47200</v>
      </c>
      <c r="AP23" s="477">
        <f t="shared" si="40"/>
        <v>6400</v>
      </c>
      <c r="AQ23" s="477">
        <f t="shared" si="40"/>
        <v>53600</v>
      </c>
      <c r="AR23" s="477">
        <f t="shared" si="40"/>
        <v>546206</v>
      </c>
      <c r="AS23" s="477">
        <f t="shared" si="40"/>
        <v>0</v>
      </c>
      <c r="AT23" s="477">
        <f t="shared" si="40"/>
        <v>546206</v>
      </c>
      <c r="AU23" s="477">
        <f t="shared" si="40"/>
        <v>184618</v>
      </c>
      <c r="AV23" s="477">
        <f t="shared" si="40"/>
        <v>4926</v>
      </c>
      <c r="AW23" s="477">
        <f t="shared" si="40"/>
        <v>0</v>
      </c>
      <c r="AX23" s="477">
        <f t="shared" si="40"/>
        <v>0</v>
      </c>
      <c r="AY23" s="477">
        <f t="shared" si="40"/>
        <v>0</v>
      </c>
      <c r="AZ23" s="477">
        <f t="shared" si="40"/>
        <v>735750</v>
      </c>
      <c r="BA23" s="478">
        <f t="shared" si="40"/>
        <v>-0.02</v>
      </c>
      <c r="BB23" s="478">
        <f t="shared" si="40"/>
        <v>0</v>
      </c>
      <c r="BC23" s="478">
        <f t="shared" si="40"/>
        <v>1.39</v>
      </c>
      <c r="BD23" s="478">
        <f t="shared" si="40"/>
        <v>0</v>
      </c>
      <c r="BE23" s="478">
        <f t="shared" si="40"/>
        <v>0</v>
      </c>
      <c r="BF23" s="478">
        <f t="shared" si="40"/>
        <v>0</v>
      </c>
      <c r="BG23" s="478">
        <f t="shared" si="40"/>
        <v>0</v>
      </c>
      <c r="BH23" s="478">
        <f t="shared" si="40"/>
        <v>0</v>
      </c>
      <c r="BI23" s="478">
        <f t="shared" si="40"/>
        <v>0</v>
      </c>
      <c r="BJ23" s="478">
        <f t="shared" si="40"/>
        <v>0</v>
      </c>
      <c r="BK23" s="478">
        <f t="shared" si="40"/>
        <v>1.3699999999999999</v>
      </c>
      <c r="BL23" s="478">
        <f t="shared" si="40"/>
        <v>0</v>
      </c>
      <c r="BM23" s="559">
        <f t="shared" si="40"/>
        <v>1.3699999999999999</v>
      </c>
      <c r="BN23" s="481">
        <f t="shared" si="40"/>
        <v>8165215</v>
      </c>
      <c r="BO23" s="477">
        <f t="shared" si="40"/>
        <v>5983258</v>
      </c>
      <c r="BP23" s="477">
        <f t="shared" si="40"/>
        <v>5063666</v>
      </c>
      <c r="BQ23" s="477">
        <f t="shared" si="40"/>
        <v>919592</v>
      </c>
      <c r="BR23" s="477">
        <f t="shared" si="40"/>
        <v>53600</v>
      </c>
      <c r="BS23" s="477">
        <f t="shared" si="40"/>
        <v>47200</v>
      </c>
      <c r="BT23" s="477">
        <f t="shared" si="40"/>
        <v>6400</v>
      </c>
      <c r="BU23" s="477">
        <f t="shared" si="40"/>
        <v>2040459</v>
      </c>
      <c r="BV23" s="477">
        <f t="shared" ref="BV23:CF23" si="42">SUM(BV20:BV22)</f>
        <v>59832</v>
      </c>
      <c r="BW23" s="477">
        <f t="shared" si="42"/>
        <v>28066</v>
      </c>
      <c r="BX23" s="478">
        <f t="shared" si="42"/>
        <v>12.256</v>
      </c>
      <c r="BY23" s="478">
        <f t="shared" si="42"/>
        <v>9.3160000000000007</v>
      </c>
      <c r="BZ23" s="559">
        <f t="shared" si="42"/>
        <v>2.9400000000000004</v>
      </c>
      <c r="CA23" s="885">
        <f t="shared" si="42"/>
        <v>0</v>
      </c>
      <c r="CB23" s="883">
        <f t="shared" si="42"/>
        <v>0</v>
      </c>
      <c r="CC23" s="883">
        <f t="shared" si="42"/>
        <v>0</v>
      </c>
      <c r="CD23" s="883">
        <f t="shared" si="42"/>
        <v>0</v>
      </c>
      <c r="CE23" s="883">
        <f t="shared" si="42"/>
        <v>0</v>
      </c>
      <c r="CF23" s="845">
        <f t="shared" si="42"/>
        <v>0</v>
      </c>
    </row>
    <row r="24" spans="1:84" ht="12.95" customHeight="1" x14ac:dyDescent="0.25">
      <c r="A24" s="282">
        <v>4</v>
      </c>
      <c r="B24" s="323">
        <v>5447</v>
      </c>
      <c r="C24" s="332">
        <v>600099512</v>
      </c>
      <c r="D24" s="283">
        <v>854816</v>
      </c>
      <c r="E24" s="325" t="s">
        <v>356</v>
      </c>
      <c r="F24" s="283">
        <v>3233</v>
      </c>
      <c r="G24" s="325" t="s">
        <v>298</v>
      </c>
      <c r="H24" s="286" t="s">
        <v>272</v>
      </c>
      <c r="I24" s="423">
        <f>J24+P24+Q24+R24</f>
        <v>3971023</v>
      </c>
      <c r="J24" s="418">
        <f t="shared" si="7"/>
        <v>2943630</v>
      </c>
      <c r="K24" s="418">
        <v>2506006</v>
      </c>
      <c r="L24" s="418">
        <v>437624</v>
      </c>
      <c r="M24" s="418">
        <f>N24+O24</f>
        <v>0</v>
      </c>
      <c r="N24" s="418">
        <v>0</v>
      </c>
      <c r="O24" s="418">
        <v>0</v>
      </c>
      <c r="P24" s="68">
        <f>ROUND((J24+M24)*33.8%,0)</f>
        <v>994947</v>
      </c>
      <c r="Q24" s="68">
        <f>ROUND(J24*1%,0)</f>
        <v>29436</v>
      </c>
      <c r="R24" s="418">
        <v>3010</v>
      </c>
      <c r="S24" s="419">
        <f>T24+U24</f>
        <v>5.95</v>
      </c>
      <c r="T24" s="420">
        <v>4.54</v>
      </c>
      <c r="U24" s="527">
        <v>1.41</v>
      </c>
      <c r="V24" s="427">
        <f>AI24*-1</f>
        <v>-9600</v>
      </c>
      <c r="W24" s="421">
        <f>AJ24*-1</f>
        <v>-3200</v>
      </c>
      <c r="X24" s="421">
        <v>0</v>
      </c>
      <c r="Y24" s="421">
        <v>0</v>
      </c>
      <c r="Z24" s="421">
        <v>0</v>
      </c>
      <c r="AA24" s="421">
        <v>0</v>
      </c>
      <c r="AB24" s="421">
        <v>0</v>
      </c>
      <c r="AC24" s="421">
        <v>0</v>
      </c>
      <c r="AD24" s="421">
        <v>0</v>
      </c>
      <c r="AE24" s="421">
        <v>0</v>
      </c>
      <c r="AF24" s="421">
        <f>V24+X24+Y24+AA24+AB24+AD24</f>
        <v>-9600</v>
      </c>
      <c r="AG24" s="421">
        <f>W24+Z24+AC24+AE24</f>
        <v>-3200</v>
      </c>
      <c r="AH24" s="421">
        <f>SUM(AF24:AG24)</f>
        <v>-12800</v>
      </c>
      <c r="AI24" s="421">
        <v>9600</v>
      </c>
      <c r="AJ24" s="421">
        <v>3200</v>
      </c>
      <c r="AK24" s="421">
        <v>0</v>
      </c>
      <c r="AL24" s="421">
        <v>0</v>
      </c>
      <c r="AM24" s="421">
        <v>0</v>
      </c>
      <c r="AN24" s="421">
        <v>0</v>
      </c>
      <c r="AO24" s="421">
        <f>AI24+AK24+AL24+AM24</f>
        <v>9600</v>
      </c>
      <c r="AP24" s="421">
        <f>AJ24+AN24</f>
        <v>3200</v>
      </c>
      <c r="AQ24" s="421">
        <f>SUM(AO24:AP24)</f>
        <v>12800</v>
      </c>
      <c r="AR24" s="421">
        <f>AF24+AO24</f>
        <v>0</v>
      </c>
      <c r="AS24" s="421">
        <f>AG24+AP24</f>
        <v>0</v>
      </c>
      <c r="AT24" s="421">
        <f>SUM(AR24:AS24)</f>
        <v>0</v>
      </c>
      <c r="AU24" s="68">
        <f>ROUND((AH24+AI24+AJ24+AK24+AL24)*33.8%,0)</f>
        <v>0</v>
      </c>
      <c r="AV24" s="68">
        <f>ROUND(AH24*1%,0)</f>
        <v>-128</v>
      </c>
      <c r="AW24" s="421">
        <v>0</v>
      </c>
      <c r="AX24" s="421">
        <v>0</v>
      </c>
      <c r="AY24" s="421">
        <f>AW24+AX24</f>
        <v>0</v>
      </c>
      <c r="AZ24" s="421">
        <f>AT24+AU24+AV24+AY24</f>
        <v>-128</v>
      </c>
      <c r="BA24" s="422">
        <v>-0.02</v>
      </c>
      <c r="BB24" s="422">
        <v>-0.01</v>
      </c>
      <c r="BC24" s="422">
        <v>0</v>
      </c>
      <c r="BD24" s="422">
        <v>0</v>
      </c>
      <c r="BE24" s="422">
        <v>0</v>
      </c>
      <c r="BF24" s="422">
        <v>0</v>
      </c>
      <c r="BG24" s="422">
        <v>0</v>
      </c>
      <c r="BH24" s="422">
        <v>0</v>
      </c>
      <c r="BI24" s="422">
        <v>0</v>
      </c>
      <c r="BJ24" s="422">
        <v>0</v>
      </c>
      <c r="BK24" s="422">
        <f>BA24+BC24+BD24+BF24+BH24+BI24</f>
        <v>-0.02</v>
      </c>
      <c r="BL24" s="422">
        <f>BB24+BE24+BG24+BJ24</f>
        <v>-0.01</v>
      </c>
      <c r="BM24" s="611">
        <f>SUM(BK24:BL24)</f>
        <v>-0.03</v>
      </c>
      <c r="BN24" s="428">
        <f>I24+AZ24</f>
        <v>3970895</v>
      </c>
      <c r="BO24" s="421">
        <f>J24+AH24</f>
        <v>2930830</v>
      </c>
      <c r="BP24" s="421">
        <f>K24+AF24</f>
        <v>2496406</v>
      </c>
      <c r="BQ24" s="421">
        <f>L24+AG24</f>
        <v>434424</v>
      </c>
      <c r="BR24" s="421">
        <f>M24+AQ24</f>
        <v>12800</v>
      </c>
      <c r="BS24" s="421">
        <f>N24+AO24</f>
        <v>9600</v>
      </c>
      <c r="BT24" s="421">
        <f>O24+AP24</f>
        <v>3200</v>
      </c>
      <c r="BU24" s="421">
        <f>P24+AU24</f>
        <v>994947</v>
      </c>
      <c r="BV24" s="421">
        <f>Q24+AV24</f>
        <v>29308</v>
      </c>
      <c r="BW24" s="421">
        <f>R24+AY24</f>
        <v>3010</v>
      </c>
      <c r="BX24" s="422">
        <f>S24+BM24</f>
        <v>5.92</v>
      </c>
      <c r="BY24" s="422">
        <f>T24+BK24</f>
        <v>4.5200000000000005</v>
      </c>
      <c r="BZ24" s="611">
        <f>U24+BL24</f>
        <v>1.4</v>
      </c>
      <c r="CA24" s="423"/>
      <c r="CB24" s="418"/>
      <c r="CC24" s="418"/>
      <c r="CD24" s="418"/>
      <c r="CE24" s="418"/>
      <c r="CF24" s="527"/>
    </row>
    <row r="25" spans="1:84" ht="12.95" customHeight="1" x14ac:dyDescent="0.25">
      <c r="A25" s="326">
        <v>4</v>
      </c>
      <c r="B25" s="327">
        <v>5447</v>
      </c>
      <c r="C25" s="328">
        <v>600099512</v>
      </c>
      <c r="D25" s="327">
        <v>854816</v>
      </c>
      <c r="E25" s="329" t="s">
        <v>357</v>
      </c>
      <c r="F25" s="293"/>
      <c r="G25" s="331"/>
      <c r="H25" s="294"/>
      <c r="I25" s="481">
        <f t="shared" ref="I25:BU25" si="43">SUM(I24)</f>
        <v>3971023</v>
      </c>
      <c r="J25" s="477">
        <f t="shared" si="43"/>
        <v>2943630</v>
      </c>
      <c r="K25" s="477">
        <f t="shared" si="43"/>
        <v>2506006</v>
      </c>
      <c r="L25" s="477">
        <f t="shared" si="43"/>
        <v>437624</v>
      </c>
      <c r="M25" s="477">
        <f t="shared" si="43"/>
        <v>0</v>
      </c>
      <c r="N25" s="477">
        <f t="shared" si="43"/>
        <v>0</v>
      </c>
      <c r="O25" s="477">
        <f t="shared" si="43"/>
        <v>0</v>
      </c>
      <c r="P25" s="477">
        <f t="shared" si="43"/>
        <v>994947</v>
      </c>
      <c r="Q25" s="477">
        <f t="shared" si="43"/>
        <v>29436</v>
      </c>
      <c r="R25" s="477">
        <f t="shared" si="43"/>
        <v>3010</v>
      </c>
      <c r="S25" s="478">
        <f t="shared" si="43"/>
        <v>5.95</v>
      </c>
      <c r="T25" s="478">
        <f t="shared" si="43"/>
        <v>4.54</v>
      </c>
      <c r="U25" s="330">
        <f t="shared" si="43"/>
        <v>1.41</v>
      </c>
      <c r="V25" s="483">
        <f t="shared" si="43"/>
        <v>-9600</v>
      </c>
      <c r="W25" s="477">
        <f t="shared" si="43"/>
        <v>-3200</v>
      </c>
      <c r="X25" s="477">
        <f t="shared" si="43"/>
        <v>0</v>
      </c>
      <c r="Y25" s="477">
        <f t="shared" si="43"/>
        <v>0</v>
      </c>
      <c r="Z25" s="477">
        <f t="shared" si="43"/>
        <v>0</v>
      </c>
      <c r="AA25" s="477">
        <f t="shared" si="43"/>
        <v>0</v>
      </c>
      <c r="AB25" s="477">
        <f t="shared" si="43"/>
        <v>0</v>
      </c>
      <c r="AC25" s="477">
        <f t="shared" si="43"/>
        <v>0</v>
      </c>
      <c r="AD25" s="477">
        <f t="shared" si="43"/>
        <v>0</v>
      </c>
      <c r="AE25" s="477">
        <f t="shared" si="43"/>
        <v>0</v>
      </c>
      <c r="AF25" s="477">
        <f t="shared" si="43"/>
        <v>-9600</v>
      </c>
      <c r="AG25" s="477">
        <f t="shared" si="43"/>
        <v>-3200</v>
      </c>
      <c r="AH25" s="477">
        <f t="shared" si="43"/>
        <v>-12800</v>
      </c>
      <c r="AI25" s="477">
        <f t="shared" si="43"/>
        <v>9600</v>
      </c>
      <c r="AJ25" s="477">
        <f t="shared" si="43"/>
        <v>3200</v>
      </c>
      <c r="AK25" s="477">
        <f t="shared" ref="AK25" si="44">SUM(AK24)</f>
        <v>0</v>
      </c>
      <c r="AL25" s="477">
        <f t="shared" si="43"/>
        <v>0</v>
      </c>
      <c r="AM25" s="477">
        <f t="shared" si="43"/>
        <v>0</v>
      </c>
      <c r="AN25" s="477">
        <f t="shared" si="43"/>
        <v>0</v>
      </c>
      <c r="AO25" s="477">
        <f t="shared" si="43"/>
        <v>9600</v>
      </c>
      <c r="AP25" s="477">
        <f t="shared" si="43"/>
        <v>3200</v>
      </c>
      <c r="AQ25" s="477">
        <f t="shared" si="43"/>
        <v>12800</v>
      </c>
      <c r="AR25" s="477">
        <f t="shared" si="43"/>
        <v>0</v>
      </c>
      <c r="AS25" s="477">
        <f t="shared" si="43"/>
        <v>0</v>
      </c>
      <c r="AT25" s="477">
        <f t="shared" si="43"/>
        <v>0</v>
      </c>
      <c r="AU25" s="477">
        <f t="shared" si="43"/>
        <v>0</v>
      </c>
      <c r="AV25" s="477">
        <f t="shared" si="43"/>
        <v>-128</v>
      </c>
      <c r="AW25" s="477">
        <f t="shared" si="43"/>
        <v>0</v>
      </c>
      <c r="AX25" s="477">
        <f t="shared" si="43"/>
        <v>0</v>
      </c>
      <c r="AY25" s="477">
        <f t="shared" si="43"/>
        <v>0</v>
      </c>
      <c r="AZ25" s="477">
        <f t="shared" si="43"/>
        <v>-128</v>
      </c>
      <c r="BA25" s="478">
        <f t="shared" si="43"/>
        <v>-0.02</v>
      </c>
      <c r="BB25" s="478">
        <f t="shared" si="43"/>
        <v>-0.01</v>
      </c>
      <c r="BC25" s="478">
        <f t="shared" si="43"/>
        <v>0</v>
      </c>
      <c r="BD25" s="478">
        <f t="shared" si="43"/>
        <v>0</v>
      </c>
      <c r="BE25" s="478">
        <f t="shared" si="43"/>
        <v>0</v>
      </c>
      <c r="BF25" s="478">
        <f t="shared" si="43"/>
        <v>0</v>
      </c>
      <c r="BG25" s="478">
        <f t="shared" si="43"/>
        <v>0</v>
      </c>
      <c r="BH25" s="478">
        <f t="shared" si="43"/>
        <v>0</v>
      </c>
      <c r="BI25" s="478">
        <f t="shared" si="43"/>
        <v>0</v>
      </c>
      <c r="BJ25" s="478">
        <f t="shared" si="43"/>
        <v>0</v>
      </c>
      <c r="BK25" s="478">
        <f t="shared" si="43"/>
        <v>-0.02</v>
      </c>
      <c r="BL25" s="478">
        <f t="shared" si="43"/>
        <v>-0.01</v>
      </c>
      <c r="BM25" s="559">
        <f t="shared" si="43"/>
        <v>-0.03</v>
      </c>
      <c r="BN25" s="481">
        <f t="shared" si="43"/>
        <v>3970895</v>
      </c>
      <c r="BO25" s="477">
        <f t="shared" si="43"/>
        <v>2930830</v>
      </c>
      <c r="BP25" s="477">
        <f t="shared" si="43"/>
        <v>2496406</v>
      </c>
      <c r="BQ25" s="477">
        <f t="shared" si="43"/>
        <v>434424</v>
      </c>
      <c r="BR25" s="477">
        <f t="shared" si="43"/>
        <v>12800</v>
      </c>
      <c r="BS25" s="477">
        <f t="shared" si="43"/>
        <v>9600</v>
      </c>
      <c r="BT25" s="477">
        <f t="shared" si="43"/>
        <v>3200</v>
      </c>
      <c r="BU25" s="477">
        <f t="shared" si="43"/>
        <v>994947</v>
      </c>
      <c r="BV25" s="477">
        <f t="shared" ref="BV25:CF25" si="45">SUM(BV24)</f>
        <v>29308</v>
      </c>
      <c r="BW25" s="477">
        <f t="shared" si="45"/>
        <v>3010</v>
      </c>
      <c r="BX25" s="478">
        <f t="shared" si="45"/>
        <v>5.92</v>
      </c>
      <c r="BY25" s="478">
        <f t="shared" si="45"/>
        <v>4.5200000000000005</v>
      </c>
      <c r="BZ25" s="559">
        <f t="shared" si="45"/>
        <v>1.4</v>
      </c>
      <c r="CA25" s="885">
        <f t="shared" si="45"/>
        <v>0</v>
      </c>
      <c r="CB25" s="883">
        <f t="shared" si="45"/>
        <v>0</v>
      </c>
      <c r="CC25" s="883">
        <f t="shared" si="45"/>
        <v>0</v>
      </c>
      <c r="CD25" s="883">
        <f t="shared" si="45"/>
        <v>0</v>
      </c>
      <c r="CE25" s="883">
        <f t="shared" si="45"/>
        <v>0</v>
      </c>
      <c r="CF25" s="845">
        <f t="shared" si="45"/>
        <v>0</v>
      </c>
    </row>
    <row r="26" spans="1:84" ht="12.95" customHeight="1" x14ac:dyDescent="0.25">
      <c r="A26" s="282">
        <v>5</v>
      </c>
      <c r="B26" s="323">
        <v>5444</v>
      </c>
      <c r="C26" s="324">
        <v>600099296</v>
      </c>
      <c r="D26" s="283">
        <v>854824</v>
      </c>
      <c r="E26" s="325" t="s">
        <v>358</v>
      </c>
      <c r="F26" s="283">
        <v>3113</v>
      </c>
      <c r="G26" s="325" t="s">
        <v>309</v>
      </c>
      <c r="H26" s="286" t="s">
        <v>271</v>
      </c>
      <c r="I26" s="423">
        <f t="shared" ref="I26:I31" si="46">J26+P26+Q26+R26</f>
        <v>16628786</v>
      </c>
      <c r="J26" s="418">
        <f t="shared" si="7"/>
        <v>12160959</v>
      </c>
      <c r="K26" s="418">
        <v>10911372</v>
      </c>
      <c r="L26" s="418">
        <v>1249587</v>
      </c>
      <c r="M26" s="418">
        <f t="shared" ref="M26:M31" si="47">N26+O26</f>
        <v>0</v>
      </c>
      <c r="N26" s="418">
        <v>0</v>
      </c>
      <c r="O26" s="418">
        <v>0</v>
      </c>
      <c r="P26" s="68">
        <f>ROUND((J26+M26)*33.8%,0)+1</f>
        <v>4110405</v>
      </c>
      <c r="Q26" s="68">
        <f t="shared" ref="Q26:Q31" si="48">ROUND(J26*1%,0)</f>
        <v>121610</v>
      </c>
      <c r="R26" s="418">
        <v>235812</v>
      </c>
      <c r="S26" s="419">
        <f t="shared" ref="S26:S31" si="49">T26+U26</f>
        <v>18.891500000000001</v>
      </c>
      <c r="T26" s="420">
        <v>15.318099999999999</v>
      </c>
      <c r="U26" s="527">
        <v>3.5733999999999999</v>
      </c>
      <c r="V26" s="427">
        <f t="shared" ref="V26:W31" si="50">AI26*-1</f>
        <v>-89600</v>
      </c>
      <c r="W26" s="421">
        <f t="shared" si="50"/>
        <v>-15360</v>
      </c>
      <c r="X26" s="421">
        <v>0</v>
      </c>
      <c r="Y26" s="421">
        <v>0</v>
      </c>
      <c r="Z26" s="421">
        <v>0</v>
      </c>
      <c r="AA26" s="421">
        <v>0</v>
      </c>
      <c r="AB26" s="421">
        <v>169200</v>
      </c>
      <c r="AC26" s="421">
        <v>0</v>
      </c>
      <c r="AD26" s="421">
        <v>0</v>
      </c>
      <c r="AE26" s="421">
        <v>0</v>
      </c>
      <c r="AF26" s="421">
        <f t="shared" ref="AF26:AF31" si="51">V26+X26+Y26+AA26+AB26+AD26</f>
        <v>79600</v>
      </c>
      <c r="AG26" s="421">
        <f t="shared" ref="AG26:AG31" si="52">W26+Z26+AC26+AE26</f>
        <v>-15360</v>
      </c>
      <c r="AH26" s="421">
        <f t="shared" ref="AH26:AH31" si="53">SUM(AF26:AG26)</f>
        <v>64240</v>
      </c>
      <c r="AI26" s="421">
        <f>44800+44800</f>
        <v>89600</v>
      </c>
      <c r="AJ26" s="421">
        <v>15360</v>
      </c>
      <c r="AK26" s="421">
        <v>0</v>
      </c>
      <c r="AL26" s="421">
        <v>0</v>
      </c>
      <c r="AM26" s="421">
        <v>0</v>
      </c>
      <c r="AN26" s="421">
        <v>0</v>
      </c>
      <c r="AO26" s="421">
        <f t="shared" ref="AO26:AO31" si="54">AI26+AK26+AL26+AM26</f>
        <v>89600</v>
      </c>
      <c r="AP26" s="421">
        <f t="shared" ref="AP26:AP31" si="55">AJ26+AN26</f>
        <v>15360</v>
      </c>
      <c r="AQ26" s="421">
        <f t="shared" ref="AQ26:AQ31" si="56">SUM(AO26:AP26)</f>
        <v>104960</v>
      </c>
      <c r="AR26" s="421">
        <f t="shared" ref="AR26:AS31" si="57">AF26+AO26</f>
        <v>169200</v>
      </c>
      <c r="AS26" s="421">
        <f t="shared" si="57"/>
        <v>0</v>
      </c>
      <c r="AT26" s="421">
        <f t="shared" ref="AT26:AT31" si="58">SUM(AR26:AS26)</f>
        <v>169200</v>
      </c>
      <c r="AU26" s="68">
        <f t="shared" ref="AU26:AU31" si="59">ROUND((AH26+AI26+AJ26+AK26+AL26)*33.8%,0)</f>
        <v>57190</v>
      </c>
      <c r="AV26" s="68">
        <f t="shared" ref="AV26:AV31" si="60">ROUND(AH26*1%,0)</f>
        <v>642</v>
      </c>
      <c r="AW26" s="421">
        <v>0</v>
      </c>
      <c r="AX26" s="421">
        <v>0</v>
      </c>
      <c r="AY26" s="421">
        <f t="shared" ref="AY26:AY31" si="61">AW26+AX26</f>
        <v>0</v>
      </c>
      <c r="AZ26" s="421">
        <f t="shared" ref="AZ26:AZ31" si="62">AT26+AU26+AV26+AY26</f>
        <v>227032</v>
      </c>
      <c r="BA26" s="422">
        <v>-0.06</v>
      </c>
      <c r="BB26" s="422">
        <v>-0.05</v>
      </c>
      <c r="BC26" s="422">
        <v>0</v>
      </c>
      <c r="BD26" s="422">
        <v>0.3</v>
      </c>
      <c r="BE26" s="422">
        <v>0</v>
      </c>
      <c r="BF26" s="422">
        <v>0</v>
      </c>
      <c r="BG26" s="422">
        <v>0</v>
      </c>
      <c r="BH26" s="422">
        <v>0</v>
      </c>
      <c r="BI26" s="422">
        <v>0</v>
      </c>
      <c r="BJ26" s="422">
        <v>0</v>
      </c>
      <c r="BK26" s="422">
        <f t="shared" ref="BK26:BK31" si="63">BA26+BC26+BD26+BF26+BH26+BI26</f>
        <v>0.24</v>
      </c>
      <c r="BL26" s="422">
        <f t="shared" ref="BL26:BL31" si="64">BB26+BE26+BG26+BJ26</f>
        <v>-0.05</v>
      </c>
      <c r="BM26" s="611">
        <f t="shared" ref="BM26:BM31" si="65">SUM(BK26:BL26)</f>
        <v>0.19</v>
      </c>
      <c r="BN26" s="428">
        <f t="shared" ref="BN26:BN31" si="66">I26+AZ26</f>
        <v>16855818</v>
      </c>
      <c r="BO26" s="421">
        <f t="shared" ref="BO26:BO31" si="67">J26+AH26</f>
        <v>12225199</v>
      </c>
      <c r="BP26" s="421">
        <f t="shared" ref="BP26:BQ31" si="68">K26+AF26</f>
        <v>10990972</v>
      </c>
      <c r="BQ26" s="421">
        <f t="shared" si="68"/>
        <v>1234227</v>
      </c>
      <c r="BR26" s="421">
        <f t="shared" ref="BR26:BR31" si="69">M26+AQ26</f>
        <v>104960</v>
      </c>
      <c r="BS26" s="421">
        <f t="shared" ref="BS26:BT31" si="70">N26+AO26</f>
        <v>89600</v>
      </c>
      <c r="BT26" s="421">
        <f t="shared" si="70"/>
        <v>15360</v>
      </c>
      <c r="BU26" s="421">
        <f t="shared" ref="BU26:BV31" si="71">P26+AU26</f>
        <v>4167595</v>
      </c>
      <c r="BV26" s="421">
        <f t="shared" si="71"/>
        <v>122252</v>
      </c>
      <c r="BW26" s="421">
        <f t="shared" ref="BW26:BW31" si="72">R26+AY26</f>
        <v>235812</v>
      </c>
      <c r="BX26" s="422">
        <f t="shared" ref="BX26:BX31" si="73">S26+BM26</f>
        <v>19.081500000000002</v>
      </c>
      <c r="BY26" s="422">
        <f t="shared" ref="BY26:BZ31" si="74">T26+BK26</f>
        <v>15.5581</v>
      </c>
      <c r="BZ26" s="611">
        <f t="shared" si="74"/>
        <v>3.5234000000000001</v>
      </c>
      <c r="CA26" s="423">
        <v>228082</v>
      </c>
      <c r="CB26" s="418">
        <v>169200</v>
      </c>
      <c r="CC26" s="418">
        <v>0</v>
      </c>
      <c r="CD26" s="418">
        <v>57190</v>
      </c>
      <c r="CE26" s="418">
        <v>1692</v>
      </c>
      <c r="CF26" s="527">
        <v>0.3</v>
      </c>
    </row>
    <row r="27" spans="1:84" ht="12.95" customHeight="1" x14ac:dyDescent="0.25">
      <c r="A27" s="282">
        <v>5</v>
      </c>
      <c r="B27" s="323">
        <v>5444</v>
      </c>
      <c r="C27" s="324">
        <v>600099296</v>
      </c>
      <c r="D27" s="283">
        <v>854824</v>
      </c>
      <c r="E27" s="325" t="s">
        <v>358</v>
      </c>
      <c r="F27" s="283">
        <v>3113</v>
      </c>
      <c r="G27" s="325" t="s">
        <v>299</v>
      </c>
      <c r="H27" s="286" t="s">
        <v>272</v>
      </c>
      <c r="I27" s="423">
        <f t="shared" si="46"/>
        <v>0</v>
      </c>
      <c r="J27" s="418">
        <f t="shared" si="7"/>
        <v>0</v>
      </c>
      <c r="K27" s="418">
        <v>0</v>
      </c>
      <c r="L27" s="418">
        <v>0</v>
      </c>
      <c r="M27" s="418">
        <f>N27+O27</f>
        <v>0</v>
      </c>
      <c r="N27" s="418">
        <v>0</v>
      </c>
      <c r="O27" s="418">
        <v>0</v>
      </c>
      <c r="P27" s="68">
        <f t="shared" ref="P27:P31" si="75">ROUND((J27+M27)*33.8%,0)</f>
        <v>0</v>
      </c>
      <c r="Q27" s="68">
        <f t="shared" si="48"/>
        <v>0</v>
      </c>
      <c r="R27" s="418">
        <v>0</v>
      </c>
      <c r="S27" s="419">
        <f>T27+U27</f>
        <v>0</v>
      </c>
      <c r="T27" s="420">
        <v>0</v>
      </c>
      <c r="U27" s="527">
        <v>0</v>
      </c>
      <c r="V27" s="427">
        <f t="shared" si="50"/>
        <v>0</v>
      </c>
      <c r="W27" s="421">
        <f t="shared" si="50"/>
        <v>0</v>
      </c>
      <c r="X27" s="421">
        <v>838835</v>
      </c>
      <c r="Y27" s="421">
        <v>0</v>
      </c>
      <c r="Z27" s="421">
        <v>0</v>
      </c>
      <c r="AA27" s="421">
        <v>0</v>
      </c>
      <c r="AB27" s="421">
        <v>0</v>
      </c>
      <c r="AC27" s="421">
        <v>0</v>
      </c>
      <c r="AD27" s="421">
        <v>0</v>
      </c>
      <c r="AE27" s="421">
        <v>0</v>
      </c>
      <c r="AF27" s="421">
        <f t="shared" si="51"/>
        <v>838835</v>
      </c>
      <c r="AG27" s="421">
        <f t="shared" si="52"/>
        <v>0</v>
      </c>
      <c r="AH27" s="421">
        <f t="shared" si="53"/>
        <v>838835</v>
      </c>
      <c r="AI27" s="421">
        <v>0</v>
      </c>
      <c r="AJ27" s="421">
        <v>0</v>
      </c>
      <c r="AK27" s="421">
        <v>0</v>
      </c>
      <c r="AL27" s="421">
        <v>0</v>
      </c>
      <c r="AM27" s="421">
        <v>0</v>
      </c>
      <c r="AN27" s="421">
        <v>0</v>
      </c>
      <c r="AO27" s="421">
        <f t="shared" si="54"/>
        <v>0</v>
      </c>
      <c r="AP27" s="421">
        <f t="shared" si="55"/>
        <v>0</v>
      </c>
      <c r="AQ27" s="421">
        <f t="shared" si="56"/>
        <v>0</v>
      </c>
      <c r="AR27" s="421">
        <f t="shared" si="57"/>
        <v>838835</v>
      </c>
      <c r="AS27" s="421">
        <f t="shared" si="57"/>
        <v>0</v>
      </c>
      <c r="AT27" s="421">
        <f t="shared" si="58"/>
        <v>838835</v>
      </c>
      <c r="AU27" s="68">
        <f t="shared" si="59"/>
        <v>283526</v>
      </c>
      <c r="AV27" s="68">
        <f t="shared" si="60"/>
        <v>8388</v>
      </c>
      <c r="AW27" s="421">
        <v>0</v>
      </c>
      <c r="AX27" s="421">
        <v>0</v>
      </c>
      <c r="AY27" s="421">
        <f t="shared" si="61"/>
        <v>0</v>
      </c>
      <c r="AZ27" s="421">
        <f t="shared" si="62"/>
        <v>1130749</v>
      </c>
      <c r="BA27" s="422">
        <v>0</v>
      </c>
      <c r="BB27" s="422">
        <v>0</v>
      </c>
      <c r="BC27" s="422">
        <v>2.4700000000000002</v>
      </c>
      <c r="BD27" s="422">
        <v>0</v>
      </c>
      <c r="BE27" s="422">
        <v>0</v>
      </c>
      <c r="BF27" s="422">
        <v>0</v>
      </c>
      <c r="BG27" s="422">
        <v>0</v>
      </c>
      <c r="BH27" s="422">
        <v>0</v>
      </c>
      <c r="BI27" s="422">
        <v>0</v>
      </c>
      <c r="BJ27" s="422">
        <v>0</v>
      </c>
      <c r="BK27" s="422">
        <f t="shared" si="63"/>
        <v>2.4700000000000002</v>
      </c>
      <c r="BL27" s="422">
        <f t="shared" si="64"/>
        <v>0</v>
      </c>
      <c r="BM27" s="611">
        <f t="shared" si="65"/>
        <v>2.4700000000000002</v>
      </c>
      <c r="BN27" s="428">
        <f t="shared" si="66"/>
        <v>1130749</v>
      </c>
      <c r="BO27" s="421">
        <f t="shared" si="67"/>
        <v>838835</v>
      </c>
      <c r="BP27" s="421">
        <f t="shared" si="68"/>
        <v>838835</v>
      </c>
      <c r="BQ27" s="421">
        <f t="shared" si="68"/>
        <v>0</v>
      </c>
      <c r="BR27" s="421">
        <f t="shared" si="69"/>
        <v>0</v>
      </c>
      <c r="BS27" s="421">
        <f t="shared" si="70"/>
        <v>0</v>
      </c>
      <c r="BT27" s="421">
        <f t="shared" si="70"/>
        <v>0</v>
      </c>
      <c r="BU27" s="421">
        <f t="shared" si="71"/>
        <v>283526</v>
      </c>
      <c r="BV27" s="421">
        <f t="shared" si="71"/>
        <v>8388</v>
      </c>
      <c r="BW27" s="421">
        <f t="shared" si="72"/>
        <v>0</v>
      </c>
      <c r="BX27" s="422">
        <f t="shared" si="73"/>
        <v>2.4700000000000002</v>
      </c>
      <c r="BY27" s="422">
        <f t="shared" si="74"/>
        <v>2.4700000000000002</v>
      </c>
      <c r="BZ27" s="611">
        <f t="shared" si="74"/>
        <v>0</v>
      </c>
      <c r="CA27" s="423"/>
      <c r="CB27" s="418"/>
      <c r="CC27" s="418"/>
      <c r="CD27" s="418"/>
      <c r="CE27" s="418"/>
      <c r="CF27" s="527"/>
    </row>
    <row r="28" spans="1:84" ht="12.95" customHeight="1" x14ac:dyDescent="0.25">
      <c r="A28" s="282">
        <v>5</v>
      </c>
      <c r="B28" s="323">
        <v>5444</v>
      </c>
      <c r="C28" s="324">
        <v>600099296</v>
      </c>
      <c r="D28" s="283">
        <v>854824</v>
      </c>
      <c r="E28" s="325" t="s">
        <v>358</v>
      </c>
      <c r="F28" s="283">
        <v>3122</v>
      </c>
      <c r="G28" s="325" t="s">
        <v>300</v>
      </c>
      <c r="H28" s="286" t="s">
        <v>271</v>
      </c>
      <c r="I28" s="423">
        <f t="shared" si="46"/>
        <v>10362328</v>
      </c>
      <c r="J28" s="418">
        <f t="shared" si="7"/>
        <v>7646920</v>
      </c>
      <c r="K28" s="418">
        <v>7414644</v>
      </c>
      <c r="L28" s="418">
        <v>232276</v>
      </c>
      <c r="M28" s="418">
        <f t="shared" si="47"/>
        <v>0</v>
      </c>
      <c r="N28" s="418">
        <v>0</v>
      </c>
      <c r="O28" s="418">
        <v>0</v>
      </c>
      <c r="P28" s="68">
        <f t="shared" si="75"/>
        <v>2584659</v>
      </c>
      <c r="Q28" s="68">
        <f t="shared" si="48"/>
        <v>76469</v>
      </c>
      <c r="R28" s="418">
        <v>54280</v>
      </c>
      <c r="S28" s="419">
        <f t="shared" si="49"/>
        <v>10.788599999999999</v>
      </c>
      <c r="T28" s="420">
        <v>10.0954</v>
      </c>
      <c r="U28" s="527">
        <v>0.69320000000000004</v>
      </c>
      <c r="V28" s="427">
        <f t="shared" si="50"/>
        <v>-64000</v>
      </c>
      <c r="W28" s="421">
        <f t="shared" si="50"/>
        <v>0</v>
      </c>
      <c r="X28" s="421">
        <v>0</v>
      </c>
      <c r="Y28" s="421">
        <v>0</v>
      </c>
      <c r="Z28" s="421">
        <v>0</v>
      </c>
      <c r="AA28" s="421">
        <v>0</v>
      </c>
      <c r="AB28" s="421">
        <v>0</v>
      </c>
      <c r="AC28" s="421">
        <v>0</v>
      </c>
      <c r="AD28" s="421">
        <v>0</v>
      </c>
      <c r="AE28" s="421">
        <v>0</v>
      </c>
      <c r="AF28" s="421">
        <f t="shared" si="51"/>
        <v>-64000</v>
      </c>
      <c r="AG28" s="421">
        <f t="shared" si="52"/>
        <v>0</v>
      </c>
      <c r="AH28" s="421">
        <f t="shared" si="53"/>
        <v>-64000</v>
      </c>
      <c r="AI28" s="421">
        <f>32000+32000</f>
        <v>64000</v>
      </c>
      <c r="AJ28" s="421">
        <v>0</v>
      </c>
      <c r="AK28" s="421">
        <v>0</v>
      </c>
      <c r="AL28" s="421">
        <v>28360</v>
      </c>
      <c r="AM28" s="421">
        <v>0</v>
      </c>
      <c r="AN28" s="421">
        <v>0</v>
      </c>
      <c r="AO28" s="421">
        <f t="shared" si="54"/>
        <v>92360</v>
      </c>
      <c r="AP28" s="421">
        <f t="shared" si="55"/>
        <v>0</v>
      </c>
      <c r="AQ28" s="421">
        <f t="shared" si="56"/>
        <v>92360</v>
      </c>
      <c r="AR28" s="421">
        <f t="shared" si="57"/>
        <v>28360</v>
      </c>
      <c r="AS28" s="421">
        <f t="shared" si="57"/>
        <v>0</v>
      </c>
      <c r="AT28" s="421">
        <f t="shared" si="58"/>
        <v>28360</v>
      </c>
      <c r="AU28" s="68">
        <f t="shared" si="59"/>
        <v>9586</v>
      </c>
      <c r="AV28" s="68">
        <f t="shared" si="60"/>
        <v>-640</v>
      </c>
      <c r="AW28" s="421">
        <v>0</v>
      </c>
      <c r="AX28" s="421">
        <v>0</v>
      </c>
      <c r="AY28" s="421">
        <f t="shared" si="61"/>
        <v>0</v>
      </c>
      <c r="AZ28" s="421">
        <f t="shared" si="62"/>
        <v>37306</v>
      </c>
      <c r="BA28" s="422">
        <v>-0.04</v>
      </c>
      <c r="BB28" s="422">
        <v>0</v>
      </c>
      <c r="BC28" s="422">
        <v>0</v>
      </c>
      <c r="BD28" s="422">
        <v>0</v>
      </c>
      <c r="BE28" s="422">
        <v>0</v>
      </c>
      <c r="BF28" s="422">
        <v>0</v>
      </c>
      <c r="BG28" s="422">
        <v>0</v>
      </c>
      <c r="BH28" s="422">
        <v>0</v>
      </c>
      <c r="BI28" s="422">
        <v>0</v>
      </c>
      <c r="BJ28" s="422">
        <v>0</v>
      </c>
      <c r="BK28" s="422">
        <f t="shared" si="63"/>
        <v>-0.04</v>
      </c>
      <c r="BL28" s="422">
        <f t="shared" si="64"/>
        <v>0</v>
      </c>
      <c r="BM28" s="611">
        <f t="shared" si="65"/>
        <v>-0.04</v>
      </c>
      <c r="BN28" s="428">
        <f t="shared" si="66"/>
        <v>10399634</v>
      </c>
      <c r="BO28" s="421">
        <f t="shared" si="67"/>
        <v>7582920</v>
      </c>
      <c r="BP28" s="421">
        <f t="shared" si="68"/>
        <v>7350644</v>
      </c>
      <c r="BQ28" s="421">
        <f t="shared" si="68"/>
        <v>232276</v>
      </c>
      <c r="BR28" s="421">
        <f t="shared" si="69"/>
        <v>92360</v>
      </c>
      <c r="BS28" s="421">
        <f t="shared" si="70"/>
        <v>92360</v>
      </c>
      <c r="BT28" s="421">
        <f t="shared" si="70"/>
        <v>0</v>
      </c>
      <c r="BU28" s="421">
        <f t="shared" si="71"/>
        <v>2594245</v>
      </c>
      <c r="BV28" s="421">
        <f t="shared" si="71"/>
        <v>75829</v>
      </c>
      <c r="BW28" s="421">
        <f t="shared" si="72"/>
        <v>54280</v>
      </c>
      <c r="BX28" s="422">
        <f t="shared" si="73"/>
        <v>10.7486</v>
      </c>
      <c r="BY28" s="422">
        <f t="shared" si="74"/>
        <v>10.055400000000001</v>
      </c>
      <c r="BZ28" s="611">
        <f t="shared" si="74"/>
        <v>0.69320000000000004</v>
      </c>
      <c r="CA28" s="423"/>
      <c r="CB28" s="418"/>
      <c r="CC28" s="418"/>
      <c r="CD28" s="418"/>
      <c r="CE28" s="418"/>
      <c r="CF28" s="527"/>
    </row>
    <row r="29" spans="1:84" ht="12.95" customHeight="1" x14ac:dyDescent="0.25">
      <c r="A29" s="282">
        <v>5</v>
      </c>
      <c r="B29" s="323">
        <v>5444</v>
      </c>
      <c r="C29" s="324">
        <v>600099296</v>
      </c>
      <c r="D29" s="283">
        <v>854824</v>
      </c>
      <c r="E29" s="325" t="s">
        <v>358</v>
      </c>
      <c r="F29" s="283">
        <v>3141</v>
      </c>
      <c r="G29" s="325" t="s">
        <v>295</v>
      </c>
      <c r="H29" s="286" t="s">
        <v>272</v>
      </c>
      <c r="I29" s="423">
        <f t="shared" si="46"/>
        <v>439576</v>
      </c>
      <c r="J29" s="418">
        <f t="shared" si="7"/>
        <v>322375</v>
      </c>
      <c r="K29" s="418">
        <v>0</v>
      </c>
      <c r="L29" s="418">
        <v>322375</v>
      </c>
      <c r="M29" s="418">
        <f t="shared" si="47"/>
        <v>0</v>
      </c>
      <c r="N29" s="418">
        <v>0</v>
      </c>
      <c r="O29" s="418">
        <v>0</v>
      </c>
      <c r="P29" s="68">
        <f t="shared" si="75"/>
        <v>108963</v>
      </c>
      <c r="Q29" s="68">
        <f t="shared" si="48"/>
        <v>3224</v>
      </c>
      <c r="R29" s="418">
        <v>5014</v>
      </c>
      <c r="S29" s="419">
        <f t="shared" si="49"/>
        <v>0.9667</v>
      </c>
      <c r="T29" s="420">
        <v>0</v>
      </c>
      <c r="U29" s="527">
        <v>0.9667</v>
      </c>
      <c r="V29" s="427">
        <f t="shared" si="50"/>
        <v>0</v>
      </c>
      <c r="W29" s="421">
        <f t="shared" si="50"/>
        <v>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f t="shared" si="51"/>
        <v>0</v>
      </c>
      <c r="AG29" s="421">
        <f t="shared" si="52"/>
        <v>0</v>
      </c>
      <c r="AH29" s="421">
        <f t="shared" si="53"/>
        <v>0</v>
      </c>
      <c r="AI29" s="421">
        <v>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f t="shared" si="54"/>
        <v>0</v>
      </c>
      <c r="AP29" s="421">
        <f t="shared" si="55"/>
        <v>0</v>
      </c>
      <c r="AQ29" s="421">
        <f t="shared" si="56"/>
        <v>0</v>
      </c>
      <c r="AR29" s="421">
        <f t="shared" si="57"/>
        <v>0</v>
      </c>
      <c r="AS29" s="421">
        <f t="shared" si="57"/>
        <v>0</v>
      </c>
      <c r="AT29" s="421">
        <f t="shared" si="58"/>
        <v>0</v>
      </c>
      <c r="AU29" s="68">
        <f t="shared" si="59"/>
        <v>0</v>
      </c>
      <c r="AV29" s="68">
        <f t="shared" si="60"/>
        <v>0</v>
      </c>
      <c r="AW29" s="421">
        <v>0</v>
      </c>
      <c r="AX29" s="421">
        <v>0</v>
      </c>
      <c r="AY29" s="421">
        <f t="shared" si="61"/>
        <v>0</v>
      </c>
      <c r="AZ29" s="421">
        <f t="shared" si="62"/>
        <v>0</v>
      </c>
      <c r="BA29" s="422">
        <v>0</v>
      </c>
      <c r="BB29" s="422">
        <v>0</v>
      </c>
      <c r="BC29" s="422">
        <v>0</v>
      </c>
      <c r="BD29" s="422">
        <v>0</v>
      </c>
      <c r="BE29" s="422">
        <v>0</v>
      </c>
      <c r="BF29" s="422">
        <v>0</v>
      </c>
      <c r="BG29" s="422">
        <v>0</v>
      </c>
      <c r="BH29" s="422">
        <v>0</v>
      </c>
      <c r="BI29" s="422">
        <v>0</v>
      </c>
      <c r="BJ29" s="422">
        <v>0</v>
      </c>
      <c r="BK29" s="422">
        <f t="shared" si="63"/>
        <v>0</v>
      </c>
      <c r="BL29" s="422">
        <f t="shared" si="64"/>
        <v>0</v>
      </c>
      <c r="BM29" s="611">
        <f t="shared" si="65"/>
        <v>0</v>
      </c>
      <c r="BN29" s="428">
        <f t="shared" si="66"/>
        <v>439576</v>
      </c>
      <c r="BO29" s="421">
        <f t="shared" si="67"/>
        <v>322375</v>
      </c>
      <c r="BP29" s="421">
        <f t="shared" si="68"/>
        <v>0</v>
      </c>
      <c r="BQ29" s="421">
        <f t="shared" si="68"/>
        <v>322375</v>
      </c>
      <c r="BR29" s="421">
        <f t="shared" si="69"/>
        <v>0</v>
      </c>
      <c r="BS29" s="421">
        <f t="shared" si="70"/>
        <v>0</v>
      </c>
      <c r="BT29" s="421">
        <f t="shared" si="70"/>
        <v>0</v>
      </c>
      <c r="BU29" s="421">
        <f t="shared" si="71"/>
        <v>108963</v>
      </c>
      <c r="BV29" s="421">
        <f t="shared" si="71"/>
        <v>3224</v>
      </c>
      <c r="BW29" s="421">
        <f t="shared" si="72"/>
        <v>5014</v>
      </c>
      <c r="BX29" s="422">
        <f t="shared" si="73"/>
        <v>0.9667</v>
      </c>
      <c r="BY29" s="422">
        <f t="shared" si="74"/>
        <v>0</v>
      </c>
      <c r="BZ29" s="611">
        <f t="shared" si="74"/>
        <v>0.9667</v>
      </c>
      <c r="CA29" s="423"/>
      <c r="CB29" s="418"/>
      <c r="CC29" s="418"/>
      <c r="CD29" s="418"/>
      <c r="CE29" s="418"/>
      <c r="CF29" s="527"/>
    </row>
    <row r="30" spans="1:84" ht="12.95" customHeight="1" x14ac:dyDescent="0.25">
      <c r="A30" s="282">
        <v>5</v>
      </c>
      <c r="B30" s="323">
        <v>5444</v>
      </c>
      <c r="C30" s="324">
        <v>600099296</v>
      </c>
      <c r="D30" s="283">
        <v>854824</v>
      </c>
      <c r="E30" s="325" t="s">
        <v>358</v>
      </c>
      <c r="F30" s="283">
        <v>3143</v>
      </c>
      <c r="G30" s="325" t="s">
        <v>596</v>
      </c>
      <c r="H30" s="286" t="s">
        <v>271</v>
      </c>
      <c r="I30" s="423">
        <f t="shared" si="46"/>
        <v>1766675</v>
      </c>
      <c r="J30" s="418">
        <f t="shared" si="7"/>
        <v>1310590</v>
      </c>
      <c r="K30" s="418">
        <v>1310590</v>
      </c>
      <c r="L30" s="418">
        <v>0</v>
      </c>
      <c r="M30" s="418">
        <f t="shared" si="47"/>
        <v>0</v>
      </c>
      <c r="N30" s="418">
        <v>0</v>
      </c>
      <c r="O30" s="418">
        <v>0</v>
      </c>
      <c r="P30" s="68">
        <f t="shared" si="75"/>
        <v>442979</v>
      </c>
      <c r="Q30" s="68">
        <f t="shared" si="48"/>
        <v>13106</v>
      </c>
      <c r="R30" s="418">
        <v>0</v>
      </c>
      <c r="S30" s="419">
        <f t="shared" si="49"/>
        <v>2.7241</v>
      </c>
      <c r="T30" s="420">
        <v>2.7241</v>
      </c>
      <c r="U30" s="527">
        <v>0</v>
      </c>
      <c r="V30" s="427">
        <f t="shared" si="50"/>
        <v>-51200</v>
      </c>
      <c r="W30" s="421">
        <f t="shared" si="50"/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f t="shared" si="51"/>
        <v>-51200</v>
      </c>
      <c r="AG30" s="421">
        <f t="shared" si="52"/>
        <v>0</v>
      </c>
      <c r="AH30" s="421">
        <f t="shared" si="53"/>
        <v>-51200</v>
      </c>
      <c r="AI30" s="421">
        <v>51200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f t="shared" si="54"/>
        <v>51200</v>
      </c>
      <c r="AP30" s="421">
        <f t="shared" si="55"/>
        <v>0</v>
      </c>
      <c r="AQ30" s="421">
        <f t="shared" si="56"/>
        <v>51200</v>
      </c>
      <c r="AR30" s="421">
        <f t="shared" si="57"/>
        <v>0</v>
      </c>
      <c r="AS30" s="421">
        <f t="shared" si="57"/>
        <v>0</v>
      </c>
      <c r="AT30" s="421">
        <f t="shared" si="58"/>
        <v>0</v>
      </c>
      <c r="AU30" s="68">
        <f t="shared" si="59"/>
        <v>0</v>
      </c>
      <c r="AV30" s="68">
        <f t="shared" si="60"/>
        <v>-512</v>
      </c>
      <c r="AW30" s="421">
        <v>0</v>
      </c>
      <c r="AX30" s="421">
        <v>0</v>
      </c>
      <c r="AY30" s="421">
        <f t="shared" si="61"/>
        <v>0</v>
      </c>
      <c r="AZ30" s="421">
        <f t="shared" si="62"/>
        <v>-512</v>
      </c>
      <c r="BA30" s="422">
        <v>0</v>
      </c>
      <c r="BB30" s="422">
        <v>0</v>
      </c>
      <c r="BC30" s="422">
        <v>0</v>
      </c>
      <c r="BD30" s="422">
        <v>0</v>
      </c>
      <c r="BE30" s="422">
        <v>0</v>
      </c>
      <c r="BF30" s="422">
        <v>0</v>
      </c>
      <c r="BG30" s="422">
        <v>0</v>
      </c>
      <c r="BH30" s="422">
        <v>0</v>
      </c>
      <c r="BI30" s="422">
        <v>0</v>
      </c>
      <c r="BJ30" s="422">
        <v>0</v>
      </c>
      <c r="BK30" s="422">
        <f t="shared" si="63"/>
        <v>0</v>
      </c>
      <c r="BL30" s="422">
        <f t="shared" si="64"/>
        <v>0</v>
      </c>
      <c r="BM30" s="611">
        <f t="shared" si="65"/>
        <v>0</v>
      </c>
      <c r="BN30" s="428">
        <f t="shared" si="66"/>
        <v>1766163</v>
      </c>
      <c r="BO30" s="421">
        <f t="shared" si="67"/>
        <v>1259390</v>
      </c>
      <c r="BP30" s="421">
        <f t="shared" si="68"/>
        <v>1259390</v>
      </c>
      <c r="BQ30" s="421">
        <f t="shared" si="68"/>
        <v>0</v>
      </c>
      <c r="BR30" s="421">
        <f t="shared" si="69"/>
        <v>51200</v>
      </c>
      <c r="BS30" s="421">
        <f t="shared" si="70"/>
        <v>51200</v>
      </c>
      <c r="BT30" s="421">
        <f t="shared" si="70"/>
        <v>0</v>
      </c>
      <c r="BU30" s="421">
        <f t="shared" si="71"/>
        <v>442979</v>
      </c>
      <c r="BV30" s="421">
        <f t="shared" si="71"/>
        <v>12594</v>
      </c>
      <c r="BW30" s="421">
        <f t="shared" si="72"/>
        <v>0</v>
      </c>
      <c r="BX30" s="422">
        <f t="shared" si="73"/>
        <v>2.7241</v>
      </c>
      <c r="BY30" s="422">
        <f t="shared" si="74"/>
        <v>2.7241</v>
      </c>
      <c r="BZ30" s="611">
        <f t="shared" si="74"/>
        <v>0</v>
      </c>
      <c r="CA30" s="423"/>
      <c r="CB30" s="418"/>
      <c r="CC30" s="418"/>
      <c r="CD30" s="418"/>
      <c r="CE30" s="418"/>
      <c r="CF30" s="527"/>
    </row>
    <row r="31" spans="1:84" ht="12.95" customHeight="1" x14ac:dyDescent="0.25">
      <c r="A31" s="282">
        <v>5</v>
      </c>
      <c r="B31" s="323">
        <v>5444</v>
      </c>
      <c r="C31" s="324">
        <v>600099296</v>
      </c>
      <c r="D31" s="283">
        <v>854824</v>
      </c>
      <c r="E31" s="325" t="s">
        <v>358</v>
      </c>
      <c r="F31" s="283">
        <v>3143</v>
      </c>
      <c r="G31" s="325" t="s">
        <v>597</v>
      </c>
      <c r="H31" s="286" t="s">
        <v>272</v>
      </c>
      <c r="I31" s="423">
        <f t="shared" si="46"/>
        <v>36883</v>
      </c>
      <c r="J31" s="418">
        <f t="shared" si="7"/>
        <v>26400</v>
      </c>
      <c r="K31" s="418">
        <v>0</v>
      </c>
      <c r="L31" s="418">
        <v>26400</v>
      </c>
      <c r="M31" s="418">
        <f t="shared" si="47"/>
        <v>0</v>
      </c>
      <c r="N31" s="418">
        <v>0</v>
      </c>
      <c r="O31" s="418">
        <v>0</v>
      </c>
      <c r="P31" s="68">
        <f t="shared" si="75"/>
        <v>8923</v>
      </c>
      <c r="Q31" s="68">
        <f t="shared" si="48"/>
        <v>264</v>
      </c>
      <c r="R31" s="418">
        <v>1296</v>
      </c>
      <c r="S31" s="419">
        <f t="shared" si="49"/>
        <v>0.1</v>
      </c>
      <c r="T31" s="420">
        <v>0</v>
      </c>
      <c r="U31" s="527">
        <v>0.1</v>
      </c>
      <c r="V31" s="427">
        <f t="shared" si="50"/>
        <v>0</v>
      </c>
      <c r="W31" s="421">
        <f t="shared" si="50"/>
        <v>0</v>
      </c>
      <c r="X31" s="421">
        <v>0</v>
      </c>
      <c r="Y31" s="421">
        <v>0</v>
      </c>
      <c r="Z31" s="421">
        <v>0</v>
      </c>
      <c r="AA31" s="421">
        <v>0</v>
      </c>
      <c r="AB31" s="421">
        <v>0</v>
      </c>
      <c r="AC31" s="421">
        <v>0</v>
      </c>
      <c r="AD31" s="421">
        <v>0</v>
      </c>
      <c r="AE31" s="421">
        <v>0</v>
      </c>
      <c r="AF31" s="421">
        <f t="shared" si="51"/>
        <v>0</v>
      </c>
      <c r="AG31" s="421">
        <f t="shared" si="52"/>
        <v>0</v>
      </c>
      <c r="AH31" s="421">
        <f t="shared" si="53"/>
        <v>0</v>
      </c>
      <c r="AI31" s="421">
        <v>0</v>
      </c>
      <c r="AJ31" s="421">
        <v>0</v>
      </c>
      <c r="AK31" s="421">
        <v>0</v>
      </c>
      <c r="AL31" s="421">
        <v>0</v>
      </c>
      <c r="AM31" s="421">
        <v>0</v>
      </c>
      <c r="AN31" s="421">
        <v>0</v>
      </c>
      <c r="AO31" s="421">
        <f t="shared" si="54"/>
        <v>0</v>
      </c>
      <c r="AP31" s="421">
        <f t="shared" si="55"/>
        <v>0</v>
      </c>
      <c r="AQ31" s="421">
        <f t="shared" si="56"/>
        <v>0</v>
      </c>
      <c r="AR31" s="421">
        <f t="shared" si="57"/>
        <v>0</v>
      </c>
      <c r="AS31" s="421">
        <f t="shared" si="57"/>
        <v>0</v>
      </c>
      <c r="AT31" s="421">
        <f t="shared" si="58"/>
        <v>0</v>
      </c>
      <c r="AU31" s="68">
        <f t="shared" si="59"/>
        <v>0</v>
      </c>
      <c r="AV31" s="68">
        <f t="shared" si="60"/>
        <v>0</v>
      </c>
      <c r="AW31" s="421">
        <v>0</v>
      </c>
      <c r="AX31" s="421">
        <v>0</v>
      </c>
      <c r="AY31" s="421">
        <f t="shared" si="61"/>
        <v>0</v>
      </c>
      <c r="AZ31" s="421">
        <f t="shared" si="62"/>
        <v>0</v>
      </c>
      <c r="BA31" s="422">
        <v>0</v>
      </c>
      <c r="BB31" s="422">
        <v>0</v>
      </c>
      <c r="BC31" s="422">
        <v>0</v>
      </c>
      <c r="BD31" s="422">
        <v>0</v>
      </c>
      <c r="BE31" s="422">
        <v>0</v>
      </c>
      <c r="BF31" s="422">
        <v>0</v>
      </c>
      <c r="BG31" s="422">
        <v>0</v>
      </c>
      <c r="BH31" s="422">
        <v>0</v>
      </c>
      <c r="BI31" s="422">
        <v>0</v>
      </c>
      <c r="BJ31" s="422">
        <v>0</v>
      </c>
      <c r="BK31" s="422">
        <f t="shared" si="63"/>
        <v>0</v>
      </c>
      <c r="BL31" s="422">
        <f t="shared" si="64"/>
        <v>0</v>
      </c>
      <c r="BM31" s="611">
        <f t="shared" si="65"/>
        <v>0</v>
      </c>
      <c r="BN31" s="428">
        <f t="shared" si="66"/>
        <v>36883</v>
      </c>
      <c r="BO31" s="421">
        <f t="shared" si="67"/>
        <v>26400</v>
      </c>
      <c r="BP31" s="421">
        <f t="shared" si="68"/>
        <v>0</v>
      </c>
      <c r="BQ31" s="421">
        <f t="shared" si="68"/>
        <v>26400</v>
      </c>
      <c r="BR31" s="421">
        <f t="shared" si="69"/>
        <v>0</v>
      </c>
      <c r="BS31" s="421">
        <f t="shared" si="70"/>
        <v>0</v>
      </c>
      <c r="BT31" s="421">
        <f t="shared" si="70"/>
        <v>0</v>
      </c>
      <c r="BU31" s="421">
        <f t="shared" si="71"/>
        <v>8923</v>
      </c>
      <c r="BV31" s="421">
        <f t="shared" si="71"/>
        <v>264</v>
      </c>
      <c r="BW31" s="421">
        <f t="shared" si="72"/>
        <v>1296</v>
      </c>
      <c r="BX31" s="422">
        <f t="shared" si="73"/>
        <v>0.1</v>
      </c>
      <c r="BY31" s="422">
        <f t="shared" si="74"/>
        <v>0</v>
      </c>
      <c r="BZ31" s="611">
        <f t="shared" si="74"/>
        <v>0.1</v>
      </c>
      <c r="CA31" s="423"/>
      <c r="CB31" s="418"/>
      <c r="CC31" s="418"/>
      <c r="CD31" s="418"/>
      <c r="CE31" s="418"/>
      <c r="CF31" s="527"/>
    </row>
    <row r="32" spans="1:84" ht="12.95" customHeight="1" x14ac:dyDescent="0.25">
      <c r="A32" s="326">
        <v>5</v>
      </c>
      <c r="B32" s="327">
        <v>5444</v>
      </c>
      <c r="C32" s="328">
        <v>600099296</v>
      </c>
      <c r="D32" s="327">
        <v>854824</v>
      </c>
      <c r="E32" s="329" t="s">
        <v>359</v>
      </c>
      <c r="F32" s="293"/>
      <c r="G32" s="331"/>
      <c r="H32" s="294"/>
      <c r="I32" s="481">
        <f t="shared" ref="I32:BT32" si="76">SUM(I26:I31)</f>
        <v>29234248</v>
      </c>
      <c r="J32" s="477">
        <f t="shared" si="76"/>
        <v>21467244</v>
      </c>
      <c r="K32" s="477">
        <f t="shared" si="76"/>
        <v>19636606</v>
      </c>
      <c r="L32" s="477">
        <f t="shared" si="76"/>
        <v>1830638</v>
      </c>
      <c r="M32" s="477">
        <f t="shared" si="76"/>
        <v>0</v>
      </c>
      <c r="N32" s="477">
        <f t="shared" si="76"/>
        <v>0</v>
      </c>
      <c r="O32" s="477">
        <f t="shared" si="76"/>
        <v>0</v>
      </c>
      <c r="P32" s="477">
        <f t="shared" si="76"/>
        <v>7255929</v>
      </c>
      <c r="Q32" s="477">
        <f t="shared" si="76"/>
        <v>214673</v>
      </c>
      <c r="R32" s="477">
        <f t="shared" si="76"/>
        <v>296402</v>
      </c>
      <c r="S32" s="478">
        <f t="shared" si="76"/>
        <v>33.4709</v>
      </c>
      <c r="T32" s="478">
        <f t="shared" si="76"/>
        <v>28.137599999999999</v>
      </c>
      <c r="U32" s="330">
        <f t="shared" si="76"/>
        <v>5.3333000000000004</v>
      </c>
      <c r="V32" s="483">
        <f t="shared" si="76"/>
        <v>-204800</v>
      </c>
      <c r="W32" s="477">
        <f t="shared" si="76"/>
        <v>-15360</v>
      </c>
      <c r="X32" s="477">
        <f t="shared" si="76"/>
        <v>838835</v>
      </c>
      <c r="Y32" s="477">
        <f t="shared" si="76"/>
        <v>0</v>
      </c>
      <c r="Z32" s="477">
        <f t="shared" si="76"/>
        <v>0</v>
      </c>
      <c r="AA32" s="477">
        <f t="shared" si="76"/>
        <v>0</v>
      </c>
      <c r="AB32" s="477">
        <f t="shared" si="76"/>
        <v>169200</v>
      </c>
      <c r="AC32" s="477">
        <f t="shared" si="76"/>
        <v>0</v>
      </c>
      <c r="AD32" s="477">
        <f t="shared" si="76"/>
        <v>0</v>
      </c>
      <c r="AE32" s="477">
        <f t="shared" si="76"/>
        <v>0</v>
      </c>
      <c r="AF32" s="477">
        <f t="shared" si="76"/>
        <v>803235</v>
      </c>
      <c r="AG32" s="477">
        <f t="shared" si="76"/>
        <v>-15360</v>
      </c>
      <c r="AH32" s="477">
        <f t="shared" si="76"/>
        <v>787875</v>
      </c>
      <c r="AI32" s="477">
        <f t="shared" si="76"/>
        <v>204800</v>
      </c>
      <c r="AJ32" s="477">
        <f t="shared" si="76"/>
        <v>15360</v>
      </c>
      <c r="AK32" s="477">
        <f t="shared" ref="AK32" si="77">SUM(AK26:AK31)</f>
        <v>0</v>
      </c>
      <c r="AL32" s="477">
        <f t="shared" si="76"/>
        <v>28360</v>
      </c>
      <c r="AM32" s="477">
        <f t="shared" si="76"/>
        <v>0</v>
      </c>
      <c r="AN32" s="477">
        <f t="shared" si="76"/>
        <v>0</v>
      </c>
      <c r="AO32" s="477">
        <f t="shared" si="76"/>
        <v>233160</v>
      </c>
      <c r="AP32" s="477">
        <f t="shared" si="76"/>
        <v>15360</v>
      </c>
      <c r="AQ32" s="477">
        <f t="shared" si="76"/>
        <v>248520</v>
      </c>
      <c r="AR32" s="477">
        <f t="shared" si="76"/>
        <v>1036395</v>
      </c>
      <c r="AS32" s="477">
        <f t="shared" si="76"/>
        <v>0</v>
      </c>
      <c r="AT32" s="477">
        <f t="shared" si="76"/>
        <v>1036395</v>
      </c>
      <c r="AU32" s="477">
        <f t="shared" si="76"/>
        <v>350302</v>
      </c>
      <c r="AV32" s="477">
        <f t="shared" si="76"/>
        <v>7878</v>
      </c>
      <c r="AW32" s="477">
        <f t="shared" si="76"/>
        <v>0</v>
      </c>
      <c r="AX32" s="477">
        <f t="shared" si="76"/>
        <v>0</v>
      </c>
      <c r="AY32" s="477">
        <f t="shared" si="76"/>
        <v>0</v>
      </c>
      <c r="AZ32" s="477">
        <f t="shared" si="76"/>
        <v>1394575</v>
      </c>
      <c r="BA32" s="478">
        <f t="shared" si="76"/>
        <v>-0.1</v>
      </c>
      <c r="BB32" s="478">
        <f t="shared" si="76"/>
        <v>-0.05</v>
      </c>
      <c r="BC32" s="478">
        <f t="shared" si="76"/>
        <v>2.4700000000000002</v>
      </c>
      <c r="BD32" s="478">
        <f t="shared" si="76"/>
        <v>0.3</v>
      </c>
      <c r="BE32" s="478">
        <f t="shared" si="76"/>
        <v>0</v>
      </c>
      <c r="BF32" s="478">
        <f t="shared" si="76"/>
        <v>0</v>
      </c>
      <c r="BG32" s="478">
        <f t="shared" si="76"/>
        <v>0</v>
      </c>
      <c r="BH32" s="478">
        <f t="shared" si="76"/>
        <v>0</v>
      </c>
      <c r="BI32" s="478">
        <f t="shared" si="76"/>
        <v>0</v>
      </c>
      <c r="BJ32" s="478">
        <f t="shared" si="76"/>
        <v>0</v>
      </c>
      <c r="BK32" s="478">
        <f t="shared" si="76"/>
        <v>2.67</v>
      </c>
      <c r="BL32" s="478">
        <f t="shared" si="76"/>
        <v>-0.05</v>
      </c>
      <c r="BM32" s="559">
        <f t="shared" si="76"/>
        <v>2.62</v>
      </c>
      <c r="BN32" s="481">
        <f t="shared" si="76"/>
        <v>30628823</v>
      </c>
      <c r="BO32" s="477">
        <f t="shared" si="76"/>
        <v>22255119</v>
      </c>
      <c r="BP32" s="477">
        <f t="shared" si="76"/>
        <v>20439841</v>
      </c>
      <c r="BQ32" s="477">
        <f t="shared" si="76"/>
        <v>1815278</v>
      </c>
      <c r="BR32" s="477">
        <f t="shared" si="76"/>
        <v>248520</v>
      </c>
      <c r="BS32" s="477">
        <f t="shared" si="76"/>
        <v>233160</v>
      </c>
      <c r="BT32" s="477">
        <f t="shared" si="76"/>
        <v>15360</v>
      </c>
      <c r="BU32" s="477">
        <f t="shared" ref="BU32:CF32" si="78">SUM(BU26:BU31)</f>
        <v>7606231</v>
      </c>
      <c r="BV32" s="477">
        <f t="shared" si="78"/>
        <v>222551</v>
      </c>
      <c r="BW32" s="477">
        <f t="shared" si="78"/>
        <v>296402</v>
      </c>
      <c r="BX32" s="478">
        <f t="shared" si="78"/>
        <v>36.090900000000005</v>
      </c>
      <c r="BY32" s="478">
        <f t="shared" si="78"/>
        <v>30.807600000000001</v>
      </c>
      <c r="BZ32" s="559">
        <f t="shared" si="78"/>
        <v>5.2832999999999997</v>
      </c>
      <c r="CA32" s="885">
        <f t="shared" si="78"/>
        <v>228082</v>
      </c>
      <c r="CB32" s="883">
        <f t="shared" si="78"/>
        <v>169200</v>
      </c>
      <c r="CC32" s="883">
        <f t="shared" si="78"/>
        <v>0</v>
      </c>
      <c r="CD32" s="883">
        <f t="shared" si="78"/>
        <v>57190</v>
      </c>
      <c r="CE32" s="883">
        <f t="shared" si="78"/>
        <v>1692</v>
      </c>
      <c r="CF32" s="845">
        <f t="shared" si="78"/>
        <v>0.3</v>
      </c>
    </row>
    <row r="33" spans="1:84" ht="12.95" customHeight="1" x14ac:dyDescent="0.25">
      <c r="A33" s="282">
        <v>6</v>
      </c>
      <c r="B33" s="323">
        <v>5449</v>
      </c>
      <c r="C33" s="324">
        <v>600099458</v>
      </c>
      <c r="D33" s="283">
        <v>70188408</v>
      </c>
      <c r="E33" s="325" t="s">
        <v>360</v>
      </c>
      <c r="F33" s="283">
        <v>3114</v>
      </c>
      <c r="G33" s="333" t="s">
        <v>526</v>
      </c>
      <c r="H33" s="286" t="s">
        <v>271</v>
      </c>
      <c r="I33" s="423">
        <f t="shared" ref="I33:I37" si="79">J33+P33+Q33+R33</f>
        <v>11962180</v>
      </c>
      <c r="J33" s="418">
        <f t="shared" si="7"/>
        <v>8813120</v>
      </c>
      <c r="K33" s="418">
        <v>8012926</v>
      </c>
      <c r="L33" s="418">
        <v>800194</v>
      </c>
      <c r="M33" s="418">
        <f t="shared" ref="M33:M37" si="80">N33+O33</f>
        <v>0</v>
      </c>
      <c r="N33" s="418">
        <v>0</v>
      </c>
      <c r="O33" s="418">
        <v>0</v>
      </c>
      <c r="P33" s="68">
        <f t="shared" ref="P33:P37" si="81">ROUND((J33+M33)*33.8%,0)</f>
        <v>2978835</v>
      </c>
      <c r="Q33" s="68">
        <f>ROUND(J33*1%,0)-1</f>
        <v>88130</v>
      </c>
      <c r="R33" s="418">
        <v>82095</v>
      </c>
      <c r="S33" s="419">
        <f>T33+U33</f>
        <v>12.7479</v>
      </c>
      <c r="T33" s="420">
        <v>10.454599999999999</v>
      </c>
      <c r="U33" s="527">
        <v>2.2932999999999999</v>
      </c>
      <c r="V33" s="427">
        <f t="shared" ref="V33:W37" si="82">AI33*-1</f>
        <v>-32000</v>
      </c>
      <c r="W33" s="421">
        <f t="shared" si="82"/>
        <v>-25600</v>
      </c>
      <c r="X33" s="421">
        <v>0</v>
      </c>
      <c r="Y33" s="421">
        <v>0</v>
      </c>
      <c r="Z33" s="421">
        <v>0</v>
      </c>
      <c r="AA33" s="421">
        <v>0</v>
      </c>
      <c r="AB33" s="421">
        <v>0</v>
      </c>
      <c r="AC33" s="421">
        <v>0</v>
      </c>
      <c r="AD33" s="421">
        <v>0</v>
      </c>
      <c r="AE33" s="421">
        <v>0</v>
      </c>
      <c r="AF33" s="421">
        <f>V33+X33+Y33+AA33+AB33+AD33</f>
        <v>-32000</v>
      </c>
      <c r="AG33" s="421">
        <f>W33+Z33+AC33+AE33</f>
        <v>-25600</v>
      </c>
      <c r="AH33" s="421">
        <f>SUM(AF33:AG33)</f>
        <v>-57600</v>
      </c>
      <c r="AI33" s="421">
        <v>32000</v>
      </c>
      <c r="AJ33" s="421">
        <v>25600</v>
      </c>
      <c r="AK33" s="421">
        <v>0</v>
      </c>
      <c r="AL33" s="421">
        <v>105920</v>
      </c>
      <c r="AM33" s="421">
        <v>0</v>
      </c>
      <c r="AN33" s="421">
        <v>0</v>
      </c>
      <c r="AO33" s="421">
        <f t="shared" ref="AO33:AO37" si="83">AI33+AK33+AL33+AM33</f>
        <v>137920</v>
      </c>
      <c r="AP33" s="421">
        <f>AJ33+AN33</f>
        <v>25600</v>
      </c>
      <c r="AQ33" s="421">
        <f>SUM(AO33:AP33)</f>
        <v>163520</v>
      </c>
      <c r="AR33" s="421">
        <f t="shared" ref="AR33:AS37" si="84">AF33+AO33</f>
        <v>105920</v>
      </c>
      <c r="AS33" s="421">
        <f t="shared" si="84"/>
        <v>0</v>
      </c>
      <c r="AT33" s="421">
        <f>SUM(AR33:AS33)</f>
        <v>105920</v>
      </c>
      <c r="AU33" s="68">
        <f t="shared" ref="AU33:AU37" si="85">ROUND((AH33+AI33+AJ33+AK33+AL33)*33.8%,0)</f>
        <v>35801</v>
      </c>
      <c r="AV33" s="68">
        <f>ROUND(AH33*1%,0)</f>
        <v>-576</v>
      </c>
      <c r="AW33" s="421">
        <v>0</v>
      </c>
      <c r="AX33" s="421">
        <v>0</v>
      </c>
      <c r="AY33" s="421">
        <f>AW33+AX33</f>
        <v>0</v>
      </c>
      <c r="AZ33" s="421">
        <f>AT33+AU33+AV33+AY33</f>
        <v>141145</v>
      </c>
      <c r="BA33" s="422">
        <v>-0.05</v>
      </c>
      <c r="BB33" s="422">
        <v>-0.08</v>
      </c>
      <c r="BC33" s="422">
        <v>0</v>
      </c>
      <c r="BD33" s="422">
        <v>0</v>
      </c>
      <c r="BE33" s="422">
        <v>0</v>
      </c>
      <c r="BF33" s="422">
        <v>0</v>
      </c>
      <c r="BG33" s="422">
        <v>0</v>
      </c>
      <c r="BH33" s="422">
        <v>0</v>
      </c>
      <c r="BI33" s="422">
        <v>0</v>
      </c>
      <c r="BJ33" s="422">
        <v>0</v>
      </c>
      <c r="BK33" s="422">
        <f>BA33+BC33+BD33+BF33+BH33+BI33</f>
        <v>-0.05</v>
      </c>
      <c r="BL33" s="422">
        <f>BB33+BE33+BG33+BJ33</f>
        <v>-0.08</v>
      </c>
      <c r="BM33" s="611">
        <f>SUM(BK33:BL33)</f>
        <v>-0.13</v>
      </c>
      <c r="BN33" s="428">
        <f>I33+AZ33</f>
        <v>12103325</v>
      </c>
      <c r="BO33" s="421">
        <f>J33+AH33</f>
        <v>8755520</v>
      </c>
      <c r="BP33" s="421">
        <f t="shared" ref="BP33:BQ37" si="86">K33+AF33</f>
        <v>7980926</v>
      </c>
      <c r="BQ33" s="421">
        <f t="shared" si="86"/>
        <v>774594</v>
      </c>
      <c r="BR33" s="421">
        <f>M33+AQ33</f>
        <v>163520</v>
      </c>
      <c r="BS33" s="421">
        <f t="shared" ref="BS33:BT37" si="87">N33+AO33</f>
        <v>137920</v>
      </c>
      <c r="BT33" s="421">
        <f t="shared" si="87"/>
        <v>25600</v>
      </c>
      <c r="BU33" s="421">
        <f t="shared" ref="BU33:BV37" si="88">P33+AU33</f>
        <v>3014636</v>
      </c>
      <c r="BV33" s="421">
        <f t="shared" si="88"/>
        <v>87554</v>
      </c>
      <c r="BW33" s="421">
        <f>R33+AY33</f>
        <v>82095</v>
      </c>
      <c r="BX33" s="422">
        <f>S33+BM33</f>
        <v>12.617899999999999</v>
      </c>
      <c r="BY33" s="422">
        <f t="shared" ref="BY33:BZ37" si="89">T33+BK33</f>
        <v>10.404599999999999</v>
      </c>
      <c r="BZ33" s="611">
        <f t="shared" si="89"/>
        <v>2.2132999999999998</v>
      </c>
      <c r="CA33" s="423"/>
      <c r="CB33" s="418"/>
      <c r="CC33" s="418"/>
      <c r="CD33" s="418"/>
      <c r="CE33" s="418"/>
      <c r="CF33" s="527"/>
    </row>
    <row r="34" spans="1:84" ht="12.95" customHeight="1" x14ac:dyDescent="0.25">
      <c r="A34" s="282">
        <v>6</v>
      </c>
      <c r="B34" s="323">
        <v>5449</v>
      </c>
      <c r="C34" s="324">
        <v>600099458</v>
      </c>
      <c r="D34" s="283">
        <v>70188408</v>
      </c>
      <c r="E34" s="325" t="s">
        <v>360</v>
      </c>
      <c r="F34" s="283">
        <v>3114</v>
      </c>
      <c r="G34" s="333" t="s">
        <v>293</v>
      </c>
      <c r="H34" s="286" t="s">
        <v>271</v>
      </c>
      <c r="I34" s="423">
        <f t="shared" si="79"/>
        <v>2241692</v>
      </c>
      <c r="J34" s="418">
        <f t="shared" si="7"/>
        <v>1662976</v>
      </c>
      <c r="K34" s="418">
        <v>1662976</v>
      </c>
      <c r="L34" s="418">
        <v>0</v>
      </c>
      <c r="M34" s="418">
        <f t="shared" si="80"/>
        <v>0</v>
      </c>
      <c r="N34" s="418">
        <v>0</v>
      </c>
      <c r="O34" s="418">
        <v>0</v>
      </c>
      <c r="P34" s="68">
        <f t="shared" si="81"/>
        <v>562086</v>
      </c>
      <c r="Q34" s="68">
        <f t="shared" ref="Q34:Q37" si="90">ROUND(J34*1%,0)</f>
        <v>16630</v>
      </c>
      <c r="R34" s="418">
        <v>0</v>
      </c>
      <c r="S34" s="419">
        <f>T34+U34</f>
        <v>3.9666000000000001</v>
      </c>
      <c r="T34" s="420">
        <v>3.9666000000000001</v>
      </c>
      <c r="U34" s="527">
        <v>0</v>
      </c>
      <c r="V34" s="427">
        <f t="shared" si="82"/>
        <v>0</v>
      </c>
      <c r="W34" s="421">
        <f t="shared" si="82"/>
        <v>0</v>
      </c>
      <c r="X34" s="421">
        <v>0</v>
      </c>
      <c r="Y34" s="421">
        <v>0</v>
      </c>
      <c r="Z34" s="421">
        <v>0</v>
      </c>
      <c r="AA34" s="421">
        <v>0</v>
      </c>
      <c r="AB34" s="421">
        <v>0</v>
      </c>
      <c r="AC34" s="421">
        <v>0</v>
      </c>
      <c r="AD34" s="421">
        <v>0</v>
      </c>
      <c r="AE34" s="421">
        <v>0</v>
      </c>
      <c r="AF34" s="421">
        <f>V34+X34+Y34+AA34+AB34+AD34</f>
        <v>0</v>
      </c>
      <c r="AG34" s="421">
        <f>W34+Z34+AC34+AE34</f>
        <v>0</v>
      </c>
      <c r="AH34" s="421">
        <f>SUM(AF34:AG34)</f>
        <v>0</v>
      </c>
      <c r="AI34" s="421">
        <v>0</v>
      </c>
      <c r="AJ34" s="421">
        <v>0</v>
      </c>
      <c r="AK34" s="421">
        <v>0</v>
      </c>
      <c r="AL34" s="421">
        <v>0</v>
      </c>
      <c r="AM34" s="421">
        <v>0</v>
      </c>
      <c r="AN34" s="421">
        <v>0</v>
      </c>
      <c r="AO34" s="421">
        <f t="shared" si="83"/>
        <v>0</v>
      </c>
      <c r="AP34" s="421">
        <f>AJ34+AN34</f>
        <v>0</v>
      </c>
      <c r="AQ34" s="421">
        <f>SUM(AO34:AP34)</f>
        <v>0</v>
      </c>
      <c r="AR34" s="421">
        <f t="shared" si="84"/>
        <v>0</v>
      </c>
      <c r="AS34" s="421">
        <f t="shared" si="84"/>
        <v>0</v>
      </c>
      <c r="AT34" s="421">
        <f>SUM(AR34:AS34)</f>
        <v>0</v>
      </c>
      <c r="AU34" s="68">
        <f t="shared" si="85"/>
        <v>0</v>
      </c>
      <c r="AV34" s="68">
        <f>ROUND(AH34*1%,0)</f>
        <v>0</v>
      </c>
      <c r="AW34" s="421">
        <v>0</v>
      </c>
      <c r="AX34" s="421">
        <v>0</v>
      </c>
      <c r="AY34" s="421">
        <f>AW34+AX34</f>
        <v>0</v>
      </c>
      <c r="AZ34" s="421">
        <f>AT34+AU34+AV34+AY34</f>
        <v>0</v>
      </c>
      <c r="BA34" s="422">
        <v>0</v>
      </c>
      <c r="BB34" s="422">
        <v>0</v>
      </c>
      <c r="BC34" s="422">
        <v>0</v>
      </c>
      <c r="BD34" s="422">
        <v>0</v>
      </c>
      <c r="BE34" s="422">
        <v>0</v>
      </c>
      <c r="BF34" s="422">
        <v>0</v>
      </c>
      <c r="BG34" s="422">
        <v>0</v>
      </c>
      <c r="BH34" s="422">
        <v>0</v>
      </c>
      <c r="BI34" s="422">
        <v>0</v>
      </c>
      <c r="BJ34" s="422">
        <v>0</v>
      </c>
      <c r="BK34" s="422">
        <f>BA34+BC34+BD34+BF34+BH34+BI34</f>
        <v>0</v>
      </c>
      <c r="BL34" s="422">
        <f>BB34+BE34+BG34+BJ34</f>
        <v>0</v>
      </c>
      <c r="BM34" s="611">
        <f>SUM(BK34:BL34)</f>
        <v>0</v>
      </c>
      <c r="BN34" s="428">
        <f>I34+AZ34</f>
        <v>2241692</v>
      </c>
      <c r="BO34" s="421">
        <f>J34+AH34</f>
        <v>1662976</v>
      </c>
      <c r="BP34" s="421">
        <f t="shared" si="86"/>
        <v>1662976</v>
      </c>
      <c r="BQ34" s="421">
        <f t="shared" si="86"/>
        <v>0</v>
      </c>
      <c r="BR34" s="421">
        <f>M34+AQ34</f>
        <v>0</v>
      </c>
      <c r="BS34" s="421">
        <f t="shared" si="87"/>
        <v>0</v>
      </c>
      <c r="BT34" s="421">
        <f t="shared" si="87"/>
        <v>0</v>
      </c>
      <c r="BU34" s="421">
        <f t="shared" si="88"/>
        <v>562086</v>
      </c>
      <c r="BV34" s="421">
        <f t="shared" si="88"/>
        <v>16630</v>
      </c>
      <c r="BW34" s="421">
        <f>R34+AY34</f>
        <v>0</v>
      </c>
      <c r="BX34" s="422">
        <f>S34+BM34</f>
        <v>3.9666000000000001</v>
      </c>
      <c r="BY34" s="422">
        <f t="shared" si="89"/>
        <v>3.9666000000000001</v>
      </c>
      <c r="BZ34" s="611">
        <f t="shared" si="89"/>
        <v>0</v>
      </c>
      <c r="CA34" s="423"/>
      <c r="CB34" s="418"/>
      <c r="CC34" s="418"/>
      <c r="CD34" s="418"/>
      <c r="CE34" s="418"/>
      <c r="CF34" s="527"/>
    </row>
    <row r="35" spans="1:84" ht="12.95" customHeight="1" x14ac:dyDescent="0.25">
      <c r="A35" s="282">
        <v>6</v>
      </c>
      <c r="B35" s="323">
        <v>5449</v>
      </c>
      <c r="C35" s="324">
        <v>600099458</v>
      </c>
      <c r="D35" s="283">
        <v>70188408</v>
      </c>
      <c r="E35" s="325" t="s">
        <v>360</v>
      </c>
      <c r="F35" s="283">
        <v>3143</v>
      </c>
      <c r="G35" s="325" t="s">
        <v>596</v>
      </c>
      <c r="H35" s="286" t="s">
        <v>271</v>
      </c>
      <c r="I35" s="423">
        <f t="shared" si="79"/>
        <v>522330</v>
      </c>
      <c r="J35" s="418">
        <f t="shared" si="7"/>
        <v>387485</v>
      </c>
      <c r="K35" s="418">
        <v>387485</v>
      </c>
      <c r="L35" s="418">
        <v>0</v>
      </c>
      <c r="M35" s="418">
        <f t="shared" si="80"/>
        <v>0</v>
      </c>
      <c r="N35" s="418">
        <v>0</v>
      </c>
      <c r="O35" s="418">
        <v>0</v>
      </c>
      <c r="P35" s="68">
        <f t="shared" si="81"/>
        <v>130970</v>
      </c>
      <c r="Q35" s="68">
        <f t="shared" si="90"/>
        <v>3875</v>
      </c>
      <c r="R35" s="418">
        <v>0</v>
      </c>
      <c r="S35" s="419">
        <f>T35+U35</f>
        <v>0.83330000000000004</v>
      </c>
      <c r="T35" s="420">
        <v>0.83330000000000004</v>
      </c>
      <c r="U35" s="527">
        <v>0</v>
      </c>
      <c r="V35" s="427">
        <f t="shared" si="82"/>
        <v>0</v>
      </c>
      <c r="W35" s="421">
        <f t="shared" si="82"/>
        <v>0</v>
      </c>
      <c r="X35" s="421">
        <v>0</v>
      </c>
      <c r="Y35" s="421">
        <v>0</v>
      </c>
      <c r="Z35" s="421">
        <v>0</v>
      </c>
      <c r="AA35" s="421">
        <v>0</v>
      </c>
      <c r="AB35" s="421">
        <v>0</v>
      </c>
      <c r="AC35" s="421">
        <v>0</v>
      </c>
      <c r="AD35" s="421">
        <v>0</v>
      </c>
      <c r="AE35" s="421">
        <v>0</v>
      </c>
      <c r="AF35" s="421">
        <f>V35+X35+Y35+AA35+AB35+AD35</f>
        <v>0</v>
      </c>
      <c r="AG35" s="421">
        <f>W35+Z35+AC35+AE35</f>
        <v>0</v>
      </c>
      <c r="AH35" s="421">
        <f>SUM(AF35:AG35)</f>
        <v>0</v>
      </c>
      <c r="AI35" s="421">
        <v>0</v>
      </c>
      <c r="AJ35" s="421">
        <v>0</v>
      </c>
      <c r="AK35" s="421">
        <v>0</v>
      </c>
      <c r="AL35" s="421">
        <v>0</v>
      </c>
      <c r="AM35" s="421">
        <v>0</v>
      </c>
      <c r="AN35" s="421">
        <v>0</v>
      </c>
      <c r="AO35" s="421">
        <f t="shared" si="83"/>
        <v>0</v>
      </c>
      <c r="AP35" s="421">
        <f>AJ35+AN35</f>
        <v>0</v>
      </c>
      <c r="AQ35" s="421">
        <f>SUM(AO35:AP35)</f>
        <v>0</v>
      </c>
      <c r="AR35" s="421">
        <f t="shared" si="84"/>
        <v>0</v>
      </c>
      <c r="AS35" s="421">
        <f t="shared" si="84"/>
        <v>0</v>
      </c>
      <c r="AT35" s="421">
        <f>SUM(AR35:AS35)</f>
        <v>0</v>
      </c>
      <c r="AU35" s="68">
        <f t="shared" si="85"/>
        <v>0</v>
      </c>
      <c r="AV35" s="68">
        <f>ROUND(AH35*1%,0)</f>
        <v>0</v>
      </c>
      <c r="AW35" s="421">
        <v>0</v>
      </c>
      <c r="AX35" s="421">
        <v>0</v>
      </c>
      <c r="AY35" s="421">
        <f>AW35+AX35</f>
        <v>0</v>
      </c>
      <c r="AZ35" s="421">
        <f>AT35+AU35+AV35+AY35</f>
        <v>0</v>
      </c>
      <c r="BA35" s="422">
        <v>0</v>
      </c>
      <c r="BB35" s="422">
        <v>0</v>
      </c>
      <c r="BC35" s="422">
        <v>0</v>
      </c>
      <c r="BD35" s="422">
        <v>0</v>
      </c>
      <c r="BE35" s="422">
        <v>0</v>
      </c>
      <c r="BF35" s="422">
        <v>0</v>
      </c>
      <c r="BG35" s="422">
        <v>0</v>
      </c>
      <c r="BH35" s="422">
        <v>0</v>
      </c>
      <c r="BI35" s="422">
        <v>0</v>
      </c>
      <c r="BJ35" s="422">
        <v>0</v>
      </c>
      <c r="BK35" s="422">
        <f>BA35+BC35+BD35+BF35+BH35+BI35</f>
        <v>0</v>
      </c>
      <c r="BL35" s="422">
        <f>BB35+BE35+BG35+BJ35</f>
        <v>0</v>
      </c>
      <c r="BM35" s="611">
        <f>SUM(BK35:BL35)</f>
        <v>0</v>
      </c>
      <c r="BN35" s="428">
        <f>I35+AZ35</f>
        <v>522330</v>
      </c>
      <c r="BO35" s="421">
        <f>J35+AH35</f>
        <v>387485</v>
      </c>
      <c r="BP35" s="421">
        <f t="shared" si="86"/>
        <v>387485</v>
      </c>
      <c r="BQ35" s="421">
        <f t="shared" si="86"/>
        <v>0</v>
      </c>
      <c r="BR35" s="421">
        <f>M35+AQ35</f>
        <v>0</v>
      </c>
      <c r="BS35" s="421">
        <f t="shared" si="87"/>
        <v>0</v>
      </c>
      <c r="BT35" s="421">
        <f t="shared" si="87"/>
        <v>0</v>
      </c>
      <c r="BU35" s="421">
        <f t="shared" si="88"/>
        <v>130970</v>
      </c>
      <c r="BV35" s="421">
        <f t="shared" si="88"/>
        <v>3875</v>
      </c>
      <c r="BW35" s="421">
        <f>R35+AY35</f>
        <v>0</v>
      </c>
      <c r="BX35" s="422">
        <f>S35+BM35</f>
        <v>0.83330000000000004</v>
      </c>
      <c r="BY35" s="422">
        <f t="shared" si="89"/>
        <v>0.83330000000000004</v>
      </c>
      <c r="BZ35" s="611">
        <f t="shared" si="89"/>
        <v>0</v>
      </c>
      <c r="CA35" s="423"/>
      <c r="CB35" s="418"/>
      <c r="CC35" s="418"/>
      <c r="CD35" s="418"/>
      <c r="CE35" s="418"/>
      <c r="CF35" s="527"/>
    </row>
    <row r="36" spans="1:84" ht="12.95" customHeight="1" x14ac:dyDescent="0.25">
      <c r="A36" s="282">
        <v>6</v>
      </c>
      <c r="B36" s="323">
        <v>5449</v>
      </c>
      <c r="C36" s="324">
        <v>600099458</v>
      </c>
      <c r="D36" s="283">
        <v>70188408</v>
      </c>
      <c r="E36" s="325" t="s">
        <v>360</v>
      </c>
      <c r="F36" s="283">
        <v>3143</v>
      </c>
      <c r="G36" s="325" t="s">
        <v>768</v>
      </c>
      <c r="H36" s="286" t="s">
        <v>271</v>
      </c>
      <c r="I36" s="423">
        <f t="shared" si="79"/>
        <v>202672</v>
      </c>
      <c r="J36" s="418">
        <f t="shared" si="7"/>
        <v>150350</v>
      </c>
      <c r="K36" s="418">
        <v>150350</v>
      </c>
      <c r="L36" s="418">
        <v>0</v>
      </c>
      <c r="M36" s="418">
        <f t="shared" si="80"/>
        <v>0</v>
      </c>
      <c r="N36" s="418">
        <v>0</v>
      </c>
      <c r="O36" s="418">
        <v>0</v>
      </c>
      <c r="P36" s="68">
        <f t="shared" si="81"/>
        <v>50818</v>
      </c>
      <c r="Q36" s="68">
        <f t="shared" si="90"/>
        <v>1504</v>
      </c>
      <c r="R36" s="418">
        <v>0</v>
      </c>
      <c r="S36" s="419">
        <f>T36+U36</f>
        <v>0.41670000000000001</v>
      </c>
      <c r="T36" s="420">
        <v>0.41670000000000001</v>
      </c>
      <c r="U36" s="527">
        <v>0</v>
      </c>
      <c r="V36" s="427">
        <f t="shared" si="82"/>
        <v>0</v>
      </c>
      <c r="W36" s="421">
        <f t="shared" si="82"/>
        <v>0</v>
      </c>
      <c r="X36" s="421">
        <v>0</v>
      </c>
      <c r="Y36" s="421">
        <v>0</v>
      </c>
      <c r="Z36" s="421">
        <v>0</v>
      </c>
      <c r="AA36" s="421">
        <v>0</v>
      </c>
      <c r="AB36" s="421">
        <v>0</v>
      </c>
      <c r="AC36" s="421">
        <v>0</v>
      </c>
      <c r="AD36" s="421">
        <v>0</v>
      </c>
      <c r="AE36" s="421">
        <v>0</v>
      </c>
      <c r="AF36" s="421">
        <f>V36+X36+Y36+AA36+AB36+AD36</f>
        <v>0</v>
      </c>
      <c r="AG36" s="421">
        <f>W36+Z36+AC36+AE36</f>
        <v>0</v>
      </c>
      <c r="AH36" s="421">
        <f>SUM(AF36:AG36)</f>
        <v>0</v>
      </c>
      <c r="AI36" s="421">
        <v>0</v>
      </c>
      <c r="AJ36" s="421">
        <v>0</v>
      </c>
      <c r="AK36" s="421">
        <v>0</v>
      </c>
      <c r="AL36" s="421">
        <v>0</v>
      </c>
      <c r="AM36" s="421">
        <v>0</v>
      </c>
      <c r="AN36" s="421">
        <v>0</v>
      </c>
      <c r="AO36" s="421">
        <f t="shared" si="83"/>
        <v>0</v>
      </c>
      <c r="AP36" s="421">
        <f>AJ36+AN36</f>
        <v>0</v>
      </c>
      <c r="AQ36" s="421">
        <f>SUM(AO36:AP36)</f>
        <v>0</v>
      </c>
      <c r="AR36" s="421">
        <f t="shared" si="84"/>
        <v>0</v>
      </c>
      <c r="AS36" s="421">
        <f t="shared" si="84"/>
        <v>0</v>
      </c>
      <c r="AT36" s="421">
        <f>SUM(AR36:AS36)</f>
        <v>0</v>
      </c>
      <c r="AU36" s="68">
        <f t="shared" si="85"/>
        <v>0</v>
      </c>
      <c r="AV36" s="68">
        <f>ROUND(AH36*1%,0)</f>
        <v>0</v>
      </c>
      <c r="AW36" s="421">
        <v>0</v>
      </c>
      <c r="AX36" s="421">
        <v>0</v>
      </c>
      <c r="AY36" s="421">
        <f>AW36+AX36</f>
        <v>0</v>
      </c>
      <c r="AZ36" s="421">
        <f>AT36+AU36+AV36+AY36</f>
        <v>0</v>
      </c>
      <c r="BA36" s="422">
        <v>0</v>
      </c>
      <c r="BB36" s="422">
        <v>0</v>
      </c>
      <c r="BC36" s="422">
        <v>0</v>
      </c>
      <c r="BD36" s="422">
        <v>0</v>
      </c>
      <c r="BE36" s="422">
        <v>0</v>
      </c>
      <c r="BF36" s="422">
        <v>0</v>
      </c>
      <c r="BG36" s="422">
        <v>0</v>
      </c>
      <c r="BH36" s="422">
        <v>0</v>
      </c>
      <c r="BI36" s="422">
        <v>0</v>
      </c>
      <c r="BJ36" s="422">
        <v>0</v>
      </c>
      <c r="BK36" s="422">
        <f>BA36+BC36+BD36+BF36+BH36+BI36</f>
        <v>0</v>
      </c>
      <c r="BL36" s="422">
        <f>BB36+BE36+BG36+BJ36</f>
        <v>0</v>
      </c>
      <c r="BM36" s="611">
        <f>SUM(BK36:BL36)</f>
        <v>0</v>
      </c>
      <c r="BN36" s="428">
        <f>I36+AZ36</f>
        <v>202672</v>
      </c>
      <c r="BO36" s="421">
        <f>J36+AH36</f>
        <v>150350</v>
      </c>
      <c r="BP36" s="421">
        <f t="shared" si="86"/>
        <v>150350</v>
      </c>
      <c r="BQ36" s="421">
        <f t="shared" si="86"/>
        <v>0</v>
      </c>
      <c r="BR36" s="421">
        <f>M36+AQ36</f>
        <v>0</v>
      </c>
      <c r="BS36" s="421">
        <f t="shared" si="87"/>
        <v>0</v>
      </c>
      <c r="BT36" s="421">
        <f t="shared" si="87"/>
        <v>0</v>
      </c>
      <c r="BU36" s="421">
        <f t="shared" si="88"/>
        <v>50818</v>
      </c>
      <c r="BV36" s="421">
        <f t="shared" si="88"/>
        <v>1504</v>
      </c>
      <c r="BW36" s="421">
        <f>R36+AY36</f>
        <v>0</v>
      </c>
      <c r="BX36" s="422">
        <f>S36+BM36</f>
        <v>0.41670000000000001</v>
      </c>
      <c r="BY36" s="422">
        <f t="shared" si="89"/>
        <v>0.41670000000000001</v>
      </c>
      <c r="BZ36" s="611">
        <f t="shared" si="89"/>
        <v>0</v>
      </c>
      <c r="CA36" s="423"/>
      <c r="CB36" s="418"/>
      <c r="CC36" s="418"/>
      <c r="CD36" s="418"/>
      <c r="CE36" s="418"/>
      <c r="CF36" s="527"/>
    </row>
    <row r="37" spans="1:84" ht="12.95" customHeight="1" x14ac:dyDescent="0.25">
      <c r="A37" s="282">
        <v>6</v>
      </c>
      <c r="B37" s="323">
        <v>5449</v>
      </c>
      <c r="C37" s="324">
        <v>600099458</v>
      </c>
      <c r="D37" s="283">
        <v>70188408</v>
      </c>
      <c r="E37" s="325" t="s">
        <v>360</v>
      </c>
      <c r="F37" s="283">
        <v>3143</v>
      </c>
      <c r="G37" s="325" t="s">
        <v>597</v>
      </c>
      <c r="H37" s="286" t="s">
        <v>272</v>
      </c>
      <c r="I37" s="423">
        <f t="shared" si="79"/>
        <v>6675</v>
      </c>
      <c r="J37" s="418">
        <f t="shared" si="7"/>
        <v>4778</v>
      </c>
      <c r="K37" s="418">
        <v>0</v>
      </c>
      <c r="L37" s="418">
        <v>4778</v>
      </c>
      <c r="M37" s="418">
        <f t="shared" si="80"/>
        <v>0</v>
      </c>
      <c r="N37" s="418">
        <v>0</v>
      </c>
      <c r="O37" s="418">
        <v>0</v>
      </c>
      <c r="P37" s="68">
        <f t="shared" si="81"/>
        <v>1615</v>
      </c>
      <c r="Q37" s="68">
        <f t="shared" si="90"/>
        <v>48</v>
      </c>
      <c r="R37" s="418">
        <v>234</v>
      </c>
      <c r="S37" s="419">
        <f>T37+U37</f>
        <v>1.8100000000000002E-2</v>
      </c>
      <c r="T37" s="420">
        <v>0</v>
      </c>
      <c r="U37" s="527">
        <v>1.8100000000000002E-2</v>
      </c>
      <c r="V37" s="427">
        <f t="shared" si="82"/>
        <v>0</v>
      </c>
      <c r="W37" s="421">
        <f t="shared" si="82"/>
        <v>0</v>
      </c>
      <c r="X37" s="421">
        <v>0</v>
      </c>
      <c r="Y37" s="421">
        <v>0</v>
      </c>
      <c r="Z37" s="421">
        <v>0</v>
      </c>
      <c r="AA37" s="421">
        <v>0</v>
      </c>
      <c r="AB37" s="421">
        <v>0</v>
      </c>
      <c r="AC37" s="421">
        <v>0</v>
      </c>
      <c r="AD37" s="421">
        <v>0</v>
      </c>
      <c r="AE37" s="421">
        <v>0</v>
      </c>
      <c r="AF37" s="421">
        <f>V37+X37+Y37+AA37+AB37+AD37</f>
        <v>0</v>
      </c>
      <c r="AG37" s="421">
        <f>W37+Z37+AC37+AE37</f>
        <v>0</v>
      </c>
      <c r="AH37" s="421">
        <f>SUM(AF37:AG37)</f>
        <v>0</v>
      </c>
      <c r="AI37" s="421">
        <v>0</v>
      </c>
      <c r="AJ37" s="421">
        <v>0</v>
      </c>
      <c r="AK37" s="421">
        <v>0</v>
      </c>
      <c r="AL37" s="421">
        <v>0</v>
      </c>
      <c r="AM37" s="421">
        <v>0</v>
      </c>
      <c r="AN37" s="421">
        <v>0</v>
      </c>
      <c r="AO37" s="421">
        <f t="shared" si="83"/>
        <v>0</v>
      </c>
      <c r="AP37" s="421">
        <f>AJ37+AN37</f>
        <v>0</v>
      </c>
      <c r="AQ37" s="421">
        <f>SUM(AO37:AP37)</f>
        <v>0</v>
      </c>
      <c r="AR37" s="421">
        <f t="shared" si="84"/>
        <v>0</v>
      </c>
      <c r="AS37" s="421">
        <f t="shared" si="84"/>
        <v>0</v>
      </c>
      <c r="AT37" s="421">
        <f>SUM(AR37:AS37)</f>
        <v>0</v>
      </c>
      <c r="AU37" s="68">
        <f t="shared" si="85"/>
        <v>0</v>
      </c>
      <c r="AV37" s="68">
        <f>ROUND(AH37*1%,0)</f>
        <v>0</v>
      </c>
      <c r="AW37" s="421">
        <v>0</v>
      </c>
      <c r="AX37" s="421">
        <v>0</v>
      </c>
      <c r="AY37" s="421">
        <f>AW37+AX37</f>
        <v>0</v>
      </c>
      <c r="AZ37" s="421">
        <f>AT37+AU37+AV37+AY37</f>
        <v>0</v>
      </c>
      <c r="BA37" s="422">
        <v>0</v>
      </c>
      <c r="BB37" s="422">
        <v>0</v>
      </c>
      <c r="BC37" s="422">
        <v>0</v>
      </c>
      <c r="BD37" s="422">
        <v>0</v>
      </c>
      <c r="BE37" s="422">
        <v>0</v>
      </c>
      <c r="BF37" s="422">
        <v>0</v>
      </c>
      <c r="BG37" s="422">
        <v>0</v>
      </c>
      <c r="BH37" s="422">
        <v>0</v>
      </c>
      <c r="BI37" s="422">
        <v>0</v>
      </c>
      <c r="BJ37" s="422">
        <v>0</v>
      </c>
      <c r="BK37" s="422">
        <f>BA37+BC37+BD37+BF37+BH37+BI37</f>
        <v>0</v>
      </c>
      <c r="BL37" s="422">
        <f>BB37+BE37+BG37+BJ37</f>
        <v>0</v>
      </c>
      <c r="BM37" s="611">
        <f>SUM(BK37:BL37)</f>
        <v>0</v>
      </c>
      <c r="BN37" s="428">
        <f>I37+AZ37</f>
        <v>6675</v>
      </c>
      <c r="BO37" s="421">
        <f>J37+AH37</f>
        <v>4778</v>
      </c>
      <c r="BP37" s="421">
        <f t="shared" si="86"/>
        <v>0</v>
      </c>
      <c r="BQ37" s="421">
        <f t="shared" si="86"/>
        <v>4778</v>
      </c>
      <c r="BR37" s="421">
        <f>M37+AQ37</f>
        <v>0</v>
      </c>
      <c r="BS37" s="421">
        <f t="shared" si="87"/>
        <v>0</v>
      </c>
      <c r="BT37" s="421">
        <f t="shared" si="87"/>
        <v>0</v>
      </c>
      <c r="BU37" s="421">
        <f t="shared" si="88"/>
        <v>1615</v>
      </c>
      <c r="BV37" s="421">
        <f t="shared" si="88"/>
        <v>48</v>
      </c>
      <c r="BW37" s="421">
        <f>R37+AY37</f>
        <v>234</v>
      </c>
      <c r="BX37" s="422">
        <f>S37+BM37</f>
        <v>1.8100000000000002E-2</v>
      </c>
      <c r="BY37" s="422">
        <f t="shared" si="89"/>
        <v>0</v>
      </c>
      <c r="BZ37" s="611">
        <f t="shared" si="89"/>
        <v>1.8100000000000002E-2</v>
      </c>
      <c r="CA37" s="423"/>
      <c r="CB37" s="418"/>
      <c r="CC37" s="418"/>
      <c r="CD37" s="418"/>
      <c r="CE37" s="418"/>
      <c r="CF37" s="527"/>
    </row>
    <row r="38" spans="1:84" ht="12.95" customHeight="1" x14ac:dyDescent="0.25">
      <c r="A38" s="326">
        <v>6</v>
      </c>
      <c r="B38" s="327">
        <v>5449</v>
      </c>
      <c r="C38" s="328">
        <v>600099458</v>
      </c>
      <c r="D38" s="327">
        <v>70188408</v>
      </c>
      <c r="E38" s="329" t="s">
        <v>361</v>
      </c>
      <c r="F38" s="293"/>
      <c r="G38" s="331"/>
      <c r="H38" s="294"/>
      <c r="I38" s="481">
        <f t="shared" ref="I38:BU38" si="91">SUM(I33:I37)</f>
        <v>14935549</v>
      </c>
      <c r="J38" s="477">
        <f t="shared" si="91"/>
        <v>11018709</v>
      </c>
      <c r="K38" s="477">
        <f t="shared" si="91"/>
        <v>10213737</v>
      </c>
      <c r="L38" s="477">
        <f t="shared" si="91"/>
        <v>804972</v>
      </c>
      <c r="M38" s="477">
        <f t="shared" si="91"/>
        <v>0</v>
      </c>
      <c r="N38" s="477">
        <f t="shared" si="91"/>
        <v>0</v>
      </c>
      <c r="O38" s="477">
        <f t="shared" si="91"/>
        <v>0</v>
      </c>
      <c r="P38" s="477">
        <f t="shared" si="91"/>
        <v>3724324</v>
      </c>
      <c r="Q38" s="477">
        <f t="shared" si="91"/>
        <v>110187</v>
      </c>
      <c r="R38" s="477">
        <f t="shared" si="91"/>
        <v>82329</v>
      </c>
      <c r="S38" s="478">
        <f t="shared" si="91"/>
        <v>17.982600000000001</v>
      </c>
      <c r="T38" s="478">
        <f t="shared" si="91"/>
        <v>15.671199999999999</v>
      </c>
      <c r="U38" s="330">
        <f t="shared" si="91"/>
        <v>2.3113999999999999</v>
      </c>
      <c r="V38" s="483">
        <f t="shared" si="91"/>
        <v>-32000</v>
      </c>
      <c r="W38" s="477">
        <f t="shared" si="91"/>
        <v>-25600</v>
      </c>
      <c r="X38" s="477">
        <f t="shared" si="91"/>
        <v>0</v>
      </c>
      <c r="Y38" s="477">
        <f t="shared" si="91"/>
        <v>0</v>
      </c>
      <c r="Z38" s="477">
        <f t="shared" si="91"/>
        <v>0</v>
      </c>
      <c r="AA38" s="477">
        <f t="shared" si="91"/>
        <v>0</v>
      </c>
      <c r="AB38" s="477">
        <f t="shared" si="91"/>
        <v>0</v>
      </c>
      <c r="AC38" s="477">
        <f t="shared" si="91"/>
        <v>0</v>
      </c>
      <c r="AD38" s="477">
        <f t="shared" si="91"/>
        <v>0</v>
      </c>
      <c r="AE38" s="477">
        <f t="shared" si="91"/>
        <v>0</v>
      </c>
      <c r="AF38" s="477">
        <f t="shared" si="91"/>
        <v>-32000</v>
      </c>
      <c r="AG38" s="477">
        <f t="shared" si="91"/>
        <v>-25600</v>
      </c>
      <c r="AH38" s="477">
        <f t="shared" si="91"/>
        <v>-57600</v>
      </c>
      <c r="AI38" s="477">
        <f t="shared" si="91"/>
        <v>32000</v>
      </c>
      <c r="AJ38" s="477">
        <f t="shared" si="91"/>
        <v>25600</v>
      </c>
      <c r="AK38" s="477">
        <f t="shared" ref="AK38" si="92">SUM(AK33:AK37)</f>
        <v>0</v>
      </c>
      <c r="AL38" s="477">
        <f t="shared" si="91"/>
        <v>105920</v>
      </c>
      <c r="AM38" s="477">
        <f t="shared" si="91"/>
        <v>0</v>
      </c>
      <c r="AN38" s="477">
        <f t="shared" si="91"/>
        <v>0</v>
      </c>
      <c r="AO38" s="477">
        <f t="shared" si="91"/>
        <v>137920</v>
      </c>
      <c r="AP38" s="477">
        <f t="shared" si="91"/>
        <v>25600</v>
      </c>
      <c r="AQ38" s="477">
        <f t="shared" si="91"/>
        <v>163520</v>
      </c>
      <c r="AR38" s="477">
        <f t="shared" si="91"/>
        <v>105920</v>
      </c>
      <c r="AS38" s="477">
        <f t="shared" si="91"/>
        <v>0</v>
      </c>
      <c r="AT38" s="477">
        <f t="shared" si="91"/>
        <v>105920</v>
      </c>
      <c r="AU38" s="477">
        <f t="shared" si="91"/>
        <v>35801</v>
      </c>
      <c r="AV38" s="477">
        <f t="shared" si="91"/>
        <v>-576</v>
      </c>
      <c r="AW38" s="477">
        <f t="shared" si="91"/>
        <v>0</v>
      </c>
      <c r="AX38" s="477">
        <f t="shared" si="91"/>
        <v>0</v>
      </c>
      <c r="AY38" s="477">
        <f t="shared" si="91"/>
        <v>0</v>
      </c>
      <c r="AZ38" s="477">
        <f t="shared" si="91"/>
        <v>141145</v>
      </c>
      <c r="BA38" s="478">
        <f t="shared" si="91"/>
        <v>-0.05</v>
      </c>
      <c r="BB38" s="478">
        <f t="shared" si="91"/>
        <v>-0.08</v>
      </c>
      <c r="BC38" s="478">
        <f t="shared" si="91"/>
        <v>0</v>
      </c>
      <c r="BD38" s="478">
        <f t="shared" si="91"/>
        <v>0</v>
      </c>
      <c r="BE38" s="478">
        <f t="shared" si="91"/>
        <v>0</v>
      </c>
      <c r="BF38" s="478">
        <f t="shared" si="91"/>
        <v>0</v>
      </c>
      <c r="BG38" s="478">
        <f t="shared" si="91"/>
        <v>0</v>
      </c>
      <c r="BH38" s="478">
        <f t="shared" si="91"/>
        <v>0</v>
      </c>
      <c r="BI38" s="478">
        <f t="shared" si="91"/>
        <v>0</v>
      </c>
      <c r="BJ38" s="478">
        <f t="shared" si="91"/>
        <v>0</v>
      </c>
      <c r="BK38" s="478">
        <f t="shared" si="91"/>
        <v>-0.05</v>
      </c>
      <c r="BL38" s="478">
        <f t="shared" si="91"/>
        <v>-0.08</v>
      </c>
      <c r="BM38" s="559">
        <f t="shared" si="91"/>
        <v>-0.13</v>
      </c>
      <c r="BN38" s="481">
        <f t="shared" si="91"/>
        <v>15076694</v>
      </c>
      <c r="BO38" s="477">
        <f t="shared" si="91"/>
        <v>10961109</v>
      </c>
      <c r="BP38" s="477">
        <f t="shared" si="91"/>
        <v>10181737</v>
      </c>
      <c r="BQ38" s="477">
        <f t="shared" si="91"/>
        <v>779372</v>
      </c>
      <c r="BR38" s="477">
        <f t="shared" si="91"/>
        <v>163520</v>
      </c>
      <c r="BS38" s="477">
        <f t="shared" si="91"/>
        <v>137920</v>
      </c>
      <c r="BT38" s="477">
        <f t="shared" si="91"/>
        <v>25600</v>
      </c>
      <c r="BU38" s="477">
        <f t="shared" si="91"/>
        <v>3760125</v>
      </c>
      <c r="BV38" s="477">
        <f t="shared" ref="BV38:CF38" si="93">SUM(BV33:BV37)</f>
        <v>109611</v>
      </c>
      <c r="BW38" s="477">
        <f t="shared" si="93"/>
        <v>82329</v>
      </c>
      <c r="BX38" s="478">
        <f t="shared" si="93"/>
        <v>17.852599999999999</v>
      </c>
      <c r="BY38" s="478">
        <f t="shared" si="93"/>
        <v>15.621199999999998</v>
      </c>
      <c r="BZ38" s="559">
        <f t="shared" si="93"/>
        <v>2.2313999999999998</v>
      </c>
      <c r="CA38" s="885">
        <f t="shared" si="93"/>
        <v>0</v>
      </c>
      <c r="CB38" s="883">
        <f t="shared" si="93"/>
        <v>0</v>
      </c>
      <c r="CC38" s="883">
        <f t="shared" si="93"/>
        <v>0</v>
      </c>
      <c r="CD38" s="883">
        <f t="shared" si="93"/>
        <v>0</v>
      </c>
      <c r="CE38" s="883">
        <f t="shared" si="93"/>
        <v>0</v>
      </c>
      <c r="CF38" s="845">
        <f t="shared" si="93"/>
        <v>0</v>
      </c>
    </row>
    <row r="39" spans="1:84" ht="12.95" customHeight="1" x14ac:dyDescent="0.25">
      <c r="A39" s="282">
        <v>7</v>
      </c>
      <c r="B39" s="323">
        <v>5443</v>
      </c>
      <c r="C39" s="324">
        <v>600099237</v>
      </c>
      <c r="D39" s="283">
        <v>854841</v>
      </c>
      <c r="E39" s="325" t="s">
        <v>362</v>
      </c>
      <c r="F39" s="283">
        <v>3113</v>
      </c>
      <c r="G39" s="325" t="s">
        <v>309</v>
      </c>
      <c r="H39" s="286" t="s">
        <v>271</v>
      </c>
      <c r="I39" s="423">
        <f t="shared" ref="I39:I43" si="94">J39+P39+Q39+R39</f>
        <v>20489747</v>
      </c>
      <c r="J39" s="418">
        <f t="shared" si="7"/>
        <v>15000563</v>
      </c>
      <c r="K39" s="418">
        <v>13740034</v>
      </c>
      <c r="L39" s="418">
        <v>1260529</v>
      </c>
      <c r="M39" s="418">
        <f t="shared" ref="M39:M43" si="95">N39+O39</f>
        <v>0</v>
      </c>
      <c r="N39" s="418">
        <v>0</v>
      </c>
      <c r="O39" s="418">
        <v>0</v>
      </c>
      <c r="P39" s="68">
        <f t="shared" ref="P39:P43" si="96">ROUND((J39+M39)*33.8%,0)</f>
        <v>5070190</v>
      </c>
      <c r="Q39" s="68">
        <f t="shared" ref="Q39:Q43" si="97">ROUND(J39*1%,0)</f>
        <v>150006</v>
      </c>
      <c r="R39" s="418">
        <v>268988</v>
      </c>
      <c r="S39" s="419">
        <f>T39+U39</f>
        <v>24.088800000000003</v>
      </c>
      <c r="T39" s="420">
        <v>20.409300000000002</v>
      </c>
      <c r="U39" s="527">
        <v>3.6795</v>
      </c>
      <c r="V39" s="427">
        <f t="shared" ref="V39:W43" si="98">AI39*-1</f>
        <v>-32000</v>
      </c>
      <c r="W39" s="421">
        <f t="shared" si="98"/>
        <v>0</v>
      </c>
      <c r="X39" s="421">
        <v>0</v>
      </c>
      <c r="Y39" s="421">
        <v>0</v>
      </c>
      <c r="Z39" s="421">
        <v>0</v>
      </c>
      <c r="AA39" s="421">
        <v>0</v>
      </c>
      <c r="AB39" s="421">
        <v>169200</v>
      </c>
      <c r="AC39" s="421">
        <v>0</v>
      </c>
      <c r="AD39" s="421">
        <v>0</v>
      </c>
      <c r="AE39" s="421">
        <v>0</v>
      </c>
      <c r="AF39" s="421">
        <f>V39+X39+Y39+AA39+AB39+AD39</f>
        <v>137200</v>
      </c>
      <c r="AG39" s="421">
        <f>W39+Z39+AC39+AE39</f>
        <v>0</v>
      </c>
      <c r="AH39" s="421">
        <f>SUM(AF39:AG39)</f>
        <v>137200</v>
      </c>
      <c r="AI39" s="421">
        <v>32000</v>
      </c>
      <c r="AJ39" s="421">
        <v>0</v>
      </c>
      <c r="AK39" s="421">
        <v>0</v>
      </c>
      <c r="AL39" s="421">
        <v>0</v>
      </c>
      <c r="AM39" s="421">
        <v>101733</v>
      </c>
      <c r="AN39" s="421">
        <v>0</v>
      </c>
      <c r="AO39" s="421">
        <f t="shared" ref="AO39:AO43" si="99">AI39+AK39+AL39+AM39</f>
        <v>133733</v>
      </c>
      <c r="AP39" s="421">
        <f>AJ39+AN39</f>
        <v>0</v>
      </c>
      <c r="AQ39" s="421">
        <f>SUM(AO39:AP39)</f>
        <v>133733</v>
      </c>
      <c r="AR39" s="421">
        <f t="shared" ref="AR39:AS43" si="100">AF39+AO39</f>
        <v>270933</v>
      </c>
      <c r="AS39" s="421">
        <f t="shared" si="100"/>
        <v>0</v>
      </c>
      <c r="AT39" s="421">
        <f>SUM(AR39:AS39)</f>
        <v>270933</v>
      </c>
      <c r="AU39" s="68">
        <f t="shared" ref="AU39:AU43" si="101">ROUND((AH39+AI39+AJ39+AK39+AL39)*33.8%,0)</f>
        <v>57190</v>
      </c>
      <c r="AV39" s="68">
        <f>ROUND(AH39*1%,0)</f>
        <v>1372</v>
      </c>
      <c r="AW39" s="421">
        <v>0</v>
      </c>
      <c r="AX39" s="421">
        <v>0</v>
      </c>
      <c r="AY39" s="421">
        <f>AW39+AX39</f>
        <v>0</v>
      </c>
      <c r="AZ39" s="421">
        <f>AT39+AU39+AV39+AY39</f>
        <v>329495</v>
      </c>
      <c r="BA39" s="422">
        <v>0</v>
      </c>
      <c r="BB39" s="422">
        <v>0</v>
      </c>
      <c r="BC39" s="422">
        <v>0</v>
      </c>
      <c r="BD39" s="422">
        <v>0.3</v>
      </c>
      <c r="BE39" s="422">
        <v>0</v>
      </c>
      <c r="BF39" s="422">
        <v>0</v>
      </c>
      <c r="BG39" s="422">
        <v>0</v>
      </c>
      <c r="BH39" s="422">
        <v>0</v>
      </c>
      <c r="BI39" s="422">
        <v>0</v>
      </c>
      <c r="BJ39" s="422">
        <v>0</v>
      </c>
      <c r="BK39" s="422">
        <f>BA39+BC39+BD39+BF39+BH39+BI39</f>
        <v>0.3</v>
      </c>
      <c r="BL39" s="422">
        <f>BB39+BE39+BG39+BJ39</f>
        <v>0</v>
      </c>
      <c r="BM39" s="611">
        <f>SUM(BK39:BL39)</f>
        <v>0.3</v>
      </c>
      <c r="BN39" s="428">
        <f>I39+AZ39</f>
        <v>20819242</v>
      </c>
      <c r="BO39" s="421">
        <f>J39+AH39</f>
        <v>15137763</v>
      </c>
      <c r="BP39" s="421">
        <f t="shared" ref="BP39:BQ43" si="102">K39+AF39</f>
        <v>13877234</v>
      </c>
      <c r="BQ39" s="421">
        <f t="shared" si="102"/>
        <v>1260529</v>
      </c>
      <c r="BR39" s="421">
        <f>M39+AQ39</f>
        <v>133733</v>
      </c>
      <c r="BS39" s="421">
        <f t="shared" ref="BS39:BT43" si="103">N39+AO39</f>
        <v>133733</v>
      </c>
      <c r="BT39" s="421">
        <f t="shared" si="103"/>
        <v>0</v>
      </c>
      <c r="BU39" s="421">
        <f t="shared" ref="BU39:BV43" si="104">P39+AU39</f>
        <v>5127380</v>
      </c>
      <c r="BV39" s="421">
        <f t="shared" si="104"/>
        <v>151378</v>
      </c>
      <c r="BW39" s="421">
        <f>R39+AY39</f>
        <v>268988</v>
      </c>
      <c r="BX39" s="422">
        <f>S39+BM39</f>
        <v>24.388800000000003</v>
      </c>
      <c r="BY39" s="422">
        <f t="shared" ref="BY39:BZ43" si="105">T39+BK39</f>
        <v>20.709300000000002</v>
      </c>
      <c r="BZ39" s="611">
        <f t="shared" si="105"/>
        <v>3.6795</v>
      </c>
      <c r="CA39" s="423">
        <v>228082</v>
      </c>
      <c r="CB39" s="418">
        <v>169200</v>
      </c>
      <c r="CC39" s="418">
        <v>0</v>
      </c>
      <c r="CD39" s="418">
        <v>57190</v>
      </c>
      <c r="CE39" s="418">
        <v>1692</v>
      </c>
      <c r="CF39" s="527">
        <v>0.3</v>
      </c>
    </row>
    <row r="40" spans="1:84" ht="12.95" customHeight="1" x14ac:dyDescent="0.25">
      <c r="A40" s="282">
        <v>7</v>
      </c>
      <c r="B40" s="323">
        <v>5443</v>
      </c>
      <c r="C40" s="324">
        <v>600099237</v>
      </c>
      <c r="D40" s="283">
        <v>854841</v>
      </c>
      <c r="E40" s="325" t="s">
        <v>362</v>
      </c>
      <c r="F40" s="283">
        <v>3113</v>
      </c>
      <c r="G40" s="325" t="s">
        <v>299</v>
      </c>
      <c r="H40" s="286" t="s">
        <v>272</v>
      </c>
      <c r="I40" s="423">
        <f t="shared" si="94"/>
        <v>0</v>
      </c>
      <c r="J40" s="418">
        <f t="shared" si="7"/>
        <v>0</v>
      </c>
      <c r="K40" s="418">
        <v>0</v>
      </c>
      <c r="L40" s="418">
        <v>0</v>
      </c>
      <c r="M40" s="418">
        <f>N40+O40</f>
        <v>0</v>
      </c>
      <c r="N40" s="418">
        <v>0</v>
      </c>
      <c r="O40" s="418">
        <v>0</v>
      </c>
      <c r="P40" s="68">
        <f t="shared" si="96"/>
        <v>0</v>
      </c>
      <c r="Q40" s="68">
        <f t="shared" si="97"/>
        <v>0</v>
      </c>
      <c r="R40" s="418">
        <v>0</v>
      </c>
      <c r="S40" s="419">
        <f>T40+U40</f>
        <v>0</v>
      </c>
      <c r="T40" s="420">
        <v>0</v>
      </c>
      <c r="U40" s="527">
        <v>0</v>
      </c>
      <c r="V40" s="427">
        <f t="shared" si="98"/>
        <v>0</v>
      </c>
      <c r="W40" s="421">
        <f t="shared" si="98"/>
        <v>0</v>
      </c>
      <c r="X40" s="421">
        <f>2366859+20630</f>
        <v>2387489</v>
      </c>
      <c r="Y40" s="421">
        <v>0</v>
      </c>
      <c r="Z40" s="421">
        <v>0</v>
      </c>
      <c r="AA40" s="421">
        <v>0</v>
      </c>
      <c r="AB40" s="421">
        <v>0</v>
      </c>
      <c r="AC40" s="421">
        <v>0</v>
      </c>
      <c r="AD40" s="421">
        <v>0</v>
      </c>
      <c r="AE40" s="421">
        <v>0</v>
      </c>
      <c r="AF40" s="421">
        <f>V40+X40+Y40+AA40+AB40+AD40</f>
        <v>2387489</v>
      </c>
      <c r="AG40" s="421">
        <f>W40+Z40+AC40+AE40</f>
        <v>0</v>
      </c>
      <c r="AH40" s="421">
        <f>SUM(AF40:AG40)</f>
        <v>2387489</v>
      </c>
      <c r="AI40" s="421">
        <v>0</v>
      </c>
      <c r="AJ40" s="421">
        <v>0</v>
      </c>
      <c r="AK40" s="421">
        <v>0</v>
      </c>
      <c r="AL40" s="421">
        <v>0</v>
      </c>
      <c r="AM40" s="421">
        <v>0</v>
      </c>
      <c r="AN40" s="421">
        <v>0</v>
      </c>
      <c r="AO40" s="421">
        <f t="shared" si="99"/>
        <v>0</v>
      </c>
      <c r="AP40" s="421">
        <f>AJ40+AN40</f>
        <v>0</v>
      </c>
      <c r="AQ40" s="421">
        <f>SUM(AO40:AP40)</f>
        <v>0</v>
      </c>
      <c r="AR40" s="421">
        <f t="shared" si="100"/>
        <v>2387489</v>
      </c>
      <c r="AS40" s="421">
        <f t="shared" si="100"/>
        <v>0</v>
      </c>
      <c r="AT40" s="421">
        <f>SUM(AR40:AS40)</f>
        <v>2387489</v>
      </c>
      <c r="AU40" s="68">
        <f t="shared" si="101"/>
        <v>806971</v>
      </c>
      <c r="AV40" s="68">
        <f>ROUND(AH40*1%,0)</f>
        <v>23875</v>
      </c>
      <c r="AW40" s="421">
        <v>1000</v>
      </c>
      <c r="AX40" s="421">
        <v>0</v>
      </c>
      <c r="AY40" s="421">
        <f>AW40+AX40</f>
        <v>1000</v>
      </c>
      <c r="AZ40" s="421">
        <f>AT40+AU40+AV40+AY40</f>
        <v>3219335</v>
      </c>
      <c r="BA40" s="422">
        <v>0</v>
      </c>
      <c r="BB40" s="422">
        <v>0</v>
      </c>
      <c r="BC40" s="422">
        <f>5.48+0.04</f>
        <v>5.5200000000000005</v>
      </c>
      <c r="BD40" s="422">
        <v>0</v>
      </c>
      <c r="BE40" s="422">
        <v>0</v>
      </c>
      <c r="BF40" s="422">
        <v>0</v>
      </c>
      <c r="BG40" s="422">
        <v>0</v>
      </c>
      <c r="BH40" s="422">
        <v>0</v>
      </c>
      <c r="BI40" s="422">
        <v>0</v>
      </c>
      <c r="BJ40" s="422">
        <v>0</v>
      </c>
      <c r="BK40" s="422">
        <f>BA40+BC40+BD40+BF40+BH40+BI40</f>
        <v>5.5200000000000005</v>
      </c>
      <c r="BL40" s="422">
        <f>BB40+BE40+BG40+BJ40</f>
        <v>0</v>
      </c>
      <c r="BM40" s="611">
        <f>SUM(BK40:BL40)</f>
        <v>5.5200000000000005</v>
      </c>
      <c r="BN40" s="428">
        <f>I40+AZ40</f>
        <v>3219335</v>
      </c>
      <c r="BO40" s="421">
        <f>J40+AH40</f>
        <v>2387489</v>
      </c>
      <c r="BP40" s="421">
        <f t="shared" si="102"/>
        <v>2387489</v>
      </c>
      <c r="BQ40" s="421">
        <f t="shared" si="102"/>
        <v>0</v>
      </c>
      <c r="BR40" s="421">
        <f>M40+AQ40</f>
        <v>0</v>
      </c>
      <c r="BS40" s="421">
        <f t="shared" si="103"/>
        <v>0</v>
      </c>
      <c r="BT40" s="421">
        <f t="shared" si="103"/>
        <v>0</v>
      </c>
      <c r="BU40" s="421">
        <f t="shared" si="104"/>
        <v>806971</v>
      </c>
      <c r="BV40" s="421">
        <f t="shared" si="104"/>
        <v>23875</v>
      </c>
      <c r="BW40" s="421">
        <f>R40+AY40</f>
        <v>1000</v>
      </c>
      <c r="BX40" s="422">
        <f>S40+BM40</f>
        <v>5.5200000000000005</v>
      </c>
      <c r="BY40" s="422">
        <f t="shared" si="105"/>
        <v>5.5200000000000005</v>
      </c>
      <c r="BZ40" s="611">
        <f t="shared" si="105"/>
        <v>0</v>
      </c>
      <c r="CA40" s="423"/>
      <c r="CB40" s="418"/>
      <c r="CC40" s="418"/>
      <c r="CD40" s="418"/>
      <c r="CE40" s="418"/>
      <c r="CF40" s="527"/>
    </row>
    <row r="41" spans="1:84" ht="12.95" customHeight="1" x14ac:dyDescent="0.25">
      <c r="A41" s="282">
        <v>7</v>
      </c>
      <c r="B41" s="323">
        <v>5443</v>
      </c>
      <c r="C41" s="324">
        <v>600099237</v>
      </c>
      <c r="D41" s="283">
        <v>854841</v>
      </c>
      <c r="E41" s="325" t="s">
        <v>362</v>
      </c>
      <c r="F41" s="283">
        <v>3141</v>
      </c>
      <c r="G41" s="325" t="s">
        <v>295</v>
      </c>
      <c r="H41" s="286" t="s">
        <v>272</v>
      </c>
      <c r="I41" s="423">
        <f t="shared" si="94"/>
        <v>2237819</v>
      </c>
      <c r="J41" s="418">
        <f t="shared" si="7"/>
        <v>1647391</v>
      </c>
      <c r="K41" s="418">
        <v>0</v>
      </c>
      <c r="L41" s="418">
        <v>1647391</v>
      </c>
      <c r="M41" s="418">
        <f t="shared" si="95"/>
        <v>0</v>
      </c>
      <c r="N41" s="418">
        <v>0</v>
      </c>
      <c r="O41" s="418">
        <v>0</v>
      </c>
      <c r="P41" s="68">
        <f t="shared" si="96"/>
        <v>556818</v>
      </c>
      <c r="Q41" s="68">
        <f t="shared" si="97"/>
        <v>16474</v>
      </c>
      <c r="R41" s="418">
        <v>17136</v>
      </c>
      <c r="S41" s="419">
        <f>T41+U41</f>
        <v>4.9400000000000004</v>
      </c>
      <c r="T41" s="420">
        <v>0</v>
      </c>
      <c r="U41" s="527">
        <v>4.9400000000000004</v>
      </c>
      <c r="V41" s="427">
        <f t="shared" si="98"/>
        <v>0</v>
      </c>
      <c r="W41" s="421">
        <f t="shared" si="98"/>
        <v>-3200</v>
      </c>
      <c r="X41" s="421">
        <v>0</v>
      </c>
      <c r="Y41" s="421">
        <v>0</v>
      </c>
      <c r="Z41" s="421">
        <v>0</v>
      </c>
      <c r="AA41" s="421">
        <v>0</v>
      </c>
      <c r="AB41" s="421">
        <v>0</v>
      </c>
      <c r="AC41" s="421">
        <v>0</v>
      </c>
      <c r="AD41" s="421">
        <v>0</v>
      </c>
      <c r="AE41" s="421">
        <v>0</v>
      </c>
      <c r="AF41" s="421">
        <f>V41+X41+Y41+AA41+AB41+AD41</f>
        <v>0</v>
      </c>
      <c r="AG41" s="421">
        <f>W41+Z41+AC41+AE41</f>
        <v>-3200</v>
      </c>
      <c r="AH41" s="421">
        <f>SUM(AF41:AG41)</f>
        <v>-3200</v>
      </c>
      <c r="AI41" s="421">
        <v>0</v>
      </c>
      <c r="AJ41" s="421">
        <v>3200</v>
      </c>
      <c r="AK41" s="421">
        <v>0</v>
      </c>
      <c r="AL41" s="421">
        <v>0</v>
      </c>
      <c r="AM41" s="421">
        <v>0</v>
      </c>
      <c r="AN41" s="421">
        <v>74880</v>
      </c>
      <c r="AO41" s="421">
        <f t="shared" si="99"/>
        <v>0</v>
      </c>
      <c r="AP41" s="421">
        <f>AJ41+AN41</f>
        <v>78080</v>
      </c>
      <c r="AQ41" s="421">
        <f>SUM(AO41:AP41)</f>
        <v>78080</v>
      </c>
      <c r="AR41" s="421">
        <f t="shared" si="100"/>
        <v>0</v>
      </c>
      <c r="AS41" s="421">
        <f t="shared" si="100"/>
        <v>74880</v>
      </c>
      <c r="AT41" s="421">
        <f>SUM(AR41:AS41)</f>
        <v>74880</v>
      </c>
      <c r="AU41" s="68">
        <f t="shared" si="101"/>
        <v>0</v>
      </c>
      <c r="AV41" s="68">
        <f>ROUND(AH41*1%,0)</f>
        <v>-32</v>
      </c>
      <c r="AW41" s="421">
        <v>0</v>
      </c>
      <c r="AX41" s="421">
        <v>0</v>
      </c>
      <c r="AY41" s="421">
        <f>AW41+AX41</f>
        <v>0</v>
      </c>
      <c r="AZ41" s="421">
        <f>AT41+AU41+AV41+AY41</f>
        <v>74848</v>
      </c>
      <c r="BA41" s="422">
        <v>0</v>
      </c>
      <c r="BB41" s="422">
        <v>0</v>
      </c>
      <c r="BC41" s="422">
        <v>0</v>
      </c>
      <c r="BD41" s="422">
        <v>0</v>
      </c>
      <c r="BE41" s="422">
        <v>0</v>
      </c>
      <c r="BF41" s="422">
        <v>0</v>
      </c>
      <c r="BG41" s="422">
        <v>0</v>
      </c>
      <c r="BH41" s="422">
        <v>0</v>
      </c>
      <c r="BI41" s="422">
        <v>0</v>
      </c>
      <c r="BJ41" s="422">
        <v>0</v>
      </c>
      <c r="BK41" s="422">
        <f>BA41+BC41+BD41+BF41+BH41+BI41</f>
        <v>0</v>
      </c>
      <c r="BL41" s="422">
        <f>BB41+BE41+BG41+BJ41</f>
        <v>0</v>
      </c>
      <c r="BM41" s="611">
        <f>SUM(BK41:BL41)</f>
        <v>0</v>
      </c>
      <c r="BN41" s="428">
        <f>I41+AZ41</f>
        <v>2312667</v>
      </c>
      <c r="BO41" s="421">
        <f>J41+AH41</f>
        <v>1644191</v>
      </c>
      <c r="BP41" s="421">
        <f t="shared" si="102"/>
        <v>0</v>
      </c>
      <c r="BQ41" s="421">
        <f t="shared" si="102"/>
        <v>1644191</v>
      </c>
      <c r="BR41" s="421">
        <f>M41+AQ41</f>
        <v>78080</v>
      </c>
      <c r="BS41" s="421">
        <f t="shared" si="103"/>
        <v>0</v>
      </c>
      <c r="BT41" s="421">
        <f t="shared" si="103"/>
        <v>78080</v>
      </c>
      <c r="BU41" s="421">
        <f t="shared" si="104"/>
        <v>556818</v>
      </c>
      <c r="BV41" s="421">
        <f t="shared" si="104"/>
        <v>16442</v>
      </c>
      <c r="BW41" s="421">
        <f>R41+AY41</f>
        <v>17136</v>
      </c>
      <c r="BX41" s="422">
        <f>S41+BM41</f>
        <v>4.9400000000000004</v>
      </c>
      <c r="BY41" s="422">
        <f t="shared" si="105"/>
        <v>0</v>
      </c>
      <c r="BZ41" s="611">
        <f t="shared" si="105"/>
        <v>4.9400000000000004</v>
      </c>
      <c r="CA41" s="423"/>
      <c r="CB41" s="418"/>
      <c r="CC41" s="418"/>
      <c r="CD41" s="418"/>
      <c r="CE41" s="418"/>
      <c r="CF41" s="527"/>
    </row>
    <row r="42" spans="1:84" ht="12.95" customHeight="1" x14ac:dyDescent="0.25">
      <c r="A42" s="282">
        <v>7</v>
      </c>
      <c r="B42" s="323">
        <v>5443</v>
      </c>
      <c r="C42" s="324">
        <v>600099237</v>
      </c>
      <c r="D42" s="283">
        <v>854841</v>
      </c>
      <c r="E42" s="325" t="s">
        <v>362</v>
      </c>
      <c r="F42" s="283">
        <v>3143</v>
      </c>
      <c r="G42" s="325" t="s">
        <v>596</v>
      </c>
      <c r="H42" s="286" t="s">
        <v>271</v>
      </c>
      <c r="I42" s="423">
        <f t="shared" si="94"/>
        <v>1384163</v>
      </c>
      <c r="J42" s="418">
        <f t="shared" si="7"/>
        <v>1026827</v>
      </c>
      <c r="K42" s="418">
        <v>1026827</v>
      </c>
      <c r="L42" s="418">
        <v>0</v>
      </c>
      <c r="M42" s="418">
        <f t="shared" si="95"/>
        <v>0</v>
      </c>
      <c r="N42" s="418">
        <v>0</v>
      </c>
      <c r="O42" s="418">
        <v>0</v>
      </c>
      <c r="P42" s="68">
        <f t="shared" si="96"/>
        <v>347068</v>
      </c>
      <c r="Q42" s="68">
        <f t="shared" si="97"/>
        <v>10268</v>
      </c>
      <c r="R42" s="418">
        <v>0</v>
      </c>
      <c r="S42" s="419">
        <f>T42+U42</f>
        <v>2</v>
      </c>
      <c r="T42" s="420">
        <v>2</v>
      </c>
      <c r="U42" s="527">
        <v>0</v>
      </c>
      <c r="V42" s="427">
        <f t="shared" si="98"/>
        <v>-9600</v>
      </c>
      <c r="W42" s="421">
        <f t="shared" si="98"/>
        <v>0</v>
      </c>
      <c r="X42" s="421">
        <v>0</v>
      </c>
      <c r="Y42" s="421">
        <v>0</v>
      </c>
      <c r="Z42" s="421">
        <v>0</v>
      </c>
      <c r="AA42" s="421">
        <v>0</v>
      </c>
      <c r="AB42" s="421">
        <v>0</v>
      </c>
      <c r="AC42" s="421">
        <v>0</v>
      </c>
      <c r="AD42" s="421">
        <v>0</v>
      </c>
      <c r="AE42" s="421">
        <v>0</v>
      </c>
      <c r="AF42" s="421">
        <f>V42+X42+Y42+AA42+AB42+AD42</f>
        <v>-9600</v>
      </c>
      <c r="AG42" s="421">
        <f>W42+Z42+AC42+AE42</f>
        <v>0</v>
      </c>
      <c r="AH42" s="421">
        <f>SUM(AF42:AG42)</f>
        <v>-9600</v>
      </c>
      <c r="AI42" s="421">
        <v>9600</v>
      </c>
      <c r="AJ42" s="421">
        <v>0</v>
      </c>
      <c r="AK42" s="421">
        <v>0</v>
      </c>
      <c r="AL42" s="421">
        <v>0</v>
      </c>
      <c r="AM42" s="421">
        <v>0</v>
      </c>
      <c r="AN42" s="421">
        <v>0</v>
      </c>
      <c r="AO42" s="421">
        <f t="shared" si="99"/>
        <v>9600</v>
      </c>
      <c r="AP42" s="421">
        <f>AJ42+AN42</f>
        <v>0</v>
      </c>
      <c r="AQ42" s="421">
        <f>SUM(AO42:AP42)</f>
        <v>9600</v>
      </c>
      <c r="AR42" s="421">
        <f t="shared" si="100"/>
        <v>0</v>
      </c>
      <c r="AS42" s="421">
        <f t="shared" si="100"/>
        <v>0</v>
      </c>
      <c r="AT42" s="421">
        <f>SUM(AR42:AS42)</f>
        <v>0</v>
      </c>
      <c r="AU42" s="68">
        <f t="shared" si="101"/>
        <v>0</v>
      </c>
      <c r="AV42" s="68">
        <f>ROUND(AH42*1%,0)</f>
        <v>-96</v>
      </c>
      <c r="AW42" s="421">
        <v>0</v>
      </c>
      <c r="AX42" s="421">
        <v>0</v>
      </c>
      <c r="AY42" s="421">
        <f>AW42+AX42</f>
        <v>0</v>
      </c>
      <c r="AZ42" s="421">
        <f>AT42+AU42+AV42+AY42</f>
        <v>-96</v>
      </c>
      <c r="BA42" s="422">
        <v>-0.02</v>
      </c>
      <c r="BB42" s="422">
        <v>0</v>
      </c>
      <c r="BC42" s="422">
        <v>0</v>
      </c>
      <c r="BD42" s="422">
        <v>0</v>
      </c>
      <c r="BE42" s="422">
        <v>0</v>
      </c>
      <c r="BF42" s="422">
        <v>0</v>
      </c>
      <c r="BG42" s="422">
        <v>0</v>
      </c>
      <c r="BH42" s="422">
        <v>0</v>
      </c>
      <c r="BI42" s="422">
        <v>0</v>
      </c>
      <c r="BJ42" s="422">
        <v>0</v>
      </c>
      <c r="BK42" s="422">
        <f>BA42+BC42+BD42+BF42+BH42+BI42</f>
        <v>-0.02</v>
      </c>
      <c r="BL42" s="422">
        <f>BB42+BE42+BG42+BJ42</f>
        <v>0</v>
      </c>
      <c r="BM42" s="611">
        <f>SUM(BK42:BL42)</f>
        <v>-0.02</v>
      </c>
      <c r="BN42" s="428">
        <f>I42+AZ42</f>
        <v>1384067</v>
      </c>
      <c r="BO42" s="421">
        <f>J42+AH42</f>
        <v>1017227</v>
      </c>
      <c r="BP42" s="421">
        <f t="shared" si="102"/>
        <v>1017227</v>
      </c>
      <c r="BQ42" s="421">
        <f t="shared" si="102"/>
        <v>0</v>
      </c>
      <c r="BR42" s="421">
        <f>M42+AQ42</f>
        <v>9600</v>
      </c>
      <c r="BS42" s="421">
        <f t="shared" si="103"/>
        <v>9600</v>
      </c>
      <c r="BT42" s="421">
        <f t="shared" si="103"/>
        <v>0</v>
      </c>
      <c r="BU42" s="421">
        <f t="shared" si="104"/>
        <v>347068</v>
      </c>
      <c r="BV42" s="421">
        <f t="shared" si="104"/>
        <v>10172</v>
      </c>
      <c r="BW42" s="421">
        <f>R42+AY42</f>
        <v>0</v>
      </c>
      <c r="BX42" s="422">
        <f>S42+BM42</f>
        <v>1.98</v>
      </c>
      <c r="BY42" s="422">
        <f t="shared" si="105"/>
        <v>1.98</v>
      </c>
      <c r="BZ42" s="611">
        <f t="shared" si="105"/>
        <v>0</v>
      </c>
      <c r="CA42" s="423"/>
      <c r="CB42" s="418"/>
      <c r="CC42" s="418"/>
      <c r="CD42" s="418"/>
      <c r="CE42" s="418"/>
      <c r="CF42" s="527"/>
    </row>
    <row r="43" spans="1:84" ht="12.95" customHeight="1" x14ac:dyDescent="0.25">
      <c r="A43" s="282">
        <v>7</v>
      </c>
      <c r="B43" s="323">
        <v>5443</v>
      </c>
      <c r="C43" s="324">
        <v>600099237</v>
      </c>
      <c r="D43" s="283">
        <v>854841</v>
      </c>
      <c r="E43" s="325" t="s">
        <v>362</v>
      </c>
      <c r="F43" s="283">
        <v>3143</v>
      </c>
      <c r="G43" s="325" t="s">
        <v>597</v>
      </c>
      <c r="H43" s="286" t="s">
        <v>272</v>
      </c>
      <c r="I43" s="423">
        <f t="shared" si="94"/>
        <v>28179</v>
      </c>
      <c r="J43" s="418">
        <f t="shared" si="7"/>
        <v>20170</v>
      </c>
      <c r="K43" s="418">
        <v>0</v>
      </c>
      <c r="L43" s="418">
        <v>20170</v>
      </c>
      <c r="M43" s="418">
        <f t="shared" si="95"/>
        <v>0</v>
      </c>
      <c r="N43" s="418">
        <v>0</v>
      </c>
      <c r="O43" s="418">
        <v>0</v>
      </c>
      <c r="P43" s="68">
        <f t="shared" si="96"/>
        <v>6817</v>
      </c>
      <c r="Q43" s="68">
        <f t="shared" si="97"/>
        <v>202</v>
      </c>
      <c r="R43" s="418">
        <v>990</v>
      </c>
      <c r="S43" s="419">
        <f>T43+U43</f>
        <v>7.6399999999999996E-2</v>
      </c>
      <c r="T43" s="420">
        <v>0</v>
      </c>
      <c r="U43" s="527">
        <v>7.6399999999999996E-2</v>
      </c>
      <c r="V43" s="427">
        <f t="shared" si="98"/>
        <v>0</v>
      </c>
      <c r="W43" s="421">
        <f t="shared" si="98"/>
        <v>0</v>
      </c>
      <c r="X43" s="421">
        <v>0</v>
      </c>
      <c r="Y43" s="421">
        <v>0</v>
      </c>
      <c r="Z43" s="421">
        <v>0</v>
      </c>
      <c r="AA43" s="421">
        <v>0</v>
      </c>
      <c r="AB43" s="421">
        <v>0</v>
      </c>
      <c r="AC43" s="421">
        <v>0</v>
      </c>
      <c r="AD43" s="421">
        <v>0</v>
      </c>
      <c r="AE43" s="421">
        <v>0</v>
      </c>
      <c r="AF43" s="421">
        <f>V43+X43+Y43+AA43+AB43+AD43</f>
        <v>0</v>
      </c>
      <c r="AG43" s="421">
        <f>W43+Z43+AC43+AE43</f>
        <v>0</v>
      </c>
      <c r="AH43" s="421">
        <f>SUM(AF43:AG43)</f>
        <v>0</v>
      </c>
      <c r="AI43" s="421">
        <v>0</v>
      </c>
      <c r="AJ43" s="421">
        <v>0</v>
      </c>
      <c r="AK43" s="421">
        <v>0</v>
      </c>
      <c r="AL43" s="421">
        <v>0</v>
      </c>
      <c r="AM43" s="421">
        <v>0</v>
      </c>
      <c r="AN43" s="421">
        <v>0</v>
      </c>
      <c r="AO43" s="421">
        <f t="shared" si="99"/>
        <v>0</v>
      </c>
      <c r="AP43" s="421">
        <f>AJ43+AN43</f>
        <v>0</v>
      </c>
      <c r="AQ43" s="421">
        <f>SUM(AO43:AP43)</f>
        <v>0</v>
      </c>
      <c r="AR43" s="421">
        <f t="shared" si="100"/>
        <v>0</v>
      </c>
      <c r="AS43" s="421">
        <f t="shared" si="100"/>
        <v>0</v>
      </c>
      <c r="AT43" s="421">
        <f>SUM(AR43:AS43)</f>
        <v>0</v>
      </c>
      <c r="AU43" s="68">
        <f t="shared" si="101"/>
        <v>0</v>
      </c>
      <c r="AV43" s="68">
        <f>ROUND(AH43*1%,0)</f>
        <v>0</v>
      </c>
      <c r="AW43" s="421">
        <v>0</v>
      </c>
      <c r="AX43" s="421">
        <v>0</v>
      </c>
      <c r="AY43" s="421">
        <f>AW43+AX43</f>
        <v>0</v>
      </c>
      <c r="AZ43" s="421">
        <f>AT43+AU43+AV43+AY43</f>
        <v>0</v>
      </c>
      <c r="BA43" s="422">
        <v>0</v>
      </c>
      <c r="BB43" s="422">
        <v>0</v>
      </c>
      <c r="BC43" s="422">
        <v>0</v>
      </c>
      <c r="BD43" s="422">
        <v>0</v>
      </c>
      <c r="BE43" s="422">
        <v>0</v>
      </c>
      <c r="BF43" s="422">
        <v>0</v>
      </c>
      <c r="BG43" s="422">
        <v>0</v>
      </c>
      <c r="BH43" s="422">
        <v>0</v>
      </c>
      <c r="BI43" s="422">
        <v>0</v>
      </c>
      <c r="BJ43" s="422">
        <v>0</v>
      </c>
      <c r="BK43" s="422">
        <f>BA43+BC43+BD43+BF43+BH43+BI43</f>
        <v>0</v>
      </c>
      <c r="BL43" s="422">
        <f>BB43+BE43+BG43+BJ43</f>
        <v>0</v>
      </c>
      <c r="BM43" s="611">
        <f>SUM(BK43:BL43)</f>
        <v>0</v>
      </c>
      <c r="BN43" s="428">
        <f>I43+AZ43</f>
        <v>28179</v>
      </c>
      <c r="BO43" s="421">
        <f>J43+AH43</f>
        <v>20170</v>
      </c>
      <c r="BP43" s="421">
        <f t="shared" si="102"/>
        <v>0</v>
      </c>
      <c r="BQ43" s="421">
        <f t="shared" si="102"/>
        <v>20170</v>
      </c>
      <c r="BR43" s="421">
        <f>M43+AQ43</f>
        <v>0</v>
      </c>
      <c r="BS43" s="421">
        <f t="shared" si="103"/>
        <v>0</v>
      </c>
      <c r="BT43" s="421">
        <f t="shared" si="103"/>
        <v>0</v>
      </c>
      <c r="BU43" s="421">
        <f t="shared" si="104"/>
        <v>6817</v>
      </c>
      <c r="BV43" s="421">
        <f t="shared" si="104"/>
        <v>202</v>
      </c>
      <c r="BW43" s="421">
        <f>R43+AY43</f>
        <v>990</v>
      </c>
      <c r="BX43" s="422">
        <f>S43+BM43</f>
        <v>7.6399999999999996E-2</v>
      </c>
      <c r="BY43" s="422">
        <f t="shared" si="105"/>
        <v>0</v>
      </c>
      <c r="BZ43" s="611">
        <f t="shared" si="105"/>
        <v>7.6399999999999996E-2</v>
      </c>
      <c r="CA43" s="423"/>
      <c r="CB43" s="418"/>
      <c r="CC43" s="418"/>
      <c r="CD43" s="418"/>
      <c r="CE43" s="418"/>
      <c r="CF43" s="527"/>
    </row>
    <row r="44" spans="1:84" ht="12.95" customHeight="1" x14ac:dyDescent="0.25">
      <c r="A44" s="326">
        <v>7</v>
      </c>
      <c r="B44" s="327">
        <v>5443</v>
      </c>
      <c r="C44" s="334">
        <v>600099237</v>
      </c>
      <c r="D44" s="327">
        <v>854841</v>
      </c>
      <c r="E44" s="329" t="s">
        <v>363</v>
      </c>
      <c r="F44" s="293"/>
      <c r="G44" s="331"/>
      <c r="H44" s="294"/>
      <c r="I44" s="482">
        <f t="shared" ref="I44:BU44" si="106">SUM(I39:I43)</f>
        <v>24139908</v>
      </c>
      <c r="J44" s="479">
        <f t="shared" si="106"/>
        <v>17694951</v>
      </c>
      <c r="K44" s="479">
        <f t="shared" si="106"/>
        <v>14766861</v>
      </c>
      <c r="L44" s="479">
        <f t="shared" si="106"/>
        <v>2928090</v>
      </c>
      <c r="M44" s="479">
        <f t="shared" si="106"/>
        <v>0</v>
      </c>
      <c r="N44" s="479">
        <f t="shared" si="106"/>
        <v>0</v>
      </c>
      <c r="O44" s="479">
        <f t="shared" si="106"/>
        <v>0</v>
      </c>
      <c r="P44" s="479">
        <f t="shared" si="106"/>
        <v>5980893</v>
      </c>
      <c r="Q44" s="479">
        <f t="shared" si="106"/>
        <v>176950</v>
      </c>
      <c r="R44" s="479">
        <f t="shared" si="106"/>
        <v>287114</v>
      </c>
      <c r="S44" s="480">
        <f t="shared" si="106"/>
        <v>31.105200000000004</v>
      </c>
      <c r="T44" s="480">
        <f t="shared" si="106"/>
        <v>22.409300000000002</v>
      </c>
      <c r="U44" s="335">
        <f t="shared" si="106"/>
        <v>8.6959</v>
      </c>
      <c r="V44" s="484">
        <f t="shared" si="106"/>
        <v>-41600</v>
      </c>
      <c r="W44" s="479">
        <f t="shared" si="106"/>
        <v>-3200</v>
      </c>
      <c r="X44" s="479">
        <f t="shared" si="106"/>
        <v>2387489</v>
      </c>
      <c r="Y44" s="479">
        <f t="shared" si="106"/>
        <v>0</v>
      </c>
      <c r="Z44" s="479">
        <f t="shared" si="106"/>
        <v>0</v>
      </c>
      <c r="AA44" s="479">
        <f t="shared" si="106"/>
        <v>0</v>
      </c>
      <c r="AB44" s="479">
        <f t="shared" si="106"/>
        <v>169200</v>
      </c>
      <c r="AC44" s="479">
        <f t="shared" si="106"/>
        <v>0</v>
      </c>
      <c r="AD44" s="479">
        <f t="shared" si="106"/>
        <v>0</v>
      </c>
      <c r="AE44" s="479">
        <f t="shared" si="106"/>
        <v>0</v>
      </c>
      <c r="AF44" s="479">
        <f t="shared" si="106"/>
        <v>2515089</v>
      </c>
      <c r="AG44" s="479">
        <f t="shared" si="106"/>
        <v>-3200</v>
      </c>
      <c r="AH44" s="479">
        <f t="shared" si="106"/>
        <v>2511889</v>
      </c>
      <c r="AI44" s="479">
        <f t="shared" si="106"/>
        <v>41600</v>
      </c>
      <c r="AJ44" s="479">
        <f t="shared" si="106"/>
        <v>3200</v>
      </c>
      <c r="AK44" s="479">
        <f t="shared" ref="AK44" si="107">SUM(AK39:AK43)</f>
        <v>0</v>
      </c>
      <c r="AL44" s="479">
        <f t="shared" si="106"/>
        <v>0</v>
      </c>
      <c r="AM44" s="479">
        <f t="shared" si="106"/>
        <v>101733</v>
      </c>
      <c r="AN44" s="479">
        <f t="shared" si="106"/>
        <v>74880</v>
      </c>
      <c r="AO44" s="479">
        <f t="shared" si="106"/>
        <v>143333</v>
      </c>
      <c r="AP44" s="479">
        <f t="shared" si="106"/>
        <v>78080</v>
      </c>
      <c r="AQ44" s="479">
        <f t="shared" si="106"/>
        <v>221413</v>
      </c>
      <c r="AR44" s="479">
        <f t="shared" si="106"/>
        <v>2658422</v>
      </c>
      <c r="AS44" s="479">
        <f t="shared" si="106"/>
        <v>74880</v>
      </c>
      <c r="AT44" s="479">
        <f t="shared" si="106"/>
        <v>2733302</v>
      </c>
      <c r="AU44" s="479">
        <f t="shared" si="106"/>
        <v>864161</v>
      </c>
      <c r="AV44" s="479">
        <f t="shared" si="106"/>
        <v>25119</v>
      </c>
      <c r="AW44" s="479">
        <f t="shared" si="106"/>
        <v>1000</v>
      </c>
      <c r="AX44" s="479">
        <f t="shared" si="106"/>
        <v>0</v>
      </c>
      <c r="AY44" s="479">
        <f t="shared" si="106"/>
        <v>1000</v>
      </c>
      <c r="AZ44" s="479">
        <f t="shared" si="106"/>
        <v>3623582</v>
      </c>
      <c r="BA44" s="480">
        <f t="shared" si="106"/>
        <v>-0.02</v>
      </c>
      <c r="BB44" s="480">
        <f t="shared" si="106"/>
        <v>0</v>
      </c>
      <c r="BC44" s="480">
        <f t="shared" si="106"/>
        <v>5.5200000000000005</v>
      </c>
      <c r="BD44" s="480">
        <f t="shared" si="106"/>
        <v>0.3</v>
      </c>
      <c r="BE44" s="480">
        <f t="shared" si="106"/>
        <v>0</v>
      </c>
      <c r="BF44" s="480">
        <f t="shared" si="106"/>
        <v>0</v>
      </c>
      <c r="BG44" s="480">
        <f t="shared" si="106"/>
        <v>0</v>
      </c>
      <c r="BH44" s="480">
        <f t="shared" si="106"/>
        <v>0</v>
      </c>
      <c r="BI44" s="480">
        <f t="shared" si="106"/>
        <v>0</v>
      </c>
      <c r="BJ44" s="480">
        <f t="shared" si="106"/>
        <v>0</v>
      </c>
      <c r="BK44" s="480">
        <f t="shared" si="106"/>
        <v>5.8000000000000007</v>
      </c>
      <c r="BL44" s="480">
        <f t="shared" si="106"/>
        <v>0</v>
      </c>
      <c r="BM44" s="560">
        <f t="shared" si="106"/>
        <v>5.8000000000000007</v>
      </c>
      <c r="BN44" s="482">
        <f t="shared" si="106"/>
        <v>27763490</v>
      </c>
      <c r="BO44" s="479">
        <f t="shared" si="106"/>
        <v>20206840</v>
      </c>
      <c r="BP44" s="479">
        <f t="shared" si="106"/>
        <v>17281950</v>
      </c>
      <c r="BQ44" s="479">
        <f t="shared" si="106"/>
        <v>2924890</v>
      </c>
      <c r="BR44" s="479">
        <f t="shared" si="106"/>
        <v>221413</v>
      </c>
      <c r="BS44" s="479">
        <f t="shared" si="106"/>
        <v>143333</v>
      </c>
      <c r="BT44" s="479">
        <f t="shared" si="106"/>
        <v>78080</v>
      </c>
      <c r="BU44" s="479">
        <f t="shared" si="106"/>
        <v>6845054</v>
      </c>
      <c r="BV44" s="479">
        <f t="shared" ref="BV44:CF44" si="108">SUM(BV39:BV43)</f>
        <v>202069</v>
      </c>
      <c r="BW44" s="479">
        <f t="shared" si="108"/>
        <v>288114</v>
      </c>
      <c r="BX44" s="480">
        <f t="shared" si="108"/>
        <v>36.905200000000001</v>
      </c>
      <c r="BY44" s="480">
        <f t="shared" si="108"/>
        <v>28.209300000000002</v>
      </c>
      <c r="BZ44" s="560">
        <f t="shared" si="108"/>
        <v>8.6959</v>
      </c>
      <c r="CA44" s="886">
        <f t="shared" si="108"/>
        <v>228082</v>
      </c>
      <c r="CB44" s="884">
        <f t="shared" si="108"/>
        <v>169200</v>
      </c>
      <c r="CC44" s="884">
        <f t="shared" si="108"/>
        <v>0</v>
      </c>
      <c r="CD44" s="884">
        <f t="shared" si="108"/>
        <v>57190</v>
      </c>
      <c r="CE44" s="884">
        <f t="shared" si="108"/>
        <v>1692</v>
      </c>
      <c r="CF44" s="846">
        <f t="shared" si="108"/>
        <v>0.3</v>
      </c>
    </row>
    <row r="45" spans="1:84" ht="12.95" customHeight="1" x14ac:dyDescent="0.25">
      <c r="A45" s="282">
        <v>8</v>
      </c>
      <c r="B45" s="323">
        <v>5445</v>
      </c>
      <c r="C45" s="324">
        <v>600099351</v>
      </c>
      <c r="D45" s="283">
        <v>70155771</v>
      </c>
      <c r="E45" s="325" t="s">
        <v>364</v>
      </c>
      <c r="F45" s="283">
        <v>3113</v>
      </c>
      <c r="G45" s="325" t="s">
        <v>309</v>
      </c>
      <c r="H45" s="286" t="s">
        <v>271</v>
      </c>
      <c r="I45" s="423">
        <f t="shared" ref="I45:I50" si="109">J45+P45+Q45+R45</f>
        <v>27053304</v>
      </c>
      <c r="J45" s="418">
        <f t="shared" si="7"/>
        <v>19768077</v>
      </c>
      <c r="K45" s="418">
        <v>18207246</v>
      </c>
      <c r="L45" s="418">
        <v>1560831</v>
      </c>
      <c r="M45" s="418">
        <f t="shared" ref="M45:M50" si="110">N45+O45</f>
        <v>0</v>
      </c>
      <c r="N45" s="418">
        <v>0</v>
      </c>
      <c r="O45" s="418">
        <v>0</v>
      </c>
      <c r="P45" s="68">
        <f t="shared" ref="P45:P50" si="111">ROUND((J45+M45)*33.8%,0)</f>
        <v>6681610</v>
      </c>
      <c r="Q45" s="68">
        <f t="shared" ref="Q45:Q50" si="112">ROUND(J45*1%,0)</f>
        <v>197681</v>
      </c>
      <c r="R45" s="418">
        <v>405936</v>
      </c>
      <c r="S45" s="419">
        <f t="shared" ref="S45:S50" si="113">T45+U45</f>
        <v>30.2498</v>
      </c>
      <c r="T45" s="420">
        <v>25.590399999999999</v>
      </c>
      <c r="U45" s="527">
        <v>4.6593999999999998</v>
      </c>
      <c r="V45" s="427">
        <f t="shared" ref="V45:W50" si="114">AI45*-1</f>
        <v>0</v>
      </c>
      <c r="W45" s="421">
        <f t="shared" si="114"/>
        <v>-3200</v>
      </c>
      <c r="X45" s="421">
        <v>0</v>
      </c>
      <c r="Y45" s="421">
        <v>0</v>
      </c>
      <c r="Z45" s="421">
        <v>0</v>
      </c>
      <c r="AA45" s="421">
        <v>0</v>
      </c>
      <c r="AB45" s="421">
        <v>451200</v>
      </c>
      <c r="AC45" s="421">
        <v>0</v>
      </c>
      <c r="AD45" s="421">
        <v>0</v>
      </c>
      <c r="AE45" s="421">
        <v>0</v>
      </c>
      <c r="AF45" s="421">
        <f t="shared" ref="AF45:AF50" si="115">V45+X45+Y45+AA45+AB45+AD45</f>
        <v>451200</v>
      </c>
      <c r="AG45" s="421">
        <f t="shared" ref="AG45:AG50" si="116">W45+Z45+AC45+AE45</f>
        <v>-3200</v>
      </c>
      <c r="AH45" s="421">
        <f t="shared" ref="AH45:AH50" si="117">SUM(AF45:AG45)</f>
        <v>448000</v>
      </c>
      <c r="AI45" s="421">
        <v>0</v>
      </c>
      <c r="AJ45" s="421">
        <v>3200</v>
      </c>
      <c r="AK45" s="421">
        <v>0</v>
      </c>
      <c r="AL45" s="421">
        <v>0</v>
      </c>
      <c r="AM45" s="421">
        <v>0</v>
      </c>
      <c r="AN45" s="421">
        <v>0</v>
      </c>
      <c r="AO45" s="421">
        <f t="shared" ref="AO45:AO50" si="118">AI45+AK45+AL45+AM45</f>
        <v>0</v>
      </c>
      <c r="AP45" s="421">
        <f t="shared" ref="AP45:AP50" si="119">AJ45+AN45</f>
        <v>3200</v>
      </c>
      <c r="AQ45" s="421">
        <f t="shared" ref="AQ45:AQ50" si="120">SUM(AO45:AP45)</f>
        <v>3200</v>
      </c>
      <c r="AR45" s="421">
        <f t="shared" ref="AR45:AS50" si="121">AF45+AO45</f>
        <v>451200</v>
      </c>
      <c r="AS45" s="421">
        <f t="shared" si="121"/>
        <v>0</v>
      </c>
      <c r="AT45" s="421">
        <f t="shared" ref="AT45:AT50" si="122">SUM(AR45:AS45)</f>
        <v>451200</v>
      </c>
      <c r="AU45" s="68">
        <f t="shared" ref="AU45:AU50" si="123">ROUND((AH45+AI45+AJ45+AK45+AL45)*33.8%,0)</f>
        <v>152506</v>
      </c>
      <c r="AV45" s="68">
        <f t="shared" ref="AV45:AV50" si="124">ROUND(AH45*1%,0)</f>
        <v>4480</v>
      </c>
      <c r="AW45" s="421">
        <v>0</v>
      </c>
      <c r="AX45" s="421">
        <v>0</v>
      </c>
      <c r="AY45" s="421">
        <f t="shared" ref="AY45:AY50" si="125">AW45+AX45</f>
        <v>0</v>
      </c>
      <c r="AZ45" s="421">
        <f t="shared" ref="AZ45:AZ50" si="126">AT45+AU45+AV45+AY45</f>
        <v>608186</v>
      </c>
      <c r="BA45" s="422">
        <v>0</v>
      </c>
      <c r="BB45" s="422">
        <v>-0.01</v>
      </c>
      <c r="BC45" s="422">
        <v>0</v>
      </c>
      <c r="BD45" s="422">
        <v>0.8</v>
      </c>
      <c r="BE45" s="422">
        <v>0</v>
      </c>
      <c r="BF45" s="422">
        <v>0</v>
      </c>
      <c r="BG45" s="422">
        <v>0</v>
      </c>
      <c r="BH45" s="422">
        <v>0</v>
      </c>
      <c r="BI45" s="422">
        <v>0</v>
      </c>
      <c r="BJ45" s="422">
        <v>0</v>
      </c>
      <c r="BK45" s="422">
        <f t="shared" ref="BK45:BK50" si="127">BA45+BC45+BD45+BF45+BH45+BI45</f>
        <v>0.8</v>
      </c>
      <c r="BL45" s="422">
        <f t="shared" ref="BL45:BL50" si="128">BB45+BE45+BG45+BJ45</f>
        <v>-0.01</v>
      </c>
      <c r="BM45" s="611">
        <f t="shared" ref="BM45:BM50" si="129">SUM(BK45:BL45)</f>
        <v>0.79</v>
      </c>
      <c r="BN45" s="428">
        <f t="shared" ref="BN45:BN50" si="130">I45+AZ45</f>
        <v>27661490</v>
      </c>
      <c r="BO45" s="421">
        <f t="shared" ref="BO45:BO50" si="131">J45+AH45</f>
        <v>20216077</v>
      </c>
      <c r="BP45" s="421">
        <f t="shared" ref="BP45:BQ50" si="132">K45+AF45</f>
        <v>18658446</v>
      </c>
      <c r="BQ45" s="421">
        <f t="shared" si="132"/>
        <v>1557631</v>
      </c>
      <c r="BR45" s="421">
        <f t="shared" ref="BR45:BR50" si="133">M45+AQ45</f>
        <v>3200</v>
      </c>
      <c r="BS45" s="421">
        <f t="shared" ref="BS45:BT50" si="134">N45+AO45</f>
        <v>0</v>
      </c>
      <c r="BT45" s="421">
        <f t="shared" si="134"/>
        <v>3200</v>
      </c>
      <c r="BU45" s="421">
        <f t="shared" ref="BU45:BV50" si="135">P45+AU45</f>
        <v>6834116</v>
      </c>
      <c r="BV45" s="421">
        <f t="shared" si="135"/>
        <v>202161</v>
      </c>
      <c r="BW45" s="421">
        <f t="shared" ref="BW45:BW50" si="136">R45+AY45</f>
        <v>405936</v>
      </c>
      <c r="BX45" s="422">
        <f t="shared" ref="BX45:BX50" si="137">S45+BM45</f>
        <v>31.0398</v>
      </c>
      <c r="BY45" s="422">
        <f t="shared" ref="BY45:BZ50" si="138">T45+BK45</f>
        <v>26.3904</v>
      </c>
      <c r="BZ45" s="611">
        <f t="shared" si="138"/>
        <v>4.6494</v>
      </c>
      <c r="CA45" s="423">
        <v>608218</v>
      </c>
      <c r="CB45" s="418">
        <v>451200</v>
      </c>
      <c r="CC45" s="418">
        <v>0</v>
      </c>
      <c r="CD45" s="418">
        <v>152506</v>
      </c>
      <c r="CE45" s="418">
        <v>4512</v>
      </c>
      <c r="CF45" s="527">
        <v>0.8</v>
      </c>
    </row>
    <row r="46" spans="1:84" ht="12.95" customHeight="1" x14ac:dyDescent="0.25">
      <c r="A46" s="282">
        <v>8</v>
      </c>
      <c r="B46" s="323">
        <v>5445</v>
      </c>
      <c r="C46" s="324">
        <v>600099351</v>
      </c>
      <c r="D46" s="283">
        <v>70155771</v>
      </c>
      <c r="E46" s="325" t="s">
        <v>364</v>
      </c>
      <c r="F46" s="283">
        <v>3113</v>
      </c>
      <c r="G46" s="325" t="s">
        <v>299</v>
      </c>
      <c r="H46" s="286" t="s">
        <v>272</v>
      </c>
      <c r="I46" s="423">
        <f t="shared" si="109"/>
        <v>0</v>
      </c>
      <c r="J46" s="418">
        <f t="shared" si="7"/>
        <v>0</v>
      </c>
      <c r="K46" s="418">
        <v>0</v>
      </c>
      <c r="L46" s="418">
        <v>0</v>
      </c>
      <c r="M46" s="418">
        <f>N46+O46</f>
        <v>0</v>
      </c>
      <c r="N46" s="418">
        <v>0</v>
      </c>
      <c r="O46" s="418">
        <v>0</v>
      </c>
      <c r="P46" s="68">
        <f t="shared" si="111"/>
        <v>0</v>
      </c>
      <c r="Q46" s="68">
        <f t="shared" si="112"/>
        <v>0</v>
      </c>
      <c r="R46" s="418"/>
      <c r="S46" s="419">
        <f>T46+U46</f>
        <v>0</v>
      </c>
      <c r="T46" s="420">
        <v>0</v>
      </c>
      <c r="U46" s="527">
        <v>0</v>
      </c>
      <c r="V46" s="427">
        <f t="shared" si="114"/>
        <v>0</v>
      </c>
      <c r="W46" s="421">
        <f t="shared" si="114"/>
        <v>0</v>
      </c>
      <c r="X46" s="421">
        <f>1663029+22693</f>
        <v>1685722</v>
      </c>
      <c r="Y46" s="421">
        <v>0</v>
      </c>
      <c r="Z46" s="421">
        <v>0</v>
      </c>
      <c r="AA46" s="421">
        <v>0</v>
      </c>
      <c r="AB46" s="421">
        <v>0</v>
      </c>
      <c r="AC46" s="421">
        <v>0</v>
      </c>
      <c r="AD46" s="421">
        <v>0</v>
      </c>
      <c r="AE46" s="421">
        <v>0</v>
      </c>
      <c r="AF46" s="421">
        <f t="shared" si="115"/>
        <v>1685722</v>
      </c>
      <c r="AG46" s="421">
        <f t="shared" si="116"/>
        <v>0</v>
      </c>
      <c r="AH46" s="421">
        <f t="shared" si="117"/>
        <v>1685722</v>
      </c>
      <c r="AI46" s="421">
        <v>0</v>
      </c>
      <c r="AJ46" s="421">
        <v>0</v>
      </c>
      <c r="AK46" s="421">
        <v>0</v>
      </c>
      <c r="AL46" s="421">
        <v>0</v>
      </c>
      <c r="AM46" s="421">
        <v>0</v>
      </c>
      <c r="AN46" s="421">
        <v>0</v>
      </c>
      <c r="AO46" s="421">
        <f t="shared" si="118"/>
        <v>0</v>
      </c>
      <c r="AP46" s="421">
        <f t="shared" si="119"/>
        <v>0</v>
      </c>
      <c r="AQ46" s="421">
        <f t="shared" si="120"/>
        <v>0</v>
      </c>
      <c r="AR46" s="421">
        <f t="shared" si="121"/>
        <v>1685722</v>
      </c>
      <c r="AS46" s="421">
        <f t="shared" si="121"/>
        <v>0</v>
      </c>
      <c r="AT46" s="421">
        <f t="shared" si="122"/>
        <v>1685722</v>
      </c>
      <c r="AU46" s="68">
        <f t="shared" si="123"/>
        <v>569774</v>
      </c>
      <c r="AV46" s="68">
        <f t="shared" si="124"/>
        <v>16857</v>
      </c>
      <c r="AW46" s="421">
        <v>2000</v>
      </c>
      <c r="AX46" s="421">
        <v>0</v>
      </c>
      <c r="AY46" s="421">
        <f t="shared" si="125"/>
        <v>2000</v>
      </c>
      <c r="AZ46" s="421">
        <f t="shared" si="126"/>
        <v>2274353</v>
      </c>
      <c r="BA46" s="422">
        <v>0</v>
      </c>
      <c r="BB46" s="422">
        <v>0</v>
      </c>
      <c r="BC46" s="422">
        <f>4.22+0.04</f>
        <v>4.26</v>
      </c>
      <c r="BD46" s="422">
        <v>0</v>
      </c>
      <c r="BE46" s="422">
        <v>0</v>
      </c>
      <c r="BF46" s="422">
        <v>0</v>
      </c>
      <c r="BG46" s="422">
        <v>0</v>
      </c>
      <c r="BH46" s="422">
        <v>0</v>
      </c>
      <c r="BI46" s="422">
        <v>0</v>
      </c>
      <c r="BJ46" s="422">
        <v>0</v>
      </c>
      <c r="BK46" s="422">
        <f t="shared" si="127"/>
        <v>4.26</v>
      </c>
      <c r="BL46" s="422">
        <f t="shared" si="128"/>
        <v>0</v>
      </c>
      <c r="BM46" s="611">
        <f t="shared" si="129"/>
        <v>4.26</v>
      </c>
      <c r="BN46" s="428">
        <f t="shared" si="130"/>
        <v>2274353</v>
      </c>
      <c r="BO46" s="421">
        <f t="shared" si="131"/>
        <v>1685722</v>
      </c>
      <c r="BP46" s="421">
        <f t="shared" si="132"/>
        <v>1685722</v>
      </c>
      <c r="BQ46" s="421">
        <f t="shared" si="132"/>
        <v>0</v>
      </c>
      <c r="BR46" s="421">
        <f t="shared" si="133"/>
        <v>0</v>
      </c>
      <c r="BS46" s="421">
        <f t="shared" si="134"/>
        <v>0</v>
      </c>
      <c r="BT46" s="421">
        <f t="shared" si="134"/>
        <v>0</v>
      </c>
      <c r="BU46" s="421">
        <f t="shared" si="135"/>
        <v>569774</v>
      </c>
      <c r="BV46" s="421">
        <f t="shared" si="135"/>
        <v>16857</v>
      </c>
      <c r="BW46" s="421">
        <f t="shared" si="136"/>
        <v>2000</v>
      </c>
      <c r="BX46" s="422">
        <f t="shared" si="137"/>
        <v>4.26</v>
      </c>
      <c r="BY46" s="422">
        <f t="shared" si="138"/>
        <v>4.26</v>
      </c>
      <c r="BZ46" s="611">
        <f t="shared" si="138"/>
        <v>0</v>
      </c>
      <c r="CA46" s="423"/>
      <c r="CB46" s="418"/>
      <c r="CC46" s="418"/>
      <c r="CD46" s="418"/>
      <c r="CE46" s="418"/>
      <c r="CF46" s="527"/>
    </row>
    <row r="47" spans="1:84" ht="12.95" customHeight="1" x14ac:dyDescent="0.25">
      <c r="A47" s="282">
        <v>8</v>
      </c>
      <c r="B47" s="323">
        <v>5445</v>
      </c>
      <c r="C47" s="324">
        <v>600099351</v>
      </c>
      <c r="D47" s="283">
        <v>70155771</v>
      </c>
      <c r="E47" s="325" t="s">
        <v>364</v>
      </c>
      <c r="F47" s="283">
        <v>3141</v>
      </c>
      <c r="G47" s="325" t="s">
        <v>295</v>
      </c>
      <c r="H47" s="286" t="s">
        <v>272</v>
      </c>
      <c r="I47" s="423">
        <f t="shared" si="109"/>
        <v>908094</v>
      </c>
      <c r="J47" s="418">
        <f t="shared" si="7"/>
        <v>669194</v>
      </c>
      <c r="K47" s="418"/>
      <c r="L47" s="418">
        <v>669194</v>
      </c>
      <c r="M47" s="418">
        <f t="shared" si="110"/>
        <v>0</v>
      </c>
      <c r="N47" s="418">
        <v>0</v>
      </c>
      <c r="O47" s="418">
        <v>0</v>
      </c>
      <c r="P47" s="68">
        <f t="shared" si="111"/>
        <v>226188</v>
      </c>
      <c r="Q47" s="68">
        <f t="shared" si="112"/>
        <v>6692</v>
      </c>
      <c r="R47" s="418">
        <v>6020</v>
      </c>
      <c r="S47" s="419">
        <f t="shared" si="113"/>
        <v>2.0066999999999999</v>
      </c>
      <c r="T47" s="420">
        <v>0</v>
      </c>
      <c r="U47" s="527">
        <v>2.0066999999999999</v>
      </c>
      <c r="V47" s="427">
        <f t="shared" si="114"/>
        <v>0</v>
      </c>
      <c r="W47" s="421">
        <f t="shared" si="114"/>
        <v>0</v>
      </c>
      <c r="X47" s="421">
        <v>0</v>
      </c>
      <c r="Y47" s="421">
        <v>0</v>
      </c>
      <c r="Z47" s="421">
        <v>0</v>
      </c>
      <c r="AA47" s="421">
        <v>0</v>
      </c>
      <c r="AB47" s="421">
        <v>0</v>
      </c>
      <c r="AC47" s="421">
        <v>0</v>
      </c>
      <c r="AD47" s="421">
        <v>0</v>
      </c>
      <c r="AE47" s="421">
        <v>0</v>
      </c>
      <c r="AF47" s="421">
        <f t="shared" si="115"/>
        <v>0</v>
      </c>
      <c r="AG47" s="421">
        <f t="shared" si="116"/>
        <v>0</v>
      </c>
      <c r="AH47" s="421">
        <f t="shared" si="117"/>
        <v>0</v>
      </c>
      <c r="AI47" s="421">
        <v>0</v>
      </c>
      <c r="AJ47" s="421">
        <v>0</v>
      </c>
      <c r="AK47" s="421">
        <v>0</v>
      </c>
      <c r="AL47" s="421">
        <v>0</v>
      </c>
      <c r="AM47" s="421">
        <v>0</v>
      </c>
      <c r="AN47" s="421">
        <v>0</v>
      </c>
      <c r="AO47" s="421">
        <f t="shared" si="118"/>
        <v>0</v>
      </c>
      <c r="AP47" s="421">
        <f t="shared" si="119"/>
        <v>0</v>
      </c>
      <c r="AQ47" s="421">
        <f t="shared" si="120"/>
        <v>0</v>
      </c>
      <c r="AR47" s="421">
        <f t="shared" si="121"/>
        <v>0</v>
      </c>
      <c r="AS47" s="421">
        <f t="shared" si="121"/>
        <v>0</v>
      </c>
      <c r="AT47" s="421">
        <f t="shared" si="122"/>
        <v>0</v>
      </c>
      <c r="AU47" s="68">
        <f t="shared" si="123"/>
        <v>0</v>
      </c>
      <c r="AV47" s="68">
        <f t="shared" si="124"/>
        <v>0</v>
      </c>
      <c r="AW47" s="421">
        <v>0</v>
      </c>
      <c r="AX47" s="421">
        <v>0</v>
      </c>
      <c r="AY47" s="421">
        <f t="shared" si="125"/>
        <v>0</v>
      </c>
      <c r="AZ47" s="421">
        <f t="shared" si="126"/>
        <v>0</v>
      </c>
      <c r="BA47" s="422">
        <v>0</v>
      </c>
      <c r="BB47" s="422">
        <v>0</v>
      </c>
      <c r="BC47" s="422">
        <v>0</v>
      </c>
      <c r="BD47" s="422">
        <v>0</v>
      </c>
      <c r="BE47" s="422">
        <v>0</v>
      </c>
      <c r="BF47" s="422">
        <v>0</v>
      </c>
      <c r="BG47" s="422">
        <v>0</v>
      </c>
      <c r="BH47" s="422">
        <v>0</v>
      </c>
      <c r="BI47" s="422">
        <v>0</v>
      </c>
      <c r="BJ47" s="422">
        <v>0</v>
      </c>
      <c r="BK47" s="422">
        <f t="shared" si="127"/>
        <v>0</v>
      </c>
      <c r="BL47" s="422">
        <f t="shared" si="128"/>
        <v>0</v>
      </c>
      <c r="BM47" s="611">
        <f t="shared" si="129"/>
        <v>0</v>
      </c>
      <c r="BN47" s="428">
        <f t="shared" si="130"/>
        <v>908094</v>
      </c>
      <c r="BO47" s="421">
        <f t="shared" si="131"/>
        <v>669194</v>
      </c>
      <c r="BP47" s="421">
        <f t="shared" si="132"/>
        <v>0</v>
      </c>
      <c r="BQ47" s="421">
        <f t="shared" si="132"/>
        <v>669194</v>
      </c>
      <c r="BR47" s="421">
        <f t="shared" si="133"/>
        <v>0</v>
      </c>
      <c r="BS47" s="421">
        <f t="shared" si="134"/>
        <v>0</v>
      </c>
      <c r="BT47" s="421">
        <f t="shared" si="134"/>
        <v>0</v>
      </c>
      <c r="BU47" s="421">
        <f t="shared" si="135"/>
        <v>226188</v>
      </c>
      <c r="BV47" s="421">
        <f t="shared" si="135"/>
        <v>6692</v>
      </c>
      <c r="BW47" s="421">
        <f t="shared" si="136"/>
        <v>6020</v>
      </c>
      <c r="BX47" s="422">
        <f t="shared" si="137"/>
        <v>2.0066999999999999</v>
      </c>
      <c r="BY47" s="422">
        <f t="shared" si="138"/>
        <v>0</v>
      </c>
      <c r="BZ47" s="611">
        <f t="shared" si="138"/>
        <v>2.0066999999999999</v>
      </c>
      <c r="CA47" s="423"/>
      <c r="CB47" s="418"/>
      <c r="CC47" s="418"/>
      <c r="CD47" s="418"/>
      <c r="CE47" s="418"/>
      <c r="CF47" s="527"/>
    </row>
    <row r="48" spans="1:84" ht="12.95" customHeight="1" x14ac:dyDescent="0.25">
      <c r="A48" s="282">
        <v>8</v>
      </c>
      <c r="B48" s="323">
        <v>5445</v>
      </c>
      <c r="C48" s="324">
        <v>600099351</v>
      </c>
      <c r="D48" s="283">
        <v>70155771</v>
      </c>
      <c r="E48" s="325" t="s">
        <v>364</v>
      </c>
      <c r="F48" s="283">
        <v>3143</v>
      </c>
      <c r="G48" s="325" t="s">
        <v>596</v>
      </c>
      <c r="H48" s="286" t="s">
        <v>271</v>
      </c>
      <c r="I48" s="423">
        <f t="shared" si="109"/>
        <v>1943650</v>
      </c>
      <c r="J48" s="418">
        <f t="shared" si="7"/>
        <v>1441877</v>
      </c>
      <c r="K48" s="418">
        <v>1441877</v>
      </c>
      <c r="L48" s="418">
        <v>0</v>
      </c>
      <c r="M48" s="418">
        <f t="shared" si="110"/>
        <v>0</v>
      </c>
      <c r="N48" s="418">
        <v>0</v>
      </c>
      <c r="O48" s="418">
        <v>0</v>
      </c>
      <c r="P48" s="68">
        <f t="shared" si="111"/>
        <v>487354</v>
      </c>
      <c r="Q48" s="68">
        <f t="shared" si="112"/>
        <v>14419</v>
      </c>
      <c r="R48" s="418">
        <v>0</v>
      </c>
      <c r="S48" s="419">
        <f t="shared" si="113"/>
        <v>2.7585999999999999</v>
      </c>
      <c r="T48" s="420">
        <v>2.7585999999999999</v>
      </c>
      <c r="U48" s="527">
        <v>0</v>
      </c>
      <c r="V48" s="427">
        <f t="shared" si="114"/>
        <v>0</v>
      </c>
      <c r="W48" s="421">
        <f t="shared" si="114"/>
        <v>0</v>
      </c>
      <c r="X48" s="421">
        <v>0</v>
      </c>
      <c r="Y48" s="421">
        <v>0</v>
      </c>
      <c r="Z48" s="421">
        <v>0</v>
      </c>
      <c r="AA48" s="421">
        <v>0</v>
      </c>
      <c r="AB48" s="421">
        <v>0</v>
      </c>
      <c r="AC48" s="421">
        <v>0</v>
      </c>
      <c r="AD48" s="421">
        <v>0</v>
      </c>
      <c r="AE48" s="421">
        <v>0</v>
      </c>
      <c r="AF48" s="421">
        <f t="shared" si="115"/>
        <v>0</v>
      </c>
      <c r="AG48" s="421">
        <f t="shared" si="116"/>
        <v>0</v>
      </c>
      <c r="AH48" s="421">
        <f t="shared" si="117"/>
        <v>0</v>
      </c>
      <c r="AI48" s="421">
        <v>0</v>
      </c>
      <c r="AJ48" s="421">
        <v>0</v>
      </c>
      <c r="AK48" s="421">
        <v>0</v>
      </c>
      <c r="AL48" s="421">
        <v>0</v>
      </c>
      <c r="AM48" s="421">
        <v>0</v>
      </c>
      <c r="AN48" s="421">
        <v>0</v>
      </c>
      <c r="AO48" s="421">
        <f t="shared" si="118"/>
        <v>0</v>
      </c>
      <c r="AP48" s="421">
        <f t="shared" si="119"/>
        <v>0</v>
      </c>
      <c r="AQ48" s="421">
        <f t="shared" si="120"/>
        <v>0</v>
      </c>
      <c r="AR48" s="421">
        <f t="shared" si="121"/>
        <v>0</v>
      </c>
      <c r="AS48" s="421">
        <f t="shared" si="121"/>
        <v>0</v>
      </c>
      <c r="AT48" s="421">
        <f t="shared" si="122"/>
        <v>0</v>
      </c>
      <c r="AU48" s="68">
        <f t="shared" si="123"/>
        <v>0</v>
      </c>
      <c r="AV48" s="68">
        <f t="shared" si="124"/>
        <v>0</v>
      </c>
      <c r="AW48" s="421">
        <v>0</v>
      </c>
      <c r="AX48" s="421">
        <v>0</v>
      </c>
      <c r="AY48" s="421">
        <f t="shared" si="125"/>
        <v>0</v>
      </c>
      <c r="AZ48" s="421">
        <f t="shared" si="126"/>
        <v>0</v>
      </c>
      <c r="BA48" s="422">
        <v>0</v>
      </c>
      <c r="BB48" s="422">
        <v>0</v>
      </c>
      <c r="BC48" s="422">
        <v>0</v>
      </c>
      <c r="BD48" s="422">
        <v>0</v>
      </c>
      <c r="BE48" s="422">
        <v>0</v>
      </c>
      <c r="BF48" s="422">
        <v>0</v>
      </c>
      <c r="BG48" s="422">
        <v>0</v>
      </c>
      <c r="BH48" s="422">
        <v>0</v>
      </c>
      <c r="BI48" s="422">
        <v>0</v>
      </c>
      <c r="BJ48" s="422">
        <v>0</v>
      </c>
      <c r="BK48" s="422">
        <f t="shared" si="127"/>
        <v>0</v>
      </c>
      <c r="BL48" s="422">
        <f t="shared" si="128"/>
        <v>0</v>
      </c>
      <c r="BM48" s="611">
        <f t="shared" si="129"/>
        <v>0</v>
      </c>
      <c r="BN48" s="428">
        <f t="shared" si="130"/>
        <v>1943650</v>
      </c>
      <c r="BO48" s="421">
        <f t="shared" si="131"/>
        <v>1441877</v>
      </c>
      <c r="BP48" s="421">
        <f t="shared" si="132"/>
        <v>1441877</v>
      </c>
      <c r="BQ48" s="421">
        <f t="shared" si="132"/>
        <v>0</v>
      </c>
      <c r="BR48" s="421">
        <f t="shared" si="133"/>
        <v>0</v>
      </c>
      <c r="BS48" s="421">
        <f t="shared" si="134"/>
        <v>0</v>
      </c>
      <c r="BT48" s="421">
        <f t="shared" si="134"/>
        <v>0</v>
      </c>
      <c r="BU48" s="421">
        <f t="shared" si="135"/>
        <v>487354</v>
      </c>
      <c r="BV48" s="421">
        <f t="shared" si="135"/>
        <v>14419</v>
      </c>
      <c r="BW48" s="421">
        <f t="shared" si="136"/>
        <v>0</v>
      </c>
      <c r="BX48" s="422">
        <f t="shared" si="137"/>
        <v>2.7585999999999999</v>
      </c>
      <c r="BY48" s="422">
        <f t="shared" si="138"/>
        <v>2.7585999999999999</v>
      </c>
      <c r="BZ48" s="611">
        <f t="shared" si="138"/>
        <v>0</v>
      </c>
      <c r="CA48" s="423"/>
      <c r="CB48" s="418"/>
      <c r="CC48" s="418"/>
      <c r="CD48" s="418"/>
      <c r="CE48" s="418"/>
      <c r="CF48" s="527"/>
    </row>
    <row r="49" spans="1:84" ht="12.95" customHeight="1" x14ac:dyDescent="0.25">
      <c r="A49" s="282">
        <v>8</v>
      </c>
      <c r="B49" s="323">
        <v>5445</v>
      </c>
      <c r="C49" s="324">
        <v>600099351</v>
      </c>
      <c r="D49" s="283">
        <v>70155771</v>
      </c>
      <c r="E49" s="325" t="s">
        <v>364</v>
      </c>
      <c r="F49" s="283">
        <v>3143</v>
      </c>
      <c r="G49" s="325" t="s">
        <v>597</v>
      </c>
      <c r="H49" s="286" t="s">
        <v>272</v>
      </c>
      <c r="I49" s="423">
        <f t="shared" si="109"/>
        <v>45587</v>
      </c>
      <c r="J49" s="418">
        <f t="shared" si="7"/>
        <v>32630</v>
      </c>
      <c r="K49" s="418">
        <v>0</v>
      </c>
      <c r="L49" s="418">
        <v>32630</v>
      </c>
      <c r="M49" s="418">
        <f t="shared" si="110"/>
        <v>0</v>
      </c>
      <c r="N49" s="418">
        <v>0</v>
      </c>
      <c r="O49" s="418">
        <v>0</v>
      </c>
      <c r="P49" s="68">
        <f t="shared" si="111"/>
        <v>11029</v>
      </c>
      <c r="Q49" s="68">
        <f t="shared" si="112"/>
        <v>326</v>
      </c>
      <c r="R49" s="418">
        <v>1602</v>
      </c>
      <c r="S49" s="419">
        <f t="shared" si="113"/>
        <v>0.1236</v>
      </c>
      <c r="T49" s="420">
        <v>0</v>
      </c>
      <c r="U49" s="527">
        <v>0.1236</v>
      </c>
      <c r="V49" s="427">
        <f t="shared" si="114"/>
        <v>0</v>
      </c>
      <c r="W49" s="421">
        <f t="shared" si="114"/>
        <v>0</v>
      </c>
      <c r="X49" s="421">
        <v>0</v>
      </c>
      <c r="Y49" s="421">
        <v>0</v>
      </c>
      <c r="Z49" s="421">
        <v>0</v>
      </c>
      <c r="AA49" s="421">
        <v>0</v>
      </c>
      <c r="AB49" s="421">
        <v>0</v>
      </c>
      <c r="AC49" s="421">
        <v>0</v>
      </c>
      <c r="AD49" s="421">
        <v>0</v>
      </c>
      <c r="AE49" s="421">
        <v>0</v>
      </c>
      <c r="AF49" s="421">
        <f t="shared" si="115"/>
        <v>0</v>
      </c>
      <c r="AG49" s="421">
        <f t="shared" si="116"/>
        <v>0</v>
      </c>
      <c r="AH49" s="421">
        <f t="shared" si="117"/>
        <v>0</v>
      </c>
      <c r="AI49" s="421">
        <v>0</v>
      </c>
      <c r="AJ49" s="421">
        <v>0</v>
      </c>
      <c r="AK49" s="421">
        <v>0</v>
      </c>
      <c r="AL49" s="421">
        <v>0</v>
      </c>
      <c r="AM49" s="421">
        <v>0</v>
      </c>
      <c r="AN49" s="421">
        <v>0</v>
      </c>
      <c r="AO49" s="421">
        <f t="shared" si="118"/>
        <v>0</v>
      </c>
      <c r="AP49" s="421">
        <f t="shared" si="119"/>
        <v>0</v>
      </c>
      <c r="AQ49" s="421">
        <f t="shared" si="120"/>
        <v>0</v>
      </c>
      <c r="AR49" s="421">
        <f t="shared" si="121"/>
        <v>0</v>
      </c>
      <c r="AS49" s="421">
        <f t="shared" si="121"/>
        <v>0</v>
      </c>
      <c r="AT49" s="421">
        <f t="shared" si="122"/>
        <v>0</v>
      </c>
      <c r="AU49" s="68">
        <f t="shared" si="123"/>
        <v>0</v>
      </c>
      <c r="AV49" s="68">
        <f t="shared" si="124"/>
        <v>0</v>
      </c>
      <c r="AW49" s="421">
        <v>0</v>
      </c>
      <c r="AX49" s="421">
        <v>0</v>
      </c>
      <c r="AY49" s="421">
        <f t="shared" si="125"/>
        <v>0</v>
      </c>
      <c r="AZ49" s="421">
        <f t="shared" si="126"/>
        <v>0</v>
      </c>
      <c r="BA49" s="422">
        <v>0</v>
      </c>
      <c r="BB49" s="422">
        <v>0</v>
      </c>
      <c r="BC49" s="422">
        <v>0</v>
      </c>
      <c r="BD49" s="422">
        <v>0</v>
      </c>
      <c r="BE49" s="422">
        <v>0</v>
      </c>
      <c r="BF49" s="422">
        <v>0</v>
      </c>
      <c r="BG49" s="422">
        <v>0</v>
      </c>
      <c r="BH49" s="422">
        <v>0</v>
      </c>
      <c r="BI49" s="422">
        <v>0</v>
      </c>
      <c r="BJ49" s="422">
        <v>0</v>
      </c>
      <c r="BK49" s="422">
        <f t="shared" si="127"/>
        <v>0</v>
      </c>
      <c r="BL49" s="422">
        <f t="shared" si="128"/>
        <v>0</v>
      </c>
      <c r="BM49" s="611">
        <f t="shared" si="129"/>
        <v>0</v>
      </c>
      <c r="BN49" s="428">
        <f t="shared" si="130"/>
        <v>45587</v>
      </c>
      <c r="BO49" s="421">
        <f t="shared" si="131"/>
        <v>32630</v>
      </c>
      <c r="BP49" s="421">
        <f t="shared" si="132"/>
        <v>0</v>
      </c>
      <c r="BQ49" s="421">
        <f t="shared" si="132"/>
        <v>32630</v>
      </c>
      <c r="BR49" s="421">
        <f t="shared" si="133"/>
        <v>0</v>
      </c>
      <c r="BS49" s="421">
        <f t="shared" si="134"/>
        <v>0</v>
      </c>
      <c r="BT49" s="421">
        <f t="shared" si="134"/>
        <v>0</v>
      </c>
      <c r="BU49" s="421">
        <f t="shared" si="135"/>
        <v>11029</v>
      </c>
      <c r="BV49" s="421">
        <f t="shared" si="135"/>
        <v>326</v>
      </c>
      <c r="BW49" s="421">
        <f t="shared" si="136"/>
        <v>1602</v>
      </c>
      <c r="BX49" s="422">
        <f t="shared" si="137"/>
        <v>0.1236</v>
      </c>
      <c r="BY49" s="422">
        <f t="shared" si="138"/>
        <v>0</v>
      </c>
      <c r="BZ49" s="611">
        <f t="shared" si="138"/>
        <v>0.1236</v>
      </c>
      <c r="CA49" s="423"/>
      <c r="CB49" s="418"/>
      <c r="CC49" s="418"/>
      <c r="CD49" s="418"/>
      <c r="CE49" s="418"/>
      <c r="CF49" s="527"/>
    </row>
    <row r="50" spans="1:84" ht="12.95" customHeight="1" x14ac:dyDescent="0.25">
      <c r="A50" s="282">
        <v>8</v>
      </c>
      <c r="B50" s="323">
        <v>5445</v>
      </c>
      <c r="C50" s="324">
        <v>600099351</v>
      </c>
      <c r="D50" s="283">
        <v>70155771</v>
      </c>
      <c r="E50" s="325" t="s">
        <v>364</v>
      </c>
      <c r="F50" s="283">
        <v>3143</v>
      </c>
      <c r="G50" s="325" t="s">
        <v>297</v>
      </c>
      <c r="H50" s="286" t="s">
        <v>272</v>
      </c>
      <c r="I50" s="423">
        <f t="shared" si="109"/>
        <v>267892</v>
      </c>
      <c r="J50" s="418">
        <f t="shared" si="7"/>
        <v>198288</v>
      </c>
      <c r="K50" s="418">
        <v>179966</v>
      </c>
      <c r="L50" s="715">
        <v>18322</v>
      </c>
      <c r="M50" s="418">
        <f t="shared" si="110"/>
        <v>0</v>
      </c>
      <c r="N50" s="418">
        <v>0</v>
      </c>
      <c r="O50" s="418">
        <v>0</v>
      </c>
      <c r="P50" s="716">
        <f t="shared" si="111"/>
        <v>67021</v>
      </c>
      <c r="Q50" s="716">
        <f t="shared" si="112"/>
        <v>1983</v>
      </c>
      <c r="R50" s="715">
        <v>600</v>
      </c>
      <c r="S50" s="717">
        <f t="shared" si="113"/>
        <v>0.42899999999999999</v>
      </c>
      <c r="T50" s="718">
        <v>0.36</v>
      </c>
      <c r="U50" s="719">
        <v>6.9000000000000006E-2</v>
      </c>
      <c r="V50" s="427">
        <f t="shared" si="114"/>
        <v>-35200</v>
      </c>
      <c r="W50" s="421">
        <f t="shared" si="114"/>
        <v>0</v>
      </c>
      <c r="X50" s="421">
        <v>0</v>
      </c>
      <c r="Y50" s="421">
        <v>0</v>
      </c>
      <c r="Z50" s="421">
        <v>0</v>
      </c>
      <c r="AA50" s="421">
        <v>0</v>
      </c>
      <c r="AB50" s="421">
        <v>0</v>
      </c>
      <c r="AC50" s="421">
        <v>0</v>
      </c>
      <c r="AD50" s="421">
        <v>0</v>
      </c>
      <c r="AE50" s="421">
        <v>0</v>
      </c>
      <c r="AF50" s="421">
        <f t="shared" si="115"/>
        <v>-35200</v>
      </c>
      <c r="AG50" s="421">
        <f t="shared" si="116"/>
        <v>0</v>
      </c>
      <c r="AH50" s="421">
        <f t="shared" si="117"/>
        <v>-35200</v>
      </c>
      <c r="AI50" s="421">
        <v>35200</v>
      </c>
      <c r="AJ50" s="421">
        <v>0</v>
      </c>
      <c r="AK50" s="421">
        <v>0</v>
      </c>
      <c r="AL50" s="421">
        <v>0</v>
      </c>
      <c r="AM50" s="421">
        <v>0</v>
      </c>
      <c r="AN50" s="421">
        <v>0</v>
      </c>
      <c r="AO50" s="421">
        <f t="shared" si="118"/>
        <v>35200</v>
      </c>
      <c r="AP50" s="421">
        <f t="shared" si="119"/>
        <v>0</v>
      </c>
      <c r="AQ50" s="421">
        <f t="shared" si="120"/>
        <v>35200</v>
      </c>
      <c r="AR50" s="421">
        <f t="shared" si="121"/>
        <v>0</v>
      </c>
      <c r="AS50" s="421">
        <f t="shared" si="121"/>
        <v>0</v>
      </c>
      <c r="AT50" s="421">
        <f t="shared" si="122"/>
        <v>0</v>
      </c>
      <c r="AU50" s="68">
        <f t="shared" si="123"/>
        <v>0</v>
      </c>
      <c r="AV50" s="68">
        <f t="shared" si="124"/>
        <v>-352</v>
      </c>
      <c r="AW50" s="421">
        <v>0</v>
      </c>
      <c r="AX50" s="421">
        <v>0</v>
      </c>
      <c r="AY50" s="421">
        <f t="shared" si="125"/>
        <v>0</v>
      </c>
      <c r="AZ50" s="421">
        <f t="shared" si="126"/>
        <v>-352</v>
      </c>
      <c r="BA50" s="422">
        <v>-7.0000000000000007E-2</v>
      </c>
      <c r="BB50" s="422">
        <v>0</v>
      </c>
      <c r="BC50" s="422">
        <v>0</v>
      </c>
      <c r="BD50" s="422">
        <v>0</v>
      </c>
      <c r="BE50" s="422">
        <v>0</v>
      </c>
      <c r="BF50" s="422">
        <v>0</v>
      </c>
      <c r="BG50" s="422">
        <v>0</v>
      </c>
      <c r="BH50" s="422">
        <v>0</v>
      </c>
      <c r="BI50" s="422">
        <v>0</v>
      </c>
      <c r="BJ50" s="422">
        <v>0</v>
      </c>
      <c r="BK50" s="422">
        <f t="shared" si="127"/>
        <v>-7.0000000000000007E-2</v>
      </c>
      <c r="BL50" s="422">
        <f t="shared" si="128"/>
        <v>0</v>
      </c>
      <c r="BM50" s="611">
        <f t="shared" si="129"/>
        <v>-7.0000000000000007E-2</v>
      </c>
      <c r="BN50" s="428">
        <f t="shared" si="130"/>
        <v>267540</v>
      </c>
      <c r="BO50" s="421">
        <f t="shared" si="131"/>
        <v>163088</v>
      </c>
      <c r="BP50" s="421">
        <f t="shared" si="132"/>
        <v>144766</v>
      </c>
      <c r="BQ50" s="421">
        <f t="shared" si="132"/>
        <v>18322</v>
      </c>
      <c r="BR50" s="421">
        <f t="shared" si="133"/>
        <v>35200</v>
      </c>
      <c r="BS50" s="421">
        <f t="shared" si="134"/>
        <v>35200</v>
      </c>
      <c r="BT50" s="421">
        <f t="shared" si="134"/>
        <v>0</v>
      </c>
      <c r="BU50" s="421">
        <f t="shared" si="135"/>
        <v>67021</v>
      </c>
      <c r="BV50" s="421">
        <f t="shared" si="135"/>
        <v>1631</v>
      </c>
      <c r="BW50" s="421">
        <f t="shared" si="136"/>
        <v>600</v>
      </c>
      <c r="BX50" s="422">
        <f t="shared" si="137"/>
        <v>0.35899999999999999</v>
      </c>
      <c r="BY50" s="422">
        <f t="shared" si="138"/>
        <v>0.28999999999999998</v>
      </c>
      <c r="BZ50" s="611">
        <f t="shared" si="138"/>
        <v>6.9000000000000006E-2</v>
      </c>
      <c r="CA50" s="423"/>
      <c r="CB50" s="418"/>
      <c r="CC50" s="418"/>
      <c r="CD50" s="418"/>
      <c r="CE50" s="418"/>
      <c r="CF50" s="527"/>
    </row>
    <row r="51" spans="1:84" ht="12.95" customHeight="1" x14ac:dyDescent="0.25">
      <c r="A51" s="326">
        <v>8</v>
      </c>
      <c r="B51" s="327">
        <v>5445</v>
      </c>
      <c r="C51" s="328">
        <v>600099351</v>
      </c>
      <c r="D51" s="327">
        <v>70155771</v>
      </c>
      <c r="E51" s="329" t="s">
        <v>365</v>
      </c>
      <c r="F51" s="293"/>
      <c r="G51" s="331"/>
      <c r="H51" s="294"/>
      <c r="I51" s="481">
        <f t="shared" ref="I51:BT51" si="139">SUM(I45:I50)</f>
        <v>30218527</v>
      </c>
      <c r="J51" s="477">
        <f t="shared" si="139"/>
        <v>22110066</v>
      </c>
      <c r="K51" s="477">
        <f t="shared" si="139"/>
        <v>19829089</v>
      </c>
      <c r="L51" s="477">
        <f t="shared" si="139"/>
        <v>2280977</v>
      </c>
      <c r="M51" s="477">
        <f t="shared" si="139"/>
        <v>0</v>
      </c>
      <c r="N51" s="477">
        <f t="shared" si="139"/>
        <v>0</v>
      </c>
      <c r="O51" s="477">
        <f t="shared" si="139"/>
        <v>0</v>
      </c>
      <c r="P51" s="477">
        <f t="shared" si="139"/>
        <v>7473202</v>
      </c>
      <c r="Q51" s="477">
        <f t="shared" si="139"/>
        <v>221101</v>
      </c>
      <c r="R51" s="477">
        <f t="shared" si="139"/>
        <v>414158</v>
      </c>
      <c r="S51" s="478">
        <f t="shared" si="139"/>
        <v>35.567700000000009</v>
      </c>
      <c r="T51" s="478">
        <f t="shared" si="139"/>
        <v>28.709</v>
      </c>
      <c r="U51" s="330">
        <f t="shared" si="139"/>
        <v>6.8586999999999998</v>
      </c>
      <c r="V51" s="483">
        <f t="shared" si="139"/>
        <v>-35200</v>
      </c>
      <c r="W51" s="477">
        <f t="shared" si="139"/>
        <v>-3200</v>
      </c>
      <c r="X51" s="477">
        <f t="shared" si="139"/>
        <v>1685722</v>
      </c>
      <c r="Y51" s="477">
        <f t="shared" si="139"/>
        <v>0</v>
      </c>
      <c r="Z51" s="477">
        <f t="shared" si="139"/>
        <v>0</v>
      </c>
      <c r="AA51" s="477">
        <f t="shared" si="139"/>
        <v>0</v>
      </c>
      <c r="AB51" s="477">
        <f t="shared" si="139"/>
        <v>451200</v>
      </c>
      <c r="AC51" s="477">
        <f t="shared" si="139"/>
        <v>0</v>
      </c>
      <c r="AD51" s="477">
        <f t="shared" si="139"/>
        <v>0</v>
      </c>
      <c r="AE51" s="477">
        <f t="shared" si="139"/>
        <v>0</v>
      </c>
      <c r="AF51" s="477">
        <f t="shared" si="139"/>
        <v>2101722</v>
      </c>
      <c r="AG51" s="477">
        <f t="shared" si="139"/>
        <v>-3200</v>
      </c>
      <c r="AH51" s="477">
        <f t="shared" si="139"/>
        <v>2098522</v>
      </c>
      <c r="AI51" s="477">
        <f t="shared" si="139"/>
        <v>35200</v>
      </c>
      <c r="AJ51" s="477">
        <f t="shared" si="139"/>
        <v>3200</v>
      </c>
      <c r="AK51" s="477">
        <f t="shared" ref="AK51" si="140">SUM(AK45:AK50)</f>
        <v>0</v>
      </c>
      <c r="AL51" s="477">
        <f t="shared" si="139"/>
        <v>0</v>
      </c>
      <c r="AM51" s="477">
        <f t="shared" si="139"/>
        <v>0</v>
      </c>
      <c r="AN51" s="477">
        <f t="shared" si="139"/>
        <v>0</v>
      </c>
      <c r="AO51" s="477">
        <f t="shared" si="139"/>
        <v>35200</v>
      </c>
      <c r="AP51" s="477">
        <f t="shared" si="139"/>
        <v>3200</v>
      </c>
      <c r="AQ51" s="477">
        <f t="shared" si="139"/>
        <v>38400</v>
      </c>
      <c r="AR51" s="477">
        <f t="shared" si="139"/>
        <v>2136922</v>
      </c>
      <c r="AS51" s="477">
        <f t="shared" si="139"/>
        <v>0</v>
      </c>
      <c r="AT51" s="477">
        <f t="shared" si="139"/>
        <v>2136922</v>
      </c>
      <c r="AU51" s="477">
        <f t="shared" si="139"/>
        <v>722280</v>
      </c>
      <c r="AV51" s="477">
        <f t="shared" si="139"/>
        <v>20985</v>
      </c>
      <c r="AW51" s="477">
        <f t="shared" si="139"/>
        <v>2000</v>
      </c>
      <c r="AX51" s="477">
        <f t="shared" si="139"/>
        <v>0</v>
      </c>
      <c r="AY51" s="477">
        <f t="shared" si="139"/>
        <v>2000</v>
      </c>
      <c r="AZ51" s="477">
        <f t="shared" si="139"/>
        <v>2882187</v>
      </c>
      <c r="BA51" s="478">
        <f t="shared" si="139"/>
        <v>-7.0000000000000007E-2</v>
      </c>
      <c r="BB51" s="478">
        <f t="shared" si="139"/>
        <v>-0.01</v>
      </c>
      <c r="BC51" s="478">
        <f t="shared" si="139"/>
        <v>4.26</v>
      </c>
      <c r="BD51" s="478">
        <f t="shared" si="139"/>
        <v>0.8</v>
      </c>
      <c r="BE51" s="478">
        <f t="shared" si="139"/>
        <v>0</v>
      </c>
      <c r="BF51" s="478">
        <f t="shared" si="139"/>
        <v>0</v>
      </c>
      <c r="BG51" s="478">
        <f t="shared" si="139"/>
        <v>0</v>
      </c>
      <c r="BH51" s="478">
        <f t="shared" si="139"/>
        <v>0</v>
      </c>
      <c r="BI51" s="478">
        <f t="shared" si="139"/>
        <v>0</v>
      </c>
      <c r="BJ51" s="478">
        <f t="shared" si="139"/>
        <v>0</v>
      </c>
      <c r="BK51" s="478">
        <f t="shared" si="139"/>
        <v>4.9899999999999993</v>
      </c>
      <c r="BL51" s="478">
        <f t="shared" si="139"/>
        <v>-0.01</v>
      </c>
      <c r="BM51" s="559">
        <f t="shared" si="139"/>
        <v>4.9799999999999995</v>
      </c>
      <c r="BN51" s="481">
        <f t="shared" si="139"/>
        <v>33100714</v>
      </c>
      <c r="BO51" s="477">
        <f t="shared" si="139"/>
        <v>24208588</v>
      </c>
      <c r="BP51" s="477">
        <f t="shared" si="139"/>
        <v>21930811</v>
      </c>
      <c r="BQ51" s="477">
        <f t="shared" si="139"/>
        <v>2277777</v>
      </c>
      <c r="BR51" s="477">
        <f t="shared" si="139"/>
        <v>38400</v>
      </c>
      <c r="BS51" s="477">
        <f t="shared" si="139"/>
        <v>35200</v>
      </c>
      <c r="BT51" s="477">
        <f t="shared" si="139"/>
        <v>3200</v>
      </c>
      <c r="BU51" s="477">
        <f t="shared" ref="BU51:CF51" si="141">SUM(BU45:BU50)</f>
        <v>8195482</v>
      </c>
      <c r="BV51" s="477">
        <f t="shared" si="141"/>
        <v>242086</v>
      </c>
      <c r="BW51" s="477">
        <f t="shared" si="141"/>
        <v>416158</v>
      </c>
      <c r="BX51" s="478">
        <f t="shared" si="141"/>
        <v>40.547700000000006</v>
      </c>
      <c r="BY51" s="478">
        <f t="shared" si="141"/>
        <v>33.698999999999998</v>
      </c>
      <c r="BZ51" s="559">
        <f t="shared" si="141"/>
        <v>6.8487</v>
      </c>
      <c r="CA51" s="885">
        <f t="shared" si="141"/>
        <v>608218</v>
      </c>
      <c r="CB51" s="883">
        <f t="shared" si="141"/>
        <v>451200</v>
      </c>
      <c r="CC51" s="883">
        <f t="shared" si="141"/>
        <v>0</v>
      </c>
      <c r="CD51" s="883">
        <f t="shared" si="141"/>
        <v>152506</v>
      </c>
      <c r="CE51" s="883">
        <f t="shared" si="141"/>
        <v>4512</v>
      </c>
      <c r="CF51" s="845">
        <f t="shared" si="141"/>
        <v>0.8</v>
      </c>
    </row>
    <row r="52" spans="1:84" ht="12.95" customHeight="1" x14ac:dyDescent="0.25">
      <c r="A52" s="282">
        <v>9</v>
      </c>
      <c r="B52" s="323">
        <v>5446</v>
      </c>
      <c r="C52" s="336">
        <v>600099393</v>
      </c>
      <c r="D52" s="283">
        <v>856096</v>
      </c>
      <c r="E52" s="325" t="s">
        <v>366</v>
      </c>
      <c r="F52" s="283">
        <v>3231</v>
      </c>
      <c r="G52" s="325" t="s">
        <v>296</v>
      </c>
      <c r="H52" s="286" t="s">
        <v>271</v>
      </c>
      <c r="I52" s="423">
        <f>J52+P52+Q52+R52</f>
        <v>22204605</v>
      </c>
      <c r="J52" s="418">
        <f t="shared" si="7"/>
        <v>16452340</v>
      </c>
      <c r="K52" s="418">
        <v>15831233</v>
      </c>
      <c r="L52" s="418">
        <v>621107</v>
      </c>
      <c r="M52" s="418">
        <f>N52+O52</f>
        <v>0</v>
      </c>
      <c r="N52" s="418">
        <v>0</v>
      </c>
      <c r="O52" s="418">
        <v>0</v>
      </c>
      <c r="P52" s="68">
        <f>ROUND((J52+M52)*33.8%,0)</f>
        <v>5560891</v>
      </c>
      <c r="Q52" s="68">
        <f>ROUND(J52*1%,0)</f>
        <v>164523</v>
      </c>
      <c r="R52" s="418">
        <v>26851</v>
      </c>
      <c r="S52" s="419">
        <f>T52+U52</f>
        <v>26.796899999999997</v>
      </c>
      <c r="T52" s="420">
        <v>25.054099999999998</v>
      </c>
      <c r="U52" s="527">
        <v>1.7427999999999999</v>
      </c>
      <c r="V52" s="427">
        <f>AI52*-1</f>
        <v>-47360</v>
      </c>
      <c r="W52" s="421">
        <f>AJ52*-1</f>
        <v>-8832</v>
      </c>
      <c r="X52" s="421">
        <v>0</v>
      </c>
      <c r="Y52" s="421">
        <v>0</v>
      </c>
      <c r="Z52" s="421">
        <v>0</v>
      </c>
      <c r="AA52" s="421">
        <v>0</v>
      </c>
      <c r="AB52" s="421">
        <v>0</v>
      </c>
      <c r="AC52" s="421">
        <v>0</v>
      </c>
      <c r="AD52" s="421">
        <v>0</v>
      </c>
      <c r="AE52" s="421">
        <v>0</v>
      </c>
      <c r="AF52" s="421">
        <f>V52+X52+Y52+AA52+AB52+AD52</f>
        <v>-47360</v>
      </c>
      <c r="AG52" s="421">
        <f>W52+Z52+AC52+AE52</f>
        <v>-8832</v>
      </c>
      <c r="AH52" s="421">
        <f>SUM(AF52:AG52)</f>
        <v>-56192</v>
      </c>
      <c r="AI52" s="421">
        <f>12800+34560</f>
        <v>47360</v>
      </c>
      <c r="AJ52" s="421">
        <v>8832</v>
      </c>
      <c r="AK52" s="421">
        <v>0</v>
      </c>
      <c r="AL52" s="421">
        <v>0</v>
      </c>
      <c r="AM52" s="421">
        <v>0</v>
      </c>
      <c r="AN52" s="421">
        <v>0</v>
      </c>
      <c r="AO52" s="421">
        <f>AI52+AK52+AL52+AM52</f>
        <v>47360</v>
      </c>
      <c r="AP52" s="421">
        <f>AJ52+AN52</f>
        <v>8832</v>
      </c>
      <c r="AQ52" s="421">
        <f>SUM(AO52:AP52)</f>
        <v>56192</v>
      </c>
      <c r="AR52" s="421">
        <f>AF52+AO52</f>
        <v>0</v>
      </c>
      <c r="AS52" s="421">
        <f>AG52+AP52</f>
        <v>0</v>
      </c>
      <c r="AT52" s="421">
        <f>SUM(AR52:AS52)</f>
        <v>0</v>
      </c>
      <c r="AU52" s="68">
        <f>ROUND((AH52+AI52+AJ52+AK52+AL52)*33.8%,0)</f>
        <v>0</v>
      </c>
      <c r="AV52" s="68">
        <f>ROUND(AH52*1%,0)</f>
        <v>-562</v>
      </c>
      <c r="AW52" s="421">
        <v>0</v>
      </c>
      <c r="AX52" s="421">
        <v>0</v>
      </c>
      <c r="AY52" s="421">
        <f>AW52+AX52</f>
        <v>0</v>
      </c>
      <c r="AZ52" s="421">
        <f>AT52+AU52+AV52+AY52</f>
        <v>-562</v>
      </c>
      <c r="BA52" s="422">
        <v>-0.05</v>
      </c>
      <c r="BB52" s="422">
        <v>-0.02</v>
      </c>
      <c r="BC52" s="422">
        <v>0</v>
      </c>
      <c r="BD52" s="422">
        <v>0</v>
      </c>
      <c r="BE52" s="422">
        <v>0</v>
      </c>
      <c r="BF52" s="422">
        <v>0</v>
      </c>
      <c r="BG52" s="422">
        <v>0</v>
      </c>
      <c r="BH52" s="422">
        <v>0</v>
      </c>
      <c r="BI52" s="422">
        <v>0</v>
      </c>
      <c r="BJ52" s="422">
        <v>0</v>
      </c>
      <c r="BK52" s="422">
        <f>BA52+BC52+BD52+BF52+BH52+BI52</f>
        <v>-0.05</v>
      </c>
      <c r="BL52" s="422">
        <f>BB52+BE52+BG52+BJ52</f>
        <v>-0.02</v>
      </c>
      <c r="BM52" s="611">
        <f>SUM(BK52:BL52)</f>
        <v>-7.0000000000000007E-2</v>
      </c>
      <c r="BN52" s="428">
        <f>I52+AZ52</f>
        <v>22204043</v>
      </c>
      <c r="BO52" s="421">
        <f>J52+AH52</f>
        <v>16396148</v>
      </c>
      <c r="BP52" s="421">
        <f>K52+AF52</f>
        <v>15783873</v>
      </c>
      <c r="BQ52" s="421">
        <f>L52+AG52</f>
        <v>612275</v>
      </c>
      <c r="BR52" s="421">
        <f>M52+AQ52</f>
        <v>56192</v>
      </c>
      <c r="BS52" s="421">
        <f>N52+AO52</f>
        <v>47360</v>
      </c>
      <c r="BT52" s="421">
        <f>O52+AP52</f>
        <v>8832</v>
      </c>
      <c r="BU52" s="421">
        <f>P52+AU52</f>
        <v>5560891</v>
      </c>
      <c r="BV52" s="421">
        <f>Q52+AV52</f>
        <v>163961</v>
      </c>
      <c r="BW52" s="421">
        <f>R52+AY52</f>
        <v>26851</v>
      </c>
      <c r="BX52" s="422">
        <f>S52+BM52</f>
        <v>26.726899999999997</v>
      </c>
      <c r="BY52" s="422">
        <f>T52+BK52</f>
        <v>25.004099999999998</v>
      </c>
      <c r="BZ52" s="611">
        <f>U52+BL52</f>
        <v>1.7227999999999999</v>
      </c>
      <c r="CA52" s="423"/>
      <c r="CB52" s="418"/>
      <c r="CC52" s="418"/>
      <c r="CD52" s="418"/>
      <c r="CE52" s="418"/>
      <c r="CF52" s="527"/>
    </row>
    <row r="53" spans="1:84" ht="12.95" customHeight="1" x14ac:dyDescent="0.25">
      <c r="A53" s="326">
        <v>9</v>
      </c>
      <c r="B53" s="327">
        <v>5446</v>
      </c>
      <c r="C53" s="328">
        <v>600099393</v>
      </c>
      <c r="D53" s="327">
        <v>856096</v>
      </c>
      <c r="E53" s="329" t="s">
        <v>367</v>
      </c>
      <c r="F53" s="293"/>
      <c r="G53" s="331"/>
      <c r="H53" s="294"/>
      <c r="I53" s="481">
        <f t="shared" ref="I53:BU53" si="142">SUM(I52)</f>
        <v>22204605</v>
      </c>
      <c r="J53" s="477">
        <f t="shared" si="142"/>
        <v>16452340</v>
      </c>
      <c r="K53" s="477">
        <f t="shared" si="142"/>
        <v>15831233</v>
      </c>
      <c r="L53" s="477">
        <f t="shared" si="142"/>
        <v>621107</v>
      </c>
      <c r="M53" s="477">
        <f t="shared" si="142"/>
        <v>0</v>
      </c>
      <c r="N53" s="477">
        <f t="shared" si="142"/>
        <v>0</v>
      </c>
      <c r="O53" s="477">
        <f t="shared" si="142"/>
        <v>0</v>
      </c>
      <c r="P53" s="477">
        <f t="shared" si="142"/>
        <v>5560891</v>
      </c>
      <c r="Q53" s="477">
        <f t="shared" si="142"/>
        <v>164523</v>
      </c>
      <c r="R53" s="477">
        <f t="shared" si="142"/>
        <v>26851</v>
      </c>
      <c r="S53" s="478">
        <f t="shared" si="142"/>
        <v>26.796899999999997</v>
      </c>
      <c r="T53" s="478">
        <f t="shared" si="142"/>
        <v>25.054099999999998</v>
      </c>
      <c r="U53" s="330">
        <f t="shared" si="142"/>
        <v>1.7427999999999999</v>
      </c>
      <c r="V53" s="483">
        <f t="shared" si="142"/>
        <v>-47360</v>
      </c>
      <c r="W53" s="477">
        <f t="shared" si="142"/>
        <v>-8832</v>
      </c>
      <c r="X53" s="477">
        <f t="shared" si="142"/>
        <v>0</v>
      </c>
      <c r="Y53" s="477">
        <f t="shared" si="142"/>
        <v>0</v>
      </c>
      <c r="Z53" s="477">
        <f t="shared" si="142"/>
        <v>0</v>
      </c>
      <c r="AA53" s="477">
        <f t="shared" si="142"/>
        <v>0</v>
      </c>
      <c r="AB53" s="477">
        <f t="shared" si="142"/>
        <v>0</v>
      </c>
      <c r="AC53" s="477">
        <f t="shared" si="142"/>
        <v>0</v>
      </c>
      <c r="AD53" s="477">
        <f t="shared" si="142"/>
        <v>0</v>
      </c>
      <c r="AE53" s="477">
        <f t="shared" si="142"/>
        <v>0</v>
      </c>
      <c r="AF53" s="477">
        <f t="shared" si="142"/>
        <v>-47360</v>
      </c>
      <c r="AG53" s="477">
        <f t="shared" si="142"/>
        <v>-8832</v>
      </c>
      <c r="AH53" s="477">
        <f t="shared" si="142"/>
        <v>-56192</v>
      </c>
      <c r="AI53" s="477">
        <f t="shared" si="142"/>
        <v>47360</v>
      </c>
      <c r="AJ53" s="477">
        <f t="shared" si="142"/>
        <v>8832</v>
      </c>
      <c r="AK53" s="477">
        <f t="shared" ref="AK53" si="143">SUM(AK52)</f>
        <v>0</v>
      </c>
      <c r="AL53" s="477">
        <f t="shared" si="142"/>
        <v>0</v>
      </c>
      <c r="AM53" s="477">
        <f t="shared" si="142"/>
        <v>0</v>
      </c>
      <c r="AN53" s="477">
        <f t="shared" si="142"/>
        <v>0</v>
      </c>
      <c r="AO53" s="477">
        <f t="shared" si="142"/>
        <v>47360</v>
      </c>
      <c r="AP53" s="477">
        <f t="shared" si="142"/>
        <v>8832</v>
      </c>
      <c r="AQ53" s="477">
        <f t="shared" si="142"/>
        <v>56192</v>
      </c>
      <c r="AR53" s="477">
        <f t="shared" si="142"/>
        <v>0</v>
      </c>
      <c r="AS53" s="477">
        <f t="shared" si="142"/>
        <v>0</v>
      </c>
      <c r="AT53" s="477">
        <f t="shared" si="142"/>
        <v>0</v>
      </c>
      <c r="AU53" s="477">
        <f t="shared" si="142"/>
        <v>0</v>
      </c>
      <c r="AV53" s="477">
        <f t="shared" si="142"/>
        <v>-562</v>
      </c>
      <c r="AW53" s="477">
        <f t="shared" si="142"/>
        <v>0</v>
      </c>
      <c r="AX53" s="477">
        <f t="shared" si="142"/>
        <v>0</v>
      </c>
      <c r="AY53" s="477">
        <f t="shared" si="142"/>
        <v>0</v>
      </c>
      <c r="AZ53" s="477">
        <f t="shared" si="142"/>
        <v>-562</v>
      </c>
      <c r="BA53" s="478">
        <f t="shared" si="142"/>
        <v>-0.05</v>
      </c>
      <c r="BB53" s="478">
        <f t="shared" si="142"/>
        <v>-0.02</v>
      </c>
      <c r="BC53" s="478">
        <f t="shared" si="142"/>
        <v>0</v>
      </c>
      <c r="BD53" s="478">
        <f t="shared" si="142"/>
        <v>0</v>
      </c>
      <c r="BE53" s="478">
        <f t="shared" si="142"/>
        <v>0</v>
      </c>
      <c r="BF53" s="478">
        <f t="shared" si="142"/>
        <v>0</v>
      </c>
      <c r="BG53" s="478">
        <f t="shared" si="142"/>
        <v>0</v>
      </c>
      <c r="BH53" s="478">
        <f t="shared" si="142"/>
        <v>0</v>
      </c>
      <c r="BI53" s="478">
        <f t="shared" si="142"/>
        <v>0</v>
      </c>
      <c r="BJ53" s="478">
        <f t="shared" si="142"/>
        <v>0</v>
      </c>
      <c r="BK53" s="478">
        <f t="shared" si="142"/>
        <v>-0.05</v>
      </c>
      <c r="BL53" s="478">
        <f t="shared" si="142"/>
        <v>-0.02</v>
      </c>
      <c r="BM53" s="559">
        <f t="shared" si="142"/>
        <v>-7.0000000000000007E-2</v>
      </c>
      <c r="BN53" s="481">
        <f t="shared" si="142"/>
        <v>22204043</v>
      </c>
      <c r="BO53" s="477">
        <f t="shared" si="142"/>
        <v>16396148</v>
      </c>
      <c r="BP53" s="477">
        <f t="shared" si="142"/>
        <v>15783873</v>
      </c>
      <c r="BQ53" s="477">
        <f t="shared" si="142"/>
        <v>612275</v>
      </c>
      <c r="BR53" s="477">
        <f t="shared" si="142"/>
        <v>56192</v>
      </c>
      <c r="BS53" s="477">
        <f t="shared" si="142"/>
        <v>47360</v>
      </c>
      <c r="BT53" s="477">
        <f t="shared" si="142"/>
        <v>8832</v>
      </c>
      <c r="BU53" s="477">
        <f t="shared" si="142"/>
        <v>5560891</v>
      </c>
      <c r="BV53" s="477">
        <f t="shared" ref="BV53:CF53" si="144">SUM(BV52)</f>
        <v>163961</v>
      </c>
      <c r="BW53" s="477">
        <f t="shared" si="144"/>
        <v>26851</v>
      </c>
      <c r="BX53" s="478">
        <f t="shared" si="144"/>
        <v>26.726899999999997</v>
      </c>
      <c r="BY53" s="478">
        <f t="shared" si="144"/>
        <v>25.004099999999998</v>
      </c>
      <c r="BZ53" s="559">
        <f t="shared" si="144"/>
        <v>1.7227999999999999</v>
      </c>
      <c r="CA53" s="885">
        <f t="shared" si="144"/>
        <v>0</v>
      </c>
      <c r="CB53" s="883">
        <f t="shared" si="144"/>
        <v>0</v>
      </c>
      <c r="CC53" s="883">
        <f t="shared" si="144"/>
        <v>0</v>
      </c>
      <c r="CD53" s="883">
        <f t="shared" si="144"/>
        <v>0</v>
      </c>
      <c r="CE53" s="883">
        <f t="shared" si="144"/>
        <v>0</v>
      </c>
      <c r="CF53" s="845">
        <f t="shared" si="144"/>
        <v>0</v>
      </c>
    </row>
    <row r="54" spans="1:84" ht="12.95" customHeight="1" x14ac:dyDescent="0.25">
      <c r="A54" s="282">
        <v>10</v>
      </c>
      <c r="B54" s="323">
        <v>5403</v>
      </c>
      <c r="C54" s="324">
        <v>600098966</v>
      </c>
      <c r="D54" s="283">
        <v>75016931</v>
      </c>
      <c r="E54" s="325" t="s">
        <v>368</v>
      </c>
      <c r="F54" s="283">
        <v>3111</v>
      </c>
      <c r="G54" s="325" t="s">
        <v>305</v>
      </c>
      <c r="H54" s="286" t="s">
        <v>271</v>
      </c>
      <c r="I54" s="423">
        <f t="shared" ref="I54:I59" si="145">J54+P54+Q54+R54</f>
        <v>2974586</v>
      </c>
      <c r="J54" s="418">
        <f t="shared" si="7"/>
        <v>2200922</v>
      </c>
      <c r="K54" s="418">
        <v>2081114</v>
      </c>
      <c r="L54" s="418">
        <v>119808</v>
      </c>
      <c r="M54" s="418">
        <f t="shared" ref="M54:M59" si="146">N54+O54</f>
        <v>0</v>
      </c>
      <c r="N54" s="418">
        <v>0</v>
      </c>
      <c r="O54" s="418">
        <v>0</v>
      </c>
      <c r="P54" s="68">
        <f t="shared" ref="P54:P59" si="147">ROUND((J54+M54)*33.8%,0)</f>
        <v>743912</v>
      </c>
      <c r="Q54" s="68">
        <f t="shared" ref="Q54:Q59" si="148">ROUND(J54*1%,0)</f>
        <v>22009</v>
      </c>
      <c r="R54" s="418">
        <v>7743</v>
      </c>
      <c r="S54" s="419">
        <f t="shared" ref="S54:S59" si="149">T54+U54</f>
        <v>4.351</v>
      </c>
      <c r="T54" s="420">
        <v>3.871</v>
      </c>
      <c r="U54" s="527">
        <v>0.48</v>
      </c>
      <c r="V54" s="427">
        <f t="shared" ref="V54:W59" si="150">AI54*-1</f>
        <v>-9600</v>
      </c>
      <c r="W54" s="421">
        <f t="shared" si="150"/>
        <v>0</v>
      </c>
      <c r="X54" s="421">
        <v>0</v>
      </c>
      <c r="Y54" s="421">
        <v>0</v>
      </c>
      <c r="Z54" s="421">
        <v>0</v>
      </c>
      <c r="AA54" s="421">
        <v>0</v>
      </c>
      <c r="AB54" s="421">
        <v>0</v>
      </c>
      <c r="AC54" s="421">
        <v>0</v>
      </c>
      <c r="AD54" s="421">
        <v>0</v>
      </c>
      <c r="AE54" s="421">
        <v>0</v>
      </c>
      <c r="AF54" s="421">
        <f t="shared" ref="AF54:AF59" si="151">V54+X54+Y54+AA54+AB54+AD54</f>
        <v>-9600</v>
      </c>
      <c r="AG54" s="421">
        <f t="shared" ref="AG54:AG59" si="152">W54+Z54+AC54+AE54</f>
        <v>0</v>
      </c>
      <c r="AH54" s="421">
        <f t="shared" ref="AH54:AH59" si="153">SUM(AF54:AG54)</f>
        <v>-9600</v>
      </c>
      <c r="AI54" s="421">
        <f>3200+6400</f>
        <v>9600</v>
      </c>
      <c r="AJ54" s="421">
        <v>0</v>
      </c>
      <c r="AK54" s="421">
        <v>0</v>
      </c>
      <c r="AL54" s="421">
        <v>0</v>
      </c>
      <c r="AM54" s="421">
        <v>0</v>
      </c>
      <c r="AN54" s="421">
        <v>0</v>
      </c>
      <c r="AO54" s="421">
        <f t="shared" ref="AO54:AO59" si="154">AI54+AK54+AL54+AM54</f>
        <v>9600</v>
      </c>
      <c r="AP54" s="421">
        <f t="shared" ref="AP54:AP59" si="155">AJ54+AN54</f>
        <v>0</v>
      </c>
      <c r="AQ54" s="421">
        <f t="shared" ref="AQ54:AQ59" si="156">SUM(AO54:AP54)</f>
        <v>9600</v>
      </c>
      <c r="AR54" s="421">
        <f t="shared" ref="AR54:AS59" si="157">AF54+AO54</f>
        <v>0</v>
      </c>
      <c r="AS54" s="421">
        <f t="shared" si="157"/>
        <v>0</v>
      </c>
      <c r="AT54" s="421">
        <f t="shared" ref="AT54:AT59" si="158">SUM(AR54:AS54)</f>
        <v>0</v>
      </c>
      <c r="AU54" s="68">
        <f t="shared" ref="AU54:AU59" si="159">ROUND((AH54+AI54+AJ54+AK54+AL54)*33.8%,0)</f>
        <v>0</v>
      </c>
      <c r="AV54" s="68">
        <f t="shared" ref="AV54:AV59" si="160">ROUND(AH54*1%,0)</f>
        <v>-96</v>
      </c>
      <c r="AW54" s="421">
        <v>0</v>
      </c>
      <c r="AX54" s="421">
        <v>0</v>
      </c>
      <c r="AY54" s="421">
        <f t="shared" ref="AY54:AY59" si="161">AW54+AX54</f>
        <v>0</v>
      </c>
      <c r="AZ54" s="421">
        <f t="shared" ref="AZ54:AZ59" si="162">AT54+AU54+AV54+AY54</f>
        <v>-96</v>
      </c>
      <c r="BA54" s="422">
        <v>0</v>
      </c>
      <c r="BB54" s="422">
        <v>-0.02</v>
      </c>
      <c r="BC54" s="422">
        <v>0</v>
      </c>
      <c r="BD54" s="422">
        <v>0</v>
      </c>
      <c r="BE54" s="422">
        <v>0</v>
      </c>
      <c r="BF54" s="422">
        <v>0</v>
      </c>
      <c r="BG54" s="422">
        <v>0</v>
      </c>
      <c r="BH54" s="422">
        <v>0</v>
      </c>
      <c r="BI54" s="422">
        <v>0</v>
      </c>
      <c r="BJ54" s="422">
        <v>0</v>
      </c>
      <c r="BK54" s="422">
        <f t="shared" ref="BK54:BK59" si="163">BA54+BC54+BD54+BF54+BH54+BI54</f>
        <v>0</v>
      </c>
      <c r="BL54" s="422">
        <f t="shared" ref="BL54:BL59" si="164">BB54+BE54+BG54+BJ54</f>
        <v>-0.02</v>
      </c>
      <c r="BM54" s="611">
        <f t="shared" ref="BM54:BM59" si="165">SUM(BK54:BL54)</f>
        <v>-0.02</v>
      </c>
      <c r="BN54" s="428">
        <f t="shared" ref="BN54:BN59" si="166">I54+AZ54</f>
        <v>2974490</v>
      </c>
      <c r="BO54" s="421">
        <f t="shared" ref="BO54:BO59" si="167">J54+AH54</f>
        <v>2191322</v>
      </c>
      <c r="BP54" s="421">
        <f t="shared" ref="BP54:BQ59" si="168">K54+AF54</f>
        <v>2071514</v>
      </c>
      <c r="BQ54" s="421">
        <f t="shared" si="168"/>
        <v>119808</v>
      </c>
      <c r="BR54" s="421">
        <f t="shared" ref="BR54:BR59" si="169">M54+AQ54</f>
        <v>9600</v>
      </c>
      <c r="BS54" s="421">
        <f t="shared" ref="BS54:BT59" si="170">N54+AO54</f>
        <v>9600</v>
      </c>
      <c r="BT54" s="421">
        <f t="shared" si="170"/>
        <v>0</v>
      </c>
      <c r="BU54" s="421">
        <f t="shared" ref="BU54:BV59" si="171">P54+AU54</f>
        <v>743912</v>
      </c>
      <c r="BV54" s="421">
        <f t="shared" si="171"/>
        <v>21913</v>
      </c>
      <c r="BW54" s="421">
        <f t="shared" ref="BW54:BW59" si="172">R54+AY54</f>
        <v>7743</v>
      </c>
      <c r="BX54" s="422">
        <f t="shared" ref="BX54:BX59" si="173">S54+BM54</f>
        <v>4.3310000000000004</v>
      </c>
      <c r="BY54" s="422">
        <f t="shared" ref="BY54:BZ59" si="174">T54+BK54</f>
        <v>3.871</v>
      </c>
      <c r="BZ54" s="611">
        <f t="shared" si="174"/>
        <v>0.45999999999999996</v>
      </c>
      <c r="CA54" s="423"/>
      <c r="CB54" s="418"/>
      <c r="CC54" s="418"/>
      <c r="CD54" s="418"/>
      <c r="CE54" s="418"/>
      <c r="CF54" s="527"/>
    </row>
    <row r="55" spans="1:84" ht="12.95" customHeight="1" x14ac:dyDescent="0.25">
      <c r="A55" s="282">
        <v>10</v>
      </c>
      <c r="B55" s="323">
        <v>5403</v>
      </c>
      <c r="C55" s="324">
        <v>600098966</v>
      </c>
      <c r="D55" s="283">
        <v>75016931</v>
      </c>
      <c r="E55" s="325" t="s">
        <v>368</v>
      </c>
      <c r="F55" s="283">
        <v>3117</v>
      </c>
      <c r="G55" s="325" t="s">
        <v>294</v>
      </c>
      <c r="H55" s="286" t="s">
        <v>271</v>
      </c>
      <c r="I55" s="423">
        <f t="shared" si="145"/>
        <v>3172830</v>
      </c>
      <c r="J55" s="418">
        <f t="shared" si="7"/>
        <v>2313105</v>
      </c>
      <c r="K55" s="418">
        <v>2014653</v>
      </c>
      <c r="L55" s="418">
        <v>298452</v>
      </c>
      <c r="M55" s="418">
        <f t="shared" si="146"/>
        <v>0</v>
      </c>
      <c r="N55" s="418">
        <v>0</v>
      </c>
      <c r="O55" s="418">
        <v>0</v>
      </c>
      <c r="P55" s="68">
        <f t="shared" si="147"/>
        <v>781829</v>
      </c>
      <c r="Q55" s="68">
        <f t="shared" si="148"/>
        <v>23131</v>
      </c>
      <c r="R55" s="418">
        <v>54765</v>
      </c>
      <c r="S55" s="419">
        <f t="shared" si="149"/>
        <v>3.8265000000000002</v>
      </c>
      <c r="T55" s="420">
        <v>3</v>
      </c>
      <c r="U55" s="527">
        <v>0.82650000000000001</v>
      </c>
      <c r="V55" s="427">
        <f t="shared" si="150"/>
        <v>-38400</v>
      </c>
      <c r="W55" s="421">
        <f t="shared" si="150"/>
        <v>-32000</v>
      </c>
      <c r="X55" s="421">
        <v>0</v>
      </c>
      <c r="Y55" s="421">
        <v>0</v>
      </c>
      <c r="Z55" s="421">
        <v>0</v>
      </c>
      <c r="AA55" s="421">
        <v>0</v>
      </c>
      <c r="AB55" s="421">
        <v>0</v>
      </c>
      <c r="AC55" s="421">
        <v>0</v>
      </c>
      <c r="AD55" s="421">
        <v>0</v>
      </c>
      <c r="AE55" s="421">
        <v>0</v>
      </c>
      <c r="AF55" s="421">
        <f t="shared" si="151"/>
        <v>-38400</v>
      </c>
      <c r="AG55" s="421">
        <f t="shared" si="152"/>
        <v>-32000</v>
      </c>
      <c r="AH55" s="421">
        <f t="shared" si="153"/>
        <v>-70400</v>
      </c>
      <c r="AI55" s="421">
        <v>38400</v>
      </c>
      <c r="AJ55" s="421">
        <f>25600+6400</f>
        <v>32000</v>
      </c>
      <c r="AK55" s="421">
        <v>0</v>
      </c>
      <c r="AL55" s="421">
        <v>0</v>
      </c>
      <c r="AM55" s="421">
        <v>0</v>
      </c>
      <c r="AN55" s="421">
        <v>0</v>
      </c>
      <c r="AO55" s="421">
        <f t="shared" si="154"/>
        <v>38400</v>
      </c>
      <c r="AP55" s="421">
        <f t="shared" si="155"/>
        <v>32000</v>
      </c>
      <c r="AQ55" s="421">
        <f t="shared" si="156"/>
        <v>70400</v>
      </c>
      <c r="AR55" s="421">
        <f t="shared" si="157"/>
        <v>0</v>
      </c>
      <c r="AS55" s="421">
        <f t="shared" si="157"/>
        <v>0</v>
      </c>
      <c r="AT55" s="421">
        <f t="shared" si="158"/>
        <v>0</v>
      </c>
      <c r="AU55" s="68">
        <f t="shared" si="159"/>
        <v>0</v>
      </c>
      <c r="AV55" s="68">
        <f t="shared" si="160"/>
        <v>-704</v>
      </c>
      <c r="AW55" s="421">
        <v>0</v>
      </c>
      <c r="AX55" s="421">
        <v>0</v>
      </c>
      <c r="AY55" s="421">
        <f t="shared" si="161"/>
        <v>0</v>
      </c>
      <c r="AZ55" s="421">
        <f t="shared" si="162"/>
        <v>-704</v>
      </c>
      <c r="BA55" s="422">
        <v>0</v>
      </c>
      <c r="BB55" s="422">
        <v>-0.02</v>
      </c>
      <c r="BC55" s="422">
        <v>0</v>
      </c>
      <c r="BD55" s="422">
        <v>0</v>
      </c>
      <c r="BE55" s="422">
        <v>0</v>
      </c>
      <c r="BF55" s="422">
        <v>0</v>
      </c>
      <c r="BG55" s="422">
        <v>0</v>
      </c>
      <c r="BH55" s="422">
        <v>0</v>
      </c>
      <c r="BI55" s="422">
        <v>0</v>
      </c>
      <c r="BJ55" s="422">
        <v>0</v>
      </c>
      <c r="BK55" s="422">
        <f t="shared" si="163"/>
        <v>0</v>
      </c>
      <c r="BL55" s="422">
        <f t="shared" si="164"/>
        <v>-0.02</v>
      </c>
      <c r="BM55" s="611">
        <f t="shared" si="165"/>
        <v>-0.02</v>
      </c>
      <c r="BN55" s="428">
        <f t="shared" si="166"/>
        <v>3172126</v>
      </c>
      <c r="BO55" s="421">
        <f t="shared" si="167"/>
        <v>2242705</v>
      </c>
      <c r="BP55" s="421">
        <f t="shared" si="168"/>
        <v>1976253</v>
      </c>
      <c r="BQ55" s="421">
        <f t="shared" si="168"/>
        <v>266452</v>
      </c>
      <c r="BR55" s="421">
        <f t="shared" si="169"/>
        <v>70400</v>
      </c>
      <c r="BS55" s="421">
        <f t="shared" si="170"/>
        <v>38400</v>
      </c>
      <c r="BT55" s="421">
        <f t="shared" si="170"/>
        <v>32000</v>
      </c>
      <c r="BU55" s="421">
        <f t="shared" si="171"/>
        <v>781829</v>
      </c>
      <c r="BV55" s="421">
        <f t="shared" si="171"/>
        <v>22427</v>
      </c>
      <c r="BW55" s="421">
        <f t="shared" si="172"/>
        <v>54765</v>
      </c>
      <c r="BX55" s="422">
        <f t="shared" si="173"/>
        <v>3.8065000000000002</v>
      </c>
      <c r="BY55" s="422">
        <f t="shared" si="174"/>
        <v>3</v>
      </c>
      <c r="BZ55" s="611">
        <f t="shared" si="174"/>
        <v>0.80649999999999999</v>
      </c>
      <c r="CA55" s="423"/>
      <c r="CB55" s="418"/>
      <c r="CC55" s="418"/>
      <c r="CD55" s="418"/>
      <c r="CE55" s="418"/>
      <c r="CF55" s="527"/>
    </row>
    <row r="56" spans="1:84" ht="12.95" customHeight="1" x14ac:dyDescent="0.25">
      <c r="A56" s="282">
        <v>10</v>
      </c>
      <c r="B56" s="323">
        <v>5403</v>
      </c>
      <c r="C56" s="324">
        <v>600098966</v>
      </c>
      <c r="D56" s="283">
        <v>75016931</v>
      </c>
      <c r="E56" s="325" t="s">
        <v>368</v>
      </c>
      <c r="F56" s="283">
        <v>3117</v>
      </c>
      <c r="G56" s="325" t="s">
        <v>299</v>
      </c>
      <c r="H56" s="286" t="s">
        <v>272</v>
      </c>
      <c r="I56" s="423">
        <f t="shared" si="145"/>
        <v>0</v>
      </c>
      <c r="J56" s="418">
        <f t="shared" si="7"/>
        <v>0</v>
      </c>
      <c r="K56" s="418">
        <v>0</v>
      </c>
      <c r="L56" s="418">
        <v>0</v>
      </c>
      <c r="M56" s="418">
        <f>N56+O56</f>
        <v>0</v>
      </c>
      <c r="N56" s="418">
        <v>0</v>
      </c>
      <c r="O56" s="418">
        <v>0</v>
      </c>
      <c r="P56" s="68">
        <f t="shared" si="147"/>
        <v>0</v>
      </c>
      <c r="Q56" s="68">
        <f t="shared" si="148"/>
        <v>0</v>
      </c>
      <c r="R56" s="418">
        <v>0</v>
      </c>
      <c r="S56" s="419">
        <f>T56+U56</f>
        <v>0</v>
      </c>
      <c r="T56" s="420">
        <v>0</v>
      </c>
      <c r="U56" s="527">
        <v>0</v>
      </c>
      <c r="V56" s="427">
        <f t="shared" si="150"/>
        <v>0</v>
      </c>
      <c r="W56" s="421">
        <f t="shared" si="150"/>
        <v>0</v>
      </c>
      <c r="X56" s="421">
        <f>383456+68081</f>
        <v>451537</v>
      </c>
      <c r="Y56" s="421">
        <v>0</v>
      </c>
      <c r="Z56" s="421">
        <v>0</v>
      </c>
      <c r="AA56" s="421">
        <v>0</v>
      </c>
      <c r="AB56" s="421">
        <v>0</v>
      </c>
      <c r="AC56" s="421">
        <v>0</v>
      </c>
      <c r="AD56" s="421">
        <v>0</v>
      </c>
      <c r="AE56" s="421">
        <v>0</v>
      </c>
      <c r="AF56" s="421">
        <f t="shared" si="151"/>
        <v>451537</v>
      </c>
      <c r="AG56" s="421">
        <f t="shared" si="152"/>
        <v>0</v>
      </c>
      <c r="AH56" s="421">
        <f t="shared" si="153"/>
        <v>451537</v>
      </c>
      <c r="AI56" s="421">
        <v>0</v>
      </c>
      <c r="AJ56" s="421">
        <v>0</v>
      </c>
      <c r="AK56" s="421">
        <v>0</v>
      </c>
      <c r="AL56" s="421">
        <v>0</v>
      </c>
      <c r="AM56" s="421">
        <v>0</v>
      </c>
      <c r="AN56" s="421">
        <v>0</v>
      </c>
      <c r="AO56" s="421">
        <f t="shared" si="154"/>
        <v>0</v>
      </c>
      <c r="AP56" s="421">
        <f t="shared" si="155"/>
        <v>0</v>
      </c>
      <c r="AQ56" s="421">
        <f t="shared" si="156"/>
        <v>0</v>
      </c>
      <c r="AR56" s="421">
        <f t="shared" si="157"/>
        <v>451537</v>
      </c>
      <c r="AS56" s="421">
        <f t="shared" si="157"/>
        <v>0</v>
      </c>
      <c r="AT56" s="421">
        <f t="shared" si="158"/>
        <v>451537</v>
      </c>
      <c r="AU56" s="68">
        <f t="shared" si="159"/>
        <v>152620</v>
      </c>
      <c r="AV56" s="68">
        <f t="shared" si="160"/>
        <v>4515</v>
      </c>
      <c r="AW56" s="421">
        <v>3250</v>
      </c>
      <c r="AX56" s="421">
        <v>0</v>
      </c>
      <c r="AY56" s="421">
        <f t="shared" si="161"/>
        <v>3250</v>
      </c>
      <c r="AZ56" s="421">
        <f t="shared" si="162"/>
        <v>611922</v>
      </c>
      <c r="BA56" s="422">
        <v>0</v>
      </c>
      <c r="BB56" s="422">
        <v>0</v>
      </c>
      <c r="BC56" s="422">
        <f>0.9+0.14</f>
        <v>1.04</v>
      </c>
      <c r="BD56" s="422">
        <v>0</v>
      </c>
      <c r="BE56" s="422">
        <v>0</v>
      </c>
      <c r="BF56" s="422">
        <v>0</v>
      </c>
      <c r="BG56" s="422">
        <v>0</v>
      </c>
      <c r="BH56" s="422">
        <v>0</v>
      </c>
      <c r="BI56" s="422">
        <v>0</v>
      </c>
      <c r="BJ56" s="422">
        <v>0</v>
      </c>
      <c r="BK56" s="422">
        <f t="shared" si="163"/>
        <v>1.04</v>
      </c>
      <c r="BL56" s="422">
        <f t="shared" si="164"/>
        <v>0</v>
      </c>
      <c r="BM56" s="611">
        <f t="shared" si="165"/>
        <v>1.04</v>
      </c>
      <c r="BN56" s="428">
        <f t="shared" si="166"/>
        <v>611922</v>
      </c>
      <c r="BO56" s="421">
        <f t="shared" si="167"/>
        <v>451537</v>
      </c>
      <c r="BP56" s="421">
        <f t="shared" si="168"/>
        <v>451537</v>
      </c>
      <c r="BQ56" s="421">
        <f t="shared" si="168"/>
        <v>0</v>
      </c>
      <c r="BR56" s="421">
        <f t="shared" si="169"/>
        <v>0</v>
      </c>
      <c r="BS56" s="421">
        <f t="shared" si="170"/>
        <v>0</v>
      </c>
      <c r="BT56" s="421">
        <f t="shared" si="170"/>
        <v>0</v>
      </c>
      <c r="BU56" s="421">
        <f t="shared" si="171"/>
        <v>152620</v>
      </c>
      <c r="BV56" s="421">
        <f t="shared" si="171"/>
        <v>4515</v>
      </c>
      <c r="BW56" s="421">
        <f t="shared" si="172"/>
        <v>3250</v>
      </c>
      <c r="BX56" s="422">
        <f t="shared" si="173"/>
        <v>1.04</v>
      </c>
      <c r="BY56" s="422">
        <f t="shared" si="174"/>
        <v>1.04</v>
      </c>
      <c r="BZ56" s="611">
        <f t="shared" si="174"/>
        <v>0</v>
      </c>
      <c r="CA56" s="423"/>
      <c r="CB56" s="418"/>
      <c r="CC56" s="418"/>
      <c r="CD56" s="418"/>
      <c r="CE56" s="418"/>
      <c r="CF56" s="527"/>
    </row>
    <row r="57" spans="1:84" ht="12.95" customHeight="1" x14ac:dyDescent="0.25">
      <c r="A57" s="282">
        <v>10</v>
      </c>
      <c r="B57" s="323">
        <v>5403</v>
      </c>
      <c r="C57" s="324">
        <v>600098966</v>
      </c>
      <c r="D57" s="283">
        <v>75016931</v>
      </c>
      <c r="E57" s="325" t="s">
        <v>368</v>
      </c>
      <c r="F57" s="283">
        <v>3141</v>
      </c>
      <c r="G57" s="325" t="s">
        <v>295</v>
      </c>
      <c r="H57" s="286" t="s">
        <v>272</v>
      </c>
      <c r="I57" s="423">
        <f t="shared" si="145"/>
        <v>634875</v>
      </c>
      <c r="J57" s="418">
        <f t="shared" si="7"/>
        <v>469106</v>
      </c>
      <c r="K57" s="418">
        <v>0</v>
      </c>
      <c r="L57" s="418">
        <v>469106</v>
      </c>
      <c r="M57" s="418">
        <f t="shared" si="146"/>
        <v>0</v>
      </c>
      <c r="N57" s="418">
        <v>0</v>
      </c>
      <c r="O57" s="418">
        <v>0</v>
      </c>
      <c r="P57" s="68">
        <f t="shared" si="147"/>
        <v>158558</v>
      </c>
      <c r="Q57" s="68">
        <f t="shared" si="148"/>
        <v>4691</v>
      </c>
      <c r="R57" s="418">
        <v>2520</v>
      </c>
      <c r="S57" s="419">
        <f t="shared" si="149"/>
        <v>1.4067000000000001</v>
      </c>
      <c r="T57" s="420">
        <v>0</v>
      </c>
      <c r="U57" s="527">
        <v>1.4067000000000001</v>
      </c>
      <c r="V57" s="427">
        <f t="shared" si="150"/>
        <v>0</v>
      </c>
      <c r="W57" s="421">
        <f t="shared" si="150"/>
        <v>-9600</v>
      </c>
      <c r="X57" s="421">
        <v>0</v>
      </c>
      <c r="Y57" s="421">
        <v>0</v>
      </c>
      <c r="Z57" s="421">
        <v>0</v>
      </c>
      <c r="AA57" s="421">
        <v>0</v>
      </c>
      <c r="AB57" s="421">
        <v>0</v>
      </c>
      <c r="AC57" s="421">
        <v>0</v>
      </c>
      <c r="AD57" s="421">
        <v>0</v>
      </c>
      <c r="AE57" s="421">
        <v>0</v>
      </c>
      <c r="AF57" s="421">
        <f t="shared" si="151"/>
        <v>0</v>
      </c>
      <c r="AG57" s="421">
        <f t="shared" si="152"/>
        <v>-9600</v>
      </c>
      <c r="AH57" s="421">
        <f t="shared" si="153"/>
        <v>-9600</v>
      </c>
      <c r="AI57" s="421">
        <v>0</v>
      </c>
      <c r="AJ57" s="421">
        <v>9600</v>
      </c>
      <c r="AK57" s="421">
        <v>0</v>
      </c>
      <c r="AL57" s="421">
        <v>0</v>
      </c>
      <c r="AM57" s="421">
        <v>0</v>
      </c>
      <c r="AN57" s="421">
        <v>0</v>
      </c>
      <c r="AO57" s="421">
        <f t="shared" si="154"/>
        <v>0</v>
      </c>
      <c r="AP57" s="421">
        <f t="shared" si="155"/>
        <v>9600</v>
      </c>
      <c r="AQ57" s="421">
        <f t="shared" si="156"/>
        <v>9600</v>
      </c>
      <c r="AR57" s="421">
        <f t="shared" si="157"/>
        <v>0</v>
      </c>
      <c r="AS57" s="421">
        <f t="shared" si="157"/>
        <v>0</v>
      </c>
      <c r="AT57" s="421">
        <f t="shared" si="158"/>
        <v>0</v>
      </c>
      <c r="AU57" s="68">
        <f t="shared" si="159"/>
        <v>0</v>
      </c>
      <c r="AV57" s="68">
        <f t="shared" si="160"/>
        <v>-96</v>
      </c>
      <c r="AW57" s="421">
        <v>0</v>
      </c>
      <c r="AX57" s="421">
        <v>0</v>
      </c>
      <c r="AY57" s="421">
        <f t="shared" si="161"/>
        <v>0</v>
      </c>
      <c r="AZ57" s="421">
        <f t="shared" si="162"/>
        <v>-96</v>
      </c>
      <c r="BA57" s="422">
        <v>0</v>
      </c>
      <c r="BB57" s="422">
        <v>0</v>
      </c>
      <c r="BC57" s="422">
        <v>0</v>
      </c>
      <c r="BD57" s="422">
        <v>0</v>
      </c>
      <c r="BE57" s="422">
        <v>0</v>
      </c>
      <c r="BF57" s="422">
        <v>0</v>
      </c>
      <c r="BG57" s="422">
        <v>0</v>
      </c>
      <c r="BH57" s="422">
        <v>0</v>
      </c>
      <c r="BI57" s="422">
        <v>0</v>
      </c>
      <c r="BJ57" s="422">
        <v>0</v>
      </c>
      <c r="BK57" s="422">
        <f t="shared" si="163"/>
        <v>0</v>
      </c>
      <c r="BL57" s="422">
        <f t="shared" si="164"/>
        <v>0</v>
      </c>
      <c r="BM57" s="611">
        <f t="shared" si="165"/>
        <v>0</v>
      </c>
      <c r="BN57" s="428">
        <f t="shared" si="166"/>
        <v>634779</v>
      </c>
      <c r="BO57" s="421">
        <f t="shared" si="167"/>
        <v>459506</v>
      </c>
      <c r="BP57" s="421">
        <f t="shared" si="168"/>
        <v>0</v>
      </c>
      <c r="BQ57" s="421">
        <f t="shared" si="168"/>
        <v>459506</v>
      </c>
      <c r="BR57" s="421">
        <f t="shared" si="169"/>
        <v>9600</v>
      </c>
      <c r="BS57" s="421">
        <f t="shared" si="170"/>
        <v>0</v>
      </c>
      <c r="BT57" s="421">
        <f t="shared" si="170"/>
        <v>9600</v>
      </c>
      <c r="BU57" s="421">
        <f t="shared" si="171"/>
        <v>158558</v>
      </c>
      <c r="BV57" s="421">
        <f t="shared" si="171"/>
        <v>4595</v>
      </c>
      <c r="BW57" s="421">
        <f t="shared" si="172"/>
        <v>2520</v>
      </c>
      <c r="BX57" s="422">
        <f t="shared" si="173"/>
        <v>1.4067000000000001</v>
      </c>
      <c r="BY57" s="422">
        <f t="shared" si="174"/>
        <v>0</v>
      </c>
      <c r="BZ57" s="611">
        <f t="shared" si="174"/>
        <v>1.4067000000000001</v>
      </c>
      <c r="CA57" s="423"/>
      <c r="CB57" s="418"/>
      <c r="CC57" s="418"/>
      <c r="CD57" s="418"/>
      <c r="CE57" s="418"/>
      <c r="CF57" s="527"/>
    </row>
    <row r="58" spans="1:84" ht="12.95" customHeight="1" x14ac:dyDescent="0.25">
      <c r="A58" s="282">
        <v>10</v>
      </c>
      <c r="B58" s="323">
        <v>5403</v>
      </c>
      <c r="C58" s="324">
        <v>600098966</v>
      </c>
      <c r="D58" s="283">
        <v>75016931</v>
      </c>
      <c r="E58" s="325" t="s">
        <v>368</v>
      </c>
      <c r="F58" s="283">
        <v>3143</v>
      </c>
      <c r="G58" s="325" t="s">
        <v>596</v>
      </c>
      <c r="H58" s="286" t="s">
        <v>271</v>
      </c>
      <c r="I58" s="423">
        <f t="shared" si="145"/>
        <v>602527</v>
      </c>
      <c r="J58" s="418">
        <f t="shared" si="7"/>
        <v>446978</v>
      </c>
      <c r="K58" s="418">
        <v>446978</v>
      </c>
      <c r="L58" s="418">
        <v>0</v>
      </c>
      <c r="M58" s="418">
        <f t="shared" si="146"/>
        <v>0</v>
      </c>
      <c r="N58" s="418">
        <v>0</v>
      </c>
      <c r="O58" s="418">
        <v>0</v>
      </c>
      <c r="P58" s="68">
        <f t="shared" si="147"/>
        <v>151079</v>
      </c>
      <c r="Q58" s="68">
        <f t="shared" si="148"/>
        <v>4470</v>
      </c>
      <c r="R58" s="418">
        <v>0</v>
      </c>
      <c r="S58" s="419">
        <f t="shared" si="149"/>
        <v>0.89280000000000004</v>
      </c>
      <c r="T58" s="420">
        <v>0.89280000000000004</v>
      </c>
      <c r="U58" s="527">
        <v>0</v>
      </c>
      <c r="V58" s="427">
        <f t="shared" si="150"/>
        <v>-3200</v>
      </c>
      <c r="W58" s="421">
        <f t="shared" si="150"/>
        <v>0</v>
      </c>
      <c r="X58" s="421">
        <v>0</v>
      </c>
      <c r="Y58" s="421">
        <v>0</v>
      </c>
      <c r="Z58" s="421">
        <v>0</v>
      </c>
      <c r="AA58" s="421">
        <v>0</v>
      </c>
      <c r="AB58" s="421">
        <v>0</v>
      </c>
      <c r="AC58" s="421">
        <v>0</v>
      </c>
      <c r="AD58" s="421">
        <v>0</v>
      </c>
      <c r="AE58" s="421">
        <v>0</v>
      </c>
      <c r="AF58" s="421">
        <f t="shared" si="151"/>
        <v>-3200</v>
      </c>
      <c r="AG58" s="421">
        <f t="shared" si="152"/>
        <v>0</v>
      </c>
      <c r="AH58" s="421">
        <f t="shared" si="153"/>
        <v>-3200</v>
      </c>
      <c r="AI58" s="421">
        <v>3200</v>
      </c>
      <c r="AJ58" s="421">
        <v>0</v>
      </c>
      <c r="AK58" s="421">
        <v>0</v>
      </c>
      <c r="AL58" s="421">
        <v>0</v>
      </c>
      <c r="AM58" s="421">
        <v>0</v>
      </c>
      <c r="AN58" s="421">
        <v>0</v>
      </c>
      <c r="AO58" s="421">
        <f t="shared" si="154"/>
        <v>3200</v>
      </c>
      <c r="AP58" s="421">
        <f t="shared" si="155"/>
        <v>0</v>
      </c>
      <c r="AQ58" s="421">
        <f t="shared" si="156"/>
        <v>3200</v>
      </c>
      <c r="AR58" s="421">
        <f t="shared" si="157"/>
        <v>0</v>
      </c>
      <c r="AS58" s="421">
        <f t="shared" si="157"/>
        <v>0</v>
      </c>
      <c r="AT58" s="421">
        <f t="shared" si="158"/>
        <v>0</v>
      </c>
      <c r="AU58" s="68">
        <f t="shared" si="159"/>
        <v>0</v>
      </c>
      <c r="AV58" s="68">
        <f t="shared" si="160"/>
        <v>-32</v>
      </c>
      <c r="AW58" s="421">
        <v>0</v>
      </c>
      <c r="AX58" s="421">
        <v>0</v>
      </c>
      <c r="AY58" s="421">
        <f t="shared" si="161"/>
        <v>0</v>
      </c>
      <c r="AZ58" s="421">
        <f t="shared" si="162"/>
        <v>-32</v>
      </c>
      <c r="BA58" s="422">
        <v>0</v>
      </c>
      <c r="BB58" s="422">
        <v>0</v>
      </c>
      <c r="BC58" s="422">
        <v>0</v>
      </c>
      <c r="BD58" s="422">
        <v>0</v>
      </c>
      <c r="BE58" s="422">
        <v>0</v>
      </c>
      <c r="BF58" s="422">
        <v>0</v>
      </c>
      <c r="BG58" s="422">
        <v>0</v>
      </c>
      <c r="BH58" s="422">
        <v>0</v>
      </c>
      <c r="BI58" s="422">
        <v>0</v>
      </c>
      <c r="BJ58" s="422">
        <v>0</v>
      </c>
      <c r="BK58" s="422">
        <f t="shared" si="163"/>
        <v>0</v>
      </c>
      <c r="BL58" s="422">
        <f t="shared" si="164"/>
        <v>0</v>
      </c>
      <c r="BM58" s="611">
        <f t="shared" si="165"/>
        <v>0</v>
      </c>
      <c r="BN58" s="428">
        <f t="shared" si="166"/>
        <v>602495</v>
      </c>
      <c r="BO58" s="421">
        <f t="shared" si="167"/>
        <v>443778</v>
      </c>
      <c r="BP58" s="421">
        <f t="shared" si="168"/>
        <v>443778</v>
      </c>
      <c r="BQ58" s="421">
        <f t="shared" si="168"/>
        <v>0</v>
      </c>
      <c r="BR58" s="421">
        <f t="shared" si="169"/>
        <v>3200</v>
      </c>
      <c r="BS58" s="421">
        <f t="shared" si="170"/>
        <v>3200</v>
      </c>
      <c r="BT58" s="421">
        <f t="shared" si="170"/>
        <v>0</v>
      </c>
      <c r="BU58" s="421">
        <f t="shared" si="171"/>
        <v>151079</v>
      </c>
      <c r="BV58" s="421">
        <f t="shared" si="171"/>
        <v>4438</v>
      </c>
      <c r="BW58" s="421">
        <f t="shared" si="172"/>
        <v>0</v>
      </c>
      <c r="BX58" s="422">
        <f t="shared" si="173"/>
        <v>0.89280000000000004</v>
      </c>
      <c r="BY58" s="422">
        <f t="shared" si="174"/>
        <v>0.89280000000000004</v>
      </c>
      <c r="BZ58" s="611">
        <f t="shared" si="174"/>
        <v>0</v>
      </c>
      <c r="CA58" s="423"/>
      <c r="CB58" s="418"/>
      <c r="CC58" s="418"/>
      <c r="CD58" s="418"/>
      <c r="CE58" s="418"/>
      <c r="CF58" s="527"/>
    </row>
    <row r="59" spans="1:84" ht="12.95" customHeight="1" x14ac:dyDescent="0.25">
      <c r="A59" s="282">
        <v>10</v>
      </c>
      <c r="B59" s="323">
        <v>5403</v>
      </c>
      <c r="C59" s="324">
        <v>600098966</v>
      </c>
      <c r="D59" s="283">
        <v>75016931</v>
      </c>
      <c r="E59" s="325" t="s">
        <v>368</v>
      </c>
      <c r="F59" s="283">
        <v>3143</v>
      </c>
      <c r="G59" s="325" t="s">
        <v>597</v>
      </c>
      <c r="H59" s="286" t="s">
        <v>272</v>
      </c>
      <c r="I59" s="423">
        <f t="shared" si="145"/>
        <v>15380</v>
      </c>
      <c r="J59" s="418">
        <f t="shared" si="7"/>
        <v>11009</v>
      </c>
      <c r="K59" s="418">
        <v>0</v>
      </c>
      <c r="L59" s="418">
        <v>11009</v>
      </c>
      <c r="M59" s="418">
        <f t="shared" si="146"/>
        <v>0</v>
      </c>
      <c r="N59" s="418">
        <v>0</v>
      </c>
      <c r="O59" s="418">
        <v>0</v>
      </c>
      <c r="P59" s="68">
        <f t="shared" si="147"/>
        <v>3721</v>
      </c>
      <c r="Q59" s="68">
        <f t="shared" si="148"/>
        <v>110</v>
      </c>
      <c r="R59" s="418">
        <v>540</v>
      </c>
      <c r="S59" s="419">
        <f t="shared" si="149"/>
        <v>4.1700000000000001E-2</v>
      </c>
      <c r="T59" s="420">
        <v>0</v>
      </c>
      <c r="U59" s="527">
        <v>4.1700000000000001E-2</v>
      </c>
      <c r="V59" s="427">
        <f t="shared" si="150"/>
        <v>0</v>
      </c>
      <c r="W59" s="421">
        <f t="shared" si="150"/>
        <v>0</v>
      </c>
      <c r="X59" s="421">
        <v>0</v>
      </c>
      <c r="Y59" s="421">
        <v>0</v>
      </c>
      <c r="Z59" s="421">
        <v>0</v>
      </c>
      <c r="AA59" s="421">
        <v>0</v>
      </c>
      <c r="AB59" s="421">
        <v>0</v>
      </c>
      <c r="AC59" s="421">
        <v>0</v>
      </c>
      <c r="AD59" s="421">
        <v>0</v>
      </c>
      <c r="AE59" s="421">
        <v>0</v>
      </c>
      <c r="AF59" s="421">
        <f t="shared" si="151"/>
        <v>0</v>
      </c>
      <c r="AG59" s="421">
        <f t="shared" si="152"/>
        <v>0</v>
      </c>
      <c r="AH59" s="421">
        <f t="shared" si="153"/>
        <v>0</v>
      </c>
      <c r="AI59" s="421">
        <v>0</v>
      </c>
      <c r="AJ59" s="421">
        <v>0</v>
      </c>
      <c r="AK59" s="421">
        <v>0</v>
      </c>
      <c r="AL59" s="421">
        <v>0</v>
      </c>
      <c r="AM59" s="421">
        <v>0</v>
      </c>
      <c r="AN59" s="421">
        <v>0</v>
      </c>
      <c r="AO59" s="421">
        <f t="shared" si="154"/>
        <v>0</v>
      </c>
      <c r="AP59" s="421">
        <f t="shared" si="155"/>
        <v>0</v>
      </c>
      <c r="AQ59" s="421">
        <f t="shared" si="156"/>
        <v>0</v>
      </c>
      <c r="AR59" s="421">
        <f t="shared" si="157"/>
        <v>0</v>
      </c>
      <c r="AS59" s="421">
        <f t="shared" si="157"/>
        <v>0</v>
      </c>
      <c r="AT59" s="421">
        <f t="shared" si="158"/>
        <v>0</v>
      </c>
      <c r="AU59" s="68">
        <f t="shared" si="159"/>
        <v>0</v>
      </c>
      <c r="AV59" s="68">
        <f t="shared" si="160"/>
        <v>0</v>
      </c>
      <c r="AW59" s="421">
        <v>0</v>
      </c>
      <c r="AX59" s="421">
        <v>0</v>
      </c>
      <c r="AY59" s="421">
        <f t="shared" si="161"/>
        <v>0</v>
      </c>
      <c r="AZ59" s="421">
        <f t="shared" si="162"/>
        <v>0</v>
      </c>
      <c r="BA59" s="422">
        <v>0</v>
      </c>
      <c r="BB59" s="422">
        <v>0</v>
      </c>
      <c r="BC59" s="422">
        <v>0</v>
      </c>
      <c r="BD59" s="422">
        <v>0</v>
      </c>
      <c r="BE59" s="422">
        <v>0</v>
      </c>
      <c r="BF59" s="422">
        <v>0</v>
      </c>
      <c r="BG59" s="422">
        <v>0</v>
      </c>
      <c r="BH59" s="422">
        <v>0</v>
      </c>
      <c r="BI59" s="422">
        <v>0</v>
      </c>
      <c r="BJ59" s="422">
        <v>0</v>
      </c>
      <c r="BK59" s="422">
        <f t="shared" si="163"/>
        <v>0</v>
      </c>
      <c r="BL59" s="422">
        <f t="shared" si="164"/>
        <v>0</v>
      </c>
      <c r="BM59" s="611">
        <f t="shared" si="165"/>
        <v>0</v>
      </c>
      <c r="BN59" s="428">
        <f t="shared" si="166"/>
        <v>15380</v>
      </c>
      <c r="BO59" s="421">
        <f t="shared" si="167"/>
        <v>11009</v>
      </c>
      <c r="BP59" s="421">
        <f t="shared" si="168"/>
        <v>0</v>
      </c>
      <c r="BQ59" s="421">
        <f t="shared" si="168"/>
        <v>11009</v>
      </c>
      <c r="BR59" s="421">
        <f t="shared" si="169"/>
        <v>0</v>
      </c>
      <c r="BS59" s="421">
        <f t="shared" si="170"/>
        <v>0</v>
      </c>
      <c r="BT59" s="421">
        <f t="shared" si="170"/>
        <v>0</v>
      </c>
      <c r="BU59" s="421">
        <f t="shared" si="171"/>
        <v>3721</v>
      </c>
      <c r="BV59" s="421">
        <f t="shared" si="171"/>
        <v>110</v>
      </c>
      <c r="BW59" s="421">
        <f t="shared" si="172"/>
        <v>540</v>
      </c>
      <c r="BX59" s="422">
        <f t="shared" si="173"/>
        <v>4.1700000000000001E-2</v>
      </c>
      <c r="BY59" s="422">
        <f t="shared" si="174"/>
        <v>0</v>
      </c>
      <c r="BZ59" s="611">
        <f t="shared" si="174"/>
        <v>4.1700000000000001E-2</v>
      </c>
      <c r="CA59" s="423"/>
      <c r="CB59" s="418"/>
      <c r="CC59" s="418"/>
      <c r="CD59" s="418"/>
      <c r="CE59" s="418"/>
      <c r="CF59" s="527"/>
    </row>
    <row r="60" spans="1:84" ht="12.95" customHeight="1" x14ac:dyDescent="0.25">
      <c r="A60" s="326">
        <v>10</v>
      </c>
      <c r="B60" s="327">
        <v>5403</v>
      </c>
      <c r="C60" s="328">
        <v>600098966</v>
      </c>
      <c r="D60" s="327">
        <v>75016931</v>
      </c>
      <c r="E60" s="329" t="s">
        <v>369</v>
      </c>
      <c r="F60" s="293"/>
      <c r="G60" s="331"/>
      <c r="H60" s="294"/>
      <c r="I60" s="481">
        <f t="shared" ref="I60:BT60" si="175">SUM(I54:I59)</f>
        <v>7400198</v>
      </c>
      <c r="J60" s="477">
        <f t="shared" si="175"/>
        <v>5441120</v>
      </c>
      <c r="K60" s="477">
        <f t="shared" si="175"/>
        <v>4542745</v>
      </c>
      <c r="L60" s="477">
        <f t="shared" si="175"/>
        <v>898375</v>
      </c>
      <c r="M60" s="477">
        <f t="shared" si="175"/>
        <v>0</v>
      </c>
      <c r="N60" s="477">
        <f t="shared" si="175"/>
        <v>0</v>
      </c>
      <c r="O60" s="477">
        <f t="shared" si="175"/>
        <v>0</v>
      </c>
      <c r="P60" s="477">
        <f t="shared" si="175"/>
        <v>1839099</v>
      </c>
      <c r="Q60" s="477">
        <f t="shared" si="175"/>
        <v>54411</v>
      </c>
      <c r="R60" s="477">
        <f t="shared" si="175"/>
        <v>65568</v>
      </c>
      <c r="S60" s="478">
        <f t="shared" si="175"/>
        <v>10.518700000000001</v>
      </c>
      <c r="T60" s="478">
        <f t="shared" si="175"/>
        <v>7.7638000000000007</v>
      </c>
      <c r="U60" s="330">
        <f t="shared" si="175"/>
        <v>2.7549000000000001</v>
      </c>
      <c r="V60" s="483">
        <f t="shared" si="175"/>
        <v>-51200</v>
      </c>
      <c r="W60" s="477">
        <f t="shared" si="175"/>
        <v>-41600</v>
      </c>
      <c r="X60" s="477">
        <f t="shared" si="175"/>
        <v>451537</v>
      </c>
      <c r="Y60" s="477">
        <f t="shared" si="175"/>
        <v>0</v>
      </c>
      <c r="Z60" s="477">
        <f t="shared" si="175"/>
        <v>0</v>
      </c>
      <c r="AA60" s="477">
        <f t="shared" si="175"/>
        <v>0</v>
      </c>
      <c r="AB60" s="477">
        <f t="shared" si="175"/>
        <v>0</v>
      </c>
      <c r="AC60" s="477">
        <f t="shared" si="175"/>
        <v>0</v>
      </c>
      <c r="AD60" s="477">
        <f t="shared" si="175"/>
        <v>0</v>
      </c>
      <c r="AE60" s="477">
        <f t="shared" si="175"/>
        <v>0</v>
      </c>
      <c r="AF60" s="477">
        <f t="shared" si="175"/>
        <v>400337</v>
      </c>
      <c r="AG60" s="477">
        <f t="shared" si="175"/>
        <v>-41600</v>
      </c>
      <c r="AH60" s="477">
        <f t="shared" si="175"/>
        <v>358737</v>
      </c>
      <c r="AI60" s="477">
        <f t="shared" si="175"/>
        <v>51200</v>
      </c>
      <c r="AJ60" s="477">
        <f t="shared" si="175"/>
        <v>41600</v>
      </c>
      <c r="AK60" s="477">
        <f t="shared" ref="AK60" si="176">SUM(AK54:AK59)</f>
        <v>0</v>
      </c>
      <c r="AL60" s="477">
        <f t="shared" si="175"/>
        <v>0</v>
      </c>
      <c r="AM60" s="477">
        <f t="shared" si="175"/>
        <v>0</v>
      </c>
      <c r="AN60" s="477">
        <f t="shared" si="175"/>
        <v>0</v>
      </c>
      <c r="AO60" s="477">
        <f t="shared" si="175"/>
        <v>51200</v>
      </c>
      <c r="AP60" s="477">
        <f t="shared" si="175"/>
        <v>41600</v>
      </c>
      <c r="AQ60" s="477">
        <f t="shared" si="175"/>
        <v>92800</v>
      </c>
      <c r="AR60" s="477">
        <f t="shared" si="175"/>
        <v>451537</v>
      </c>
      <c r="AS60" s="477">
        <f t="shared" si="175"/>
        <v>0</v>
      </c>
      <c r="AT60" s="477">
        <f t="shared" si="175"/>
        <v>451537</v>
      </c>
      <c r="AU60" s="477">
        <f t="shared" si="175"/>
        <v>152620</v>
      </c>
      <c r="AV60" s="477">
        <f t="shared" si="175"/>
        <v>3587</v>
      </c>
      <c r="AW60" s="477">
        <f t="shared" si="175"/>
        <v>3250</v>
      </c>
      <c r="AX60" s="477">
        <f t="shared" si="175"/>
        <v>0</v>
      </c>
      <c r="AY60" s="477">
        <f t="shared" si="175"/>
        <v>3250</v>
      </c>
      <c r="AZ60" s="477">
        <f t="shared" si="175"/>
        <v>610994</v>
      </c>
      <c r="BA60" s="478">
        <f t="shared" si="175"/>
        <v>0</v>
      </c>
      <c r="BB60" s="478">
        <f t="shared" si="175"/>
        <v>-0.04</v>
      </c>
      <c r="BC60" s="478">
        <f t="shared" si="175"/>
        <v>1.04</v>
      </c>
      <c r="BD60" s="478">
        <f t="shared" si="175"/>
        <v>0</v>
      </c>
      <c r="BE60" s="478">
        <f t="shared" si="175"/>
        <v>0</v>
      </c>
      <c r="BF60" s="478">
        <f t="shared" si="175"/>
        <v>0</v>
      </c>
      <c r="BG60" s="478">
        <f t="shared" si="175"/>
        <v>0</v>
      </c>
      <c r="BH60" s="478">
        <f t="shared" si="175"/>
        <v>0</v>
      </c>
      <c r="BI60" s="478">
        <f t="shared" si="175"/>
        <v>0</v>
      </c>
      <c r="BJ60" s="478">
        <f t="shared" si="175"/>
        <v>0</v>
      </c>
      <c r="BK60" s="478">
        <f t="shared" si="175"/>
        <v>1.04</v>
      </c>
      <c r="BL60" s="478">
        <f t="shared" si="175"/>
        <v>-0.04</v>
      </c>
      <c r="BM60" s="559">
        <f t="shared" si="175"/>
        <v>1</v>
      </c>
      <c r="BN60" s="481">
        <f t="shared" si="175"/>
        <v>8011192</v>
      </c>
      <c r="BO60" s="477">
        <f t="shared" si="175"/>
        <v>5799857</v>
      </c>
      <c r="BP60" s="477">
        <f t="shared" si="175"/>
        <v>4943082</v>
      </c>
      <c r="BQ60" s="477">
        <f t="shared" si="175"/>
        <v>856775</v>
      </c>
      <c r="BR60" s="477">
        <f t="shared" si="175"/>
        <v>92800</v>
      </c>
      <c r="BS60" s="477">
        <f t="shared" si="175"/>
        <v>51200</v>
      </c>
      <c r="BT60" s="477">
        <f t="shared" si="175"/>
        <v>41600</v>
      </c>
      <c r="BU60" s="477">
        <f t="shared" ref="BU60:CF60" si="177">SUM(BU54:BU59)</f>
        <v>1991719</v>
      </c>
      <c r="BV60" s="477">
        <f t="shared" si="177"/>
        <v>57998</v>
      </c>
      <c r="BW60" s="477">
        <f t="shared" si="177"/>
        <v>68818</v>
      </c>
      <c r="BX60" s="478">
        <f t="shared" si="177"/>
        <v>11.518700000000003</v>
      </c>
      <c r="BY60" s="478">
        <f t="shared" si="177"/>
        <v>8.8038000000000007</v>
      </c>
      <c r="BZ60" s="559">
        <f t="shared" si="177"/>
        <v>2.7149000000000001</v>
      </c>
      <c r="CA60" s="885">
        <f t="shared" si="177"/>
        <v>0</v>
      </c>
      <c r="CB60" s="883">
        <f t="shared" si="177"/>
        <v>0</v>
      </c>
      <c r="CC60" s="883">
        <f t="shared" si="177"/>
        <v>0</v>
      </c>
      <c r="CD60" s="883">
        <f t="shared" si="177"/>
        <v>0</v>
      </c>
      <c r="CE60" s="883">
        <f t="shared" si="177"/>
        <v>0</v>
      </c>
      <c r="CF60" s="845">
        <f t="shared" si="177"/>
        <v>0</v>
      </c>
    </row>
    <row r="61" spans="1:84" ht="12.95" customHeight="1" x14ac:dyDescent="0.25">
      <c r="A61" s="282">
        <v>11</v>
      </c>
      <c r="B61" s="323">
        <v>5404</v>
      </c>
      <c r="C61" s="324">
        <v>600098974</v>
      </c>
      <c r="D61" s="283">
        <v>70979812</v>
      </c>
      <c r="E61" s="325" t="s">
        <v>370</v>
      </c>
      <c r="F61" s="283">
        <v>3111</v>
      </c>
      <c r="G61" s="325" t="s">
        <v>305</v>
      </c>
      <c r="H61" s="286" t="s">
        <v>271</v>
      </c>
      <c r="I61" s="423">
        <f t="shared" ref="I61:I66" si="178">J61+P61+Q61+R61</f>
        <v>2129502</v>
      </c>
      <c r="J61" s="418">
        <f t="shared" si="7"/>
        <v>1575392</v>
      </c>
      <c r="K61" s="418">
        <v>1508824</v>
      </c>
      <c r="L61" s="418">
        <v>66568</v>
      </c>
      <c r="M61" s="418">
        <f t="shared" ref="M61:M66" si="179">N61+O61</f>
        <v>0</v>
      </c>
      <c r="N61" s="418">
        <v>0</v>
      </c>
      <c r="O61" s="418">
        <v>0</v>
      </c>
      <c r="P61" s="68">
        <f t="shared" ref="P61:P66" si="180">ROUND((J61+M61)*33.8%,0)</f>
        <v>532482</v>
      </c>
      <c r="Q61" s="68">
        <f t="shared" ref="Q61:Q66" si="181">ROUND(J61*1%,0)</f>
        <v>15754</v>
      </c>
      <c r="R61" s="418">
        <v>5874</v>
      </c>
      <c r="S61" s="419">
        <f t="shared" ref="S61:S66" si="182">T61+U61</f>
        <v>2.5732000000000004</v>
      </c>
      <c r="T61" s="420">
        <v>2.3065000000000002</v>
      </c>
      <c r="U61" s="527">
        <v>0.26669999999999999</v>
      </c>
      <c r="V61" s="427">
        <f t="shared" ref="V61:W66" si="183">AI61*-1</f>
        <v>0</v>
      </c>
      <c r="W61" s="421">
        <f t="shared" si="183"/>
        <v>0</v>
      </c>
      <c r="X61" s="421">
        <v>0</v>
      </c>
      <c r="Y61" s="421">
        <v>0</v>
      </c>
      <c r="Z61" s="421">
        <v>0</v>
      </c>
      <c r="AA61" s="421">
        <v>0</v>
      </c>
      <c r="AB61" s="421">
        <v>0</v>
      </c>
      <c r="AC61" s="421">
        <v>0</v>
      </c>
      <c r="AD61" s="421">
        <v>0</v>
      </c>
      <c r="AE61" s="421">
        <v>0</v>
      </c>
      <c r="AF61" s="421">
        <f t="shared" ref="AF61:AF66" si="184">V61+X61+Y61+AA61+AB61+AD61</f>
        <v>0</v>
      </c>
      <c r="AG61" s="421">
        <f t="shared" ref="AG61:AG66" si="185">W61+Z61+AC61+AE61</f>
        <v>0</v>
      </c>
      <c r="AH61" s="421">
        <f t="shared" ref="AH61:AH66" si="186">SUM(AF61:AG61)</f>
        <v>0</v>
      </c>
      <c r="AI61" s="421">
        <v>0</v>
      </c>
      <c r="AJ61" s="421">
        <v>0</v>
      </c>
      <c r="AK61" s="421">
        <v>0</v>
      </c>
      <c r="AL61" s="421">
        <v>0</v>
      </c>
      <c r="AM61" s="421">
        <v>0</v>
      </c>
      <c r="AN61" s="421">
        <v>0</v>
      </c>
      <c r="AO61" s="421">
        <f t="shared" ref="AO61:AO66" si="187">AI61+AK61+AL61+AM61</f>
        <v>0</v>
      </c>
      <c r="AP61" s="421">
        <f t="shared" ref="AP61:AP66" si="188">AJ61+AN61</f>
        <v>0</v>
      </c>
      <c r="AQ61" s="421">
        <f t="shared" ref="AQ61:AQ66" si="189">SUM(AO61:AP61)</f>
        <v>0</v>
      </c>
      <c r="AR61" s="421">
        <f t="shared" ref="AR61:AS66" si="190">AF61+AO61</f>
        <v>0</v>
      </c>
      <c r="AS61" s="421">
        <f t="shared" si="190"/>
        <v>0</v>
      </c>
      <c r="AT61" s="421">
        <f t="shared" ref="AT61:AT66" si="191">SUM(AR61:AS61)</f>
        <v>0</v>
      </c>
      <c r="AU61" s="68">
        <f t="shared" ref="AU61:AU66" si="192">ROUND((AH61+AI61+AJ61+AK61+AL61)*33.8%,0)</f>
        <v>0</v>
      </c>
      <c r="AV61" s="68">
        <f t="shared" ref="AV61:AV66" si="193">ROUND(AH61*1%,0)</f>
        <v>0</v>
      </c>
      <c r="AW61" s="421">
        <v>0</v>
      </c>
      <c r="AX61" s="421">
        <v>0</v>
      </c>
      <c r="AY61" s="421">
        <f t="shared" ref="AY61:AY66" si="194">AW61+AX61</f>
        <v>0</v>
      </c>
      <c r="AZ61" s="421">
        <f t="shared" ref="AZ61:AZ66" si="195">AT61+AU61+AV61+AY61</f>
        <v>0</v>
      </c>
      <c r="BA61" s="422">
        <v>0</v>
      </c>
      <c r="BB61" s="422">
        <v>0</v>
      </c>
      <c r="BC61" s="422">
        <v>0</v>
      </c>
      <c r="BD61" s="422">
        <v>0</v>
      </c>
      <c r="BE61" s="422">
        <v>0</v>
      </c>
      <c r="BF61" s="422">
        <v>0</v>
      </c>
      <c r="BG61" s="422">
        <v>0</v>
      </c>
      <c r="BH61" s="422">
        <v>0</v>
      </c>
      <c r="BI61" s="422">
        <v>0</v>
      </c>
      <c r="BJ61" s="422">
        <v>0</v>
      </c>
      <c r="BK61" s="422">
        <f t="shared" ref="BK61:BK66" si="196">BA61+BC61+BD61+BF61+BH61+BI61</f>
        <v>0</v>
      </c>
      <c r="BL61" s="422">
        <f t="shared" ref="BL61:BL66" si="197">BB61+BE61+BG61+BJ61</f>
        <v>0</v>
      </c>
      <c r="BM61" s="611">
        <f t="shared" ref="BM61:BM66" si="198">SUM(BK61:BL61)</f>
        <v>0</v>
      </c>
      <c r="BN61" s="428">
        <f t="shared" ref="BN61:BN66" si="199">I61+AZ61</f>
        <v>2129502</v>
      </c>
      <c r="BO61" s="421">
        <f t="shared" ref="BO61:BO66" si="200">J61+AH61</f>
        <v>1575392</v>
      </c>
      <c r="BP61" s="421">
        <f t="shared" ref="BP61:BQ66" si="201">K61+AF61</f>
        <v>1508824</v>
      </c>
      <c r="BQ61" s="421">
        <f t="shared" si="201"/>
        <v>66568</v>
      </c>
      <c r="BR61" s="421">
        <f t="shared" ref="BR61:BR66" si="202">M61+AQ61</f>
        <v>0</v>
      </c>
      <c r="BS61" s="421">
        <f t="shared" ref="BS61:BT66" si="203">N61+AO61</f>
        <v>0</v>
      </c>
      <c r="BT61" s="421">
        <f t="shared" si="203"/>
        <v>0</v>
      </c>
      <c r="BU61" s="421">
        <f t="shared" ref="BU61:BV66" si="204">P61+AU61</f>
        <v>532482</v>
      </c>
      <c r="BV61" s="421">
        <f t="shared" si="204"/>
        <v>15754</v>
      </c>
      <c r="BW61" s="421">
        <f t="shared" ref="BW61:BW66" si="205">R61+AY61</f>
        <v>5874</v>
      </c>
      <c r="BX61" s="422">
        <f t="shared" ref="BX61:BX66" si="206">S61+BM61</f>
        <v>2.5732000000000004</v>
      </c>
      <c r="BY61" s="422">
        <f t="shared" ref="BY61:BZ66" si="207">T61+BK61</f>
        <v>2.3065000000000002</v>
      </c>
      <c r="BZ61" s="611">
        <f t="shared" si="207"/>
        <v>0.26669999999999999</v>
      </c>
      <c r="CA61" s="423"/>
      <c r="CB61" s="418"/>
      <c r="CC61" s="418"/>
      <c r="CD61" s="418"/>
      <c r="CE61" s="418"/>
      <c r="CF61" s="527"/>
    </row>
    <row r="62" spans="1:84" ht="12.95" customHeight="1" x14ac:dyDescent="0.25">
      <c r="A62" s="282">
        <v>11</v>
      </c>
      <c r="B62" s="323">
        <v>5404</v>
      </c>
      <c r="C62" s="324">
        <v>600098974</v>
      </c>
      <c r="D62" s="283">
        <v>70979812</v>
      </c>
      <c r="E62" s="325" t="s">
        <v>370</v>
      </c>
      <c r="F62" s="283">
        <v>3117</v>
      </c>
      <c r="G62" s="325" t="s">
        <v>294</v>
      </c>
      <c r="H62" s="286" t="s">
        <v>271</v>
      </c>
      <c r="I62" s="423">
        <f t="shared" si="178"/>
        <v>2266215</v>
      </c>
      <c r="J62" s="418">
        <f t="shared" si="7"/>
        <v>1652278</v>
      </c>
      <c r="K62" s="418">
        <v>1330671</v>
      </c>
      <c r="L62" s="418">
        <v>321607</v>
      </c>
      <c r="M62" s="418">
        <f t="shared" si="179"/>
        <v>0</v>
      </c>
      <c r="N62" s="418">
        <v>0</v>
      </c>
      <c r="O62" s="418">
        <v>0</v>
      </c>
      <c r="P62" s="68">
        <f t="shared" si="180"/>
        <v>558470</v>
      </c>
      <c r="Q62" s="68">
        <f t="shared" si="181"/>
        <v>16523</v>
      </c>
      <c r="R62" s="418">
        <v>38944</v>
      </c>
      <c r="S62" s="419">
        <f t="shared" si="182"/>
        <v>3.1872000000000003</v>
      </c>
      <c r="T62" s="420">
        <v>2.2273000000000001</v>
      </c>
      <c r="U62" s="527">
        <v>0.95990000000000009</v>
      </c>
      <c r="V62" s="427">
        <f t="shared" si="183"/>
        <v>0</v>
      </c>
      <c r="W62" s="421">
        <f t="shared" si="183"/>
        <v>0</v>
      </c>
      <c r="X62" s="421">
        <v>0</v>
      </c>
      <c r="Y62" s="421">
        <v>0</v>
      </c>
      <c r="Z62" s="421">
        <v>0</v>
      </c>
      <c r="AA62" s="421">
        <v>0</v>
      </c>
      <c r="AB62" s="421">
        <v>0</v>
      </c>
      <c r="AC62" s="421">
        <v>0</v>
      </c>
      <c r="AD62" s="421">
        <v>0</v>
      </c>
      <c r="AE62" s="421">
        <v>0</v>
      </c>
      <c r="AF62" s="421">
        <f t="shared" si="184"/>
        <v>0</v>
      </c>
      <c r="AG62" s="421">
        <f t="shared" si="185"/>
        <v>0</v>
      </c>
      <c r="AH62" s="421">
        <f t="shared" si="186"/>
        <v>0</v>
      </c>
      <c r="AI62" s="421">
        <v>0</v>
      </c>
      <c r="AJ62" s="421">
        <v>0</v>
      </c>
      <c r="AK62" s="421">
        <v>0</v>
      </c>
      <c r="AL62" s="421">
        <v>0</v>
      </c>
      <c r="AM62" s="421">
        <v>0</v>
      </c>
      <c r="AN62" s="421">
        <v>0</v>
      </c>
      <c r="AO62" s="421">
        <f t="shared" si="187"/>
        <v>0</v>
      </c>
      <c r="AP62" s="421">
        <f t="shared" si="188"/>
        <v>0</v>
      </c>
      <c r="AQ62" s="421">
        <f t="shared" si="189"/>
        <v>0</v>
      </c>
      <c r="AR62" s="421">
        <f t="shared" si="190"/>
        <v>0</v>
      </c>
      <c r="AS62" s="421">
        <f t="shared" si="190"/>
        <v>0</v>
      </c>
      <c r="AT62" s="421">
        <f t="shared" si="191"/>
        <v>0</v>
      </c>
      <c r="AU62" s="68">
        <f t="shared" si="192"/>
        <v>0</v>
      </c>
      <c r="AV62" s="68">
        <f t="shared" si="193"/>
        <v>0</v>
      </c>
      <c r="AW62" s="421">
        <v>0</v>
      </c>
      <c r="AX62" s="421">
        <v>0</v>
      </c>
      <c r="AY62" s="421">
        <f t="shared" si="194"/>
        <v>0</v>
      </c>
      <c r="AZ62" s="421">
        <f t="shared" si="195"/>
        <v>0</v>
      </c>
      <c r="BA62" s="422">
        <v>0</v>
      </c>
      <c r="BB62" s="422">
        <v>0</v>
      </c>
      <c r="BC62" s="422">
        <v>0</v>
      </c>
      <c r="BD62" s="422">
        <v>0</v>
      </c>
      <c r="BE62" s="422">
        <v>0</v>
      </c>
      <c r="BF62" s="422">
        <v>0</v>
      </c>
      <c r="BG62" s="422">
        <v>0</v>
      </c>
      <c r="BH62" s="422">
        <v>0</v>
      </c>
      <c r="BI62" s="422">
        <v>0</v>
      </c>
      <c r="BJ62" s="422">
        <v>0</v>
      </c>
      <c r="BK62" s="422">
        <f t="shared" si="196"/>
        <v>0</v>
      </c>
      <c r="BL62" s="422">
        <f t="shared" si="197"/>
        <v>0</v>
      </c>
      <c r="BM62" s="611">
        <f t="shared" si="198"/>
        <v>0</v>
      </c>
      <c r="BN62" s="428">
        <f t="shared" si="199"/>
        <v>2266215</v>
      </c>
      <c r="BO62" s="421">
        <f t="shared" si="200"/>
        <v>1652278</v>
      </c>
      <c r="BP62" s="421">
        <f t="shared" si="201"/>
        <v>1330671</v>
      </c>
      <c r="BQ62" s="421">
        <f t="shared" si="201"/>
        <v>321607</v>
      </c>
      <c r="BR62" s="421">
        <f t="shared" si="202"/>
        <v>0</v>
      </c>
      <c r="BS62" s="421">
        <f t="shared" si="203"/>
        <v>0</v>
      </c>
      <c r="BT62" s="421">
        <f t="shared" si="203"/>
        <v>0</v>
      </c>
      <c r="BU62" s="421">
        <f t="shared" si="204"/>
        <v>558470</v>
      </c>
      <c r="BV62" s="421">
        <f t="shared" si="204"/>
        <v>16523</v>
      </c>
      <c r="BW62" s="421">
        <f t="shared" si="205"/>
        <v>38944</v>
      </c>
      <c r="BX62" s="422">
        <f t="shared" si="206"/>
        <v>3.1872000000000003</v>
      </c>
      <c r="BY62" s="422">
        <f t="shared" si="207"/>
        <v>2.2273000000000001</v>
      </c>
      <c r="BZ62" s="611">
        <f t="shared" si="207"/>
        <v>0.95990000000000009</v>
      </c>
      <c r="CA62" s="423"/>
      <c r="CB62" s="418"/>
      <c r="CC62" s="418"/>
      <c r="CD62" s="418"/>
      <c r="CE62" s="418"/>
      <c r="CF62" s="527"/>
    </row>
    <row r="63" spans="1:84" ht="12.95" customHeight="1" x14ac:dyDescent="0.25">
      <c r="A63" s="282">
        <v>11</v>
      </c>
      <c r="B63" s="323">
        <v>5404</v>
      </c>
      <c r="C63" s="324">
        <v>600098974</v>
      </c>
      <c r="D63" s="283">
        <v>70979812</v>
      </c>
      <c r="E63" s="325" t="s">
        <v>370</v>
      </c>
      <c r="F63" s="283">
        <v>3117</v>
      </c>
      <c r="G63" s="325" t="s">
        <v>299</v>
      </c>
      <c r="H63" s="286" t="s">
        <v>272</v>
      </c>
      <c r="I63" s="423">
        <f t="shared" si="178"/>
        <v>0</v>
      </c>
      <c r="J63" s="418">
        <f t="shared" si="7"/>
        <v>0</v>
      </c>
      <c r="K63" s="418">
        <v>0</v>
      </c>
      <c r="L63" s="418">
        <v>0</v>
      </c>
      <c r="M63" s="418">
        <f>N63+O63</f>
        <v>0</v>
      </c>
      <c r="N63" s="418">
        <v>0</v>
      </c>
      <c r="O63" s="418">
        <v>0</v>
      </c>
      <c r="P63" s="68">
        <f t="shared" si="180"/>
        <v>0</v>
      </c>
      <c r="Q63" s="68">
        <f t="shared" si="181"/>
        <v>0</v>
      </c>
      <c r="R63" s="418">
        <v>0</v>
      </c>
      <c r="S63" s="419">
        <f>T63+U63</f>
        <v>0</v>
      </c>
      <c r="T63" s="420">
        <v>0</v>
      </c>
      <c r="U63" s="527">
        <v>0</v>
      </c>
      <c r="V63" s="427">
        <f t="shared" si="183"/>
        <v>0</v>
      </c>
      <c r="W63" s="421">
        <f t="shared" si="183"/>
        <v>0</v>
      </c>
      <c r="X63" s="421">
        <v>422306</v>
      </c>
      <c r="Y63" s="421">
        <v>0</v>
      </c>
      <c r="Z63" s="421">
        <v>0</v>
      </c>
      <c r="AA63" s="421">
        <v>0</v>
      </c>
      <c r="AB63" s="421">
        <v>0</v>
      </c>
      <c r="AC63" s="421">
        <v>0</v>
      </c>
      <c r="AD63" s="421">
        <v>0</v>
      </c>
      <c r="AE63" s="421">
        <v>0</v>
      </c>
      <c r="AF63" s="421">
        <f t="shared" si="184"/>
        <v>422306</v>
      </c>
      <c r="AG63" s="421">
        <f t="shared" si="185"/>
        <v>0</v>
      </c>
      <c r="AH63" s="421">
        <f t="shared" si="186"/>
        <v>422306</v>
      </c>
      <c r="AI63" s="421">
        <v>0</v>
      </c>
      <c r="AJ63" s="421">
        <v>0</v>
      </c>
      <c r="AK63" s="421">
        <v>0</v>
      </c>
      <c r="AL63" s="421">
        <v>0</v>
      </c>
      <c r="AM63" s="421">
        <v>0</v>
      </c>
      <c r="AN63" s="421">
        <v>0</v>
      </c>
      <c r="AO63" s="421">
        <f t="shared" si="187"/>
        <v>0</v>
      </c>
      <c r="AP63" s="421">
        <f t="shared" si="188"/>
        <v>0</v>
      </c>
      <c r="AQ63" s="421">
        <f t="shared" si="189"/>
        <v>0</v>
      </c>
      <c r="AR63" s="421">
        <f t="shared" si="190"/>
        <v>422306</v>
      </c>
      <c r="AS63" s="421">
        <f t="shared" si="190"/>
        <v>0</v>
      </c>
      <c r="AT63" s="421">
        <f t="shared" si="191"/>
        <v>422306</v>
      </c>
      <c r="AU63" s="68">
        <f t="shared" si="192"/>
        <v>142739</v>
      </c>
      <c r="AV63" s="68">
        <f t="shared" si="193"/>
        <v>4223</v>
      </c>
      <c r="AW63" s="421">
        <v>0</v>
      </c>
      <c r="AX63" s="421">
        <v>0</v>
      </c>
      <c r="AY63" s="421">
        <f t="shared" si="194"/>
        <v>0</v>
      </c>
      <c r="AZ63" s="421">
        <f t="shared" si="195"/>
        <v>569268</v>
      </c>
      <c r="BA63" s="422">
        <v>0</v>
      </c>
      <c r="BB63" s="422">
        <v>0</v>
      </c>
      <c r="BC63" s="422">
        <v>1.1399999999999999</v>
      </c>
      <c r="BD63" s="422">
        <v>0</v>
      </c>
      <c r="BE63" s="422">
        <v>0</v>
      </c>
      <c r="BF63" s="422">
        <v>0</v>
      </c>
      <c r="BG63" s="422">
        <v>0</v>
      </c>
      <c r="BH63" s="422">
        <v>0</v>
      </c>
      <c r="BI63" s="422">
        <v>0</v>
      </c>
      <c r="BJ63" s="422">
        <v>0</v>
      </c>
      <c r="BK63" s="422">
        <f t="shared" si="196"/>
        <v>1.1399999999999999</v>
      </c>
      <c r="BL63" s="422">
        <f t="shared" si="197"/>
        <v>0</v>
      </c>
      <c r="BM63" s="611">
        <f t="shared" si="198"/>
        <v>1.1399999999999999</v>
      </c>
      <c r="BN63" s="428">
        <f t="shared" si="199"/>
        <v>569268</v>
      </c>
      <c r="BO63" s="421">
        <f t="shared" si="200"/>
        <v>422306</v>
      </c>
      <c r="BP63" s="421">
        <f t="shared" si="201"/>
        <v>422306</v>
      </c>
      <c r="BQ63" s="421">
        <f t="shared" si="201"/>
        <v>0</v>
      </c>
      <c r="BR63" s="421">
        <f t="shared" si="202"/>
        <v>0</v>
      </c>
      <c r="BS63" s="421">
        <f t="shared" si="203"/>
        <v>0</v>
      </c>
      <c r="BT63" s="421">
        <f t="shared" si="203"/>
        <v>0</v>
      </c>
      <c r="BU63" s="421">
        <f t="shared" si="204"/>
        <v>142739</v>
      </c>
      <c r="BV63" s="421">
        <f t="shared" si="204"/>
        <v>4223</v>
      </c>
      <c r="BW63" s="421">
        <f t="shared" si="205"/>
        <v>0</v>
      </c>
      <c r="BX63" s="422">
        <f t="shared" si="206"/>
        <v>1.1399999999999999</v>
      </c>
      <c r="BY63" s="422">
        <f t="shared" si="207"/>
        <v>1.1399999999999999</v>
      </c>
      <c r="BZ63" s="611">
        <f t="shared" si="207"/>
        <v>0</v>
      </c>
      <c r="CA63" s="423"/>
      <c r="CB63" s="418"/>
      <c r="CC63" s="418"/>
      <c r="CD63" s="418"/>
      <c r="CE63" s="418"/>
      <c r="CF63" s="527"/>
    </row>
    <row r="64" spans="1:84" ht="12.95" customHeight="1" x14ac:dyDescent="0.25">
      <c r="A64" s="282">
        <v>11</v>
      </c>
      <c r="B64" s="323">
        <v>5404</v>
      </c>
      <c r="C64" s="324">
        <v>600098974</v>
      </c>
      <c r="D64" s="283">
        <v>70979812</v>
      </c>
      <c r="E64" s="325" t="s">
        <v>370</v>
      </c>
      <c r="F64" s="283">
        <v>3141</v>
      </c>
      <c r="G64" s="325" t="s">
        <v>295</v>
      </c>
      <c r="H64" s="286" t="s">
        <v>272</v>
      </c>
      <c r="I64" s="423">
        <f t="shared" si="178"/>
        <v>514355</v>
      </c>
      <c r="J64" s="418">
        <f t="shared" si="7"/>
        <v>380167</v>
      </c>
      <c r="K64" s="418">
        <v>0</v>
      </c>
      <c r="L64" s="418">
        <v>380167</v>
      </c>
      <c r="M64" s="418">
        <f t="shared" si="179"/>
        <v>0</v>
      </c>
      <c r="N64" s="418">
        <v>0</v>
      </c>
      <c r="O64" s="418">
        <v>0</v>
      </c>
      <c r="P64" s="68">
        <f t="shared" si="180"/>
        <v>128496</v>
      </c>
      <c r="Q64" s="68">
        <f t="shared" si="181"/>
        <v>3802</v>
      </c>
      <c r="R64" s="418">
        <v>1890</v>
      </c>
      <c r="S64" s="419">
        <f t="shared" si="182"/>
        <v>1.1399999999999999</v>
      </c>
      <c r="T64" s="420">
        <v>0</v>
      </c>
      <c r="U64" s="527">
        <v>1.1399999999999999</v>
      </c>
      <c r="V64" s="427">
        <f t="shared" si="183"/>
        <v>0</v>
      </c>
      <c r="W64" s="421">
        <f t="shared" si="183"/>
        <v>-6400</v>
      </c>
      <c r="X64" s="421">
        <v>0</v>
      </c>
      <c r="Y64" s="421">
        <v>0</v>
      </c>
      <c r="Z64" s="421">
        <v>0</v>
      </c>
      <c r="AA64" s="421">
        <v>0</v>
      </c>
      <c r="AB64" s="421">
        <v>0</v>
      </c>
      <c r="AC64" s="421">
        <v>0</v>
      </c>
      <c r="AD64" s="421">
        <v>0</v>
      </c>
      <c r="AE64" s="421">
        <v>0</v>
      </c>
      <c r="AF64" s="421">
        <f t="shared" si="184"/>
        <v>0</v>
      </c>
      <c r="AG64" s="421">
        <f t="shared" si="185"/>
        <v>-6400</v>
      </c>
      <c r="AH64" s="421">
        <f t="shared" si="186"/>
        <v>-6400</v>
      </c>
      <c r="AI64" s="421">
        <v>0</v>
      </c>
      <c r="AJ64" s="421">
        <v>6400</v>
      </c>
      <c r="AK64" s="421">
        <v>0</v>
      </c>
      <c r="AL64" s="421">
        <v>0</v>
      </c>
      <c r="AM64" s="421">
        <v>0</v>
      </c>
      <c r="AN64" s="421">
        <v>0</v>
      </c>
      <c r="AO64" s="421">
        <f t="shared" si="187"/>
        <v>0</v>
      </c>
      <c r="AP64" s="421">
        <f t="shared" si="188"/>
        <v>6400</v>
      </c>
      <c r="AQ64" s="421">
        <f t="shared" si="189"/>
        <v>6400</v>
      </c>
      <c r="AR64" s="421">
        <f t="shared" si="190"/>
        <v>0</v>
      </c>
      <c r="AS64" s="421">
        <f t="shared" si="190"/>
        <v>0</v>
      </c>
      <c r="AT64" s="421">
        <f t="shared" si="191"/>
        <v>0</v>
      </c>
      <c r="AU64" s="68">
        <f t="shared" si="192"/>
        <v>0</v>
      </c>
      <c r="AV64" s="68">
        <f t="shared" si="193"/>
        <v>-64</v>
      </c>
      <c r="AW64" s="421">
        <v>0</v>
      </c>
      <c r="AX64" s="421">
        <v>0</v>
      </c>
      <c r="AY64" s="421">
        <f t="shared" si="194"/>
        <v>0</v>
      </c>
      <c r="AZ64" s="421">
        <f t="shared" si="195"/>
        <v>-64</v>
      </c>
      <c r="BA64" s="422">
        <v>0</v>
      </c>
      <c r="BB64" s="422">
        <v>0</v>
      </c>
      <c r="BC64" s="422">
        <v>0</v>
      </c>
      <c r="BD64" s="422">
        <v>0</v>
      </c>
      <c r="BE64" s="422">
        <v>0</v>
      </c>
      <c r="BF64" s="422">
        <v>0</v>
      </c>
      <c r="BG64" s="422">
        <v>0</v>
      </c>
      <c r="BH64" s="422">
        <v>0</v>
      </c>
      <c r="BI64" s="422">
        <v>0</v>
      </c>
      <c r="BJ64" s="422">
        <v>0</v>
      </c>
      <c r="BK64" s="422">
        <f t="shared" si="196"/>
        <v>0</v>
      </c>
      <c r="BL64" s="422">
        <f t="shared" si="197"/>
        <v>0</v>
      </c>
      <c r="BM64" s="611">
        <f t="shared" si="198"/>
        <v>0</v>
      </c>
      <c r="BN64" s="428">
        <f t="shared" si="199"/>
        <v>514291</v>
      </c>
      <c r="BO64" s="421">
        <f t="shared" si="200"/>
        <v>373767</v>
      </c>
      <c r="BP64" s="421">
        <f t="shared" si="201"/>
        <v>0</v>
      </c>
      <c r="BQ64" s="421">
        <f t="shared" si="201"/>
        <v>373767</v>
      </c>
      <c r="BR64" s="421">
        <f t="shared" si="202"/>
        <v>6400</v>
      </c>
      <c r="BS64" s="421">
        <f t="shared" si="203"/>
        <v>0</v>
      </c>
      <c r="BT64" s="421">
        <f t="shared" si="203"/>
        <v>6400</v>
      </c>
      <c r="BU64" s="421">
        <f t="shared" si="204"/>
        <v>128496</v>
      </c>
      <c r="BV64" s="421">
        <f t="shared" si="204"/>
        <v>3738</v>
      </c>
      <c r="BW64" s="421">
        <f t="shared" si="205"/>
        <v>1890</v>
      </c>
      <c r="BX64" s="422">
        <f t="shared" si="206"/>
        <v>1.1399999999999999</v>
      </c>
      <c r="BY64" s="422">
        <f t="shared" si="207"/>
        <v>0</v>
      </c>
      <c r="BZ64" s="611">
        <f t="shared" si="207"/>
        <v>1.1399999999999999</v>
      </c>
      <c r="CA64" s="423"/>
      <c r="CB64" s="418"/>
      <c r="CC64" s="418"/>
      <c r="CD64" s="418"/>
      <c r="CE64" s="418"/>
      <c r="CF64" s="527"/>
    </row>
    <row r="65" spans="1:84" ht="12.95" customHeight="1" x14ac:dyDescent="0.25">
      <c r="A65" s="282">
        <v>11</v>
      </c>
      <c r="B65" s="323">
        <v>5404</v>
      </c>
      <c r="C65" s="324">
        <v>600098974</v>
      </c>
      <c r="D65" s="283">
        <v>70979812</v>
      </c>
      <c r="E65" s="325" t="s">
        <v>370</v>
      </c>
      <c r="F65" s="283">
        <v>3143</v>
      </c>
      <c r="G65" s="325" t="s">
        <v>596</v>
      </c>
      <c r="H65" s="286" t="s">
        <v>271</v>
      </c>
      <c r="I65" s="423">
        <f t="shared" si="178"/>
        <v>471819</v>
      </c>
      <c r="J65" s="418">
        <f t="shared" si="7"/>
        <v>350014</v>
      </c>
      <c r="K65" s="418">
        <v>350014</v>
      </c>
      <c r="L65" s="418">
        <v>0</v>
      </c>
      <c r="M65" s="418">
        <f t="shared" si="179"/>
        <v>0</v>
      </c>
      <c r="N65" s="418">
        <v>0</v>
      </c>
      <c r="O65" s="418">
        <v>0</v>
      </c>
      <c r="P65" s="68">
        <f t="shared" si="180"/>
        <v>118305</v>
      </c>
      <c r="Q65" s="68">
        <f t="shared" si="181"/>
        <v>3500</v>
      </c>
      <c r="R65" s="418">
        <v>0</v>
      </c>
      <c r="S65" s="419">
        <f t="shared" si="182"/>
        <v>0.70520000000000005</v>
      </c>
      <c r="T65" s="420">
        <v>0.70520000000000005</v>
      </c>
      <c r="U65" s="527">
        <v>0</v>
      </c>
      <c r="V65" s="427">
        <f t="shared" si="183"/>
        <v>0</v>
      </c>
      <c r="W65" s="421">
        <f t="shared" si="183"/>
        <v>0</v>
      </c>
      <c r="X65" s="421">
        <v>0</v>
      </c>
      <c r="Y65" s="421">
        <v>0</v>
      </c>
      <c r="Z65" s="421">
        <v>0</v>
      </c>
      <c r="AA65" s="421">
        <v>0</v>
      </c>
      <c r="AB65" s="421">
        <v>0</v>
      </c>
      <c r="AC65" s="421">
        <v>0</v>
      </c>
      <c r="AD65" s="421">
        <v>0</v>
      </c>
      <c r="AE65" s="421">
        <v>0</v>
      </c>
      <c r="AF65" s="421">
        <f t="shared" si="184"/>
        <v>0</v>
      </c>
      <c r="AG65" s="421">
        <f t="shared" si="185"/>
        <v>0</v>
      </c>
      <c r="AH65" s="421">
        <f t="shared" si="186"/>
        <v>0</v>
      </c>
      <c r="AI65" s="421">
        <v>0</v>
      </c>
      <c r="AJ65" s="421">
        <v>0</v>
      </c>
      <c r="AK65" s="421">
        <v>0</v>
      </c>
      <c r="AL65" s="421">
        <v>0</v>
      </c>
      <c r="AM65" s="421">
        <v>0</v>
      </c>
      <c r="AN65" s="421">
        <v>0</v>
      </c>
      <c r="AO65" s="421">
        <f t="shared" si="187"/>
        <v>0</v>
      </c>
      <c r="AP65" s="421">
        <f t="shared" si="188"/>
        <v>0</v>
      </c>
      <c r="AQ65" s="421">
        <f t="shared" si="189"/>
        <v>0</v>
      </c>
      <c r="AR65" s="421">
        <f t="shared" si="190"/>
        <v>0</v>
      </c>
      <c r="AS65" s="421">
        <f t="shared" si="190"/>
        <v>0</v>
      </c>
      <c r="AT65" s="421">
        <f t="shared" si="191"/>
        <v>0</v>
      </c>
      <c r="AU65" s="68">
        <f t="shared" si="192"/>
        <v>0</v>
      </c>
      <c r="AV65" s="68">
        <f t="shared" si="193"/>
        <v>0</v>
      </c>
      <c r="AW65" s="421">
        <v>0</v>
      </c>
      <c r="AX65" s="421">
        <v>0</v>
      </c>
      <c r="AY65" s="421">
        <f t="shared" si="194"/>
        <v>0</v>
      </c>
      <c r="AZ65" s="421">
        <f t="shared" si="195"/>
        <v>0</v>
      </c>
      <c r="BA65" s="422">
        <v>0</v>
      </c>
      <c r="BB65" s="422">
        <v>0</v>
      </c>
      <c r="BC65" s="422">
        <v>0</v>
      </c>
      <c r="BD65" s="422">
        <v>0</v>
      </c>
      <c r="BE65" s="422">
        <v>0</v>
      </c>
      <c r="BF65" s="422">
        <v>0</v>
      </c>
      <c r="BG65" s="422">
        <v>0</v>
      </c>
      <c r="BH65" s="422">
        <v>0</v>
      </c>
      <c r="BI65" s="422">
        <v>0</v>
      </c>
      <c r="BJ65" s="422">
        <v>0</v>
      </c>
      <c r="BK65" s="422">
        <f t="shared" si="196"/>
        <v>0</v>
      </c>
      <c r="BL65" s="422">
        <f t="shared" si="197"/>
        <v>0</v>
      </c>
      <c r="BM65" s="611">
        <f t="shared" si="198"/>
        <v>0</v>
      </c>
      <c r="BN65" s="428">
        <f t="shared" si="199"/>
        <v>471819</v>
      </c>
      <c r="BO65" s="421">
        <f t="shared" si="200"/>
        <v>350014</v>
      </c>
      <c r="BP65" s="421">
        <f t="shared" si="201"/>
        <v>350014</v>
      </c>
      <c r="BQ65" s="421">
        <f t="shared" si="201"/>
        <v>0</v>
      </c>
      <c r="BR65" s="421">
        <f t="shared" si="202"/>
        <v>0</v>
      </c>
      <c r="BS65" s="421">
        <f t="shared" si="203"/>
        <v>0</v>
      </c>
      <c r="BT65" s="421">
        <f t="shared" si="203"/>
        <v>0</v>
      </c>
      <c r="BU65" s="421">
        <f t="shared" si="204"/>
        <v>118305</v>
      </c>
      <c r="BV65" s="421">
        <f t="shared" si="204"/>
        <v>3500</v>
      </c>
      <c r="BW65" s="421">
        <f t="shared" si="205"/>
        <v>0</v>
      </c>
      <c r="BX65" s="422">
        <f t="shared" si="206"/>
        <v>0.70520000000000005</v>
      </c>
      <c r="BY65" s="422">
        <f t="shared" si="207"/>
        <v>0.70520000000000005</v>
      </c>
      <c r="BZ65" s="611">
        <f t="shared" si="207"/>
        <v>0</v>
      </c>
      <c r="CA65" s="423"/>
      <c r="CB65" s="418"/>
      <c r="CC65" s="418"/>
      <c r="CD65" s="418"/>
      <c r="CE65" s="418"/>
      <c r="CF65" s="527"/>
    </row>
    <row r="66" spans="1:84" ht="12.95" customHeight="1" x14ac:dyDescent="0.25">
      <c r="A66" s="282">
        <v>11</v>
      </c>
      <c r="B66" s="323">
        <v>5404</v>
      </c>
      <c r="C66" s="324">
        <v>600098974</v>
      </c>
      <c r="D66" s="283">
        <v>70979812</v>
      </c>
      <c r="E66" s="325" t="s">
        <v>370</v>
      </c>
      <c r="F66" s="283">
        <v>3143</v>
      </c>
      <c r="G66" s="325" t="s">
        <v>597</v>
      </c>
      <c r="H66" s="286" t="s">
        <v>272</v>
      </c>
      <c r="I66" s="423">
        <f t="shared" si="178"/>
        <v>6675</v>
      </c>
      <c r="J66" s="418">
        <f t="shared" si="7"/>
        <v>4778</v>
      </c>
      <c r="K66" s="418">
        <v>0</v>
      </c>
      <c r="L66" s="418">
        <v>4778</v>
      </c>
      <c r="M66" s="418">
        <f t="shared" si="179"/>
        <v>0</v>
      </c>
      <c r="N66" s="418">
        <v>0</v>
      </c>
      <c r="O66" s="418">
        <v>0</v>
      </c>
      <c r="P66" s="68">
        <f t="shared" si="180"/>
        <v>1615</v>
      </c>
      <c r="Q66" s="68">
        <f t="shared" si="181"/>
        <v>48</v>
      </c>
      <c r="R66" s="418">
        <v>234</v>
      </c>
      <c r="S66" s="419">
        <f t="shared" si="182"/>
        <v>1.8100000000000002E-2</v>
      </c>
      <c r="T66" s="420">
        <v>0</v>
      </c>
      <c r="U66" s="527">
        <v>1.8100000000000002E-2</v>
      </c>
      <c r="V66" s="427">
        <f t="shared" si="183"/>
        <v>0</v>
      </c>
      <c r="W66" s="421">
        <f t="shared" si="183"/>
        <v>0</v>
      </c>
      <c r="X66" s="421">
        <v>0</v>
      </c>
      <c r="Y66" s="421">
        <v>0</v>
      </c>
      <c r="Z66" s="421">
        <v>0</v>
      </c>
      <c r="AA66" s="421">
        <v>0</v>
      </c>
      <c r="AB66" s="421">
        <v>0</v>
      </c>
      <c r="AC66" s="421">
        <v>0</v>
      </c>
      <c r="AD66" s="421">
        <v>0</v>
      </c>
      <c r="AE66" s="421">
        <v>0</v>
      </c>
      <c r="AF66" s="421">
        <f t="shared" si="184"/>
        <v>0</v>
      </c>
      <c r="AG66" s="421">
        <f t="shared" si="185"/>
        <v>0</v>
      </c>
      <c r="AH66" s="421">
        <f t="shared" si="186"/>
        <v>0</v>
      </c>
      <c r="AI66" s="421">
        <v>0</v>
      </c>
      <c r="AJ66" s="421">
        <v>0</v>
      </c>
      <c r="AK66" s="421">
        <v>0</v>
      </c>
      <c r="AL66" s="421">
        <v>0</v>
      </c>
      <c r="AM66" s="421">
        <v>0</v>
      </c>
      <c r="AN66" s="421">
        <v>0</v>
      </c>
      <c r="AO66" s="421">
        <f t="shared" si="187"/>
        <v>0</v>
      </c>
      <c r="AP66" s="421">
        <f t="shared" si="188"/>
        <v>0</v>
      </c>
      <c r="AQ66" s="421">
        <f t="shared" si="189"/>
        <v>0</v>
      </c>
      <c r="AR66" s="421">
        <f t="shared" si="190"/>
        <v>0</v>
      </c>
      <c r="AS66" s="421">
        <f t="shared" si="190"/>
        <v>0</v>
      </c>
      <c r="AT66" s="421">
        <f t="shared" si="191"/>
        <v>0</v>
      </c>
      <c r="AU66" s="68">
        <f t="shared" si="192"/>
        <v>0</v>
      </c>
      <c r="AV66" s="68">
        <f t="shared" si="193"/>
        <v>0</v>
      </c>
      <c r="AW66" s="421">
        <v>0</v>
      </c>
      <c r="AX66" s="421">
        <v>0</v>
      </c>
      <c r="AY66" s="421">
        <f t="shared" si="194"/>
        <v>0</v>
      </c>
      <c r="AZ66" s="421">
        <f t="shared" si="195"/>
        <v>0</v>
      </c>
      <c r="BA66" s="422">
        <v>0</v>
      </c>
      <c r="BB66" s="422">
        <v>0</v>
      </c>
      <c r="BC66" s="422">
        <v>0</v>
      </c>
      <c r="BD66" s="422">
        <v>0</v>
      </c>
      <c r="BE66" s="422">
        <v>0</v>
      </c>
      <c r="BF66" s="422">
        <v>0</v>
      </c>
      <c r="BG66" s="422">
        <v>0</v>
      </c>
      <c r="BH66" s="422">
        <v>0</v>
      </c>
      <c r="BI66" s="422">
        <v>0</v>
      </c>
      <c r="BJ66" s="422">
        <v>0</v>
      </c>
      <c r="BK66" s="422">
        <f t="shared" si="196"/>
        <v>0</v>
      </c>
      <c r="BL66" s="422">
        <f t="shared" si="197"/>
        <v>0</v>
      </c>
      <c r="BM66" s="611">
        <f t="shared" si="198"/>
        <v>0</v>
      </c>
      <c r="BN66" s="428">
        <f t="shared" si="199"/>
        <v>6675</v>
      </c>
      <c r="BO66" s="421">
        <f t="shared" si="200"/>
        <v>4778</v>
      </c>
      <c r="BP66" s="421">
        <f t="shared" si="201"/>
        <v>0</v>
      </c>
      <c r="BQ66" s="421">
        <f t="shared" si="201"/>
        <v>4778</v>
      </c>
      <c r="BR66" s="421">
        <f t="shared" si="202"/>
        <v>0</v>
      </c>
      <c r="BS66" s="421">
        <f t="shared" si="203"/>
        <v>0</v>
      </c>
      <c r="BT66" s="421">
        <f t="shared" si="203"/>
        <v>0</v>
      </c>
      <c r="BU66" s="421">
        <f t="shared" si="204"/>
        <v>1615</v>
      </c>
      <c r="BV66" s="421">
        <f t="shared" si="204"/>
        <v>48</v>
      </c>
      <c r="BW66" s="421">
        <f t="shared" si="205"/>
        <v>234</v>
      </c>
      <c r="BX66" s="422">
        <f t="shared" si="206"/>
        <v>1.8100000000000002E-2</v>
      </c>
      <c r="BY66" s="422">
        <f t="shared" si="207"/>
        <v>0</v>
      </c>
      <c r="BZ66" s="611">
        <f t="shared" si="207"/>
        <v>1.8100000000000002E-2</v>
      </c>
      <c r="CA66" s="423"/>
      <c r="CB66" s="418"/>
      <c r="CC66" s="418"/>
      <c r="CD66" s="418"/>
      <c r="CE66" s="418"/>
      <c r="CF66" s="527"/>
    </row>
    <row r="67" spans="1:84" ht="12.95" customHeight="1" x14ac:dyDescent="0.25">
      <c r="A67" s="326">
        <v>11</v>
      </c>
      <c r="B67" s="327">
        <v>5404</v>
      </c>
      <c r="C67" s="328">
        <v>600098974</v>
      </c>
      <c r="D67" s="327">
        <v>70979812</v>
      </c>
      <c r="E67" s="329" t="s">
        <v>371</v>
      </c>
      <c r="F67" s="293"/>
      <c r="G67" s="331"/>
      <c r="H67" s="294"/>
      <c r="I67" s="481">
        <f t="shared" ref="I67:BU67" si="208">SUM(I61:I66)</f>
        <v>5388566</v>
      </c>
      <c r="J67" s="477">
        <f t="shared" si="208"/>
        <v>3962629</v>
      </c>
      <c r="K67" s="477">
        <f t="shared" si="208"/>
        <v>3189509</v>
      </c>
      <c r="L67" s="477">
        <f t="shared" si="208"/>
        <v>773120</v>
      </c>
      <c r="M67" s="477">
        <f t="shared" si="208"/>
        <v>0</v>
      </c>
      <c r="N67" s="477">
        <f t="shared" si="208"/>
        <v>0</v>
      </c>
      <c r="O67" s="477">
        <f t="shared" si="208"/>
        <v>0</v>
      </c>
      <c r="P67" s="477">
        <f t="shared" si="208"/>
        <v>1339368</v>
      </c>
      <c r="Q67" s="477">
        <f t="shared" si="208"/>
        <v>39627</v>
      </c>
      <c r="R67" s="477">
        <f t="shared" si="208"/>
        <v>46942</v>
      </c>
      <c r="S67" s="478">
        <f t="shared" si="208"/>
        <v>7.6237000000000004</v>
      </c>
      <c r="T67" s="478">
        <f t="shared" si="208"/>
        <v>5.2390000000000008</v>
      </c>
      <c r="U67" s="330">
        <f t="shared" si="208"/>
        <v>2.3847</v>
      </c>
      <c r="V67" s="483">
        <f t="shared" si="208"/>
        <v>0</v>
      </c>
      <c r="W67" s="477">
        <f t="shared" si="208"/>
        <v>-6400</v>
      </c>
      <c r="X67" s="477">
        <f t="shared" si="208"/>
        <v>422306</v>
      </c>
      <c r="Y67" s="477">
        <f t="shared" si="208"/>
        <v>0</v>
      </c>
      <c r="Z67" s="477">
        <f t="shared" si="208"/>
        <v>0</v>
      </c>
      <c r="AA67" s="477">
        <f t="shared" si="208"/>
        <v>0</v>
      </c>
      <c r="AB67" s="477">
        <f t="shared" si="208"/>
        <v>0</v>
      </c>
      <c r="AC67" s="477">
        <f t="shared" si="208"/>
        <v>0</v>
      </c>
      <c r="AD67" s="477">
        <f t="shared" si="208"/>
        <v>0</v>
      </c>
      <c r="AE67" s="477">
        <f t="shared" si="208"/>
        <v>0</v>
      </c>
      <c r="AF67" s="477">
        <f t="shared" si="208"/>
        <v>422306</v>
      </c>
      <c r="AG67" s="477">
        <f t="shared" si="208"/>
        <v>-6400</v>
      </c>
      <c r="AH67" s="477">
        <f t="shared" si="208"/>
        <v>415906</v>
      </c>
      <c r="AI67" s="477">
        <f t="shared" si="208"/>
        <v>0</v>
      </c>
      <c r="AJ67" s="477">
        <f t="shared" si="208"/>
        <v>6400</v>
      </c>
      <c r="AK67" s="477">
        <f t="shared" ref="AK67" si="209">SUM(AK61:AK66)</f>
        <v>0</v>
      </c>
      <c r="AL67" s="477">
        <f t="shared" si="208"/>
        <v>0</v>
      </c>
      <c r="AM67" s="477">
        <f t="shared" si="208"/>
        <v>0</v>
      </c>
      <c r="AN67" s="477">
        <f t="shared" si="208"/>
        <v>0</v>
      </c>
      <c r="AO67" s="477">
        <f t="shared" si="208"/>
        <v>0</v>
      </c>
      <c r="AP67" s="477">
        <f t="shared" si="208"/>
        <v>6400</v>
      </c>
      <c r="AQ67" s="477">
        <f t="shared" si="208"/>
        <v>6400</v>
      </c>
      <c r="AR67" s="477">
        <f t="shared" si="208"/>
        <v>422306</v>
      </c>
      <c r="AS67" s="477">
        <f t="shared" si="208"/>
        <v>0</v>
      </c>
      <c r="AT67" s="477">
        <f t="shared" si="208"/>
        <v>422306</v>
      </c>
      <c r="AU67" s="477">
        <f t="shared" si="208"/>
        <v>142739</v>
      </c>
      <c r="AV67" s="477">
        <f t="shared" si="208"/>
        <v>4159</v>
      </c>
      <c r="AW67" s="477">
        <f t="shared" si="208"/>
        <v>0</v>
      </c>
      <c r="AX67" s="477">
        <f t="shared" si="208"/>
        <v>0</v>
      </c>
      <c r="AY67" s="477">
        <f t="shared" si="208"/>
        <v>0</v>
      </c>
      <c r="AZ67" s="477">
        <f t="shared" si="208"/>
        <v>569204</v>
      </c>
      <c r="BA67" s="478">
        <f t="shared" si="208"/>
        <v>0</v>
      </c>
      <c r="BB67" s="478">
        <f t="shared" si="208"/>
        <v>0</v>
      </c>
      <c r="BC67" s="478">
        <f t="shared" si="208"/>
        <v>1.1399999999999999</v>
      </c>
      <c r="BD67" s="478">
        <f t="shared" si="208"/>
        <v>0</v>
      </c>
      <c r="BE67" s="478">
        <f t="shared" si="208"/>
        <v>0</v>
      </c>
      <c r="BF67" s="478">
        <f t="shared" si="208"/>
        <v>0</v>
      </c>
      <c r="BG67" s="478">
        <f t="shared" si="208"/>
        <v>0</v>
      </c>
      <c r="BH67" s="478">
        <f t="shared" si="208"/>
        <v>0</v>
      </c>
      <c r="BI67" s="478">
        <f t="shared" si="208"/>
        <v>0</v>
      </c>
      <c r="BJ67" s="478">
        <f t="shared" si="208"/>
        <v>0</v>
      </c>
      <c r="BK67" s="478">
        <f t="shared" si="208"/>
        <v>1.1399999999999999</v>
      </c>
      <c r="BL67" s="478">
        <f t="shared" si="208"/>
        <v>0</v>
      </c>
      <c r="BM67" s="559">
        <f t="shared" si="208"/>
        <v>1.1399999999999999</v>
      </c>
      <c r="BN67" s="481">
        <f t="shared" si="208"/>
        <v>5957770</v>
      </c>
      <c r="BO67" s="477">
        <f t="shared" si="208"/>
        <v>4378535</v>
      </c>
      <c r="BP67" s="477">
        <f t="shared" si="208"/>
        <v>3611815</v>
      </c>
      <c r="BQ67" s="477">
        <f t="shared" si="208"/>
        <v>766720</v>
      </c>
      <c r="BR67" s="477">
        <f t="shared" si="208"/>
        <v>6400</v>
      </c>
      <c r="BS67" s="477">
        <f t="shared" si="208"/>
        <v>0</v>
      </c>
      <c r="BT67" s="477">
        <f t="shared" si="208"/>
        <v>6400</v>
      </c>
      <c r="BU67" s="477">
        <f t="shared" si="208"/>
        <v>1482107</v>
      </c>
      <c r="BV67" s="477">
        <f t="shared" ref="BV67:CF67" si="210">SUM(BV61:BV66)</f>
        <v>43786</v>
      </c>
      <c r="BW67" s="477">
        <f t="shared" si="210"/>
        <v>46942</v>
      </c>
      <c r="BX67" s="478">
        <f t="shared" si="210"/>
        <v>8.7637</v>
      </c>
      <c r="BY67" s="478">
        <f t="shared" si="210"/>
        <v>6.3789999999999996</v>
      </c>
      <c r="BZ67" s="559">
        <f t="shared" si="210"/>
        <v>2.3847</v>
      </c>
      <c r="CA67" s="885">
        <f t="shared" si="210"/>
        <v>0</v>
      </c>
      <c r="CB67" s="883">
        <f t="shared" si="210"/>
        <v>0</v>
      </c>
      <c r="CC67" s="883">
        <f t="shared" si="210"/>
        <v>0</v>
      </c>
      <c r="CD67" s="883">
        <f t="shared" si="210"/>
        <v>0</v>
      </c>
      <c r="CE67" s="883">
        <f t="shared" si="210"/>
        <v>0</v>
      </c>
      <c r="CF67" s="845">
        <f t="shared" si="210"/>
        <v>0</v>
      </c>
    </row>
    <row r="68" spans="1:84" ht="12.95" customHeight="1" x14ac:dyDescent="0.25">
      <c r="A68" s="282">
        <v>12</v>
      </c>
      <c r="B68" s="323">
        <v>5407</v>
      </c>
      <c r="C68" s="324">
        <v>600099148</v>
      </c>
      <c r="D68" s="283">
        <v>70939403</v>
      </c>
      <c r="E68" s="325" t="s">
        <v>372</v>
      </c>
      <c r="F68" s="283">
        <v>3111</v>
      </c>
      <c r="G68" s="325" t="s">
        <v>305</v>
      </c>
      <c r="H68" s="286" t="s">
        <v>271</v>
      </c>
      <c r="I68" s="423">
        <f t="shared" ref="I68:I73" si="211">J68+P68+Q68+R68</f>
        <v>3082308</v>
      </c>
      <c r="J68" s="418">
        <f t="shared" si="7"/>
        <v>2280835</v>
      </c>
      <c r="K68" s="418">
        <v>2161027</v>
      </c>
      <c r="L68" s="418">
        <v>119808</v>
      </c>
      <c r="M68" s="418">
        <f t="shared" ref="M68:M73" si="212">N68+O68</f>
        <v>0</v>
      </c>
      <c r="N68" s="418">
        <v>0</v>
      </c>
      <c r="O68" s="418">
        <v>0</v>
      </c>
      <c r="P68" s="68">
        <f t="shared" ref="P68:P73" si="213">ROUND((J68+M68)*33.8%,0)</f>
        <v>770922</v>
      </c>
      <c r="Q68" s="68">
        <f t="shared" ref="Q68:Q73" si="214">ROUND(J68*1%,0)</f>
        <v>22808</v>
      </c>
      <c r="R68" s="418">
        <v>7743</v>
      </c>
      <c r="S68" s="419">
        <f t="shared" ref="S68:S73" si="215">T68+U68</f>
        <v>4.4800000000000004</v>
      </c>
      <c r="T68" s="420">
        <v>4</v>
      </c>
      <c r="U68" s="527">
        <v>0.48</v>
      </c>
      <c r="V68" s="427">
        <f t="shared" ref="V68:W73" si="216">AI68*-1</f>
        <v>0</v>
      </c>
      <c r="W68" s="421">
        <f t="shared" si="216"/>
        <v>0</v>
      </c>
      <c r="X68" s="421">
        <v>0</v>
      </c>
      <c r="Y68" s="421">
        <v>0</v>
      </c>
      <c r="Z68" s="421">
        <v>0</v>
      </c>
      <c r="AA68" s="421">
        <v>0</v>
      </c>
      <c r="AB68" s="421">
        <v>0</v>
      </c>
      <c r="AC68" s="421">
        <v>0</v>
      </c>
      <c r="AD68" s="421">
        <v>0</v>
      </c>
      <c r="AE68" s="421">
        <v>0</v>
      </c>
      <c r="AF68" s="421">
        <f t="shared" ref="AF68:AF73" si="217">V68+X68+Y68+AA68+AB68+AD68</f>
        <v>0</v>
      </c>
      <c r="AG68" s="421">
        <f t="shared" ref="AG68:AG73" si="218">W68+Z68+AC68+AE68</f>
        <v>0</v>
      </c>
      <c r="AH68" s="421">
        <f t="shared" ref="AH68:AH73" si="219">SUM(AF68:AG68)</f>
        <v>0</v>
      </c>
      <c r="AI68" s="421">
        <v>0</v>
      </c>
      <c r="AJ68" s="421">
        <v>0</v>
      </c>
      <c r="AK68" s="421">
        <v>0</v>
      </c>
      <c r="AL68" s="421">
        <v>0</v>
      </c>
      <c r="AM68" s="421">
        <v>0</v>
      </c>
      <c r="AN68" s="421">
        <v>0</v>
      </c>
      <c r="AO68" s="421">
        <f t="shared" ref="AO68:AO73" si="220">AI68+AK68+AL68+AM68</f>
        <v>0</v>
      </c>
      <c r="AP68" s="421">
        <f t="shared" ref="AP68:AP73" si="221">AJ68+AN68</f>
        <v>0</v>
      </c>
      <c r="AQ68" s="421">
        <f t="shared" ref="AQ68:AQ73" si="222">SUM(AO68:AP68)</f>
        <v>0</v>
      </c>
      <c r="AR68" s="421">
        <f t="shared" ref="AR68:AS73" si="223">AF68+AO68</f>
        <v>0</v>
      </c>
      <c r="AS68" s="421">
        <f t="shared" si="223"/>
        <v>0</v>
      </c>
      <c r="AT68" s="421">
        <f t="shared" ref="AT68:AT73" si="224">SUM(AR68:AS68)</f>
        <v>0</v>
      </c>
      <c r="AU68" s="68">
        <f t="shared" ref="AU68:AU73" si="225">ROUND((AH68+AI68+AJ68+AK68+AL68)*33.8%,0)</f>
        <v>0</v>
      </c>
      <c r="AV68" s="68">
        <f t="shared" ref="AV68:AV73" si="226">ROUND(AH68*1%,0)</f>
        <v>0</v>
      </c>
      <c r="AW68" s="421">
        <v>0</v>
      </c>
      <c r="AX68" s="421">
        <v>0</v>
      </c>
      <c r="AY68" s="421">
        <f t="shared" ref="AY68:AY73" si="227">AW68+AX68</f>
        <v>0</v>
      </c>
      <c r="AZ68" s="421">
        <f t="shared" ref="AZ68:AZ73" si="228">AT68+AU68+AV68+AY68</f>
        <v>0</v>
      </c>
      <c r="BA68" s="422">
        <v>0</v>
      </c>
      <c r="BB68" s="422">
        <v>0</v>
      </c>
      <c r="BC68" s="422">
        <v>0</v>
      </c>
      <c r="BD68" s="422">
        <v>0</v>
      </c>
      <c r="BE68" s="422">
        <v>0</v>
      </c>
      <c r="BF68" s="422">
        <v>0</v>
      </c>
      <c r="BG68" s="422">
        <v>0</v>
      </c>
      <c r="BH68" s="422">
        <v>0</v>
      </c>
      <c r="BI68" s="422">
        <v>0</v>
      </c>
      <c r="BJ68" s="422">
        <v>0</v>
      </c>
      <c r="BK68" s="422">
        <f t="shared" ref="BK68:BK73" si="229">BA68+BC68+BD68+BF68+BH68+BI68</f>
        <v>0</v>
      </c>
      <c r="BL68" s="422">
        <f t="shared" ref="BL68:BL73" si="230">BB68+BE68+BG68+BJ68</f>
        <v>0</v>
      </c>
      <c r="BM68" s="611">
        <f t="shared" ref="BM68:BM73" si="231">SUM(BK68:BL68)</f>
        <v>0</v>
      </c>
      <c r="BN68" s="428">
        <f t="shared" ref="BN68:BN73" si="232">I68+AZ68</f>
        <v>3082308</v>
      </c>
      <c r="BO68" s="421">
        <f t="shared" ref="BO68:BO73" si="233">J68+AH68</f>
        <v>2280835</v>
      </c>
      <c r="BP68" s="421">
        <f t="shared" ref="BP68:BQ73" si="234">K68+AF68</f>
        <v>2161027</v>
      </c>
      <c r="BQ68" s="421">
        <f t="shared" si="234"/>
        <v>119808</v>
      </c>
      <c r="BR68" s="421">
        <f t="shared" ref="BR68:BR73" si="235">M68+AQ68</f>
        <v>0</v>
      </c>
      <c r="BS68" s="421">
        <f t="shared" ref="BS68:BT73" si="236">N68+AO68</f>
        <v>0</v>
      </c>
      <c r="BT68" s="421">
        <f t="shared" si="236"/>
        <v>0</v>
      </c>
      <c r="BU68" s="421">
        <f t="shared" ref="BU68:BV73" si="237">P68+AU68</f>
        <v>770922</v>
      </c>
      <c r="BV68" s="421">
        <f t="shared" si="237"/>
        <v>22808</v>
      </c>
      <c r="BW68" s="421">
        <f t="shared" ref="BW68:BW73" si="238">R68+AY68</f>
        <v>7743</v>
      </c>
      <c r="BX68" s="422">
        <f t="shared" ref="BX68:BX73" si="239">S68+BM68</f>
        <v>4.4800000000000004</v>
      </c>
      <c r="BY68" s="422">
        <f t="shared" ref="BY68:BZ73" si="240">T68+BK68</f>
        <v>4</v>
      </c>
      <c r="BZ68" s="611">
        <f t="shared" si="240"/>
        <v>0.48</v>
      </c>
      <c r="CA68" s="423"/>
      <c r="CB68" s="418"/>
      <c r="CC68" s="418"/>
      <c r="CD68" s="418"/>
      <c r="CE68" s="418"/>
      <c r="CF68" s="527"/>
    </row>
    <row r="69" spans="1:84" ht="12.95" customHeight="1" x14ac:dyDescent="0.25">
      <c r="A69" s="282">
        <v>12</v>
      </c>
      <c r="B69" s="323">
        <v>5407</v>
      </c>
      <c r="C69" s="324">
        <v>600099148</v>
      </c>
      <c r="D69" s="283">
        <v>70939403</v>
      </c>
      <c r="E69" s="325" t="s">
        <v>372</v>
      </c>
      <c r="F69" s="283">
        <v>3113</v>
      </c>
      <c r="G69" s="325" t="s">
        <v>309</v>
      </c>
      <c r="H69" s="286" t="s">
        <v>271</v>
      </c>
      <c r="I69" s="423">
        <f t="shared" si="211"/>
        <v>8772073</v>
      </c>
      <c r="J69" s="418">
        <f t="shared" si="7"/>
        <v>6445844</v>
      </c>
      <c r="K69" s="418">
        <v>5865764</v>
      </c>
      <c r="L69" s="418">
        <v>580080</v>
      </c>
      <c r="M69" s="418">
        <f t="shared" si="212"/>
        <v>0</v>
      </c>
      <c r="N69" s="418">
        <v>0</v>
      </c>
      <c r="O69" s="418">
        <v>0</v>
      </c>
      <c r="P69" s="68">
        <f>ROUND((J69+M69)*33.8%,0)+1</f>
        <v>2178696</v>
      </c>
      <c r="Q69" s="68">
        <f>ROUND(J69*1%,0)+1</f>
        <v>64459</v>
      </c>
      <c r="R69" s="418">
        <v>83074</v>
      </c>
      <c r="S69" s="419">
        <f t="shared" si="215"/>
        <v>10.5989</v>
      </c>
      <c r="T69" s="420">
        <v>9.1079000000000008</v>
      </c>
      <c r="U69" s="527">
        <v>1.4910000000000001</v>
      </c>
      <c r="V69" s="427">
        <f t="shared" si="216"/>
        <v>0</v>
      </c>
      <c r="W69" s="421">
        <f t="shared" si="216"/>
        <v>-6400</v>
      </c>
      <c r="X69" s="421">
        <v>0</v>
      </c>
      <c r="Y69" s="421">
        <v>0</v>
      </c>
      <c r="Z69" s="421">
        <v>0</v>
      </c>
      <c r="AA69" s="421">
        <v>0</v>
      </c>
      <c r="AB69" s="421">
        <v>112800</v>
      </c>
      <c r="AC69" s="421">
        <v>0</v>
      </c>
      <c r="AD69" s="421">
        <v>0</v>
      </c>
      <c r="AE69" s="421">
        <v>0</v>
      </c>
      <c r="AF69" s="421">
        <f t="shared" si="217"/>
        <v>112800</v>
      </c>
      <c r="AG69" s="421">
        <f t="shared" si="218"/>
        <v>-6400</v>
      </c>
      <c r="AH69" s="421">
        <f t="shared" si="219"/>
        <v>106400</v>
      </c>
      <c r="AI69" s="421">
        <v>0</v>
      </c>
      <c r="AJ69" s="421">
        <v>6400</v>
      </c>
      <c r="AK69" s="421">
        <v>0</v>
      </c>
      <c r="AL69" s="421">
        <v>0</v>
      </c>
      <c r="AM69" s="421">
        <v>0</v>
      </c>
      <c r="AN69" s="421">
        <v>0</v>
      </c>
      <c r="AO69" s="421">
        <f t="shared" si="220"/>
        <v>0</v>
      </c>
      <c r="AP69" s="421">
        <f t="shared" si="221"/>
        <v>6400</v>
      </c>
      <c r="AQ69" s="421">
        <f t="shared" si="222"/>
        <v>6400</v>
      </c>
      <c r="AR69" s="421">
        <f t="shared" si="223"/>
        <v>112800</v>
      </c>
      <c r="AS69" s="421">
        <f t="shared" si="223"/>
        <v>0</v>
      </c>
      <c r="AT69" s="421">
        <f t="shared" si="224"/>
        <v>112800</v>
      </c>
      <c r="AU69" s="68">
        <f t="shared" si="225"/>
        <v>38126</v>
      </c>
      <c r="AV69" s="68">
        <f t="shared" si="226"/>
        <v>1064</v>
      </c>
      <c r="AW69" s="421">
        <v>0</v>
      </c>
      <c r="AX69" s="421">
        <v>0</v>
      </c>
      <c r="AY69" s="421">
        <f t="shared" si="227"/>
        <v>0</v>
      </c>
      <c r="AZ69" s="421">
        <f t="shared" si="228"/>
        <v>151990</v>
      </c>
      <c r="BA69" s="422">
        <v>0</v>
      </c>
      <c r="BB69" s="422">
        <v>-0.02</v>
      </c>
      <c r="BC69" s="422">
        <v>0</v>
      </c>
      <c r="BD69" s="422">
        <v>0.2</v>
      </c>
      <c r="BE69" s="422">
        <v>0</v>
      </c>
      <c r="BF69" s="422">
        <v>0</v>
      </c>
      <c r="BG69" s="422">
        <v>0</v>
      </c>
      <c r="BH69" s="422">
        <v>0</v>
      </c>
      <c r="BI69" s="422">
        <v>0</v>
      </c>
      <c r="BJ69" s="422">
        <v>0</v>
      </c>
      <c r="BK69" s="422">
        <f t="shared" si="229"/>
        <v>0.2</v>
      </c>
      <c r="BL69" s="422">
        <f t="shared" si="230"/>
        <v>-0.02</v>
      </c>
      <c r="BM69" s="611">
        <f t="shared" si="231"/>
        <v>0.18000000000000002</v>
      </c>
      <c r="BN69" s="428">
        <f t="shared" si="232"/>
        <v>8924063</v>
      </c>
      <c r="BO69" s="421">
        <f t="shared" si="233"/>
        <v>6552244</v>
      </c>
      <c r="BP69" s="421">
        <f t="shared" si="234"/>
        <v>5978564</v>
      </c>
      <c r="BQ69" s="421">
        <f t="shared" si="234"/>
        <v>573680</v>
      </c>
      <c r="BR69" s="421">
        <f t="shared" si="235"/>
        <v>6400</v>
      </c>
      <c r="BS69" s="421">
        <f t="shared" si="236"/>
        <v>0</v>
      </c>
      <c r="BT69" s="421">
        <f t="shared" si="236"/>
        <v>6400</v>
      </c>
      <c r="BU69" s="421">
        <f t="shared" si="237"/>
        <v>2216822</v>
      </c>
      <c r="BV69" s="421">
        <f t="shared" si="237"/>
        <v>65523</v>
      </c>
      <c r="BW69" s="421">
        <f t="shared" si="238"/>
        <v>83074</v>
      </c>
      <c r="BX69" s="422">
        <f t="shared" si="239"/>
        <v>10.7789</v>
      </c>
      <c r="BY69" s="422">
        <f t="shared" si="240"/>
        <v>9.3079000000000001</v>
      </c>
      <c r="BZ69" s="611">
        <f t="shared" si="240"/>
        <v>1.4710000000000001</v>
      </c>
      <c r="CA69" s="423">
        <v>152054</v>
      </c>
      <c r="CB69" s="418">
        <v>112800</v>
      </c>
      <c r="CC69" s="418">
        <v>0</v>
      </c>
      <c r="CD69" s="418">
        <v>38126</v>
      </c>
      <c r="CE69" s="418">
        <v>1128</v>
      </c>
      <c r="CF69" s="527">
        <v>0.2</v>
      </c>
    </row>
    <row r="70" spans="1:84" ht="12.95" customHeight="1" x14ac:dyDescent="0.25">
      <c r="A70" s="282">
        <v>12</v>
      </c>
      <c r="B70" s="323">
        <v>5407</v>
      </c>
      <c r="C70" s="324">
        <v>600099148</v>
      </c>
      <c r="D70" s="283">
        <v>70939403</v>
      </c>
      <c r="E70" s="325" t="s">
        <v>372</v>
      </c>
      <c r="F70" s="283">
        <v>3113</v>
      </c>
      <c r="G70" s="325" t="s">
        <v>299</v>
      </c>
      <c r="H70" s="286" t="s">
        <v>272</v>
      </c>
      <c r="I70" s="423">
        <f t="shared" si="211"/>
        <v>0</v>
      </c>
      <c r="J70" s="418">
        <f t="shared" si="7"/>
        <v>0</v>
      </c>
      <c r="K70" s="418">
        <v>0</v>
      </c>
      <c r="L70" s="418">
        <v>0</v>
      </c>
      <c r="M70" s="418">
        <f>N70+O70</f>
        <v>0</v>
      </c>
      <c r="N70" s="418">
        <v>0</v>
      </c>
      <c r="O70" s="418">
        <v>0</v>
      </c>
      <c r="P70" s="68">
        <f t="shared" ref="P70" si="241">ROUND((J70+M70)*33.8%,0)</f>
        <v>0</v>
      </c>
      <c r="Q70" s="68">
        <f t="shared" ref="Q70" si="242">ROUND(J70*1%,0)</f>
        <v>0</v>
      </c>
      <c r="R70" s="418">
        <v>0</v>
      </c>
      <c r="S70" s="419">
        <f>T70+U70</f>
        <v>0</v>
      </c>
      <c r="T70" s="420">
        <v>0</v>
      </c>
      <c r="U70" s="527">
        <v>0</v>
      </c>
      <c r="V70" s="427">
        <f t="shared" si="216"/>
        <v>0</v>
      </c>
      <c r="W70" s="421">
        <f t="shared" si="216"/>
        <v>0</v>
      </c>
      <c r="X70" s="421">
        <v>751911</v>
      </c>
      <c r="Y70" s="421">
        <v>0</v>
      </c>
      <c r="Z70" s="421">
        <v>0</v>
      </c>
      <c r="AA70" s="421">
        <v>0</v>
      </c>
      <c r="AB70" s="421">
        <v>0</v>
      </c>
      <c r="AC70" s="421">
        <v>0</v>
      </c>
      <c r="AD70" s="421">
        <v>0</v>
      </c>
      <c r="AE70" s="421">
        <v>0</v>
      </c>
      <c r="AF70" s="421">
        <f t="shared" si="217"/>
        <v>751911</v>
      </c>
      <c r="AG70" s="421">
        <f t="shared" si="218"/>
        <v>0</v>
      </c>
      <c r="AH70" s="421">
        <f t="shared" si="219"/>
        <v>751911</v>
      </c>
      <c r="AI70" s="421">
        <v>0</v>
      </c>
      <c r="AJ70" s="421">
        <v>0</v>
      </c>
      <c r="AK70" s="421">
        <v>0</v>
      </c>
      <c r="AL70" s="421">
        <v>0</v>
      </c>
      <c r="AM70" s="421">
        <v>0</v>
      </c>
      <c r="AN70" s="421">
        <v>0</v>
      </c>
      <c r="AO70" s="421">
        <f t="shared" si="220"/>
        <v>0</v>
      </c>
      <c r="AP70" s="421">
        <f t="shared" si="221"/>
        <v>0</v>
      </c>
      <c r="AQ70" s="421">
        <f t="shared" si="222"/>
        <v>0</v>
      </c>
      <c r="AR70" s="421">
        <f t="shared" si="223"/>
        <v>751911</v>
      </c>
      <c r="AS70" s="421">
        <f t="shared" si="223"/>
        <v>0</v>
      </c>
      <c r="AT70" s="421">
        <f t="shared" si="224"/>
        <v>751911</v>
      </c>
      <c r="AU70" s="68">
        <f t="shared" si="225"/>
        <v>254146</v>
      </c>
      <c r="AV70" s="68">
        <f t="shared" si="226"/>
        <v>7519</v>
      </c>
      <c r="AW70" s="421">
        <v>0</v>
      </c>
      <c r="AX70" s="421">
        <v>0</v>
      </c>
      <c r="AY70" s="421">
        <f t="shared" si="227"/>
        <v>0</v>
      </c>
      <c r="AZ70" s="421">
        <f t="shared" si="228"/>
        <v>1013576</v>
      </c>
      <c r="BA70" s="422">
        <v>0</v>
      </c>
      <c r="BB70" s="422">
        <v>0</v>
      </c>
      <c r="BC70" s="422">
        <v>2.0299999999999998</v>
      </c>
      <c r="BD70" s="422">
        <v>0</v>
      </c>
      <c r="BE70" s="422">
        <v>0</v>
      </c>
      <c r="BF70" s="422">
        <v>0</v>
      </c>
      <c r="BG70" s="422">
        <v>0</v>
      </c>
      <c r="BH70" s="422">
        <v>0</v>
      </c>
      <c r="BI70" s="422">
        <v>0</v>
      </c>
      <c r="BJ70" s="422">
        <v>0</v>
      </c>
      <c r="BK70" s="422">
        <f t="shared" si="229"/>
        <v>2.0299999999999998</v>
      </c>
      <c r="BL70" s="422">
        <f t="shared" si="230"/>
        <v>0</v>
      </c>
      <c r="BM70" s="611">
        <f t="shared" si="231"/>
        <v>2.0299999999999998</v>
      </c>
      <c r="BN70" s="428">
        <f t="shared" si="232"/>
        <v>1013576</v>
      </c>
      <c r="BO70" s="421">
        <f t="shared" si="233"/>
        <v>751911</v>
      </c>
      <c r="BP70" s="421">
        <f t="shared" si="234"/>
        <v>751911</v>
      </c>
      <c r="BQ70" s="421">
        <f t="shared" si="234"/>
        <v>0</v>
      </c>
      <c r="BR70" s="421">
        <f t="shared" si="235"/>
        <v>0</v>
      </c>
      <c r="BS70" s="421">
        <f t="shared" si="236"/>
        <v>0</v>
      </c>
      <c r="BT70" s="421">
        <f t="shared" si="236"/>
        <v>0</v>
      </c>
      <c r="BU70" s="421">
        <f t="shared" si="237"/>
        <v>254146</v>
      </c>
      <c r="BV70" s="421">
        <f t="shared" si="237"/>
        <v>7519</v>
      </c>
      <c r="BW70" s="421">
        <f t="shared" si="238"/>
        <v>0</v>
      </c>
      <c r="BX70" s="422">
        <f t="shared" si="239"/>
        <v>2.0299999999999998</v>
      </c>
      <c r="BY70" s="422">
        <f t="shared" si="240"/>
        <v>2.0299999999999998</v>
      </c>
      <c r="BZ70" s="611">
        <f t="shared" si="240"/>
        <v>0</v>
      </c>
      <c r="CA70" s="423"/>
      <c r="CB70" s="418"/>
      <c r="CC70" s="418"/>
      <c r="CD70" s="418"/>
      <c r="CE70" s="418"/>
      <c r="CF70" s="527"/>
    </row>
    <row r="71" spans="1:84" ht="12.95" customHeight="1" x14ac:dyDescent="0.25">
      <c r="A71" s="282">
        <v>12</v>
      </c>
      <c r="B71" s="323">
        <v>5407</v>
      </c>
      <c r="C71" s="324">
        <v>600099148</v>
      </c>
      <c r="D71" s="283">
        <v>70939403</v>
      </c>
      <c r="E71" s="325" t="s">
        <v>372</v>
      </c>
      <c r="F71" s="283">
        <v>3141</v>
      </c>
      <c r="G71" s="325" t="s">
        <v>295</v>
      </c>
      <c r="H71" s="286" t="s">
        <v>272</v>
      </c>
      <c r="I71" s="423">
        <f t="shared" si="211"/>
        <v>870150</v>
      </c>
      <c r="J71" s="418">
        <f t="shared" si="7"/>
        <v>642483</v>
      </c>
      <c r="K71" s="418"/>
      <c r="L71" s="418">
        <v>642483</v>
      </c>
      <c r="M71" s="418">
        <f t="shared" si="212"/>
        <v>0</v>
      </c>
      <c r="N71" s="418">
        <v>0</v>
      </c>
      <c r="O71" s="418">
        <v>0</v>
      </c>
      <c r="P71" s="68">
        <f t="shared" si="213"/>
        <v>217159</v>
      </c>
      <c r="Q71" s="68">
        <f t="shared" si="214"/>
        <v>6425</v>
      </c>
      <c r="R71" s="418">
        <v>4083</v>
      </c>
      <c r="S71" s="419">
        <f t="shared" si="215"/>
        <v>1.9266000000000001</v>
      </c>
      <c r="T71" s="420">
        <v>0</v>
      </c>
      <c r="U71" s="527">
        <v>1.9266000000000001</v>
      </c>
      <c r="V71" s="427">
        <f t="shared" si="216"/>
        <v>0</v>
      </c>
      <c r="W71" s="421">
        <f t="shared" si="216"/>
        <v>0</v>
      </c>
      <c r="X71" s="421">
        <v>0</v>
      </c>
      <c r="Y71" s="421">
        <v>0</v>
      </c>
      <c r="Z71" s="421">
        <v>0</v>
      </c>
      <c r="AA71" s="421">
        <v>0</v>
      </c>
      <c r="AB71" s="421">
        <v>0</v>
      </c>
      <c r="AC71" s="421">
        <v>0</v>
      </c>
      <c r="AD71" s="421">
        <v>0</v>
      </c>
      <c r="AE71" s="421">
        <v>0</v>
      </c>
      <c r="AF71" s="421">
        <f t="shared" si="217"/>
        <v>0</v>
      </c>
      <c r="AG71" s="421">
        <f t="shared" si="218"/>
        <v>0</v>
      </c>
      <c r="AH71" s="421">
        <f t="shared" si="219"/>
        <v>0</v>
      </c>
      <c r="AI71" s="421">
        <v>0</v>
      </c>
      <c r="AJ71" s="421">
        <v>0</v>
      </c>
      <c r="AK71" s="421">
        <v>0</v>
      </c>
      <c r="AL71" s="421">
        <v>0</v>
      </c>
      <c r="AM71" s="421">
        <v>0</v>
      </c>
      <c r="AN71" s="421">
        <v>0</v>
      </c>
      <c r="AO71" s="421">
        <f t="shared" si="220"/>
        <v>0</v>
      </c>
      <c r="AP71" s="421">
        <f t="shared" si="221"/>
        <v>0</v>
      </c>
      <c r="AQ71" s="421">
        <f t="shared" si="222"/>
        <v>0</v>
      </c>
      <c r="AR71" s="421">
        <f t="shared" si="223"/>
        <v>0</v>
      </c>
      <c r="AS71" s="421">
        <f t="shared" si="223"/>
        <v>0</v>
      </c>
      <c r="AT71" s="421">
        <f t="shared" si="224"/>
        <v>0</v>
      </c>
      <c r="AU71" s="68">
        <f t="shared" si="225"/>
        <v>0</v>
      </c>
      <c r="AV71" s="68">
        <f t="shared" si="226"/>
        <v>0</v>
      </c>
      <c r="AW71" s="421">
        <v>0</v>
      </c>
      <c r="AX71" s="421">
        <v>0</v>
      </c>
      <c r="AY71" s="421">
        <f t="shared" si="227"/>
        <v>0</v>
      </c>
      <c r="AZ71" s="421">
        <f t="shared" si="228"/>
        <v>0</v>
      </c>
      <c r="BA71" s="422">
        <v>0</v>
      </c>
      <c r="BB71" s="422">
        <v>0</v>
      </c>
      <c r="BC71" s="422">
        <v>0</v>
      </c>
      <c r="BD71" s="422">
        <v>0</v>
      </c>
      <c r="BE71" s="422">
        <v>0</v>
      </c>
      <c r="BF71" s="422">
        <v>0</v>
      </c>
      <c r="BG71" s="422">
        <v>0</v>
      </c>
      <c r="BH71" s="422">
        <v>0</v>
      </c>
      <c r="BI71" s="422">
        <v>0</v>
      </c>
      <c r="BJ71" s="422">
        <v>0</v>
      </c>
      <c r="BK71" s="422">
        <f t="shared" si="229"/>
        <v>0</v>
      </c>
      <c r="BL71" s="422">
        <f t="shared" si="230"/>
        <v>0</v>
      </c>
      <c r="BM71" s="611">
        <f t="shared" si="231"/>
        <v>0</v>
      </c>
      <c r="BN71" s="428">
        <f t="shared" si="232"/>
        <v>870150</v>
      </c>
      <c r="BO71" s="421">
        <f t="shared" si="233"/>
        <v>642483</v>
      </c>
      <c r="BP71" s="421">
        <f t="shared" si="234"/>
        <v>0</v>
      </c>
      <c r="BQ71" s="421">
        <f t="shared" si="234"/>
        <v>642483</v>
      </c>
      <c r="BR71" s="421">
        <f t="shared" si="235"/>
        <v>0</v>
      </c>
      <c r="BS71" s="421">
        <f t="shared" si="236"/>
        <v>0</v>
      </c>
      <c r="BT71" s="421">
        <f t="shared" si="236"/>
        <v>0</v>
      </c>
      <c r="BU71" s="421">
        <f t="shared" si="237"/>
        <v>217159</v>
      </c>
      <c r="BV71" s="421">
        <f t="shared" si="237"/>
        <v>6425</v>
      </c>
      <c r="BW71" s="421">
        <f t="shared" si="238"/>
        <v>4083</v>
      </c>
      <c r="BX71" s="422">
        <f t="shared" si="239"/>
        <v>1.9266000000000001</v>
      </c>
      <c r="BY71" s="422">
        <f t="shared" si="240"/>
        <v>0</v>
      </c>
      <c r="BZ71" s="611">
        <f t="shared" si="240"/>
        <v>1.9266000000000001</v>
      </c>
      <c r="CA71" s="423"/>
      <c r="CB71" s="418"/>
      <c r="CC71" s="418"/>
      <c r="CD71" s="418"/>
      <c r="CE71" s="418"/>
      <c r="CF71" s="527"/>
    </row>
    <row r="72" spans="1:84" ht="12.95" customHeight="1" x14ac:dyDescent="0.25">
      <c r="A72" s="282">
        <v>12</v>
      </c>
      <c r="B72" s="323">
        <v>5407</v>
      </c>
      <c r="C72" s="324">
        <v>600099148</v>
      </c>
      <c r="D72" s="283">
        <v>70939403</v>
      </c>
      <c r="E72" s="325" t="s">
        <v>372</v>
      </c>
      <c r="F72" s="283">
        <v>3143</v>
      </c>
      <c r="G72" s="325" t="s">
        <v>596</v>
      </c>
      <c r="H72" s="286" t="s">
        <v>271</v>
      </c>
      <c r="I72" s="423">
        <f t="shared" si="211"/>
        <v>422611</v>
      </c>
      <c r="J72" s="418">
        <f t="shared" si="7"/>
        <v>313510</v>
      </c>
      <c r="K72" s="418">
        <v>313510</v>
      </c>
      <c r="L72" s="418">
        <v>0</v>
      </c>
      <c r="M72" s="418">
        <f t="shared" si="212"/>
        <v>0</v>
      </c>
      <c r="N72" s="418">
        <v>0</v>
      </c>
      <c r="O72" s="418">
        <v>0</v>
      </c>
      <c r="P72" s="68">
        <f t="shared" si="213"/>
        <v>105966</v>
      </c>
      <c r="Q72" s="68">
        <f t="shared" si="214"/>
        <v>3135</v>
      </c>
      <c r="R72" s="418">
        <v>0</v>
      </c>
      <c r="S72" s="419">
        <f t="shared" si="215"/>
        <v>0.65</v>
      </c>
      <c r="T72" s="420">
        <v>0.65</v>
      </c>
      <c r="U72" s="527">
        <v>0</v>
      </c>
      <c r="V72" s="427">
        <f t="shared" si="216"/>
        <v>0</v>
      </c>
      <c r="W72" s="421">
        <f t="shared" si="216"/>
        <v>0</v>
      </c>
      <c r="X72" s="421">
        <v>0</v>
      </c>
      <c r="Y72" s="421">
        <v>0</v>
      </c>
      <c r="Z72" s="421">
        <v>0</v>
      </c>
      <c r="AA72" s="421">
        <v>0</v>
      </c>
      <c r="AB72" s="421">
        <v>0</v>
      </c>
      <c r="AC72" s="421">
        <v>0</v>
      </c>
      <c r="AD72" s="421">
        <v>0</v>
      </c>
      <c r="AE72" s="421">
        <v>0</v>
      </c>
      <c r="AF72" s="421">
        <f t="shared" si="217"/>
        <v>0</v>
      </c>
      <c r="AG72" s="421">
        <f t="shared" si="218"/>
        <v>0</v>
      </c>
      <c r="AH72" s="421">
        <f t="shared" si="219"/>
        <v>0</v>
      </c>
      <c r="AI72" s="421">
        <v>0</v>
      </c>
      <c r="AJ72" s="421">
        <v>0</v>
      </c>
      <c r="AK72" s="421">
        <v>0</v>
      </c>
      <c r="AL72" s="421">
        <v>0</v>
      </c>
      <c r="AM72" s="421">
        <v>0</v>
      </c>
      <c r="AN72" s="421">
        <v>0</v>
      </c>
      <c r="AO72" s="421">
        <f t="shared" si="220"/>
        <v>0</v>
      </c>
      <c r="AP72" s="421">
        <f t="shared" si="221"/>
        <v>0</v>
      </c>
      <c r="AQ72" s="421">
        <f t="shared" si="222"/>
        <v>0</v>
      </c>
      <c r="AR72" s="421">
        <f t="shared" si="223"/>
        <v>0</v>
      </c>
      <c r="AS72" s="421">
        <f t="shared" si="223"/>
        <v>0</v>
      </c>
      <c r="AT72" s="421">
        <f t="shared" si="224"/>
        <v>0</v>
      </c>
      <c r="AU72" s="68">
        <f t="shared" si="225"/>
        <v>0</v>
      </c>
      <c r="AV72" s="68">
        <f t="shared" si="226"/>
        <v>0</v>
      </c>
      <c r="AW72" s="421">
        <v>0</v>
      </c>
      <c r="AX72" s="421">
        <v>0</v>
      </c>
      <c r="AY72" s="421">
        <f t="shared" si="227"/>
        <v>0</v>
      </c>
      <c r="AZ72" s="421">
        <f t="shared" si="228"/>
        <v>0</v>
      </c>
      <c r="BA72" s="422">
        <v>0</v>
      </c>
      <c r="BB72" s="422">
        <v>0</v>
      </c>
      <c r="BC72" s="422">
        <v>0</v>
      </c>
      <c r="BD72" s="422">
        <v>0</v>
      </c>
      <c r="BE72" s="422">
        <v>0</v>
      </c>
      <c r="BF72" s="422">
        <v>0</v>
      </c>
      <c r="BG72" s="422">
        <v>0</v>
      </c>
      <c r="BH72" s="422">
        <v>0</v>
      </c>
      <c r="BI72" s="422">
        <v>0</v>
      </c>
      <c r="BJ72" s="422">
        <v>0</v>
      </c>
      <c r="BK72" s="422">
        <f t="shared" si="229"/>
        <v>0</v>
      </c>
      <c r="BL72" s="422">
        <f t="shared" si="230"/>
        <v>0</v>
      </c>
      <c r="BM72" s="611">
        <f t="shared" si="231"/>
        <v>0</v>
      </c>
      <c r="BN72" s="428">
        <f t="shared" si="232"/>
        <v>422611</v>
      </c>
      <c r="BO72" s="421">
        <f t="shared" si="233"/>
        <v>313510</v>
      </c>
      <c r="BP72" s="421">
        <f t="shared" si="234"/>
        <v>313510</v>
      </c>
      <c r="BQ72" s="421">
        <f t="shared" si="234"/>
        <v>0</v>
      </c>
      <c r="BR72" s="421">
        <f t="shared" si="235"/>
        <v>0</v>
      </c>
      <c r="BS72" s="421">
        <f t="shared" si="236"/>
        <v>0</v>
      </c>
      <c r="BT72" s="421">
        <f t="shared" si="236"/>
        <v>0</v>
      </c>
      <c r="BU72" s="421">
        <f t="shared" si="237"/>
        <v>105966</v>
      </c>
      <c r="BV72" s="421">
        <f t="shared" si="237"/>
        <v>3135</v>
      </c>
      <c r="BW72" s="421">
        <f t="shared" si="238"/>
        <v>0</v>
      </c>
      <c r="BX72" s="422">
        <f t="shared" si="239"/>
        <v>0.65</v>
      </c>
      <c r="BY72" s="422">
        <f t="shared" si="240"/>
        <v>0.65</v>
      </c>
      <c r="BZ72" s="611">
        <f t="shared" si="240"/>
        <v>0</v>
      </c>
      <c r="CA72" s="423"/>
      <c r="CB72" s="418"/>
      <c r="CC72" s="418"/>
      <c r="CD72" s="418"/>
      <c r="CE72" s="418"/>
      <c r="CF72" s="527"/>
    </row>
    <row r="73" spans="1:84" ht="12.95" customHeight="1" x14ac:dyDescent="0.25">
      <c r="A73" s="282">
        <v>12</v>
      </c>
      <c r="B73" s="323">
        <v>5407</v>
      </c>
      <c r="C73" s="324">
        <v>600099148</v>
      </c>
      <c r="D73" s="283">
        <v>70939403</v>
      </c>
      <c r="E73" s="325" t="s">
        <v>372</v>
      </c>
      <c r="F73" s="283">
        <v>3143</v>
      </c>
      <c r="G73" s="325" t="s">
        <v>597</v>
      </c>
      <c r="H73" s="286" t="s">
        <v>272</v>
      </c>
      <c r="I73" s="423">
        <f t="shared" si="211"/>
        <v>10253</v>
      </c>
      <c r="J73" s="418">
        <f t="shared" si="7"/>
        <v>7339</v>
      </c>
      <c r="K73" s="418">
        <v>0</v>
      </c>
      <c r="L73" s="418">
        <v>7339</v>
      </c>
      <c r="M73" s="418">
        <f t="shared" si="212"/>
        <v>0</v>
      </c>
      <c r="N73" s="418">
        <v>0</v>
      </c>
      <c r="O73" s="418">
        <v>0</v>
      </c>
      <c r="P73" s="68">
        <f t="shared" si="213"/>
        <v>2481</v>
      </c>
      <c r="Q73" s="68">
        <f t="shared" si="214"/>
        <v>73</v>
      </c>
      <c r="R73" s="418">
        <v>360</v>
      </c>
      <c r="S73" s="419">
        <f t="shared" si="215"/>
        <v>2.7799999999999998E-2</v>
      </c>
      <c r="T73" s="420">
        <v>0</v>
      </c>
      <c r="U73" s="527">
        <v>2.7799999999999998E-2</v>
      </c>
      <c r="V73" s="427">
        <f t="shared" si="216"/>
        <v>0</v>
      </c>
      <c r="W73" s="421">
        <f t="shared" si="216"/>
        <v>0</v>
      </c>
      <c r="X73" s="421">
        <v>0</v>
      </c>
      <c r="Y73" s="421">
        <v>0</v>
      </c>
      <c r="Z73" s="421">
        <v>0</v>
      </c>
      <c r="AA73" s="421">
        <v>0</v>
      </c>
      <c r="AB73" s="421">
        <v>0</v>
      </c>
      <c r="AC73" s="421">
        <v>0</v>
      </c>
      <c r="AD73" s="421">
        <v>0</v>
      </c>
      <c r="AE73" s="421">
        <v>0</v>
      </c>
      <c r="AF73" s="421">
        <f t="shared" si="217"/>
        <v>0</v>
      </c>
      <c r="AG73" s="421">
        <f t="shared" si="218"/>
        <v>0</v>
      </c>
      <c r="AH73" s="421">
        <f t="shared" si="219"/>
        <v>0</v>
      </c>
      <c r="AI73" s="421">
        <v>0</v>
      </c>
      <c r="AJ73" s="421">
        <v>0</v>
      </c>
      <c r="AK73" s="421">
        <v>0</v>
      </c>
      <c r="AL73" s="421">
        <v>0</v>
      </c>
      <c r="AM73" s="421">
        <v>0</v>
      </c>
      <c r="AN73" s="421">
        <v>0</v>
      </c>
      <c r="AO73" s="421">
        <f t="shared" si="220"/>
        <v>0</v>
      </c>
      <c r="AP73" s="421">
        <f t="shared" si="221"/>
        <v>0</v>
      </c>
      <c r="AQ73" s="421">
        <f t="shared" si="222"/>
        <v>0</v>
      </c>
      <c r="AR73" s="421">
        <f t="shared" si="223"/>
        <v>0</v>
      </c>
      <c r="AS73" s="421">
        <f t="shared" si="223"/>
        <v>0</v>
      </c>
      <c r="AT73" s="421">
        <f t="shared" si="224"/>
        <v>0</v>
      </c>
      <c r="AU73" s="68">
        <f t="shared" si="225"/>
        <v>0</v>
      </c>
      <c r="AV73" s="68">
        <f t="shared" si="226"/>
        <v>0</v>
      </c>
      <c r="AW73" s="421">
        <v>0</v>
      </c>
      <c r="AX73" s="421">
        <v>0</v>
      </c>
      <c r="AY73" s="421">
        <f t="shared" si="227"/>
        <v>0</v>
      </c>
      <c r="AZ73" s="421">
        <f t="shared" si="228"/>
        <v>0</v>
      </c>
      <c r="BA73" s="422">
        <v>0</v>
      </c>
      <c r="BB73" s="422">
        <v>0</v>
      </c>
      <c r="BC73" s="422">
        <v>0</v>
      </c>
      <c r="BD73" s="422">
        <v>0</v>
      </c>
      <c r="BE73" s="422">
        <v>0</v>
      </c>
      <c r="BF73" s="422">
        <v>0</v>
      </c>
      <c r="BG73" s="422">
        <v>0</v>
      </c>
      <c r="BH73" s="422">
        <v>0</v>
      </c>
      <c r="BI73" s="422">
        <v>0</v>
      </c>
      <c r="BJ73" s="422">
        <v>0</v>
      </c>
      <c r="BK73" s="422">
        <f t="shared" si="229"/>
        <v>0</v>
      </c>
      <c r="BL73" s="422">
        <f t="shared" si="230"/>
        <v>0</v>
      </c>
      <c r="BM73" s="611">
        <f t="shared" si="231"/>
        <v>0</v>
      </c>
      <c r="BN73" s="428">
        <f t="shared" si="232"/>
        <v>10253</v>
      </c>
      <c r="BO73" s="421">
        <f t="shared" si="233"/>
        <v>7339</v>
      </c>
      <c r="BP73" s="421">
        <f t="shared" si="234"/>
        <v>0</v>
      </c>
      <c r="BQ73" s="421">
        <f t="shared" si="234"/>
        <v>7339</v>
      </c>
      <c r="BR73" s="421">
        <f t="shared" si="235"/>
        <v>0</v>
      </c>
      <c r="BS73" s="421">
        <f t="shared" si="236"/>
        <v>0</v>
      </c>
      <c r="BT73" s="421">
        <f t="shared" si="236"/>
        <v>0</v>
      </c>
      <c r="BU73" s="421">
        <f t="shared" si="237"/>
        <v>2481</v>
      </c>
      <c r="BV73" s="421">
        <f t="shared" si="237"/>
        <v>73</v>
      </c>
      <c r="BW73" s="421">
        <f t="shared" si="238"/>
        <v>360</v>
      </c>
      <c r="BX73" s="422">
        <f t="shared" si="239"/>
        <v>2.7799999999999998E-2</v>
      </c>
      <c r="BY73" s="422">
        <f t="shared" si="240"/>
        <v>0</v>
      </c>
      <c r="BZ73" s="611">
        <f t="shared" si="240"/>
        <v>2.7799999999999998E-2</v>
      </c>
      <c r="CA73" s="423"/>
      <c r="CB73" s="418"/>
      <c r="CC73" s="418"/>
      <c r="CD73" s="418"/>
      <c r="CE73" s="418"/>
      <c r="CF73" s="527"/>
    </row>
    <row r="74" spans="1:84" ht="12.95" customHeight="1" x14ac:dyDescent="0.25">
      <c r="A74" s="326">
        <v>12</v>
      </c>
      <c r="B74" s="327">
        <v>5407</v>
      </c>
      <c r="C74" s="328">
        <v>600099148</v>
      </c>
      <c r="D74" s="327">
        <v>70939403</v>
      </c>
      <c r="E74" s="329" t="s">
        <v>373</v>
      </c>
      <c r="F74" s="293"/>
      <c r="G74" s="331"/>
      <c r="H74" s="294"/>
      <c r="I74" s="481">
        <f t="shared" ref="I74:BT74" si="243">SUM(I68:I73)</f>
        <v>13157395</v>
      </c>
      <c r="J74" s="477">
        <f t="shared" si="243"/>
        <v>9690011</v>
      </c>
      <c r="K74" s="477">
        <f t="shared" si="243"/>
        <v>8340301</v>
      </c>
      <c r="L74" s="477">
        <f t="shared" si="243"/>
        <v>1349710</v>
      </c>
      <c r="M74" s="477">
        <f t="shared" si="243"/>
        <v>0</v>
      </c>
      <c r="N74" s="477">
        <f t="shared" si="243"/>
        <v>0</v>
      </c>
      <c r="O74" s="477">
        <f t="shared" si="243"/>
        <v>0</v>
      </c>
      <c r="P74" s="477">
        <f t="shared" si="243"/>
        <v>3275224</v>
      </c>
      <c r="Q74" s="477">
        <f t="shared" si="243"/>
        <v>96900</v>
      </c>
      <c r="R74" s="477">
        <f t="shared" si="243"/>
        <v>95260</v>
      </c>
      <c r="S74" s="478">
        <f t="shared" si="243"/>
        <v>17.683299999999999</v>
      </c>
      <c r="T74" s="478">
        <f t="shared" si="243"/>
        <v>13.757900000000001</v>
      </c>
      <c r="U74" s="330">
        <f t="shared" si="243"/>
        <v>3.9254000000000002</v>
      </c>
      <c r="V74" s="483">
        <f t="shared" si="243"/>
        <v>0</v>
      </c>
      <c r="W74" s="477">
        <f t="shared" si="243"/>
        <v>-6400</v>
      </c>
      <c r="X74" s="477">
        <f t="shared" si="243"/>
        <v>751911</v>
      </c>
      <c r="Y74" s="477">
        <f t="shared" si="243"/>
        <v>0</v>
      </c>
      <c r="Z74" s="477">
        <f t="shared" si="243"/>
        <v>0</v>
      </c>
      <c r="AA74" s="477">
        <f t="shared" si="243"/>
        <v>0</v>
      </c>
      <c r="AB74" s="477">
        <f t="shared" si="243"/>
        <v>112800</v>
      </c>
      <c r="AC74" s="477">
        <f t="shared" si="243"/>
        <v>0</v>
      </c>
      <c r="AD74" s="477">
        <f t="shared" si="243"/>
        <v>0</v>
      </c>
      <c r="AE74" s="477">
        <f t="shared" si="243"/>
        <v>0</v>
      </c>
      <c r="AF74" s="477">
        <f t="shared" si="243"/>
        <v>864711</v>
      </c>
      <c r="AG74" s="477">
        <f t="shared" si="243"/>
        <v>-6400</v>
      </c>
      <c r="AH74" s="477">
        <f t="shared" si="243"/>
        <v>858311</v>
      </c>
      <c r="AI74" s="477">
        <f t="shared" si="243"/>
        <v>0</v>
      </c>
      <c r="AJ74" s="477">
        <f t="shared" si="243"/>
        <v>6400</v>
      </c>
      <c r="AK74" s="477">
        <f t="shared" ref="AK74" si="244">SUM(AK68:AK73)</f>
        <v>0</v>
      </c>
      <c r="AL74" s="477">
        <f t="shared" si="243"/>
        <v>0</v>
      </c>
      <c r="AM74" s="477">
        <f t="shared" si="243"/>
        <v>0</v>
      </c>
      <c r="AN74" s="477">
        <f t="shared" si="243"/>
        <v>0</v>
      </c>
      <c r="AO74" s="477">
        <f t="shared" si="243"/>
        <v>0</v>
      </c>
      <c r="AP74" s="477">
        <f t="shared" si="243"/>
        <v>6400</v>
      </c>
      <c r="AQ74" s="477">
        <f t="shared" si="243"/>
        <v>6400</v>
      </c>
      <c r="AR74" s="477">
        <f t="shared" si="243"/>
        <v>864711</v>
      </c>
      <c r="AS74" s="477">
        <f t="shared" si="243"/>
        <v>0</v>
      </c>
      <c r="AT74" s="477">
        <f t="shared" si="243"/>
        <v>864711</v>
      </c>
      <c r="AU74" s="477">
        <f t="shared" si="243"/>
        <v>292272</v>
      </c>
      <c r="AV74" s="477">
        <f t="shared" si="243"/>
        <v>8583</v>
      </c>
      <c r="AW74" s="477">
        <f t="shared" si="243"/>
        <v>0</v>
      </c>
      <c r="AX74" s="477">
        <f t="shared" si="243"/>
        <v>0</v>
      </c>
      <c r="AY74" s="477">
        <f t="shared" si="243"/>
        <v>0</v>
      </c>
      <c r="AZ74" s="477">
        <f t="shared" si="243"/>
        <v>1165566</v>
      </c>
      <c r="BA74" s="478">
        <f t="shared" si="243"/>
        <v>0</v>
      </c>
      <c r="BB74" s="478">
        <f t="shared" si="243"/>
        <v>-0.02</v>
      </c>
      <c r="BC74" s="478">
        <f t="shared" si="243"/>
        <v>2.0299999999999998</v>
      </c>
      <c r="BD74" s="478">
        <f t="shared" si="243"/>
        <v>0.2</v>
      </c>
      <c r="BE74" s="478">
        <f t="shared" si="243"/>
        <v>0</v>
      </c>
      <c r="BF74" s="478">
        <f t="shared" si="243"/>
        <v>0</v>
      </c>
      <c r="BG74" s="478">
        <f t="shared" si="243"/>
        <v>0</v>
      </c>
      <c r="BH74" s="478">
        <f t="shared" si="243"/>
        <v>0</v>
      </c>
      <c r="BI74" s="478">
        <f t="shared" si="243"/>
        <v>0</v>
      </c>
      <c r="BJ74" s="478">
        <f t="shared" si="243"/>
        <v>0</v>
      </c>
      <c r="BK74" s="478">
        <f t="shared" si="243"/>
        <v>2.23</v>
      </c>
      <c r="BL74" s="478">
        <f t="shared" si="243"/>
        <v>-0.02</v>
      </c>
      <c r="BM74" s="559">
        <f t="shared" si="243"/>
        <v>2.21</v>
      </c>
      <c r="BN74" s="481">
        <f t="shared" si="243"/>
        <v>14322961</v>
      </c>
      <c r="BO74" s="477">
        <f t="shared" si="243"/>
        <v>10548322</v>
      </c>
      <c r="BP74" s="477">
        <f t="shared" si="243"/>
        <v>9205012</v>
      </c>
      <c r="BQ74" s="477">
        <f t="shared" si="243"/>
        <v>1343310</v>
      </c>
      <c r="BR74" s="477">
        <f t="shared" si="243"/>
        <v>6400</v>
      </c>
      <c r="BS74" s="477">
        <f t="shared" si="243"/>
        <v>0</v>
      </c>
      <c r="BT74" s="477">
        <f t="shared" si="243"/>
        <v>6400</v>
      </c>
      <c r="BU74" s="477">
        <f t="shared" ref="BU74:CF74" si="245">SUM(BU68:BU73)</f>
        <v>3567496</v>
      </c>
      <c r="BV74" s="477">
        <f t="shared" si="245"/>
        <v>105483</v>
      </c>
      <c r="BW74" s="477">
        <f t="shared" si="245"/>
        <v>95260</v>
      </c>
      <c r="BX74" s="478">
        <f t="shared" si="245"/>
        <v>19.8933</v>
      </c>
      <c r="BY74" s="478">
        <f t="shared" si="245"/>
        <v>15.9879</v>
      </c>
      <c r="BZ74" s="559">
        <f t="shared" si="245"/>
        <v>3.9054000000000002</v>
      </c>
      <c r="CA74" s="885">
        <f t="shared" si="245"/>
        <v>152054</v>
      </c>
      <c r="CB74" s="883">
        <f t="shared" si="245"/>
        <v>112800</v>
      </c>
      <c r="CC74" s="883">
        <f t="shared" si="245"/>
        <v>0</v>
      </c>
      <c r="CD74" s="883">
        <f t="shared" si="245"/>
        <v>38126</v>
      </c>
      <c r="CE74" s="883">
        <f t="shared" si="245"/>
        <v>1128</v>
      </c>
      <c r="CF74" s="845">
        <f t="shared" si="245"/>
        <v>0.2</v>
      </c>
    </row>
    <row r="75" spans="1:84" ht="12.95" customHeight="1" x14ac:dyDescent="0.25">
      <c r="A75" s="282">
        <v>13</v>
      </c>
      <c r="B75" s="323">
        <v>5411</v>
      </c>
      <c r="C75" s="324">
        <v>650034244</v>
      </c>
      <c r="D75" s="283">
        <v>70985375</v>
      </c>
      <c r="E75" s="325" t="s">
        <v>374</v>
      </c>
      <c r="F75" s="283">
        <v>3111</v>
      </c>
      <c r="G75" s="325" t="s">
        <v>305</v>
      </c>
      <c r="H75" s="286" t="s">
        <v>271</v>
      </c>
      <c r="I75" s="423">
        <f t="shared" ref="I75:I80" si="246">J75+P75+Q75+R75</f>
        <v>2332421</v>
      </c>
      <c r="J75" s="418">
        <f t="shared" si="7"/>
        <v>1723945</v>
      </c>
      <c r="K75" s="418">
        <v>1604137</v>
      </c>
      <c r="L75" s="418">
        <v>119808</v>
      </c>
      <c r="M75" s="418">
        <f t="shared" ref="M75:M80" si="247">N75+O75</f>
        <v>0</v>
      </c>
      <c r="N75" s="418">
        <v>0</v>
      </c>
      <c r="O75" s="418">
        <v>0</v>
      </c>
      <c r="P75" s="68">
        <f t="shared" ref="P75:P80" si="248">ROUND((J75+M75)*33.8%,0)</f>
        <v>582693</v>
      </c>
      <c r="Q75" s="68">
        <f t="shared" ref="Q75:Q80" si="249">ROUND(J75*1%,0)</f>
        <v>17239</v>
      </c>
      <c r="R75" s="418">
        <v>8544</v>
      </c>
      <c r="S75" s="419">
        <f t="shared" ref="S75:S80" si="250">T75+U75</f>
        <v>3.48</v>
      </c>
      <c r="T75" s="420">
        <v>3</v>
      </c>
      <c r="U75" s="527">
        <v>0.48</v>
      </c>
      <c r="V75" s="427">
        <f t="shared" ref="V75:W80" si="251">AI75*-1</f>
        <v>-7680</v>
      </c>
      <c r="W75" s="421">
        <f t="shared" si="251"/>
        <v>0</v>
      </c>
      <c r="X75" s="421">
        <v>0</v>
      </c>
      <c r="Y75" s="421">
        <v>0</v>
      </c>
      <c r="Z75" s="421">
        <v>0</v>
      </c>
      <c r="AA75" s="421">
        <v>0</v>
      </c>
      <c r="AB75" s="421">
        <v>0</v>
      </c>
      <c r="AC75" s="421">
        <v>0</v>
      </c>
      <c r="AD75" s="421">
        <v>0</v>
      </c>
      <c r="AE75" s="421">
        <v>0</v>
      </c>
      <c r="AF75" s="421">
        <f t="shared" ref="AF75:AF80" si="252">V75+X75+Y75+AA75+AB75+AD75</f>
        <v>-7680</v>
      </c>
      <c r="AG75" s="421">
        <f t="shared" ref="AG75:AG80" si="253">W75+Z75+AC75+AE75</f>
        <v>0</v>
      </c>
      <c r="AH75" s="421">
        <f t="shared" ref="AH75:AH80" si="254">SUM(AF75:AG75)</f>
        <v>-7680</v>
      </c>
      <c r="AI75" s="421">
        <v>7680</v>
      </c>
      <c r="AJ75" s="421">
        <v>0</v>
      </c>
      <c r="AK75" s="421">
        <v>0</v>
      </c>
      <c r="AL75" s="421">
        <v>46800</v>
      </c>
      <c r="AM75" s="421">
        <v>0</v>
      </c>
      <c r="AN75" s="421">
        <v>0</v>
      </c>
      <c r="AO75" s="421">
        <f t="shared" ref="AO75:AO80" si="255">AI75+AK75+AL75+AM75</f>
        <v>54480</v>
      </c>
      <c r="AP75" s="421">
        <f t="shared" ref="AP75:AP80" si="256">AJ75+AN75</f>
        <v>0</v>
      </c>
      <c r="AQ75" s="421">
        <f t="shared" ref="AQ75:AQ80" si="257">SUM(AO75:AP75)</f>
        <v>54480</v>
      </c>
      <c r="AR75" s="421">
        <f t="shared" ref="AR75:AS80" si="258">AF75+AO75</f>
        <v>46800</v>
      </c>
      <c r="AS75" s="421">
        <f t="shared" si="258"/>
        <v>0</v>
      </c>
      <c r="AT75" s="421">
        <f t="shared" ref="AT75:AT80" si="259">SUM(AR75:AS75)</f>
        <v>46800</v>
      </c>
      <c r="AU75" s="68">
        <f t="shared" ref="AU75:AU80" si="260">ROUND((AH75+AI75+AJ75+AK75+AL75)*33.8%,0)</f>
        <v>15818</v>
      </c>
      <c r="AV75" s="68">
        <f t="shared" ref="AV75:AV80" si="261">ROUND(AH75*1%,0)</f>
        <v>-77</v>
      </c>
      <c r="AW75" s="421">
        <v>0</v>
      </c>
      <c r="AX75" s="421">
        <v>0</v>
      </c>
      <c r="AY75" s="421">
        <f t="shared" ref="AY75:AY80" si="262">AW75+AX75</f>
        <v>0</v>
      </c>
      <c r="AZ75" s="421">
        <f t="shared" ref="AZ75:AZ80" si="263">AT75+AU75+AV75+AY75</f>
        <v>62541</v>
      </c>
      <c r="BA75" s="422">
        <v>-0.01</v>
      </c>
      <c r="BB75" s="422">
        <v>0</v>
      </c>
      <c r="BC75" s="422">
        <v>0</v>
      </c>
      <c r="BD75" s="422">
        <v>0</v>
      </c>
      <c r="BE75" s="422">
        <v>0</v>
      </c>
      <c r="BF75" s="422">
        <v>0</v>
      </c>
      <c r="BG75" s="422">
        <v>0</v>
      </c>
      <c r="BH75" s="422">
        <v>0</v>
      </c>
      <c r="BI75" s="422">
        <v>0</v>
      </c>
      <c r="BJ75" s="422">
        <v>0</v>
      </c>
      <c r="BK75" s="422">
        <f t="shared" ref="BK75:BK80" si="264">BA75+BC75+BD75+BF75+BH75+BI75</f>
        <v>-0.01</v>
      </c>
      <c r="BL75" s="422">
        <f t="shared" ref="BL75:BL80" si="265">BB75+BE75+BG75+BJ75</f>
        <v>0</v>
      </c>
      <c r="BM75" s="611">
        <f t="shared" ref="BM75:BM80" si="266">SUM(BK75:BL75)</f>
        <v>-0.01</v>
      </c>
      <c r="BN75" s="428">
        <f t="shared" ref="BN75:BN80" si="267">I75+AZ75</f>
        <v>2394962</v>
      </c>
      <c r="BO75" s="421">
        <f t="shared" ref="BO75:BO80" si="268">J75+AH75</f>
        <v>1716265</v>
      </c>
      <c r="BP75" s="421">
        <f t="shared" ref="BP75:BQ80" si="269">K75+AF75</f>
        <v>1596457</v>
      </c>
      <c r="BQ75" s="421">
        <f t="shared" si="269"/>
        <v>119808</v>
      </c>
      <c r="BR75" s="421">
        <f t="shared" ref="BR75:BR80" si="270">M75+AQ75</f>
        <v>54480</v>
      </c>
      <c r="BS75" s="421">
        <f t="shared" ref="BS75:BT80" si="271">N75+AO75</f>
        <v>54480</v>
      </c>
      <c r="BT75" s="421">
        <f t="shared" si="271"/>
        <v>0</v>
      </c>
      <c r="BU75" s="421">
        <f t="shared" ref="BU75:BV80" si="272">P75+AU75</f>
        <v>598511</v>
      </c>
      <c r="BV75" s="421">
        <f t="shared" si="272"/>
        <v>17162</v>
      </c>
      <c r="BW75" s="421">
        <f t="shared" ref="BW75:BW80" si="273">R75+AY75</f>
        <v>8544</v>
      </c>
      <c r="BX75" s="422">
        <f t="shared" ref="BX75:BX80" si="274">S75+BM75</f>
        <v>3.47</v>
      </c>
      <c r="BY75" s="422">
        <f t="shared" ref="BY75:BZ80" si="275">T75+BK75</f>
        <v>2.99</v>
      </c>
      <c r="BZ75" s="611">
        <f t="shared" si="275"/>
        <v>0.48</v>
      </c>
      <c r="CA75" s="423"/>
      <c r="CB75" s="418"/>
      <c r="CC75" s="418"/>
      <c r="CD75" s="418"/>
      <c r="CE75" s="418"/>
      <c r="CF75" s="527"/>
    </row>
    <row r="76" spans="1:84" ht="12.95" customHeight="1" x14ac:dyDescent="0.25">
      <c r="A76" s="282">
        <v>13</v>
      </c>
      <c r="B76" s="323">
        <v>5411</v>
      </c>
      <c r="C76" s="324">
        <v>650034244</v>
      </c>
      <c r="D76" s="283">
        <v>70985375</v>
      </c>
      <c r="E76" s="325" t="s">
        <v>374</v>
      </c>
      <c r="F76" s="283">
        <v>3117</v>
      </c>
      <c r="G76" s="325" t="s">
        <v>294</v>
      </c>
      <c r="H76" s="286" t="s">
        <v>271</v>
      </c>
      <c r="I76" s="423">
        <f t="shared" si="246"/>
        <v>3071174</v>
      </c>
      <c r="J76" s="418">
        <f t="shared" si="7"/>
        <v>2247202</v>
      </c>
      <c r="K76" s="418">
        <v>1948750</v>
      </c>
      <c r="L76" s="418">
        <v>298452</v>
      </c>
      <c r="M76" s="418">
        <f t="shared" si="247"/>
        <v>0</v>
      </c>
      <c r="N76" s="418">
        <v>0</v>
      </c>
      <c r="O76" s="418">
        <v>0</v>
      </c>
      <c r="P76" s="68">
        <f>ROUND((J76+M76)*33.8%,0)+1</f>
        <v>759555</v>
      </c>
      <c r="Q76" s="68">
        <f>ROUND(J76*1%,0)+1</f>
        <v>22473</v>
      </c>
      <c r="R76" s="418">
        <v>41944</v>
      </c>
      <c r="S76" s="419">
        <f t="shared" si="250"/>
        <v>3.4173999999999998</v>
      </c>
      <c r="T76" s="420">
        <v>2.5909</v>
      </c>
      <c r="U76" s="527">
        <v>0.82650000000000001</v>
      </c>
      <c r="V76" s="427">
        <f t="shared" si="251"/>
        <v>-7680</v>
      </c>
      <c r="W76" s="421">
        <f t="shared" si="251"/>
        <v>0</v>
      </c>
      <c r="X76" s="421">
        <v>0</v>
      </c>
      <c r="Y76" s="421">
        <v>0</v>
      </c>
      <c r="Z76" s="421">
        <v>0</v>
      </c>
      <c r="AA76" s="421">
        <v>0</v>
      </c>
      <c r="AB76" s="421">
        <v>0</v>
      </c>
      <c r="AC76" s="421">
        <v>0</v>
      </c>
      <c r="AD76" s="421">
        <v>0</v>
      </c>
      <c r="AE76" s="421">
        <v>0</v>
      </c>
      <c r="AF76" s="421">
        <f t="shared" si="252"/>
        <v>-7680</v>
      </c>
      <c r="AG76" s="421">
        <f t="shared" si="253"/>
        <v>0</v>
      </c>
      <c r="AH76" s="421">
        <f t="shared" si="254"/>
        <v>-7680</v>
      </c>
      <c r="AI76" s="421">
        <v>7680</v>
      </c>
      <c r="AJ76" s="421">
        <v>0</v>
      </c>
      <c r="AK76" s="421">
        <v>0</v>
      </c>
      <c r="AL76" s="421">
        <v>0</v>
      </c>
      <c r="AM76" s="421">
        <v>0</v>
      </c>
      <c r="AN76" s="421">
        <v>0</v>
      </c>
      <c r="AO76" s="421">
        <f t="shared" si="255"/>
        <v>7680</v>
      </c>
      <c r="AP76" s="421">
        <f t="shared" si="256"/>
        <v>0</v>
      </c>
      <c r="AQ76" s="421">
        <f t="shared" si="257"/>
        <v>7680</v>
      </c>
      <c r="AR76" s="421">
        <f t="shared" si="258"/>
        <v>0</v>
      </c>
      <c r="AS76" s="421">
        <f t="shared" si="258"/>
        <v>0</v>
      </c>
      <c r="AT76" s="421">
        <f t="shared" si="259"/>
        <v>0</v>
      </c>
      <c r="AU76" s="68">
        <f t="shared" si="260"/>
        <v>0</v>
      </c>
      <c r="AV76" s="68">
        <f t="shared" si="261"/>
        <v>-77</v>
      </c>
      <c r="AW76" s="421">
        <v>0</v>
      </c>
      <c r="AX76" s="421">
        <v>0</v>
      </c>
      <c r="AY76" s="421">
        <f t="shared" si="262"/>
        <v>0</v>
      </c>
      <c r="AZ76" s="421">
        <f t="shared" si="263"/>
        <v>-77</v>
      </c>
      <c r="BA76" s="422">
        <v>-0.01</v>
      </c>
      <c r="BB76" s="422">
        <v>0</v>
      </c>
      <c r="BC76" s="422">
        <v>0</v>
      </c>
      <c r="BD76" s="422">
        <v>0</v>
      </c>
      <c r="BE76" s="422">
        <v>0</v>
      </c>
      <c r="BF76" s="422">
        <v>0</v>
      </c>
      <c r="BG76" s="422">
        <v>0</v>
      </c>
      <c r="BH76" s="422">
        <v>0</v>
      </c>
      <c r="BI76" s="422">
        <v>0</v>
      </c>
      <c r="BJ76" s="422">
        <v>0</v>
      </c>
      <c r="BK76" s="422">
        <f t="shared" si="264"/>
        <v>-0.01</v>
      </c>
      <c r="BL76" s="422">
        <f t="shared" si="265"/>
        <v>0</v>
      </c>
      <c r="BM76" s="611">
        <f t="shared" si="266"/>
        <v>-0.01</v>
      </c>
      <c r="BN76" s="428">
        <f t="shared" si="267"/>
        <v>3071097</v>
      </c>
      <c r="BO76" s="421">
        <f t="shared" si="268"/>
        <v>2239522</v>
      </c>
      <c r="BP76" s="421">
        <f t="shared" si="269"/>
        <v>1941070</v>
      </c>
      <c r="BQ76" s="421">
        <f t="shared" si="269"/>
        <v>298452</v>
      </c>
      <c r="BR76" s="421">
        <f t="shared" si="270"/>
        <v>7680</v>
      </c>
      <c r="BS76" s="421">
        <f t="shared" si="271"/>
        <v>7680</v>
      </c>
      <c r="BT76" s="421">
        <f t="shared" si="271"/>
        <v>0</v>
      </c>
      <c r="BU76" s="421">
        <f t="shared" si="272"/>
        <v>759555</v>
      </c>
      <c r="BV76" s="421">
        <f t="shared" si="272"/>
        <v>22396</v>
      </c>
      <c r="BW76" s="421">
        <f t="shared" si="273"/>
        <v>41944</v>
      </c>
      <c r="BX76" s="422">
        <f t="shared" si="274"/>
        <v>3.4074</v>
      </c>
      <c r="BY76" s="422">
        <f t="shared" si="275"/>
        <v>2.5809000000000002</v>
      </c>
      <c r="BZ76" s="611">
        <f t="shared" si="275"/>
        <v>0.82650000000000001</v>
      </c>
      <c r="CA76" s="423"/>
      <c r="CB76" s="418"/>
      <c r="CC76" s="418"/>
      <c r="CD76" s="418"/>
      <c r="CE76" s="418"/>
      <c r="CF76" s="527"/>
    </row>
    <row r="77" spans="1:84" ht="12.95" customHeight="1" x14ac:dyDescent="0.25">
      <c r="A77" s="282">
        <v>13</v>
      </c>
      <c r="B77" s="323">
        <v>5411</v>
      </c>
      <c r="C77" s="324">
        <v>650034244</v>
      </c>
      <c r="D77" s="283">
        <v>70985375</v>
      </c>
      <c r="E77" s="325" t="s">
        <v>374</v>
      </c>
      <c r="F77" s="283">
        <v>3117</v>
      </c>
      <c r="G77" s="325" t="s">
        <v>299</v>
      </c>
      <c r="H77" s="286" t="s">
        <v>272</v>
      </c>
      <c r="I77" s="423">
        <f t="shared" si="246"/>
        <v>0</v>
      </c>
      <c r="J77" s="418">
        <f t="shared" ref="J77:J140" si="276">K77+L77</f>
        <v>0</v>
      </c>
      <c r="K77" s="418">
        <v>0</v>
      </c>
      <c r="L77" s="418">
        <v>0</v>
      </c>
      <c r="M77" s="418">
        <f>N77+O77</f>
        <v>0</v>
      </c>
      <c r="N77" s="418">
        <v>0</v>
      </c>
      <c r="O77" s="418">
        <v>0</v>
      </c>
      <c r="P77" s="68">
        <f t="shared" ref="P77" si="277">ROUND((J77+M77)*33.8%,0)</f>
        <v>0</v>
      </c>
      <c r="Q77" s="68">
        <f t="shared" ref="Q77" si="278">ROUND(J77*1%,0)</f>
        <v>0</v>
      </c>
      <c r="R77" s="418">
        <v>0</v>
      </c>
      <c r="S77" s="419">
        <f>T77+U77</f>
        <v>0</v>
      </c>
      <c r="T77" s="420">
        <v>0</v>
      </c>
      <c r="U77" s="527">
        <v>0</v>
      </c>
      <c r="V77" s="427">
        <f t="shared" si="251"/>
        <v>0</v>
      </c>
      <c r="W77" s="421">
        <f t="shared" si="251"/>
        <v>0</v>
      </c>
      <c r="X77" s="421">
        <v>0</v>
      </c>
      <c r="Y77" s="421">
        <v>0</v>
      </c>
      <c r="Z77" s="421">
        <v>0</v>
      </c>
      <c r="AA77" s="421">
        <v>0</v>
      </c>
      <c r="AB77" s="421">
        <v>0</v>
      </c>
      <c r="AC77" s="421">
        <v>0</v>
      </c>
      <c r="AD77" s="421">
        <v>0</v>
      </c>
      <c r="AE77" s="421">
        <v>0</v>
      </c>
      <c r="AF77" s="421">
        <f t="shared" si="252"/>
        <v>0</v>
      </c>
      <c r="AG77" s="421">
        <f t="shared" si="253"/>
        <v>0</v>
      </c>
      <c r="AH77" s="421">
        <f t="shared" si="254"/>
        <v>0</v>
      </c>
      <c r="AI77" s="421">
        <v>0</v>
      </c>
      <c r="AJ77" s="421">
        <v>0</v>
      </c>
      <c r="AK77" s="421">
        <v>0</v>
      </c>
      <c r="AL77" s="421">
        <v>0</v>
      </c>
      <c r="AM77" s="421">
        <v>0</v>
      </c>
      <c r="AN77" s="421">
        <v>0</v>
      </c>
      <c r="AO77" s="421">
        <f t="shared" si="255"/>
        <v>0</v>
      </c>
      <c r="AP77" s="421">
        <f t="shared" si="256"/>
        <v>0</v>
      </c>
      <c r="AQ77" s="421">
        <f t="shared" si="257"/>
        <v>0</v>
      </c>
      <c r="AR77" s="421">
        <f t="shared" si="258"/>
        <v>0</v>
      </c>
      <c r="AS77" s="421">
        <f t="shared" si="258"/>
        <v>0</v>
      </c>
      <c r="AT77" s="421">
        <f t="shared" si="259"/>
        <v>0</v>
      </c>
      <c r="AU77" s="68">
        <f t="shared" si="260"/>
        <v>0</v>
      </c>
      <c r="AV77" s="68">
        <f t="shared" si="261"/>
        <v>0</v>
      </c>
      <c r="AW77" s="421">
        <v>0</v>
      </c>
      <c r="AX77" s="421">
        <v>0</v>
      </c>
      <c r="AY77" s="421">
        <f t="shared" si="262"/>
        <v>0</v>
      </c>
      <c r="AZ77" s="421">
        <f t="shared" si="263"/>
        <v>0</v>
      </c>
      <c r="BA77" s="422">
        <v>0</v>
      </c>
      <c r="BB77" s="422">
        <v>0</v>
      </c>
      <c r="BC77" s="422">
        <v>0</v>
      </c>
      <c r="BD77" s="422">
        <v>0</v>
      </c>
      <c r="BE77" s="422">
        <v>0</v>
      </c>
      <c r="BF77" s="422">
        <v>0</v>
      </c>
      <c r="BG77" s="422">
        <v>0</v>
      </c>
      <c r="BH77" s="422">
        <v>0</v>
      </c>
      <c r="BI77" s="422">
        <v>0</v>
      </c>
      <c r="BJ77" s="422">
        <v>0</v>
      </c>
      <c r="BK77" s="422">
        <f t="shared" si="264"/>
        <v>0</v>
      </c>
      <c r="BL77" s="422">
        <f t="shared" si="265"/>
        <v>0</v>
      </c>
      <c r="BM77" s="611">
        <f t="shared" si="266"/>
        <v>0</v>
      </c>
      <c r="BN77" s="428">
        <f t="shared" si="267"/>
        <v>0</v>
      </c>
      <c r="BO77" s="421">
        <f t="shared" si="268"/>
        <v>0</v>
      </c>
      <c r="BP77" s="421">
        <f t="shared" si="269"/>
        <v>0</v>
      </c>
      <c r="BQ77" s="421">
        <f t="shared" si="269"/>
        <v>0</v>
      </c>
      <c r="BR77" s="421">
        <f t="shared" si="270"/>
        <v>0</v>
      </c>
      <c r="BS77" s="421">
        <f t="shared" si="271"/>
        <v>0</v>
      </c>
      <c r="BT77" s="421">
        <f t="shared" si="271"/>
        <v>0</v>
      </c>
      <c r="BU77" s="421">
        <f t="shared" si="272"/>
        <v>0</v>
      </c>
      <c r="BV77" s="421">
        <f t="shared" si="272"/>
        <v>0</v>
      </c>
      <c r="BW77" s="421">
        <f t="shared" si="273"/>
        <v>0</v>
      </c>
      <c r="BX77" s="422">
        <f t="shared" si="274"/>
        <v>0</v>
      </c>
      <c r="BY77" s="422">
        <f t="shared" si="275"/>
        <v>0</v>
      </c>
      <c r="BZ77" s="611">
        <f t="shared" si="275"/>
        <v>0</v>
      </c>
      <c r="CA77" s="423"/>
      <c r="CB77" s="418"/>
      <c r="CC77" s="418"/>
      <c r="CD77" s="418"/>
      <c r="CE77" s="418"/>
      <c r="CF77" s="527"/>
    </row>
    <row r="78" spans="1:84" ht="12.95" customHeight="1" x14ac:dyDescent="0.25">
      <c r="A78" s="282">
        <v>13</v>
      </c>
      <c r="B78" s="323">
        <v>5411</v>
      </c>
      <c r="C78" s="324">
        <v>650034244</v>
      </c>
      <c r="D78" s="283">
        <v>70985375</v>
      </c>
      <c r="E78" s="325" t="s">
        <v>374</v>
      </c>
      <c r="F78" s="283">
        <v>3141</v>
      </c>
      <c r="G78" s="325" t="s">
        <v>295</v>
      </c>
      <c r="H78" s="286" t="s">
        <v>272</v>
      </c>
      <c r="I78" s="423">
        <f t="shared" si="246"/>
        <v>598633</v>
      </c>
      <c r="J78" s="418">
        <f t="shared" si="276"/>
        <v>442428</v>
      </c>
      <c r="K78" s="418">
        <v>0</v>
      </c>
      <c r="L78" s="418">
        <v>442428</v>
      </c>
      <c r="M78" s="418">
        <f t="shared" si="247"/>
        <v>0</v>
      </c>
      <c r="N78" s="418">
        <v>0</v>
      </c>
      <c r="O78" s="418">
        <v>0</v>
      </c>
      <c r="P78" s="68">
        <f t="shared" si="248"/>
        <v>149541</v>
      </c>
      <c r="Q78" s="68">
        <f t="shared" si="249"/>
        <v>4424</v>
      </c>
      <c r="R78" s="418">
        <v>2240</v>
      </c>
      <c r="S78" s="419">
        <f t="shared" si="250"/>
        <v>1.3267</v>
      </c>
      <c r="T78" s="420">
        <v>0</v>
      </c>
      <c r="U78" s="527">
        <v>1.3267</v>
      </c>
      <c r="V78" s="427">
        <f t="shared" si="251"/>
        <v>0</v>
      </c>
      <c r="W78" s="421">
        <f t="shared" si="251"/>
        <v>0</v>
      </c>
      <c r="X78" s="421">
        <v>0</v>
      </c>
      <c r="Y78" s="421">
        <v>0</v>
      </c>
      <c r="Z78" s="421">
        <v>0</v>
      </c>
      <c r="AA78" s="421">
        <v>0</v>
      </c>
      <c r="AB78" s="421">
        <v>0</v>
      </c>
      <c r="AC78" s="421">
        <v>0</v>
      </c>
      <c r="AD78" s="421">
        <v>0</v>
      </c>
      <c r="AE78" s="421">
        <v>0</v>
      </c>
      <c r="AF78" s="421">
        <f t="shared" si="252"/>
        <v>0</v>
      </c>
      <c r="AG78" s="421">
        <f t="shared" si="253"/>
        <v>0</v>
      </c>
      <c r="AH78" s="421">
        <f t="shared" si="254"/>
        <v>0</v>
      </c>
      <c r="AI78" s="421">
        <v>0</v>
      </c>
      <c r="AJ78" s="421">
        <v>0</v>
      </c>
      <c r="AK78" s="421">
        <v>0</v>
      </c>
      <c r="AL78" s="421">
        <v>0</v>
      </c>
      <c r="AM78" s="421">
        <v>0</v>
      </c>
      <c r="AN78" s="421">
        <v>0</v>
      </c>
      <c r="AO78" s="421">
        <f t="shared" si="255"/>
        <v>0</v>
      </c>
      <c r="AP78" s="421">
        <f t="shared" si="256"/>
        <v>0</v>
      </c>
      <c r="AQ78" s="421">
        <f t="shared" si="257"/>
        <v>0</v>
      </c>
      <c r="AR78" s="421">
        <f t="shared" si="258"/>
        <v>0</v>
      </c>
      <c r="AS78" s="421">
        <f t="shared" si="258"/>
        <v>0</v>
      </c>
      <c r="AT78" s="421">
        <f t="shared" si="259"/>
        <v>0</v>
      </c>
      <c r="AU78" s="68">
        <f t="shared" si="260"/>
        <v>0</v>
      </c>
      <c r="AV78" s="68">
        <f t="shared" si="261"/>
        <v>0</v>
      </c>
      <c r="AW78" s="421">
        <v>0</v>
      </c>
      <c r="AX78" s="421">
        <v>0</v>
      </c>
      <c r="AY78" s="421">
        <f t="shared" si="262"/>
        <v>0</v>
      </c>
      <c r="AZ78" s="421">
        <f t="shared" si="263"/>
        <v>0</v>
      </c>
      <c r="BA78" s="422">
        <v>0</v>
      </c>
      <c r="BB78" s="422">
        <v>0</v>
      </c>
      <c r="BC78" s="422">
        <v>0</v>
      </c>
      <c r="BD78" s="422">
        <v>0</v>
      </c>
      <c r="BE78" s="422">
        <v>0</v>
      </c>
      <c r="BF78" s="422">
        <v>0</v>
      </c>
      <c r="BG78" s="422">
        <v>0</v>
      </c>
      <c r="BH78" s="422">
        <v>0</v>
      </c>
      <c r="BI78" s="422">
        <v>0</v>
      </c>
      <c r="BJ78" s="422">
        <v>0</v>
      </c>
      <c r="BK78" s="422">
        <f t="shared" si="264"/>
        <v>0</v>
      </c>
      <c r="BL78" s="422">
        <f t="shared" si="265"/>
        <v>0</v>
      </c>
      <c r="BM78" s="611">
        <f t="shared" si="266"/>
        <v>0</v>
      </c>
      <c r="BN78" s="428">
        <f t="shared" si="267"/>
        <v>598633</v>
      </c>
      <c r="BO78" s="421">
        <f t="shared" si="268"/>
        <v>442428</v>
      </c>
      <c r="BP78" s="421">
        <f t="shared" si="269"/>
        <v>0</v>
      </c>
      <c r="BQ78" s="421">
        <f t="shared" si="269"/>
        <v>442428</v>
      </c>
      <c r="BR78" s="421">
        <f t="shared" si="270"/>
        <v>0</v>
      </c>
      <c r="BS78" s="421">
        <f t="shared" si="271"/>
        <v>0</v>
      </c>
      <c r="BT78" s="421">
        <f t="shared" si="271"/>
        <v>0</v>
      </c>
      <c r="BU78" s="421">
        <f t="shared" si="272"/>
        <v>149541</v>
      </c>
      <c r="BV78" s="421">
        <f t="shared" si="272"/>
        <v>4424</v>
      </c>
      <c r="BW78" s="421">
        <f t="shared" si="273"/>
        <v>2240</v>
      </c>
      <c r="BX78" s="422">
        <f t="shared" si="274"/>
        <v>1.3267</v>
      </c>
      <c r="BY78" s="422">
        <f t="shared" si="275"/>
        <v>0</v>
      </c>
      <c r="BZ78" s="611">
        <f t="shared" si="275"/>
        <v>1.3267</v>
      </c>
      <c r="CA78" s="423"/>
      <c r="CB78" s="418"/>
      <c r="CC78" s="418"/>
      <c r="CD78" s="418"/>
      <c r="CE78" s="418"/>
      <c r="CF78" s="527"/>
    </row>
    <row r="79" spans="1:84" ht="12.95" customHeight="1" x14ac:dyDescent="0.25">
      <c r="A79" s="282">
        <v>13</v>
      </c>
      <c r="B79" s="323">
        <v>5411</v>
      </c>
      <c r="C79" s="324">
        <v>650034244</v>
      </c>
      <c r="D79" s="283">
        <v>70985375</v>
      </c>
      <c r="E79" s="325" t="s">
        <v>374</v>
      </c>
      <c r="F79" s="283">
        <v>3143</v>
      </c>
      <c r="G79" s="325" t="s">
        <v>596</v>
      </c>
      <c r="H79" s="286" t="s">
        <v>271</v>
      </c>
      <c r="I79" s="423">
        <f t="shared" si="246"/>
        <v>447010</v>
      </c>
      <c r="J79" s="418">
        <f t="shared" si="276"/>
        <v>331610</v>
      </c>
      <c r="K79" s="418">
        <v>331610</v>
      </c>
      <c r="L79" s="418">
        <v>0</v>
      </c>
      <c r="M79" s="418">
        <f t="shared" si="247"/>
        <v>0</v>
      </c>
      <c r="N79" s="418">
        <v>0</v>
      </c>
      <c r="O79" s="418">
        <v>0</v>
      </c>
      <c r="P79" s="68">
        <f t="shared" si="248"/>
        <v>112084</v>
      </c>
      <c r="Q79" s="68">
        <f t="shared" si="249"/>
        <v>3316</v>
      </c>
      <c r="R79" s="418">
        <v>0</v>
      </c>
      <c r="S79" s="419">
        <f t="shared" si="250"/>
        <v>0.72729999999999995</v>
      </c>
      <c r="T79" s="420">
        <v>0.72729999999999995</v>
      </c>
      <c r="U79" s="527">
        <v>0</v>
      </c>
      <c r="V79" s="427">
        <f t="shared" si="251"/>
        <v>0</v>
      </c>
      <c r="W79" s="421">
        <f t="shared" si="251"/>
        <v>0</v>
      </c>
      <c r="X79" s="421">
        <v>0</v>
      </c>
      <c r="Y79" s="421">
        <v>0</v>
      </c>
      <c r="Z79" s="421">
        <v>0</v>
      </c>
      <c r="AA79" s="421">
        <v>0</v>
      </c>
      <c r="AB79" s="421">
        <v>0</v>
      </c>
      <c r="AC79" s="421">
        <v>0</v>
      </c>
      <c r="AD79" s="421">
        <v>0</v>
      </c>
      <c r="AE79" s="421">
        <v>0</v>
      </c>
      <c r="AF79" s="421">
        <f t="shared" si="252"/>
        <v>0</v>
      </c>
      <c r="AG79" s="421">
        <f t="shared" si="253"/>
        <v>0</v>
      </c>
      <c r="AH79" s="421">
        <f t="shared" si="254"/>
        <v>0</v>
      </c>
      <c r="AI79" s="421">
        <v>0</v>
      </c>
      <c r="AJ79" s="421">
        <v>0</v>
      </c>
      <c r="AK79" s="421">
        <v>0</v>
      </c>
      <c r="AL79" s="421">
        <v>0</v>
      </c>
      <c r="AM79" s="421">
        <v>0</v>
      </c>
      <c r="AN79" s="421">
        <v>0</v>
      </c>
      <c r="AO79" s="421">
        <f t="shared" si="255"/>
        <v>0</v>
      </c>
      <c r="AP79" s="421">
        <f t="shared" si="256"/>
        <v>0</v>
      </c>
      <c r="AQ79" s="421">
        <f t="shared" si="257"/>
        <v>0</v>
      </c>
      <c r="AR79" s="421">
        <f t="shared" si="258"/>
        <v>0</v>
      </c>
      <c r="AS79" s="421">
        <f t="shared" si="258"/>
        <v>0</v>
      </c>
      <c r="AT79" s="421">
        <f t="shared" si="259"/>
        <v>0</v>
      </c>
      <c r="AU79" s="68">
        <f t="shared" si="260"/>
        <v>0</v>
      </c>
      <c r="AV79" s="68">
        <f t="shared" si="261"/>
        <v>0</v>
      </c>
      <c r="AW79" s="421">
        <v>0</v>
      </c>
      <c r="AX79" s="421">
        <v>0</v>
      </c>
      <c r="AY79" s="421">
        <f t="shared" si="262"/>
        <v>0</v>
      </c>
      <c r="AZ79" s="421">
        <f t="shared" si="263"/>
        <v>0</v>
      </c>
      <c r="BA79" s="422">
        <v>0</v>
      </c>
      <c r="BB79" s="422">
        <v>0</v>
      </c>
      <c r="BC79" s="422">
        <v>0</v>
      </c>
      <c r="BD79" s="422">
        <v>0</v>
      </c>
      <c r="BE79" s="422">
        <v>0</v>
      </c>
      <c r="BF79" s="422">
        <v>0</v>
      </c>
      <c r="BG79" s="422">
        <v>0</v>
      </c>
      <c r="BH79" s="422">
        <v>0</v>
      </c>
      <c r="BI79" s="422">
        <v>0</v>
      </c>
      <c r="BJ79" s="422">
        <v>0</v>
      </c>
      <c r="BK79" s="422">
        <f t="shared" si="264"/>
        <v>0</v>
      </c>
      <c r="BL79" s="422">
        <f t="shared" si="265"/>
        <v>0</v>
      </c>
      <c r="BM79" s="611">
        <f t="shared" si="266"/>
        <v>0</v>
      </c>
      <c r="BN79" s="428">
        <f t="shared" si="267"/>
        <v>447010</v>
      </c>
      <c r="BO79" s="421">
        <f t="shared" si="268"/>
        <v>331610</v>
      </c>
      <c r="BP79" s="421">
        <f t="shared" si="269"/>
        <v>331610</v>
      </c>
      <c r="BQ79" s="421">
        <f t="shared" si="269"/>
        <v>0</v>
      </c>
      <c r="BR79" s="421">
        <f t="shared" si="270"/>
        <v>0</v>
      </c>
      <c r="BS79" s="421">
        <f t="shared" si="271"/>
        <v>0</v>
      </c>
      <c r="BT79" s="421">
        <f t="shared" si="271"/>
        <v>0</v>
      </c>
      <c r="BU79" s="421">
        <f t="shared" si="272"/>
        <v>112084</v>
      </c>
      <c r="BV79" s="421">
        <f t="shared" si="272"/>
        <v>3316</v>
      </c>
      <c r="BW79" s="421">
        <f t="shared" si="273"/>
        <v>0</v>
      </c>
      <c r="BX79" s="422">
        <f t="shared" si="274"/>
        <v>0.72729999999999995</v>
      </c>
      <c r="BY79" s="422">
        <f t="shared" si="275"/>
        <v>0.72729999999999995</v>
      </c>
      <c r="BZ79" s="611">
        <f t="shared" si="275"/>
        <v>0</v>
      </c>
      <c r="CA79" s="423"/>
      <c r="CB79" s="418"/>
      <c r="CC79" s="418"/>
      <c r="CD79" s="418"/>
      <c r="CE79" s="418"/>
      <c r="CF79" s="527"/>
    </row>
    <row r="80" spans="1:84" ht="12.95" customHeight="1" x14ac:dyDescent="0.25">
      <c r="A80" s="282">
        <v>13</v>
      </c>
      <c r="B80" s="323">
        <v>5411</v>
      </c>
      <c r="C80" s="324">
        <v>650034244</v>
      </c>
      <c r="D80" s="283">
        <v>70985375</v>
      </c>
      <c r="E80" s="325" t="s">
        <v>374</v>
      </c>
      <c r="F80" s="283">
        <v>3143</v>
      </c>
      <c r="G80" s="325" t="s">
        <v>597</v>
      </c>
      <c r="H80" s="286" t="s">
        <v>272</v>
      </c>
      <c r="I80" s="423">
        <f t="shared" si="246"/>
        <v>10770</v>
      </c>
      <c r="J80" s="418">
        <f t="shared" si="276"/>
        <v>7709</v>
      </c>
      <c r="K80" s="418">
        <v>0</v>
      </c>
      <c r="L80" s="418">
        <v>7709</v>
      </c>
      <c r="M80" s="418">
        <f t="shared" si="247"/>
        <v>0</v>
      </c>
      <c r="N80" s="418">
        <v>0</v>
      </c>
      <c r="O80" s="418">
        <v>0</v>
      </c>
      <c r="P80" s="68">
        <f t="shared" si="248"/>
        <v>2606</v>
      </c>
      <c r="Q80" s="68">
        <f t="shared" si="249"/>
        <v>77</v>
      </c>
      <c r="R80" s="418">
        <v>378</v>
      </c>
      <c r="S80" s="419">
        <f t="shared" si="250"/>
        <v>2.92E-2</v>
      </c>
      <c r="T80" s="420">
        <v>0</v>
      </c>
      <c r="U80" s="527">
        <v>2.92E-2</v>
      </c>
      <c r="V80" s="427">
        <f t="shared" si="251"/>
        <v>0</v>
      </c>
      <c r="W80" s="421">
        <f t="shared" si="251"/>
        <v>0</v>
      </c>
      <c r="X80" s="421">
        <v>0</v>
      </c>
      <c r="Y80" s="421">
        <v>0</v>
      </c>
      <c r="Z80" s="421">
        <v>0</v>
      </c>
      <c r="AA80" s="421">
        <v>0</v>
      </c>
      <c r="AB80" s="421">
        <v>0</v>
      </c>
      <c r="AC80" s="421">
        <v>0</v>
      </c>
      <c r="AD80" s="421">
        <v>0</v>
      </c>
      <c r="AE80" s="421">
        <v>0</v>
      </c>
      <c r="AF80" s="421">
        <f t="shared" si="252"/>
        <v>0</v>
      </c>
      <c r="AG80" s="421">
        <f t="shared" si="253"/>
        <v>0</v>
      </c>
      <c r="AH80" s="421">
        <f t="shared" si="254"/>
        <v>0</v>
      </c>
      <c r="AI80" s="421">
        <v>0</v>
      </c>
      <c r="AJ80" s="421">
        <v>0</v>
      </c>
      <c r="AK80" s="421">
        <v>0</v>
      </c>
      <c r="AL80" s="421">
        <v>0</v>
      </c>
      <c r="AM80" s="421">
        <v>0</v>
      </c>
      <c r="AN80" s="421">
        <v>0</v>
      </c>
      <c r="AO80" s="421">
        <f t="shared" si="255"/>
        <v>0</v>
      </c>
      <c r="AP80" s="421">
        <f t="shared" si="256"/>
        <v>0</v>
      </c>
      <c r="AQ80" s="421">
        <f t="shared" si="257"/>
        <v>0</v>
      </c>
      <c r="AR80" s="421">
        <f t="shared" si="258"/>
        <v>0</v>
      </c>
      <c r="AS80" s="421">
        <f t="shared" si="258"/>
        <v>0</v>
      </c>
      <c r="AT80" s="421">
        <f t="shared" si="259"/>
        <v>0</v>
      </c>
      <c r="AU80" s="68">
        <f t="shared" si="260"/>
        <v>0</v>
      </c>
      <c r="AV80" s="68">
        <f t="shared" si="261"/>
        <v>0</v>
      </c>
      <c r="AW80" s="421">
        <v>0</v>
      </c>
      <c r="AX80" s="421">
        <v>0</v>
      </c>
      <c r="AY80" s="421">
        <f t="shared" si="262"/>
        <v>0</v>
      </c>
      <c r="AZ80" s="421">
        <f t="shared" si="263"/>
        <v>0</v>
      </c>
      <c r="BA80" s="422">
        <v>0</v>
      </c>
      <c r="BB80" s="422">
        <v>0</v>
      </c>
      <c r="BC80" s="422">
        <v>0</v>
      </c>
      <c r="BD80" s="422">
        <v>0</v>
      </c>
      <c r="BE80" s="422">
        <v>0</v>
      </c>
      <c r="BF80" s="422">
        <v>0</v>
      </c>
      <c r="BG80" s="422">
        <v>0</v>
      </c>
      <c r="BH80" s="422">
        <v>0</v>
      </c>
      <c r="BI80" s="422">
        <v>0</v>
      </c>
      <c r="BJ80" s="422">
        <v>0</v>
      </c>
      <c r="BK80" s="422">
        <f t="shared" si="264"/>
        <v>0</v>
      </c>
      <c r="BL80" s="422">
        <f t="shared" si="265"/>
        <v>0</v>
      </c>
      <c r="BM80" s="611">
        <f t="shared" si="266"/>
        <v>0</v>
      </c>
      <c r="BN80" s="428">
        <f t="shared" si="267"/>
        <v>10770</v>
      </c>
      <c r="BO80" s="421">
        <f t="shared" si="268"/>
        <v>7709</v>
      </c>
      <c r="BP80" s="421">
        <f t="shared" si="269"/>
        <v>0</v>
      </c>
      <c r="BQ80" s="421">
        <f t="shared" si="269"/>
        <v>7709</v>
      </c>
      <c r="BR80" s="421">
        <f t="shared" si="270"/>
        <v>0</v>
      </c>
      <c r="BS80" s="421">
        <f t="shared" si="271"/>
        <v>0</v>
      </c>
      <c r="BT80" s="421">
        <f t="shared" si="271"/>
        <v>0</v>
      </c>
      <c r="BU80" s="421">
        <f t="shared" si="272"/>
        <v>2606</v>
      </c>
      <c r="BV80" s="421">
        <f t="shared" si="272"/>
        <v>77</v>
      </c>
      <c r="BW80" s="421">
        <f t="shared" si="273"/>
        <v>378</v>
      </c>
      <c r="BX80" s="422">
        <f t="shared" si="274"/>
        <v>2.92E-2</v>
      </c>
      <c r="BY80" s="422">
        <f t="shared" si="275"/>
        <v>0</v>
      </c>
      <c r="BZ80" s="611">
        <f t="shared" si="275"/>
        <v>2.92E-2</v>
      </c>
      <c r="CA80" s="423"/>
      <c r="CB80" s="418"/>
      <c r="CC80" s="418"/>
      <c r="CD80" s="418"/>
      <c r="CE80" s="418"/>
      <c r="CF80" s="527"/>
    </row>
    <row r="81" spans="1:84" ht="12.95" customHeight="1" x14ac:dyDescent="0.25">
      <c r="A81" s="326">
        <v>13</v>
      </c>
      <c r="B81" s="327">
        <v>5411</v>
      </c>
      <c r="C81" s="328">
        <v>650034244</v>
      </c>
      <c r="D81" s="327">
        <v>70985375</v>
      </c>
      <c r="E81" s="329" t="s">
        <v>375</v>
      </c>
      <c r="F81" s="293"/>
      <c r="G81" s="331"/>
      <c r="H81" s="294"/>
      <c r="I81" s="481">
        <f t="shared" ref="I81:BT81" si="279">SUM(I75:I80)</f>
        <v>6460008</v>
      </c>
      <c r="J81" s="477">
        <f t="shared" si="279"/>
        <v>4752894</v>
      </c>
      <c r="K81" s="477">
        <f t="shared" si="279"/>
        <v>3884497</v>
      </c>
      <c r="L81" s="477">
        <f t="shared" si="279"/>
        <v>868397</v>
      </c>
      <c r="M81" s="477">
        <f t="shared" si="279"/>
        <v>0</v>
      </c>
      <c r="N81" s="477">
        <f t="shared" si="279"/>
        <v>0</v>
      </c>
      <c r="O81" s="477">
        <f t="shared" si="279"/>
        <v>0</v>
      </c>
      <c r="P81" s="477">
        <f t="shared" si="279"/>
        <v>1606479</v>
      </c>
      <c r="Q81" s="477">
        <f t="shared" si="279"/>
        <v>47529</v>
      </c>
      <c r="R81" s="477">
        <f t="shared" si="279"/>
        <v>53106</v>
      </c>
      <c r="S81" s="478">
        <f t="shared" si="279"/>
        <v>8.980599999999999</v>
      </c>
      <c r="T81" s="478">
        <f t="shared" si="279"/>
        <v>6.3181999999999992</v>
      </c>
      <c r="U81" s="330">
        <f t="shared" si="279"/>
        <v>2.6623999999999999</v>
      </c>
      <c r="V81" s="483">
        <f t="shared" si="279"/>
        <v>-15360</v>
      </c>
      <c r="W81" s="477">
        <f t="shared" si="279"/>
        <v>0</v>
      </c>
      <c r="X81" s="477">
        <f t="shared" si="279"/>
        <v>0</v>
      </c>
      <c r="Y81" s="477">
        <f t="shared" si="279"/>
        <v>0</v>
      </c>
      <c r="Z81" s="477">
        <f t="shared" si="279"/>
        <v>0</v>
      </c>
      <c r="AA81" s="477">
        <f t="shared" si="279"/>
        <v>0</v>
      </c>
      <c r="AB81" s="477">
        <f t="shared" si="279"/>
        <v>0</v>
      </c>
      <c r="AC81" s="477">
        <f t="shared" si="279"/>
        <v>0</v>
      </c>
      <c r="AD81" s="477">
        <f t="shared" si="279"/>
        <v>0</v>
      </c>
      <c r="AE81" s="477">
        <f t="shared" si="279"/>
        <v>0</v>
      </c>
      <c r="AF81" s="477">
        <f t="shared" si="279"/>
        <v>-15360</v>
      </c>
      <c r="AG81" s="477">
        <f t="shared" si="279"/>
        <v>0</v>
      </c>
      <c r="AH81" s="477">
        <f t="shared" si="279"/>
        <v>-15360</v>
      </c>
      <c r="AI81" s="477">
        <f t="shared" si="279"/>
        <v>15360</v>
      </c>
      <c r="AJ81" s="477">
        <f t="shared" si="279"/>
        <v>0</v>
      </c>
      <c r="AK81" s="477">
        <f t="shared" ref="AK81" si="280">SUM(AK75:AK80)</f>
        <v>0</v>
      </c>
      <c r="AL81" s="477">
        <f t="shared" si="279"/>
        <v>46800</v>
      </c>
      <c r="AM81" s="477">
        <f t="shared" si="279"/>
        <v>0</v>
      </c>
      <c r="AN81" s="477">
        <f t="shared" si="279"/>
        <v>0</v>
      </c>
      <c r="AO81" s="477">
        <f t="shared" si="279"/>
        <v>62160</v>
      </c>
      <c r="AP81" s="477">
        <f t="shared" si="279"/>
        <v>0</v>
      </c>
      <c r="AQ81" s="477">
        <f t="shared" si="279"/>
        <v>62160</v>
      </c>
      <c r="AR81" s="477">
        <f t="shared" si="279"/>
        <v>46800</v>
      </c>
      <c r="AS81" s="477">
        <f t="shared" si="279"/>
        <v>0</v>
      </c>
      <c r="AT81" s="477">
        <f t="shared" si="279"/>
        <v>46800</v>
      </c>
      <c r="AU81" s="477">
        <f t="shared" si="279"/>
        <v>15818</v>
      </c>
      <c r="AV81" s="477">
        <f t="shared" si="279"/>
        <v>-154</v>
      </c>
      <c r="AW81" s="477">
        <f t="shared" si="279"/>
        <v>0</v>
      </c>
      <c r="AX81" s="477">
        <f t="shared" si="279"/>
        <v>0</v>
      </c>
      <c r="AY81" s="477">
        <f t="shared" si="279"/>
        <v>0</v>
      </c>
      <c r="AZ81" s="477">
        <f t="shared" si="279"/>
        <v>62464</v>
      </c>
      <c r="BA81" s="478">
        <f t="shared" si="279"/>
        <v>-0.02</v>
      </c>
      <c r="BB81" s="478">
        <f t="shared" si="279"/>
        <v>0</v>
      </c>
      <c r="BC81" s="478">
        <f t="shared" si="279"/>
        <v>0</v>
      </c>
      <c r="BD81" s="478">
        <f t="shared" si="279"/>
        <v>0</v>
      </c>
      <c r="BE81" s="478">
        <f t="shared" si="279"/>
        <v>0</v>
      </c>
      <c r="BF81" s="478">
        <f t="shared" si="279"/>
        <v>0</v>
      </c>
      <c r="BG81" s="478">
        <f t="shared" si="279"/>
        <v>0</v>
      </c>
      <c r="BH81" s="478">
        <f t="shared" si="279"/>
        <v>0</v>
      </c>
      <c r="BI81" s="478">
        <f t="shared" si="279"/>
        <v>0</v>
      </c>
      <c r="BJ81" s="478">
        <f t="shared" si="279"/>
        <v>0</v>
      </c>
      <c r="BK81" s="478">
        <f t="shared" si="279"/>
        <v>-0.02</v>
      </c>
      <c r="BL81" s="478">
        <f t="shared" si="279"/>
        <v>0</v>
      </c>
      <c r="BM81" s="559">
        <f t="shared" si="279"/>
        <v>-0.02</v>
      </c>
      <c r="BN81" s="481">
        <f t="shared" si="279"/>
        <v>6522472</v>
      </c>
      <c r="BO81" s="477">
        <f t="shared" si="279"/>
        <v>4737534</v>
      </c>
      <c r="BP81" s="477">
        <f t="shared" si="279"/>
        <v>3869137</v>
      </c>
      <c r="BQ81" s="477">
        <f t="shared" si="279"/>
        <v>868397</v>
      </c>
      <c r="BR81" s="477">
        <f t="shared" si="279"/>
        <v>62160</v>
      </c>
      <c r="BS81" s="477">
        <f t="shared" si="279"/>
        <v>62160</v>
      </c>
      <c r="BT81" s="477">
        <f t="shared" si="279"/>
        <v>0</v>
      </c>
      <c r="BU81" s="477">
        <f t="shared" ref="BU81:CF81" si="281">SUM(BU75:BU80)</f>
        <v>1622297</v>
      </c>
      <c r="BV81" s="477">
        <f t="shared" si="281"/>
        <v>47375</v>
      </c>
      <c r="BW81" s="477">
        <f t="shared" si="281"/>
        <v>53106</v>
      </c>
      <c r="BX81" s="478">
        <f t="shared" si="281"/>
        <v>8.9605999999999995</v>
      </c>
      <c r="BY81" s="478">
        <f t="shared" si="281"/>
        <v>6.2981999999999996</v>
      </c>
      <c r="BZ81" s="559">
        <f t="shared" si="281"/>
        <v>2.6623999999999999</v>
      </c>
      <c r="CA81" s="885">
        <f t="shared" si="281"/>
        <v>0</v>
      </c>
      <c r="CB81" s="883">
        <f t="shared" si="281"/>
        <v>0</v>
      </c>
      <c r="CC81" s="883">
        <f t="shared" si="281"/>
        <v>0</v>
      </c>
      <c r="CD81" s="883">
        <f t="shared" si="281"/>
        <v>0</v>
      </c>
      <c r="CE81" s="883">
        <f t="shared" si="281"/>
        <v>0</v>
      </c>
      <c r="CF81" s="845">
        <f t="shared" si="281"/>
        <v>0</v>
      </c>
    </row>
    <row r="82" spans="1:84" ht="12.95" customHeight="1" x14ac:dyDescent="0.25">
      <c r="A82" s="282">
        <v>14</v>
      </c>
      <c r="B82" s="323">
        <v>5412</v>
      </c>
      <c r="C82" s="324">
        <v>600099130</v>
      </c>
      <c r="D82" s="283">
        <v>70698066</v>
      </c>
      <c r="E82" s="325" t="s">
        <v>376</v>
      </c>
      <c r="F82" s="283">
        <v>3111</v>
      </c>
      <c r="G82" s="325" t="s">
        <v>305</v>
      </c>
      <c r="H82" s="286" t="s">
        <v>271</v>
      </c>
      <c r="I82" s="423">
        <f t="shared" ref="I82:I87" si="282">J82+P82+Q82+R82</f>
        <v>2096014</v>
      </c>
      <c r="J82" s="418">
        <f t="shared" si="276"/>
        <v>1550945</v>
      </c>
      <c r="K82" s="418">
        <v>1491041</v>
      </c>
      <c r="L82" s="418">
        <v>59904</v>
      </c>
      <c r="M82" s="418">
        <f t="shared" ref="M82:M87" si="283">N82+O82</f>
        <v>0</v>
      </c>
      <c r="N82" s="418">
        <v>0</v>
      </c>
      <c r="O82" s="418">
        <v>0</v>
      </c>
      <c r="P82" s="68">
        <f t="shared" ref="P82:P87" si="284">ROUND((J82+M82)*33.8%,0)</f>
        <v>524219</v>
      </c>
      <c r="Q82" s="68">
        <f>ROUND(J82*1%,0)+1</f>
        <v>15510</v>
      </c>
      <c r="R82" s="418">
        <v>5340</v>
      </c>
      <c r="S82" s="419">
        <f t="shared" ref="S82:S87" si="285">T82+U82</f>
        <v>2.6908000000000003</v>
      </c>
      <c r="T82" s="420">
        <v>2.4508000000000001</v>
      </c>
      <c r="U82" s="527">
        <v>0.24</v>
      </c>
      <c r="V82" s="427">
        <f t="shared" ref="V82:W87" si="286">AI82*-1</f>
        <v>0</v>
      </c>
      <c r="W82" s="421">
        <f t="shared" si="286"/>
        <v>0</v>
      </c>
      <c r="X82" s="421">
        <v>0</v>
      </c>
      <c r="Y82" s="421">
        <v>0</v>
      </c>
      <c r="Z82" s="421">
        <v>0</v>
      </c>
      <c r="AA82" s="421">
        <v>0</v>
      </c>
      <c r="AB82" s="421">
        <v>0</v>
      </c>
      <c r="AC82" s="421">
        <v>0</v>
      </c>
      <c r="AD82" s="421">
        <v>0</v>
      </c>
      <c r="AE82" s="421">
        <v>0</v>
      </c>
      <c r="AF82" s="421">
        <f t="shared" ref="AF82:AF87" si="287">V82+X82+Y82+AA82+AB82+AD82</f>
        <v>0</v>
      </c>
      <c r="AG82" s="421">
        <f t="shared" ref="AG82:AG87" si="288">W82+Z82+AC82+AE82</f>
        <v>0</v>
      </c>
      <c r="AH82" s="421">
        <f t="shared" ref="AH82:AH87" si="289">SUM(AF82:AG82)</f>
        <v>0</v>
      </c>
      <c r="AI82" s="421">
        <v>0</v>
      </c>
      <c r="AJ82" s="421">
        <v>0</v>
      </c>
      <c r="AK82" s="421">
        <v>0</v>
      </c>
      <c r="AL82" s="421">
        <v>0</v>
      </c>
      <c r="AM82" s="421">
        <v>0</v>
      </c>
      <c r="AN82" s="421">
        <v>0</v>
      </c>
      <c r="AO82" s="421">
        <f t="shared" ref="AO82:AO87" si="290">AI82+AK82+AL82+AM82</f>
        <v>0</v>
      </c>
      <c r="AP82" s="421">
        <f t="shared" ref="AP82:AP87" si="291">AJ82+AN82</f>
        <v>0</v>
      </c>
      <c r="AQ82" s="421">
        <f t="shared" ref="AQ82:AQ87" si="292">SUM(AO82:AP82)</f>
        <v>0</v>
      </c>
      <c r="AR82" s="421">
        <f t="shared" ref="AR82:AS87" si="293">AF82+AO82</f>
        <v>0</v>
      </c>
      <c r="AS82" s="421">
        <f t="shared" si="293"/>
        <v>0</v>
      </c>
      <c r="AT82" s="421">
        <f t="shared" ref="AT82:AT87" si="294">SUM(AR82:AS82)</f>
        <v>0</v>
      </c>
      <c r="AU82" s="68">
        <f t="shared" ref="AU82:AU87" si="295">ROUND((AH82+AI82+AJ82+AK82+AL82)*33.8%,0)</f>
        <v>0</v>
      </c>
      <c r="AV82" s="68">
        <f t="shared" ref="AV82:AV87" si="296">ROUND(AH82*1%,0)</f>
        <v>0</v>
      </c>
      <c r="AW82" s="421">
        <v>0</v>
      </c>
      <c r="AX82" s="421">
        <v>0</v>
      </c>
      <c r="AY82" s="421">
        <f t="shared" ref="AY82:AY87" si="297">AW82+AX82</f>
        <v>0</v>
      </c>
      <c r="AZ82" s="421">
        <f t="shared" ref="AZ82:AZ87" si="298">AT82+AU82+AV82+AY82</f>
        <v>0</v>
      </c>
      <c r="BA82" s="422">
        <v>0</v>
      </c>
      <c r="BB82" s="422">
        <v>0</v>
      </c>
      <c r="BC82" s="422">
        <v>0</v>
      </c>
      <c r="BD82" s="422">
        <v>0</v>
      </c>
      <c r="BE82" s="422">
        <v>0</v>
      </c>
      <c r="BF82" s="422">
        <v>0</v>
      </c>
      <c r="BG82" s="422">
        <v>0</v>
      </c>
      <c r="BH82" s="422">
        <v>0</v>
      </c>
      <c r="BI82" s="422">
        <v>0</v>
      </c>
      <c r="BJ82" s="422">
        <v>0</v>
      </c>
      <c r="BK82" s="422">
        <f t="shared" ref="BK82:BK87" si="299">BA82+BC82+BD82+BF82+BH82+BI82</f>
        <v>0</v>
      </c>
      <c r="BL82" s="422">
        <f t="shared" ref="BL82:BL87" si="300">BB82+BE82+BG82+BJ82</f>
        <v>0</v>
      </c>
      <c r="BM82" s="611">
        <f t="shared" ref="BM82:BM87" si="301">SUM(BK82:BL82)</f>
        <v>0</v>
      </c>
      <c r="BN82" s="428">
        <f t="shared" ref="BN82:BN87" si="302">I82+AZ82</f>
        <v>2096014</v>
      </c>
      <c r="BO82" s="421">
        <f t="shared" ref="BO82:BO87" si="303">J82+AH82</f>
        <v>1550945</v>
      </c>
      <c r="BP82" s="421">
        <f t="shared" ref="BP82:BQ87" si="304">K82+AF82</f>
        <v>1491041</v>
      </c>
      <c r="BQ82" s="421">
        <f t="shared" si="304"/>
        <v>59904</v>
      </c>
      <c r="BR82" s="421">
        <f t="shared" ref="BR82:BR87" si="305">M82+AQ82</f>
        <v>0</v>
      </c>
      <c r="BS82" s="421">
        <f t="shared" ref="BS82:BT87" si="306">N82+AO82</f>
        <v>0</v>
      </c>
      <c r="BT82" s="421">
        <f t="shared" si="306"/>
        <v>0</v>
      </c>
      <c r="BU82" s="421">
        <f t="shared" ref="BU82:BV87" si="307">P82+AU82</f>
        <v>524219</v>
      </c>
      <c r="BV82" s="421">
        <f t="shared" si="307"/>
        <v>15510</v>
      </c>
      <c r="BW82" s="421">
        <f t="shared" ref="BW82:BW87" si="308">R82+AY82</f>
        <v>5340</v>
      </c>
      <c r="BX82" s="422">
        <f t="shared" ref="BX82:BX87" si="309">S82+BM82</f>
        <v>2.6908000000000003</v>
      </c>
      <c r="BY82" s="422">
        <f t="shared" ref="BY82:BZ87" si="310">T82+BK82</f>
        <v>2.4508000000000001</v>
      </c>
      <c r="BZ82" s="611">
        <f t="shared" si="310"/>
        <v>0.24</v>
      </c>
      <c r="CA82" s="423"/>
      <c r="CB82" s="418"/>
      <c r="CC82" s="418"/>
      <c r="CD82" s="418"/>
      <c r="CE82" s="418"/>
      <c r="CF82" s="527"/>
    </row>
    <row r="83" spans="1:84" ht="12.95" customHeight="1" x14ac:dyDescent="0.25">
      <c r="A83" s="282">
        <v>14</v>
      </c>
      <c r="B83" s="323">
        <v>5412</v>
      </c>
      <c r="C83" s="324">
        <v>600099130</v>
      </c>
      <c r="D83" s="283">
        <v>70698066</v>
      </c>
      <c r="E83" s="325" t="s">
        <v>376</v>
      </c>
      <c r="F83" s="283">
        <v>3117</v>
      </c>
      <c r="G83" s="325" t="s">
        <v>294</v>
      </c>
      <c r="H83" s="286" t="s">
        <v>271</v>
      </c>
      <c r="I83" s="423">
        <f t="shared" si="282"/>
        <v>2054704</v>
      </c>
      <c r="J83" s="418">
        <f t="shared" si="276"/>
        <v>1504399</v>
      </c>
      <c r="K83" s="418">
        <v>1300567</v>
      </c>
      <c r="L83" s="418">
        <v>203832</v>
      </c>
      <c r="M83" s="418">
        <f t="shared" si="283"/>
        <v>0</v>
      </c>
      <c r="N83" s="418">
        <v>0</v>
      </c>
      <c r="O83" s="418">
        <v>0</v>
      </c>
      <c r="P83" s="68">
        <f t="shared" si="284"/>
        <v>508487</v>
      </c>
      <c r="Q83" s="68">
        <f t="shared" ref="Q83:Q87" si="311">ROUND(J83*1%,0)</f>
        <v>15044</v>
      </c>
      <c r="R83" s="418">
        <v>26774</v>
      </c>
      <c r="S83" s="419">
        <f t="shared" si="285"/>
        <v>2.5277000000000003</v>
      </c>
      <c r="T83" s="420">
        <v>2</v>
      </c>
      <c r="U83" s="527">
        <v>0.52770000000000006</v>
      </c>
      <c r="V83" s="427">
        <f t="shared" si="286"/>
        <v>0</v>
      </c>
      <c r="W83" s="421">
        <f t="shared" si="286"/>
        <v>0</v>
      </c>
      <c r="X83" s="421">
        <v>0</v>
      </c>
      <c r="Y83" s="421">
        <v>0</v>
      </c>
      <c r="Z83" s="421">
        <v>0</v>
      </c>
      <c r="AA83" s="421">
        <v>0</v>
      </c>
      <c r="AB83" s="421">
        <v>0</v>
      </c>
      <c r="AC83" s="421">
        <v>0</v>
      </c>
      <c r="AD83" s="421">
        <v>0</v>
      </c>
      <c r="AE83" s="421">
        <v>0</v>
      </c>
      <c r="AF83" s="421">
        <f t="shared" si="287"/>
        <v>0</v>
      </c>
      <c r="AG83" s="421">
        <f t="shared" si="288"/>
        <v>0</v>
      </c>
      <c r="AH83" s="421">
        <f t="shared" si="289"/>
        <v>0</v>
      </c>
      <c r="AI83" s="421">
        <v>0</v>
      </c>
      <c r="AJ83" s="421">
        <v>0</v>
      </c>
      <c r="AK83" s="421">
        <v>0</v>
      </c>
      <c r="AL83" s="421">
        <v>0</v>
      </c>
      <c r="AM83" s="421">
        <v>0</v>
      </c>
      <c r="AN83" s="421">
        <v>0</v>
      </c>
      <c r="AO83" s="421">
        <f t="shared" si="290"/>
        <v>0</v>
      </c>
      <c r="AP83" s="421">
        <f t="shared" si="291"/>
        <v>0</v>
      </c>
      <c r="AQ83" s="421">
        <f t="shared" si="292"/>
        <v>0</v>
      </c>
      <c r="AR83" s="421">
        <f t="shared" si="293"/>
        <v>0</v>
      </c>
      <c r="AS83" s="421">
        <f t="shared" si="293"/>
        <v>0</v>
      </c>
      <c r="AT83" s="421">
        <f t="shared" si="294"/>
        <v>0</v>
      </c>
      <c r="AU83" s="68">
        <f t="shared" si="295"/>
        <v>0</v>
      </c>
      <c r="AV83" s="68">
        <f t="shared" si="296"/>
        <v>0</v>
      </c>
      <c r="AW83" s="421">
        <v>0</v>
      </c>
      <c r="AX83" s="421">
        <v>0</v>
      </c>
      <c r="AY83" s="421">
        <f t="shared" si="297"/>
        <v>0</v>
      </c>
      <c r="AZ83" s="421">
        <f t="shared" si="298"/>
        <v>0</v>
      </c>
      <c r="BA83" s="422">
        <v>0</v>
      </c>
      <c r="BB83" s="422">
        <v>0</v>
      </c>
      <c r="BC83" s="422">
        <v>0</v>
      </c>
      <c r="BD83" s="422">
        <v>0</v>
      </c>
      <c r="BE83" s="422">
        <v>0</v>
      </c>
      <c r="BF83" s="422">
        <v>0</v>
      </c>
      <c r="BG83" s="422">
        <v>0</v>
      </c>
      <c r="BH83" s="422">
        <v>0</v>
      </c>
      <c r="BI83" s="422">
        <v>0</v>
      </c>
      <c r="BJ83" s="422">
        <v>0</v>
      </c>
      <c r="BK83" s="422">
        <f t="shared" si="299"/>
        <v>0</v>
      </c>
      <c r="BL83" s="422">
        <f t="shared" si="300"/>
        <v>0</v>
      </c>
      <c r="BM83" s="611">
        <f t="shared" si="301"/>
        <v>0</v>
      </c>
      <c r="BN83" s="428">
        <f t="shared" si="302"/>
        <v>2054704</v>
      </c>
      <c r="BO83" s="421">
        <f t="shared" si="303"/>
        <v>1504399</v>
      </c>
      <c r="BP83" s="421">
        <f t="shared" si="304"/>
        <v>1300567</v>
      </c>
      <c r="BQ83" s="421">
        <f t="shared" si="304"/>
        <v>203832</v>
      </c>
      <c r="BR83" s="421">
        <f t="shared" si="305"/>
        <v>0</v>
      </c>
      <c r="BS83" s="421">
        <f t="shared" si="306"/>
        <v>0</v>
      </c>
      <c r="BT83" s="421">
        <f t="shared" si="306"/>
        <v>0</v>
      </c>
      <c r="BU83" s="421">
        <f t="shared" si="307"/>
        <v>508487</v>
      </c>
      <c r="BV83" s="421">
        <f t="shared" si="307"/>
        <v>15044</v>
      </c>
      <c r="BW83" s="421">
        <f t="shared" si="308"/>
        <v>26774</v>
      </c>
      <c r="BX83" s="422">
        <f t="shared" si="309"/>
        <v>2.5277000000000003</v>
      </c>
      <c r="BY83" s="422">
        <f t="shared" si="310"/>
        <v>2</v>
      </c>
      <c r="BZ83" s="611">
        <f t="shared" si="310"/>
        <v>0.52770000000000006</v>
      </c>
      <c r="CA83" s="423"/>
      <c r="CB83" s="418"/>
      <c r="CC83" s="418"/>
      <c r="CD83" s="418"/>
      <c r="CE83" s="418"/>
      <c r="CF83" s="527"/>
    </row>
    <row r="84" spans="1:84" ht="12.95" customHeight="1" x14ac:dyDescent="0.25">
      <c r="A84" s="282">
        <v>14</v>
      </c>
      <c r="B84" s="323">
        <v>5412</v>
      </c>
      <c r="C84" s="324">
        <v>600099130</v>
      </c>
      <c r="D84" s="283">
        <v>70698066</v>
      </c>
      <c r="E84" s="325" t="s">
        <v>376</v>
      </c>
      <c r="F84" s="283">
        <v>3117</v>
      </c>
      <c r="G84" s="325" t="s">
        <v>299</v>
      </c>
      <c r="H84" s="286" t="s">
        <v>272</v>
      </c>
      <c r="I84" s="423">
        <f t="shared" si="282"/>
        <v>0</v>
      </c>
      <c r="J84" s="418">
        <f t="shared" si="276"/>
        <v>0</v>
      </c>
      <c r="K84" s="418">
        <v>0</v>
      </c>
      <c r="L84" s="418">
        <v>0</v>
      </c>
      <c r="M84" s="418">
        <f>N84+O84</f>
        <v>0</v>
      </c>
      <c r="N84" s="418">
        <v>0</v>
      </c>
      <c r="O84" s="418">
        <v>0</v>
      </c>
      <c r="P84" s="68">
        <f t="shared" si="284"/>
        <v>0</v>
      </c>
      <c r="Q84" s="68">
        <f t="shared" si="311"/>
        <v>0</v>
      </c>
      <c r="R84" s="418"/>
      <c r="S84" s="419">
        <f>T84+U84</f>
        <v>0</v>
      </c>
      <c r="T84" s="420">
        <v>0</v>
      </c>
      <c r="U84" s="527">
        <v>0</v>
      </c>
      <c r="V84" s="427">
        <f t="shared" si="286"/>
        <v>0</v>
      </c>
      <c r="W84" s="421">
        <f t="shared" si="286"/>
        <v>0</v>
      </c>
      <c r="X84" s="421">
        <v>0</v>
      </c>
      <c r="Y84" s="421">
        <v>0</v>
      </c>
      <c r="Z84" s="421">
        <v>0</v>
      </c>
      <c r="AA84" s="421">
        <v>0</v>
      </c>
      <c r="AB84" s="421">
        <v>0</v>
      </c>
      <c r="AC84" s="421">
        <v>0</v>
      </c>
      <c r="AD84" s="421">
        <v>0</v>
      </c>
      <c r="AE84" s="421">
        <v>0</v>
      </c>
      <c r="AF84" s="421">
        <f t="shared" si="287"/>
        <v>0</v>
      </c>
      <c r="AG84" s="421">
        <f t="shared" si="288"/>
        <v>0</v>
      </c>
      <c r="AH84" s="421">
        <f t="shared" si="289"/>
        <v>0</v>
      </c>
      <c r="AI84" s="421">
        <v>0</v>
      </c>
      <c r="AJ84" s="421">
        <v>0</v>
      </c>
      <c r="AK84" s="421">
        <v>0</v>
      </c>
      <c r="AL84" s="421">
        <v>0</v>
      </c>
      <c r="AM84" s="421">
        <v>0</v>
      </c>
      <c r="AN84" s="421">
        <v>0</v>
      </c>
      <c r="AO84" s="421">
        <f t="shared" si="290"/>
        <v>0</v>
      </c>
      <c r="AP84" s="421">
        <f t="shared" si="291"/>
        <v>0</v>
      </c>
      <c r="AQ84" s="421">
        <f t="shared" si="292"/>
        <v>0</v>
      </c>
      <c r="AR84" s="421">
        <f t="shared" si="293"/>
        <v>0</v>
      </c>
      <c r="AS84" s="421">
        <f t="shared" si="293"/>
        <v>0</v>
      </c>
      <c r="AT84" s="421">
        <f t="shared" si="294"/>
        <v>0</v>
      </c>
      <c r="AU84" s="68">
        <f t="shared" si="295"/>
        <v>0</v>
      </c>
      <c r="AV84" s="68">
        <f t="shared" si="296"/>
        <v>0</v>
      </c>
      <c r="AW84" s="421">
        <v>0</v>
      </c>
      <c r="AX84" s="421">
        <v>0</v>
      </c>
      <c r="AY84" s="421">
        <f t="shared" si="297"/>
        <v>0</v>
      </c>
      <c r="AZ84" s="421">
        <f t="shared" si="298"/>
        <v>0</v>
      </c>
      <c r="BA84" s="422">
        <v>0</v>
      </c>
      <c r="BB84" s="422">
        <v>0</v>
      </c>
      <c r="BC84" s="422">
        <v>0</v>
      </c>
      <c r="BD84" s="422">
        <v>0</v>
      </c>
      <c r="BE84" s="422">
        <v>0</v>
      </c>
      <c r="BF84" s="422">
        <v>0</v>
      </c>
      <c r="BG84" s="422">
        <v>0</v>
      </c>
      <c r="BH84" s="422">
        <v>0</v>
      </c>
      <c r="BI84" s="422">
        <v>0</v>
      </c>
      <c r="BJ84" s="422">
        <v>0</v>
      </c>
      <c r="BK84" s="422">
        <f t="shared" si="299"/>
        <v>0</v>
      </c>
      <c r="BL84" s="422">
        <f t="shared" si="300"/>
        <v>0</v>
      </c>
      <c r="BM84" s="611">
        <f t="shared" si="301"/>
        <v>0</v>
      </c>
      <c r="BN84" s="428">
        <f t="shared" si="302"/>
        <v>0</v>
      </c>
      <c r="BO84" s="421">
        <f t="shared" si="303"/>
        <v>0</v>
      </c>
      <c r="BP84" s="421">
        <f t="shared" si="304"/>
        <v>0</v>
      </c>
      <c r="BQ84" s="421">
        <f t="shared" si="304"/>
        <v>0</v>
      </c>
      <c r="BR84" s="421">
        <f t="shared" si="305"/>
        <v>0</v>
      </c>
      <c r="BS84" s="421">
        <f t="shared" si="306"/>
        <v>0</v>
      </c>
      <c r="BT84" s="421">
        <f t="shared" si="306"/>
        <v>0</v>
      </c>
      <c r="BU84" s="421">
        <f t="shared" si="307"/>
        <v>0</v>
      </c>
      <c r="BV84" s="421">
        <f t="shared" si="307"/>
        <v>0</v>
      </c>
      <c r="BW84" s="421">
        <f t="shared" si="308"/>
        <v>0</v>
      </c>
      <c r="BX84" s="422">
        <f t="shared" si="309"/>
        <v>0</v>
      </c>
      <c r="BY84" s="422">
        <f t="shared" si="310"/>
        <v>0</v>
      </c>
      <c r="BZ84" s="611">
        <f t="shared" si="310"/>
        <v>0</v>
      </c>
      <c r="CA84" s="423"/>
      <c r="CB84" s="418"/>
      <c r="CC84" s="418"/>
      <c r="CD84" s="418"/>
      <c r="CE84" s="418"/>
      <c r="CF84" s="527"/>
    </row>
    <row r="85" spans="1:84" ht="12.95" customHeight="1" x14ac:dyDescent="0.25">
      <c r="A85" s="282">
        <v>14</v>
      </c>
      <c r="B85" s="323">
        <v>5412</v>
      </c>
      <c r="C85" s="324">
        <v>600099130</v>
      </c>
      <c r="D85" s="283">
        <v>70698066</v>
      </c>
      <c r="E85" s="325" t="s">
        <v>376</v>
      </c>
      <c r="F85" s="283">
        <v>3141</v>
      </c>
      <c r="G85" s="325" t="s">
        <v>295</v>
      </c>
      <c r="H85" s="286" t="s">
        <v>272</v>
      </c>
      <c r="I85" s="423">
        <f t="shared" si="282"/>
        <v>415039</v>
      </c>
      <c r="J85" s="418">
        <f t="shared" si="276"/>
        <v>306802</v>
      </c>
      <c r="K85" s="418">
        <v>0</v>
      </c>
      <c r="L85" s="418">
        <v>306802</v>
      </c>
      <c r="M85" s="418">
        <f t="shared" si="283"/>
        <v>0</v>
      </c>
      <c r="N85" s="418">
        <v>0</v>
      </c>
      <c r="O85" s="418">
        <v>0</v>
      </c>
      <c r="P85" s="68">
        <f t="shared" si="284"/>
        <v>103699</v>
      </c>
      <c r="Q85" s="68">
        <f t="shared" si="311"/>
        <v>3068</v>
      </c>
      <c r="R85" s="418">
        <v>1470</v>
      </c>
      <c r="S85" s="419">
        <f t="shared" si="285"/>
        <v>0.92</v>
      </c>
      <c r="T85" s="420">
        <v>0</v>
      </c>
      <c r="U85" s="527">
        <v>0.92</v>
      </c>
      <c r="V85" s="427">
        <f t="shared" si="286"/>
        <v>0</v>
      </c>
      <c r="W85" s="421">
        <f t="shared" si="286"/>
        <v>0</v>
      </c>
      <c r="X85" s="421">
        <v>0</v>
      </c>
      <c r="Y85" s="421">
        <v>0</v>
      </c>
      <c r="Z85" s="421">
        <v>0</v>
      </c>
      <c r="AA85" s="421">
        <v>0</v>
      </c>
      <c r="AB85" s="421">
        <v>0</v>
      </c>
      <c r="AC85" s="421">
        <v>0</v>
      </c>
      <c r="AD85" s="421">
        <v>0</v>
      </c>
      <c r="AE85" s="421">
        <v>0</v>
      </c>
      <c r="AF85" s="421">
        <f t="shared" si="287"/>
        <v>0</v>
      </c>
      <c r="AG85" s="421">
        <f t="shared" si="288"/>
        <v>0</v>
      </c>
      <c r="AH85" s="421">
        <f t="shared" si="289"/>
        <v>0</v>
      </c>
      <c r="AI85" s="421">
        <v>0</v>
      </c>
      <c r="AJ85" s="421">
        <v>0</v>
      </c>
      <c r="AK85" s="421">
        <v>0</v>
      </c>
      <c r="AL85" s="421">
        <v>0</v>
      </c>
      <c r="AM85" s="421">
        <v>0</v>
      </c>
      <c r="AN85" s="421">
        <v>0</v>
      </c>
      <c r="AO85" s="421">
        <f t="shared" si="290"/>
        <v>0</v>
      </c>
      <c r="AP85" s="421">
        <f t="shared" si="291"/>
        <v>0</v>
      </c>
      <c r="AQ85" s="421">
        <f t="shared" si="292"/>
        <v>0</v>
      </c>
      <c r="AR85" s="421">
        <f t="shared" si="293"/>
        <v>0</v>
      </c>
      <c r="AS85" s="421">
        <f t="shared" si="293"/>
        <v>0</v>
      </c>
      <c r="AT85" s="421">
        <f t="shared" si="294"/>
        <v>0</v>
      </c>
      <c r="AU85" s="68">
        <f t="shared" si="295"/>
        <v>0</v>
      </c>
      <c r="AV85" s="68">
        <f t="shared" si="296"/>
        <v>0</v>
      </c>
      <c r="AW85" s="421">
        <v>0</v>
      </c>
      <c r="AX85" s="421">
        <v>0</v>
      </c>
      <c r="AY85" s="421">
        <f t="shared" si="297"/>
        <v>0</v>
      </c>
      <c r="AZ85" s="421">
        <f t="shared" si="298"/>
        <v>0</v>
      </c>
      <c r="BA85" s="422">
        <v>0</v>
      </c>
      <c r="BB85" s="422">
        <v>0</v>
      </c>
      <c r="BC85" s="422">
        <v>0</v>
      </c>
      <c r="BD85" s="422">
        <v>0</v>
      </c>
      <c r="BE85" s="422">
        <v>0</v>
      </c>
      <c r="BF85" s="422">
        <v>0</v>
      </c>
      <c r="BG85" s="422">
        <v>0</v>
      </c>
      <c r="BH85" s="422">
        <v>0</v>
      </c>
      <c r="BI85" s="422">
        <v>0</v>
      </c>
      <c r="BJ85" s="422">
        <v>0</v>
      </c>
      <c r="BK85" s="422">
        <f t="shared" si="299"/>
        <v>0</v>
      </c>
      <c r="BL85" s="422">
        <f t="shared" si="300"/>
        <v>0</v>
      </c>
      <c r="BM85" s="611">
        <f t="shared" si="301"/>
        <v>0</v>
      </c>
      <c r="BN85" s="428">
        <f t="shared" si="302"/>
        <v>415039</v>
      </c>
      <c r="BO85" s="421">
        <f t="shared" si="303"/>
        <v>306802</v>
      </c>
      <c r="BP85" s="421">
        <f t="shared" si="304"/>
        <v>0</v>
      </c>
      <c r="BQ85" s="421">
        <f t="shared" si="304"/>
        <v>306802</v>
      </c>
      <c r="BR85" s="421">
        <f t="shared" si="305"/>
        <v>0</v>
      </c>
      <c r="BS85" s="421">
        <f t="shared" si="306"/>
        <v>0</v>
      </c>
      <c r="BT85" s="421">
        <f t="shared" si="306"/>
        <v>0</v>
      </c>
      <c r="BU85" s="421">
        <f t="shared" si="307"/>
        <v>103699</v>
      </c>
      <c r="BV85" s="421">
        <f t="shared" si="307"/>
        <v>3068</v>
      </c>
      <c r="BW85" s="421">
        <f t="shared" si="308"/>
        <v>1470</v>
      </c>
      <c r="BX85" s="422">
        <f t="shared" si="309"/>
        <v>0.92</v>
      </c>
      <c r="BY85" s="422">
        <f t="shared" si="310"/>
        <v>0</v>
      </c>
      <c r="BZ85" s="611">
        <f t="shared" si="310"/>
        <v>0.92</v>
      </c>
      <c r="CA85" s="423"/>
      <c r="CB85" s="418"/>
      <c r="CC85" s="418"/>
      <c r="CD85" s="418"/>
      <c r="CE85" s="418"/>
      <c r="CF85" s="527"/>
    </row>
    <row r="86" spans="1:84" ht="12.95" customHeight="1" x14ac:dyDescent="0.25">
      <c r="A86" s="282">
        <v>14</v>
      </c>
      <c r="B86" s="323">
        <v>5412</v>
      </c>
      <c r="C86" s="324">
        <v>600099130</v>
      </c>
      <c r="D86" s="283">
        <v>70698066</v>
      </c>
      <c r="E86" s="325" t="s">
        <v>376</v>
      </c>
      <c r="F86" s="283">
        <v>3143</v>
      </c>
      <c r="G86" s="325" t="s">
        <v>596</v>
      </c>
      <c r="H86" s="286" t="s">
        <v>271</v>
      </c>
      <c r="I86" s="423">
        <f t="shared" si="282"/>
        <v>300253</v>
      </c>
      <c r="J86" s="418">
        <f t="shared" si="276"/>
        <v>222740</v>
      </c>
      <c r="K86" s="418">
        <v>222740</v>
      </c>
      <c r="L86" s="418">
        <v>0</v>
      </c>
      <c r="M86" s="418">
        <f t="shared" si="283"/>
        <v>0</v>
      </c>
      <c r="N86" s="418">
        <v>0</v>
      </c>
      <c r="O86" s="418">
        <v>0</v>
      </c>
      <c r="P86" s="68">
        <f t="shared" si="284"/>
        <v>75286</v>
      </c>
      <c r="Q86" s="68">
        <f t="shared" si="311"/>
        <v>2227</v>
      </c>
      <c r="R86" s="418">
        <v>0</v>
      </c>
      <c r="S86" s="419">
        <f t="shared" si="285"/>
        <v>0.5</v>
      </c>
      <c r="T86" s="420">
        <v>0.5</v>
      </c>
      <c r="U86" s="527">
        <v>0</v>
      </c>
      <c r="V86" s="427">
        <f t="shared" si="286"/>
        <v>0</v>
      </c>
      <c r="W86" s="421">
        <f t="shared" si="286"/>
        <v>0</v>
      </c>
      <c r="X86" s="421">
        <v>0</v>
      </c>
      <c r="Y86" s="421">
        <v>0</v>
      </c>
      <c r="Z86" s="421">
        <v>0</v>
      </c>
      <c r="AA86" s="421">
        <v>0</v>
      </c>
      <c r="AB86" s="421">
        <v>0</v>
      </c>
      <c r="AC86" s="421">
        <v>0</v>
      </c>
      <c r="AD86" s="421">
        <v>0</v>
      </c>
      <c r="AE86" s="421">
        <v>0</v>
      </c>
      <c r="AF86" s="421">
        <f t="shared" si="287"/>
        <v>0</v>
      </c>
      <c r="AG86" s="421">
        <f t="shared" si="288"/>
        <v>0</v>
      </c>
      <c r="AH86" s="421">
        <f t="shared" si="289"/>
        <v>0</v>
      </c>
      <c r="AI86" s="421">
        <v>0</v>
      </c>
      <c r="AJ86" s="421">
        <v>0</v>
      </c>
      <c r="AK86" s="421">
        <v>0</v>
      </c>
      <c r="AL86" s="421">
        <v>0</v>
      </c>
      <c r="AM86" s="421">
        <v>0</v>
      </c>
      <c r="AN86" s="421">
        <v>0</v>
      </c>
      <c r="AO86" s="421">
        <f t="shared" si="290"/>
        <v>0</v>
      </c>
      <c r="AP86" s="421">
        <f t="shared" si="291"/>
        <v>0</v>
      </c>
      <c r="AQ86" s="421">
        <f t="shared" si="292"/>
        <v>0</v>
      </c>
      <c r="AR86" s="421">
        <f t="shared" si="293"/>
        <v>0</v>
      </c>
      <c r="AS86" s="421">
        <f t="shared" si="293"/>
        <v>0</v>
      </c>
      <c r="AT86" s="421">
        <f t="shared" si="294"/>
        <v>0</v>
      </c>
      <c r="AU86" s="68">
        <f t="shared" si="295"/>
        <v>0</v>
      </c>
      <c r="AV86" s="68">
        <f t="shared" si="296"/>
        <v>0</v>
      </c>
      <c r="AW86" s="421">
        <v>0</v>
      </c>
      <c r="AX86" s="421">
        <v>0</v>
      </c>
      <c r="AY86" s="421">
        <f t="shared" si="297"/>
        <v>0</v>
      </c>
      <c r="AZ86" s="421">
        <f t="shared" si="298"/>
        <v>0</v>
      </c>
      <c r="BA86" s="422">
        <v>0</v>
      </c>
      <c r="BB86" s="422">
        <v>0</v>
      </c>
      <c r="BC86" s="422">
        <v>0</v>
      </c>
      <c r="BD86" s="422">
        <v>0</v>
      </c>
      <c r="BE86" s="422">
        <v>0</v>
      </c>
      <c r="BF86" s="422">
        <v>0</v>
      </c>
      <c r="BG86" s="422">
        <v>0</v>
      </c>
      <c r="BH86" s="422">
        <v>0</v>
      </c>
      <c r="BI86" s="422">
        <v>0</v>
      </c>
      <c r="BJ86" s="422">
        <v>0</v>
      </c>
      <c r="BK86" s="422">
        <f t="shared" si="299"/>
        <v>0</v>
      </c>
      <c r="BL86" s="422">
        <f t="shared" si="300"/>
        <v>0</v>
      </c>
      <c r="BM86" s="611">
        <f t="shared" si="301"/>
        <v>0</v>
      </c>
      <c r="BN86" s="428">
        <f t="shared" si="302"/>
        <v>300253</v>
      </c>
      <c r="BO86" s="421">
        <f t="shared" si="303"/>
        <v>222740</v>
      </c>
      <c r="BP86" s="421">
        <f t="shared" si="304"/>
        <v>222740</v>
      </c>
      <c r="BQ86" s="421">
        <f t="shared" si="304"/>
        <v>0</v>
      </c>
      <c r="BR86" s="421">
        <f t="shared" si="305"/>
        <v>0</v>
      </c>
      <c r="BS86" s="421">
        <f t="shared" si="306"/>
        <v>0</v>
      </c>
      <c r="BT86" s="421">
        <f t="shared" si="306"/>
        <v>0</v>
      </c>
      <c r="BU86" s="421">
        <f t="shared" si="307"/>
        <v>75286</v>
      </c>
      <c r="BV86" s="421">
        <f t="shared" si="307"/>
        <v>2227</v>
      </c>
      <c r="BW86" s="421">
        <f t="shared" si="308"/>
        <v>0</v>
      </c>
      <c r="BX86" s="422">
        <f t="shared" si="309"/>
        <v>0.5</v>
      </c>
      <c r="BY86" s="422">
        <f t="shared" si="310"/>
        <v>0.5</v>
      </c>
      <c r="BZ86" s="611">
        <f t="shared" si="310"/>
        <v>0</v>
      </c>
      <c r="CA86" s="423"/>
      <c r="CB86" s="418"/>
      <c r="CC86" s="418"/>
      <c r="CD86" s="418"/>
      <c r="CE86" s="418"/>
      <c r="CF86" s="527"/>
    </row>
    <row r="87" spans="1:84" ht="12.95" customHeight="1" x14ac:dyDescent="0.25">
      <c r="A87" s="282">
        <v>14</v>
      </c>
      <c r="B87" s="323">
        <v>5412</v>
      </c>
      <c r="C87" s="324">
        <v>600099130</v>
      </c>
      <c r="D87" s="283">
        <v>70698066</v>
      </c>
      <c r="E87" s="325" t="s">
        <v>376</v>
      </c>
      <c r="F87" s="283">
        <v>3143</v>
      </c>
      <c r="G87" s="325" t="s">
        <v>597</v>
      </c>
      <c r="H87" s="286" t="s">
        <v>272</v>
      </c>
      <c r="I87" s="423">
        <f t="shared" si="282"/>
        <v>5127</v>
      </c>
      <c r="J87" s="418">
        <f t="shared" si="276"/>
        <v>3670</v>
      </c>
      <c r="K87" s="418">
        <v>0</v>
      </c>
      <c r="L87" s="418">
        <v>3670</v>
      </c>
      <c r="M87" s="418">
        <f t="shared" si="283"/>
        <v>0</v>
      </c>
      <c r="N87" s="418">
        <v>0</v>
      </c>
      <c r="O87" s="418">
        <v>0</v>
      </c>
      <c r="P87" s="68">
        <f t="shared" si="284"/>
        <v>1240</v>
      </c>
      <c r="Q87" s="68">
        <f t="shared" si="311"/>
        <v>37</v>
      </c>
      <c r="R87" s="418">
        <v>180</v>
      </c>
      <c r="S87" s="419">
        <f t="shared" si="285"/>
        <v>1.3899999999999999E-2</v>
      </c>
      <c r="T87" s="420">
        <v>0</v>
      </c>
      <c r="U87" s="527">
        <v>1.3899999999999999E-2</v>
      </c>
      <c r="V87" s="427">
        <f t="shared" si="286"/>
        <v>0</v>
      </c>
      <c r="W87" s="421">
        <f t="shared" si="286"/>
        <v>0</v>
      </c>
      <c r="X87" s="421">
        <v>0</v>
      </c>
      <c r="Y87" s="421">
        <v>0</v>
      </c>
      <c r="Z87" s="421">
        <v>0</v>
      </c>
      <c r="AA87" s="421">
        <v>0</v>
      </c>
      <c r="AB87" s="421">
        <v>0</v>
      </c>
      <c r="AC87" s="421">
        <v>0</v>
      </c>
      <c r="AD87" s="421">
        <v>0</v>
      </c>
      <c r="AE87" s="421">
        <v>0</v>
      </c>
      <c r="AF87" s="421">
        <f t="shared" si="287"/>
        <v>0</v>
      </c>
      <c r="AG87" s="421">
        <f t="shared" si="288"/>
        <v>0</v>
      </c>
      <c r="AH87" s="421">
        <f t="shared" si="289"/>
        <v>0</v>
      </c>
      <c r="AI87" s="421">
        <v>0</v>
      </c>
      <c r="AJ87" s="421">
        <v>0</v>
      </c>
      <c r="AK87" s="421">
        <v>0</v>
      </c>
      <c r="AL87" s="421">
        <v>0</v>
      </c>
      <c r="AM87" s="421">
        <v>0</v>
      </c>
      <c r="AN87" s="421">
        <v>0</v>
      </c>
      <c r="AO87" s="421">
        <f t="shared" si="290"/>
        <v>0</v>
      </c>
      <c r="AP87" s="421">
        <f t="shared" si="291"/>
        <v>0</v>
      </c>
      <c r="AQ87" s="421">
        <f t="shared" si="292"/>
        <v>0</v>
      </c>
      <c r="AR87" s="421">
        <f t="shared" si="293"/>
        <v>0</v>
      </c>
      <c r="AS87" s="421">
        <f t="shared" si="293"/>
        <v>0</v>
      </c>
      <c r="AT87" s="421">
        <f t="shared" si="294"/>
        <v>0</v>
      </c>
      <c r="AU87" s="68">
        <f t="shared" si="295"/>
        <v>0</v>
      </c>
      <c r="AV87" s="68">
        <f t="shared" si="296"/>
        <v>0</v>
      </c>
      <c r="AW87" s="421">
        <v>0</v>
      </c>
      <c r="AX87" s="421">
        <v>0</v>
      </c>
      <c r="AY87" s="421">
        <f t="shared" si="297"/>
        <v>0</v>
      </c>
      <c r="AZ87" s="421">
        <f t="shared" si="298"/>
        <v>0</v>
      </c>
      <c r="BA87" s="422">
        <v>0</v>
      </c>
      <c r="BB87" s="422">
        <v>0</v>
      </c>
      <c r="BC87" s="422">
        <v>0</v>
      </c>
      <c r="BD87" s="422">
        <v>0</v>
      </c>
      <c r="BE87" s="422">
        <v>0</v>
      </c>
      <c r="BF87" s="422">
        <v>0</v>
      </c>
      <c r="BG87" s="422">
        <v>0</v>
      </c>
      <c r="BH87" s="422">
        <v>0</v>
      </c>
      <c r="BI87" s="422">
        <v>0</v>
      </c>
      <c r="BJ87" s="422">
        <v>0</v>
      </c>
      <c r="BK87" s="422">
        <f t="shared" si="299"/>
        <v>0</v>
      </c>
      <c r="BL87" s="422">
        <f t="shared" si="300"/>
        <v>0</v>
      </c>
      <c r="BM87" s="611">
        <f t="shared" si="301"/>
        <v>0</v>
      </c>
      <c r="BN87" s="428">
        <f t="shared" si="302"/>
        <v>5127</v>
      </c>
      <c r="BO87" s="421">
        <f t="shared" si="303"/>
        <v>3670</v>
      </c>
      <c r="BP87" s="421">
        <f t="shared" si="304"/>
        <v>0</v>
      </c>
      <c r="BQ87" s="421">
        <f t="shared" si="304"/>
        <v>3670</v>
      </c>
      <c r="BR87" s="421">
        <f t="shared" si="305"/>
        <v>0</v>
      </c>
      <c r="BS87" s="421">
        <f t="shared" si="306"/>
        <v>0</v>
      </c>
      <c r="BT87" s="421">
        <f t="shared" si="306"/>
        <v>0</v>
      </c>
      <c r="BU87" s="421">
        <f t="shared" si="307"/>
        <v>1240</v>
      </c>
      <c r="BV87" s="421">
        <f t="shared" si="307"/>
        <v>37</v>
      </c>
      <c r="BW87" s="421">
        <f t="shared" si="308"/>
        <v>180</v>
      </c>
      <c r="BX87" s="422">
        <f t="shared" si="309"/>
        <v>1.3899999999999999E-2</v>
      </c>
      <c r="BY87" s="422">
        <f t="shared" si="310"/>
        <v>0</v>
      </c>
      <c r="BZ87" s="611">
        <f t="shared" si="310"/>
        <v>1.3899999999999999E-2</v>
      </c>
      <c r="CA87" s="423"/>
      <c r="CB87" s="418"/>
      <c r="CC87" s="418"/>
      <c r="CD87" s="418"/>
      <c r="CE87" s="418"/>
      <c r="CF87" s="527"/>
    </row>
    <row r="88" spans="1:84" ht="12.95" customHeight="1" x14ac:dyDescent="0.25">
      <c r="A88" s="326">
        <v>14</v>
      </c>
      <c r="B88" s="327">
        <v>5412</v>
      </c>
      <c r="C88" s="328">
        <v>600099130</v>
      </c>
      <c r="D88" s="327">
        <v>70698066</v>
      </c>
      <c r="E88" s="329" t="s">
        <v>377</v>
      </c>
      <c r="F88" s="293"/>
      <c r="G88" s="331"/>
      <c r="H88" s="294"/>
      <c r="I88" s="481">
        <f t="shared" ref="I88:BT88" si="312">SUM(I82:I87)</f>
        <v>4871137</v>
      </c>
      <c r="J88" s="477">
        <f t="shared" si="312"/>
        <v>3588556</v>
      </c>
      <c r="K88" s="477">
        <f t="shared" si="312"/>
        <v>3014348</v>
      </c>
      <c r="L88" s="477">
        <f t="shared" si="312"/>
        <v>574208</v>
      </c>
      <c r="M88" s="477">
        <f t="shared" si="312"/>
        <v>0</v>
      </c>
      <c r="N88" s="477">
        <f t="shared" si="312"/>
        <v>0</v>
      </c>
      <c r="O88" s="477">
        <f t="shared" si="312"/>
        <v>0</v>
      </c>
      <c r="P88" s="477">
        <f t="shared" si="312"/>
        <v>1212931</v>
      </c>
      <c r="Q88" s="477">
        <f t="shared" si="312"/>
        <v>35886</v>
      </c>
      <c r="R88" s="477">
        <f t="shared" si="312"/>
        <v>33764</v>
      </c>
      <c r="S88" s="478">
        <f t="shared" si="312"/>
        <v>6.6524000000000001</v>
      </c>
      <c r="T88" s="478">
        <f t="shared" si="312"/>
        <v>4.9508000000000001</v>
      </c>
      <c r="U88" s="330">
        <f t="shared" si="312"/>
        <v>1.7016</v>
      </c>
      <c r="V88" s="483">
        <f t="shared" si="312"/>
        <v>0</v>
      </c>
      <c r="W88" s="477">
        <f t="shared" si="312"/>
        <v>0</v>
      </c>
      <c r="X88" s="477">
        <f t="shared" si="312"/>
        <v>0</v>
      </c>
      <c r="Y88" s="477">
        <f t="shared" si="312"/>
        <v>0</v>
      </c>
      <c r="Z88" s="477">
        <f t="shared" si="312"/>
        <v>0</v>
      </c>
      <c r="AA88" s="477">
        <f t="shared" si="312"/>
        <v>0</v>
      </c>
      <c r="AB88" s="477">
        <f t="shared" si="312"/>
        <v>0</v>
      </c>
      <c r="AC88" s="477">
        <f t="shared" si="312"/>
        <v>0</v>
      </c>
      <c r="AD88" s="477">
        <f t="shared" si="312"/>
        <v>0</v>
      </c>
      <c r="AE88" s="477">
        <f t="shared" si="312"/>
        <v>0</v>
      </c>
      <c r="AF88" s="477">
        <f t="shared" si="312"/>
        <v>0</v>
      </c>
      <c r="AG88" s="477">
        <f t="shared" si="312"/>
        <v>0</v>
      </c>
      <c r="AH88" s="477">
        <f t="shared" si="312"/>
        <v>0</v>
      </c>
      <c r="AI88" s="477">
        <f t="shared" si="312"/>
        <v>0</v>
      </c>
      <c r="AJ88" s="477">
        <f t="shared" si="312"/>
        <v>0</v>
      </c>
      <c r="AK88" s="477">
        <f t="shared" ref="AK88" si="313">SUM(AK82:AK87)</f>
        <v>0</v>
      </c>
      <c r="AL88" s="477">
        <f t="shared" si="312"/>
        <v>0</v>
      </c>
      <c r="AM88" s="477">
        <f t="shared" si="312"/>
        <v>0</v>
      </c>
      <c r="AN88" s="477">
        <f t="shared" si="312"/>
        <v>0</v>
      </c>
      <c r="AO88" s="477">
        <f t="shared" si="312"/>
        <v>0</v>
      </c>
      <c r="AP88" s="477">
        <f t="shared" si="312"/>
        <v>0</v>
      </c>
      <c r="AQ88" s="477">
        <f t="shared" si="312"/>
        <v>0</v>
      </c>
      <c r="AR88" s="477">
        <f t="shared" si="312"/>
        <v>0</v>
      </c>
      <c r="AS88" s="477">
        <f t="shared" si="312"/>
        <v>0</v>
      </c>
      <c r="AT88" s="477">
        <f t="shared" si="312"/>
        <v>0</v>
      </c>
      <c r="AU88" s="477">
        <f t="shared" si="312"/>
        <v>0</v>
      </c>
      <c r="AV88" s="477">
        <f t="shared" si="312"/>
        <v>0</v>
      </c>
      <c r="AW88" s="477">
        <f t="shared" si="312"/>
        <v>0</v>
      </c>
      <c r="AX88" s="477">
        <f t="shared" si="312"/>
        <v>0</v>
      </c>
      <c r="AY88" s="477">
        <f t="shared" si="312"/>
        <v>0</v>
      </c>
      <c r="AZ88" s="477">
        <f t="shared" si="312"/>
        <v>0</v>
      </c>
      <c r="BA88" s="478">
        <f t="shared" si="312"/>
        <v>0</v>
      </c>
      <c r="BB88" s="478">
        <f t="shared" si="312"/>
        <v>0</v>
      </c>
      <c r="BC88" s="478">
        <f t="shared" si="312"/>
        <v>0</v>
      </c>
      <c r="BD88" s="478">
        <f t="shared" si="312"/>
        <v>0</v>
      </c>
      <c r="BE88" s="478">
        <f t="shared" si="312"/>
        <v>0</v>
      </c>
      <c r="BF88" s="478">
        <f t="shared" si="312"/>
        <v>0</v>
      </c>
      <c r="BG88" s="478">
        <f t="shared" si="312"/>
        <v>0</v>
      </c>
      <c r="BH88" s="478">
        <f t="shared" si="312"/>
        <v>0</v>
      </c>
      <c r="BI88" s="478">
        <f t="shared" si="312"/>
        <v>0</v>
      </c>
      <c r="BJ88" s="478">
        <f t="shared" si="312"/>
        <v>0</v>
      </c>
      <c r="BK88" s="478">
        <f t="shared" si="312"/>
        <v>0</v>
      </c>
      <c r="BL88" s="478">
        <f t="shared" si="312"/>
        <v>0</v>
      </c>
      <c r="BM88" s="559">
        <f t="shared" si="312"/>
        <v>0</v>
      </c>
      <c r="BN88" s="481">
        <f t="shared" si="312"/>
        <v>4871137</v>
      </c>
      <c r="BO88" s="477">
        <f t="shared" si="312"/>
        <v>3588556</v>
      </c>
      <c r="BP88" s="477">
        <f t="shared" si="312"/>
        <v>3014348</v>
      </c>
      <c r="BQ88" s="477">
        <f t="shared" si="312"/>
        <v>574208</v>
      </c>
      <c r="BR88" s="477">
        <f t="shared" si="312"/>
        <v>0</v>
      </c>
      <c r="BS88" s="477">
        <f t="shared" si="312"/>
        <v>0</v>
      </c>
      <c r="BT88" s="477">
        <f t="shared" si="312"/>
        <v>0</v>
      </c>
      <c r="BU88" s="477">
        <f t="shared" ref="BU88:CF88" si="314">SUM(BU82:BU87)</f>
        <v>1212931</v>
      </c>
      <c r="BV88" s="477">
        <f t="shared" si="314"/>
        <v>35886</v>
      </c>
      <c r="BW88" s="477">
        <f t="shared" si="314"/>
        <v>33764</v>
      </c>
      <c r="BX88" s="478">
        <f t="shared" si="314"/>
        <v>6.6524000000000001</v>
      </c>
      <c r="BY88" s="478">
        <f t="shared" si="314"/>
        <v>4.9508000000000001</v>
      </c>
      <c r="BZ88" s="559">
        <f t="shared" si="314"/>
        <v>1.7016</v>
      </c>
      <c r="CA88" s="885">
        <f t="shared" si="314"/>
        <v>0</v>
      </c>
      <c r="CB88" s="883">
        <f t="shared" si="314"/>
        <v>0</v>
      </c>
      <c r="CC88" s="883">
        <f t="shared" si="314"/>
        <v>0</v>
      </c>
      <c r="CD88" s="883">
        <f t="shared" si="314"/>
        <v>0</v>
      </c>
      <c r="CE88" s="883">
        <f t="shared" si="314"/>
        <v>0</v>
      </c>
      <c r="CF88" s="845">
        <f t="shared" si="314"/>
        <v>0</v>
      </c>
    </row>
    <row r="89" spans="1:84" ht="12.95" customHeight="1" x14ac:dyDescent="0.25">
      <c r="A89" s="282">
        <v>15</v>
      </c>
      <c r="B89" s="323">
        <v>5418</v>
      </c>
      <c r="C89" s="324">
        <v>600098508</v>
      </c>
      <c r="D89" s="283">
        <v>70156573</v>
      </c>
      <c r="E89" s="325" t="s">
        <v>378</v>
      </c>
      <c r="F89" s="283">
        <v>3111</v>
      </c>
      <c r="G89" s="325" t="s">
        <v>305</v>
      </c>
      <c r="H89" s="286" t="s">
        <v>271</v>
      </c>
      <c r="I89" s="423">
        <f t="shared" ref="I89:I91" si="315">J89+P89+Q89+R89</f>
        <v>4882208</v>
      </c>
      <c r="J89" s="418">
        <f t="shared" si="276"/>
        <v>3610724</v>
      </c>
      <c r="K89" s="418">
        <v>3278055</v>
      </c>
      <c r="L89" s="418">
        <v>332669</v>
      </c>
      <c r="M89" s="418">
        <f t="shared" ref="M89:M91" si="316">N89+O89</f>
        <v>0</v>
      </c>
      <c r="N89" s="418">
        <v>0</v>
      </c>
      <c r="O89" s="418">
        <v>0</v>
      </c>
      <c r="P89" s="68">
        <f t="shared" ref="P89:P91" si="317">ROUND((J89+M89)*33.8%,0)</f>
        <v>1220425</v>
      </c>
      <c r="Q89" s="68">
        <f t="shared" ref="Q89:Q91" si="318">ROUND(J89*1%,0)</f>
        <v>36107</v>
      </c>
      <c r="R89" s="418">
        <v>14952</v>
      </c>
      <c r="S89" s="419">
        <f>T89+U89</f>
        <v>7.0071000000000003</v>
      </c>
      <c r="T89" s="420">
        <v>5.8871000000000002</v>
      </c>
      <c r="U89" s="527">
        <v>1.1200000000000001</v>
      </c>
      <c r="V89" s="427">
        <f t="shared" ref="V89:W91" si="319">AI89*-1</f>
        <v>0</v>
      </c>
      <c r="W89" s="421">
        <f t="shared" si="319"/>
        <v>0</v>
      </c>
      <c r="X89" s="421">
        <v>0</v>
      </c>
      <c r="Y89" s="421">
        <v>0</v>
      </c>
      <c r="Z89" s="421">
        <v>0</v>
      </c>
      <c r="AA89" s="421">
        <v>0</v>
      </c>
      <c r="AB89" s="421">
        <v>0</v>
      </c>
      <c r="AC89" s="421">
        <v>0</v>
      </c>
      <c r="AD89" s="421">
        <v>0</v>
      </c>
      <c r="AE89" s="421">
        <v>0</v>
      </c>
      <c r="AF89" s="421">
        <f>V89+X89+Y89+AA89+AB89+AD89</f>
        <v>0</v>
      </c>
      <c r="AG89" s="421">
        <f>W89+Z89+AC89+AE89</f>
        <v>0</v>
      </c>
      <c r="AH89" s="421">
        <f>SUM(AF89:AG89)</f>
        <v>0</v>
      </c>
      <c r="AI89" s="421">
        <v>0</v>
      </c>
      <c r="AJ89" s="421">
        <v>0</v>
      </c>
      <c r="AK89" s="421">
        <v>0</v>
      </c>
      <c r="AL89" s="421">
        <v>0</v>
      </c>
      <c r="AM89" s="421">
        <v>0</v>
      </c>
      <c r="AN89" s="421">
        <v>0</v>
      </c>
      <c r="AO89" s="421">
        <f t="shared" ref="AO89:AO91" si="320">AI89+AK89+AL89+AM89</f>
        <v>0</v>
      </c>
      <c r="AP89" s="421">
        <f>AJ89+AN89</f>
        <v>0</v>
      </c>
      <c r="AQ89" s="421">
        <f>SUM(AO89:AP89)</f>
        <v>0</v>
      </c>
      <c r="AR89" s="421">
        <f t="shared" ref="AR89:AS91" si="321">AF89+AO89</f>
        <v>0</v>
      </c>
      <c r="AS89" s="421">
        <f t="shared" si="321"/>
        <v>0</v>
      </c>
      <c r="AT89" s="421">
        <f>SUM(AR89:AS89)</f>
        <v>0</v>
      </c>
      <c r="AU89" s="68">
        <f t="shared" ref="AU89:AU91" si="322">ROUND((AH89+AI89+AJ89+AK89+AL89)*33.8%,0)</f>
        <v>0</v>
      </c>
      <c r="AV89" s="68">
        <f>ROUND(AH89*1%,0)</f>
        <v>0</v>
      </c>
      <c r="AW89" s="421">
        <v>0</v>
      </c>
      <c r="AX89" s="421">
        <v>0</v>
      </c>
      <c r="AY89" s="421">
        <f>AW89+AX89</f>
        <v>0</v>
      </c>
      <c r="AZ89" s="421">
        <f>AT89+AU89+AV89+AY89</f>
        <v>0</v>
      </c>
      <c r="BA89" s="422">
        <v>0</v>
      </c>
      <c r="BB89" s="422">
        <v>0</v>
      </c>
      <c r="BC89" s="422">
        <v>0</v>
      </c>
      <c r="BD89" s="422">
        <v>0</v>
      </c>
      <c r="BE89" s="422">
        <v>0</v>
      </c>
      <c r="BF89" s="422">
        <v>0</v>
      </c>
      <c r="BG89" s="422">
        <v>0</v>
      </c>
      <c r="BH89" s="422">
        <v>0</v>
      </c>
      <c r="BI89" s="422">
        <v>0</v>
      </c>
      <c r="BJ89" s="422">
        <v>0</v>
      </c>
      <c r="BK89" s="422">
        <f>BA89+BC89+BD89+BF89+BH89+BI89</f>
        <v>0</v>
      </c>
      <c r="BL89" s="422">
        <f>BB89+BE89+BG89+BJ89</f>
        <v>0</v>
      </c>
      <c r="BM89" s="611">
        <f>SUM(BK89:BL89)</f>
        <v>0</v>
      </c>
      <c r="BN89" s="428">
        <f>I89+AZ89</f>
        <v>4882208</v>
      </c>
      <c r="BO89" s="421">
        <f>J89+AH89</f>
        <v>3610724</v>
      </c>
      <c r="BP89" s="421">
        <f t="shared" ref="BP89:BQ91" si="323">K89+AF89</f>
        <v>3278055</v>
      </c>
      <c r="BQ89" s="421">
        <f t="shared" si="323"/>
        <v>332669</v>
      </c>
      <c r="BR89" s="421">
        <f>M89+AQ89</f>
        <v>0</v>
      </c>
      <c r="BS89" s="421">
        <f t="shared" ref="BS89:BT91" si="324">N89+AO89</f>
        <v>0</v>
      </c>
      <c r="BT89" s="421">
        <f t="shared" si="324"/>
        <v>0</v>
      </c>
      <c r="BU89" s="421">
        <f t="shared" ref="BU89:BV91" si="325">P89+AU89</f>
        <v>1220425</v>
      </c>
      <c r="BV89" s="421">
        <f t="shared" si="325"/>
        <v>36107</v>
      </c>
      <c r="BW89" s="421">
        <f>R89+AY89</f>
        <v>14952</v>
      </c>
      <c r="BX89" s="422">
        <f>S89+BM89</f>
        <v>7.0071000000000003</v>
      </c>
      <c r="BY89" s="422">
        <f t="shared" ref="BY89:BZ91" si="326">T89+BK89</f>
        <v>5.8871000000000002</v>
      </c>
      <c r="BZ89" s="611">
        <f t="shared" si="326"/>
        <v>1.1200000000000001</v>
      </c>
      <c r="CA89" s="423"/>
      <c r="CB89" s="418"/>
      <c r="CC89" s="418"/>
      <c r="CD89" s="418"/>
      <c r="CE89" s="418"/>
      <c r="CF89" s="527"/>
    </row>
    <row r="90" spans="1:84" ht="12.95" customHeight="1" x14ac:dyDescent="0.25">
      <c r="A90" s="282">
        <v>15</v>
      </c>
      <c r="B90" s="323">
        <v>5418</v>
      </c>
      <c r="C90" s="324">
        <v>600098508</v>
      </c>
      <c r="D90" s="283">
        <v>70156573</v>
      </c>
      <c r="E90" s="325" t="s">
        <v>378</v>
      </c>
      <c r="F90" s="283">
        <v>3111</v>
      </c>
      <c r="G90" s="325" t="s">
        <v>299</v>
      </c>
      <c r="H90" s="286" t="s">
        <v>272</v>
      </c>
      <c r="I90" s="423">
        <f t="shared" si="315"/>
        <v>0</v>
      </c>
      <c r="J90" s="418">
        <f t="shared" si="276"/>
        <v>0</v>
      </c>
      <c r="K90" s="418">
        <v>0</v>
      </c>
      <c r="L90" s="418">
        <v>0</v>
      </c>
      <c r="M90" s="418">
        <f>N90+O90</f>
        <v>0</v>
      </c>
      <c r="N90" s="418">
        <v>0</v>
      </c>
      <c r="O90" s="418">
        <v>0</v>
      </c>
      <c r="P90" s="68">
        <f t="shared" si="317"/>
        <v>0</v>
      </c>
      <c r="Q90" s="68">
        <f t="shared" si="318"/>
        <v>0</v>
      </c>
      <c r="R90" s="418">
        <v>0</v>
      </c>
      <c r="S90" s="419">
        <f>T90+U90</f>
        <v>0</v>
      </c>
      <c r="T90" s="420">
        <v>0</v>
      </c>
      <c r="U90" s="527">
        <v>0</v>
      </c>
      <c r="V90" s="427">
        <f t="shared" si="319"/>
        <v>0</v>
      </c>
      <c r="W90" s="421">
        <f t="shared" si="319"/>
        <v>0</v>
      </c>
      <c r="X90" s="421">
        <v>648902</v>
      </c>
      <c r="Y90" s="421">
        <v>0</v>
      </c>
      <c r="Z90" s="421">
        <v>0</v>
      </c>
      <c r="AA90" s="421">
        <v>0</v>
      </c>
      <c r="AB90" s="421">
        <v>0</v>
      </c>
      <c r="AC90" s="421">
        <v>0</v>
      </c>
      <c r="AD90" s="421">
        <v>0</v>
      </c>
      <c r="AE90" s="421">
        <v>0</v>
      </c>
      <c r="AF90" s="421">
        <f>V90+X90+Y90+AA90+AB90+AD90</f>
        <v>648902</v>
      </c>
      <c r="AG90" s="421">
        <f>W90+Z90+AC90+AE90</f>
        <v>0</v>
      </c>
      <c r="AH90" s="421">
        <f>SUM(AF90:AG90)</f>
        <v>648902</v>
      </c>
      <c r="AI90" s="421">
        <v>0</v>
      </c>
      <c r="AJ90" s="421">
        <v>0</v>
      </c>
      <c r="AK90" s="421">
        <v>0</v>
      </c>
      <c r="AL90" s="421">
        <v>0</v>
      </c>
      <c r="AM90" s="421">
        <v>0</v>
      </c>
      <c r="AN90" s="421">
        <v>0</v>
      </c>
      <c r="AO90" s="421">
        <f t="shared" si="320"/>
        <v>0</v>
      </c>
      <c r="AP90" s="421">
        <f>AJ90+AN90</f>
        <v>0</v>
      </c>
      <c r="AQ90" s="421">
        <f>SUM(AO90:AP90)</f>
        <v>0</v>
      </c>
      <c r="AR90" s="421">
        <f t="shared" si="321"/>
        <v>648902</v>
      </c>
      <c r="AS90" s="421">
        <f t="shared" si="321"/>
        <v>0</v>
      </c>
      <c r="AT90" s="421">
        <f>SUM(AR90:AS90)</f>
        <v>648902</v>
      </c>
      <c r="AU90" s="68">
        <f t="shared" si="322"/>
        <v>219329</v>
      </c>
      <c r="AV90" s="68">
        <f>ROUND(AH90*1%,0)</f>
        <v>6489</v>
      </c>
      <c r="AW90" s="421">
        <v>0</v>
      </c>
      <c r="AX90" s="421">
        <v>0</v>
      </c>
      <c r="AY90" s="421">
        <f>AW90+AX90</f>
        <v>0</v>
      </c>
      <c r="AZ90" s="421">
        <f>AT90+AU90+AV90+AY90</f>
        <v>874720</v>
      </c>
      <c r="BA90" s="422">
        <v>0</v>
      </c>
      <c r="BB90" s="422">
        <v>0</v>
      </c>
      <c r="BC90" s="422">
        <v>1.75</v>
      </c>
      <c r="BD90" s="422">
        <v>0</v>
      </c>
      <c r="BE90" s="422">
        <v>0</v>
      </c>
      <c r="BF90" s="422">
        <v>0</v>
      </c>
      <c r="BG90" s="422">
        <v>0</v>
      </c>
      <c r="BH90" s="422">
        <v>0</v>
      </c>
      <c r="BI90" s="422">
        <v>0</v>
      </c>
      <c r="BJ90" s="422">
        <v>0</v>
      </c>
      <c r="BK90" s="422">
        <f>BA90+BC90+BD90+BF90+BH90+BI90</f>
        <v>1.75</v>
      </c>
      <c r="BL90" s="422">
        <f>BB90+BE90+BG90+BJ90</f>
        <v>0</v>
      </c>
      <c r="BM90" s="611">
        <f>SUM(BK90:BL90)</f>
        <v>1.75</v>
      </c>
      <c r="BN90" s="428">
        <f>I90+AZ90</f>
        <v>874720</v>
      </c>
      <c r="BO90" s="421">
        <f>J90+AH90</f>
        <v>648902</v>
      </c>
      <c r="BP90" s="421">
        <f t="shared" si="323"/>
        <v>648902</v>
      </c>
      <c r="BQ90" s="421">
        <f t="shared" si="323"/>
        <v>0</v>
      </c>
      <c r="BR90" s="421">
        <f>M90+AQ90</f>
        <v>0</v>
      </c>
      <c r="BS90" s="421">
        <f t="shared" si="324"/>
        <v>0</v>
      </c>
      <c r="BT90" s="421">
        <f t="shared" si="324"/>
        <v>0</v>
      </c>
      <c r="BU90" s="421">
        <f t="shared" si="325"/>
        <v>219329</v>
      </c>
      <c r="BV90" s="421">
        <f t="shared" si="325"/>
        <v>6489</v>
      </c>
      <c r="BW90" s="421">
        <f>R90+AY90</f>
        <v>0</v>
      </c>
      <c r="BX90" s="422">
        <f>S90+BM90</f>
        <v>1.75</v>
      </c>
      <c r="BY90" s="422">
        <f t="shared" si="326"/>
        <v>1.75</v>
      </c>
      <c r="BZ90" s="611">
        <f t="shared" si="326"/>
        <v>0</v>
      </c>
      <c r="CA90" s="423"/>
      <c r="CB90" s="418"/>
      <c r="CC90" s="418"/>
      <c r="CD90" s="418"/>
      <c r="CE90" s="418"/>
      <c r="CF90" s="527"/>
    </row>
    <row r="91" spans="1:84" ht="12.95" customHeight="1" x14ac:dyDescent="0.25">
      <c r="A91" s="282">
        <v>15</v>
      </c>
      <c r="B91" s="323">
        <v>5418</v>
      </c>
      <c r="C91" s="324">
        <v>600098508</v>
      </c>
      <c r="D91" s="283">
        <v>70156573</v>
      </c>
      <c r="E91" s="325" t="s">
        <v>378</v>
      </c>
      <c r="F91" s="283">
        <v>3141</v>
      </c>
      <c r="G91" s="325" t="s">
        <v>295</v>
      </c>
      <c r="H91" s="286" t="s">
        <v>272</v>
      </c>
      <c r="I91" s="423">
        <f t="shared" si="315"/>
        <v>502423</v>
      </c>
      <c r="J91" s="418">
        <f t="shared" si="276"/>
        <v>371263</v>
      </c>
      <c r="K91" s="418">
        <v>0</v>
      </c>
      <c r="L91" s="418">
        <v>371263</v>
      </c>
      <c r="M91" s="418">
        <f t="shared" si="316"/>
        <v>0</v>
      </c>
      <c r="N91" s="418">
        <v>0</v>
      </c>
      <c r="O91" s="418">
        <v>0</v>
      </c>
      <c r="P91" s="68">
        <f t="shared" si="317"/>
        <v>125487</v>
      </c>
      <c r="Q91" s="68">
        <f t="shared" si="318"/>
        <v>3713</v>
      </c>
      <c r="R91" s="418">
        <v>1960</v>
      </c>
      <c r="S91" s="419">
        <f>T91+U91</f>
        <v>1.1133</v>
      </c>
      <c r="T91" s="420">
        <v>0</v>
      </c>
      <c r="U91" s="527">
        <v>1.1133</v>
      </c>
      <c r="V91" s="427">
        <f t="shared" si="319"/>
        <v>0</v>
      </c>
      <c r="W91" s="421">
        <f t="shared" si="319"/>
        <v>0</v>
      </c>
      <c r="X91" s="421">
        <v>0</v>
      </c>
      <c r="Y91" s="421">
        <v>0</v>
      </c>
      <c r="Z91" s="421">
        <v>0</v>
      </c>
      <c r="AA91" s="421">
        <v>0</v>
      </c>
      <c r="AB91" s="421">
        <v>0</v>
      </c>
      <c r="AC91" s="421">
        <v>0</v>
      </c>
      <c r="AD91" s="421">
        <v>0</v>
      </c>
      <c r="AE91" s="421">
        <v>0</v>
      </c>
      <c r="AF91" s="421">
        <f>V91+X91+Y91+AA91+AB91+AD91</f>
        <v>0</v>
      </c>
      <c r="AG91" s="421">
        <f>W91+Z91+AC91+AE91</f>
        <v>0</v>
      </c>
      <c r="AH91" s="421">
        <f>SUM(AF91:AG91)</f>
        <v>0</v>
      </c>
      <c r="AI91" s="421">
        <v>0</v>
      </c>
      <c r="AJ91" s="421">
        <v>0</v>
      </c>
      <c r="AK91" s="421">
        <v>0</v>
      </c>
      <c r="AL91" s="421">
        <v>0</v>
      </c>
      <c r="AM91" s="421">
        <v>0</v>
      </c>
      <c r="AN91" s="421">
        <v>0</v>
      </c>
      <c r="AO91" s="421">
        <f t="shared" si="320"/>
        <v>0</v>
      </c>
      <c r="AP91" s="421">
        <f>AJ91+AN91</f>
        <v>0</v>
      </c>
      <c r="AQ91" s="421">
        <f>SUM(AO91:AP91)</f>
        <v>0</v>
      </c>
      <c r="AR91" s="421">
        <f t="shared" si="321"/>
        <v>0</v>
      </c>
      <c r="AS91" s="421">
        <f t="shared" si="321"/>
        <v>0</v>
      </c>
      <c r="AT91" s="421">
        <f>SUM(AR91:AS91)</f>
        <v>0</v>
      </c>
      <c r="AU91" s="68">
        <f t="shared" si="322"/>
        <v>0</v>
      </c>
      <c r="AV91" s="68">
        <f>ROUND(AH91*1%,0)</f>
        <v>0</v>
      </c>
      <c r="AW91" s="421">
        <v>0</v>
      </c>
      <c r="AX91" s="421">
        <v>0</v>
      </c>
      <c r="AY91" s="421">
        <f>AW91+AX91</f>
        <v>0</v>
      </c>
      <c r="AZ91" s="421">
        <f>AT91+AU91+AV91+AY91</f>
        <v>0</v>
      </c>
      <c r="BA91" s="422">
        <v>0</v>
      </c>
      <c r="BB91" s="422">
        <v>0</v>
      </c>
      <c r="BC91" s="422">
        <v>0</v>
      </c>
      <c r="BD91" s="422">
        <v>0</v>
      </c>
      <c r="BE91" s="422">
        <v>0</v>
      </c>
      <c r="BF91" s="422">
        <v>0</v>
      </c>
      <c r="BG91" s="422">
        <v>0</v>
      </c>
      <c r="BH91" s="422">
        <v>0</v>
      </c>
      <c r="BI91" s="422">
        <v>0</v>
      </c>
      <c r="BJ91" s="422">
        <v>0</v>
      </c>
      <c r="BK91" s="422">
        <f>BA91+BC91+BD91+BF91+BH91+BI91</f>
        <v>0</v>
      </c>
      <c r="BL91" s="422">
        <f>BB91+BE91+BG91+BJ91</f>
        <v>0</v>
      </c>
      <c r="BM91" s="611">
        <f>SUM(BK91:BL91)</f>
        <v>0</v>
      </c>
      <c r="BN91" s="428">
        <f>I91+AZ91</f>
        <v>502423</v>
      </c>
      <c r="BO91" s="421">
        <f>J91+AH91</f>
        <v>371263</v>
      </c>
      <c r="BP91" s="421">
        <f t="shared" si="323"/>
        <v>0</v>
      </c>
      <c r="BQ91" s="421">
        <f t="shared" si="323"/>
        <v>371263</v>
      </c>
      <c r="BR91" s="421">
        <f>M91+AQ91</f>
        <v>0</v>
      </c>
      <c r="BS91" s="421">
        <f t="shared" si="324"/>
        <v>0</v>
      </c>
      <c r="BT91" s="421">
        <f t="shared" si="324"/>
        <v>0</v>
      </c>
      <c r="BU91" s="421">
        <f t="shared" si="325"/>
        <v>125487</v>
      </c>
      <c r="BV91" s="421">
        <f t="shared" si="325"/>
        <v>3713</v>
      </c>
      <c r="BW91" s="421">
        <f>R91+AY91</f>
        <v>1960</v>
      </c>
      <c r="BX91" s="422">
        <f>S91+BM91</f>
        <v>1.1133</v>
      </c>
      <c r="BY91" s="422">
        <f t="shared" si="326"/>
        <v>0</v>
      </c>
      <c r="BZ91" s="611">
        <f t="shared" si="326"/>
        <v>1.1133</v>
      </c>
      <c r="CA91" s="423"/>
      <c r="CB91" s="418"/>
      <c r="CC91" s="418"/>
      <c r="CD91" s="418"/>
      <c r="CE91" s="418"/>
      <c r="CF91" s="527"/>
    </row>
    <row r="92" spans="1:84" ht="12.95" customHeight="1" x14ac:dyDescent="0.25">
      <c r="A92" s="326">
        <v>15</v>
      </c>
      <c r="B92" s="327">
        <v>5418</v>
      </c>
      <c r="C92" s="328">
        <v>600098508</v>
      </c>
      <c r="D92" s="327">
        <v>70156573</v>
      </c>
      <c r="E92" s="329" t="s">
        <v>379</v>
      </c>
      <c r="F92" s="293"/>
      <c r="G92" s="331"/>
      <c r="H92" s="294"/>
      <c r="I92" s="481">
        <f t="shared" ref="I92:BU92" si="327">SUM(I89:I91)</f>
        <v>5384631</v>
      </c>
      <c r="J92" s="477">
        <f t="shared" si="327"/>
        <v>3981987</v>
      </c>
      <c r="K92" s="477">
        <f t="shared" si="327"/>
        <v>3278055</v>
      </c>
      <c r="L92" s="477">
        <f t="shared" si="327"/>
        <v>703932</v>
      </c>
      <c r="M92" s="477">
        <f t="shared" si="327"/>
        <v>0</v>
      </c>
      <c r="N92" s="477">
        <f t="shared" si="327"/>
        <v>0</v>
      </c>
      <c r="O92" s="477">
        <f t="shared" si="327"/>
        <v>0</v>
      </c>
      <c r="P92" s="477">
        <f t="shared" si="327"/>
        <v>1345912</v>
      </c>
      <c r="Q92" s="477">
        <f t="shared" si="327"/>
        <v>39820</v>
      </c>
      <c r="R92" s="477">
        <f t="shared" si="327"/>
        <v>16912</v>
      </c>
      <c r="S92" s="478">
        <f t="shared" si="327"/>
        <v>8.1204000000000001</v>
      </c>
      <c r="T92" s="478">
        <f t="shared" si="327"/>
        <v>5.8871000000000002</v>
      </c>
      <c r="U92" s="330">
        <f t="shared" si="327"/>
        <v>2.2332999999999998</v>
      </c>
      <c r="V92" s="483">
        <f t="shared" si="327"/>
        <v>0</v>
      </c>
      <c r="W92" s="477">
        <f t="shared" si="327"/>
        <v>0</v>
      </c>
      <c r="X92" s="477">
        <f t="shared" si="327"/>
        <v>648902</v>
      </c>
      <c r="Y92" s="477">
        <f t="shared" si="327"/>
        <v>0</v>
      </c>
      <c r="Z92" s="477">
        <f t="shared" si="327"/>
        <v>0</v>
      </c>
      <c r="AA92" s="477">
        <f t="shared" si="327"/>
        <v>0</v>
      </c>
      <c r="AB92" s="477">
        <f t="shared" si="327"/>
        <v>0</v>
      </c>
      <c r="AC92" s="477">
        <f t="shared" si="327"/>
        <v>0</v>
      </c>
      <c r="AD92" s="477">
        <f t="shared" si="327"/>
        <v>0</v>
      </c>
      <c r="AE92" s="477">
        <f t="shared" si="327"/>
        <v>0</v>
      </c>
      <c r="AF92" s="477">
        <f t="shared" si="327"/>
        <v>648902</v>
      </c>
      <c r="AG92" s="477">
        <f t="shared" si="327"/>
        <v>0</v>
      </c>
      <c r="AH92" s="477">
        <f t="shared" si="327"/>
        <v>648902</v>
      </c>
      <c r="AI92" s="477">
        <f t="shared" si="327"/>
        <v>0</v>
      </c>
      <c r="AJ92" s="477">
        <f t="shared" si="327"/>
        <v>0</v>
      </c>
      <c r="AK92" s="477">
        <f t="shared" ref="AK92" si="328">SUM(AK89:AK91)</f>
        <v>0</v>
      </c>
      <c r="AL92" s="477">
        <f t="shared" si="327"/>
        <v>0</v>
      </c>
      <c r="AM92" s="477">
        <f t="shared" si="327"/>
        <v>0</v>
      </c>
      <c r="AN92" s="477">
        <f t="shared" si="327"/>
        <v>0</v>
      </c>
      <c r="AO92" s="477">
        <f t="shared" si="327"/>
        <v>0</v>
      </c>
      <c r="AP92" s="477">
        <f t="shared" si="327"/>
        <v>0</v>
      </c>
      <c r="AQ92" s="477">
        <f t="shared" si="327"/>
        <v>0</v>
      </c>
      <c r="AR92" s="477">
        <f t="shared" si="327"/>
        <v>648902</v>
      </c>
      <c r="AS92" s="477">
        <f t="shared" si="327"/>
        <v>0</v>
      </c>
      <c r="AT92" s="477">
        <f t="shared" si="327"/>
        <v>648902</v>
      </c>
      <c r="AU92" s="477">
        <f t="shared" si="327"/>
        <v>219329</v>
      </c>
      <c r="AV92" s="477">
        <f t="shared" si="327"/>
        <v>6489</v>
      </c>
      <c r="AW92" s="477">
        <f t="shared" si="327"/>
        <v>0</v>
      </c>
      <c r="AX92" s="477">
        <f t="shared" si="327"/>
        <v>0</v>
      </c>
      <c r="AY92" s="477">
        <f t="shared" si="327"/>
        <v>0</v>
      </c>
      <c r="AZ92" s="477">
        <f t="shared" si="327"/>
        <v>874720</v>
      </c>
      <c r="BA92" s="478">
        <f t="shared" si="327"/>
        <v>0</v>
      </c>
      <c r="BB92" s="478">
        <f t="shared" si="327"/>
        <v>0</v>
      </c>
      <c r="BC92" s="478">
        <f t="shared" si="327"/>
        <v>1.75</v>
      </c>
      <c r="BD92" s="478">
        <f t="shared" si="327"/>
        <v>0</v>
      </c>
      <c r="BE92" s="478">
        <f t="shared" si="327"/>
        <v>0</v>
      </c>
      <c r="BF92" s="478">
        <f t="shared" si="327"/>
        <v>0</v>
      </c>
      <c r="BG92" s="478">
        <f t="shared" si="327"/>
        <v>0</v>
      </c>
      <c r="BH92" s="478">
        <f t="shared" si="327"/>
        <v>0</v>
      </c>
      <c r="BI92" s="478">
        <f t="shared" si="327"/>
        <v>0</v>
      </c>
      <c r="BJ92" s="478">
        <f t="shared" si="327"/>
        <v>0</v>
      </c>
      <c r="BK92" s="478">
        <f t="shared" si="327"/>
        <v>1.75</v>
      </c>
      <c r="BL92" s="478">
        <f t="shared" si="327"/>
        <v>0</v>
      </c>
      <c r="BM92" s="559">
        <f t="shared" si="327"/>
        <v>1.75</v>
      </c>
      <c r="BN92" s="481">
        <f t="shared" si="327"/>
        <v>6259351</v>
      </c>
      <c r="BO92" s="477">
        <f t="shared" si="327"/>
        <v>4630889</v>
      </c>
      <c r="BP92" s="477">
        <f t="shared" si="327"/>
        <v>3926957</v>
      </c>
      <c r="BQ92" s="477">
        <f t="shared" si="327"/>
        <v>703932</v>
      </c>
      <c r="BR92" s="477">
        <f t="shared" si="327"/>
        <v>0</v>
      </c>
      <c r="BS92" s="477">
        <f t="shared" si="327"/>
        <v>0</v>
      </c>
      <c r="BT92" s="477">
        <f t="shared" si="327"/>
        <v>0</v>
      </c>
      <c r="BU92" s="477">
        <f t="shared" si="327"/>
        <v>1565241</v>
      </c>
      <c r="BV92" s="477">
        <f t="shared" ref="BV92:CF92" si="329">SUM(BV89:BV91)</f>
        <v>46309</v>
      </c>
      <c r="BW92" s="477">
        <f t="shared" si="329"/>
        <v>16912</v>
      </c>
      <c r="BX92" s="478">
        <f t="shared" si="329"/>
        <v>9.8704000000000018</v>
      </c>
      <c r="BY92" s="478">
        <f t="shared" si="329"/>
        <v>7.6371000000000002</v>
      </c>
      <c r="BZ92" s="559">
        <f t="shared" si="329"/>
        <v>2.2332999999999998</v>
      </c>
      <c r="CA92" s="885">
        <f t="shared" si="329"/>
        <v>0</v>
      </c>
      <c r="CB92" s="883">
        <f t="shared" si="329"/>
        <v>0</v>
      </c>
      <c r="CC92" s="883">
        <f t="shared" si="329"/>
        <v>0</v>
      </c>
      <c r="CD92" s="883">
        <f t="shared" si="329"/>
        <v>0</v>
      </c>
      <c r="CE92" s="883">
        <f t="shared" si="329"/>
        <v>0</v>
      </c>
      <c r="CF92" s="845">
        <f t="shared" si="329"/>
        <v>0</v>
      </c>
    </row>
    <row r="93" spans="1:84" ht="12.95" customHeight="1" x14ac:dyDescent="0.25">
      <c r="A93" s="282">
        <v>16</v>
      </c>
      <c r="B93" s="323">
        <v>5417</v>
      </c>
      <c r="C93" s="324">
        <v>600099113</v>
      </c>
      <c r="D93" s="283">
        <v>70156565</v>
      </c>
      <c r="E93" s="325" t="s">
        <v>380</v>
      </c>
      <c r="F93" s="283">
        <v>3117</v>
      </c>
      <c r="G93" s="325" t="s">
        <v>294</v>
      </c>
      <c r="H93" s="286" t="s">
        <v>271</v>
      </c>
      <c r="I93" s="423">
        <f t="shared" ref="I93:I97" si="330">J93+P93+Q93+R93</f>
        <v>5759430</v>
      </c>
      <c r="J93" s="418">
        <f t="shared" si="276"/>
        <v>4202154</v>
      </c>
      <c r="K93" s="418">
        <v>3772298</v>
      </c>
      <c r="L93" s="418">
        <v>429856</v>
      </c>
      <c r="M93" s="418">
        <f t="shared" ref="M93:M97" si="331">N93+O93</f>
        <v>0</v>
      </c>
      <c r="N93" s="418">
        <v>0</v>
      </c>
      <c r="O93" s="418">
        <v>0</v>
      </c>
      <c r="P93" s="68">
        <f t="shared" ref="P93:P97" si="332">ROUND((J93+M93)*33.8%,0)</f>
        <v>1420328</v>
      </c>
      <c r="Q93" s="68">
        <f t="shared" ref="Q93:Q97" si="333">ROUND(J93*1%,0)</f>
        <v>42022</v>
      </c>
      <c r="R93" s="418">
        <v>94926</v>
      </c>
      <c r="S93" s="419">
        <f>T93+U93</f>
        <v>7.0757000000000003</v>
      </c>
      <c r="T93" s="420">
        <v>5.9089</v>
      </c>
      <c r="U93" s="527">
        <v>1.1668000000000001</v>
      </c>
      <c r="V93" s="427">
        <f t="shared" ref="V93:W97" si="334">AI93*-1</f>
        <v>-12800</v>
      </c>
      <c r="W93" s="421">
        <f t="shared" si="334"/>
        <v>0</v>
      </c>
      <c r="X93" s="421">
        <v>0</v>
      </c>
      <c r="Y93" s="421">
        <v>0</v>
      </c>
      <c r="Z93" s="421">
        <v>0</v>
      </c>
      <c r="AA93" s="421">
        <v>0</v>
      </c>
      <c r="AB93" s="421">
        <v>0</v>
      </c>
      <c r="AC93" s="421">
        <v>0</v>
      </c>
      <c r="AD93" s="421">
        <v>0</v>
      </c>
      <c r="AE93" s="421">
        <v>0</v>
      </c>
      <c r="AF93" s="421">
        <f>V93+X93+Y93+AA93+AB93+AD93</f>
        <v>-12800</v>
      </c>
      <c r="AG93" s="421">
        <f>W93+Z93+AC93+AE93</f>
        <v>0</v>
      </c>
      <c r="AH93" s="421">
        <f>SUM(AF93:AG93)</f>
        <v>-12800</v>
      </c>
      <c r="AI93" s="421">
        <v>12800</v>
      </c>
      <c r="AJ93" s="421">
        <v>0</v>
      </c>
      <c r="AK93" s="421">
        <v>0</v>
      </c>
      <c r="AL93" s="421">
        <v>0</v>
      </c>
      <c r="AM93" s="421">
        <v>0</v>
      </c>
      <c r="AN93" s="421">
        <v>0</v>
      </c>
      <c r="AO93" s="421">
        <f t="shared" ref="AO93:AO97" si="335">AI93+AK93+AL93+AM93</f>
        <v>12800</v>
      </c>
      <c r="AP93" s="421">
        <f>AJ93+AN93</f>
        <v>0</v>
      </c>
      <c r="AQ93" s="421">
        <f>SUM(AO93:AP93)</f>
        <v>12800</v>
      </c>
      <c r="AR93" s="421">
        <f t="shared" ref="AR93:AS97" si="336">AF93+AO93</f>
        <v>0</v>
      </c>
      <c r="AS93" s="421">
        <f t="shared" si="336"/>
        <v>0</v>
      </c>
      <c r="AT93" s="421">
        <f>SUM(AR93:AS93)</f>
        <v>0</v>
      </c>
      <c r="AU93" s="68">
        <f t="shared" ref="AU93:AU97" si="337">ROUND((AH93+AI93+AJ93+AK93+AL93)*33.8%,0)</f>
        <v>0</v>
      </c>
      <c r="AV93" s="68">
        <f>ROUND(AH93*1%,0)</f>
        <v>-128</v>
      </c>
      <c r="AW93" s="421">
        <v>0</v>
      </c>
      <c r="AX93" s="421">
        <v>0</v>
      </c>
      <c r="AY93" s="421">
        <f>AW93+AX93</f>
        <v>0</v>
      </c>
      <c r="AZ93" s="421">
        <f>AT93+AU93+AV93+AY93</f>
        <v>-128</v>
      </c>
      <c r="BA93" s="422">
        <v>0</v>
      </c>
      <c r="BB93" s="422">
        <v>0</v>
      </c>
      <c r="BC93" s="422">
        <v>0</v>
      </c>
      <c r="BD93" s="422">
        <v>0</v>
      </c>
      <c r="BE93" s="422">
        <v>0</v>
      </c>
      <c r="BF93" s="422">
        <v>0</v>
      </c>
      <c r="BG93" s="422">
        <v>0</v>
      </c>
      <c r="BH93" s="422">
        <v>0</v>
      </c>
      <c r="BI93" s="422">
        <v>0</v>
      </c>
      <c r="BJ93" s="422">
        <v>0</v>
      </c>
      <c r="BK93" s="422">
        <f>BA93+BC93+BD93+BF93+BH93+BI93</f>
        <v>0</v>
      </c>
      <c r="BL93" s="422">
        <f>BB93+BE93+BG93+BJ93</f>
        <v>0</v>
      </c>
      <c r="BM93" s="611">
        <f>SUM(BK93:BL93)</f>
        <v>0</v>
      </c>
      <c r="BN93" s="428">
        <f>I93+AZ93</f>
        <v>5759302</v>
      </c>
      <c r="BO93" s="421">
        <f>J93+AH93</f>
        <v>4189354</v>
      </c>
      <c r="BP93" s="421">
        <f t="shared" ref="BP93:BQ97" si="338">K93+AF93</f>
        <v>3759498</v>
      </c>
      <c r="BQ93" s="421">
        <f t="shared" si="338"/>
        <v>429856</v>
      </c>
      <c r="BR93" s="421">
        <f>M93+AQ93</f>
        <v>12800</v>
      </c>
      <c r="BS93" s="421">
        <f t="shared" ref="BS93:BT97" si="339">N93+AO93</f>
        <v>12800</v>
      </c>
      <c r="BT93" s="421">
        <f t="shared" si="339"/>
        <v>0</v>
      </c>
      <c r="BU93" s="421">
        <f t="shared" ref="BU93:BV97" si="340">P93+AU93</f>
        <v>1420328</v>
      </c>
      <c r="BV93" s="421">
        <f t="shared" si="340"/>
        <v>41894</v>
      </c>
      <c r="BW93" s="421">
        <f>R93+AY93</f>
        <v>94926</v>
      </c>
      <c r="BX93" s="422">
        <f>S93+BM93</f>
        <v>7.0757000000000003</v>
      </c>
      <c r="BY93" s="422">
        <f t="shared" ref="BY93:BZ97" si="341">T93+BK93</f>
        <v>5.9089</v>
      </c>
      <c r="BZ93" s="611">
        <f t="shared" si="341"/>
        <v>1.1668000000000001</v>
      </c>
      <c r="CA93" s="423"/>
      <c r="CB93" s="418"/>
      <c r="CC93" s="418"/>
      <c r="CD93" s="418"/>
      <c r="CE93" s="418"/>
      <c r="CF93" s="527"/>
    </row>
    <row r="94" spans="1:84" ht="12.95" customHeight="1" x14ac:dyDescent="0.25">
      <c r="A94" s="282">
        <v>16</v>
      </c>
      <c r="B94" s="323">
        <v>5417</v>
      </c>
      <c r="C94" s="324">
        <v>600099113</v>
      </c>
      <c r="D94" s="283">
        <v>70156565</v>
      </c>
      <c r="E94" s="325" t="s">
        <v>380</v>
      </c>
      <c r="F94" s="283">
        <v>3117</v>
      </c>
      <c r="G94" s="325" t="s">
        <v>299</v>
      </c>
      <c r="H94" s="286" t="s">
        <v>272</v>
      </c>
      <c r="I94" s="423">
        <f t="shared" si="330"/>
        <v>0</v>
      </c>
      <c r="J94" s="418">
        <f t="shared" si="276"/>
        <v>0</v>
      </c>
      <c r="K94" s="418">
        <v>0</v>
      </c>
      <c r="L94" s="418">
        <v>0</v>
      </c>
      <c r="M94" s="418">
        <f>N94+O94</f>
        <v>0</v>
      </c>
      <c r="N94" s="418">
        <v>0</v>
      </c>
      <c r="O94" s="418">
        <v>0</v>
      </c>
      <c r="P94" s="68">
        <f t="shared" si="332"/>
        <v>0</v>
      </c>
      <c r="Q94" s="68">
        <f t="shared" si="333"/>
        <v>0</v>
      </c>
      <c r="R94" s="418"/>
      <c r="S94" s="419">
        <f>T94+U94</f>
        <v>0</v>
      </c>
      <c r="T94" s="420">
        <v>0</v>
      </c>
      <c r="U94" s="527">
        <v>0</v>
      </c>
      <c r="V94" s="427">
        <f t="shared" si="334"/>
        <v>0</v>
      </c>
      <c r="W94" s="421">
        <f t="shared" si="334"/>
        <v>0</v>
      </c>
      <c r="X94" s="421">
        <v>288410</v>
      </c>
      <c r="Y94" s="421">
        <v>0</v>
      </c>
      <c r="Z94" s="421">
        <v>0</v>
      </c>
      <c r="AA94" s="421">
        <v>0</v>
      </c>
      <c r="AB94" s="421">
        <v>0</v>
      </c>
      <c r="AC94" s="421">
        <v>0</v>
      </c>
      <c r="AD94" s="421">
        <v>0</v>
      </c>
      <c r="AE94" s="421">
        <v>0</v>
      </c>
      <c r="AF94" s="421">
        <f>V94+X94+Y94+AA94+AB94+AD94</f>
        <v>288410</v>
      </c>
      <c r="AG94" s="421">
        <f>W94+Z94+AC94+AE94</f>
        <v>0</v>
      </c>
      <c r="AH94" s="421">
        <f>SUM(AF94:AG94)</f>
        <v>288410</v>
      </c>
      <c r="AI94" s="421">
        <v>0</v>
      </c>
      <c r="AJ94" s="421">
        <v>0</v>
      </c>
      <c r="AK94" s="421">
        <v>0</v>
      </c>
      <c r="AL94" s="421">
        <v>0</v>
      </c>
      <c r="AM94" s="421">
        <v>0</v>
      </c>
      <c r="AN94" s="421">
        <v>0</v>
      </c>
      <c r="AO94" s="421">
        <f t="shared" si="335"/>
        <v>0</v>
      </c>
      <c r="AP94" s="421">
        <f>AJ94+AN94</f>
        <v>0</v>
      </c>
      <c r="AQ94" s="421">
        <f>SUM(AO94:AP94)</f>
        <v>0</v>
      </c>
      <c r="AR94" s="421">
        <f t="shared" si="336"/>
        <v>288410</v>
      </c>
      <c r="AS94" s="421">
        <f t="shared" si="336"/>
        <v>0</v>
      </c>
      <c r="AT94" s="421">
        <f>SUM(AR94:AS94)</f>
        <v>288410</v>
      </c>
      <c r="AU94" s="68">
        <f t="shared" si="337"/>
        <v>97483</v>
      </c>
      <c r="AV94" s="68">
        <f>ROUND(AH94*1%,0)</f>
        <v>2884</v>
      </c>
      <c r="AW94" s="421">
        <v>0</v>
      </c>
      <c r="AX94" s="421">
        <v>0</v>
      </c>
      <c r="AY94" s="421">
        <f>AW94+AX94</f>
        <v>0</v>
      </c>
      <c r="AZ94" s="421">
        <f>AT94+AU94+AV94+AY94</f>
        <v>388777</v>
      </c>
      <c r="BA94" s="422">
        <v>0</v>
      </c>
      <c r="BB94" s="422">
        <v>0</v>
      </c>
      <c r="BC94" s="422">
        <v>0.78</v>
      </c>
      <c r="BD94" s="422">
        <v>0</v>
      </c>
      <c r="BE94" s="422">
        <v>0</v>
      </c>
      <c r="BF94" s="422">
        <v>0</v>
      </c>
      <c r="BG94" s="422">
        <v>0</v>
      </c>
      <c r="BH94" s="422">
        <v>0</v>
      </c>
      <c r="BI94" s="422">
        <v>0</v>
      </c>
      <c r="BJ94" s="422">
        <v>0</v>
      </c>
      <c r="BK94" s="422">
        <f>BA94+BC94+BD94+BF94+BH94+BI94</f>
        <v>0.78</v>
      </c>
      <c r="BL94" s="422">
        <f>BB94+BE94+BG94+BJ94</f>
        <v>0</v>
      </c>
      <c r="BM94" s="611">
        <f>SUM(BK94:BL94)</f>
        <v>0.78</v>
      </c>
      <c r="BN94" s="428">
        <f>I94+AZ94</f>
        <v>388777</v>
      </c>
      <c r="BO94" s="421">
        <f>J94+AH94</f>
        <v>288410</v>
      </c>
      <c r="BP94" s="421">
        <f t="shared" si="338"/>
        <v>288410</v>
      </c>
      <c r="BQ94" s="421">
        <f t="shared" si="338"/>
        <v>0</v>
      </c>
      <c r="BR94" s="421">
        <f>M94+AQ94</f>
        <v>0</v>
      </c>
      <c r="BS94" s="421">
        <f t="shared" si="339"/>
        <v>0</v>
      </c>
      <c r="BT94" s="421">
        <f t="shared" si="339"/>
        <v>0</v>
      </c>
      <c r="BU94" s="421">
        <f t="shared" si="340"/>
        <v>97483</v>
      </c>
      <c r="BV94" s="421">
        <f t="shared" si="340"/>
        <v>2884</v>
      </c>
      <c r="BW94" s="421">
        <f>R94+AY94</f>
        <v>0</v>
      </c>
      <c r="BX94" s="422">
        <f>S94+BM94</f>
        <v>0.78</v>
      </c>
      <c r="BY94" s="422">
        <f t="shared" si="341"/>
        <v>0.78</v>
      </c>
      <c r="BZ94" s="611">
        <f t="shared" si="341"/>
        <v>0</v>
      </c>
      <c r="CA94" s="423"/>
      <c r="CB94" s="418"/>
      <c r="CC94" s="418"/>
      <c r="CD94" s="418"/>
      <c r="CE94" s="418"/>
      <c r="CF94" s="527"/>
    </row>
    <row r="95" spans="1:84" ht="12.95" customHeight="1" x14ac:dyDescent="0.25">
      <c r="A95" s="282">
        <v>16</v>
      </c>
      <c r="B95" s="323">
        <v>5417</v>
      </c>
      <c r="C95" s="324">
        <v>600099113</v>
      </c>
      <c r="D95" s="283">
        <v>70156565</v>
      </c>
      <c r="E95" s="325" t="s">
        <v>380</v>
      </c>
      <c r="F95" s="283">
        <v>3141</v>
      </c>
      <c r="G95" s="325" t="s">
        <v>295</v>
      </c>
      <c r="H95" s="286" t="s">
        <v>272</v>
      </c>
      <c r="I95" s="423">
        <f t="shared" si="330"/>
        <v>494203</v>
      </c>
      <c r="J95" s="418">
        <f t="shared" si="276"/>
        <v>364594</v>
      </c>
      <c r="K95" s="418">
        <v>0</v>
      </c>
      <c r="L95" s="418">
        <v>364594</v>
      </c>
      <c r="M95" s="418">
        <f t="shared" si="331"/>
        <v>0</v>
      </c>
      <c r="N95" s="418">
        <v>0</v>
      </c>
      <c r="O95" s="418">
        <v>0</v>
      </c>
      <c r="P95" s="68">
        <f t="shared" si="332"/>
        <v>123233</v>
      </c>
      <c r="Q95" s="68">
        <f t="shared" si="333"/>
        <v>3646</v>
      </c>
      <c r="R95" s="418">
        <v>2730</v>
      </c>
      <c r="S95" s="419">
        <f>T95+U95</f>
        <v>1.0932999999999999</v>
      </c>
      <c r="T95" s="420">
        <v>0</v>
      </c>
      <c r="U95" s="527">
        <v>1.0932999999999999</v>
      </c>
      <c r="V95" s="427">
        <f t="shared" si="334"/>
        <v>0</v>
      </c>
      <c r="W95" s="421">
        <f t="shared" si="334"/>
        <v>-22400</v>
      </c>
      <c r="X95" s="421">
        <v>0</v>
      </c>
      <c r="Y95" s="421">
        <v>0</v>
      </c>
      <c r="Z95" s="421">
        <v>0</v>
      </c>
      <c r="AA95" s="421">
        <v>0</v>
      </c>
      <c r="AB95" s="421">
        <v>0</v>
      </c>
      <c r="AC95" s="421">
        <v>0</v>
      </c>
      <c r="AD95" s="421">
        <v>0</v>
      </c>
      <c r="AE95" s="421">
        <v>0</v>
      </c>
      <c r="AF95" s="421">
        <f>V95+X95+Y95+AA95+AB95+AD95</f>
        <v>0</v>
      </c>
      <c r="AG95" s="421">
        <f>W95+Z95+AC95+AE95</f>
        <v>-22400</v>
      </c>
      <c r="AH95" s="421">
        <f>SUM(AF95:AG95)</f>
        <v>-22400</v>
      </c>
      <c r="AI95" s="421">
        <v>0</v>
      </c>
      <c r="AJ95" s="421">
        <v>22400</v>
      </c>
      <c r="AK95" s="421">
        <v>0</v>
      </c>
      <c r="AL95" s="421">
        <v>0</v>
      </c>
      <c r="AM95" s="421">
        <v>0</v>
      </c>
      <c r="AN95" s="421">
        <v>0</v>
      </c>
      <c r="AO95" s="421">
        <f t="shared" si="335"/>
        <v>0</v>
      </c>
      <c r="AP95" s="421">
        <f>AJ95+AN95</f>
        <v>22400</v>
      </c>
      <c r="AQ95" s="421">
        <f>SUM(AO95:AP95)</f>
        <v>22400</v>
      </c>
      <c r="AR95" s="421">
        <f t="shared" si="336"/>
        <v>0</v>
      </c>
      <c r="AS95" s="421">
        <f t="shared" si="336"/>
        <v>0</v>
      </c>
      <c r="AT95" s="421">
        <f>SUM(AR95:AS95)</f>
        <v>0</v>
      </c>
      <c r="AU95" s="68">
        <f t="shared" si="337"/>
        <v>0</v>
      </c>
      <c r="AV95" s="68">
        <f>ROUND(AH95*1%,0)</f>
        <v>-224</v>
      </c>
      <c r="AW95" s="421">
        <v>0</v>
      </c>
      <c r="AX95" s="421">
        <v>0</v>
      </c>
      <c r="AY95" s="421">
        <f>AW95+AX95</f>
        <v>0</v>
      </c>
      <c r="AZ95" s="421">
        <f>AT95+AU95+AV95+AY95</f>
        <v>-224</v>
      </c>
      <c r="BA95" s="422">
        <v>0</v>
      </c>
      <c r="BB95" s="422">
        <v>-7.0000000000000007E-2</v>
      </c>
      <c r="BC95" s="422">
        <v>0</v>
      </c>
      <c r="BD95" s="422">
        <v>0</v>
      </c>
      <c r="BE95" s="422">
        <v>0</v>
      </c>
      <c r="BF95" s="422">
        <v>0</v>
      </c>
      <c r="BG95" s="422">
        <v>0</v>
      </c>
      <c r="BH95" s="422">
        <v>0</v>
      </c>
      <c r="BI95" s="422">
        <v>0</v>
      </c>
      <c r="BJ95" s="422">
        <v>0</v>
      </c>
      <c r="BK95" s="422">
        <f>BA95+BC95+BD95+BF95+BH95+BI95</f>
        <v>0</v>
      </c>
      <c r="BL95" s="422">
        <f>BB95+BE95+BG95+BJ95</f>
        <v>-7.0000000000000007E-2</v>
      </c>
      <c r="BM95" s="611">
        <f>SUM(BK95:BL95)</f>
        <v>-7.0000000000000007E-2</v>
      </c>
      <c r="BN95" s="428">
        <f>I95+AZ95</f>
        <v>493979</v>
      </c>
      <c r="BO95" s="421">
        <f>J95+AH95</f>
        <v>342194</v>
      </c>
      <c r="BP95" s="421">
        <f t="shared" si="338"/>
        <v>0</v>
      </c>
      <c r="BQ95" s="421">
        <f t="shared" si="338"/>
        <v>342194</v>
      </c>
      <c r="BR95" s="421">
        <f>M95+AQ95</f>
        <v>22400</v>
      </c>
      <c r="BS95" s="421">
        <f t="shared" si="339"/>
        <v>0</v>
      </c>
      <c r="BT95" s="421">
        <f t="shared" si="339"/>
        <v>22400</v>
      </c>
      <c r="BU95" s="421">
        <f t="shared" si="340"/>
        <v>123233</v>
      </c>
      <c r="BV95" s="421">
        <f t="shared" si="340"/>
        <v>3422</v>
      </c>
      <c r="BW95" s="421">
        <f>R95+AY95</f>
        <v>2730</v>
      </c>
      <c r="BX95" s="422">
        <f>S95+BM95</f>
        <v>1.0232999999999999</v>
      </c>
      <c r="BY95" s="422">
        <f t="shared" si="341"/>
        <v>0</v>
      </c>
      <c r="BZ95" s="611">
        <f t="shared" si="341"/>
        <v>1.0232999999999999</v>
      </c>
      <c r="CA95" s="423"/>
      <c r="CB95" s="418"/>
      <c r="CC95" s="418"/>
      <c r="CD95" s="418"/>
      <c r="CE95" s="418"/>
      <c r="CF95" s="527"/>
    </row>
    <row r="96" spans="1:84" ht="12.95" customHeight="1" x14ac:dyDescent="0.25">
      <c r="A96" s="282">
        <v>16</v>
      </c>
      <c r="B96" s="323">
        <v>5417</v>
      </c>
      <c r="C96" s="324">
        <v>600099113</v>
      </c>
      <c r="D96" s="283">
        <v>70156565</v>
      </c>
      <c r="E96" s="325" t="s">
        <v>380</v>
      </c>
      <c r="F96" s="283">
        <v>3143</v>
      </c>
      <c r="G96" s="325" t="s">
        <v>596</v>
      </c>
      <c r="H96" s="286" t="s">
        <v>271</v>
      </c>
      <c r="I96" s="423">
        <f t="shared" si="330"/>
        <v>992259</v>
      </c>
      <c r="J96" s="418">
        <f t="shared" si="276"/>
        <v>736097</v>
      </c>
      <c r="K96" s="418">
        <v>736097</v>
      </c>
      <c r="L96" s="418">
        <v>0</v>
      </c>
      <c r="M96" s="418">
        <f t="shared" si="331"/>
        <v>0</v>
      </c>
      <c r="N96" s="418">
        <v>0</v>
      </c>
      <c r="O96" s="418">
        <v>0</v>
      </c>
      <c r="P96" s="68">
        <f t="shared" si="332"/>
        <v>248801</v>
      </c>
      <c r="Q96" s="68">
        <f t="shared" si="333"/>
        <v>7361</v>
      </c>
      <c r="R96" s="418">
        <v>0</v>
      </c>
      <c r="S96" s="419">
        <f>T96+U96</f>
        <v>1.5556000000000001</v>
      </c>
      <c r="T96" s="420">
        <v>1.5556000000000001</v>
      </c>
      <c r="U96" s="527">
        <v>0</v>
      </c>
      <c r="V96" s="427">
        <f t="shared" si="334"/>
        <v>0</v>
      </c>
      <c r="W96" s="421">
        <f t="shared" si="334"/>
        <v>0</v>
      </c>
      <c r="X96" s="421">
        <v>0</v>
      </c>
      <c r="Y96" s="421">
        <v>0</v>
      </c>
      <c r="Z96" s="421">
        <v>0</v>
      </c>
      <c r="AA96" s="421">
        <v>0</v>
      </c>
      <c r="AB96" s="421">
        <v>0</v>
      </c>
      <c r="AC96" s="421">
        <v>0</v>
      </c>
      <c r="AD96" s="421">
        <v>0</v>
      </c>
      <c r="AE96" s="421">
        <v>0</v>
      </c>
      <c r="AF96" s="421">
        <f>V96+X96+Y96+AA96+AB96+AD96</f>
        <v>0</v>
      </c>
      <c r="AG96" s="421">
        <f>W96+Z96+AC96+AE96</f>
        <v>0</v>
      </c>
      <c r="AH96" s="421">
        <f>SUM(AF96:AG96)</f>
        <v>0</v>
      </c>
      <c r="AI96" s="421">
        <v>0</v>
      </c>
      <c r="AJ96" s="421">
        <v>0</v>
      </c>
      <c r="AK96" s="421">
        <v>0</v>
      </c>
      <c r="AL96" s="421">
        <v>0</v>
      </c>
      <c r="AM96" s="421">
        <v>0</v>
      </c>
      <c r="AN96" s="421">
        <v>0</v>
      </c>
      <c r="AO96" s="421">
        <f t="shared" si="335"/>
        <v>0</v>
      </c>
      <c r="AP96" s="421">
        <f>AJ96+AN96</f>
        <v>0</v>
      </c>
      <c r="AQ96" s="421">
        <f>SUM(AO96:AP96)</f>
        <v>0</v>
      </c>
      <c r="AR96" s="421">
        <f t="shared" si="336"/>
        <v>0</v>
      </c>
      <c r="AS96" s="421">
        <f t="shared" si="336"/>
        <v>0</v>
      </c>
      <c r="AT96" s="421">
        <f>SUM(AR96:AS96)</f>
        <v>0</v>
      </c>
      <c r="AU96" s="68">
        <f t="shared" si="337"/>
        <v>0</v>
      </c>
      <c r="AV96" s="68">
        <f>ROUND(AH96*1%,0)</f>
        <v>0</v>
      </c>
      <c r="AW96" s="421">
        <v>0</v>
      </c>
      <c r="AX96" s="421">
        <v>0</v>
      </c>
      <c r="AY96" s="421">
        <f>AW96+AX96</f>
        <v>0</v>
      </c>
      <c r="AZ96" s="421">
        <f>AT96+AU96+AV96+AY96</f>
        <v>0</v>
      </c>
      <c r="BA96" s="422">
        <v>0</v>
      </c>
      <c r="BB96" s="422">
        <v>0</v>
      </c>
      <c r="BC96" s="422">
        <v>0</v>
      </c>
      <c r="BD96" s="422">
        <v>0</v>
      </c>
      <c r="BE96" s="422">
        <v>0</v>
      </c>
      <c r="BF96" s="422">
        <v>0</v>
      </c>
      <c r="BG96" s="422">
        <v>0</v>
      </c>
      <c r="BH96" s="422">
        <v>0</v>
      </c>
      <c r="BI96" s="422">
        <v>0</v>
      </c>
      <c r="BJ96" s="422">
        <v>0</v>
      </c>
      <c r="BK96" s="422">
        <f>BA96+BC96+BD96+BF96+BH96+BI96</f>
        <v>0</v>
      </c>
      <c r="BL96" s="422">
        <f>BB96+BE96+BG96+BJ96</f>
        <v>0</v>
      </c>
      <c r="BM96" s="611">
        <f>SUM(BK96:BL96)</f>
        <v>0</v>
      </c>
      <c r="BN96" s="428">
        <f>I96+AZ96</f>
        <v>992259</v>
      </c>
      <c r="BO96" s="421">
        <f>J96+AH96</f>
        <v>736097</v>
      </c>
      <c r="BP96" s="421">
        <f t="shared" si="338"/>
        <v>736097</v>
      </c>
      <c r="BQ96" s="421">
        <f t="shared" si="338"/>
        <v>0</v>
      </c>
      <c r="BR96" s="421">
        <f>M96+AQ96</f>
        <v>0</v>
      </c>
      <c r="BS96" s="421">
        <f t="shared" si="339"/>
        <v>0</v>
      </c>
      <c r="BT96" s="421">
        <f t="shared" si="339"/>
        <v>0</v>
      </c>
      <c r="BU96" s="421">
        <f t="shared" si="340"/>
        <v>248801</v>
      </c>
      <c r="BV96" s="421">
        <f t="shared" si="340"/>
        <v>7361</v>
      </c>
      <c r="BW96" s="421">
        <f>R96+AY96</f>
        <v>0</v>
      </c>
      <c r="BX96" s="422">
        <f>S96+BM96</f>
        <v>1.5556000000000001</v>
      </c>
      <c r="BY96" s="422">
        <f t="shared" si="341"/>
        <v>1.5556000000000001</v>
      </c>
      <c r="BZ96" s="611">
        <f t="shared" si="341"/>
        <v>0</v>
      </c>
      <c r="CA96" s="423"/>
      <c r="CB96" s="418"/>
      <c r="CC96" s="418"/>
      <c r="CD96" s="418"/>
      <c r="CE96" s="418"/>
      <c r="CF96" s="527"/>
    </row>
    <row r="97" spans="1:84" ht="12.95" customHeight="1" x14ac:dyDescent="0.25">
      <c r="A97" s="282">
        <v>16</v>
      </c>
      <c r="B97" s="323">
        <v>5417</v>
      </c>
      <c r="C97" s="324">
        <v>600099113</v>
      </c>
      <c r="D97" s="283">
        <v>70156565</v>
      </c>
      <c r="E97" s="325" t="s">
        <v>380</v>
      </c>
      <c r="F97" s="283">
        <v>3143</v>
      </c>
      <c r="G97" s="325" t="s">
        <v>597</v>
      </c>
      <c r="H97" s="286" t="s">
        <v>272</v>
      </c>
      <c r="I97" s="423">
        <f t="shared" si="330"/>
        <v>23569</v>
      </c>
      <c r="J97" s="418">
        <f t="shared" si="276"/>
        <v>16870</v>
      </c>
      <c r="K97" s="418">
        <v>0</v>
      </c>
      <c r="L97" s="418">
        <v>16870</v>
      </c>
      <c r="M97" s="418">
        <f t="shared" si="331"/>
        <v>0</v>
      </c>
      <c r="N97" s="418">
        <v>0</v>
      </c>
      <c r="O97" s="418">
        <v>0</v>
      </c>
      <c r="P97" s="68">
        <f t="shared" si="332"/>
        <v>5702</v>
      </c>
      <c r="Q97" s="68">
        <f t="shared" si="333"/>
        <v>169</v>
      </c>
      <c r="R97" s="418">
        <v>828</v>
      </c>
      <c r="S97" s="419">
        <f>T97+U97</f>
        <v>6.3899999999999998E-2</v>
      </c>
      <c r="T97" s="420">
        <v>0</v>
      </c>
      <c r="U97" s="527">
        <v>6.3899999999999998E-2</v>
      </c>
      <c r="V97" s="427">
        <f t="shared" si="334"/>
        <v>0</v>
      </c>
      <c r="W97" s="421">
        <f t="shared" si="334"/>
        <v>0</v>
      </c>
      <c r="X97" s="421">
        <v>0</v>
      </c>
      <c r="Y97" s="421">
        <v>0</v>
      </c>
      <c r="Z97" s="421">
        <v>0</v>
      </c>
      <c r="AA97" s="421">
        <v>0</v>
      </c>
      <c r="AB97" s="421">
        <v>0</v>
      </c>
      <c r="AC97" s="421">
        <v>0</v>
      </c>
      <c r="AD97" s="421">
        <v>0</v>
      </c>
      <c r="AE97" s="421">
        <v>0</v>
      </c>
      <c r="AF97" s="421">
        <f>V97+X97+Y97+AA97+AB97+AD97</f>
        <v>0</v>
      </c>
      <c r="AG97" s="421">
        <f>W97+Z97+AC97+AE97</f>
        <v>0</v>
      </c>
      <c r="AH97" s="421">
        <f>SUM(AF97:AG97)</f>
        <v>0</v>
      </c>
      <c r="AI97" s="421">
        <v>0</v>
      </c>
      <c r="AJ97" s="421">
        <v>0</v>
      </c>
      <c r="AK97" s="421">
        <v>0</v>
      </c>
      <c r="AL97" s="421">
        <v>0</v>
      </c>
      <c r="AM97" s="421">
        <v>0</v>
      </c>
      <c r="AN97" s="421">
        <v>0</v>
      </c>
      <c r="AO97" s="421">
        <f t="shared" si="335"/>
        <v>0</v>
      </c>
      <c r="AP97" s="421">
        <f>AJ97+AN97</f>
        <v>0</v>
      </c>
      <c r="AQ97" s="421">
        <f>SUM(AO97:AP97)</f>
        <v>0</v>
      </c>
      <c r="AR97" s="421">
        <f t="shared" si="336"/>
        <v>0</v>
      </c>
      <c r="AS97" s="421">
        <f t="shared" si="336"/>
        <v>0</v>
      </c>
      <c r="AT97" s="421">
        <f>SUM(AR97:AS97)</f>
        <v>0</v>
      </c>
      <c r="AU97" s="68">
        <f t="shared" si="337"/>
        <v>0</v>
      </c>
      <c r="AV97" s="68">
        <f>ROUND(AH97*1%,0)</f>
        <v>0</v>
      </c>
      <c r="AW97" s="421">
        <v>0</v>
      </c>
      <c r="AX97" s="421">
        <v>0</v>
      </c>
      <c r="AY97" s="421">
        <f>AW97+AX97</f>
        <v>0</v>
      </c>
      <c r="AZ97" s="421">
        <f>AT97+AU97+AV97+AY97</f>
        <v>0</v>
      </c>
      <c r="BA97" s="422">
        <v>0</v>
      </c>
      <c r="BB97" s="422">
        <v>0</v>
      </c>
      <c r="BC97" s="422">
        <v>0</v>
      </c>
      <c r="BD97" s="422">
        <v>0</v>
      </c>
      <c r="BE97" s="422">
        <v>0</v>
      </c>
      <c r="BF97" s="422">
        <v>0</v>
      </c>
      <c r="BG97" s="422">
        <v>0</v>
      </c>
      <c r="BH97" s="422">
        <v>0</v>
      </c>
      <c r="BI97" s="422">
        <v>0</v>
      </c>
      <c r="BJ97" s="422">
        <v>0</v>
      </c>
      <c r="BK97" s="422">
        <f>BA97+BC97+BD97+BF97+BH97+BI97</f>
        <v>0</v>
      </c>
      <c r="BL97" s="422">
        <f>BB97+BE97+BG97+BJ97</f>
        <v>0</v>
      </c>
      <c r="BM97" s="611">
        <f>SUM(BK97:BL97)</f>
        <v>0</v>
      </c>
      <c r="BN97" s="428">
        <f>I97+AZ97</f>
        <v>23569</v>
      </c>
      <c r="BO97" s="421">
        <f>J97+AH97</f>
        <v>16870</v>
      </c>
      <c r="BP97" s="421">
        <f t="shared" si="338"/>
        <v>0</v>
      </c>
      <c r="BQ97" s="421">
        <f t="shared" si="338"/>
        <v>16870</v>
      </c>
      <c r="BR97" s="421">
        <f>M97+AQ97</f>
        <v>0</v>
      </c>
      <c r="BS97" s="421">
        <f t="shared" si="339"/>
        <v>0</v>
      </c>
      <c r="BT97" s="421">
        <f t="shared" si="339"/>
        <v>0</v>
      </c>
      <c r="BU97" s="421">
        <f t="shared" si="340"/>
        <v>5702</v>
      </c>
      <c r="BV97" s="421">
        <f t="shared" si="340"/>
        <v>169</v>
      </c>
      <c r="BW97" s="421">
        <f>R97+AY97</f>
        <v>828</v>
      </c>
      <c r="BX97" s="422">
        <f>S97+BM97</f>
        <v>6.3899999999999998E-2</v>
      </c>
      <c r="BY97" s="422">
        <f t="shared" si="341"/>
        <v>0</v>
      </c>
      <c r="BZ97" s="611">
        <f t="shared" si="341"/>
        <v>6.3899999999999998E-2</v>
      </c>
      <c r="CA97" s="423"/>
      <c r="CB97" s="418"/>
      <c r="CC97" s="418"/>
      <c r="CD97" s="418"/>
      <c r="CE97" s="418"/>
      <c r="CF97" s="527"/>
    </row>
    <row r="98" spans="1:84" ht="12.95" customHeight="1" x14ac:dyDescent="0.25">
      <c r="A98" s="326">
        <v>16</v>
      </c>
      <c r="B98" s="327">
        <v>5417</v>
      </c>
      <c r="C98" s="328">
        <v>600099113</v>
      </c>
      <c r="D98" s="327">
        <v>70156565</v>
      </c>
      <c r="E98" s="329" t="s">
        <v>381</v>
      </c>
      <c r="F98" s="293"/>
      <c r="G98" s="331"/>
      <c r="H98" s="294"/>
      <c r="I98" s="482">
        <f t="shared" ref="I98:BU98" si="342">SUM(I93:I97)</f>
        <v>7269461</v>
      </c>
      <c r="J98" s="479">
        <f t="shared" si="342"/>
        <v>5319715</v>
      </c>
      <c r="K98" s="479">
        <f t="shared" si="342"/>
        <v>4508395</v>
      </c>
      <c r="L98" s="479">
        <f t="shared" si="342"/>
        <v>811320</v>
      </c>
      <c r="M98" s="479">
        <f t="shared" si="342"/>
        <v>0</v>
      </c>
      <c r="N98" s="479">
        <f t="shared" si="342"/>
        <v>0</v>
      </c>
      <c r="O98" s="479">
        <f t="shared" si="342"/>
        <v>0</v>
      </c>
      <c r="P98" s="479">
        <f t="shared" si="342"/>
        <v>1798064</v>
      </c>
      <c r="Q98" s="479">
        <f t="shared" si="342"/>
        <v>53198</v>
      </c>
      <c r="R98" s="479">
        <f t="shared" si="342"/>
        <v>98484</v>
      </c>
      <c r="S98" s="480">
        <f t="shared" si="342"/>
        <v>9.7885000000000009</v>
      </c>
      <c r="T98" s="480">
        <f t="shared" si="342"/>
        <v>7.4645000000000001</v>
      </c>
      <c r="U98" s="335">
        <f t="shared" si="342"/>
        <v>2.3239999999999998</v>
      </c>
      <c r="V98" s="484">
        <f t="shared" si="342"/>
        <v>-12800</v>
      </c>
      <c r="W98" s="479">
        <f t="shared" si="342"/>
        <v>-22400</v>
      </c>
      <c r="X98" s="479">
        <f t="shared" si="342"/>
        <v>288410</v>
      </c>
      <c r="Y98" s="479">
        <f t="shared" si="342"/>
        <v>0</v>
      </c>
      <c r="Z98" s="479">
        <f t="shared" si="342"/>
        <v>0</v>
      </c>
      <c r="AA98" s="479">
        <f t="shared" si="342"/>
        <v>0</v>
      </c>
      <c r="AB98" s="479">
        <f t="shared" si="342"/>
        <v>0</v>
      </c>
      <c r="AC98" s="479">
        <f t="shared" si="342"/>
        <v>0</v>
      </c>
      <c r="AD98" s="479">
        <f t="shared" si="342"/>
        <v>0</v>
      </c>
      <c r="AE98" s="479">
        <f t="shared" si="342"/>
        <v>0</v>
      </c>
      <c r="AF98" s="479">
        <f t="shared" si="342"/>
        <v>275610</v>
      </c>
      <c r="AG98" s="479">
        <f t="shared" si="342"/>
        <v>-22400</v>
      </c>
      <c r="AH98" s="479">
        <f t="shared" si="342"/>
        <v>253210</v>
      </c>
      <c r="AI98" s="479">
        <f t="shared" si="342"/>
        <v>12800</v>
      </c>
      <c r="AJ98" s="479">
        <f t="shared" si="342"/>
        <v>22400</v>
      </c>
      <c r="AK98" s="479">
        <f t="shared" ref="AK98" si="343">SUM(AK93:AK97)</f>
        <v>0</v>
      </c>
      <c r="AL98" s="479">
        <f t="shared" si="342"/>
        <v>0</v>
      </c>
      <c r="AM98" s="479">
        <f t="shared" si="342"/>
        <v>0</v>
      </c>
      <c r="AN98" s="479">
        <f t="shared" si="342"/>
        <v>0</v>
      </c>
      <c r="AO98" s="479">
        <f t="shared" si="342"/>
        <v>12800</v>
      </c>
      <c r="AP98" s="479">
        <f t="shared" si="342"/>
        <v>22400</v>
      </c>
      <c r="AQ98" s="479">
        <f t="shared" si="342"/>
        <v>35200</v>
      </c>
      <c r="AR98" s="479">
        <f t="shared" si="342"/>
        <v>288410</v>
      </c>
      <c r="AS98" s="479">
        <f t="shared" si="342"/>
        <v>0</v>
      </c>
      <c r="AT98" s="479">
        <f t="shared" si="342"/>
        <v>288410</v>
      </c>
      <c r="AU98" s="479">
        <f t="shared" si="342"/>
        <v>97483</v>
      </c>
      <c r="AV98" s="479">
        <f t="shared" si="342"/>
        <v>2532</v>
      </c>
      <c r="AW98" s="479">
        <f t="shared" si="342"/>
        <v>0</v>
      </c>
      <c r="AX98" s="479">
        <f t="shared" si="342"/>
        <v>0</v>
      </c>
      <c r="AY98" s="479">
        <f t="shared" si="342"/>
        <v>0</v>
      </c>
      <c r="AZ98" s="479">
        <f t="shared" si="342"/>
        <v>388425</v>
      </c>
      <c r="BA98" s="480">
        <f t="shared" si="342"/>
        <v>0</v>
      </c>
      <c r="BB98" s="480">
        <f t="shared" si="342"/>
        <v>-7.0000000000000007E-2</v>
      </c>
      <c r="BC98" s="480">
        <f t="shared" si="342"/>
        <v>0.78</v>
      </c>
      <c r="BD98" s="480">
        <f t="shared" si="342"/>
        <v>0</v>
      </c>
      <c r="BE98" s="480">
        <f t="shared" si="342"/>
        <v>0</v>
      </c>
      <c r="BF98" s="480">
        <f t="shared" si="342"/>
        <v>0</v>
      </c>
      <c r="BG98" s="480">
        <f t="shared" si="342"/>
        <v>0</v>
      </c>
      <c r="BH98" s="480">
        <f t="shared" si="342"/>
        <v>0</v>
      </c>
      <c r="BI98" s="480">
        <f t="shared" si="342"/>
        <v>0</v>
      </c>
      <c r="BJ98" s="480">
        <f t="shared" si="342"/>
        <v>0</v>
      </c>
      <c r="BK98" s="480">
        <f t="shared" si="342"/>
        <v>0.78</v>
      </c>
      <c r="BL98" s="480">
        <f t="shared" si="342"/>
        <v>-7.0000000000000007E-2</v>
      </c>
      <c r="BM98" s="560">
        <f t="shared" si="342"/>
        <v>0.71</v>
      </c>
      <c r="BN98" s="482">
        <f t="shared" si="342"/>
        <v>7657886</v>
      </c>
      <c r="BO98" s="479">
        <f t="shared" si="342"/>
        <v>5572925</v>
      </c>
      <c r="BP98" s="479">
        <f t="shared" si="342"/>
        <v>4784005</v>
      </c>
      <c r="BQ98" s="479">
        <f t="shared" si="342"/>
        <v>788920</v>
      </c>
      <c r="BR98" s="479">
        <f t="shared" si="342"/>
        <v>35200</v>
      </c>
      <c r="BS98" s="479">
        <f t="shared" si="342"/>
        <v>12800</v>
      </c>
      <c r="BT98" s="479">
        <f t="shared" si="342"/>
        <v>22400</v>
      </c>
      <c r="BU98" s="479">
        <f t="shared" si="342"/>
        <v>1895547</v>
      </c>
      <c r="BV98" s="479">
        <f t="shared" ref="BV98:CF98" si="344">SUM(BV93:BV97)</f>
        <v>55730</v>
      </c>
      <c r="BW98" s="479">
        <f t="shared" si="344"/>
        <v>98484</v>
      </c>
      <c r="BX98" s="480">
        <f t="shared" si="344"/>
        <v>10.498500000000002</v>
      </c>
      <c r="BY98" s="480">
        <f t="shared" si="344"/>
        <v>8.2445000000000004</v>
      </c>
      <c r="BZ98" s="560">
        <f t="shared" si="344"/>
        <v>2.254</v>
      </c>
      <c r="CA98" s="886">
        <f t="shared" si="344"/>
        <v>0</v>
      </c>
      <c r="CB98" s="884">
        <f t="shared" si="344"/>
        <v>0</v>
      </c>
      <c r="CC98" s="884">
        <f t="shared" si="344"/>
        <v>0</v>
      </c>
      <c r="CD98" s="884">
        <f t="shared" si="344"/>
        <v>0</v>
      </c>
      <c r="CE98" s="884">
        <f t="shared" si="344"/>
        <v>0</v>
      </c>
      <c r="CF98" s="846">
        <f t="shared" si="344"/>
        <v>0</v>
      </c>
    </row>
    <row r="99" spans="1:84" ht="12.95" customHeight="1" x14ac:dyDescent="0.25">
      <c r="A99" s="282">
        <v>17</v>
      </c>
      <c r="B99" s="323">
        <v>5420</v>
      </c>
      <c r="C99" s="324">
        <v>600098745</v>
      </c>
      <c r="D99" s="283">
        <v>75016249</v>
      </c>
      <c r="E99" s="325" t="s">
        <v>382</v>
      </c>
      <c r="F99" s="283">
        <v>3111</v>
      </c>
      <c r="G99" s="325" t="s">
        <v>305</v>
      </c>
      <c r="H99" s="286" t="s">
        <v>271</v>
      </c>
      <c r="I99" s="423">
        <f t="shared" ref="I99:I101" si="345">J99+P99+Q99+R99</f>
        <v>3515169</v>
      </c>
      <c r="J99" s="418">
        <f t="shared" si="276"/>
        <v>2599967</v>
      </c>
      <c r="K99" s="418">
        <v>2378175</v>
      </c>
      <c r="L99" s="418">
        <v>221792</v>
      </c>
      <c r="M99" s="418">
        <f t="shared" ref="M99:M101" si="346">N99+O99</f>
        <v>0</v>
      </c>
      <c r="N99" s="418">
        <v>0</v>
      </c>
      <c r="O99" s="418">
        <v>0</v>
      </c>
      <c r="P99" s="68">
        <f t="shared" ref="P99:P101" si="347">ROUND((J99+M99)*33.8%,0)</f>
        <v>878789</v>
      </c>
      <c r="Q99" s="68">
        <f t="shared" ref="Q99:Q101" si="348">ROUND(J99*1%,0)</f>
        <v>26000</v>
      </c>
      <c r="R99" s="418">
        <v>10413</v>
      </c>
      <c r="S99" s="419">
        <f>T99+U99</f>
        <v>4.8111999999999995</v>
      </c>
      <c r="T99" s="420">
        <v>4.0644999999999998</v>
      </c>
      <c r="U99" s="527">
        <v>0.74669999999999992</v>
      </c>
      <c r="V99" s="427">
        <f t="shared" ref="V99:W101" si="349">AI99*-1</f>
        <v>0</v>
      </c>
      <c r="W99" s="421">
        <f t="shared" si="349"/>
        <v>0</v>
      </c>
      <c r="X99" s="421">
        <v>0</v>
      </c>
      <c r="Y99" s="421">
        <v>0</v>
      </c>
      <c r="Z99" s="421">
        <v>0</v>
      </c>
      <c r="AA99" s="421">
        <v>0</v>
      </c>
      <c r="AB99" s="421">
        <v>0</v>
      </c>
      <c r="AC99" s="421">
        <v>0</v>
      </c>
      <c r="AD99" s="421">
        <v>0</v>
      </c>
      <c r="AE99" s="421">
        <v>0</v>
      </c>
      <c r="AF99" s="421">
        <f>V99+X99+Y99+AA99+AB99+AD99</f>
        <v>0</v>
      </c>
      <c r="AG99" s="421">
        <f>W99+Z99+AC99+AE99</f>
        <v>0</v>
      </c>
      <c r="AH99" s="421">
        <f>SUM(AF99:AG99)</f>
        <v>0</v>
      </c>
      <c r="AI99" s="421">
        <v>0</v>
      </c>
      <c r="AJ99" s="421">
        <v>0</v>
      </c>
      <c r="AK99" s="421">
        <v>0</v>
      </c>
      <c r="AL99" s="421">
        <v>0</v>
      </c>
      <c r="AM99" s="421">
        <v>0</v>
      </c>
      <c r="AN99" s="421">
        <v>0</v>
      </c>
      <c r="AO99" s="421">
        <f t="shared" ref="AO99:AO101" si="350">AI99+AK99+AL99+AM99</f>
        <v>0</v>
      </c>
      <c r="AP99" s="421">
        <f>AJ99+AN99</f>
        <v>0</v>
      </c>
      <c r="AQ99" s="421">
        <f>SUM(AO99:AP99)</f>
        <v>0</v>
      </c>
      <c r="AR99" s="421">
        <f t="shared" ref="AR99:AS101" si="351">AF99+AO99</f>
        <v>0</v>
      </c>
      <c r="AS99" s="421">
        <f t="shared" si="351"/>
        <v>0</v>
      </c>
      <c r="AT99" s="421">
        <f>SUM(AR99:AS99)</f>
        <v>0</v>
      </c>
      <c r="AU99" s="68">
        <f t="shared" ref="AU99:AU101" si="352">ROUND((AH99+AI99+AJ99+AK99+AL99)*33.8%,0)</f>
        <v>0</v>
      </c>
      <c r="AV99" s="68">
        <f>ROUND(AH99*1%,0)</f>
        <v>0</v>
      </c>
      <c r="AW99" s="421">
        <v>0</v>
      </c>
      <c r="AX99" s="421">
        <v>0</v>
      </c>
      <c r="AY99" s="421">
        <f>AW99+AX99</f>
        <v>0</v>
      </c>
      <c r="AZ99" s="421">
        <f>AT99+AU99+AV99+AY99</f>
        <v>0</v>
      </c>
      <c r="BA99" s="422">
        <v>0</v>
      </c>
      <c r="BB99" s="422">
        <v>0</v>
      </c>
      <c r="BC99" s="422">
        <v>0</v>
      </c>
      <c r="BD99" s="422">
        <v>0</v>
      </c>
      <c r="BE99" s="422">
        <v>0</v>
      </c>
      <c r="BF99" s="422">
        <v>0</v>
      </c>
      <c r="BG99" s="422">
        <v>0</v>
      </c>
      <c r="BH99" s="422">
        <v>0</v>
      </c>
      <c r="BI99" s="422">
        <v>0</v>
      </c>
      <c r="BJ99" s="422">
        <v>0</v>
      </c>
      <c r="BK99" s="422">
        <f>BA99+BC99+BD99+BF99+BH99+BI99</f>
        <v>0</v>
      </c>
      <c r="BL99" s="422">
        <f>BB99+BE99+BG99+BJ99</f>
        <v>0</v>
      </c>
      <c r="BM99" s="611">
        <f>SUM(BK99:BL99)</f>
        <v>0</v>
      </c>
      <c r="BN99" s="428">
        <f>I99+AZ99</f>
        <v>3515169</v>
      </c>
      <c r="BO99" s="421">
        <f>J99+AH99</f>
        <v>2599967</v>
      </c>
      <c r="BP99" s="421">
        <f t="shared" ref="BP99:BQ101" si="353">K99+AF99</f>
        <v>2378175</v>
      </c>
      <c r="BQ99" s="421">
        <f t="shared" si="353"/>
        <v>221792</v>
      </c>
      <c r="BR99" s="421">
        <f>M99+AQ99</f>
        <v>0</v>
      </c>
      <c r="BS99" s="421">
        <f t="shared" ref="BS99:BT101" si="354">N99+AO99</f>
        <v>0</v>
      </c>
      <c r="BT99" s="421">
        <f t="shared" si="354"/>
        <v>0</v>
      </c>
      <c r="BU99" s="421">
        <f t="shared" ref="BU99:BV101" si="355">P99+AU99</f>
        <v>878789</v>
      </c>
      <c r="BV99" s="421">
        <f t="shared" si="355"/>
        <v>26000</v>
      </c>
      <c r="BW99" s="421">
        <f>R99+AY99</f>
        <v>10413</v>
      </c>
      <c r="BX99" s="422">
        <f>S99+BM99</f>
        <v>4.8111999999999995</v>
      </c>
      <c r="BY99" s="422">
        <f t="shared" ref="BY99:BZ101" si="356">T99+BK99</f>
        <v>4.0644999999999998</v>
      </c>
      <c r="BZ99" s="611">
        <f t="shared" si="356"/>
        <v>0.74669999999999992</v>
      </c>
      <c r="CA99" s="423"/>
      <c r="CB99" s="418"/>
      <c r="CC99" s="418"/>
      <c r="CD99" s="418"/>
      <c r="CE99" s="418"/>
      <c r="CF99" s="527"/>
    </row>
    <row r="100" spans="1:84" ht="12.95" customHeight="1" x14ac:dyDescent="0.25">
      <c r="A100" s="282">
        <v>17</v>
      </c>
      <c r="B100" s="323">
        <v>5420</v>
      </c>
      <c r="C100" s="324">
        <v>600098745</v>
      </c>
      <c r="D100" s="283">
        <v>75016249</v>
      </c>
      <c r="E100" s="325" t="s">
        <v>382</v>
      </c>
      <c r="F100" s="283">
        <v>3111</v>
      </c>
      <c r="G100" s="325" t="s">
        <v>299</v>
      </c>
      <c r="H100" s="286" t="s">
        <v>272</v>
      </c>
      <c r="I100" s="423">
        <f t="shared" si="345"/>
        <v>0</v>
      </c>
      <c r="J100" s="418">
        <f t="shared" si="276"/>
        <v>0</v>
      </c>
      <c r="K100" s="418">
        <v>0</v>
      </c>
      <c r="L100" s="418">
        <v>0</v>
      </c>
      <c r="M100" s="418">
        <f>N100+O100</f>
        <v>0</v>
      </c>
      <c r="N100" s="418">
        <v>0</v>
      </c>
      <c r="O100" s="418">
        <v>0</v>
      </c>
      <c r="P100" s="68">
        <f t="shared" si="347"/>
        <v>0</v>
      </c>
      <c r="Q100" s="68">
        <f t="shared" si="348"/>
        <v>0</v>
      </c>
      <c r="R100" s="418">
        <v>0</v>
      </c>
      <c r="S100" s="419">
        <f>T100+U100</f>
        <v>0</v>
      </c>
      <c r="T100" s="420">
        <v>0</v>
      </c>
      <c r="U100" s="527">
        <v>0</v>
      </c>
      <c r="V100" s="427">
        <f t="shared" si="349"/>
        <v>0</v>
      </c>
      <c r="W100" s="421">
        <f t="shared" si="349"/>
        <v>0</v>
      </c>
      <c r="X100" s="421">
        <v>278101</v>
      </c>
      <c r="Y100" s="421">
        <v>0</v>
      </c>
      <c r="Z100" s="421">
        <v>0</v>
      </c>
      <c r="AA100" s="421">
        <v>0</v>
      </c>
      <c r="AB100" s="421">
        <v>0</v>
      </c>
      <c r="AC100" s="421">
        <v>0</v>
      </c>
      <c r="AD100" s="421">
        <v>0</v>
      </c>
      <c r="AE100" s="421">
        <v>0</v>
      </c>
      <c r="AF100" s="421">
        <f>V100+X100+Y100+AA100+AB100+AD100</f>
        <v>278101</v>
      </c>
      <c r="AG100" s="421">
        <f>W100+Z100+AC100+AE100</f>
        <v>0</v>
      </c>
      <c r="AH100" s="421">
        <f>SUM(AF100:AG100)</f>
        <v>278101</v>
      </c>
      <c r="AI100" s="421">
        <v>0</v>
      </c>
      <c r="AJ100" s="421">
        <v>0</v>
      </c>
      <c r="AK100" s="421">
        <v>0</v>
      </c>
      <c r="AL100" s="421">
        <v>0</v>
      </c>
      <c r="AM100" s="421">
        <v>0</v>
      </c>
      <c r="AN100" s="421">
        <v>0</v>
      </c>
      <c r="AO100" s="421">
        <f t="shared" si="350"/>
        <v>0</v>
      </c>
      <c r="AP100" s="421">
        <f>AJ100+AN100</f>
        <v>0</v>
      </c>
      <c r="AQ100" s="421">
        <f>SUM(AO100:AP100)</f>
        <v>0</v>
      </c>
      <c r="AR100" s="421">
        <f t="shared" si="351"/>
        <v>278101</v>
      </c>
      <c r="AS100" s="421">
        <f t="shared" si="351"/>
        <v>0</v>
      </c>
      <c r="AT100" s="421">
        <f>SUM(AR100:AS100)</f>
        <v>278101</v>
      </c>
      <c r="AU100" s="68">
        <f t="shared" si="352"/>
        <v>93998</v>
      </c>
      <c r="AV100" s="68">
        <f>ROUND(AH100*1%,0)</f>
        <v>2781</v>
      </c>
      <c r="AW100" s="421">
        <v>0</v>
      </c>
      <c r="AX100" s="421">
        <v>0</v>
      </c>
      <c r="AY100" s="421">
        <f>AW100+AX100</f>
        <v>0</v>
      </c>
      <c r="AZ100" s="421">
        <f>AT100+AU100+AV100+AY100</f>
        <v>374880</v>
      </c>
      <c r="BA100" s="422">
        <v>0</v>
      </c>
      <c r="BB100" s="422">
        <v>0</v>
      </c>
      <c r="BC100" s="422">
        <v>0.75</v>
      </c>
      <c r="BD100" s="422">
        <v>0</v>
      </c>
      <c r="BE100" s="422">
        <v>0</v>
      </c>
      <c r="BF100" s="422">
        <v>0</v>
      </c>
      <c r="BG100" s="422">
        <v>0</v>
      </c>
      <c r="BH100" s="422">
        <v>0</v>
      </c>
      <c r="BI100" s="422">
        <v>0</v>
      </c>
      <c r="BJ100" s="422">
        <v>0</v>
      </c>
      <c r="BK100" s="422">
        <f>BA100+BC100+BD100+BF100+BH100+BI100</f>
        <v>0.75</v>
      </c>
      <c r="BL100" s="422">
        <f>BB100+BE100+BG100+BJ100</f>
        <v>0</v>
      </c>
      <c r="BM100" s="611">
        <f>SUM(BK100:BL100)</f>
        <v>0.75</v>
      </c>
      <c r="BN100" s="428">
        <f>I100+AZ100</f>
        <v>374880</v>
      </c>
      <c r="BO100" s="421">
        <f>J100+AH100</f>
        <v>278101</v>
      </c>
      <c r="BP100" s="421">
        <f t="shared" si="353"/>
        <v>278101</v>
      </c>
      <c r="BQ100" s="421">
        <f t="shared" si="353"/>
        <v>0</v>
      </c>
      <c r="BR100" s="421">
        <f>M100+AQ100</f>
        <v>0</v>
      </c>
      <c r="BS100" s="421">
        <f t="shared" si="354"/>
        <v>0</v>
      </c>
      <c r="BT100" s="421">
        <f t="shared" si="354"/>
        <v>0</v>
      </c>
      <c r="BU100" s="421">
        <f t="shared" si="355"/>
        <v>93998</v>
      </c>
      <c r="BV100" s="421">
        <f t="shared" si="355"/>
        <v>2781</v>
      </c>
      <c r="BW100" s="421">
        <f>R100+AY100</f>
        <v>0</v>
      </c>
      <c r="BX100" s="422">
        <f>S100+BM100</f>
        <v>0.75</v>
      </c>
      <c r="BY100" s="422">
        <f t="shared" si="356"/>
        <v>0.75</v>
      </c>
      <c r="BZ100" s="611">
        <f t="shared" si="356"/>
        <v>0</v>
      </c>
      <c r="CA100" s="423"/>
      <c r="CB100" s="418"/>
      <c r="CC100" s="418"/>
      <c r="CD100" s="418"/>
      <c r="CE100" s="418"/>
      <c r="CF100" s="527"/>
    </row>
    <row r="101" spans="1:84" ht="12.95" customHeight="1" x14ac:dyDescent="0.25">
      <c r="A101" s="282">
        <v>17</v>
      </c>
      <c r="B101" s="323">
        <v>5420</v>
      </c>
      <c r="C101" s="324">
        <v>600098745</v>
      </c>
      <c r="D101" s="283">
        <v>75016249</v>
      </c>
      <c r="E101" s="325" t="s">
        <v>382</v>
      </c>
      <c r="F101" s="283">
        <v>3141</v>
      </c>
      <c r="G101" s="325" t="s">
        <v>295</v>
      </c>
      <c r="H101" s="286" t="s">
        <v>272</v>
      </c>
      <c r="I101" s="423">
        <f t="shared" si="345"/>
        <v>390973</v>
      </c>
      <c r="J101" s="418">
        <f t="shared" si="276"/>
        <v>289027</v>
      </c>
      <c r="K101" s="418">
        <v>0</v>
      </c>
      <c r="L101" s="418">
        <v>289027</v>
      </c>
      <c r="M101" s="418">
        <f t="shared" si="346"/>
        <v>0</v>
      </c>
      <c r="N101" s="418">
        <v>0</v>
      </c>
      <c r="O101" s="418">
        <v>0</v>
      </c>
      <c r="P101" s="68">
        <f t="shared" si="347"/>
        <v>97691</v>
      </c>
      <c r="Q101" s="68">
        <f t="shared" si="348"/>
        <v>2890</v>
      </c>
      <c r="R101" s="418">
        <v>1365</v>
      </c>
      <c r="S101" s="419">
        <f>T101+U101</f>
        <v>0.86670000000000003</v>
      </c>
      <c r="T101" s="420">
        <v>0</v>
      </c>
      <c r="U101" s="527">
        <v>0.86670000000000003</v>
      </c>
      <c r="V101" s="427">
        <f t="shared" si="349"/>
        <v>0</v>
      </c>
      <c r="W101" s="421">
        <f t="shared" si="349"/>
        <v>0</v>
      </c>
      <c r="X101" s="421">
        <v>0</v>
      </c>
      <c r="Y101" s="421">
        <v>0</v>
      </c>
      <c r="Z101" s="421">
        <v>0</v>
      </c>
      <c r="AA101" s="421">
        <v>0</v>
      </c>
      <c r="AB101" s="421">
        <v>0</v>
      </c>
      <c r="AC101" s="421">
        <v>0</v>
      </c>
      <c r="AD101" s="421">
        <v>0</v>
      </c>
      <c r="AE101" s="421">
        <v>0</v>
      </c>
      <c r="AF101" s="421">
        <f>V101+X101+Y101+AA101+AB101+AD101</f>
        <v>0</v>
      </c>
      <c r="AG101" s="421">
        <f>W101+Z101+AC101+AE101</f>
        <v>0</v>
      </c>
      <c r="AH101" s="421">
        <f>SUM(AF101:AG101)</f>
        <v>0</v>
      </c>
      <c r="AI101" s="421">
        <v>0</v>
      </c>
      <c r="AJ101" s="421">
        <v>0</v>
      </c>
      <c r="AK101" s="421">
        <v>0</v>
      </c>
      <c r="AL101" s="421">
        <v>0</v>
      </c>
      <c r="AM101" s="421">
        <v>0</v>
      </c>
      <c r="AN101" s="421">
        <v>0</v>
      </c>
      <c r="AO101" s="421">
        <f t="shared" si="350"/>
        <v>0</v>
      </c>
      <c r="AP101" s="421">
        <f>AJ101+AN101</f>
        <v>0</v>
      </c>
      <c r="AQ101" s="421">
        <f>SUM(AO101:AP101)</f>
        <v>0</v>
      </c>
      <c r="AR101" s="421">
        <f t="shared" si="351"/>
        <v>0</v>
      </c>
      <c r="AS101" s="421">
        <f t="shared" si="351"/>
        <v>0</v>
      </c>
      <c r="AT101" s="421">
        <f>SUM(AR101:AS101)</f>
        <v>0</v>
      </c>
      <c r="AU101" s="68">
        <f t="shared" si="352"/>
        <v>0</v>
      </c>
      <c r="AV101" s="68">
        <f>ROUND(AH101*1%,0)</f>
        <v>0</v>
      </c>
      <c r="AW101" s="421">
        <v>0</v>
      </c>
      <c r="AX101" s="421">
        <v>0</v>
      </c>
      <c r="AY101" s="421">
        <f>AW101+AX101</f>
        <v>0</v>
      </c>
      <c r="AZ101" s="421">
        <f>AT101+AU101+AV101+AY101</f>
        <v>0</v>
      </c>
      <c r="BA101" s="422">
        <v>0</v>
      </c>
      <c r="BB101" s="422">
        <v>0</v>
      </c>
      <c r="BC101" s="422">
        <v>0</v>
      </c>
      <c r="BD101" s="422">
        <v>0</v>
      </c>
      <c r="BE101" s="422">
        <v>0</v>
      </c>
      <c r="BF101" s="422">
        <v>0</v>
      </c>
      <c r="BG101" s="422">
        <v>0</v>
      </c>
      <c r="BH101" s="422">
        <v>0</v>
      </c>
      <c r="BI101" s="422">
        <v>0</v>
      </c>
      <c r="BJ101" s="422">
        <v>0</v>
      </c>
      <c r="BK101" s="422">
        <f>BA101+BC101+BD101+BF101+BH101+BI101</f>
        <v>0</v>
      </c>
      <c r="BL101" s="422">
        <f>BB101+BE101+BG101+BJ101</f>
        <v>0</v>
      </c>
      <c r="BM101" s="611">
        <f>SUM(BK101:BL101)</f>
        <v>0</v>
      </c>
      <c r="BN101" s="428">
        <f>I101+AZ101</f>
        <v>390973</v>
      </c>
      <c r="BO101" s="421">
        <f>J101+AH101</f>
        <v>289027</v>
      </c>
      <c r="BP101" s="421">
        <f t="shared" si="353"/>
        <v>0</v>
      </c>
      <c r="BQ101" s="421">
        <f t="shared" si="353"/>
        <v>289027</v>
      </c>
      <c r="BR101" s="421">
        <f>M101+AQ101</f>
        <v>0</v>
      </c>
      <c r="BS101" s="421">
        <f t="shared" si="354"/>
        <v>0</v>
      </c>
      <c r="BT101" s="421">
        <f t="shared" si="354"/>
        <v>0</v>
      </c>
      <c r="BU101" s="421">
        <f t="shared" si="355"/>
        <v>97691</v>
      </c>
      <c r="BV101" s="421">
        <f t="shared" si="355"/>
        <v>2890</v>
      </c>
      <c r="BW101" s="421">
        <f>R101+AY101</f>
        <v>1365</v>
      </c>
      <c r="BX101" s="422">
        <f>S101+BM101</f>
        <v>0.86670000000000003</v>
      </c>
      <c r="BY101" s="422">
        <f t="shared" si="356"/>
        <v>0</v>
      </c>
      <c r="BZ101" s="611">
        <f t="shared" si="356"/>
        <v>0.86670000000000003</v>
      </c>
      <c r="CA101" s="423"/>
      <c r="CB101" s="418"/>
      <c r="CC101" s="418"/>
      <c r="CD101" s="418"/>
      <c r="CE101" s="418"/>
      <c r="CF101" s="527"/>
    </row>
    <row r="102" spans="1:84" ht="12.95" customHeight="1" x14ac:dyDescent="0.25">
      <c r="A102" s="326">
        <v>17</v>
      </c>
      <c r="B102" s="327">
        <v>5420</v>
      </c>
      <c r="C102" s="328">
        <v>600098745</v>
      </c>
      <c r="D102" s="327">
        <v>75016249</v>
      </c>
      <c r="E102" s="329" t="s">
        <v>383</v>
      </c>
      <c r="F102" s="293"/>
      <c r="G102" s="331"/>
      <c r="H102" s="294"/>
      <c r="I102" s="481">
        <f t="shared" ref="I102:BU102" si="357">SUM(I99:I101)</f>
        <v>3906142</v>
      </c>
      <c r="J102" s="477">
        <f t="shared" si="357"/>
        <v>2888994</v>
      </c>
      <c r="K102" s="477">
        <f t="shared" si="357"/>
        <v>2378175</v>
      </c>
      <c r="L102" s="477">
        <f t="shared" si="357"/>
        <v>510819</v>
      </c>
      <c r="M102" s="477">
        <f t="shared" si="357"/>
        <v>0</v>
      </c>
      <c r="N102" s="477">
        <f t="shared" si="357"/>
        <v>0</v>
      </c>
      <c r="O102" s="477">
        <f t="shared" si="357"/>
        <v>0</v>
      </c>
      <c r="P102" s="477">
        <f t="shared" si="357"/>
        <v>976480</v>
      </c>
      <c r="Q102" s="477">
        <f t="shared" si="357"/>
        <v>28890</v>
      </c>
      <c r="R102" s="477">
        <f t="shared" si="357"/>
        <v>11778</v>
      </c>
      <c r="S102" s="478">
        <f t="shared" si="357"/>
        <v>5.6778999999999993</v>
      </c>
      <c r="T102" s="478">
        <f t="shared" si="357"/>
        <v>4.0644999999999998</v>
      </c>
      <c r="U102" s="330">
        <f t="shared" si="357"/>
        <v>1.6133999999999999</v>
      </c>
      <c r="V102" s="483">
        <f t="shared" si="357"/>
        <v>0</v>
      </c>
      <c r="W102" s="477">
        <f t="shared" si="357"/>
        <v>0</v>
      </c>
      <c r="X102" s="477">
        <f t="shared" si="357"/>
        <v>278101</v>
      </c>
      <c r="Y102" s="477">
        <f t="shared" si="357"/>
        <v>0</v>
      </c>
      <c r="Z102" s="477">
        <f t="shared" si="357"/>
        <v>0</v>
      </c>
      <c r="AA102" s="477">
        <f t="shared" si="357"/>
        <v>0</v>
      </c>
      <c r="AB102" s="477">
        <f t="shared" si="357"/>
        <v>0</v>
      </c>
      <c r="AC102" s="477">
        <f t="shared" si="357"/>
        <v>0</v>
      </c>
      <c r="AD102" s="477">
        <f t="shared" si="357"/>
        <v>0</v>
      </c>
      <c r="AE102" s="477">
        <f t="shared" si="357"/>
        <v>0</v>
      </c>
      <c r="AF102" s="477">
        <f t="shared" si="357"/>
        <v>278101</v>
      </c>
      <c r="AG102" s="477">
        <f t="shared" si="357"/>
        <v>0</v>
      </c>
      <c r="AH102" s="477">
        <f t="shared" si="357"/>
        <v>278101</v>
      </c>
      <c r="AI102" s="477">
        <f t="shared" si="357"/>
        <v>0</v>
      </c>
      <c r="AJ102" s="477">
        <f t="shared" si="357"/>
        <v>0</v>
      </c>
      <c r="AK102" s="477">
        <f t="shared" ref="AK102" si="358">SUM(AK99:AK101)</f>
        <v>0</v>
      </c>
      <c r="AL102" s="477">
        <f t="shared" si="357"/>
        <v>0</v>
      </c>
      <c r="AM102" s="477">
        <f t="shared" si="357"/>
        <v>0</v>
      </c>
      <c r="AN102" s="477">
        <f t="shared" si="357"/>
        <v>0</v>
      </c>
      <c r="AO102" s="477">
        <f t="shared" si="357"/>
        <v>0</v>
      </c>
      <c r="AP102" s="477">
        <f t="shared" si="357"/>
        <v>0</v>
      </c>
      <c r="AQ102" s="477">
        <f t="shared" si="357"/>
        <v>0</v>
      </c>
      <c r="AR102" s="477">
        <f t="shared" si="357"/>
        <v>278101</v>
      </c>
      <c r="AS102" s="477">
        <f t="shared" si="357"/>
        <v>0</v>
      </c>
      <c r="AT102" s="477">
        <f t="shared" si="357"/>
        <v>278101</v>
      </c>
      <c r="AU102" s="477">
        <f t="shared" si="357"/>
        <v>93998</v>
      </c>
      <c r="AV102" s="477">
        <f t="shared" si="357"/>
        <v>2781</v>
      </c>
      <c r="AW102" s="477">
        <f t="shared" si="357"/>
        <v>0</v>
      </c>
      <c r="AX102" s="477">
        <f t="shared" si="357"/>
        <v>0</v>
      </c>
      <c r="AY102" s="477">
        <f t="shared" si="357"/>
        <v>0</v>
      </c>
      <c r="AZ102" s="477">
        <f t="shared" si="357"/>
        <v>374880</v>
      </c>
      <c r="BA102" s="478">
        <f t="shared" si="357"/>
        <v>0</v>
      </c>
      <c r="BB102" s="478">
        <f t="shared" si="357"/>
        <v>0</v>
      </c>
      <c r="BC102" s="478">
        <f t="shared" si="357"/>
        <v>0.75</v>
      </c>
      <c r="BD102" s="478">
        <f t="shared" si="357"/>
        <v>0</v>
      </c>
      <c r="BE102" s="478">
        <f t="shared" si="357"/>
        <v>0</v>
      </c>
      <c r="BF102" s="478">
        <f t="shared" si="357"/>
        <v>0</v>
      </c>
      <c r="BG102" s="478">
        <f t="shared" si="357"/>
        <v>0</v>
      </c>
      <c r="BH102" s="478">
        <f t="shared" si="357"/>
        <v>0</v>
      </c>
      <c r="BI102" s="478">
        <f t="shared" si="357"/>
        <v>0</v>
      </c>
      <c r="BJ102" s="478">
        <f t="shared" si="357"/>
        <v>0</v>
      </c>
      <c r="BK102" s="478">
        <f t="shared" si="357"/>
        <v>0.75</v>
      </c>
      <c r="BL102" s="478">
        <f t="shared" si="357"/>
        <v>0</v>
      </c>
      <c r="BM102" s="559">
        <f t="shared" si="357"/>
        <v>0.75</v>
      </c>
      <c r="BN102" s="481">
        <f t="shared" si="357"/>
        <v>4281022</v>
      </c>
      <c r="BO102" s="477">
        <f t="shared" si="357"/>
        <v>3167095</v>
      </c>
      <c r="BP102" s="477">
        <f t="shared" si="357"/>
        <v>2656276</v>
      </c>
      <c r="BQ102" s="477">
        <f t="shared" si="357"/>
        <v>510819</v>
      </c>
      <c r="BR102" s="477">
        <f t="shared" si="357"/>
        <v>0</v>
      </c>
      <c r="BS102" s="477">
        <f t="shared" si="357"/>
        <v>0</v>
      </c>
      <c r="BT102" s="477">
        <f t="shared" si="357"/>
        <v>0</v>
      </c>
      <c r="BU102" s="477">
        <f t="shared" si="357"/>
        <v>1070478</v>
      </c>
      <c r="BV102" s="477">
        <f t="shared" ref="BV102:CF102" si="359">SUM(BV99:BV101)</f>
        <v>31671</v>
      </c>
      <c r="BW102" s="477">
        <f t="shared" si="359"/>
        <v>11778</v>
      </c>
      <c r="BX102" s="478">
        <f t="shared" si="359"/>
        <v>6.4278999999999993</v>
      </c>
      <c r="BY102" s="478">
        <f t="shared" si="359"/>
        <v>4.8144999999999998</v>
      </c>
      <c r="BZ102" s="559">
        <f t="shared" si="359"/>
        <v>1.6133999999999999</v>
      </c>
      <c r="CA102" s="885">
        <f t="shared" si="359"/>
        <v>0</v>
      </c>
      <c r="CB102" s="883">
        <f t="shared" si="359"/>
        <v>0</v>
      </c>
      <c r="CC102" s="883">
        <f t="shared" si="359"/>
        <v>0</v>
      </c>
      <c r="CD102" s="883">
        <f t="shared" si="359"/>
        <v>0</v>
      </c>
      <c r="CE102" s="883">
        <f t="shared" si="359"/>
        <v>0</v>
      </c>
      <c r="CF102" s="845">
        <f t="shared" si="359"/>
        <v>0</v>
      </c>
    </row>
    <row r="103" spans="1:84" ht="12.95" customHeight="1" x14ac:dyDescent="0.25">
      <c r="A103" s="282">
        <v>18</v>
      </c>
      <c r="B103" s="323">
        <v>5419</v>
      </c>
      <c r="C103" s="324">
        <v>600099261</v>
      </c>
      <c r="D103" s="283">
        <v>70946752</v>
      </c>
      <c r="E103" s="325" t="s">
        <v>384</v>
      </c>
      <c r="F103" s="283">
        <v>3113</v>
      </c>
      <c r="G103" s="325" t="s">
        <v>309</v>
      </c>
      <c r="H103" s="286" t="s">
        <v>271</v>
      </c>
      <c r="I103" s="423">
        <f t="shared" ref="I103:I107" si="360">J103+P103+Q103+R103</f>
        <v>13065839</v>
      </c>
      <c r="J103" s="418">
        <f t="shared" si="276"/>
        <v>9585054</v>
      </c>
      <c r="K103" s="418">
        <v>8769082</v>
      </c>
      <c r="L103" s="418">
        <v>815972</v>
      </c>
      <c r="M103" s="418">
        <f t="shared" ref="M103:M107" si="361">N103+O103</f>
        <v>0</v>
      </c>
      <c r="N103" s="418">
        <v>0</v>
      </c>
      <c r="O103" s="418">
        <v>0</v>
      </c>
      <c r="P103" s="68">
        <f t="shared" ref="P103:P107" si="362">ROUND((J103+M103)*33.8%,0)</f>
        <v>3239748</v>
      </c>
      <c r="Q103" s="68">
        <f>ROUND(J103*1%,0)-1</f>
        <v>95850</v>
      </c>
      <c r="R103" s="418">
        <v>145187</v>
      </c>
      <c r="S103" s="419">
        <f>T103+U103</f>
        <v>16.201999999999998</v>
      </c>
      <c r="T103" s="420">
        <v>13.975</v>
      </c>
      <c r="U103" s="527">
        <v>2.2270000000000003</v>
      </c>
      <c r="V103" s="427">
        <f t="shared" ref="V103:W107" si="363">AI103*-1</f>
        <v>-16000</v>
      </c>
      <c r="W103" s="421">
        <f t="shared" si="363"/>
        <v>-9600</v>
      </c>
      <c r="X103" s="421">
        <v>0</v>
      </c>
      <c r="Y103" s="421">
        <v>0</v>
      </c>
      <c r="Z103" s="421">
        <v>0</v>
      </c>
      <c r="AA103" s="421">
        <v>0</v>
      </c>
      <c r="AB103" s="421">
        <v>225600</v>
      </c>
      <c r="AC103" s="421">
        <v>0</v>
      </c>
      <c r="AD103" s="421">
        <v>0</v>
      </c>
      <c r="AE103" s="421">
        <v>0</v>
      </c>
      <c r="AF103" s="421">
        <f>V103+X103+Y103+AA103+AB103+AD103</f>
        <v>209600</v>
      </c>
      <c r="AG103" s="421">
        <f>W103+Z103+AC103+AE103</f>
        <v>-9600</v>
      </c>
      <c r="AH103" s="421">
        <f>SUM(AF103:AG103)</f>
        <v>200000</v>
      </c>
      <c r="AI103" s="421">
        <f>3200+12800</f>
        <v>16000</v>
      </c>
      <c r="AJ103" s="421">
        <f>6400+3200</f>
        <v>9600</v>
      </c>
      <c r="AK103" s="421">
        <v>0</v>
      </c>
      <c r="AL103" s="421">
        <v>0</v>
      </c>
      <c r="AM103" s="421">
        <v>0</v>
      </c>
      <c r="AN103" s="421">
        <v>0</v>
      </c>
      <c r="AO103" s="421">
        <f t="shared" ref="AO103:AO107" si="364">AI103+AK103+AL103+AM103</f>
        <v>16000</v>
      </c>
      <c r="AP103" s="421">
        <f>AJ103+AN103</f>
        <v>9600</v>
      </c>
      <c r="AQ103" s="421">
        <f>SUM(AO103:AP103)</f>
        <v>25600</v>
      </c>
      <c r="AR103" s="421">
        <f t="shared" ref="AR103:AS107" si="365">AF103+AO103</f>
        <v>225600</v>
      </c>
      <c r="AS103" s="421">
        <f t="shared" si="365"/>
        <v>0</v>
      </c>
      <c r="AT103" s="421">
        <f>SUM(AR103:AS103)</f>
        <v>225600</v>
      </c>
      <c r="AU103" s="68">
        <f t="shared" ref="AU103:AU107" si="366">ROUND((AH103+AI103+AJ103+AK103+AL103)*33.8%,0)</f>
        <v>76253</v>
      </c>
      <c r="AV103" s="68">
        <f>ROUND(AH103*1%,0)</f>
        <v>2000</v>
      </c>
      <c r="AW103" s="421">
        <v>0</v>
      </c>
      <c r="AX103" s="421">
        <v>0</v>
      </c>
      <c r="AY103" s="421">
        <f>AW103+AX103</f>
        <v>0</v>
      </c>
      <c r="AZ103" s="421">
        <f>AT103+AU103+AV103+AY103</f>
        <v>303853</v>
      </c>
      <c r="BA103" s="422">
        <v>-0.02</v>
      </c>
      <c r="BB103" s="422">
        <v>-0.01</v>
      </c>
      <c r="BC103" s="422">
        <v>0</v>
      </c>
      <c r="BD103" s="422">
        <v>0.4</v>
      </c>
      <c r="BE103" s="422">
        <v>0</v>
      </c>
      <c r="BF103" s="422">
        <v>0</v>
      </c>
      <c r="BG103" s="422">
        <v>0</v>
      </c>
      <c r="BH103" s="422">
        <v>0</v>
      </c>
      <c r="BI103" s="422">
        <v>0</v>
      </c>
      <c r="BJ103" s="422">
        <v>0</v>
      </c>
      <c r="BK103" s="422">
        <f>BA103+BC103+BD103+BF103+BH103+BI103</f>
        <v>0.38</v>
      </c>
      <c r="BL103" s="422">
        <f>BB103+BE103+BG103+BJ103</f>
        <v>-0.01</v>
      </c>
      <c r="BM103" s="611">
        <f>SUM(BK103:BL103)</f>
        <v>0.37</v>
      </c>
      <c r="BN103" s="428">
        <f>I103+AZ103</f>
        <v>13369692</v>
      </c>
      <c r="BO103" s="421">
        <f>J103+AH103</f>
        <v>9785054</v>
      </c>
      <c r="BP103" s="421">
        <f t="shared" ref="BP103:BQ107" si="367">K103+AF103</f>
        <v>8978682</v>
      </c>
      <c r="BQ103" s="421">
        <f t="shared" si="367"/>
        <v>806372</v>
      </c>
      <c r="BR103" s="421">
        <f>M103+AQ103</f>
        <v>25600</v>
      </c>
      <c r="BS103" s="421">
        <f t="shared" ref="BS103:BT107" si="368">N103+AO103</f>
        <v>16000</v>
      </c>
      <c r="BT103" s="421">
        <f t="shared" si="368"/>
        <v>9600</v>
      </c>
      <c r="BU103" s="421">
        <f t="shared" ref="BU103:BV107" si="369">P103+AU103</f>
        <v>3316001</v>
      </c>
      <c r="BV103" s="421">
        <f t="shared" si="369"/>
        <v>97850</v>
      </c>
      <c r="BW103" s="421">
        <f>R103+AY103</f>
        <v>145187</v>
      </c>
      <c r="BX103" s="422">
        <f>S103+BM103</f>
        <v>16.571999999999999</v>
      </c>
      <c r="BY103" s="422">
        <f t="shared" ref="BY103:BZ107" si="370">T103+BK103</f>
        <v>14.355</v>
      </c>
      <c r="BZ103" s="611">
        <f t="shared" si="370"/>
        <v>2.2170000000000005</v>
      </c>
      <c r="CA103" s="423">
        <v>304109</v>
      </c>
      <c r="CB103" s="418">
        <v>225600</v>
      </c>
      <c r="CC103" s="418">
        <v>0</v>
      </c>
      <c r="CD103" s="418">
        <v>76253</v>
      </c>
      <c r="CE103" s="418">
        <v>2256</v>
      </c>
      <c r="CF103" s="527">
        <v>0.4</v>
      </c>
    </row>
    <row r="104" spans="1:84" ht="12.95" customHeight="1" x14ac:dyDescent="0.25">
      <c r="A104" s="282">
        <v>18</v>
      </c>
      <c r="B104" s="323">
        <v>5419</v>
      </c>
      <c r="C104" s="324">
        <v>600099261</v>
      </c>
      <c r="D104" s="283">
        <v>70946752</v>
      </c>
      <c r="E104" s="325" t="s">
        <v>384</v>
      </c>
      <c r="F104" s="283">
        <v>3113</v>
      </c>
      <c r="G104" s="325" t="s">
        <v>299</v>
      </c>
      <c r="H104" s="286" t="s">
        <v>272</v>
      </c>
      <c r="I104" s="423">
        <f t="shared" si="360"/>
        <v>0</v>
      </c>
      <c r="J104" s="418">
        <f t="shared" si="276"/>
        <v>0</v>
      </c>
      <c r="K104" s="418">
        <v>0</v>
      </c>
      <c r="L104" s="418">
        <v>0</v>
      </c>
      <c r="M104" s="418">
        <f>N104+O104</f>
        <v>0</v>
      </c>
      <c r="N104" s="418">
        <v>0</v>
      </c>
      <c r="O104" s="418">
        <v>0</v>
      </c>
      <c r="P104" s="68">
        <f t="shared" si="362"/>
        <v>0</v>
      </c>
      <c r="Q104" s="68">
        <f t="shared" ref="Q104:Q107" si="371">ROUND(J104*1%,0)</f>
        <v>0</v>
      </c>
      <c r="R104" s="418">
        <v>0</v>
      </c>
      <c r="S104" s="419">
        <f>T104+U104</f>
        <v>0</v>
      </c>
      <c r="T104" s="420">
        <v>0</v>
      </c>
      <c r="U104" s="527">
        <v>0</v>
      </c>
      <c r="V104" s="427">
        <f t="shared" si="363"/>
        <v>0</v>
      </c>
      <c r="W104" s="421">
        <f t="shared" si="363"/>
        <v>0</v>
      </c>
      <c r="X104" s="421">
        <v>793107</v>
      </c>
      <c r="Y104" s="421">
        <v>0</v>
      </c>
      <c r="Z104" s="421">
        <v>0</v>
      </c>
      <c r="AA104" s="421">
        <v>0</v>
      </c>
      <c r="AB104" s="421">
        <v>0</v>
      </c>
      <c r="AC104" s="421">
        <v>0</v>
      </c>
      <c r="AD104" s="421">
        <v>0</v>
      </c>
      <c r="AE104" s="421">
        <v>0</v>
      </c>
      <c r="AF104" s="421">
        <f>V104+X104+Y104+AA104+AB104+AD104</f>
        <v>793107</v>
      </c>
      <c r="AG104" s="421">
        <f>W104+Z104+AC104+AE104</f>
        <v>0</v>
      </c>
      <c r="AH104" s="421">
        <f>SUM(AF104:AG104)</f>
        <v>793107</v>
      </c>
      <c r="AI104" s="421">
        <v>0</v>
      </c>
      <c r="AJ104" s="421">
        <v>0</v>
      </c>
      <c r="AK104" s="421">
        <v>0</v>
      </c>
      <c r="AL104" s="421">
        <v>0</v>
      </c>
      <c r="AM104" s="421">
        <v>0</v>
      </c>
      <c r="AN104" s="421">
        <v>0</v>
      </c>
      <c r="AO104" s="421">
        <f t="shared" si="364"/>
        <v>0</v>
      </c>
      <c r="AP104" s="421">
        <f>AJ104+AN104</f>
        <v>0</v>
      </c>
      <c r="AQ104" s="421">
        <f>SUM(AO104:AP104)</f>
        <v>0</v>
      </c>
      <c r="AR104" s="421">
        <f t="shared" si="365"/>
        <v>793107</v>
      </c>
      <c r="AS104" s="421">
        <f t="shared" si="365"/>
        <v>0</v>
      </c>
      <c r="AT104" s="421">
        <f>SUM(AR104:AS104)</f>
        <v>793107</v>
      </c>
      <c r="AU104" s="68">
        <f t="shared" si="366"/>
        <v>268070</v>
      </c>
      <c r="AV104" s="68">
        <f>ROUND(AH104*1%,0)</f>
        <v>7931</v>
      </c>
      <c r="AW104" s="421">
        <v>700</v>
      </c>
      <c r="AX104" s="421">
        <v>0</v>
      </c>
      <c r="AY104" s="421">
        <f>AW104+AX104</f>
        <v>700</v>
      </c>
      <c r="AZ104" s="421">
        <f>AT104+AU104+AV104+AY104</f>
        <v>1069808</v>
      </c>
      <c r="BA104" s="422">
        <v>0</v>
      </c>
      <c r="BB104" s="422">
        <v>0</v>
      </c>
      <c r="BC104" s="422">
        <v>2.14</v>
      </c>
      <c r="BD104" s="422">
        <v>0</v>
      </c>
      <c r="BE104" s="422">
        <v>0</v>
      </c>
      <c r="BF104" s="422">
        <v>0</v>
      </c>
      <c r="BG104" s="422">
        <v>0</v>
      </c>
      <c r="BH104" s="422">
        <v>0</v>
      </c>
      <c r="BI104" s="422">
        <v>0</v>
      </c>
      <c r="BJ104" s="422">
        <v>0</v>
      </c>
      <c r="BK104" s="422">
        <f>BA104+BC104+BD104+BF104+BH104+BI104</f>
        <v>2.14</v>
      </c>
      <c r="BL104" s="422">
        <f>BB104+BE104+BG104+BJ104</f>
        <v>0</v>
      </c>
      <c r="BM104" s="611">
        <f>SUM(BK104:BL104)</f>
        <v>2.14</v>
      </c>
      <c r="BN104" s="428">
        <f>I104+AZ104</f>
        <v>1069808</v>
      </c>
      <c r="BO104" s="421">
        <f>J104+AH104</f>
        <v>793107</v>
      </c>
      <c r="BP104" s="421">
        <f t="shared" si="367"/>
        <v>793107</v>
      </c>
      <c r="BQ104" s="421">
        <f t="shared" si="367"/>
        <v>0</v>
      </c>
      <c r="BR104" s="421">
        <f>M104+AQ104</f>
        <v>0</v>
      </c>
      <c r="BS104" s="421">
        <f t="shared" si="368"/>
        <v>0</v>
      </c>
      <c r="BT104" s="421">
        <f t="shared" si="368"/>
        <v>0</v>
      </c>
      <c r="BU104" s="421">
        <f t="shared" si="369"/>
        <v>268070</v>
      </c>
      <c r="BV104" s="421">
        <f t="shared" si="369"/>
        <v>7931</v>
      </c>
      <c r="BW104" s="421">
        <f>R104+AY104</f>
        <v>700</v>
      </c>
      <c r="BX104" s="422">
        <f>S104+BM104</f>
        <v>2.14</v>
      </c>
      <c r="BY104" s="422">
        <f t="shared" si="370"/>
        <v>2.14</v>
      </c>
      <c r="BZ104" s="611">
        <f t="shared" si="370"/>
        <v>0</v>
      </c>
      <c r="CA104" s="423"/>
      <c r="CB104" s="418"/>
      <c r="CC104" s="418"/>
      <c r="CD104" s="418"/>
      <c r="CE104" s="418"/>
      <c r="CF104" s="527"/>
    </row>
    <row r="105" spans="1:84" ht="12.95" customHeight="1" x14ac:dyDescent="0.25">
      <c r="A105" s="282">
        <v>18</v>
      </c>
      <c r="B105" s="323">
        <v>5419</v>
      </c>
      <c r="C105" s="324">
        <v>600099261</v>
      </c>
      <c r="D105" s="283">
        <v>70946752</v>
      </c>
      <c r="E105" s="325" t="s">
        <v>384</v>
      </c>
      <c r="F105" s="283">
        <v>3141</v>
      </c>
      <c r="G105" s="325" t="s">
        <v>295</v>
      </c>
      <c r="H105" s="286" t="s">
        <v>272</v>
      </c>
      <c r="I105" s="423">
        <f t="shared" si="360"/>
        <v>835574</v>
      </c>
      <c r="J105" s="418">
        <f t="shared" si="276"/>
        <v>615838</v>
      </c>
      <c r="K105" s="418">
        <v>0</v>
      </c>
      <c r="L105" s="418">
        <v>615838</v>
      </c>
      <c r="M105" s="418">
        <f t="shared" si="361"/>
        <v>0</v>
      </c>
      <c r="N105" s="418">
        <v>0</v>
      </c>
      <c r="O105" s="418">
        <v>0</v>
      </c>
      <c r="P105" s="68">
        <f t="shared" si="362"/>
        <v>208153</v>
      </c>
      <c r="Q105" s="68">
        <f t="shared" si="371"/>
        <v>6158</v>
      </c>
      <c r="R105" s="418">
        <v>5425</v>
      </c>
      <c r="S105" s="419">
        <f>T105+U105</f>
        <v>1.8467</v>
      </c>
      <c r="T105" s="420">
        <v>0</v>
      </c>
      <c r="U105" s="527">
        <v>1.8467</v>
      </c>
      <c r="V105" s="427">
        <f t="shared" si="363"/>
        <v>0</v>
      </c>
      <c r="W105" s="421">
        <f t="shared" si="363"/>
        <v>-3200</v>
      </c>
      <c r="X105" s="421">
        <v>0</v>
      </c>
      <c r="Y105" s="421">
        <v>0</v>
      </c>
      <c r="Z105" s="421">
        <v>0</v>
      </c>
      <c r="AA105" s="421">
        <v>0</v>
      </c>
      <c r="AB105" s="421">
        <v>0</v>
      </c>
      <c r="AC105" s="421">
        <v>0</v>
      </c>
      <c r="AD105" s="421">
        <v>0</v>
      </c>
      <c r="AE105" s="421">
        <v>0</v>
      </c>
      <c r="AF105" s="421">
        <f>V105+X105+Y105+AA105+AB105+AD105</f>
        <v>0</v>
      </c>
      <c r="AG105" s="421">
        <f>W105+Z105+AC105+AE105</f>
        <v>-3200</v>
      </c>
      <c r="AH105" s="421">
        <f>SUM(AF105:AG105)</f>
        <v>-3200</v>
      </c>
      <c r="AI105" s="421">
        <v>0</v>
      </c>
      <c r="AJ105" s="421">
        <v>3200</v>
      </c>
      <c r="AK105" s="421">
        <v>0</v>
      </c>
      <c r="AL105" s="421">
        <v>0</v>
      </c>
      <c r="AM105" s="421">
        <v>0</v>
      </c>
      <c r="AN105" s="421">
        <v>0</v>
      </c>
      <c r="AO105" s="421">
        <f t="shared" si="364"/>
        <v>0</v>
      </c>
      <c r="AP105" s="421">
        <f>AJ105+AN105</f>
        <v>3200</v>
      </c>
      <c r="AQ105" s="421">
        <f>SUM(AO105:AP105)</f>
        <v>3200</v>
      </c>
      <c r="AR105" s="421">
        <f t="shared" si="365"/>
        <v>0</v>
      </c>
      <c r="AS105" s="421">
        <f t="shared" si="365"/>
        <v>0</v>
      </c>
      <c r="AT105" s="421">
        <f>SUM(AR105:AS105)</f>
        <v>0</v>
      </c>
      <c r="AU105" s="68">
        <f t="shared" si="366"/>
        <v>0</v>
      </c>
      <c r="AV105" s="68">
        <f>ROUND(AH105*1%,0)</f>
        <v>-32</v>
      </c>
      <c r="AW105" s="421">
        <v>0</v>
      </c>
      <c r="AX105" s="421">
        <v>0</v>
      </c>
      <c r="AY105" s="421">
        <f>AW105+AX105</f>
        <v>0</v>
      </c>
      <c r="AZ105" s="421">
        <f>AT105+AU105+AV105+AY105</f>
        <v>-32</v>
      </c>
      <c r="BA105" s="422">
        <v>0</v>
      </c>
      <c r="BB105" s="422">
        <v>0</v>
      </c>
      <c r="BC105" s="422">
        <v>0</v>
      </c>
      <c r="BD105" s="422">
        <v>0</v>
      </c>
      <c r="BE105" s="422">
        <v>0</v>
      </c>
      <c r="BF105" s="422">
        <v>0</v>
      </c>
      <c r="BG105" s="422">
        <v>0</v>
      </c>
      <c r="BH105" s="422">
        <v>0</v>
      </c>
      <c r="BI105" s="422">
        <v>0</v>
      </c>
      <c r="BJ105" s="422">
        <v>0</v>
      </c>
      <c r="BK105" s="422">
        <f>BA105+BC105+BD105+BF105+BH105+BI105</f>
        <v>0</v>
      </c>
      <c r="BL105" s="422">
        <f>BB105+BE105+BG105+BJ105</f>
        <v>0</v>
      </c>
      <c r="BM105" s="611">
        <f>SUM(BK105:BL105)</f>
        <v>0</v>
      </c>
      <c r="BN105" s="428">
        <f>I105+AZ105</f>
        <v>835542</v>
      </c>
      <c r="BO105" s="421">
        <f>J105+AH105</f>
        <v>612638</v>
      </c>
      <c r="BP105" s="421">
        <f t="shared" si="367"/>
        <v>0</v>
      </c>
      <c r="BQ105" s="421">
        <f t="shared" si="367"/>
        <v>612638</v>
      </c>
      <c r="BR105" s="421">
        <f>M105+AQ105</f>
        <v>3200</v>
      </c>
      <c r="BS105" s="421">
        <f t="shared" si="368"/>
        <v>0</v>
      </c>
      <c r="BT105" s="421">
        <f t="shared" si="368"/>
        <v>3200</v>
      </c>
      <c r="BU105" s="421">
        <f t="shared" si="369"/>
        <v>208153</v>
      </c>
      <c r="BV105" s="421">
        <f t="shared" si="369"/>
        <v>6126</v>
      </c>
      <c r="BW105" s="421">
        <f>R105+AY105</f>
        <v>5425</v>
      </c>
      <c r="BX105" s="422">
        <f>S105+BM105</f>
        <v>1.8467</v>
      </c>
      <c r="BY105" s="422">
        <f t="shared" si="370"/>
        <v>0</v>
      </c>
      <c r="BZ105" s="611">
        <f t="shared" si="370"/>
        <v>1.8467</v>
      </c>
      <c r="CA105" s="423"/>
      <c r="CB105" s="418"/>
      <c r="CC105" s="418"/>
      <c r="CD105" s="418"/>
      <c r="CE105" s="418"/>
      <c r="CF105" s="527"/>
    </row>
    <row r="106" spans="1:84" ht="12.95" customHeight="1" x14ac:dyDescent="0.25">
      <c r="A106" s="282">
        <v>18</v>
      </c>
      <c r="B106" s="323">
        <v>5419</v>
      </c>
      <c r="C106" s="324">
        <v>600099261</v>
      </c>
      <c r="D106" s="283">
        <v>70946752</v>
      </c>
      <c r="E106" s="325" t="s">
        <v>384</v>
      </c>
      <c r="F106" s="283">
        <v>3143</v>
      </c>
      <c r="G106" s="325" t="s">
        <v>596</v>
      </c>
      <c r="H106" s="286" t="s">
        <v>271</v>
      </c>
      <c r="I106" s="423">
        <f t="shared" si="360"/>
        <v>638538</v>
      </c>
      <c r="J106" s="418">
        <f t="shared" si="276"/>
        <v>473693</v>
      </c>
      <c r="K106" s="418">
        <v>473693</v>
      </c>
      <c r="L106" s="418">
        <v>0</v>
      </c>
      <c r="M106" s="418">
        <f t="shared" si="361"/>
        <v>0</v>
      </c>
      <c r="N106" s="418">
        <v>0</v>
      </c>
      <c r="O106" s="418">
        <v>0</v>
      </c>
      <c r="P106" s="68">
        <f t="shared" si="362"/>
        <v>160108</v>
      </c>
      <c r="Q106" s="68">
        <f t="shared" si="371"/>
        <v>4737</v>
      </c>
      <c r="R106" s="418">
        <v>0</v>
      </c>
      <c r="S106" s="419">
        <f>T106+U106</f>
        <v>0.91669999999999996</v>
      </c>
      <c r="T106" s="420">
        <v>0.91669999999999996</v>
      </c>
      <c r="U106" s="527">
        <v>0</v>
      </c>
      <c r="V106" s="427">
        <f t="shared" si="363"/>
        <v>-3200</v>
      </c>
      <c r="W106" s="421">
        <f t="shared" si="363"/>
        <v>0</v>
      </c>
      <c r="X106" s="421">
        <v>0</v>
      </c>
      <c r="Y106" s="421">
        <v>0</v>
      </c>
      <c r="Z106" s="421">
        <v>0</v>
      </c>
      <c r="AA106" s="421">
        <v>0</v>
      </c>
      <c r="AB106" s="421">
        <v>0</v>
      </c>
      <c r="AC106" s="421">
        <v>0</v>
      </c>
      <c r="AD106" s="421">
        <v>0</v>
      </c>
      <c r="AE106" s="421">
        <v>0</v>
      </c>
      <c r="AF106" s="421">
        <f>V106+X106+Y106+AA106+AB106+AD106</f>
        <v>-3200</v>
      </c>
      <c r="AG106" s="421">
        <f>W106+Z106+AC106+AE106</f>
        <v>0</v>
      </c>
      <c r="AH106" s="421">
        <f>SUM(AF106:AG106)</f>
        <v>-3200</v>
      </c>
      <c r="AI106" s="421">
        <v>3200</v>
      </c>
      <c r="AJ106" s="421">
        <v>0</v>
      </c>
      <c r="AK106" s="421">
        <v>0</v>
      </c>
      <c r="AL106" s="421">
        <v>0</v>
      </c>
      <c r="AM106" s="421">
        <v>0</v>
      </c>
      <c r="AN106" s="421">
        <v>0</v>
      </c>
      <c r="AO106" s="421">
        <f t="shared" si="364"/>
        <v>3200</v>
      </c>
      <c r="AP106" s="421">
        <f>AJ106+AN106</f>
        <v>0</v>
      </c>
      <c r="AQ106" s="421">
        <f>SUM(AO106:AP106)</f>
        <v>3200</v>
      </c>
      <c r="AR106" s="421">
        <f t="shared" si="365"/>
        <v>0</v>
      </c>
      <c r="AS106" s="421">
        <f t="shared" si="365"/>
        <v>0</v>
      </c>
      <c r="AT106" s="421">
        <f>SUM(AR106:AS106)</f>
        <v>0</v>
      </c>
      <c r="AU106" s="68">
        <f t="shared" si="366"/>
        <v>0</v>
      </c>
      <c r="AV106" s="68">
        <f>ROUND(AH106*1%,0)</f>
        <v>-32</v>
      </c>
      <c r="AW106" s="421">
        <v>0</v>
      </c>
      <c r="AX106" s="421">
        <v>0</v>
      </c>
      <c r="AY106" s="421">
        <f>AW106+AX106</f>
        <v>0</v>
      </c>
      <c r="AZ106" s="421">
        <f>AT106+AU106+AV106+AY106</f>
        <v>-32</v>
      </c>
      <c r="BA106" s="422">
        <v>0</v>
      </c>
      <c r="BB106" s="422">
        <v>0</v>
      </c>
      <c r="BC106" s="422">
        <v>0</v>
      </c>
      <c r="BD106" s="422">
        <v>0</v>
      </c>
      <c r="BE106" s="422">
        <v>0</v>
      </c>
      <c r="BF106" s="422">
        <v>0</v>
      </c>
      <c r="BG106" s="422">
        <v>0</v>
      </c>
      <c r="BH106" s="422">
        <v>0</v>
      </c>
      <c r="BI106" s="422">
        <v>0</v>
      </c>
      <c r="BJ106" s="422">
        <v>0</v>
      </c>
      <c r="BK106" s="422">
        <f>BA106+BC106+BD106+BF106+BH106+BI106</f>
        <v>0</v>
      </c>
      <c r="BL106" s="422">
        <f>BB106+BE106+BG106+BJ106</f>
        <v>0</v>
      </c>
      <c r="BM106" s="611">
        <f>SUM(BK106:BL106)</f>
        <v>0</v>
      </c>
      <c r="BN106" s="428">
        <f>I106+AZ106</f>
        <v>638506</v>
      </c>
      <c r="BO106" s="421">
        <f>J106+AH106</f>
        <v>470493</v>
      </c>
      <c r="BP106" s="421">
        <f t="shared" si="367"/>
        <v>470493</v>
      </c>
      <c r="BQ106" s="421">
        <f t="shared" si="367"/>
        <v>0</v>
      </c>
      <c r="BR106" s="421">
        <f>M106+AQ106</f>
        <v>3200</v>
      </c>
      <c r="BS106" s="421">
        <f t="shared" si="368"/>
        <v>3200</v>
      </c>
      <c r="BT106" s="421">
        <f t="shared" si="368"/>
        <v>0</v>
      </c>
      <c r="BU106" s="421">
        <f t="shared" si="369"/>
        <v>160108</v>
      </c>
      <c r="BV106" s="421">
        <f t="shared" si="369"/>
        <v>4705</v>
      </c>
      <c r="BW106" s="421">
        <f>R106+AY106</f>
        <v>0</v>
      </c>
      <c r="BX106" s="422">
        <f>S106+BM106</f>
        <v>0.91669999999999996</v>
      </c>
      <c r="BY106" s="422">
        <f t="shared" si="370"/>
        <v>0.91669999999999996</v>
      </c>
      <c r="BZ106" s="611">
        <f t="shared" si="370"/>
        <v>0</v>
      </c>
      <c r="CA106" s="423"/>
      <c r="CB106" s="418"/>
      <c r="CC106" s="418"/>
      <c r="CD106" s="418"/>
      <c r="CE106" s="418"/>
      <c r="CF106" s="527"/>
    </row>
    <row r="107" spans="1:84" ht="12.95" customHeight="1" x14ac:dyDescent="0.25">
      <c r="A107" s="282">
        <v>18</v>
      </c>
      <c r="B107" s="323">
        <v>5419</v>
      </c>
      <c r="C107" s="324">
        <v>600099261</v>
      </c>
      <c r="D107" s="283">
        <v>70946752</v>
      </c>
      <c r="E107" s="325" t="s">
        <v>384</v>
      </c>
      <c r="F107" s="283">
        <v>3143</v>
      </c>
      <c r="G107" s="325" t="s">
        <v>597</v>
      </c>
      <c r="H107" s="286" t="s">
        <v>272</v>
      </c>
      <c r="I107" s="423">
        <f t="shared" si="360"/>
        <v>15380</v>
      </c>
      <c r="J107" s="418">
        <f t="shared" si="276"/>
        <v>11009</v>
      </c>
      <c r="K107" s="418">
        <v>0</v>
      </c>
      <c r="L107" s="418">
        <v>11009</v>
      </c>
      <c r="M107" s="418">
        <f t="shared" si="361"/>
        <v>0</v>
      </c>
      <c r="N107" s="418">
        <v>0</v>
      </c>
      <c r="O107" s="418">
        <v>0</v>
      </c>
      <c r="P107" s="68">
        <f t="shared" si="362"/>
        <v>3721</v>
      </c>
      <c r="Q107" s="68">
        <f t="shared" si="371"/>
        <v>110</v>
      </c>
      <c r="R107" s="418">
        <v>540</v>
      </c>
      <c r="S107" s="419">
        <f>T107+U107</f>
        <v>4.1700000000000001E-2</v>
      </c>
      <c r="T107" s="420">
        <v>0</v>
      </c>
      <c r="U107" s="527">
        <v>4.1700000000000001E-2</v>
      </c>
      <c r="V107" s="427">
        <f t="shared" si="363"/>
        <v>0</v>
      </c>
      <c r="W107" s="421">
        <f t="shared" si="363"/>
        <v>0</v>
      </c>
      <c r="X107" s="421">
        <v>0</v>
      </c>
      <c r="Y107" s="421">
        <v>0</v>
      </c>
      <c r="Z107" s="421">
        <v>0</v>
      </c>
      <c r="AA107" s="421">
        <v>0</v>
      </c>
      <c r="AB107" s="421">
        <v>0</v>
      </c>
      <c r="AC107" s="421">
        <v>0</v>
      </c>
      <c r="AD107" s="421">
        <v>0</v>
      </c>
      <c r="AE107" s="421">
        <v>0</v>
      </c>
      <c r="AF107" s="421">
        <f>V107+X107+Y107+AA107+AB107+AD107</f>
        <v>0</v>
      </c>
      <c r="AG107" s="421">
        <f>W107+Z107+AC107+AE107</f>
        <v>0</v>
      </c>
      <c r="AH107" s="421">
        <f>SUM(AF107:AG107)</f>
        <v>0</v>
      </c>
      <c r="AI107" s="421">
        <v>0</v>
      </c>
      <c r="AJ107" s="421">
        <v>0</v>
      </c>
      <c r="AK107" s="421">
        <v>0</v>
      </c>
      <c r="AL107" s="421">
        <v>0</v>
      </c>
      <c r="AM107" s="421">
        <v>0</v>
      </c>
      <c r="AN107" s="421">
        <v>0</v>
      </c>
      <c r="AO107" s="421">
        <f t="shared" si="364"/>
        <v>0</v>
      </c>
      <c r="AP107" s="421">
        <f>AJ107+AN107</f>
        <v>0</v>
      </c>
      <c r="AQ107" s="421">
        <f>SUM(AO107:AP107)</f>
        <v>0</v>
      </c>
      <c r="AR107" s="421">
        <f t="shared" si="365"/>
        <v>0</v>
      </c>
      <c r="AS107" s="421">
        <f t="shared" si="365"/>
        <v>0</v>
      </c>
      <c r="AT107" s="421">
        <f>SUM(AR107:AS107)</f>
        <v>0</v>
      </c>
      <c r="AU107" s="68">
        <f t="shared" si="366"/>
        <v>0</v>
      </c>
      <c r="AV107" s="68">
        <f>ROUND(AH107*1%,0)</f>
        <v>0</v>
      </c>
      <c r="AW107" s="421">
        <v>0</v>
      </c>
      <c r="AX107" s="421">
        <v>0</v>
      </c>
      <c r="AY107" s="421">
        <f>AW107+AX107</f>
        <v>0</v>
      </c>
      <c r="AZ107" s="421">
        <f>AT107+AU107+AV107+AY107</f>
        <v>0</v>
      </c>
      <c r="BA107" s="422">
        <v>0</v>
      </c>
      <c r="BB107" s="422">
        <v>0</v>
      </c>
      <c r="BC107" s="422">
        <v>0</v>
      </c>
      <c r="BD107" s="422">
        <v>0</v>
      </c>
      <c r="BE107" s="422">
        <v>0</v>
      </c>
      <c r="BF107" s="422">
        <v>0</v>
      </c>
      <c r="BG107" s="422">
        <v>0</v>
      </c>
      <c r="BH107" s="422">
        <v>0</v>
      </c>
      <c r="BI107" s="422">
        <v>0</v>
      </c>
      <c r="BJ107" s="422">
        <v>0</v>
      </c>
      <c r="BK107" s="422">
        <f>BA107+BC107+BD107+BF107+BH107+BI107</f>
        <v>0</v>
      </c>
      <c r="BL107" s="422">
        <f>BB107+BE107+BG107+BJ107</f>
        <v>0</v>
      </c>
      <c r="BM107" s="611">
        <f>SUM(BK107:BL107)</f>
        <v>0</v>
      </c>
      <c r="BN107" s="428">
        <f>I107+AZ107</f>
        <v>15380</v>
      </c>
      <c r="BO107" s="421">
        <f>J107+AH107</f>
        <v>11009</v>
      </c>
      <c r="BP107" s="421">
        <f t="shared" si="367"/>
        <v>0</v>
      </c>
      <c r="BQ107" s="421">
        <f t="shared" si="367"/>
        <v>11009</v>
      </c>
      <c r="BR107" s="421">
        <f>M107+AQ107</f>
        <v>0</v>
      </c>
      <c r="BS107" s="421">
        <f t="shared" si="368"/>
        <v>0</v>
      </c>
      <c r="BT107" s="421">
        <f t="shared" si="368"/>
        <v>0</v>
      </c>
      <c r="BU107" s="421">
        <f t="shared" si="369"/>
        <v>3721</v>
      </c>
      <c r="BV107" s="421">
        <f t="shared" si="369"/>
        <v>110</v>
      </c>
      <c r="BW107" s="421">
        <f>R107+AY107</f>
        <v>540</v>
      </c>
      <c r="BX107" s="422">
        <f>S107+BM107</f>
        <v>4.1700000000000001E-2</v>
      </c>
      <c r="BY107" s="422">
        <f t="shared" si="370"/>
        <v>0</v>
      </c>
      <c r="BZ107" s="611">
        <f t="shared" si="370"/>
        <v>4.1700000000000001E-2</v>
      </c>
      <c r="CA107" s="423"/>
      <c r="CB107" s="418"/>
      <c r="CC107" s="418"/>
      <c r="CD107" s="418"/>
      <c r="CE107" s="418"/>
      <c r="CF107" s="527"/>
    </row>
    <row r="108" spans="1:84" ht="12.95" customHeight="1" x14ac:dyDescent="0.25">
      <c r="A108" s="326">
        <v>18</v>
      </c>
      <c r="B108" s="327">
        <v>5419</v>
      </c>
      <c r="C108" s="328">
        <v>600099261</v>
      </c>
      <c r="D108" s="327">
        <v>70946752</v>
      </c>
      <c r="E108" s="329" t="s">
        <v>385</v>
      </c>
      <c r="F108" s="293"/>
      <c r="G108" s="331"/>
      <c r="H108" s="294"/>
      <c r="I108" s="482">
        <f t="shared" ref="I108:BU108" si="372">SUM(I103:I107)</f>
        <v>14555331</v>
      </c>
      <c r="J108" s="479">
        <f t="shared" si="372"/>
        <v>10685594</v>
      </c>
      <c r="K108" s="479">
        <f t="shared" si="372"/>
        <v>9242775</v>
      </c>
      <c r="L108" s="479">
        <f t="shared" si="372"/>
        <v>1442819</v>
      </c>
      <c r="M108" s="479">
        <f t="shared" si="372"/>
        <v>0</v>
      </c>
      <c r="N108" s="479">
        <f t="shared" si="372"/>
        <v>0</v>
      </c>
      <c r="O108" s="479">
        <f t="shared" si="372"/>
        <v>0</v>
      </c>
      <c r="P108" s="479">
        <f t="shared" si="372"/>
        <v>3611730</v>
      </c>
      <c r="Q108" s="479">
        <f t="shared" si="372"/>
        <v>106855</v>
      </c>
      <c r="R108" s="479">
        <f t="shared" si="372"/>
        <v>151152</v>
      </c>
      <c r="S108" s="480">
        <f t="shared" si="372"/>
        <v>19.007099999999994</v>
      </c>
      <c r="T108" s="480">
        <f t="shared" si="372"/>
        <v>14.8917</v>
      </c>
      <c r="U108" s="335">
        <f t="shared" si="372"/>
        <v>4.1154000000000002</v>
      </c>
      <c r="V108" s="484">
        <f t="shared" si="372"/>
        <v>-19200</v>
      </c>
      <c r="W108" s="479">
        <f t="shared" si="372"/>
        <v>-12800</v>
      </c>
      <c r="X108" s="479">
        <f t="shared" si="372"/>
        <v>793107</v>
      </c>
      <c r="Y108" s="479">
        <f t="shared" si="372"/>
        <v>0</v>
      </c>
      <c r="Z108" s="479">
        <f t="shared" si="372"/>
        <v>0</v>
      </c>
      <c r="AA108" s="479">
        <f t="shared" si="372"/>
        <v>0</v>
      </c>
      <c r="AB108" s="479">
        <f t="shared" si="372"/>
        <v>225600</v>
      </c>
      <c r="AC108" s="479">
        <f t="shared" si="372"/>
        <v>0</v>
      </c>
      <c r="AD108" s="479">
        <f t="shared" si="372"/>
        <v>0</v>
      </c>
      <c r="AE108" s="479">
        <f t="shared" si="372"/>
        <v>0</v>
      </c>
      <c r="AF108" s="479">
        <f t="shared" si="372"/>
        <v>999507</v>
      </c>
      <c r="AG108" s="479">
        <f t="shared" si="372"/>
        <v>-12800</v>
      </c>
      <c r="AH108" s="479">
        <f t="shared" si="372"/>
        <v>986707</v>
      </c>
      <c r="AI108" s="479">
        <f t="shared" si="372"/>
        <v>19200</v>
      </c>
      <c r="AJ108" s="479">
        <f t="shared" si="372"/>
        <v>12800</v>
      </c>
      <c r="AK108" s="479">
        <f t="shared" ref="AK108" si="373">SUM(AK103:AK107)</f>
        <v>0</v>
      </c>
      <c r="AL108" s="479">
        <f t="shared" si="372"/>
        <v>0</v>
      </c>
      <c r="AM108" s="479">
        <f t="shared" si="372"/>
        <v>0</v>
      </c>
      <c r="AN108" s="479">
        <f t="shared" si="372"/>
        <v>0</v>
      </c>
      <c r="AO108" s="479">
        <f t="shared" si="372"/>
        <v>19200</v>
      </c>
      <c r="AP108" s="479">
        <f t="shared" si="372"/>
        <v>12800</v>
      </c>
      <c r="AQ108" s="479">
        <f t="shared" si="372"/>
        <v>32000</v>
      </c>
      <c r="AR108" s="479">
        <f t="shared" si="372"/>
        <v>1018707</v>
      </c>
      <c r="AS108" s="479">
        <f t="shared" si="372"/>
        <v>0</v>
      </c>
      <c r="AT108" s="479">
        <f t="shared" si="372"/>
        <v>1018707</v>
      </c>
      <c r="AU108" s="479">
        <f t="shared" si="372"/>
        <v>344323</v>
      </c>
      <c r="AV108" s="479">
        <f t="shared" si="372"/>
        <v>9867</v>
      </c>
      <c r="AW108" s="479">
        <f t="shared" si="372"/>
        <v>700</v>
      </c>
      <c r="AX108" s="479">
        <f t="shared" si="372"/>
        <v>0</v>
      </c>
      <c r="AY108" s="479">
        <f t="shared" si="372"/>
        <v>700</v>
      </c>
      <c r="AZ108" s="479">
        <f t="shared" si="372"/>
        <v>1373597</v>
      </c>
      <c r="BA108" s="480">
        <f t="shared" si="372"/>
        <v>-0.02</v>
      </c>
      <c r="BB108" s="480">
        <f t="shared" si="372"/>
        <v>-0.01</v>
      </c>
      <c r="BC108" s="480">
        <f t="shared" si="372"/>
        <v>2.14</v>
      </c>
      <c r="BD108" s="480">
        <f t="shared" si="372"/>
        <v>0.4</v>
      </c>
      <c r="BE108" s="480">
        <f t="shared" si="372"/>
        <v>0</v>
      </c>
      <c r="BF108" s="480">
        <f t="shared" si="372"/>
        <v>0</v>
      </c>
      <c r="BG108" s="480">
        <f t="shared" si="372"/>
        <v>0</v>
      </c>
      <c r="BH108" s="480">
        <f t="shared" si="372"/>
        <v>0</v>
      </c>
      <c r="BI108" s="480">
        <f t="shared" si="372"/>
        <v>0</v>
      </c>
      <c r="BJ108" s="480">
        <f t="shared" si="372"/>
        <v>0</v>
      </c>
      <c r="BK108" s="480">
        <f t="shared" si="372"/>
        <v>2.52</v>
      </c>
      <c r="BL108" s="480">
        <f t="shared" si="372"/>
        <v>-0.01</v>
      </c>
      <c r="BM108" s="560">
        <f t="shared" si="372"/>
        <v>2.5100000000000002</v>
      </c>
      <c r="BN108" s="482">
        <f t="shared" si="372"/>
        <v>15928928</v>
      </c>
      <c r="BO108" s="479">
        <f t="shared" si="372"/>
        <v>11672301</v>
      </c>
      <c r="BP108" s="479">
        <f t="shared" si="372"/>
        <v>10242282</v>
      </c>
      <c r="BQ108" s="479">
        <f t="shared" si="372"/>
        <v>1430019</v>
      </c>
      <c r="BR108" s="479">
        <f t="shared" si="372"/>
        <v>32000</v>
      </c>
      <c r="BS108" s="479">
        <f t="shared" si="372"/>
        <v>19200</v>
      </c>
      <c r="BT108" s="479">
        <f t="shared" si="372"/>
        <v>12800</v>
      </c>
      <c r="BU108" s="479">
        <f t="shared" si="372"/>
        <v>3956053</v>
      </c>
      <c r="BV108" s="479">
        <f t="shared" ref="BV108:CF108" si="374">SUM(BV103:BV107)</f>
        <v>116722</v>
      </c>
      <c r="BW108" s="479">
        <f t="shared" si="374"/>
        <v>151852</v>
      </c>
      <c r="BX108" s="480">
        <f t="shared" si="374"/>
        <v>21.517099999999996</v>
      </c>
      <c r="BY108" s="480">
        <f t="shared" si="374"/>
        <v>17.4117</v>
      </c>
      <c r="BZ108" s="560">
        <f t="shared" si="374"/>
        <v>4.1054000000000004</v>
      </c>
      <c r="CA108" s="886">
        <f t="shared" si="374"/>
        <v>304109</v>
      </c>
      <c r="CB108" s="884">
        <f t="shared" si="374"/>
        <v>225600</v>
      </c>
      <c r="CC108" s="884">
        <f t="shared" si="374"/>
        <v>0</v>
      </c>
      <c r="CD108" s="884">
        <f t="shared" si="374"/>
        <v>76253</v>
      </c>
      <c r="CE108" s="884">
        <f t="shared" si="374"/>
        <v>2256</v>
      </c>
      <c r="CF108" s="846">
        <f t="shared" si="374"/>
        <v>0.4</v>
      </c>
    </row>
    <row r="109" spans="1:84" ht="12.95" customHeight="1" x14ac:dyDescent="0.25">
      <c r="A109" s="282">
        <v>19</v>
      </c>
      <c r="B109" s="323">
        <v>5425</v>
      </c>
      <c r="C109" s="332">
        <v>600099521</v>
      </c>
      <c r="D109" s="283">
        <v>854859</v>
      </c>
      <c r="E109" s="325" t="s">
        <v>386</v>
      </c>
      <c r="F109" s="283">
        <v>3233</v>
      </c>
      <c r="G109" s="325" t="s">
        <v>387</v>
      </c>
      <c r="H109" s="286" t="s">
        <v>272</v>
      </c>
      <c r="I109" s="423">
        <f>J109+P109+Q109+R109</f>
        <v>2774767</v>
      </c>
      <c r="J109" s="418">
        <f t="shared" si="276"/>
        <v>2056526</v>
      </c>
      <c r="K109" s="418">
        <v>1690607</v>
      </c>
      <c r="L109" s="418">
        <v>365919</v>
      </c>
      <c r="M109" s="418">
        <f>N109+O109</f>
        <v>0</v>
      </c>
      <c r="N109" s="418">
        <v>0</v>
      </c>
      <c r="O109" s="418">
        <v>0</v>
      </c>
      <c r="P109" s="68">
        <f>ROUND((J109+M109)*33.8%,0)</f>
        <v>695106</v>
      </c>
      <c r="Q109" s="68">
        <f>ROUND(J109*1%,0)</f>
        <v>20565</v>
      </c>
      <c r="R109" s="418">
        <v>2570</v>
      </c>
      <c r="S109" s="419">
        <f>T109+U109</f>
        <v>4.24</v>
      </c>
      <c r="T109" s="420">
        <v>3.06</v>
      </c>
      <c r="U109" s="527">
        <v>1.18</v>
      </c>
      <c r="V109" s="427">
        <f>AI109*-1</f>
        <v>0</v>
      </c>
      <c r="W109" s="421">
        <f>AJ109*-1</f>
        <v>0</v>
      </c>
      <c r="X109" s="421">
        <v>0</v>
      </c>
      <c r="Y109" s="421">
        <v>0</v>
      </c>
      <c r="Z109" s="421">
        <v>0</v>
      </c>
      <c r="AA109" s="421">
        <v>0</v>
      </c>
      <c r="AB109" s="421">
        <v>0</v>
      </c>
      <c r="AC109" s="421">
        <v>0</v>
      </c>
      <c r="AD109" s="421">
        <v>0</v>
      </c>
      <c r="AE109" s="421">
        <v>0</v>
      </c>
      <c r="AF109" s="421">
        <f>V109+X109+Y109+AA109+AB109+AD109</f>
        <v>0</v>
      </c>
      <c r="AG109" s="421">
        <f>W109+Z109+AC109+AE109</f>
        <v>0</v>
      </c>
      <c r="AH109" s="421">
        <f>SUM(AF109:AG109)</f>
        <v>0</v>
      </c>
      <c r="AI109" s="421">
        <v>0</v>
      </c>
      <c r="AJ109" s="421">
        <v>0</v>
      </c>
      <c r="AK109" s="421">
        <v>0</v>
      </c>
      <c r="AL109" s="421">
        <v>0</v>
      </c>
      <c r="AM109" s="421">
        <v>0</v>
      </c>
      <c r="AN109" s="421">
        <v>0</v>
      </c>
      <c r="AO109" s="421">
        <f>AI109+AK109+AL109+AM109</f>
        <v>0</v>
      </c>
      <c r="AP109" s="421">
        <f>AJ109+AN109</f>
        <v>0</v>
      </c>
      <c r="AQ109" s="421">
        <f>SUM(AO109:AP109)</f>
        <v>0</v>
      </c>
      <c r="AR109" s="421">
        <f>AF109+AO109</f>
        <v>0</v>
      </c>
      <c r="AS109" s="421">
        <f>AG109+AP109</f>
        <v>0</v>
      </c>
      <c r="AT109" s="421">
        <f>SUM(AR109:AS109)</f>
        <v>0</v>
      </c>
      <c r="AU109" s="68">
        <f>ROUND((AH109+AI109+AJ109+AK109+AL109)*33.8%,0)</f>
        <v>0</v>
      </c>
      <c r="AV109" s="68">
        <f>ROUND(AH109*1%,0)</f>
        <v>0</v>
      </c>
      <c r="AW109" s="421">
        <v>0</v>
      </c>
      <c r="AX109" s="421">
        <v>0</v>
      </c>
      <c r="AY109" s="421">
        <f>AW109+AX109</f>
        <v>0</v>
      </c>
      <c r="AZ109" s="421">
        <f>AT109+AU109+AV109+AY109</f>
        <v>0</v>
      </c>
      <c r="BA109" s="422">
        <v>0</v>
      </c>
      <c r="BB109" s="422">
        <v>0</v>
      </c>
      <c r="BC109" s="422">
        <v>0</v>
      </c>
      <c r="BD109" s="422">
        <v>0</v>
      </c>
      <c r="BE109" s="422">
        <v>0</v>
      </c>
      <c r="BF109" s="422">
        <v>0</v>
      </c>
      <c r="BG109" s="422">
        <v>0</v>
      </c>
      <c r="BH109" s="422">
        <v>0</v>
      </c>
      <c r="BI109" s="422">
        <v>0</v>
      </c>
      <c r="BJ109" s="422">
        <v>0</v>
      </c>
      <c r="BK109" s="422">
        <f>BA109+BC109+BD109+BF109+BH109+BI109</f>
        <v>0</v>
      </c>
      <c r="BL109" s="422">
        <f>BB109+BE109+BG109+BJ109</f>
        <v>0</v>
      </c>
      <c r="BM109" s="611">
        <f>SUM(BK109:BL109)</f>
        <v>0</v>
      </c>
      <c r="BN109" s="428">
        <f>I109+AZ109</f>
        <v>2774767</v>
      </c>
      <c r="BO109" s="421">
        <f>J109+AH109</f>
        <v>2056526</v>
      </c>
      <c r="BP109" s="421">
        <f>K109+AF109</f>
        <v>1690607</v>
      </c>
      <c r="BQ109" s="421">
        <f>L109+AG109</f>
        <v>365919</v>
      </c>
      <c r="BR109" s="421">
        <f>M109+AQ109</f>
        <v>0</v>
      </c>
      <c r="BS109" s="421">
        <f>N109+AO109</f>
        <v>0</v>
      </c>
      <c r="BT109" s="421">
        <f>O109+AP109</f>
        <v>0</v>
      </c>
      <c r="BU109" s="421">
        <f>P109+AU109</f>
        <v>695106</v>
      </c>
      <c r="BV109" s="421">
        <f>Q109+AV109</f>
        <v>20565</v>
      </c>
      <c r="BW109" s="421">
        <f>R109+AY109</f>
        <v>2570</v>
      </c>
      <c r="BX109" s="422">
        <f>S109+BM109</f>
        <v>4.24</v>
      </c>
      <c r="BY109" s="422">
        <f>T109+BK109</f>
        <v>3.06</v>
      </c>
      <c r="BZ109" s="611">
        <f>U109+BL109</f>
        <v>1.18</v>
      </c>
      <c r="CA109" s="423"/>
      <c r="CB109" s="418"/>
      <c r="CC109" s="418"/>
      <c r="CD109" s="418"/>
      <c r="CE109" s="418"/>
      <c r="CF109" s="527"/>
    </row>
    <row r="110" spans="1:84" ht="12.95" customHeight="1" x14ac:dyDescent="0.25">
      <c r="A110" s="326">
        <v>19</v>
      </c>
      <c r="B110" s="327">
        <v>5425</v>
      </c>
      <c r="C110" s="328">
        <v>600099521</v>
      </c>
      <c r="D110" s="327">
        <v>854859</v>
      </c>
      <c r="E110" s="329" t="s">
        <v>388</v>
      </c>
      <c r="F110" s="293"/>
      <c r="G110" s="331"/>
      <c r="H110" s="294"/>
      <c r="I110" s="481">
        <f t="shared" ref="I110:BU110" si="375">SUM(I109)</f>
        <v>2774767</v>
      </c>
      <c r="J110" s="477">
        <f t="shared" si="375"/>
        <v>2056526</v>
      </c>
      <c r="K110" s="477">
        <f t="shared" si="375"/>
        <v>1690607</v>
      </c>
      <c r="L110" s="477">
        <f t="shared" si="375"/>
        <v>365919</v>
      </c>
      <c r="M110" s="477">
        <f t="shared" si="375"/>
        <v>0</v>
      </c>
      <c r="N110" s="477">
        <f t="shared" si="375"/>
        <v>0</v>
      </c>
      <c r="O110" s="477">
        <f t="shared" si="375"/>
        <v>0</v>
      </c>
      <c r="P110" s="477">
        <f t="shared" si="375"/>
        <v>695106</v>
      </c>
      <c r="Q110" s="477">
        <f t="shared" si="375"/>
        <v>20565</v>
      </c>
      <c r="R110" s="477">
        <f t="shared" si="375"/>
        <v>2570</v>
      </c>
      <c r="S110" s="478">
        <f t="shared" si="375"/>
        <v>4.24</v>
      </c>
      <c r="T110" s="478">
        <f t="shared" si="375"/>
        <v>3.06</v>
      </c>
      <c r="U110" s="330">
        <f t="shared" si="375"/>
        <v>1.18</v>
      </c>
      <c r="V110" s="483">
        <f t="shared" si="375"/>
        <v>0</v>
      </c>
      <c r="W110" s="477">
        <f t="shared" si="375"/>
        <v>0</v>
      </c>
      <c r="X110" s="477">
        <f t="shared" si="375"/>
        <v>0</v>
      </c>
      <c r="Y110" s="477">
        <f t="shared" si="375"/>
        <v>0</v>
      </c>
      <c r="Z110" s="477">
        <f t="shared" si="375"/>
        <v>0</v>
      </c>
      <c r="AA110" s="477">
        <f t="shared" si="375"/>
        <v>0</v>
      </c>
      <c r="AB110" s="477">
        <f t="shared" si="375"/>
        <v>0</v>
      </c>
      <c r="AC110" s="477">
        <f t="shared" si="375"/>
        <v>0</v>
      </c>
      <c r="AD110" s="477">
        <f t="shared" si="375"/>
        <v>0</v>
      </c>
      <c r="AE110" s="477">
        <f t="shared" si="375"/>
        <v>0</v>
      </c>
      <c r="AF110" s="477">
        <f t="shared" si="375"/>
        <v>0</v>
      </c>
      <c r="AG110" s="477">
        <f t="shared" si="375"/>
        <v>0</v>
      </c>
      <c r="AH110" s="477">
        <f t="shared" si="375"/>
        <v>0</v>
      </c>
      <c r="AI110" s="477">
        <f t="shared" si="375"/>
        <v>0</v>
      </c>
      <c r="AJ110" s="477">
        <f t="shared" si="375"/>
        <v>0</v>
      </c>
      <c r="AK110" s="477">
        <f t="shared" ref="AK110" si="376">SUM(AK109)</f>
        <v>0</v>
      </c>
      <c r="AL110" s="477">
        <f t="shared" si="375"/>
        <v>0</v>
      </c>
      <c r="AM110" s="477">
        <f t="shared" si="375"/>
        <v>0</v>
      </c>
      <c r="AN110" s="477">
        <f t="shared" si="375"/>
        <v>0</v>
      </c>
      <c r="AO110" s="477">
        <f t="shared" si="375"/>
        <v>0</v>
      </c>
      <c r="AP110" s="477">
        <f t="shared" si="375"/>
        <v>0</v>
      </c>
      <c r="AQ110" s="477">
        <f t="shared" si="375"/>
        <v>0</v>
      </c>
      <c r="AR110" s="477">
        <f t="shared" si="375"/>
        <v>0</v>
      </c>
      <c r="AS110" s="477">
        <f t="shared" si="375"/>
        <v>0</v>
      </c>
      <c r="AT110" s="477">
        <f t="shared" si="375"/>
        <v>0</v>
      </c>
      <c r="AU110" s="477">
        <f t="shared" si="375"/>
        <v>0</v>
      </c>
      <c r="AV110" s="477">
        <f t="shared" si="375"/>
        <v>0</v>
      </c>
      <c r="AW110" s="477">
        <f t="shared" si="375"/>
        <v>0</v>
      </c>
      <c r="AX110" s="477">
        <f t="shared" si="375"/>
        <v>0</v>
      </c>
      <c r="AY110" s="477">
        <f t="shared" si="375"/>
        <v>0</v>
      </c>
      <c r="AZ110" s="477">
        <f t="shared" si="375"/>
        <v>0</v>
      </c>
      <c r="BA110" s="478">
        <f t="shared" si="375"/>
        <v>0</v>
      </c>
      <c r="BB110" s="478">
        <f t="shared" si="375"/>
        <v>0</v>
      </c>
      <c r="BC110" s="478">
        <f t="shared" si="375"/>
        <v>0</v>
      </c>
      <c r="BD110" s="478">
        <f t="shared" si="375"/>
        <v>0</v>
      </c>
      <c r="BE110" s="478">
        <f t="shared" si="375"/>
        <v>0</v>
      </c>
      <c r="BF110" s="478">
        <f t="shared" si="375"/>
        <v>0</v>
      </c>
      <c r="BG110" s="478">
        <f t="shared" si="375"/>
        <v>0</v>
      </c>
      <c r="BH110" s="478">
        <f t="shared" si="375"/>
        <v>0</v>
      </c>
      <c r="BI110" s="478">
        <f t="shared" si="375"/>
        <v>0</v>
      </c>
      <c r="BJ110" s="478">
        <f t="shared" si="375"/>
        <v>0</v>
      </c>
      <c r="BK110" s="478">
        <f t="shared" si="375"/>
        <v>0</v>
      </c>
      <c r="BL110" s="478">
        <f t="shared" si="375"/>
        <v>0</v>
      </c>
      <c r="BM110" s="559">
        <f t="shared" si="375"/>
        <v>0</v>
      </c>
      <c r="BN110" s="481">
        <f t="shared" si="375"/>
        <v>2774767</v>
      </c>
      <c r="BO110" s="477">
        <f t="shared" si="375"/>
        <v>2056526</v>
      </c>
      <c r="BP110" s="477">
        <f t="shared" si="375"/>
        <v>1690607</v>
      </c>
      <c r="BQ110" s="477">
        <f t="shared" si="375"/>
        <v>365919</v>
      </c>
      <c r="BR110" s="477">
        <f t="shared" si="375"/>
        <v>0</v>
      </c>
      <c r="BS110" s="477">
        <f t="shared" si="375"/>
        <v>0</v>
      </c>
      <c r="BT110" s="477">
        <f t="shared" si="375"/>
        <v>0</v>
      </c>
      <c r="BU110" s="477">
        <f t="shared" si="375"/>
        <v>695106</v>
      </c>
      <c r="BV110" s="477">
        <f t="shared" ref="BV110:CF110" si="377">SUM(BV109)</f>
        <v>20565</v>
      </c>
      <c r="BW110" s="477">
        <f t="shared" si="377"/>
        <v>2570</v>
      </c>
      <c r="BX110" s="478">
        <f t="shared" si="377"/>
        <v>4.24</v>
      </c>
      <c r="BY110" s="478">
        <f t="shared" si="377"/>
        <v>3.06</v>
      </c>
      <c r="BZ110" s="559">
        <f t="shared" si="377"/>
        <v>1.18</v>
      </c>
      <c r="CA110" s="885">
        <f t="shared" si="377"/>
        <v>0</v>
      </c>
      <c r="CB110" s="883">
        <f t="shared" si="377"/>
        <v>0</v>
      </c>
      <c r="CC110" s="883">
        <f t="shared" si="377"/>
        <v>0</v>
      </c>
      <c r="CD110" s="883">
        <f t="shared" si="377"/>
        <v>0</v>
      </c>
      <c r="CE110" s="883">
        <f t="shared" si="377"/>
        <v>0</v>
      </c>
      <c r="CF110" s="845">
        <f t="shared" si="377"/>
        <v>0</v>
      </c>
    </row>
    <row r="111" spans="1:84" ht="12.95" customHeight="1" x14ac:dyDescent="0.25">
      <c r="A111" s="282">
        <v>20</v>
      </c>
      <c r="B111" s="323">
        <v>5426</v>
      </c>
      <c r="C111" s="324">
        <v>600098761</v>
      </c>
      <c r="D111" s="283">
        <v>72742615</v>
      </c>
      <c r="E111" s="325" t="s">
        <v>389</v>
      </c>
      <c r="F111" s="283">
        <v>3111</v>
      </c>
      <c r="G111" s="325" t="s">
        <v>305</v>
      </c>
      <c r="H111" s="286" t="s">
        <v>271</v>
      </c>
      <c r="I111" s="423">
        <f t="shared" ref="I111:I113" si="378">J111+P111+Q111+R111</f>
        <v>6781740</v>
      </c>
      <c r="J111" s="418">
        <f t="shared" si="276"/>
        <v>5011507</v>
      </c>
      <c r="K111" s="418">
        <v>4541305</v>
      </c>
      <c r="L111" s="418">
        <v>470202</v>
      </c>
      <c r="M111" s="418">
        <f t="shared" ref="M111:M113" si="379">N111+O111</f>
        <v>0</v>
      </c>
      <c r="N111" s="418">
        <v>0</v>
      </c>
      <c r="O111" s="418">
        <v>0</v>
      </c>
      <c r="P111" s="68">
        <f t="shared" ref="P111:P113" si="380">ROUND((J111+M111)*33.8%,0)</f>
        <v>1693889</v>
      </c>
      <c r="Q111" s="68">
        <f t="shared" ref="Q111:Q113" si="381">ROUND(J111*1%,0)</f>
        <v>50115</v>
      </c>
      <c r="R111" s="418">
        <v>26229</v>
      </c>
      <c r="S111" s="419">
        <f>T111+U111</f>
        <v>9.6000999999999994</v>
      </c>
      <c r="T111" s="420">
        <v>8</v>
      </c>
      <c r="U111" s="527">
        <v>1.6000999999999999</v>
      </c>
      <c r="V111" s="427">
        <f t="shared" ref="V111:W113" si="382">AI111*-1</f>
        <v>0</v>
      </c>
      <c r="W111" s="421">
        <f t="shared" si="382"/>
        <v>0</v>
      </c>
      <c r="X111" s="421">
        <v>0</v>
      </c>
      <c r="Y111" s="421">
        <v>0</v>
      </c>
      <c r="Z111" s="421">
        <v>0</v>
      </c>
      <c r="AA111" s="421">
        <v>0</v>
      </c>
      <c r="AB111" s="421">
        <v>0</v>
      </c>
      <c r="AC111" s="421">
        <v>0</v>
      </c>
      <c r="AD111" s="421">
        <v>0</v>
      </c>
      <c r="AE111" s="421">
        <v>0</v>
      </c>
      <c r="AF111" s="421">
        <f>V111+X111+Y111+AA111+AB111+AD111</f>
        <v>0</v>
      </c>
      <c r="AG111" s="421">
        <f>W111+Z111+AC111+AE111</f>
        <v>0</v>
      </c>
      <c r="AH111" s="421">
        <f>SUM(AF111:AG111)</f>
        <v>0</v>
      </c>
      <c r="AI111" s="421">
        <v>0</v>
      </c>
      <c r="AJ111" s="421">
        <v>0</v>
      </c>
      <c r="AK111" s="421">
        <v>0</v>
      </c>
      <c r="AL111" s="421">
        <v>0</v>
      </c>
      <c r="AM111" s="421">
        <v>0</v>
      </c>
      <c r="AN111" s="421">
        <v>0</v>
      </c>
      <c r="AO111" s="421">
        <f t="shared" ref="AO111:AO113" si="383">AI111+AK111+AL111+AM111</f>
        <v>0</v>
      </c>
      <c r="AP111" s="421">
        <f>AJ111+AN111</f>
        <v>0</v>
      </c>
      <c r="AQ111" s="421">
        <f>SUM(AO111:AP111)</f>
        <v>0</v>
      </c>
      <c r="AR111" s="421">
        <f t="shared" ref="AR111:AS113" si="384">AF111+AO111</f>
        <v>0</v>
      </c>
      <c r="AS111" s="421">
        <f t="shared" si="384"/>
        <v>0</v>
      </c>
      <c r="AT111" s="421">
        <f>SUM(AR111:AS111)</f>
        <v>0</v>
      </c>
      <c r="AU111" s="68">
        <f t="shared" ref="AU111:AU113" si="385">ROUND((AH111+AI111+AJ111+AK111+AL111)*33.8%,0)</f>
        <v>0</v>
      </c>
      <c r="AV111" s="68">
        <f>ROUND(AH111*1%,0)</f>
        <v>0</v>
      </c>
      <c r="AW111" s="421">
        <v>0</v>
      </c>
      <c r="AX111" s="421">
        <v>0</v>
      </c>
      <c r="AY111" s="421">
        <f>AW111+AX111</f>
        <v>0</v>
      </c>
      <c r="AZ111" s="421">
        <f>AT111+AU111+AV111+AY111</f>
        <v>0</v>
      </c>
      <c r="BA111" s="422">
        <v>0</v>
      </c>
      <c r="BB111" s="422">
        <v>0</v>
      </c>
      <c r="BC111" s="422">
        <v>0</v>
      </c>
      <c r="BD111" s="422">
        <v>0</v>
      </c>
      <c r="BE111" s="422">
        <v>0</v>
      </c>
      <c r="BF111" s="422">
        <v>0</v>
      </c>
      <c r="BG111" s="422">
        <v>0</v>
      </c>
      <c r="BH111" s="422">
        <v>0</v>
      </c>
      <c r="BI111" s="422">
        <v>0</v>
      </c>
      <c r="BJ111" s="422">
        <v>0</v>
      </c>
      <c r="BK111" s="422">
        <f>BA111+BC111+BD111+BF111+BH111+BI111</f>
        <v>0</v>
      </c>
      <c r="BL111" s="422">
        <f>BB111+BE111+BG111+BJ111</f>
        <v>0</v>
      </c>
      <c r="BM111" s="611">
        <f>SUM(BK111:BL111)</f>
        <v>0</v>
      </c>
      <c r="BN111" s="428">
        <f>I111+AZ111</f>
        <v>6781740</v>
      </c>
      <c r="BO111" s="421">
        <f>J111+AH111</f>
        <v>5011507</v>
      </c>
      <c r="BP111" s="421">
        <f t="shared" ref="BP111:BQ113" si="386">K111+AF111</f>
        <v>4541305</v>
      </c>
      <c r="BQ111" s="421">
        <f t="shared" si="386"/>
        <v>470202</v>
      </c>
      <c r="BR111" s="421">
        <f>M111+AQ111</f>
        <v>0</v>
      </c>
      <c r="BS111" s="421">
        <f t="shared" ref="BS111:BT113" si="387">N111+AO111</f>
        <v>0</v>
      </c>
      <c r="BT111" s="421">
        <f t="shared" si="387"/>
        <v>0</v>
      </c>
      <c r="BU111" s="421">
        <f t="shared" ref="BU111:BV113" si="388">P111+AU111</f>
        <v>1693889</v>
      </c>
      <c r="BV111" s="421">
        <f t="shared" si="388"/>
        <v>50115</v>
      </c>
      <c r="BW111" s="421">
        <f>R111+AY111</f>
        <v>26229</v>
      </c>
      <c r="BX111" s="422">
        <f>S111+BM111</f>
        <v>9.6000999999999994</v>
      </c>
      <c r="BY111" s="422">
        <f t="shared" ref="BY111:BZ113" si="389">T111+BK111</f>
        <v>8</v>
      </c>
      <c r="BZ111" s="611">
        <f t="shared" si="389"/>
        <v>1.6000999999999999</v>
      </c>
      <c r="CA111" s="423"/>
      <c r="CB111" s="418"/>
      <c r="CC111" s="418"/>
      <c r="CD111" s="418"/>
      <c r="CE111" s="418"/>
      <c r="CF111" s="527"/>
    </row>
    <row r="112" spans="1:84" ht="12.95" customHeight="1" x14ac:dyDescent="0.25">
      <c r="A112" s="282">
        <v>20</v>
      </c>
      <c r="B112" s="323">
        <v>5426</v>
      </c>
      <c r="C112" s="324">
        <v>600098761</v>
      </c>
      <c r="D112" s="283">
        <v>72742615</v>
      </c>
      <c r="E112" s="325" t="s">
        <v>389</v>
      </c>
      <c r="F112" s="283">
        <v>3111</v>
      </c>
      <c r="G112" s="333" t="s">
        <v>299</v>
      </c>
      <c r="H112" s="286" t="s">
        <v>272</v>
      </c>
      <c r="I112" s="423">
        <f t="shared" si="378"/>
        <v>0</v>
      </c>
      <c r="J112" s="418">
        <f t="shared" si="276"/>
        <v>0</v>
      </c>
      <c r="K112" s="418">
        <v>0</v>
      </c>
      <c r="L112" s="418">
        <v>0</v>
      </c>
      <c r="M112" s="418">
        <f>N112+O112</f>
        <v>0</v>
      </c>
      <c r="N112" s="418">
        <v>0</v>
      </c>
      <c r="O112" s="418">
        <v>0</v>
      </c>
      <c r="P112" s="68">
        <f t="shared" si="380"/>
        <v>0</v>
      </c>
      <c r="Q112" s="68">
        <f t="shared" si="381"/>
        <v>0</v>
      </c>
      <c r="R112" s="418">
        <v>0</v>
      </c>
      <c r="S112" s="419">
        <f>T112+U112</f>
        <v>0</v>
      </c>
      <c r="T112" s="420">
        <v>0</v>
      </c>
      <c r="U112" s="527">
        <v>0</v>
      </c>
      <c r="V112" s="427">
        <f t="shared" si="382"/>
        <v>0</v>
      </c>
      <c r="W112" s="421">
        <f t="shared" si="382"/>
        <v>0</v>
      </c>
      <c r="X112" s="421">
        <v>1161917</v>
      </c>
      <c r="Y112" s="421">
        <v>0</v>
      </c>
      <c r="Z112" s="421">
        <v>0</v>
      </c>
      <c r="AA112" s="421">
        <v>0</v>
      </c>
      <c r="AB112" s="421">
        <v>0</v>
      </c>
      <c r="AC112" s="421">
        <v>0</v>
      </c>
      <c r="AD112" s="421">
        <v>0</v>
      </c>
      <c r="AE112" s="421">
        <v>0</v>
      </c>
      <c r="AF112" s="421">
        <f>V112+X112+Y112+AA112+AB112+AD112</f>
        <v>1161917</v>
      </c>
      <c r="AG112" s="421">
        <f>W112+Z112+AC112+AE112</f>
        <v>0</v>
      </c>
      <c r="AH112" s="421">
        <f>SUM(AF112:AG112)</f>
        <v>1161917</v>
      </c>
      <c r="AI112" s="421">
        <v>0</v>
      </c>
      <c r="AJ112" s="421">
        <v>0</v>
      </c>
      <c r="AK112" s="421">
        <v>0</v>
      </c>
      <c r="AL112" s="421">
        <v>0</v>
      </c>
      <c r="AM112" s="421">
        <v>0</v>
      </c>
      <c r="AN112" s="421">
        <v>0</v>
      </c>
      <c r="AO112" s="421">
        <f t="shared" si="383"/>
        <v>0</v>
      </c>
      <c r="AP112" s="421">
        <f>AJ112+AN112</f>
        <v>0</v>
      </c>
      <c r="AQ112" s="421">
        <f>SUM(AO112:AP112)</f>
        <v>0</v>
      </c>
      <c r="AR112" s="421">
        <f t="shared" si="384"/>
        <v>1161917</v>
      </c>
      <c r="AS112" s="421">
        <f t="shared" si="384"/>
        <v>0</v>
      </c>
      <c r="AT112" s="421">
        <f>SUM(AR112:AS112)</f>
        <v>1161917</v>
      </c>
      <c r="AU112" s="68">
        <f t="shared" si="385"/>
        <v>392728</v>
      </c>
      <c r="AV112" s="68">
        <f>ROUND(AH112*1%,0)</f>
        <v>11619</v>
      </c>
      <c r="AW112" s="421">
        <v>0</v>
      </c>
      <c r="AX112" s="421">
        <v>0</v>
      </c>
      <c r="AY112" s="421">
        <f>AW112+AX112</f>
        <v>0</v>
      </c>
      <c r="AZ112" s="421">
        <f>AT112+AU112+AV112+AY112</f>
        <v>1566264</v>
      </c>
      <c r="BA112" s="422">
        <v>0</v>
      </c>
      <c r="BB112" s="422">
        <v>0</v>
      </c>
      <c r="BC112" s="422">
        <v>3.1</v>
      </c>
      <c r="BD112" s="422">
        <v>0</v>
      </c>
      <c r="BE112" s="422">
        <v>0</v>
      </c>
      <c r="BF112" s="422">
        <v>0</v>
      </c>
      <c r="BG112" s="422">
        <v>0</v>
      </c>
      <c r="BH112" s="422">
        <v>0</v>
      </c>
      <c r="BI112" s="422">
        <v>0</v>
      </c>
      <c r="BJ112" s="422">
        <v>0</v>
      </c>
      <c r="BK112" s="422">
        <f>BA112+BC112+BD112+BF112+BH112+BI112</f>
        <v>3.1</v>
      </c>
      <c r="BL112" s="422">
        <f>BB112+BE112+BG112+BJ112</f>
        <v>0</v>
      </c>
      <c r="BM112" s="611">
        <f>SUM(BK112:BL112)</f>
        <v>3.1</v>
      </c>
      <c r="BN112" s="428">
        <f>I112+AZ112</f>
        <v>1566264</v>
      </c>
      <c r="BO112" s="421">
        <f>J112+AH112</f>
        <v>1161917</v>
      </c>
      <c r="BP112" s="421">
        <f t="shared" si="386"/>
        <v>1161917</v>
      </c>
      <c r="BQ112" s="421">
        <f t="shared" si="386"/>
        <v>0</v>
      </c>
      <c r="BR112" s="421">
        <f>M112+AQ112</f>
        <v>0</v>
      </c>
      <c r="BS112" s="421">
        <f t="shared" si="387"/>
        <v>0</v>
      </c>
      <c r="BT112" s="421">
        <f t="shared" si="387"/>
        <v>0</v>
      </c>
      <c r="BU112" s="421">
        <f t="shared" si="388"/>
        <v>392728</v>
      </c>
      <c r="BV112" s="421">
        <f t="shared" si="388"/>
        <v>11619</v>
      </c>
      <c r="BW112" s="421">
        <f>R112+AY112</f>
        <v>0</v>
      </c>
      <c r="BX112" s="422">
        <f>S112+BM112</f>
        <v>3.1</v>
      </c>
      <c r="BY112" s="422">
        <f t="shared" si="389"/>
        <v>3.1</v>
      </c>
      <c r="BZ112" s="611">
        <f t="shared" si="389"/>
        <v>0</v>
      </c>
      <c r="CA112" s="423"/>
      <c r="CB112" s="418"/>
      <c r="CC112" s="418"/>
      <c r="CD112" s="418"/>
      <c r="CE112" s="418"/>
      <c r="CF112" s="527"/>
    </row>
    <row r="113" spans="1:84" ht="12.95" customHeight="1" x14ac:dyDescent="0.25">
      <c r="A113" s="282">
        <v>20</v>
      </c>
      <c r="B113" s="323">
        <v>5426</v>
      </c>
      <c r="C113" s="324">
        <v>600098761</v>
      </c>
      <c r="D113" s="283">
        <v>72742615</v>
      </c>
      <c r="E113" s="325" t="s">
        <v>389</v>
      </c>
      <c r="F113" s="283">
        <v>3141</v>
      </c>
      <c r="G113" s="325" t="s">
        <v>295</v>
      </c>
      <c r="H113" s="286" t="s">
        <v>272</v>
      </c>
      <c r="I113" s="423">
        <f t="shared" si="378"/>
        <v>674330</v>
      </c>
      <c r="J113" s="418">
        <f t="shared" si="276"/>
        <v>497986</v>
      </c>
      <c r="K113" s="418">
        <v>0</v>
      </c>
      <c r="L113" s="418">
        <v>497986</v>
      </c>
      <c r="M113" s="418">
        <f t="shared" si="379"/>
        <v>0</v>
      </c>
      <c r="N113" s="418">
        <v>0</v>
      </c>
      <c r="O113" s="418">
        <v>0</v>
      </c>
      <c r="P113" s="68">
        <f t="shared" si="380"/>
        <v>168319</v>
      </c>
      <c r="Q113" s="68">
        <f t="shared" si="381"/>
        <v>4980</v>
      </c>
      <c r="R113" s="418">
        <v>3045</v>
      </c>
      <c r="S113" s="419">
        <f>T113+U113</f>
        <v>1.4933000000000001</v>
      </c>
      <c r="T113" s="420">
        <v>0</v>
      </c>
      <c r="U113" s="527">
        <v>1.4933000000000001</v>
      </c>
      <c r="V113" s="427">
        <f t="shared" si="382"/>
        <v>0</v>
      </c>
      <c r="W113" s="421">
        <f t="shared" si="382"/>
        <v>-3200</v>
      </c>
      <c r="X113" s="421">
        <v>0</v>
      </c>
      <c r="Y113" s="421">
        <v>0</v>
      </c>
      <c r="Z113" s="421">
        <v>0</v>
      </c>
      <c r="AA113" s="421">
        <v>0</v>
      </c>
      <c r="AB113" s="421">
        <v>0</v>
      </c>
      <c r="AC113" s="421">
        <v>0</v>
      </c>
      <c r="AD113" s="421">
        <v>0</v>
      </c>
      <c r="AE113" s="421">
        <v>0</v>
      </c>
      <c r="AF113" s="421">
        <f>V113+X113+Y113+AA113+AB113+AD113</f>
        <v>0</v>
      </c>
      <c r="AG113" s="421">
        <f>W113+Z113+AC113+AE113</f>
        <v>-3200</v>
      </c>
      <c r="AH113" s="421">
        <f>SUM(AF113:AG113)</f>
        <v>-3200</v>
      </c>
      <c r="AI113" s="421">
        <v>0</v>
      </c>
      <c r="AJ113" s="421">
        <v>3200</v>
      </c>
      <c r="AK113" s="421">
        <v>0</v>
      </c>
      <c r="AL113" s="421">
        <v>0</v>
      </c>
      <c r="AM113" s="421">
        <v>0</v>
      </c>
      <c r="AN113" s="421">
        <v>0</v>
      </c>
      <c r="AO113" s="421">
        <f t="shared" si="383"/>
        <v>0</v>
      </c>
      <c r="AP113" s="421">
        <f>AJ113+AN113</f>
        <v>3200</v>
      </c>
      <c r="AQ113" s="421">
        <f>SUM(AO113:AP113)</f>
        <v>3200</v>
      </c>
      <c r="AR113" s="421">
        <f t="shared" si="384"/>
        <v>0</v>
      </c>
      <c r="AS113" s="421">
        <f t="shared" si="384"/>
        <v>0</v>
      </c>
      <c r="AT113" s="421">
        <f>SUM(AR113:AS113)</f>
        <v>0</v>
      </c>
      <c r="AU113" s="68">
        <f t="shared" si="385"/>
        <v>0</v>
      </c>
      <c r="AV113" s="68">
        <f>ROUND(AH113*1%,0)</f>
        <v>-32</v>
      </c>
      <c r="AW113" s="421">
        <v>0</v>
      </c>
      <c r="AX113" s="421">
        <v>0</v>
      </c>
      <c r="AY113" s="421">
        <f>AW113+AX113</f>
        <v>0</v>
      </c>
      <c r="AZ113" s="421">
        <f>AT113+AU113+AV113+AY113</f>
        <v>-32</v>
      </c>
      <c r="BA113" s="422">
        <v>0</v>
      </c>
      <c r="BB113" s="422">
        <v>0</v>
      </c>
      <c r="BC113" s="422">
        <v>0</v>
      </c>
      <c r="BD113" s="422">
        <v>0</v>
      </c>
      <c r="BE113" s="422">
        <v>0</v>
      </c>
      <c r="BF113" s="422">
        <v>0</v>
      </c>
      <c r="BG113" s="422">
        <v>0</v>
      </c>
      <c r="BH113" s="422">
        <v>0</v>
      </c>
      <c r="BI113" s="422">
        <v>0</v>
      </c>
      <c r="BJ113" s="422">
        <v>0</v>
      </c>
      <c r="BK113" s="422">
        <f>BA113+BC113+BD113+BF113+BH113+BI113</f>
        <v>0</v>
      </c>
      <c r="BL113" s="422">
        <f>BB113+BE113+BG113+BJ113</f>
        <v>0</v>
      </c>
      <c r="BM113" s="611">
        <f>SUM(BK113:BL113)</f>
        <v>0</v>
      </c>
      <c r="BN113" s="428">
        <f>I113+AZ113</f>
        <v>674298</v>
      </c>
      <c r="BO113" s="421">
        <f>J113+AH113</f>
        <v>494786</v>
      </c>
      <c r="BP113" s="421">
        <f t="shared" si="386"/>
        <v>0</v>
      </c>
      <c r="BQ113" s="421">
        <f t="shared" si="386"/>
        <v>494786</v>
      </c>
      <c r="BR113" s="421">
        <f>M113+AQ113</f>
        <v>3200</v>
      </c>
      <c r="BS113" s="421">
        <f t="shared" si="387"/>
        <v>0</v>
      </c>
      <c r="BT113" s="421">
        <f t="shared" si="387"/>
        <v>3200</v>
      </c>
      <c r="BU113" s="421">
        <f t="shared" si="388"/>
        <v>168319</v>
      </c>
      <c r="BV113" s="421">
        <f t="shared" si="388"/>
        <v>4948</v>
      </c>
      <c r="BW113" s="421">
        <f>R113+AY113</f>
        <v>3045</v>
      </c>
      <c r="BX113" s="422">
        <f>S113+BM113</f>
        <v>1.4933000000000001</v>
      </c>
      <c r="BY113" s="422">
        <f t="shared" si="389"/>
        <v>0</v>
      </c>
      <c r="BZ113" s="611">
        <f t="shared" si="389"/>
        <v>1.4933000000000001</v>
      </c>
      <c r="CA113" s="423"/>
      <c r="CB113" s="418"/>
      <c r="CC113" s="418"/>
      <c r="CD113" s="418"/>
      <c r="CE113" s="418"/>
      <c r="CF113" s="527"/>
    </row>
    <row r="114" spans="1:84" ht="12.95" customHeight="1" x14ac:dyDescent="0.25">
      <c r="A114" s="326">
        <v>20</v>
      </c>
      <c r="B114" s="327">
        <v>5426</v>
      </c>
      <c r="C114" s="328">
        <v>600098761</v>
      </c>
      <c r="D114" s="327">
        <v>72742615</v>
      </c>
      <c r="E114" s="329" t="s">
        <v>390</v>
      </c>
      <c r="F114" s="293"/>
      <c r="G114" s="331"/>
      <c r="H114" s="294"/>
      <c r="I114" s="482">
        <f t="shared" ref="I114:BU114" si="390">SUM(I111:I113)</f>
        <v>7456070</v>
      </c>
      <c r="J114" s="479">
        <f t="shared" si="390"/>
        <v>5509493</v>
      </c>
      <c r="K114" s="479">
        <f t="shared" si="390"/>
        <v>4541305</v>
      </c>
      <c r="L114" s="479">
        <f t="shared" si="390"/>
        <v>968188</v>
      </c>
      <c r="M114" s="479">
        <f t="shared" si="390"/>
        <v>0</v>
      </c>
      <c r="N114" s="479">
        <f t="shared" si="390"/>
        <v>0</v>
      </c>
      <c r="O114" s="479">
        <f t="shared" si="390"/>
        <v>0</v>
      </c>
      <c r="P114" s="479">
        <f t="shared" si="390"/>
        <v>1862208</v>
      </c>
      <c r="Q114" s="479">
        <f t="shared" si="390"/>
        <v>55095</v>
      </c>
      <c r="R114" s="479">
        <f t="shared" si="390"/>
        <v>29274</v>
      </c>
      <c r="S114" s="480">
        <f t="shared" si="390"/>
        <v>11.093399999999999</v>
      </c>
      <c r="T114" s="480">
        <f t="shared" si="390"/>
        <v>8</v>
      </c>
      <c r="U114" s="335">
        <f t="shared" si="390"/>
        <v>3.0933999999999999</v>
      </c>
      <c r="V114" s="484">
        <f t="shared" si="390"/>
        <v>0</v>
      </c>
      <c r="W114" s="479">
        <f t="shared" si="390"/>
        <v>-3200</v>
      </c>
      <c r="X114" s="479">
        <f t="shared" si="390"/>
        <v>1161917</v>
      </c>
      <c r="Y114" s="479">
        <f t="shared" si="390"/>
        <v>0</v>
      </c>
      <c r="Z114" s="479">
        <f t="shared" si="390"/>
        <v>0</v>
      </c>
      <c r="AA114" s="479">
        <f t="shared" si="390"/>
        <v>0</v>
      </c>
      <c r="AB114" s="479">
        <f t="shared" si="390"/>
        <v>0</v>
      </c>
      <c r="AC114" s="479">
        <f t="shared" si="390"/>
        <v>0</v>
      </c>
      <c r="AD114" s="479">
        <f t="shared" si="390"/>
        <v>0</v>
      </c>
      <c r="AE114" s="479">
        <f t="shared" si="390"/>
        <v>0</v>
      </c>
      <c r="AF114" s="479">
        <f t="shared" si="390"/>
        <v>1161917</v>
      </c>
      <c r="AG114" s="479">
        <f t="shared" si="390"/>
        <v>-3200</v>
      </c>
      <c r="AH114" s="479">
        <f t="shared" si="390"/>
        <v>1158717</v>
      </c>
      <c r="AI114" s="479">
        <f t="shared" si="390"/>
        <v>0</v>
      </c>
      <c r="AJ114" s="479">
        <f t="shared" si="390"/>
        <v>3200</v>
      </c>
      <c r="AK114" s="479">
        <f t="shared" ref="AK114" si="391">SUM(AK111:AK113)</f>
        <v>0</v>
      </c>
      <c r="AL114" s="479">
        <f t="shared" si="390"/>
        <v>0</v>
      </c>
      <c r="AM114" s="479">
        <f t="shared" si="390"/>
        <v>0</v>
      </c>
      <c r="AN114" s="479">
        <f t="shared" si="390"/>
        <v>0</v>
      </c>
      <c r="AO114" s="479">
        <f t="shared" si="390"/>
        <v>0</v>
      </c>
      <c r="AP114" s="479">
        <f t="shared" si="390"/>
        <v>3200</v>
      </c>
      <c r="AQ114" s="479">
        <f t="shared" si="390"/>
        <v>3200</v>
      </c>
      <c r="AR114" s="479">
        <f t="shared" si="390"/>
        <v>1161917</v>
      </c>
      <c r="AS114" s="479">
        <f t="shared" si="390"/>
        <v>0</v>
      </c>
      <c r="AT114" s="479">
        <f t="shared" si="390"/>
        <v>1161917</v>
      </c>
      <c r="AU114" s="479">
        <f t="shared" si="390"/>
        <v>392728</v>
      </c>
      <c r="AV114" s="479">
        <f t="shared" si="390"/>
        <v>11587</v>
      </c>
      <c r="AW114" s="479">
        <f t="shared" si="390"/>
        <v>0</v>
      </c>
      <c r="AX114" s="479">
        <f t="shared" si="390"/>
        <v>0</v>
      </c>
      <c r="AY114" s="479">
        <f t="shared" si="390"/>
        <v>0</v>
      </c>
      <c r="AZ114" s="479">
        <f t="shared" si="390"/>
        <v>1566232</v>
      </c>
      <c r="BA114" s="480">
        <f t="shared" si="390"/>
        <v>0</v>
      </c>
      <c r="BB114" s="480">
        <f t="shared" si="390"/>
        <v>0</v>
      </c>
      <c r="BC114" s="480">
        <f t="shared" si="390"/>
        <v>3.1</v>
      </c>
      <c r="BD114" s="480">
        <f t="shared" si="390"/>
        <v>0</v>
      </c>
      <c r="BE114" s="480">
        <f t="shared" si="390"/>
        <v>0</v>
      </c>
      <c r="BF114" s="480">
        <f t="shared" si="390"/>
        <v>0</v>
      </c>
      <c r="BG114" s="480">
        <f t="shared" si="390"/>
        <v>0</v>
      </c>
      <c r="BH114" s="480">
        <f t="shared" si="390"/>
        <v>0</v>
      </c>
      <c r="BI114" s="480">
        <f t="shared" si="390"/>
        <v>0</v>
      </c>
      <c r="BJ114" s="480">
        <f t="shared" si="390"/>
        <v>0</v>
      </c>
      <c r="BK114" s="480">
        <f t="shared" si="390"/>
        <v>3.1</v>
      </c>
      <c r="BL114" s="480">
        <f t="shared" si="390"/>
        <v>0</v>
      </c>
      <c r="BM114" s="560">
        <f t="shared" si="390"/>
        <v>3.1</v>
      </c>
      <c r="BN114" s="482">
        <f t="shared" si="390"/>
        <v>9022302</v>
      </c>
      <c r="BO114" s="479">
        <f t="shared" si="390"/>
        <v>6668210</v>
      </c>
      <c r="BP114" s="479">
        <f t="shared" si="390"/>
        <v>5703222</v>
      </c>
      <c r="BQ114" s="479">
        <f t="shared" si="390"/>
        <v>964988</v>
      </c>
      <c r="BR114" s="479">
        <f t="shared" si="390"/>
        <v>3200</v>
      </c>
      <c r="BS114" s="479">
        <f t="shared" si="390"/>
        <v>0</v>
      </c>
      <c r="BT114" s="479">
        <f t="shared" si="390"/>
        <v>3200</v>
      </c>
      <c r="BU114" s="479">
        <f t="shared" si="390"/>
        <v>2254936</v>
      </c>
      <c r="BV114" s="479">
        <f t="shared" ref="BV114:CF114" si="392">SUM(BV111:BV113)</f>
        <v>66682</v>
      </c>
      <c r="BW114" s="479">
        <f t="shared" si="392"/>
        <v>29274</v>
      </c>
      <c r="BX114" s="480">
        <f t="shared" si="392"/>
        <v>14.193399999999999</v>
      </c>
      <c r="BY114" s="480">
        <f t="shared" si="392"/>
        <v>11.1</v>
      </c>
      <c r="BZ114" s="560">
        <f t="shared" si="392"/>
        <v>3.0933999999999999</v>
      </c>
      <c r="CA114" s="886">
        <f t="shared" si="392"/>
        <v>0</v>
      </c>
      <c r="CB114" s="884">
        <f t="shared" si="392"/>
        <v>0</v>
      </c>
      <c r="CC114" s="884">
        <f t="shared" si="392"/>
        <v>0</v>
      </c>
      <c r="CD114" s="884">
        <f t="shared" si="392"/>
        <v>0</v>
      </c>
      <c r="CE114" s="884">
        <f t="shared" si="392"/>
        <v>0</v>
      </c>
      <c r="CF114" s="846">
        <f t="shared" si="392"/>
        <v>0</v>
      </c>
    </row>
    <row r="115" spans="1:84" ht="12.95" customHeight="1" x14ac:dyDescent="0.25">
      <c r="A115" s="282">
        <v>21</v>
      </c>
      <c r="B115" s="323">
        <v>5423</v>
      </c>
      <c r="C115" s="324">
        <v>600098516</v>
      </c>
      <c r="D115" s="283">
        <v>72742453</v>
      </c>
      <c r="E115" s="325" t="s">
        <v>391</v>
      </c>
      <c r="F115" s="283">
        <v>3111</v>
      </c>
      <c r="G115" s="325" t="s">
        <v>305</v>
      </c>
      <c r="H115" s="286" t="s">
        <v>271</v>
      </c>
      <c r="I115" s="423">
        <f t="shared" ref="I115:I117" si="393">J115+P115+Q115+R115</f>
        <v>10444834</v>
      </c>
      <c r="J115" s="418">
        <f t="shared" si="276"/>
        <v>7719626</v>
      </c>
      <c r="K115" s="418">
        <v>6958034</v>
      </c>
      <c r="L115" s="418">
        <v>761592</v>
      </c>
      <c r="M115" s="418">
        <f t="shared" ref="M115:M117" si="394">N115+O115</f>
        <v>0</v>
      </c>
      <c r="N115" s="418">
        <v>0</v>
      </c>
      <c r="O115" s="418">
        <v>0</v>
      </c>
      <c r="P115" s="68">
        <f t="shared" ref="P115:P117" si="395">ROUND((J115+M115)*33.8%,0)</f>
        <v>2609234</v>
      </c>
      <c r="Q115" s="68">
        <f t="shared" ref="Q115:Q117" si="396">ROUND(J115*1%,0)</f>
        <v>77196</v>
      </c>
      <c r="R115" s="418">
        <v>38778</v>
      </c>
      <c r="S115" s="419">
        <f>T115+U115</f>
        <v>14.5557</v>
      </c>
      <c r="T115" s="420">
        <v>11.935499999999999</v>
      </c>
      <c r="U115" s="527">
        <v>2.6202000000000001</v>
      </c>
      <c r="V115" s="427">
        <f t="shared" ref="V115:W117" si="397">AI115*-1</f>
        <v>0</v>
      </c>
      <c r="W115" s="421">
        <f t="shared" si="397"/>
        <v>0</v>
      </c>
      <c r="X115" s="421">
        <v>0</v>
      </c>
      <c r="Y115" s="421">
        <v>0</v>
      </c>
      <c r="Z115" s="421">
        <v>0</v>
      </c>
      <c r="AA115" s="421">
        <v>0</v>
      </c>
      <c r="AB115" s="421">
        <v>0</v>
      </c>
      <c r="AC115" s="421">
        <v>0</v>
      </c>
      <c r="AD115" s="421">
        <v>0</v>
      </c>
      <c r="AE115" s="421">
        <v>0</v>
      </c>
      <c r="AF115" s="421">
        <f>V115+X115+Y115+AA115+AB115+AD115</f>
        <v>0</v>
      </c>
      <c r="AG115" s="421">
        <f>W115+Z115+AC115+AE115</f>
        <v>0</v>
      </c>
      <c r="AH115" s="421">
        <f>SUM(AF115:AG115)</f>
        <v>0</v>
      </c>
      <c r="AI115" s="421">
        <v>0</v>
      </c>
      <c r="AJ115" s="421">
        <v>0</v>
      </c>
      <c r="AK115" s="421">
        <v>0</v>
      </c>
      <c r="AL115" s="421">
        <v>0</v>
      </c>
      <c r="AM115" s="421">
        <v>0</v>
      </c>
      <c r="AN115" s="421">
        <v>0</v>
      </c>
      <c r="AO115" s="421">
        <f t="shared" ref="AO115:AO117" si="398">AI115+AK115+AL115+AM115</f>
        <v>0</v>
      </c>
      <c r="AP115" s="421">
        <f>AJ115+AN115</f>
        <v>0</v>
      </c>
      <c r="AQ115" s="421">
        <f>SUM(AO115:AP115)</f>
        <v>0</v>
      </c>
      <c r="AR115" s="421">
        <f t="shared" ref="AR115:AS117" si="399">AF115+AO115</f>
        <v>0</v>
      </c>
      <c r="AS115" s="421">
        <f t="shared" si="399"/>
        <v>0</v>
      </c>
      <c r="AT115" s="421">
        <f>SUM(AR115:AS115)</f>
        <v>0</v>
      </c>
      <c r="AU115" s="68">
        <f t="shared" ref="AU115:AU117" si="400">ROUND((AH115+AI115+AJ115+AK115+AL115)*33.8%,0)</f>
        <v>0</v>
      </c>
      <c r="AV115" s="68">
        <f>ROUND(AH115*1%,0)</f>
        <v>0</v>
      </c>
      <c r="AW115" s="421">
        <v>0</v>
      </c>
      <c r="AX115" s="421">
        <v>0</v>
      </c>
      <c r="AY115" s="421">
        <f>AW115+AX115</f>
        <v>0</v>
      </c>
      <c r="AZ115" s="421">
        <f>AT115+AU115+AV115+AY115</f>
        <v>0</v>
      </c>
      <c r="BA115" s="422">
        <v>0</v>
      </c>
      <c r="BB115" s="422">
        <v>0</v>
      </c>
      <c r="BC115" s="422">
        <v>0</v>
      </c>
      <c r="BD115" s="422">
        <v>0</v>
      </c>
      <c r="BE115" s="422">
        <v>0</v>
      </c>
      <c r="BF115" s="422">
        <v>0</v>
      </c>
      <c r="BG115" s="422">
        <v>0</v>
      </c>
      <c r="BH115" s="422">
        <v>0</v>
      </c>
      <c r="BI115" s="422">
        <v>0</v>
      </c>
      <c r="BJ115" s="422">
        <v>0</v>
      </c>
      <c r="BK115" s="422">
        <f>BA115+BC115+BD115+BF115+BH115+BI115</f>
        <v>0</v>
      </c>
      <c r="BL115" s="422">
        <f>BB115+BE115+BG115+BJ115</f>
        <v>0</v>
      </c>
      <c r="BM115" s="611">
        <f>SUM(BK115:BL115)</f>
        <v>0</v>
      </c>
      <c r="BN115" s="428">
        <f>I115+AZ115</f>
        <v>10444834</v>
      </c>
      <c r="BO115" s="421">
        <f>J115+AH115</f>
        <v>7719626</v>
      </c>
      <c r="BP115" s="421">
        <f t="shared" ref="BP115:BQ117" si="401">K115+AF115</f>
        <v>6958034</v>
      </c>
      <c r="BQ115" s="421">
        <f t="shared" si="401"/>
        <v>761592</v>
      </c>
      <c r="BR115" s="421">
        <f>M115+AQ115</f>
        <v>0</v>
      </c>
      <c r="BS115" s="421">
        <f t="shared" ref="BS115:BT117" si="402">N115+AO115</f>
        <v>0</v>
      </c>
      <c r="BT115" s="421">
        <f t="shared" si="402"/>
        <v>0</v>
      </c>
      <c r="BU115" s="421">
        <f t="shared" ref="BU115:BV117" si="403">P115+AU115</f>
        <v>2609234</v>
      </c>
      <c r="BV115" s="421">
        <f t="shared" si="403"/>
        <v>77196</v>
      </c>
      <c r="BW115" s="421">
        <f>R115+AY115</f>
        <v>38778</v>
      </c>
      <c r="BX115" s="422">
        <f>S115+BM115</f>
        <v>14.5557</v>
      </c>
      <c r="BY115" s="422">
        <f t="shared" ref="BY115:BZ117" si="404">T115+BK115</f>
        <v>11.935499999999999</v>
      </c>
      <c r="BZ115" s="611">
        <f t="shared" si="404"/>
        <v>2.6202000000000001</v>
      </c>
      <c r="CA115" s="875"/>
      <c r="CB115" s="872"/>
      <c r="CC115" s="872"/>
      <c r="CD115" s="872"/>
      <c r="CE115" s="872"/>
      <c r="CF115" s="876"/>
    </row>
    <row r="116" spans="1:84" ht="12.95" customHeight="1" x14ac:dyDescent="0.25">
      <c r="A116" s="282">
        <v>21</v>
      </c>
      <c r="B116" s="323">
        <v>5423</v>
      </c>
      <c r="C116" s="324">
        <v>600098516</v>
      </c>
      <c r="D116" s="283">
        <v>72742453</v>
      </c>
      <c r="E116" s="325" t="s">
        <v>391</v>
      </c>
      <c r="F116" s="283">
        <v>3111</v>
      </c>
      <c r="G116" s="325" t="s">
        <v>299</v>
      </c>
      <c r="H116" s="286" t="s">
        <v>272</v>
      </c>
      <c r="I116" s="423">
        <f t="shared" si="393"/>
        <v>0</v>
      </c>
      <c r="J116" s="418">
        <f t="shared" si="276"/>
        <v>0</v>
      </c>
      <c r="K116" s="418">
        <v>0</v>
      </c>
      <c r="L116" s="418">
        <v>0</v>
      </c>
      <c r="M116" s="418">
        <f>N116+O116</f>
        <v>0</v>
      </c>
      <c r="N116" s="418">
        <v>0</v>
      </c>
      <c r="O116" s="418">
        <v>0</v>
      </c>
      <c r="P116" s="68">
        <f t="shared" si="395"/>
        <v>0</v>
      </c>
      <c r="Q116" s="68">
        <f t="shared" si="396"/>
        <v>0</v>
      </c>
      <c r="R116" s="418">
        <v>0</v>
      </c>
      <c r="S116" s="419">
        <f>T116+U116</f>
        <v>0</v>
      </c>
      <c r="T116" s="420">
        <v>0</v>
      </c>
      <c r="U116" s="527">
        <v>0</v>
      </c>
      <c r="V116" s="427">
        <f t="shared" si="397"/>
        <v>0</v>
      </c>
      <c r="W116" s="421">
        <f t="shared" si="397"/>
        <v>0</v>
      </c>
      <c r="X116" s="421">
        <v>1112403</v>
      </c>
      <c r="Y116" s="421">
        <v>0</v>
      </c>
      <c r="Z116" s="421">
        <v>0</v>
      </c>
      <c r="AA116" s="421">
        <v>0</v>
      </c>
      <c r="AB116" s="421">
        <v>0</v>
      </c>
      <c r="AC116" s="421">
        <v>0</v>
      </c>
      <c r="AD116" s="421">
        <v>0</v>
      </c>
      <c r="AE116" s="421">
        <v>0</v>
      </c>
      <c r="AF116" s="421">
        <f>V116+X116+Y116+AA116+AB116+AD116</f>
        <v>1112403</v>
      </c>
      <c r="AG116" s="421">
        <f>W116+Z116+AC116+AE116</f>
        <v>0</v>
      </c>
      <c r="AH116" s="421">
        <f>SUM(AF116:AG116)</f>
        <v>1112403</v>
      </c>
      <c r="AI116" s="421">
        <v>0</v>
      </c>
      <c r="AJ116" s="421">
        <v>0</v>
      </c>
      <c r="AK116" s="421">
        <v>0</v>
      </c>
      <c r="AL116" s="421">
        <v>0</v>
      </c>
      <c r="AM116" s="421">
        <v>0</v>
      </c>
      <c r="AN116" s="421">
        <v>0</v>
      </c>
      <c r="AO116" s="421">
        <f t="shared" si="398"/>
        <v>0</v>
      </c>
      <c r="AP116" s="421">
        <f>AJ116+AN116</f>
        <v>0</v>
      </c>
      <c r="AQ116" s="421">
        <f>SUM(AO116:AP116)</f>
        <v>0</v>
      </c>
      <c r="AR116" s="421">
        <f t="shared" si="399"/>
        <v>1112403</v>
      </c>
      <c r="AS116" s="421">
        <f t="shared" si="399"/>
        <v>0</v>
      </c>
      <c r="AT116" s="421">
        <f>SUM(AR116:AS116)</f>
        <v>1112403</v>
      </c>
      <c r="AU116" s="68">
        <f t="shared" si="400"/>
        <v>375992</v>
      </c>
      <c r="AV116" s="68">
        <f>ROUND(AH116*1%,0)</f>
        <v>11124</v>
      </c>
      <c r="AW116" s="421">
        <v>0</v>
      </c>
      <c r="AX116" s="421">
        <v>0</v>
      </c>
      <c r="AY116" s="421">
        <f>AW116+AX116</f>
        <v>0</v>
      </c>
      <c r="AZ116" s="421">
        <f>AT116+AU116+AV116+AY116</f>
        <v>1499519</v>
      </c>
      <c r="BA116" s="422">
        <v>0</v>
      </c>
      <c r="BB116" s="422">
        <v>0</v>
      </c>
      <c r="BC116" s="422">
        <v>3</v>
      </c>
      <c r="BD116" s="422">
        <v>0</v>
      </c>
      <c r="BE116" s="422">
        <v>0</v>
      </c>
      <c r="BF116" s="422">
        <v>0</v>
      </c>
      <c r="BG116" s="422">
        <v>0</v>
      </c>
      <c r="BH116" s="422">
        <v>0</v>
      </c>
      <c r="BI116" s="422">
        <v>0</v>
      </c>
      <c r="BJ116" s="422">
        <v>0</v>
      </c>
      <c r="BK116" s="422">
        <f>BA116+BC116+BD116+BF116+BH116+BI116</f>
        <v>3</v>
      </c>
      <c r="BL116" s="422">
        <f>BB116+BE116+BG116+BJ116</f>
        <v>0</v>
      </c>
      <c r="BM116" s="611">
        <f>SUM(BK116:BL116)</f>
        <v>3</v>
      </c>
      <c r="BN116" s="428">
        <f>I116+AZ116</f>
        <v>1499519</v>
      </c>
      <c r="BO116" s="421">
        <f>J116+AH116</f>
        <v>1112403</v>
      </c>
      <c r="BP116" s="421">
        <f t="shared" si="401"/>
        <v>1112403</v>
      </c>
      <c r="BQ116" s="421">
        <f t="shared" si="401"/>
        <v>0</v>
      </c>
      <c r="BR116" s="421">
        <f>M116+AQ116</f>
        <v>0</v>
      </c>
      <c r="BS116" s="421">
        <f t="shared" si="402"/>
        <v>0</v>
      </c>
      <c r="BT116" s="421">
        <f t="shared" si="402"/>
        <v>0</v>
      </c>
      <c r="BU116" s="421">
        <f t="shared" si="403"/>
        <v>375992</v>
      </c>
      <c r="BV116" s="421">
        <f t="shared" si="403"/>
        <v>11124</v>
      </c>
      <c r="BW116" s="421">
        <f>R116+AY116</f>
        <v>0</v>
      </c>
      <c r="BX116" s="422">
        <f>S116+BM116</f>
        <v>3</v>
      </c>
      <c r="BY116" s="422">
        <f t="shared" si="404"/>
        <v>3</v>
      </c>
      <c r="BZ116" s="611">
        <f t="shared" si="404"/>
        <v>0</v>
      </c>
      <c r="CA116" s="875"/>
      <c r="CB116" s="872"/>
      <c r="CC116" s="872"/>
      <c r="CD116" s="872"/>
      <c r="CE116" s="872"/>
      <c r="CF116" s="876"/>
    </row>
    <row r="117" spans="1:84" ht="12.95" customHeight="1" x14ac:dyDescent="0.25">
      <c r="A117" s="282">
        <v>21</v>
      </c>
      <c r="B117" s="323">
        <v>5423</v>
      </c>
      <c r="C117" s="324">
        <v>600098516</v>
      </c>
      <c r="D117" s="283">
        <v>72742453</v>
      </c>
      <c r="E117" s="325" t="s">
        <v>391</v>
      </c>
      <c r="F117" s="283">
        <v>3141</v>
      </c>
      <c r="G117" s="325" t="s">
        <v>295</v>
      </c>
      <c r="H117" s="286" t="s">
        <v>272</v>
      </c>
      <c r="I117" s="423">
        <f t="shared" si="393"/>
        <v>1117010</v>
      </c>
      <c r="J117" s="418">
        <f t="shared" si="276"/>
        <v>824796</v>
      </c>
      <c r="K117" s="418">
        <v>0</v>
      </c>
      <c r="L117" s="418">
        <v>824796</v>
      </c>
      <c r="M117" s="418">
        <f t="shared" si="394"/>
        <v>0</v>
      </c>
      <c r="N117" s="418">
        <v>0</v>
      </c>
      <c r="O117" s="418">
        <v>0</v>
      </c>
      <c r="P117" s="68">
        <f t="shared" si="395"/>
        <v>278781</v>
      </c>
      <c r="Q117" s="68">
        <f t="shared" si="396"/>
        <v>8248</v>
      </c>
      <c r="R117" s="418">
        <v>5185</v>
      </c>
      <c r="S117" s="419">
        <f>T117+U117</f>
        <v>2.4733000000000001</v>
      </c>
      <c r="T117" s="420">
        <v>0</v>
      </c>
      <c r="U117" s="527">
        <v>2.4733000000000001</v>
      </c>
      <c r="V117" s="427">
        <f t="shared" si="397"/>
        <v>0</v>
      </c>
      <c r="W117" s="421">
        <f t="shared" si="397"/>
        <v>0</v>
      </c>
      <c r="X117" s="421">
        <v>0</v>
      </c>
      <c r="Y117" s="421">
        <v>0</v>
      </c>
      <c r="Z117" s="421">
        <v>0</v>
      </c>
      <c r="AA117" s="421">
        <v>0</v>
      </c>
      <c r="AB117" s="421">
        <v>0</v>
      </c>
      <c r="AC117" s="421">
        <v>0</v>
      </c>
      <c r="AD117" s="421">
        <v>0</v>
      </c>
      <c r="AE117" s="421">
        <v>0</v>
      </c>
      <c r="AF117" s="421">
        <f>V117+X117+Y117+AA117+AB117+AD117</f>
        <v>0</v>
      </c>
      <c r="AG117" s="421">
        <f>W117+Z117+AC117+AE117</f>
        <v>0</v>
      </c>
      <c r="AH117" s="421">
        <f>SUM(AF117:AG117)</f>
        <v>0</v>
      </c>
      <c r="AI117" s="421">
        <v>0</v>
      </c>
      <c r="AJ117" s="421">
        <v>0</v>
      </c>
      <c r="AK117" s="421">
        <v>0</v>
      </c>
      <c r="AL117" s="421">
        <v>0</v>
      </c>
      <c r="AM117" s="421">
        <v>0</v>
      </c>
      <c r="AN117" s="421">
        <v>0</v>
      </c>
      <c r="AO117" s="421">
        <f t="shared" si="398"/>
        <v>0</v>
      </c>
      <c r="AP117" s="421">
        <f>AJ117+AN117</f>
        <v>0</v>
      </c>
      <c r="AQ117" s="421">
        <f>SUM(AO117:AP117)</f>
        <v>0</v>
      </c>
      <c r="AR117" s="421">
        <f t="shared" si="399"/>
        <v>0</v>
      </c>
      <c r="AS117" s="421">
        <f t="shared" si="399"/>
        <v>0</v>
      </c>
      <c r="AT117" s="421">
        <f>SUM(AR117:AS117)</f>
        <v>0</v>
      </c>
      <c r="AU117" s="68">
        <f t="shared" si="400"/>
        <v>0</v>
      </c>
      <c r="AV117" s="68">
        <f>ROUND(AH117*1%,0)</f>
        <v>0</v>
      </c>
      <c r="AW117" s="421">
        <v>0</v>
      </c>
      <c r="AX117" s="421">
        <v>0</v>
      </c>
      <c r="AY117" s="421">
        <f>AW117+AX117</f>
        <v>0</v>
      </c>
      <c r="AZ117" s="421">
        <f>AT117+AU117+AV117+AY117</f>
        <v>0</v>
      </c>
      <c r="BA117" s="422">
        <v>0</v>
      </c>
      <c r="BB117" s="422">
        <v>0</v>
      </c>
      <c r="BC117" s="422">
        <v>0</v>
      </c>
      <c r="BD117" s="422">
        <v>0</v>
      </c>
      <c r="BE117" s="422">
        <v>0</v>
      </c>
      <c r="BF117" s="422">
        <v>0</v>
      </c>
      <c r="BG117" s="422">
        <v>0</v>
      </c>
      <c r="BH117" s="422">
        <v>0</v>
      </c>
      <c r="BI117" s="422">
        <v>0</v>
      </c>
      <c r="BJ117" s="422">
        <v>0</v>
      </c>
      <c r="BK117" s="422">
        <f>BA117+BC117+BD117+BF117+BH117+BI117</f>
        <v>0</v>
      </c>
      <c r="BL117" s="422">
        <f>BB117+BE117+BG117+BJ117</f>
        <v>0</v>
      </c>
      <c r="BM117" s="611">
        <f>SUM(BK117:BL117)</f>
        <v>0</v>
      </c>
      <c r="BN117" s="428">
        <f>I117+AZ117</f>
        <v>1117010</v>
      </c>
      <c r="BO117" s="421">
        <f>J117+AH117</f>
        <v>824796</v>
      </c>
      <c r="BP117" s="421">
        <f t="shared" si="401"/>
        <v>0</v>
      </c>
      <c r="BQ117" s="421">
        <f t="shared" si="401"/>
        <v>824796</v>
      </c>
      <c r="BR117" s="421">
        <f>M117+AQ117</f>
        <v>0</v>
      </c>
      <c r="BS117" s="421">
        <f t="shared" si="402"/>
        <v>0</v>
      </c>
      <c r="BT117" s="421">
        <f t="shared" si="402"/>
        <v>0</v>
      </c>
      <c r="BU117" s="421">
        <f t="shared" si="403"/>
        <v>278781</v>
      </c>
      <c r="BV117" s="421">
        <f t="shared" si="403"/>
        <v>8248</v>
      </c>
      <c r="BW117" s="421">
        <f>R117+AY117</f>
        <v>5185</v>
      </c>
      <c r="BX117" s="422">
        <f>S117+BM117</f>
        <v>2.4733000000000001</v>
      </c>
      <c r="BY117" s="422">
        <f t="shared" si="404"/>
        <v>0</v>
      </c>
      <c r="BZ117" s="611">
        <f t="shared" si="404"/>
        <v>2.4733000000000001</v>
      </c>
      <c r="CA117" s="875"/>
      <c r="CB117" s="872"/>
      <c r="CC117" s="872"/>
      <c r="CD117" s="872"/>
      <c r="CE117" s="872"/>
      <c r="CF117" s="876"/>
    </row>
    <row r="118" spans="1:84" ht="12.95" customHeight="1" x14ac:dyDescent="0.25">
      <c r="A118" s="326">
        <v>21</v>
      </c>
      <c r="B118" s="327">
        <v>5423</v>
      </c>
      <c r="C118" s="328">
        <v>600098516</v>
      </c>
      <c r="D118" s="327">
        <v>72742453</v>
      </c>
      <c r="E118" s="329" t="s">
        <v>392</v>
      </c>
      <c r="F118" s="293"/>
      <c r="G118" s="331"/>
      <c r="H118" s="294"/>
      <c r="I118" s="481">
        <f t="shared" ref="I118:BU118" si="405">SUM(I115:I117)</f>
        <v>11561844</v>
      </c>
      <c r="J118" s="477">
        <f t="shared" si="405"/>
        <v>8544422</v>
      </c>
      <c r="K118" s="477">
        <f t="shared" si="405"/>
        <v>6958034</v>
      </c>
      <c r="L118" s="477">
        <f t="shared" si="405"/>
        <v>1586388</v>
      </c>
      <c r="M118" s="477">
        <f t="shared" si="405"/>
        <v>0</v>
      </c>
      <c r="N118" s="477">
        <f t="shared" si="405"/>
        <v>0</v>
      </c>
      <c r="O118" s="477">
        <f t="shared" si="405"/>
        <v>0</v>
      </c>
      <c r="P118" s="477">
        <f t="shared" si="405"/>
        <v>2888015</v>
      </c>
      <c r="Q118" s="477">
        <f t="shared" si="405"/>
        <v>85444</v>
      </c>
      <c r="R118" s="477">
        <f t="shared" si="405"/>
        <v>43963</v>
      </c>
      <c r="S118" s="478">
        <f t="shared" si="405"/>
        <v>17.029</v>
      </c>
      <c r="T118" s="478">
        <f t="shared" si="405"/>
        <v>11.935499999999999</v>
      </c>
      <c r="U118" s="330">
        <f t="shared" si="405"/>
        <v>5.0935000000000006</v>
      </c>
      <c r="V118" s="483">
        <f t="shared" si="405"/>
        <v>0</v>
      </c>
      <c r="W118" s="477">
        <f t="shared" si="405"/>
        <v>0</v>
      </c>
      <c r="X118" s="477">
        <f t="shared" si="405"/>
        <v>1112403</v>
      </c>
      <c r="Y118" s="477">
        <f t="shared" si="405"/>
        <v>0</v>
      </c>
      <c r="Z118" s="477">
        <f t="shared" si="405"/>
        <v>0</v>
      </c>
      <c r="AA118" s="477">
        <f t="shared" si="405"/>
        <v>0</v>
      </c>
      <c r="AB118" s="477">
        <f t="shared" si="405"/>
        <v>0</v>
      </c>
      <c r="AC118" s="477">
        <f t="shared" si="405"/>
        <v>0</v>
      </c>
      <c r="AD118" s="477">
        <f t="shared" si="405"/>
        <v>0</v>
      </c>
      <c r="AE118" s="477">
        <f t="shared" si="405"/>
        <v>0</v>
      </c>
      <c r="AF118" s="477">
        <f t="shared" si="405"/>
        <v>1112403</v>
      </c>
      <c r="AG118" s="477">
        <f t="shared" si="405"/>
        <v>0</v>
      </c>
      <c r="AH118" s="477">
        <f t="shared" si="405"/>
        <v>1112403</v>
      </c>
      <c r="AI118" s="477">
        <f t="shared" si="405"/>
        <v>0</v>
      </c>
      <c r="AJ118" s="477">
        <f t="shared" si="405"/>
        <v>0</v>
      </c>
      <c r="AK118" s="477">
        <f t="shared" ref="AK118" si="406">SUM(AK115:AK117)</f>
        <v>0</v>
      </c>
      <c r="AL118" s="477">
        <f t="shared" si="405"/>
        <v>0</v>
      </c>
      <c r="AM118" s="477">
        <f t="shared" si="405"/>
        <v>0</v>
      </c>
      <c r="AN118" s="477">
        <f t="shared" si="405"/>
        <v>0</v>
      </c>
      <c r="AO118" s="477">
        <f t="shared" si="405"/>
        <v>0</v>
      </c>
      <c r="AP118" s="477">
        <f t="shared" si="405"/>
        <v>0</v>
      </c>
      <c r="AQ118" s="477">
        <f t="shared" si="405"/>
        <v>0</v>
      </c>
      <c r="AR118" s="477">
        <f t="shared" si="405"/>
        <v>1112403</v>
      </c>
      <c r="AS118" s="477">
        <f t="shared" si="405"/>
        <v>0</v>
      </c>
      <c r="AT118" s="477">
        <f t="shared" si="405"/>
        <v>1112403</v>
      </c>
      <c r="AU118" s="477">
        <f t="shared" si="405"/>
        <v>375992</v>
      </c>
      <c r="AV118" s="477">
        <f t="shared" si="405"/>
        <v>11124</v>
      </c>
      <c r="AW118" s="477">
        <f t="shared" si="405"/>
        <v>0</v>
      </c>
      <c r="AX118" s="477">
        <f t="shared" si="405"/>
        <v>0</v>
      </c>
      <c r="AY118" s="477">
        <f t="shared" si="405"/>
        <v>0</v>
      </c>
      <c r="AZ118" s="477">
        <f t="shared" si="405"/>
        <v>1499519</v>
      </c>
      <c r="BA118" s="478">
        <f t="shared" si="405"/>
        <v>0</v>
      </c>
      <c r="BB118" s="478">
        <f t="shared" si="405"/>
        <v>0</v>
      </c>
      <c r="BC118" s="478">
        <f t="shared" si="405"/>
        <v>3</v>
      </c>
      <c r="BD118" s="478">
        <f t="shared" si="405"/>
        <v>0</v>
      </c>
      <c r="BE118" s="478">
        <f t="shared" si="405"/>
        <v>0</v>
      </c>
      <c r="BF118" s="478">
        <f t="shared" si="405"/>
        <v>0</v>
      </c>
      <c r="BG118" s="478">
        <f t="shared" si="405"/>
        <v>0</v>
      </c>
      <c r="BH118" s="478">
        <f t="shared" si="405"/>
        <v>0</v>
      </c>
      <c r="BI118" s="478">
        <f t="shared" si="405"/>
        <v>0</v>
      </c>
      <c r="BJ118" s="478">
        <f t="shared" si="405"/>
        <v>0</v>
      </c>
      <c r="BK118" s="478">
        <f t="shared" si="405"/>
        <v>3</v>
      </c>
      <c r="BL118" s="478">
        <f t="shared" si="405"/>
        <v>0</v>
      </c>
      <c r="BM118" s="559">
        <f t="shared" si="405"/>
        <v>3</v>
      </c>
      <c r="BN118" s="481">
        <f t="shared" si="405"/>
        <v>13061363</v>
      </c>
      <c r="BO118" s="477">
        <f t="shared" si="405"/>
        <v>9656825</v>
      </c>
      <c r="BP118" s="477">
        <f t="shared" si="405"/>
        <v>8070437</v>
      </c>
      <c r="BQ118" s="477">
        <f t="shared" si="405"/>
        <v>1586388</v>
      </c>
      <c r="BR118" s="477">
        <f t="shared" si="405"/>
        <v>0</v>
      </c>
      <c r="BS118" s="477">
        <f t="shared" si="405"/>
        <v>0</v>
      </c>
      <c r="BT118" s="477">
        <f t="shared" si="405"/>
        <v>0</v>
      </c>
      <c r="BU118" s="477">
        <f t="shared" si="405"/>
        <v>3264007</v>
      </c>
      <c r="BV118" s="477">
        <f t="shared" ref="BV118:CF118" si="407">SUM(BV115:BV117)</f>
        <v>96568</v>
      </c>
      <c r="BW118" s="477">
        <f t="shared" si="407"/>
        <v>43963</v>
      </c>
      <c r="BX118" s="478">
        <f t="shared" si="407"/>
        <v>20.029000000000003</v>
      </c>
      <c r="BY118" s="478">
        <f t="shared" si="407"/>
        <v>14.935499999999999</v>
      </c>
      <c r="BZ118" s="559">
        <f t="shared" si="407"/>
        <v>5.0935000000000006</v>
      </c>
      <c r="CA118" s="885">
        <f t="shared" si="407"/>
        <v>0</v>
      </c>
      <c r="CB118" s="883">
        <f t="shared" si="407"/>
        <v>0</v>
      </c>
      <c r="CC118" s="883">
        <f t="shared" si="407"/>
        <v>0</v>
      </c>
      <c r="CD118" s="883">
        <f t="shared" si="407"/>
        <v>0</v>
      </c>
      <c r="CE118" s="883">
        <f t="shared" si="407"/>
        <v>0</v>
      </c>
      <c r="CF118" s="845">
        <f t="shared" si="407"/>
        <v>0</v>
      </c>
    </row>
    <row r="119" spans="1:84" ht="12.95" customHeight="1" x14ac:dyDescent="0.25">
      <c r="A119" s="282">
        <v>22</v>
      </c>
      <c r="B119" s="323">
        <v>5422</v>
      </c>
      <c r="C119" s="324">
        <v>600099181</v>
      </c>
      <c r="D119" s="283">
        <v>854751</v>
      </c>
      <c r="E119" s="325" t="s">
        <v>393</v>
      </c>
      <c r="F119" s="283">
        <v>3113</v>
      </c>
      <c r="G119" s="325" t="s">
        <v>309</v>
      </c>
      <c r="H119" s="286" t="s">
        <v>271</v>
      </c>
      <c r="I119" s="423">
        <f t="shared" ref="I119:I123" si="408">J119+P119+Q119+R119</f>
        <v>39728938</v>
      </c>
      <c r="J119" s="418">
        <f t="shared" si="276"/>
        <v>29016816</v>
      </c>
      <c r="K119" s="418">
        <v>27069765</v>
      </c>
      <c r="L119" s="418">
        <v>1947051</v>
      </c>
      <c r="M119" s="418">
        <f t="shared" ref="M119:M123" si="409">N119+O119</f>
        <v>0</v>
      </c>
      <c r="N119" s="418">
        <v>0</v>
      </c>
      <c r="O119" s="418">
        <v>0</v>
      </c>
      <c r="P119" s="68">
        <f t="shared" ref="P119:P123" si="410">ROUND((J119+M119)*33.8%,0)</f>
        <v>9807684</v>
      </c>
      <c r="Q119" s="68">
        <f t="shared" ref="Q119:Q123" si="411">ROUND(J119*1%,0)</f>
        <v>290168</v>
      </c>
      <c r="R119" s="418">
        <v>614270</v>
      </c>
      <c r="S119" s="419">
        <f>T119+U119</f>
        <v>44.151600000000002</v>
      </c>
      <c r="T119" s="420">
        <v>38.272500000000001</v>
      </c>
      <c r="U119" s="527">
        <v>5.8791000000000002</v>
      </c>
      <c r="V119" s="427">
        <f t="shared" ref="V119:W123" si="412">AI119*-1</f>
        <v>-264320</v>
      </c>
      <c r="W119" s="421">
        <f t="shared" si="412"/>
        <v>0</v>
      </c>
      <c r="X119" s="421">
        <v>0</v>
      </c>
      <c r="Y119" s="421">
        <v>0</v>
      </c>
      <c r="Z119" s="421">
        <v>0</v>
      </c>
      <c r="AA119" s="421">
        <v>30452</v>
      </c>
      <c r="AB119" s="421">
        <v>0</v>
      </c>
      <c r="AC119" s="421">
        <v>0</v>
      </c>
      <c r="AD119" s="421">
        <v>0</v>
      </c>
      <c r="AE119" s="421">
        <v>0</v>
      </c>
      <c r="AF119" s="421">
        <f>V119+X119+Y119+AA119+AB119+AD119</f>
        <v>-233868</v>
      </c>
      <c r="AG119" s="421">
        <f>W119+Z119+AC119+AE119</f>
        <v>0</v>
      </c>
      <c r="AH119" s="421">
        <f>SUM(AF119:AG119)</f>
        <v>-233868</v>
      </c>
      <c r="AI119" s="421">
        <v>264320</v>
      </c>
      <c r="AJ119" s="421">
        <v>0</v>
      </c>
      <c r="AK119" s="421">
        <v>225600</v>
      </c>
      <c r="AL119" s="421">
        <v>0</v>
      </c>
      <c r="AM119" s="421">
        <v>0</v>
      </c>
      <c r="AN119" s="421">
        <v>0</v>
      </c>
      <c r="AO119" s="421">
        <f t="shared" ref="AO119:AO123" si="413">AI119+AK119+AL119+AM119</f>
        <v>489920</v>
      </c>
      <c r="AP119" s="421">
        <f>AJ119+AN119</f>
        <v>0</v>
      </c>
      <c r="AQ119" s="421">
        <f>SUM(AO119:AP119)</f>
        <v>489920</v>
      </c>
      <c r="AR119" s="421">
        <f t="shared" ref="AR119:AS123" si="414">AF119+AO119</f>
        <v>256052</v>
      </c>
      <c r="AS119" s="421">
        <f t="shared" si="414"/>
        <v>0</v>
      </c>
      <c r="AT119" s="421">
        <f>SUM(AR119:AS119)</f>
        <v>256052</v>
      </c>
      <c r="AU119" s="68">
        <f t="shared" ref="AU119:AU123" si="415">ROUND((AH119+AI119+AJ119+AK119+AL119)*33.8%,0)</f>
        <v>86546</v>
      </c>
      <c r="AV119" s="68">
        <f>ROUND(AH119*1%,0)</f>
        <v>-2339</v>
      </c>
      <c r="AW119" s="421">
        <v>0</v>
      </c>
      <c r="AX119" s="421">
        <v>0</v>
      </c>
      <c r="AY119" s="421">
        <f>AW119+AX119</f>
        <v>0</v>
      </c>
      <c r="AZ119" s="421">
        <f>AT119+AU119+AV119+AY119</f>
        <v>340259</v>
      </c>
      <c r="BA119" s="422">
        <v>-0.38</v>
      </c>
      <c r="BB119" s="422">
        <v>0</v>
      </c>
      <c r="BC119" s="422">
        <v>0</v>
      </c>
      <c r="BD119" s="422">
        <v>0</v>
      </c>
      <c r="BE119" s="422">
        <v>0</v>
      </c>
      <c r="BF119" s="422">
        <v>0</v>
      </c>
      <c r="BG119" s="422">
        <v>0</v>
      </c>
      <c r="BH119" s="422">
        <v>0.04</v>
      </c>
      <c r="BI119" s="422">
        <v>0</v>
      </c>
      <c r="BJ119" s="422">
        <v>0</v>
      </c>
      <c r="BK119" s="422">
        <f>BA119+BC119+BD119+BF119+BH119+BI119</f>
        <v>-0.34</v>
      </c>
      <c r="BL119" s="422">
        <f>BB119+BE119+BG119+BJ119</f>
        <v>0</v>
      </c>
      <c r="BM119" s="611">
        <f>SUM(BK119:BL119)</f>
        <v>-0.34</v>
      </c>
      <c r="BN119" s="428">
        <f>I119+AZ119</f>
        <v>40069197</v>
      </c>
      <c r="BO119" s="421">
        <f>J119+AH119</f>
        <v>28782948</v>
      </c>
      <c r="BP119" s="421">
        <f t="shared" ref="BP119:BQ123" si="416">K119+AF119</f>
        <v>26835897</v>
      </c>
      <c r="BQ119" s="421">
        <f t="shared" si="416"/>
        <v>1947051</v>
      </c>
      <c r="BR119" s="421">
        <f>M119+AQ119</f>
        <v>489920</v>
      </c>
      <c r="BS119" s="421">
        <f t="shared" ref="BS119:BT123" si="417">N119+AO119</f>
        <v>489920</v>
      </c>
      <c r="BT119" s="421">
        <f t="shared" si="417"/>
        <v>0</v>
      </c>
      <c r="BU119" s="421">
        <f t="shared" ref="BU119:BV123" si="418">P119+AU119</f>
        <v>9894230</v>
      </c>
      <c r="BV119" s="421">
        <f t="shared" si="418"/>
        <v>287829</v>
      </c>
      <c r="BW119" s="421">
        <f>R119+AY119</f>
        <v>614270</v>
      </c>
      <c r="BX119" s="422">
        <f>S119+BM119</f>
        <v>43.811599999999999</v>
      </c>
      <c r="BY119" s="422">
        <f t="shared" ref="BY119:BZ123" si="419">T119+BK119</f>
        <v>37.932499999999997</v>
      </c>
      <c r="BZ119" s="611">
        <f t="shared" si="419"/>
        <v>5.8791000000000002</v>
      </c>
      <c r="CA119" s="904">
        <v>301853</v>
      </c>
      <c r="CB119" s="872"/>
      <c r="CC119" s="903">
        <v>225600</v>
      </c>
      <c r="CD119" s="903">
        <v>76253</v>
      </c>
      <c r="CE119" s="872"/>
      <c r="CF119" s="876"/>
    </row>
    <row r="120" spans="1:84" ht="12.95" customHeight="1" x14ac:dyDescent="0.25">
      <c r="A120" s="282">
        <v>22</v>
      </c>
      <c r="B120" s="323">
        <v>5422</v>
      </c>
      <c r="C120" s="324">
        <v>600099181</v>
      </c>
      <c r="D120" s="283">
        <v>854751</v>
      </c>
      <c r="E120" s="325" t="s">
        <v>393</v>
      </c>
      <c r="F120" s="283">
        <v>3113</v>
      </c>
      <c r="G120" s="325" t="s">
        <v>299</v>
      </c>
      <c r="H120" s="286" t="s">
        <v>272</v>
      </c>
      <c r="I120" s="423">
        <f t="shared" si="408"/>
        <v>0</v>
      </c>
      <c r="J120" s="418">
        <f t="shared" si="276"/>
        <v>0</v>
      </c>
      <c r="K120" s="418">
        <v>0</v>
      </c>
      <c r="L120" s="418">
        <v>0</v>
      </c>
      <c r="M120" s="418">
        <f>N120+O120</f>
        <v>0</v>
      </c>
      <c r="N120" s="418">
        <v>0</v>
      </c>
      <c r="O120" s="418">
        <v>0</v>
      </c>
      <c r="P120" s="68">
        <f t="shared" si="410"/>
        <v>0</v>
      </c>
      <c r="Q120" s="68">
        <f t="shared" si="411"/>
        <v>0</v>
      </c>
      <c r="R120" s="418">
        <v>0</v>
      </c>
      <c r="S120" s="419">
        <f>T120+U120</f>
        <v>0</v>
      </c>
      <c r="T120" s="420">
        <v>0</v>
      </c>
      <c r="U120" s="527">
        <v>0</v>
      </c>
      <c r="V120" s="427">
        <f t="shared" si="412"/>
        <v>0</v>
      </c>
      <c r="W120" s="421">
        <f t="shared" si="412"/>
        <v>0</v>
      </c>
      <c r="X120" s="421">
        <f>4056634-45388</f>
        <v>4011246</v>
      </c>
      <c r="Y120" s="421">
        <v>0</v>
      </c>
      <c r="Z120" s="421">
        <v>0</v>
      </c>
      <c r="AA120" s="421">
        <v>0</v>
      </c>
      <c r="AB120" s="421">
        <v>0</v>
      </c>
      <c r="AC120" s="421">
        <v>0</v>
      </c>
      <c r="AD120" s="421">
        <v>0</v>
      </c>
      <c r="AE120" s="421">
        <v>0</v>
      </c>
      <c r="AF120" s="421">
        <f>V120+X120+Y120+AA120+AB120+AD120</f>
        <v>4011246</v>
      </c>
      <c r="AG120" s="421">
        <f>W120+Z120+AC120+AE120</f>
        <v>0</v>
      </c>
      <c r="AH120" s="421">
        <f>SUM(AF120:AG120)</f>
        <v>4011246</v>
      </c>
      <c r="AI120" s="421">
        <v>0</v>
      </c>
      <c r="AJ120" s="421">
        <v>0</v>
      </c>
      <c r="AK120" s="421">
        <v>0</v>
      </c>
      <c r="AL120" s="421">
        <v>0</v>
      </c>
      <c r="AM120" s="421">
        <v>0</v>
      </c>
      <c r="AN120" s="421">
        <v>0</v>
      </c>
      <c r="AO120" s="421">
        <f t="shared" si="413"/>
        <v>0</v>
      </c>
      <c r="AP120" s="421">
        <f>AJ120+AN120</f>
        <v>0</v>
      </c>
      <c r="AQ120" s="421">
        <f>SUM(AO120:AP120)</f>
        <v>0</v>
      </c>
      <c r="AR120" s="421">
        <f t="shared" si="414"/>
        <v>4011246</v>
      </c>
      <c r="AS120" s="421">
        <f t="shared" si="414"/>
        <v>0</v>
      </c>
      <c r="AT120" s="421">
        <f>SUM(AR120:AS120)</f>
        <v>4011246</v>
      </c>
      <c r="AU120" s="68">
        <f t="shared" si="415"/>
        <v>1355801</v>
      </c>
      <c r="AV120" s="68">
        <f>ROUND(AH120*1%,0)</f>
        <v>40112</v>
      </c>
      <c r="AW120" s="421">
        <v>1000</v>
      </c>
      <c r="AX120" s="421">
        <v>0</v>
      </c>
      <c r="AY120" s="421">
        <f>AW120+AX120</f>
        <v>1000</v>
      </c>
      <c r="AZ120" s="421">
        <f>AT120+AU120+AV120+AY120</f>
        <v>5408159</v>
      </c>
      <c r="BA120" s="422">
        <v>0</v>
      </c>
      <c r="BB120" s="422">
        <v>0</v>
      </c>
      <c r="BC120" s="422">
        <f>10.75-0.09</f>
        <v>10.66</v>
      </c>
      <c r="BD120" s="422">
        <v>0</v>
      </c>
      <c r="BE120" s="422">
        <v>0</v>
      </c>
      <c r="BF120" s="422">
        <v>0</v>
      </c>
      <c r="BG120" s="422">
        <v>0</v>
      </c>
      <c r="BH120" s="422">
        <v>0</v>
      </c>
      <c r="BI120" s="422">
        <v>0</v>
      </c>
      <c r="BJ120" s="422">
        <v>0</v>
      </c>
      <c r="BK120" s="422">
        <f>BA120+BC120+BD120+BF120+BH120+BI120</f>
        <v>10.66</v>
      </c>
      <c r="BL120" s="422">
        <f>BB120+BE120+BG120+BJ120</f>
        <v>0</v>
      </c>
      <c r="BM120" s="611">
        <f>SUM(BK120:BL120)</f>
        <v>10.66</v>
      </c>
      <c r="BN120" s="428">
        <f>I120+AZ120</f>
        <v>5408159</v>
      </c>
      <c r="BO120" s="421">
        <f>J120+AH120</f>
        <v>4011246</v>
      </c>
      <c r="BP120" s="421">
        <f t="shared" si="416"/>
        <v>4011246</v>
      </c>
      <c r="BQ120" s="421">
        <f t="shared" si="416"/>
        <v>0</v>
      </c>
      <c r="BR120" s="421">
        <f>M120+AQ120</f>
        <v>0</v>
      </c>
      <c r="BS120" s="421">
        <f t="shared" si="417"/>
        <v>0</v>
      </c>
      <c r="BT120" s="421">
        <f t="shared" si="417"/>
        <v>0</v>
      </c>
      <c r="BU120" s="421">
        <f t="shared" si="418"/>
        <v>1355801</v>
      </c>
      <c r="BV120" s="421">
        <f t="shared" si="418"/>
        <v>40112</v>
      </c>
      <c r="BW120" s="421">
        <f>R120+AY120</f>
        <v>1000</v>
      </c>
      <c r="BX120" s="422">
        <f>S120+BM120</f>
        <v>10.66</v>
      </c>
      <c r="BY120" s="422">
        <f t="shared" si="419"/>
        <v>10.66</v>
      </c>
      <c r="BZ120" s="611">
        <f t="shared" si="419"/>
        <v>0</v>
      </c>
      <c r="CA120" s="875"/>
      <c r="CB120" s="872"/>
      <c r="CC120" s="872"/>
      <c r="CD120" s="872"/>
      <c r="CE120" s="872"/>
      <c r="CF120" s="876"/>
    </row>
    <row r="121" spans="1:84" ht="12.95" customHeight="1" x14ac:dyDescent="0.25">
      <c r="A121" s="282">
        <v>22</v>
      </c>
      <c r="B121" s="323">
        <v>5422</v>
      </c>
      <c r="C121" s="324">
        <v>600099181</v>
      </c>
      <c r="D121" s="283">
        <v>854751</v>
      </c>
      <c r="E121" s="325" t="s">
        <v>393</v>
      </c>
      <c r="F121" s="283">
        <v>3141</v>
      </c>
      <c r="G121" s="325" t="s">
        <v>295</v>
      </c>
      <c r="H121" s="286" t="s">
        <v>272</v>
      </c>
      <c r="I121" s="423">
        <f t="shared" si="408"/>
        <v>2490759</v>
      </c>
      <c r="J121" s="418">
        <f t="shared" si="276"/>
        <v>1831906</v>
      </c>
      <c r="K121" s="418">
        <v>0</v>
      </c>
      <c r="L121" s="418">
        <v>1831906</v>
      </c>
      <c r="M121" s="418">
        <f t="shared" si="409"/>
        <v>0</v>
      </c>
      <c r="N121" s="418">
        <v>0</v>
      </c>
      <c r="O121" s="418">
        <v>0</v>
      </c>
      <c r="P121" s="68">
        <f t="shared" si="410"/>
        <v>619184</v>
      </c>
      <c r="Q121" s="68">
        <f t="shared" si="411"/>
        <v>18319</v>
      </c>
      <c r="R121" s="418">
        <v>21350</v>
      </c>
      <c r="S121" s="419">
        <f>T121+U121</f>
        <v>5.4932999999999996</v>
      </c>
      <c r="T121" s="420">
        <v>0</v>
      </c>
      <c r="U121" s="527">
        <v>5.4932999999999996</v>
      </c>
      <c r="V121" s="427">
        <f t="shared" si="412"/>
        <v>0</v>
      </c>
      <c r="W121" s="421">
        <f t="shared" si="412"/>
        <v>0</v>
      </c>
      <c r="X121" s="421">
        <v>0</v>
      </c>
      <c r="Y121" s="421">
        <v>0</v>
      </c>
      <c r="Z121" s="421">
        <v>0</v>
      </c>
      <c r="AA121" s="421">
        <v>0</v>
      </c>
      <c r="AB121" s="421">
        <v>0</v>
      </c>
      <c r="AC121" s="421">
        <v>0</v>
      </c>
      <c r="AD121" s="421">
        <v>0</v>
      </c>
      <c r="AE121" s="421">
        <v>0</v>
      </c>
      <c r="AF121" s="421">
        <f>V121+X121+Y121+AA121+AB121+AD121</f>
        <v>0</v>
      </c>
      <c r="AG121" s="421">
        <f>W121+Z121+AC121+AE121</f>
        <v>0</v>
      </c>
      <c r="AH121" s="421">
        <f>SUM(AF121:AG121)</f>
        <v>0</v>
      </c>
      <c r="AI121" s="421">
        <v>0</v>
      </c>
      <c r="AJ121" s="421">
        <v>0</v>
      </c>
      <c r="AK121" s="421">
        <v>0</v>
      </c>
      <c r="AL121" s="421">
        <v>0</v>
      </c>
      <c r="AM121" s="421">
        <v>0</v>
      </c>
      <c r="AN121" s="421">
        <v>0</v>
      </c>
      <c r="AO121" s="421">
        <f t="shared" si="413"/>
        <v>0</v>
      </c>
      <c r="AP121" s="421">
        <f>AJ121+AN121</f>
        <v>0</v>
      </c>
      <c r="AQ121" s="421">
        <f>SUM(AO121:AP121)</f>
        <v>0</v>
      </c>
      <c r="AR121" s="421">
        <f t="shared" si="414"/>
        <v>0</v>
      </c>
      <c r="AS121" s="421">
        <f t="shared" si="414"/>
        <v>0</v>
      </c>
      <c r="AT121" s="421">
        <f>SUM(AR121:AS121)</f>
        <v>0</v>
      </c>
      <c r="AU121" s="68">
        <f t="shared" si="415"/>
        <v>0</v>
      </c>
      <c r="AV121" s="68">
        <f>ROUND(AH121*1%,0)</f>
        <v>0</v>
      </c>
      <c r="AW121" s="421">
        <v>0</v>
      </c>
      <c r="AX121" s="421">
        <v>0</v>
      </c>
      <c r="AY121" s="421">
        <f>AW121+AX121</f>
        <v>0</v>
      </c>
      <c r="AZ121" s="421">
        <f>AT121+AU121+AV121+AY121</f>
        <v>0</v>
      </c>
      <c r="BA121" s="422">
        <v>0</v>
      </c>
      <c r="BB121" s="422">
        <v>0</v>
      </c>
      <c r="BC121" s="422">
        <v>0</v>
      </c>
      <c r="BD121" s="422">
        <v>0</v>
      </c>
      <c r="BE121" s="422">
        <v>0</v>
      </c>
      <c r="BF121" s="422">
        <v>0</v>
      </c>
      <c r="BG121" s="422">
        <v>0</v>
      </c>
      <c r="BH121" s="422">
        <v>0</v>
      </c>
      <c r="BI121" s="422">
        <v>0</v>
      </c>
      <c r="BJ121" s="422">
        <v>0</v>
      </c>
      <c r="BK121" s="422">
        <f>BA121+BC121+BD121+BF121+BH121+BI121</f>
        <v>0</v>
      </c>
      <c r="BL121" s="422">
        <f>BB121+BE121+BG121+BJ121</f>
        <v>0</v>
      </c>
      <c r="BM121" s="611">
        <f>SUM(BK121:BL121)</f>
        <v>0</v>
      </c>
      <c r="BN121" s="428">
        <f>I121+AZ121</f>
        <v>2490759</v>
      </c>
      <c r="BO121" s="421">
        <f>J121+AH121</f>
        <v>1831906</v>
      </c>
      <c r="BP121" s="421">
        <f t="shared" si="416"/>
        <v>0</v>
      </c>
      <c r="BQ121" s="421">
        <f t="shared" si="416"/>
        <v>1831906</v>
      </c>
      <c r="BR121" s="421">
        <f>M121+AQ121</f>
        <v>0</v>
      </c>
      <c r="BS121" s="421">
        <f t="shared" si="417"/>
        <v>0</v>
      </c>
      <c r="BT121" s="421">
        <f t="shared" si="417"/>
        <v>0</v>
      </c>
      <c r="BU121" s="421">
        <f t="shared" si="418"/>
        <v>619184</v>
      </c>
      <c r="BV121" s="421">
        <f t="shared" si="418"/>
        <v>18319</v>
      </c>
      <c r="BW121" s="421">
        <f>R121+AY121</f>
        <v>21350</v>
      </c>
      <c r="BX121" s="422">
        <f>S121+BM121</f>
        <v>5.4932999999999996</v>
      </c>
      <c r="BY121" s="422">
        <f t="shared" si="419"/>
        <v>0</v>
      </c>
      <c r="BZ121" s="611">
        <f t="shared" si="419"/>
        <v>5.4932999999999996</v>
      </c>
      <c r="CA121" s="875"/>
      <c r="CB121" s="872"/>
      <c r="CC121" s="872"/>
      <c r="CD121" s="872"/>
      <c r="CE121" s="872"/>
      <c r="CF121" s="876"/>
    </row>
    <row r="122" spans="1:84" ht="12.95" customHeight="1" x14ac:dyDescent="0.25">
      <c r="A122" s="282">
        <v>22</v>
      </c>
      <c r="B122" s="323">
        <v>5422</v>
      </c>
      <c r="C122" s="324">
        <v>600099181</v>
      </c>
      <c r="D122" s="283">
        <v>854751</v>
      </c>
      <c r="E122" s="325" t="s">
        <v>393</v>
      </c>
      <c r="F122" s="283">
        <v>3143</v>
      </c>
      <c r="G122" s="325" t="s">
        <v>596</v>
      </c>
      <c r="H122" s="286" t="s">
        <v>271</v>
      </c>
      <c r="I122" s="423">
        <f t="shared" si="408"/>
        <v>2417470</v>
      </c>
      <c r="J122" s="418">
        <f t="shared" si="276"/>
        <v>1793375</v>
      </c>
      <c r="K122" s="418">
        <v>1793375</v>
      </c>
      <c r="L122" s="418">
        <v>0</v>
      </c>
      <c r="M122" s="418">
        <f t="shared" si="409"/>
        <v>0</v>
      </c>
      <c r="N122" s="418">
        <v>0</v>
      </c>
      <c r="O122" s="418">
        <v>0</v>
      </c>
      <c r="P122" s="68">
        <f t="shared" si="410"/>
        <v>606161</v>
      </c>
      <c r="Q122" s="68">
        <f t="shared" si="411"/>
        <v>17934</v>
      </c>
      <c r="R122" s="418">
        <v>0</v>
      </c>
      <c r="S122" s="419">
        <f>T122+U122</f>
        <v>3.9392</v>
      </c>
      <c r="T122" s="420">
        <v>3.9392</v>
      </c>
      <c r="U122" s="527">
        <v>0</v>
      </c>
      <c r="V122" s="427">
        <f t="shared" si="412"/>
        <v>0</v>
      </c>
      <c r="W122" s="421">
        <f t="shared" si="412"/>
        <v>0</v>
      </c>
      <c r="X122" s="421">
        <v>0</v>
      </c>
      <c r="Y122" s="421">
        <v>0</v>
      </c>
      <c r="Z122" s="421">
        <v>0</v>
      </c>
      <c r="AA122" s="421">
        <v>0</v>
      </c>
      <c r="AB122" s="421">
        <v>0</v>
      </c>
      <c r="AC122" s="421">
        <v>0</v>
      </c>
      <c r="AD122" s="421">
        <v>0</v>
      </c>
      <c r="AE122" s="421">
        <v>0</v>
      </c>
      <c r="AF122" s="421">
        <f>V122+X122+Y122+AA122+AB122+AD122</f>
        <v>0</v>
      </c>
      <c r="AG122" s="421">
        <f>W122+Z122+AC122+AE122</f>
        <v>0</v>
      </c>
      <c r="AH122" s="421">
        <f>SUM(AF122:AG122)</f>
        <v>0</v>
      </c>
      <c r="AI122" s="421">
        <v>0</v>
      </c>
      <c r="AJ122" s="421">
        <v>0</v>
      </c>
      <c r="AK122" s="421">
        <v>0</v>
      </c>
      <c r="AL122" s="421">
        <v>0</v>
      </c>
      <c r="AM122" s="421">
        <v>0</v>
      </c>
      <c r="AN122" s="421">
        <v>0</v>
      </c>
      <c r="AO122" s="421">
        <f t="shared" si="413"/>
        <v>0</v>
      </c>
      <c r="AP122" s="421">
        <f>AJ122+AN122</f>
        <v>0</v>
      </c>
      <c r="AQ122" s="421">
        <f>SUM(AO122:AP122)</f>
        <v>0</v>
      </c>
      <c r="AR122" s="421">
        <f t="shared" si="414"/>
        <v>0</v>
      </c>
      <c r="AS122" s="421">
        <f t="shared" si="414"/>
        <v>0</v>
      </c>
      <c r="AT122" s="421">
        <f>SUM(AR122:AS122)</f>
        <v>0</v>
      </c>
      <c r="AU122" s="68">
        <f t="shared" si="415"/>
        <v>0</v>
      </c>
      <c r="AV122" s="68">
        <f>ROUND(AH122*1%,0)</f>
        <v>0</v>
      </c>
      <c r="AW122" s="421">
        <v>0</v>
      </c>
      <c r="AX122" s="421">
        <v>0</v>
      </c>
      <c r="AY122" s="421">
        <f>AW122+AX122</f>
        <v>0</v>
      </c>
      <c r="AZ122" s="421">
        <f>AT122+AU122+AV122+AY122</f>
        <v>0</v>
      </c>
      <c r="BA122" s="422">
        <v>0</v>
      </c>
      <c r="BB122" s="422">
        <v>0</v>
      </c>
      <c r="BC122" s="422">
        <v>0</v>
      </c>
      <c r="BD122" s="422">
        <v>0</v>
      </c>
      <c r="BE122" s="422">
        <v>0</v>
      </c>
      <c r="BF122" s="422">
        <v>0</v>
      </c>
      <c r="BG122" s="422">
        <v>0</v>
      </c>
      <c r="BH122" s="422">
        <v>0</v>
      </c>
      <c r="BI122" s="422">
        <v>0</v>
      </c>
      <c r="BJ122" s="422">
        <v>0</v>
      </c>
      <c r="BK122" s="422">
        <f>BA122+BC122+BD122+BF122+BH122+BI122</f>
        <v>0</v>
      </c>
      <c r="BL122" s="422">
        <f>BB122+BE122+BG122+BJ122</f>
        <v>0</v>
      </c>
      <c r="BM122" s="611">
        <f>SUM(BK122:BL122)</f>
        <v>0</v>
      </c>
      <c r="BN122" s="428">
        <f>I122+AZ122</f>
        <v>2417470</v>
      </c>
      <c r="BO122" s="421">
        <f>J122+AH122</f>
        <v>1793375</v>
      </c>
      <c r="BP122" s="421">
        <f t="shared" si="416"/>
        <v>1793375</v>
      </c>
      <c r="BQ122" s="421">
        <f t="shared" si="416"/>
        <v>0</v>
      </c>
      <c r="BR122" s="421">
        <f>M122+AQ122</f>
        <v>0</v>
      </c>
      <c r="BS122" s="421">
        <f t="shared" si="417"/>
        <v>0</v>
      </c>
      <c r="BT122" s="421">
        <f t="shared" si="417"/>
        <v>0</v>
      </c>
      <c r="BU122" s="421">
        <f t="shared" si="418"/>
        <v>606161</v>
      </c>
      <c r="BV122" s="421">
        <f t="shared" si="418"/>
        <v>17934</v>
      </c>
      <c r="BW122" s="421">
        <f>R122+AY122</f>
        <v>0</v>
      </c>
      <c r="BX122" s="422">
        <f>S122+BM122</f>
        <v>3.9392</v>
      </c>
      <c r="BY122" s="422">
        <f t="shared" si="419"/>
        <v>3.9392</v>
      </c>
      <c r="BZ122" s="611">
        <f t="shared" si="419"/>
        <v>0</v>
      </c>
      <c r="CA122" s="875"/>
      <c r="CB122" s="872"/>
      <c r="CC122" s="872"/>
      <c r="CD122" s="872"/>
      <c r="CE122" s="872"/>
      <c r="CF122" s="876"/>
    </row>
    <row r="123" spans="1:84" ht="12.95" customHeight="1" x14ac:dyDescent="0.25">
      <c r="A123" s="282">
        <v>22</v>
      </c>
      <c r="B123" s="323">
        <v>5422</v>
      </c>
      <c r="C123" s="324">
        <v>600099181</v>
      </c>
      <c r="D123" s="283">
        <v>854751</v>
      </c>
      <c r="E123" s="325" t="s">
        <v>393</v>
      </c>
      <c r="F123" s="283">
        <v>3143</v>
      </c>
      <c r="G123" s="325" t="s">
        <v>597</v>
      </c>
      <c r="H123" s="286" t="s">
        <v>272</v>
      </c>
      <c r="I123" s="423">
        <f t="shared" si="408"/>
        <v>65063</v>
      </c>
      <c r="J123" s="418">
        <f t="shared" si="276"/>
        <v>46570</v>
      </c>
      <c r="K123" s="418">
        <v>0</v>
      </c>
      <c r="L123" s="418">
        <v>46570</v>
      </c>
      <c r="M123" s="418">
        <f t="shared" si="409"/>
        <v>0</v>
      </c>
      <c r="N123" s="418">
        <v>0</v>
      </c>
      <c r="O123" s="418">
        <v>0</v>
      </c>
      <c r="P123" s="68">
        <f t="shared" si="410"/>
        <v>15741</v>
      </c>
      <c r="Q123" s="68">
        <f t="shared" si="411"/>
        <v>466</v>
      </c>
      <c r="R123" s="418">
        <v>2286</v>
      </c>
      <c r="S123" s="419">
        <f>T123+U123</f>
        <v>0.1764</v>
      </c>
      <c r="T123" s="420">
        <v>0</v>
      </c>
      <c r="U123" s="527">
        <v>0.1764</v>
      </c>
      <c r="V123" s="427">
        <f t="shared" si="412"/>
        <v>0</v>
      </c>
      <c r="W123" s="421">
        <f t="shared" si="412"/>
        <v>0</v>
      </c>
      <c r="X123" s="421">
        <v>0</v>
      </c>
      <c r="Y123" s="421">
        <v>0</v>
      </c>
      <c r="Z123" s="421">
        <v>0</v>
      </c>
      <c r="AA123" s="421">
        <v>0</v>
      </c>
      <c r="AB123" s="421">
        <v>0</v>
      </c>
      <c r="AC123" s="421">
        <v>0</v>
      </c>
      <c r="AD123" s="421">
        <v>0</v>
      </c>
      <c r="AE123" s="421">
        <v>0</v>
      </c>
      <c r="AF123" s="421">
        <f>V123+X123+Y123+AA123+AB123+AD123</f>
        <v>0</v>
      </c>
      <c r="AG123" s="421">
        <f>W123+Z123+AC123+AE123</f>
        <v>0</v>
      </c>
      <c r="AH123" s="421">
        <f>SUM(AF123:AG123)</f>
        <v>0</v>
      </c>
      <c r="AI123" s="421">
        <v>0</v>
      </c>
      <c r="AJ123" s="421">
        <v>0</v>
      </c>
      <c r="AK123" s="421">
        <v>0</v>
      </c>
      <c r="AL123" s="421">
        <v>0</v>
      </c>
      <c r="AM123" s="421">
        <v>0</v>
      </c>
      <c r="AN123" s="421">
        <v>0</v>
      </c>
      <c r="AO123" s="421">
        <f t="shared" si="413"/>
        <v>0</v>
      </c>
      <c r="AP123" s="421">
        <f>AJ123+AN123</f>
        <v>0</v>
      </c>
      <c r="AQ123" s="421">
        <f>SUM(AO123:AP123)</f>
        <v>0</v>
      </c>
      <c r="AR123" s="421">
        <f t="shared" si="414"/>
        <v>0</v>
      </c>
      <c r="AS123" s="421">
        <f t="shared" si="414"/>
        <v>0</v>
      </c>
      <c r="AT123" s="421">
        <f>SUM(AR123:AS123)</f>
        <v>0</v>
      </c>
      <c r="AU123" s="68">
        <f t="shared" si="415"/>
        <v>0</v>
      </c>
      <c r="AV123" s="68">
        <f>ROUND(AH123*1%,0)</f>
        <v>0</v>
      </c>
      <c r="AW123" s="421">
        <v>0</v>
      </c>
      <c r="AX123" s="421">
        <v>0</v>
      </c>
      <c r="AY123" s="421">
        <f>AW123+AX123</f>
        <v>0</v>
      </c>
      <c r="AZ123" s="421">
        <f>AT123+AU123+AV123+AY123</f>
        <v>0</v>
      </c>
      <c r="BA123" s="422">
        <v>0</v>
      </c>
      <c r="BB123" s="422">
        <v>0</v>
      </c>
      <c r="BC123" s="422">
        <v>0</v>
      </c>
      <c r="BD123" s="422">
        <v>0</v>
      </c>
      <c r="BE123" s="422">
        <v>0</v>
      </c>
      <c r="BF123" s="422">
        <v>0</v>
      </c>
      <c r="BG123" s="422">
        <v>0</v>
      </c>
      <c r="BH123" s="422">
        <v>0</v>
      </c>
      <c r="BI123" s="422">
        <v>0</v>
      </c>
      <c r="BJ123" s="422">
        <v>0</v>
      </c>
      <c r="BK123" s="422">
        <f>BA123+BC123+BD123+BF123+BH123+BI123</f>
        <v>0</v>
      </c>
      <c r="BL123" s="422">
        <f>BB123+BE123+BG123+BJ123</f>
        <v>0</v>
      </c>
      <c r="BM123" s="611">
        <f>SUM(BK123:BL123)</f>
        <v>0</v>
      </c>
      <c r="BN123" s="428">
        <f>I123+AZ123</f>
        <v>65063</v>
      </c>
      <c r="BO123" s="421">
        <f>J123+AH123</f>
        <v>46570</v>
      </c>
      <c r="BP123" s="421">
        <f t="shared" si="416"/>
        <v>0</v>
      </c>
      <c r="BQ123" s="421">
        <f t="shared" si="416"/>
        <v>46570</v>
      </c>
      <c r="BR123" s="421">
        <f>M123+AQ123</f>
        <v>0</v>
      </c>
      <c r="BS123" s="421">
        <f t="shared" si="417"/>
        <v>0</v>
      </c>
      <c r="BT123" s="421">
        <f t="shared" si="417"/>
        <v>0</v>
      </c>
      <c r="BU123" s="421">
        <f t="shared" si="418"/>
        <v>15741</v>
      </c>
      <c r="BV123" s="421">
        <f t="shared" si="418"/>
        <v>466</v>
      </c>
      <c r="BW123" s="421">
        <f>R123+AY123</f>
        <v>2286</v>
      </c>
      <c r="BX123" s="422">
        <f>S123+BM123</f>
        <v>0.1764</v>
      </c>
      <c r="BY123" s="422">
        <f t="shared" si="419"/>
        <v>0</v>
      </c>
      <c r="BZ123" s="611">
        <f t="shared" si="419"/>
        <v>0.1764</v>
      </c>
      <c r="CA123" s="875"/>
      <c r="CB123" s="872"/>
      <c r="CC123" s="872"/>
      <c r="CD123" s="872"/>
      <c r="CE123" s="872"/>
      <c r="CF123" s="876"/>
    </row>
    <row r="124" spans="1:84" ht="12.95" customHeight="1" x14ac:dyDescent="0.25">
      <c r="A124" s="326">
        <v>22</v>
      </c>
      <c r="B124" s="327">
        <v>5422</v>
      </c>
      <c r="C124" s="328">
        <v>600099181</v>
      </c>
      <c r="D124" s="327">
        <v>854751</v>
      </c>
      <c r="E124" s="329" t="s">
        <v>394</v>
      </c>
      <c r="F124" s="293"/>
      <c r="G124" s="331"/>
      <c r="H124" s="294"/>
      <c r="I124" s="481">
        <f t="shared" ref="I124:BU124" si="420">SUM(I119:I123)</f>
        <v>44702230</v>
      </c>
      <c r="J124" s="477">
        <f t="shared" si="420"/>
        <v>32688667</v>
      </c>
      <c r="K124" s="477">
        <f t="shared" si="420"/>
        <v>28863140</v>
      </c>
      <c r="L124" s="477">
        <f t="shared" si="420"/>
        <v>3825527</v>
      </c>
      <c r="M124" s="477">
        <f t="shared" si="420"/>
        <v>0</v>
      </c>
      <c r="N124" s="477">
        <f t="shared" si="420"/>
        <v>0</v>
      </c>
      <c r="O124" s="477">
        <f t="shared" si="420"/>
        <v>0</v>
      </c>
      <c r="P124" s="477">
        <f t="shared" si="420"/>
        <v>11048770</v>
      </c>
      <c r="Q124" s="477">
        <f t="shared" si="420"/>
        <v>326887</v>
      </c>
      <c r="R124" s="477">
        <f t="shared" si="420"/>
        <v>637906</v>
      </c>
      <c r="S124" s="478">
        <f t="shared" si="420"/>
        <v>53.7605</v>
      </c>
      <c r="T124" s="478">
        <f t="shared" si="420"/>
        <v>42.2117</v>
      </c>
      <c r="U124" s="330">
        <f t="shared" si="420"/>
        <v>11.548799999999998</v>
      </c>
      <c r="V124" s="483">
        <f t="shared" si="420"/>
        <v>-264320</v>
      </c>
      <c r="W124" s="477">
        <f t="shared" si="420"/>
        <v>0</v>
      </c>
      <c r="X124" s="477">
        <f t="shared" si="420"/>
        <v>4011246</v>
      </c>
      <c r="Y124" s="477">
        <f t="shared" si="420"/>
        <v>0</v>
      </c>
      <c r="Z124" s="477">
        <f t="shared" si="420"/>
        <v>0</v>
      </c>
      <c r="AA124" s="477">
        <f t="shared" si="420"/>
        <v>30452</v>
      </c>
      <c r="AB124" s="477">
        <f t="shared" si="420"/>
        <v>0</v>
      </c>
      <c r="AC124" s="477">
        <f t="shared" si="420"/>
        <v>0</v>
      </c>
      <c r="AD124" s="477">
        <f t="shared" si="420"/>
        <v>0</v>
      </c>
      <c r="AE124" s="477">
        <f t="shared" si="420"/>
        <v>0</v>
      </c>
      <c r="AF124" s="477">
        <f t="shared" si="420"/>
        <v>3777378</v>
      </c>
      <c r="AG124" s="477">
        <f t="shared" si="420"/>
        <v>0</v>
      </c>
      <c r="AH124" s="477">
        <f t="shared" si="420"/>
        <v>3777378</v>
      </c>
      <c r="AI124" s="477">
        <f t="shared" si="420"/>
        <v>264320</v>
      </c>
      <c r="AJ124" s="477">
        <f t="shared" si="420"/>
        <v>0</v>
      </c>
      <c r="AK124" s="477">
        <f t="shared" ref="AK124" si="421">SUM(AK119:AK123)</f>
        <v>225600</v>
      </c>
      <c r="AL124" s="477">
        <f t="shared" si="420"/>
        <v>0</v>
      </c>
      <c r="AM124" s="477">
        <f t="shared" si="420"/>
        <v>0</v>
      </c>
      <c r="AN124" s="477">
        <f t="shared" si="420"/>
        <v>0</v>
      </c>
      <c r="AO124" s="477">
        <f t="shared" si="420"/>
        <v>489920</v>
      </c>
      <c r="AP124" s="477">
        <f t="shared" si="420"/>
        <v>0</v>
      </c>
      <c r="AQ124" s="477">
        <f t="shared" si="420"/>
        <v>489920</v>
      </c>
      <c r="AR124" s="477">
        <f t="shared" si="420"/>
        <v>4267298</v>
      </c>
      <c r="AS124" s="477">
        <f t="shared" si="420"/>
        <v>0</v>
      </c>
      <c r="AT124" s="477">
        <f t="shared" si="420"/>
        <v>4267298</v>
      </c>
      <c r="AU124" s="477">
        <f t="shared" si="420"/>
        <v>1442347</v>
      </c>
      <c r="AV124" s="477">
        <f t="shared" si="420"/>
        <v>37773</v>
      </c>
      <c r="AW124" s="477">
        <f t="shared" si="420"/>
        <v>1000</v>
      </c>
      <c r="AX124" s="477">
        <f t="shared" si="420"/>
        <v>0</v>
      </c>
      <c r="AY124" s="477">
        <f t="shared" si="420"/>
        <v>1000</v>
      </c>
      <c r="AZ124" s="477">
        <f t="shared" si="420"/>
        <v>5748418</v>
      </c>
      <c r="BA124" s="478">
        <f t="shared" si="420"/>
        <v>-0.38</v>
      </c>
      <c r="BB124" s="478">
        <f t="shared" si="420"/>
        <v>0</v>
      </c>
      <c r="BC124" s="478">
        <f t="shared" si="420"/>
        <v>10.66</v>
      </c>
      <c r="BD124" s="478">
        <f t="shared" si="420"/>
        <v>0</v>
      </c>
      <c r="BE124" s="478">
        <f t="shared" si="420"/>
        <v>0</v>
      </c>
      <c r="BF124" s="478">
        <f t="shared" si="420"/>
        <v>0</v>
      </c>
      <c r="BG124" s="478">
        <f t="shared" si="420"/>
        <v>0</v>
      </c>
      <c r="BH124" s="478">
        <f t="shared" si="420"/>
        <v>0.04</v>
      </c>
      <c r="BI124" s="478">
        <f t="shared" si="420"/>
        <v>0</v>
      </c>
      <c r="BJ124" s="478">
        <f t="shared" si="420"/>
        <v>0</v>
      </c>
      <c r="BK124" s="478">
        <f t="shared" si="420"/>
        <v>10.32</v>
      </c>
      <c r="BL124" s="478">
        <f t="shared" si="420"/>
        <v>0</v>
      </c>
      <c r="BM124" s="559">
        <f t="shared" si="420"/>
        <v>10.32</v>
      </c>
      <c r="BN124" s="481">
        <f t="shared" si="420"/>
        <v>50450648</v>
      </c>
      <c r="BO124" s="477">
        <f t="shared" si="420"/>
        <v>36466045</v>
      </c>
      <c r="BP124" s="477">
        <f t="shared" si="420"/>
        <v>32640518</v>
      </c>
      <c r="BQ124" s="477">
        <f t="shared" si="420"/>
        <v>3825527</v>
      </c>
      <c r="BR124" s="477">
        <f t="shared" si="420"/>
        <v>489920</v>
      </c>
      <c r="BS124" s="477">
        <f t="shared" si="420"/>
        <v>489920</v>
      </c>
      <c r="BT124" s="477">
        <f t="shared" si="420"/>
        <v>0</v>
      </c>
      <c r="BU124" s="477">
        <f t="shared" si="420"/>
        <v>12491117</v>
      </c>
      <c r="BV124" s="477">
        <f t="shared" ref="BV124:CF124" si="422">SUM(BV119:BV123)</f>
        <v>364660</v>
      </c>
      <c r="BW124" s="477">
        <f t="shared" si="422"/>
        <v>638906</v>
      </c>
      <c r="BX124" s="478">
        <f t="shared" si="422"/>
        <v>64.080499999999986</v>
      </c>
      <c r="BY124" s="478">
        <f t="shared" si="422"/>
        <v>52.531700000000001</v>
      </c>
      <c r="BZ124" s="559">
        <f t="shared" si="422"/>
        <v>11.548799999999998</v>
      </c>
      <c r="CA124" s="885">
        <f t="shared" si="422"/>
        <v>301853</v>
      </c>
      <c r="CB124" s="883">
        <f t="shared" si="422"/>
        <v>0</v>
      </c>
      <c r="CC124" s="883">
        <f t="shared" si="422"/>
        <v>225600</v>
      </c>
      <c r="CD124" s="883">
        <f t="shared" si="422"/>
        <v>76253</v>
      </c>
      <c r="CE124" s="883">
        <f t="shared" si="422"/>
        <v>0</v>
      </c>
      <c r="CF124" s="845">
        <f t="shared" si="422"/>
        <v>0</v>
      </c>
    </row>
    <row r="125" spans="1:84" ht="12.95" customHeight="1" x14ac:dyDescent="0.25">
      <c r="A125" s="282">
        <v>23</v>
      </c>
      <c r="B125" s="323">
        <v>5424</v>
      </c>
      <c r="C125" s="324">
        <v>600099431</v>
      </c>
      <c r="D125" s="283">
        <v>72742372</v>
      </c>
      <c r="E125" s="325" t="s">
        <v>395</v>
      </c>
      <c r="F125" s="283">
        <v>3114</v>
      </c>
      <c r="G125" s="333" t="s">
        <v>526</v>
      </c>
      <c r="H125" s="286" t="s">
        <v>271</v>
      </c>
      <c r="I125" s="423">
        <f t="shared" ref="I125:I126" si="423">J125+P125+Q125+R125</f>
        <v>5549770</v>
      </c>
      <c r="J125" s="418">
        <f t="shared" si="276"/>
        <v>4094573</v>
      </c>
      <c r="K125" s="418">
        <v>3794495</v>
      </c>
      <c r="L125" s="418">
        <v>300078</v>
      </c>
      <c r="M125" s="418">
        <f t="shared" ref="M125:M126" si="424">N125+O125</f>
        <v>0</v>
      </c>
      <c r="N125" s="418">
        <v>0</v>
      </c>
      <c r="O125" s="418">
        <v>0</v>
      </c>
      <c r="P125" s="68">
        <f t="shared" ref="P125:P126" si="425">ROUND((J125+M125)*33.8%,0)</f>
        <v>1383966</v>
      </c>
      <c r="Q125" s="68">
        <f t="shared" ref="Q125:Q126" si="426">ROUND(J125*1%,0)</f>
        <v>40946</v>
      </c>
      <c r="R125" s="418">
        <v>30285</v>
      </c>
      <c r="S125" s="419">
        <f>T125+U125</f>
        <v>5.7199</v>
      </c>
      <c r="T125" s="420">
        <v>4.8598999999999997</v>
      </c>
      <c r="U125" s="527">
        <v>0.86</v>
      </c>
      <c r="V125" s="427">
        <f>AI125*-1</f>
        <v>0</v>
      </c>
      <c r="W125" s="421">
        <f>AJ125*-1</f>
        <v>-9600</v>
      </c>
      <c r="X125" s="421">
        <v>0</v>
      </c>
      <c r="Y125" s="421">
        <v>0</v>
      </c>
      <c r="Z125" s="421">
        <v>0</v>
      </c>
      <c r="AA125" s="421">
        <v>0</v>
      </c>
      <c r="AB125" s="421">
        <v>0</v>
      </c>
      <c r="AC125" s="421">
        <v>0</v>
      </c>
      <c r="AD125" s="421">
        <v>0</v>
      </c>
      <c r="AE125" s="421">
        <v>0</v>
      </c>
      <c r="AF125" s="421">
        <f>V125+X125+Y125+AA125+AB125+AD125</f>
        <v>0</v>
      </c>
      <c r="AG125" s="421">
        <f>W125+Z125+AC125+AE125</f>
        <v>-9600</v>
      </c>
      <c r="AH125" s="421">
        <f>SUM(AF125:AG125)</f>
        <v>-9600</v>
      </c>
      <c r="AI125" s="421">
        <v>0</v>
      </c>
      <c r="AJ125" s="421">
        <v>9600</v>
      </c>
      <c r="AK125" s="421">
        <v>0</v>
      </c>
      <c r="AL125" s="421">
        <v>0</v>
      </c>
      <c r="AM125" s="421">
        <v>0</v>
      </c>
      <c r="AN125" s="421">
        <v>0</v>
      </c>
      <c r="AO125" s="421">
        <f t="shared" ref="AO125:AO126" si="427">AI125+AK125+AL125+AM125</f>
        <v>0</v>
      </c>
      <c r="AP125" s="421">
        <f>AJ125+AN125</f>
        <v>9600</v>
      </c>
      <c r="AQ125" s="421">
        <f>SUM(AO125:AP125)</f>
        <v>9600</v>
      </c>
      <c r="AR125" s="421">
        <f>AF125+AO125</f>
        <v>0</v>
      </c>
      <c r="AS125" s="421">
        <f>AG125+AP125</f>
        <v>0</v>
      </c>
      <c r="AT125" s="421">
        <f>SUM(AR125:AS125)</f>
        <v>0</v>
      </c>
      <c r="AU125" s="68">
        <f t="shared" ref="AU125:AU126" si="428">ROUND((AH125+AI125+AJ125+AK125+AL125)*33.8%,0)</f>
        <v>0</v>
      </c>
      <c r="AV125" s="68">
        <f>ROUND(AH125*1%,0)</f>
        <v>-96</v>
      </c>
      <c r="AW125" s="421">
        <v>0</v>
      </c>
      <c r="AX125" s="421">
        <v>0</v>
      </c>
      <c r="AY125" s="421">
        <f>AW125+AX125</f>
        <v>0</v>
      </c>
      <c r="AZ125" s="421">
        <f>AT125+AU125+AV125+AY125</f>
        <v>-96</v>
      </c>
      <c r="BA125" s="422">
        <v>0</v>
      </c>
      <c r="BB125" s="422">
        <v>-0.03</v>
      </c>
      <c r="BC125" s="422">
        <v>0</v>
      </c>
      <c r="BD125" s="422">
        <v>0</v>
      </c>
      <c r="BE125" s="422">
        <v>0</v>
      </c>
      <c r="BF125" s="422">
        <v>0</v>
      </c>
      <c r="BG125" s="422">
        <v>0</v>
      </c>
      <c r="BH125" s="422">
        <v>0</v>
      </c>
      <c r="BI125" s="422">
        <v>0</v>
      </c>
      <c r="BJ125" s="422">
        <v>0</v>
      </c>
      <c r="BK125" s="422">
        <f>BA125+BC125+BD125+BF125+BH125+BI125</f>
        <v>0</v>
      </c>
      <c r="BL125" s="422">
        <f>BB125+BE125+BG125+BJ125</f>
        <v>-0.03</v>
      </c>
      <c r="BM125" s="611">
        <f>SUM(BK125:BL125)</f>
        <v>-0.03</v>
      </c>
      <c r="BN125" s="428">
        <f>I125+AZ125</f>
        <v>5549674</v>
      </c>
      <c r="BO125" s="421">
        <f>J125+AH125</f>
        <v>4084973</v>
      </c>
      <c r="BP125" s="421">
        <f>K125+AF125</f>
        <v>3794495</v>
      </c>
      <c r="BQ125" s="421">
        <f>L125+AG125</f>
        <v>290478</v>
      </c>
      <c r="BR125" s="421">
        <f>M125+AQ125</f>
        <v>9600</v>
      </c>
      <c r="BS125" s="421">
        <f>N125+AO125</f>
        <v>0</v>
      </c>
      <c r="BT125" s="421">
        <f>O125+AP125</f>
        <v>9600</v>
      </c>
      <c r="BU125" s="421">
        <f>P125+AU125</f>
        <v>1383966</v>
      </c>
      <c r="BV125" s="421">
        <f>Q125+AV125</f>
        <v>40850</v>
      </c>
      <c r="BW125" s="421">
        <f>R125+AY125</f>
        <v>30285</v>
      </c>
      <c r="BX125" s="422">
        <f>S125+BM125</f>
        <v>5.6898999999999997</v>
      </c>
      <c r="BY125" s="422">
        <f>T125+BK125</f>
        <v>4.8598999999999997</v>
      </c>
      <c r="BZ125" s="611">
        <f>U125+BL125</f>
        <v>0.83</v>
      </c>
      <c r="CA125" s="875"/>
      <c r="CB125" s="872"/>
      <c r="CC125" s="872"/>
      <c r="CD125" s="872"/>
      <c r="CE125" s="872"/>
      <c r="CF125" s="876"/>
    </row>
    <row r="126" spans="1:84" ht="12.95" customHeight="1" x14ac:dyDescent="0.25">
      <c r="A126" s="282">
        <v>23</v>
      </c>
      <c r="B126" s="323">
        <v>5424</v>
      </c>
      <c r="C126" s="324">
        <v>600099431</v>
      </c>
      <c r="D126" s="283">
        <v>72742372</v>
      </c>
      <c r="E126" s="325" t="s">
        <v>395</v>
      </c>
      <c r="F126" s="283">
        <v>3114</v>
      </c>
      <c r="G126" s="333" t="s">
        <v>293</v>
      </c>
      <c r="H126" s="286" t="s">
        <v>271</v>
      </c>
      <c r="I126" s="423">
        <f t="shared" si="423"/>
        <v>557020</v>
      </c>
      <c r="J126" s="418">
        <f t="shared" si="276"/>
        <v>413220</v>
      </c>
      <c r="K126" s="418">
        <v>413220</v>
      </c>
      <c r="L126" s="418">
        <v>0</v>
      </c>
      <c r="M126" s="418">
        <f t="shared" si="424"/>
        <v>0</v>
      </c>
      <c r="N126" s="418">
        <v>0</v>
      </c>
      <c r="O126" s="418">
        <v>0</v>
      </c>
      <c r="P126" s="68">
        <f t="shared" si="425"/>
        <v>139668</v>
      </c>
      <c r="Q126" s="68">
        <f t="shared" si="426"/>
        <v>4132</v>
      </c>
      <c r="R126" s="418">
        <v>0</v>
      </c>
      <c r="S126" s="419">
        <f>T126+U126</f>
        <v>1</v>
      </c>
      <c r="T126" s="420">
        <v>1</v>
      </c>
      <c r="U126" s="527">
        <v>0</v>
      </c>
      <c r="V126" s="427">
        <f>AI126*-1</f>
        <v>0</v>
      </c>
      <c r="W126" s="421">
        <f>AJ126*-1</f>
        <v>0</v>
      </c>
      <c r="X126" s="421">
        <v>0</v>
      </c>
      <c r="Y126" s="421">
        <v>0</v>
      </c>
      <c r="Z126" s="421">
        <v>0</v>
      </c>
      <c r="AA126" s="421">
        <v>0</v>
      </c>
      <c r="AB126" s="421">
        <v>0</v>
      </c>
      <c r="AC126" s="421">
        <v>0</v>
      </c>
      <c r="AD126" s="421">
        <v>0</v>
      </c>
      <c r="AE126" s="421">
        <v>0</v>
      </c>
      <c r="AF126" s="421">
        <f>V126+X126+Y126+AA126+AB126+AD126</f>
        <v>0</v>
      </c>
      <c r="AG126" s="421">
        <f>W126+Z126+AC126+AE126</f>
        <v>0</v>
      </c>
      <c r="AH126" s="421">
        <f>SUM(AF126:AG126)</f>
        <v>0</v>
      </c>
      <c r="AI126" s="421">
        <v>0</v>
      </c>
      <c r="AJ126" s="421">
        <v>0</v>
      </c>
      <c r="AK126" s="421">
        <v>0</v>
      </c>
      <c r="AL126" s="421">
        <v>0</v>
      </c>
      <c r="AM126" s="421">
        <v>0</v>
      </c>
      <c r="AN126" s="421">
        <v>0</v>
      </c>
      <c r="AO126" s="421">
        <f t="shared" si="427"/>
        <v>0</v>
      </c>
      <c r="AP126" s="421">
        <f>AJ126+AN126</f>
        <v>0</v>
      </c>
      <c r="AQ126" s="421">
        <f>SUM(AO126:AP126)</f>
        <v>0</v>
      </c>
      <c r="AR126" s="421">
        <f>AF126+AO126</f>
        <v>0</v>
      </c>
      <c r="AS126" s="421">
        <f>AG126+AP126</f>
        <v>0</v>
      </c>
      <c r="AT126" s="421">
        <f>SUM(AR126:AS126)</f>
        <v>0</v>
      </c>
      <c r="AU126" s="68">
        <f t="shared" si="428"/>
        <v>0</v>
      </c>
      <c r="AV126" s="68">
        <f>ROUND(AH126*1%,0)</f>
        <v>0</v>
      </c>
      <c r="AW126" s="421">
        <v>0</v>
      </c>
      <c r="AX126" s="421">
        <v>0</v>
      </c>
      <c r="AY126" s="421">
        <f>AW126+AX126</f>
        <v>0</v>
      </c>
      <c r="AZ126" s="421">
        <f>AT126+AU126+AV126+AY126</f>
        <v>0</v>
      </c>
      <c r="BA126" s="422">
        <v>0</v>
      </c>
      <c r="BB126" s="422">
        <v>0</v>
      </c>
      <c r="BC126" s="422">
        <v>0</v>
      </c>
      <c r="BD126" s="422">
        <v>0</v>
      </c>
      <c r="BE126" s="422">
        <v>0</v>
      </c>
      <c r="BF126" s="422">
        <v>0</v>
      </c>
      <c r="BG126" s="422">
        <v>0</v>
      </c>
      <c r="BH126" s="422">
        <v>0</v>
      </c>
      <c r="BI126" s="422">
        <v>0</v>
      </c>
      <c r="BJ126" s="422">
        <v>0</v>
      </c>
      <c r="BK126" s="422">
        <f>BA126+BC126+BD126+BF126+BH126+BI126</f>
        <v>0</v>
      </c>
      <c r="BL126" s="422">
        <f>BB126+BE126+BG126+BJ126</f>
        <v>0</v>
      </c>
      <c r="BM126" s="611">
        <f>SUM(BK126:BL126)</f>
        <v>0</v>
      </c>
      <c r="BN126" s="428">
        <f>I126+AZ126</f>
        <v>557020</v>
      </c>
      <c r="BO126" s="421">
        <f>J126+AH126</f>
        <v>413220</v>
      </c>
      <c r="BP126" s="421">
        <f>K126+AF126</f>
        <v>413220</v>
      </c>
      <c r="BQ126" s="421">
        <f>L126+AG126</f>
        <v>0</v>
      </c>
      <c r="BR126" s="421">
        <f>M126+AQ126</f>
        <v>0</v>
      </c>
      <c r="BS126" s="421">
        <f>N126+AO126</f>
        <v>0</v>
      </c>
      <c r="BT126" s="421">
        <f>O126+AP126</f>
        <v>0</v>
      </c>
      <c r="BU126" s="421">
        <f>P126+AU126</f>
        <v>139668</v>
      </c>
      <c r="BV126" s="421">
        <f>Q126+AV126</f>
        <v>4132</v>
      </c>
      <c r="BW126" s="421">
        <f>R126+AY126</f>
        <v>0</v>
      </c>
      <c r="BX126" s="422">
        <f>S126+BM126</f>
        <v>1</v>
      </c>
      <c r="BY126" s="422">
        <f>T126+BK126</f>
        <v>1</v>
      </c>
      <c r="BZ126" s="611">
        <f>U126+BL126</f>
        <v>0</v>
      </c>
      <c r="CA126" s="875"/>
      <c r="CB126" s="872"/>
      <c r="CC126" s="872"/>
      <c r="CD126" s="872"/>
      <c r="CE126" s="872"/>
      <c r="CF126" s="876"/>
    </row>
    <row r="127" spans="1:84" ht="12.95" customHeight="1" x14ac:dyDescent="0.25">
      <c r="A127" s="326">
        <v>23</v>
      </c>
      <c r="B127" s="327">
        <v>5424</v>
      </c>
      <c r="C127" s="328">
        <v>600099431</v>
      </c>
      <c r="D127" s="327">
        <v>72742372</v>
      </c>
      <c r="E127" s="329" t="s">
        <v>396</v>
      </c>
      <c r="F127" s="293"/>
      <c r="G127" s="331"/>
      <c r="H127" s="294"/>
      <c r="I127" s="481">
        <f t="shared" ref="I127:BU127" si="429">SUM(I125:I126)</f>
        <v>6106790</v>
      </c>
      <c r="J127" s="477">
        <f t="shared" si="429"/>
        <v>4507793</v>
      </c>
      <c r="K127" s="477">
        <f t="shared" si="429"/>
        <v>4207715</v>
      </c>
      <c r="L127" s="477">
        <f t="shared" si="429"/>
        <v>300078</v>
      </c>
      <c r="M127" s="477">
        <f t="shared" si="429"/>
        <v>0</v>
      </c>
      <c r="N127" s="477">
        <f t="shared" si="429"/>
        <v>0</v>
      </c>
      <c r="O127" s="477">
        <f t="shared" si="429"/>
        <v>0</v>
      </c>
      <c r="P127" s="477">
        <f t="shared" si="429"/>
        <v>1523634</v>
      </c>
      <c r="Q127" s="477">
        <f t="shared" si="429"/>
        <v>45078</v>
      </c>
      <c r="R127" s="477">
        <f t="shared" si="429"/>
        <v>30285</v>
      </c>
      <c r="S127" s="478">
        <f t="shared" si="429"/>
        <v>6.7199</v>
      </c>
      <c r="T127" s="478">
        <f t="shared" si="429"/>
        <v>5.8598999999999997</v>
      </c>
      <c r="U127" s="330">
        <f t="shared" si="429"/>
        <v>0.86</v>
      </c>
      <c r="V127" s="483">
        <f t="shared" si="429"/>
        <v>0</v>
      </c>
      <c r="W127" s="477">
        <f t="shared" si="429"/>
        <v>-9600</v>
      </c>
      <c r="X127" s="477">
        <f t="shared" si="429"/>
        <v>0</v>
      </c>
      <c r="Y127" s="477">
        <f t="shared" si="429"/>
        <v>0</v>
      </c>
      <c r="Z127" s="477">
        <f t="shared" si="429"/>
        <v>0</v>
      </c>
      <c r="AA127" s="477">
        <f t="shared" si="429"/>
        <v>0</v>
      </c>
      <c r="AB127" s="477">
        <f t="shared" si="429"/>
        <v>0</v>
      </c>
      <c r="AC127" s="477">
        <f t="shared" si="429"/>
        <v>0</v>
      </c>
      <c r="AD127" s="477">
        <f t="shared" si="429"/>
        <v>0</v>
      </c>
      <c r="AE127" s="477">
        <f t="shared" si="429"/>
        <v>0</v>
      </c>
      <c r="AF127" s="477">
        <f t="shared" si="429"/>
        <v>0</v>
      </c>
      <c r="AG127" s="477">
        <f t="shared" si="429"/>
        <v>-9600</v>
      </c>
      <c r="AH127" s="477">
        <f t="shared" si="429"/>
        <v>-9600</v>
      </c>
      <c r="AI127" s="477">
        <f t="shared" si="429"/>
        <v>0</v>
      </c>
      <c r="AJ127" s="477">
        <f t="shared" si="429"/>
        <v>9600</v>
      </c>
      <c r="AK127" s="477">
        <f t="shared" ref="AK127" si="430">SUM(AK125:AK126)</f>
        <v>0</v>
      </c>
      <c r="AL127" s="477">
        <f t="shared" si="429"/>
        <v>0</v>
      </c>
      <c r="AM127" s="477">
        <f t="shared" si="429"/>
        <v>0</v>
      </c>
      <c r="AN127" s="477">
        <f t="shared" si="429"/>
        <v>0</v>
      </c>
      <c r="AO127" s="477">
        <f t="shared" si="429"/>
        <v>0</v>
      </c>
      <c r="AP127" s="477">
        <f t="shared" si="429"/>
        <v>9600</v>
      </c>
      <c r="AQ127" s="477">
        <f t="shared" si="429"/>
        <v>9600</v>
      </c>
      <c r="AR127" s="477">
        <f t="shared" si="429"/>
        <v>0</v>
      </c>
      <c r="AS127" s="477">
        <f t="shared" si="429"/>
        <v>0</v>
      </c>
      <c r="AT127" s="477">
        <f t="shared" si="429"/>
        <v>0</v>
      </c>
      <c r="AU127" s="477">
        <f t="shared" si="429"/>
        <v>0</v>
      </c>
      <c r="AV127" s="477">
        <f t="shared" si="429"/>
        <v>-96</v>
      </c>
      <c r="AW127" s="477">
        <f t="shared" si="429"/>
        <v>0</v>
      </c>
      <c r="AX127" s="477">
        <f t="shared" si="429"/>
        <v>0</v>
      </c>
      <c r="AY127" s="477">
        <f t="shared" si="429"/>
        <v>0</v>
      </c>
      <c r="AZ127" s="477">
        <f t="shared" si="429"/>
        <v>-96</v>
      </c>
      <c r="BA127" s="478">
        <f t="shared" si="429"/>
        <v>0</v>
      </c>
      <c r="BB127" s="478">
        <f t="shared" si="429"/>
        <v>-0.03</v>
      </c>
      <c r="BC127" s="478">
        <f t="shared" si="429"/>
        <v>0</v>
      </c>
      <c r="BD127" s="478">
        <f t="shared" si="429"/>
        <v>0</v>
      </c>
      <c r="BE127" s="478">
        <f t="shared" si="429"/>
        <v>0</v>
      </c>
      <c r="BF127" s="478">
        <f t="shared" si="429"/>
        <v>0</v>
      </c>
      <c r="BG127" s="478">
        <f t="shared" si="429"/>
        <v>0</v>
      </c>
      <c r="BH127" s="478">
        <f t="shared" si="429"/>
        <v>0</v>
      </c>
      <c r="BI127" s="478">
        <f t="shared" si="429"/>
        <v>0</v>
      </c>
      <c r="BJ127" s="478">
        <f t="shared" si="429"/>
        <v>0</v>
      </c>
      <c r="BK127" s="478">
        <f t="shared" si="429"/>
        <v>0</v>
      </c>
      <c r="BL127" s="478">
        <f t="shared" si="429"/>
        <v>-0.03</v>
      </c>
      <c r="BM127" s="559">
        <f t="shared" si="429"/>
        <v>-0.03</v>
      </c>
      <c r="BN127" s="481">
        <f t="shared" si="429"/>
        <v>6106694</v>
      </c>
      <c r="BO127" s="477">
        <f t="shared" si="429"/>
        <v>4498193</v>
      </c>
      <c r="BP127" s="477">
        <f t="shared" si="429"/>
        <v>4207715</v>
      </c>
      <c r="BQ127" s="477">
        <f t="shared" si="429"/>
        <v>290478</v>
      </c>
      <c r="BR127" s="477">
        <f t="shared" si="429"/>
        <v>9600</v>
      </c>
      <c r="BS127" s="477">
        <f t="shared" si="429"/>
        <v>0</v>
      </c>
      <c r="BT127" s="477">
        <f t="shared" si="429"/>
        <v>9600</v>
      </c>
      <c r="BU127" s="477">
        <f t="shared" si="429"/>
        <v>1523634</v>
      </c>
      <c r="BV127" s="477">
        <f t="shared" ref="BV127:CF127" si="431">SUM(BV125:BV126)</f>
        <v>44982</v>
      </c>
      <c r="BW127" s="477">
        <f t="shared" si="431"/>
        <v>30285</v>
      </c>
      <c r="BX127" s="478">
        <f t="shared" si="431"/>
        <v>6.6898999999999997</v>
      </c>
      <c r="BY127" s="478">
        <f t="shared" si="431"/>
        <v>5.8598999999999997</v>
      </c>
      <c r="BZ127" s="559">
        <f t="shared" si="431"/>
        <v>0.83</v>
      </c>
      <c r="CA127" s="885">
        <f t="shared" si="431"/>
        <v>0</v>
      </c>
      <c r="CB127" s="883">
        <f t="shared" si="431"/>
        <v>0</v>
      </c>
      <c r="CC127" s="883">
        <f t="shared" si="431"/>
        <v>0</v>
      </c>
      <c r="CD127" s="883">
        <f t="shared" si="431"/>
        <v>0</v>
      </c>
      <c r="CE127" s="883">
        <f t="shared" si="431"/>
        <v>0</v>
      </c>
      <c r="CF127" s="845">
        <f t="shared" si="431"/>
        <v>0</v>
      </c>
    </row>
    <row r="128" spans="1:84" ht="12.95" customHeight="1" x14ac:dyDescent="0.25">
      <c r="A128" s="282">
        <v>24</v>
      </c>
      <c r="B128" s="323">
        <v>5427</v>
      </c>
      <c r="C128" s="324">
        <v>600099407</v>
      </c>
      <c r="D128" s="283">
        <v>72742534</v>
      </c>
      <c r="E128" s="325" t="s">
        <v>397</v>
      </c>
      <c r="F128" s="283">
        <v>3231</v>
      </c>
      <c r="G128" s="325" t="s">
        <v>398</v>
      </c>
      <c r="H128" s="286" t="s">
        <v>271</v>
      </c>
      <c r="I128" s="423">
        <f t="shared" ref="I128:I129" si="432">J128+P128+Q128+R128</f>
        <v>12352028</v>
      </c>
      <c r="J128" s="418">
        <f t="shared" si="276"/>
        <v>9151868</v>
      </c>
      <c r="K128" s="418">
        <v>8803462</v>
      </c>
      <c r="L128" s="418">
        <v>348406</v>
      </c>
      <c r="M128" s="418">
        <f t="shared" ref="M128" si="433">N128+O128</f>
        <v>0</v>
      </c>
      <c r="N128" s="418">
        <v>0</v>
      </c>
      <c r="O128" s="418">
        <v>0</v>
      </c>
      <c r="P128" s="68">
        <f t="shared" ref="P128:P129" si="434">ROUND((J128+M128)*33.8%,0)</f>
        <v>3093331</v>
      </c>
      <c r="Q128" s="68">
        <f t="shared" ref="Q128:Q129" si="435">ROUND(J128*1%,0)</f>
        <v>91519</v>
      </c>
      <c r="R128" s="418">
        <v>15310</v>
      </c>
      <c r="S128" s="419">
        <f>T128+U128</f>
        <v>14.930900000000001</v>
      </c>
      <c r="T128" s="420">
        <v>13.9533</v>
      </c>
      <c r="U128" s="527">
        <v>0.97760000000000002</v>
      </c>
      <c r="V128" s="427">
        <f>AI128*-1</f>
        <v>0</v>
      </c>
      <c r="W128" s="421">
        <f>AJ128*-1</f>
        <v>0</v>
      </c>
      <c r="X128" s="421">
        <v>0</v>
      </c>
      <c r="Y128" s="421">
        <v>0</v>
      </c>
      <c r="Z128" s="421">
        <v>0</v>
      </c>
      <c r="AA128" s="421">
        <v>0</v>
      </c>
      <c r="AB128" s="421">
        <v>0</v>
      </c>
      <c r="AC128" s="421">
        <v>0</v>
      </c>
      <c r="AD128" s="421">
        <v>0</v>
      </c>
      <c r="AE128" s="421">
        <v>0</v>
      </c>
      <c r="AF128" s="421">
        <f>V128+X128+Y128+AA128+AB128+AD128</f>
        <v>0</v>
      </c>
      <c r="AG128" s="421">
        <f>W128+Z128+AC128+AE128</f>
        <v>0</v>
      </c>
      <c r="AH128" s="421">
        <f>SUM(AF128:AG128)</f>
        <v>0</v>
      </c>
      <c r="AI128" s="421">
        <v>0</v>
      </c>
      <c r="AJ128" s="421">
        <v>0</v>
      </c>
      <c r="AK128" s="421">
        <v>0</v>
      </c>
      <c r="AL128" s="421">
        <v>0</v>
      </c>
      <c r="AM128" s="421">
        <v>0</v>
      </c>
      <c r="AN128" s="421">
        <v>0</v>
      </c>
      <c r="AO128" s="421">
        <f t="shared" ref="AO128:AO129" si="436">AI128+AK128+AL128+AM128</f>
        <v>0</v>
      </c>
      <c r="AP128" s="421">
        <f>AJ128+AN128</f>
        <v>0</v>
      </c>
      <c r="AQ128" s="421">
        <f>SUM(AO128:AP128)</f>
        <v>0</v>
      </c>
      <c r="AR128" s="421">
        <f>AF128+AO128</f>
        <v>0</v>
      </c>
      <c r="AS128" s="421">
        <f>AG128+AP128</f>
        <v>0</v>
      </c>
      <c r="AT128" s="421">
        <f>SUM(AR128:AS128)</f>
        <v>0</v>
      </c>
      <c r="AU128" s="68">
        <f t="shared" ref="AU128:AU129" si="437">ROUND((AH128+AI128+AJ128+AK128+AL128)*33.8%,0)</f>
        <v>0</v>
      </c>
      <c r="AV128" s="68">
        <f>ROUND(AH128*1%,0)</f>
        <v>0</v>
      </c>
      <c r="AW128" s="421">
        <v>0</v>
      </c>
      <c r="AX128" s="421">
        <v>0</v>
      </c>
      <c r="AY128" s="421">
        <f>AW128+AX128</f>
        <v>0</v>
      </c>
      <c r="AZ128" s="421">
        <f>AT128+AU128+AV128+AY128</f>
        <v>0</v>
      </c>
      <c r="BA128" s="422">
        <v>0</v>
      </c>
      <c r="BB128" s="422">
        <v>0</v>
      </c>
      <c r="BC128" s="422">
        <v>0</v>
      </c>
      <c r="BD128" s="422">
        <v>0</v>
      </c>
      <c r="BE128" s="422">
        <v>0</v>
      </c>
      <c r="BF128" s="422">
        <v>0</v>
      </c>
      <c r="BG128" s="422">
        <v>0</v>
      </c>
      <c r="BH128" s="422">
        <v>0</v>
      </c>
      <c r="BI128" s="422">
        <v>0</v>
      </c>
      <c r="BJ128" s="422">
        <v>0</v>
      </c>
      <c r="BK128" s="422">
        <f>BA128+BC128+BD128+BF128+BH128+BI128</f>
        <v>0</v>
      </c>
      <c r="BL128" s="422">
        <f>BB128+BE128+BG128+BJ128</f>
        <v>0</v>
      </c>
      <c r="BM128" s="611">
        <f>SUM(BK128:BL128)</f>
        <v>0</v>
      </c>
      <c r="BN128" s="428">
        <f>I128+AZ128</f>
        <v>12352028</v>
      </c>
      <c r="BO128" s="421">
        <f>J128+AH128</f>
        <v>9151868</v>
      </c>
      <c r="BP128" s="421">
        <f>K128+AF128</f>
        <v>8803462</v>
      </c>
      <c r="BQ128" s="421">
        <f>L128+AG128</f>
        <v>348406</v>
      </c>
      <c r="BR128" s="421">
        <f>M128+AQ128</f>
        <v>0</v>
      </c>
      <c r="BS128" s="421">
        <f>N128+AO128</f>
        <v>0</v>
      </c>
      <c r="BT128" s="421">
        <f>O128+AP128</f>
        <v>0</v>
      </c>
      <c r="BU128" s="421">
        <f>P128+AU128</f>
        <v>3093331</v>
      </c>
      <c r="BV128" s="421">
        <f>Q128+AV128</f>
        <v>91519</v>
      </c>
      <c r="BW128" s="421">
        <f>R128+AY128</f>
        <v>15310</v>
      </c>
      <c r="BX128" s="422">
        <f>S128+BM128</f>
        <v>14.930900000000001</v>
      </c>
      <c r="BY128" s="422">
        <f>T128+BK128</f>
        <v>13.9533</v>
      </c>
      <c r="BZ128" s="611">
        <f>U128+BL128</f>
        <v>0.97760000000000002</v>
      </c>
      <c r="CA128" s="875"/>
      <c r="CB128" s="872"/>
      <c r="CC128" s="872"/>
      <c r="CD128" s="872"/>
      <c r="CE128" s="872"/>
      <c r="CF128" s="876"/>
    </row>
    <row r="129" spans="1:84" ht="12.95" customHeight="1" x14ac:dyDescent="0.25">
      <c r="A129" s="282">
        <v>24</v>
      </c>
      <c r="B129" s="323">
        <v>5427</v>
      </c>
      <c r="C129" s="324">
        <v>600099407</v>
      </c>
      <c r="D129" s="283">
        <v>72742534</v>
      </c>
      <c r="E129" s="325" t="s">
        <v>397</v>
      </c>
      <c r="F129" s="283">
        <v>3231</v>
      </c>
      <c r="G129" s="325" t="s">
        <v>299</v>
      </c>
      <c r="H129" s="286" t="s">
        <v>272</v>
      </c>
      <c r="I129" s="423">
        <f t="shared" si="432"/>
        <v>0</v>
      </c>
      <c r="J129" s="418">
        <f t="shared" si="276"/>
        <v>0</v>
      </c>
      <c r="K129" s="418">
        <v>0</v>
      </c>
      <c r="L129" s="418">
        <v>0</v>
      </c>
      <c r="M129" s="418">
        <f>N129+O129</f>
        <v>0</v>
      </c>
      <c r="N129" s="418">
        <v>0</v>
      </c>
      <c r="O129" s="418">
        <v>0</v>
      </c>
      <c r="P129" s="68">
        <f t="shared" si="434"/>
        <v>0</v>
      </c>
      <c r="Q129" s="68">
        <f t="shared" si="435"/>
        <v>0</v>
      </c>
      <c r="R129" s="418">
        <v>0</v>
      </c>
      <c r="S129" s="419">
        <f>T129+U129</f>
        <v>0</v>
      </c>
      <c r="T129" s="420">
        <v>0</v>
      </c>
      <c r="U129" s="527">
        <v>0</v>
      </c>
      <c r="V129" s="427">
        <f>AI129*-1</f>
        <v>0</v>
      </c>
      <c r="W129" s="421">
        <f>AJ129*-1</f>
        <v>0</v>
      </c>
      <c r="X129" s="421">
        <v>92700</v>
      </c>
      <c r="Y129" s="421">
        <v>0</v>
      </c>
      <c r="Z129" s="421">
        <v>0</v>
      </c>
      <c r="AA129" s="421">
        <v>0</v>
      </c>
      <c r="AB129" s="421">
        <v>0</v>
      </c>
      <c r="AC129" s="421">
        <v>0</v>
      </c>
      <c r="AD129" s="421">
        <v>0</v>
      </c>
      <c r="AE129" s="421">
        <v>0</v>
      </c>
      <c r="AF129" s="421">
        <f>V129+X129+Y129+AA129+AB129+AD129</f>
        <v>92700</v>
      </c>
      <c r="AG129" s="421">
        <f>W129+Z129+AC129+AE129</f>
        <v>0</v>
      </c>
      <c r="AH129" s="421">
        <f>SUM(AF129:AG129)</f>
        <v>92700</v>
      </c>
      <c r="AI129" s="421">
        <v>0</v>
      </c>
      <c r="AJ129" s="421">
        <v>0</v>
      </c>
      <c r="AK129" s="421">
        <v>0</v>
      </c>
      <c r="AL129" s="421">
        <v>0</v>
      </c>
      <c r="AM129" s="421">
        <v>0</v>
      </c>
      <c r="AN129" s="421">
        <v>0</v>
      </c>
      <c r="AO129" s="421">
        <f t="shared" si="436"/>
        <v>0</v>
      </c>
      <c r="AP129" s="421">
        <f>AJ129+AN129</f>
        <v>0</v>
      </c>
      <c r="AQ129" s="421">
        <f>SUM(AO129:AP129)</f>
        <v>0</v>
      </c>
      <c r="AR129" s="421">
        <f>AF129+AO129</f>
        <v>92700</v>
      </c>
      <c r="AS129" s="421">
        <f>AG129+AP129</f>
        <v>0</v>
      </c>
      <c r="AT129" s="421">
        <f>SUM(AR129:AS129)</f>
        <v>92700</v>
      </c>
      <c r="AU129" s="68">
        <f t="shared" si="437"/>
        <v>31333</v>
      </c>
      <c r="AV129" s="68">
        <f>ROUND(AH129*1%,0)</f>
        <v>927</v>
      </c>
      <c r="AW129" s="421">
        <v>0</v>
      </c>
      <c r="AX129" s="421">
        <v>0</v>
      </c>
      <c r="AY129" s="421">
        <f>AW129+AX129</f>
        <v>0</v>
      </c>
      <c r="AZ129" s="421">
        <f>AT129+AU129+AV129+AY129</f>
        <v>124960</v>
      </c>
      <c r="BA129" s="422">
        <v>0</v>
      </c>
      <c r="BB129" s="422">
        <v>0</v>
      </c>
      <c r="BC129" s="422">
        <v>0.25</v>
      </c>
      <c r="BD129" s="422">
        <v>0</v>
      </c>
      <c r="BE129" s="422">
        <v>0</v>
      </c>
      <c r="BF129" s="422">
        <v>0</v>
      </c>
      <c r="BG129" s="422">
        <v>0</v>
      </c>
      <c r="BH129" s="422">
        <v>0</v>
      </c>
      <c r="BI129" s="422">
        <v>0</v>
      </c>
      <c r="BJ129" s="422">
        <v>0</v>
      </c>
      <c r="BK129" s="422">
        <f>BA129+BC129+BD129+BF129+BH129+BI129</f>
        <v>0.25</v>
      </c>
      <c r="BL129" s="422">
        <f>BB129+BE129+BG129+BJ129</f>
        <v>0</v>
      </c>
      <c r="BM129" s="611">
        <f>SUM(BK129:BL129)</f>
        <v>0.25</v>
      </c>
      <c r="BN129" s="428">
        <f>I129+AZ129</f>
        <v>124960</v>
      </c>
      <c r="BO129" s="421">
        <f>J129+AH129</f>
        <v>92700</v>
      </c>
      <c r="BP129" s="421">
        <f>K129+AF129</f>
        <v>92700</v>
      </c>
      <c r="BQ129" s="421">
        <f>L129+AG129</f>
        <v>0</v>
      </c>
      <c r="BR129" s="421">
        <f>M129+AQ129</f>
        <v>0</v>
      </c>
      <c r="BS129" s="421">
        <f>N129+AO129</f>
        <v>0</v>
      </c>
      <c r="BT129" s="421">
        <f>O129+AP129</f>
        <v>0</v>
      </c>
      <c r="BU129" s="421">
        <f>P129+AU129</f>
        <v>31333</v>
      </c>
      <c r="BV129" s="421">
        <f>Q129+AV129</f>
        <v>927</v>
      </c>
      <c r="BW129" s="421">
        <f>R129+AY129</f>
        <v>0</v>
      </c>
      <c r="BX129" s="422">
        <f>S129+BM129</f>
        <v>0.25</v>
      </c>
      <c r="BY129" s="422">
        <f>T129+BK129</f>
        <v>0.25</v>
      </c>
      <c r="BZ129" s="611">
        <f>U129+BL129</f>
        <v>0</v>
      </c>
      <c r="CA129" s="875"/>
      <c r="CB129" s="872"/>
      <c r="CC129" s="872"/>
      <c r="CD129" s="872"/>
      <c r="CE129" s="872"/>
      <c r="CF129" s="876"/>
    </row>
    <row r="130" spans="1:84" ht="12.95" customHeight="1" x14ac:dyDescent="0.25">
      <c r="A130" s="326">
        <v>24</v>
      </c>
      <c r="B130" s="327">
        <v>5427</v>
      </c>
      <c r="C130" s="328">
        <v>600099431</v>
      </c>
      <c r="D130" s="327">
        <v>72742534</v>
      </c>
      <c r="E130" s="329" t="s">
        <v>399</v>
      </c>
      <c r="F130" s="293"/>
      <c r="G130" s="331"/>
      <c r="H130" s="294"/>
      <c r="I130" s="481">
        <f t="shared" ref="I130:BU130" si="438">SUM(I128:I129)</f>
        <v>12352028</v>
      </c>
      <c r="J130" s="477">
        <f t="shared" si="438"/>
        <v>9151868</v>
      </c>
      <c r="K130" s="477">
        <f t="shared" si="438"/>
        <v>8803462</v>
      </c>
      <c r="L130" s="477">
        <f t="shared" si="438"/>
        <v>348406</v>
      </c>
      <c r="M130" s="477">
        <f t="shared" si="438"/>
        <v>0</v>
      </c>
      <c r="N130" s="477">
        <f t="shared" si="438"/>
        <v>0</v>
      </c>
      <c r="O130" s="477">
        <f t="shared" si="438"/>
        <v>0</v>
      </c>
      <c r="P130" s="477">
        <f t="shared" si="438"/>
        <v>3093331</v>
      </c>
      <c r="Q130" s="477">
        <f t="shared" si="438"/>
        <v>91519</v>
      </c>
      <c r="R130" s="477">
        <f t="shared" si="438"/>
        <v>15310</v>
      </c>
      <c r="S130" s="478">
        <f t="shared" si="438"/>
        <v>14.930900000000001</v>
      </c>
      <c r="T130" s="478">
        <f t="shared" si="438"/>
        <v>13.9533</v>
      </c>
      <c r="U130" s="330">
        <f t="shared" si="438"/>
        <v>0.97760000000000002</v>
      </c>
      <c r="V130" s="483">
        <f t="shared" si="438"/>
        <v>0</v>
      </c>
      <c r="W130" s="477">
        <f t="shared" si="438"/>
        <v>0</v>
      </c>
      <c r="X130" s="477">
        <f t="shared" si="438"/>
        <v>92700</v>
      </c>
      <c r="Y130" s="477">
        <f t="shared" si="438"/>
        <v>0</v>
      </c>
      <c r="Z130" s="477">
        <f t="shared" si="438"/>
        <v>0</v>
      </c>
      <c r="AA130" s="477">
        <f t="shared" si="438"/>
        <v>0</v>
      </c>
      <c r="AB130" s="477">
        <f t="shared" si="438"/>
        <v>0</v>
      </c>
      <c r="AC130" s="477">
        <f t="shared" si="438"/>
        <v>0</v>
      </c>
      <c r="AD130" s="477">
        <f t="shared" si="438"/>
        <v>0</v>
      </c>
      <c r="AE130" s="477">
        <f t="shared" si="438"/>
        <v>0</v>
      </c>
      <c r="AF130" s="477">
        <f t="shared" si="438"/>
        <v>92700</v>
      </c>
      <c r="AG130" s="477">
        <f t="shared" si="438"/>
        <v>0</v>
      </c>
      <c r="AH130" s="477">
        <f t="shared" si="438"/>
        <v>92700</v>
      </c>
      <c r="AI130" s="477">
        <f t="shared" si="438"/>
        <v>0</v>
      </c>
      <c r="AJ130" s="477">
        <f t="shared" si="438"/>
        <v>0</v>
      </c>
      <c r="AK130" s="477">
        <f t="shared" ref="AK130" si="439">SUM(AK128:AK129)</f>
        <v>0</v>
      </c>
      <c r="AL130" s="477">
        <f t="shared" si="438"/>
        <v>0</v>
      </c>
      <c r="AM130" s="477">
        <f t="shared" si="438"/>
        <v>0</v>
      </c>
      <c r="AN130" s="477">
        <f t="shared" si="438"/>
        <v>0</v>
      </c>
      <c r="AO130" s="477">
        <f t="shared" si="438"/>
        <v>0</v>
      </c>
      <c r="AP130" s="477">
        <f t="shared" si="438"/>
        <v>0</v>
      </c>
      <c r="AQ130" s="477">
        <f t="shared" si="438"/>
        <v>0</v>
      </c>
      <c r="AR130" s="477">
        <f t="shared" si="438"/>
        <v>92700</v>
      </c>
      <c r="AS130" s="477">
        <f t="shared" si="438"/>
        <v>0</v>
      </c>
      <c r="AT130" s="477">
        <f t="shared" si="438"/>
        <v>92700</v>
      </c>
      <c r="AU130" s="477">
        <f t="shared" si="438"/>
        <v>31333</v>
      </c>
      <c r="AV130" s="477">
        <f t="shared" si="438"/>
        <v>927</v>
      </c>
      <c r="AW130" s="477">
        <f t="shared" si="438"/>
        <v>0</v>
      </c>
      <c r="AX130" s="477">
        <f t="shared" si="438"/>
        <v>0</v>
      </c>
      <c r="AY130" s="477">
        <f t="shared" si="438"/>
        <v>0</v>
      </c>
      <c r="AZ130" s="477">
        <f t="shared" si="438"/>
        <v>124960</v>
      </c>
      <c r="BA130" s="478">
        <f t="shared" si="438"/>
        <v>0</v>
      </c>
      <c r="BB130" s="478">
        <f t="shared" si="438"/>
        <v>0</v>
      </c>
      <c r="BC130" s="478">
        <f t="shared" si="438"/>
        <v>0.25</v>
      </c>
      <c r="BD130" s="478">
        <f t="shared" si="438"/>
        <v>0</v>
      </c>
      <c r="BE130" s="478">
        <f t="shared" si="438"/>
        <v>0</v>
      </c>
      <c r="BF130" s="478">
        <f t="shared" si="438"/>
        <v>0</v>
      </c>
      <c r="BG130" s="478">
        <f t="shared" si="438"/>
        <v>0</v>
      </c>
      <c r="BH130" s="478">
        <f t="shared" si="438"/>
        <v>0</v>
      </c>
      <c r="BI130" s="478">
        <f t="shared" si="438"/>
        <v>0</v>
      </c>
      <c r="BJ130" s="478">
        <f t="shared" si="438"/>
        <v>0</v>
      </c>
      <c r="BK130" s="478">
        <f t="shared" si="438"/>
        <v>0.25</v>
      </c>
      <c r="BL130" s="478">
        <f t="shared" si="438"/>
        <v>0</v>
      </c>
      <c r="BM130" s="559">
        <f t="shared" si="438"/>
        <v>0.25</v>
      </c>
      <c r="BN130" s="481">
        <f t="shared" si="438"/>
        <v>12476988</v>
      </c>
      <c r="BO130" s="477">
        <f t="shared" si="438"/>
        <v>9244568</v>
      </c>
      <c r="BP130" s="477">
        <f t="shared" si="438"/>
        <v>8896162</v>
      </c>
      <c r="BQ130" s="477">
        <f t="shared" si="438"/>
        <v>348406</v>
      </c>
      <c r="BR130" s="477">
        <f t="shared" si="438"/>
        <v>0</v>
      </c>
      <c r="BS130" s="477">
        <f t="shared" si="438"/>
        <v>0</v>
      </c>
      <c r="BT130" s="477">
        <f t="shared" si="438"/>
        <v>0</v>
      </c>
      <c r="BU130" s="477">
        <f t="shared" si="438"/>
        <v>3124664</v>
      </c>
      <c r="BV130" s="477">
        <f t="shared" ref="BV130:CF130" si="440">SUM(BV128:BV129)</f>
        <v>92446</v>
      </c>
      <c r="BW130" s="477">
        <f t="shared" si="440"/>
        <v>15310</v>
      </c>
      <c r="BX130" s="478">
        <f t="shared" si="440"/>
        <v>15.180900000000001</v>
      </c>
      <c r="BY130" s="478">
        <f t="shared" si="440"/>
        <v>14.2033</v>
      </c>
      <c r="BZ130" s="559">
        <f t="shared" si="440"/>
        <v>0.97760000000000002</v>
      </c>
      <c r="CA130" s="885">
        <f t="shared" si="440"/>
        <v>0</v>
      </c>
      <c r="CB130" s="883">
        <f t="shared" si="440"/>
        <v>0</v>
      </c>
      <c r="CC130" s="883">
        <f t="shared" si="440"/>
        <v>0</v>
      </c>
      <c r="CD130" s="883">
        <f t="shared" si="440"/>
        <v>0</v>
      </c>
      <c r="CE130" s="883">
        <f t="shared" si="440"/>
        <v>0</v>
      </c>
      <c r="CF130" s="845">
        <f t="shared" si="440"/>
        <v>0</v>
      </c>
    </row>
    <row r="131" spans="1:84" ht="12.95" customHeight="1" x14ac:dyDescent="0.25">
      <c r="A131" s="282">
        <v>25</v>
      </c>
      <c r="B131" s="323">
        <v>5432</v>
      </c>
      <c r="C131" s="324">
        <v>600099024</v>
      </c>
      <c r="D131" s="283">
        <v>71003819</v>
      </c>
      <c r="E131" s="325" t="s">
        <v>400</v>
      </c>
      <c r="F131" s="283">
        <v>3111</v>
      </c>
      <c r="G131" s="325" t="s">
        <v>305</v>
      </c>
      <c r="H131" s="286" t="s">
        <v>271</v>
      </c>
      <c r="I131" s="423">
        <f t="shared" ref="I131:I136" si="441">J131+P131+Q131+R131</f>
        <v>1671963</v>
      </c>
      <c r="J131" s="418">
        <f t="shared" si="276"/>
        <v>1236169</v>
      </c>
      <c r="K131" s="418">
        <v>1169601</v>
      </c>
      <c r="L131" s="418">
        <v>66568</v>
      </c>
      <c r="M131" s="418">
        <f t="shared" ref="M131:M136" si="442">N131+O131</f>
        <v>0</v>
      </c>
      <c r="N131" s="418">
        <v>0</v>
      </c>
      <c r="O131" s="418">
        <v>0</v>
      </c>
      <c r="P131" s="68">
        <f t="shared" ref="P131:P136" si="443">ROUND((J131+M131)*33.8%,0)</f>
        <v>417825</v>
      </c>
      <c r="Q131" s="68">
        <f t="shared" ref="Q131:Q136" si="444">ROUND(J131*1%,0)</f>
        <v>12362</v>
      </c>
      <c r="R131" s="418">
        <v>5607</v>
      </c>
      <c r="S131" s="419">
        <f t="shared" ref="S131:S136" si="445">T131+U131</f>
        <v>2.2667000000000002</v>
      </c>
      <c r="T131" s="420">
        <v>2</v>
      </c>
      <c r="U131" s="527">
        <v>0.26669999999999999</v>
      </c>
      <c r="V131" s="427">
        <f t="shared" ref="V131:W136" si="446">AI131*-1</f>
        <v>-6400</v>
      </c>
      <c r="W131" s="421">
        <f t="shared" si="446"/>
        <v>-1920</v>
      </c>
      <c r="X131" s="421">
        <v>0</v>
      </c>
      <c r="Y131" s="421">
        <v>0</v>
      </c>
      <c r="Z131" s="421">
        <v>0</v>
      </c>
      <c r="AA131" s="421">
        <v>0</v>
      </c>
      <c r="AB131" s="421">
        <v>0</v>
      </c>
      <c r="AC131" s="421">
        <v>0</v>
      </c>
      <c r="AD131" s="421">
        <v>0</v>
      </c>
      <c r="AE131" s="421">
        <v>0</v>
      </c>
      <c r="AF131" s="421">
        <f t="shared" ref="AF131:AF136" si="447">V131+X131+Y131+AA131+AB131+AD131</f>
        <v>-6400</v>
      </c>
      <c r="AG131" s="421">
        <f t="shared" ref="AG131:AG136" si="448">W131+Z131+AC131+AE131</f>
        <v>-1920</v>
      </c>
      <c r="AH131" s="421">
        <f t="shared" ref="AH131:AH136" si="449">SUM(AF131:AG131)</f>
        <v>-8320</v>
      </c>
      <c r="AI131" s="421">
        <v>6400</v>
      </c>
      <c r="AJ131" s="421">
        <v>1920</v>
      </c>
      <c r="AK131" s="421">
        <v>0</v>
      </c>
      <c r="AL131" s="421">
        <v>0</v>
      </c>
      <c r="AM131" s="421">
        <v>0</v>
      </c>
      <c r="AN131" s="421">
        <v>0</v>
      </c>
      <c r="AO131" s="421">
        <f t="shared" ref="AO131:AO136" si="450">AI131+AK131+AL131+AM131</f>
        <v>6400</v>
      </c>
      <c r="AP131" s="421">
        <f t="shared" ref="AP131:AP136" si="451">AJ131+AN131</f>
        <v>1920</v>
      </c>
      <c r="AQ131" s="421">
        <f t="shared" ref="AQ131:AQ136" si="452">SUM(AO131:AP131)</f>
        <v>8320</v>
      </c>
      <c r="AR131" s="421">
        <f t="shared" ref="AR131:AS136" si="453">AF131+AO131</f>
        <v>0</v>
      </c>
      <c r="AS131" s="421">
        <f t="shared" si="453"/>
        <v>0</v>
      </c>
      <c r="AT131" s="421">
        <f t="shared" ref="AT131:AT136" si="454">SUM(AR131:AS131)</f>
        <v>0</v>
      </c>
      <c r="AU131" s="68">
        <f t="shared" ref="AU131:AU136" si="455">ROUND((AH131+AI131+AJ131+AK131+AL131)*33.8%,0)</f>
        <v>0</v>
      </c>
      <c r="AV131" s="68">
        <f t="shared" ref="AV131:AV136" si="456">ROUND(AH131*1%,0)</f>
        <v>-83</v>
      </c>
      <c r="AW131" s="421">
        <v>0</v>
      </c>
      <c r="AX131" s="421">
        <v>0</v>
      </c>
      <c r="AY131" s="421">
        <f t="shared" ref="AY131:AY136" si="457">AW131+AX131</f>
        <v>0</v>
      </c>
      <c r="AZ131" s="421">
        <f t="shared" ref="AZ131:AZ136" si="458">AT131+AU131+AV131+AY131</f>
        <v>-83</v>
      </c>
      <c r="BA131" s="422">
        <v>0</v>
      </c>
      <c r="BB131" s="422">
        <v>0</v>
      </c>
      <c r="BC131" s="422">
        <v>0</v>
      </c>
      <c r="BD131" s="422">
        <v>0</v>
      </c>
      <c r="BE131" s="422">
        <v>0</v>
      </c>
      <c r="BF131" s="422">
        <v>0</v>
      </c>
      <c r="BG131" s="422">
        <v>0</v>
      </c>
      <c r="BH131" s="422">
        <v>0</v>
      </c>
      <c r="BI131" s="422">
        <v>0</v>
      </c>
      <c r="BJ131" s="422">
        <v>0</v>
      </c>
      <c r="BK131" s="422">
        <f t="shared" ref="BK131:BK136" si="459">BA131+BC131+BD131+BF131+BH131+BI131</f>
        <v>0</v>
      </c>
      <c r="BL131" s="422">
        <f t="shared" ref="BL131:BL136" si="460">BB131+BE131+BG131+BJ131</f>
        <v>0</v>
      </c>
      <c r="BM131" s="611">
        <f t="shared" ref="BM131:BM136" si="461">SUM(BK131:BL131)</f>
        <v>0</v>
      </c>
      <c r="BN131" s="428">
        <f t="shared" ref="BN131:BN136" si="462">I131+AZ131</f>
        <v>1671880</v>
      </c>
      <c r="BO131" s="421">
        <f t="shared" ref="BO131:BO136" si="463">J131+AH131</f>
        <v>1227849</v>
      </c>
      <c r="BP131" s="421">
        <f t="shared" ref="BP131:BQ136" si="464">K131+AF131</f>
        <v>1163201</v>
      </c>
      <c r="BQ131" s="421">
        <f t="shared" si="464"/>
        <v>64648</v>
      </c>
      <c r="BR131" s="421">
        <f t="shared" ref="BR131:BR136" si="465">M131+AQ131</f>
        <v>8320</v>
      </c>
      <c r="BS131" s="421">
        <f t="shared" ref="BS131:BT136" si="466">N131+AO131</f>
        <v>6400</v>
      </c>
      <c r="BT131" s="421">
        <f t="shared" si="466"/>
        <v>1920</v>
      </c>
      <c r="BU131" s="421">
        <f t="shared" ref="BU131:BV136" si="467">P131+AU131</f>
        <v>417825</v>
      </c>
      <c r="BV131" s="421">
        <f t="shared" si="467"/>
        <v>12279</v>
      </c>
      <c r="BW131" s="421">
        <f t="shared" ref="BW131:BW136" si="468">R131+AY131</f>
        <v>5607</v>
      </c>
      <c r="BX131" s="422">
        <f t="shared" ref="BX131:BX136" si="469">S131+BM131</f>
        <v>2.2667000000000002</v>
      </c>
      <c r="BY131" s="422">
        <f t="shared" ref="BY131:BZ136" si="470">T131+BK131</f>
        <v>2</v>
      </c>
      <c r="BZ131" s="611">
        <f t="shared" si="470"/>
        <v>0.26669999999999999</v>
      </c>
      <c r="CA131" s="831"/>
      <c r="CB131" s="782"/>
      <c r="CC131" s="782"/>
      <c r="CD131" s="782"/>
      <c r="CE131" s="782"/>
      <c r="CF131" s="832"/>
    </row>
    <row r="132" spans="1:84" ht="12.95" customHeight="1" x14ac:dyDescent="0.25">
      <c r="A132" s="282">
        <v>25</v>
      </c>
      <c r="B132" s="323">
        <v>5432</v>
      </c>
      <c r="C132" s="324">
        <v>600099024</v>
      </c>
      <c r="D132" s="283">
        <v>71003819</v>
      </c>
      <c r="E132" s="325" t="s">
        <v>400</v>
      </c>
      <c r="F132" s="283">
        <v>3117</v>
      </c>
      <c r="G132" s="325" t="s">
        <v>294</v>
      </c>
      <c r="H132" s="286" t="s">
        <v>271</v>
      </c>
      <c r="I132" s="423">
        <f t="shared" si="441"/>
        <v>3167391</v>
      </c>
      <c r="J132" s="418">
        <f t="shared" si="276"/>
        <v>2315873</v>
      </c>
      <c r="K132" s="418">
        <v>2037786</v>
      </c>
      <c r="L132" s="418">
        <v>278087</v>
      </c>
      <c r="M132" s="418">
        <f t="shared" si="442"/>
        <v>0</v>
      </c>
      <c r="N132" s="418">
        <v>0</v>
      </c>
      <c r="O132" s="418">
        <v>0</v>
      </c>
      <c r="P132" s="68">
        <f t="shared" si="443"/>
        <v>782765</v>
      </c>
      <c r="Q132" s="68">
        <f>ROUND(J132*1%,0)-1</f>
        <v>23158</v>
      </c>
      <c r="R132" s="418">
        <v>45595</v>
      </c>
      <c r="S132" s="419">
        <f t="shared" si="445"/>
        <v>3.9778000000000002</v>
      </c>
      <c r="T132" s="420">
        <v>3.2612000000000001</v>
      </c>
      <c r="U132" s="527">
        <v>0.71660000000000001</v>
      </c>
      <c r="V132" s="427">
        <f t="shared" si="446"/>
        <v>-6400</v>
      </c>
      <c r="W132" s="421">
        <f t="shared" si="446"/>
        <v>-1280</v>
      </c>
      <c r="X132" s="421">
        <v>0</v>
      </c>
      <c r="Y132" s="421">
        <v>0</v>
      </c>
      <c r="Z132" s="421">
        <v>0</v>
      </c>
      <c r="AA132" s="421">
        <v>0</v>
      </c>
      <c r="AB132" s="421">
        <v>0</v>
      </c>
      <c r="AC132" s="421">
        <v>0</v>
      </c>
      <c r="AD132" s="421">
        <v>0</v>
      </c>
      <c r="AE132" s="421">
        <v>0</v>
      </c>
      <c r="AF132" s="421">
        <f t="shared" si="447"/>
        <v>-6400</v>
      </c>
      <c r="AG132" s="421">
        <f t="shared" si="448"/>
        <v>-1280</v>
      </c>
      <c r="AH132" s="421">
        <f t="shared" si="449"/>
        <v>-7680</v>
      </c>
      <c r="AI132" s="421">
        <v>6400</v>
      </c>
      <c r="AJ132" s="421">
        <v>1280</v>
      </c>
      <c r="AK132" s="421">
        <v>0</v>
      </c>
      <c r="AL132" s="421">
        <v>0</v>
      </c>
      <c r="AM132" s="421">
        <v>0</v>
      </c>
      <c r="AN132" s="421">
        <v>0</v>
      </c>
      <c r="AO132" s="421">
        <f t="shared" si="450"/>
        <v>6400</v>
      </c>
      <c r="AP132" s="421">
        <f t="shared" si="451"/>
        <v>1280</v>
      </c>
      <c r="AQ132" s="421">
        <f t="shared" si="452"/>
        <v>7680</v>
      </c>
      <c r="AR132" s="421">
        <f t="shared" si="453"/>
        <v>0</v>
      </c>
      <c r="AS132" s="421">
        <f t="shared" si="453"/>
        <v>0</v>
      </c>
      <c r="AT132" s="421">
        <f t="shared" si="454"/>
        <v>0</v>
      </c>
      <c r="AU132" s="68">
        <f t="shared" si="455"/>
        <v>0</v>
      </c>
      <c r="AV132" s="68">
        <f t="shared" si="456"/>
        <v>-77</v>
      </c>
      <c r="AW132" s="421">
        <v>0</v>
      </c>
      <c r="AX132" s="421">
        <v>0</v>
      </c>
      <c r="AY132" s="421">
        <f t="shared" si="457"/>
        <v>0</v>
      </c>
      <c r="AZ132" s="421">
        <f t="shared" si="458"/>
        <v>-77</v>
      </c>
      <c r="BA132" s="422">
        <v>0</v>
      </c>
      <c r="BB132" s="422">
        <v>0</v>
      </c>
      <c r="BC132" s="422">
        <v>0</v>
      </c>
      <c r="BD132" s="422">
        <v>0</v>
      </c>
      <c r="BE132" s="422">
        <v>0</v>
      </c>
      <c r="BF132" s="422">
        <v>0</v>
      </c>
      <c r="BG132" s="422">
        <v>0</v>
      </c>
      <c r="BH132" s="422">
        <v>0</v>
      </c>
      <c r="BI132" s="422">
        <v>0</v>
      </c>
      <c r="BJ132" s="422">
        <v>0</v>
      </c>
      <c r="BK132" s="422">
        <f t="shared" si="459"/>
        <v>0</v>
      </c>
      <c r="BL132" s="422">
        <f t="shared" si="460"/>
        <v>0</v>
      </c>
      <c r="BM132" s="611">
        <f t="shared" si="461"/>
        <v>0</v>
      </c>
      <c r="BN132" s="428">
        <f t="shared" si="462"/>
        <v>3167314</v>
      </c>
      <c r="BO132" s="421">
        <f t="shared" si="463"/>
        <v>2308193</v>
      </c>
      <c r="BP132" s="421">
        <f t="shared" si="464"/>
        <v>2031386</v>
      </c>
      <c r="BQ132" s="421">
        <f t="shared" si="464"/>
        <v>276807</v>
      </c>
      <c r="BR132" s="421">
        <f t="shared" si="465"/>
        <v>7680</v>
      </c>
      <c r="BS132" s="421">
        <f t="shared" si="466"/>
        <v>6400</v>
      </c>
      <c r="BT132" s="421">
        <f t="shared" si="466"/>
        <v>1280</v>
      </c>
      <c r="BU132" s="421">
        <f t="shared" si="467"/>
        <v>782765</v>
      </c>
      <c r="BV132" s="421">
        <f t="shared" si="467"/>
        <v>23081</v>
      </c>
      <c r="BW132" s="421">
        <f t="shared" si="468"/>
        <v>45595</v>
      </c>
      <c r="BX132" s="422">
        <f t="shared" si="469"/>
        <v>3.9778000000000002</v>
      </c>
      <c r="BY132" s="422">
        <f t="shared" si="470"/>
        <v>3.2612000000000001</v>
      </c>
      <c r="BZ132" s="611">
        <f t="shared" si="470"/>
        <v>0.71660000000000001</v>
      </c>
      <c r="CA132" s="875"/>
      <c r="CB132" s="872"/>
      <c r="CC132" s="872"/>
      <c r="CD132" s="872"/>
      <c r="CE132" s="872"/>
      <c r="CF132" s="876"/>
    </row>
    <row r="133" spans="1:84" ht="12.95" customHeight="1" x14ac:dyDescent="0.25">
      <c r="A133" s="282">
        <v>25</v>
      </c>
      <c r="B133" s="323">
        <v>5432</v>
      </c>
      <c r="C133" s="324">
        <v>600099024</v>
      </c>
      <c r="D133" s="283">
        <v>71003819</v>
      </c>
      <c r="E133" s="325" t="s">
        <v>400</v>
      </c>
      <c r="F133" s="283">
        <v>3117</v>
      </c>
      <c r="G133" s="325" t="s">
        <v>299</v>
      </c>
      <c r="H133" s="286" t="s">
        <v>272</v>
      </c>
      <c r="I133" s="423">
        <f t="shared" si="441"/>
        <v>0</v>
      </c>
      <c r="J133" s="418">
        <f t="shared" si="276"/>
        <v>0</v>
      </c>
      <c r="K133" s="418">
        <v>0</v>
      </c>
      <c r="L133" s="418">
        <v>0</v>
      </c>
      <c r="M133" s="418">
        <f>N133+O133</f>
        <v>0</v>
      </c>
      <c r="N133" s="418">
        <v>0</v>
      </c>
      <c r="O133" s="418">
        <v>0</v>
      </c>
      <c r="P133" s="68">
        <f t="shared" si="443"/>
        <v>0</v>
      </c>
      <c r="Q133" s="68">
        <f t="shared" ref="Q133" si="471">ROUND(J133*1%,0)</f>
        <v>0</v>
      </c>
      <c r="R133" s="418">
        <v>0</v>
      </c>
      <c r="S133" s="419">
        <f>T133+U133</f>
        <v>0</v>
      </c>
      <c r="T133" s="420">
        <v>0</v>
      </c>
      <c r="U133" s="527">
        <v>0</v>
      </c>
      <c r="V133" s="427">
        <f t="shared" si="446"/>
        <v>0</v>
      </c>
      <c r="W133" s="421">
        <f t="shared" si="446"/>
        <v>0</v>
      </c>
      <c r="X133" s="421">
        <v>515006</v>
      </c>
      <c r="Y133" s="421">
        <v>0</v>
      </c>
      <c r="Z133" s="421">
        <v>0</v>
      </c>
      <c r="AA133" s="421">
        <v>0</v>
      </c>
      <c r="AB133" s="421">
        <v>0</v>
      </c>
      <c r="AC133" s="421">
        <v>0</v>
      </c>
      <c r="AD133" s="421">
        <v>0</v>
      </c>
      <c r="AE133" s="421">
        <v>0</v>
      </c>
      <c r="AF133" s="421">
        <f t="shared" si="447"/>
        <v>515006</v>
      </c>
      <c r="AG133" s="421">
        <f t="shared" si="448"/>
        <v>0</v>
      </c>
      <c r="AH133" s="421">
        <f t="shared" si="449"/>
        <v>515006</v>
      </c>
      <c r="AI133" s="421">
        <v>0</v>
      </c>
      <c r="AJ133" s="421">
        <v>0</v>
      </c>
      <c r="AK133" s="421">
        <v>0</v>
      </c>
      <c r="AL133" s="421">
        <v>0</v>
      </c>
      <c r="AM133" s="421">
        <v>0</v>
      </c>
      <c r="AN133" s="421">
        <v>0</v>
      </c>
      <c r="AO133" s="421">
        <f t="shared" si="450"/>
        <v>0</v>
      </c>
      <c r="AP133" s="421">
        <f t="shared" si="451"/>
        <v>0</v>
      </c>
      <c r="AQ133" s="421">
        <f t="shared" si="452"/>
        <v>0</v>
      </c>
      <c r="AR133" s="421">
        <f t="shared" si="453"/>
        <v>515006</v>
      </c>
      <c r="AS133" s="421">
        <f t="shared" si="453"/>
        <v>0</v>
      </c>
      <c r="AT133" s="421">
        <f t="shared" si="454"/>
        <v>515006</v>
      </c>
      <c r="AU133" s="68">
        <f t="shared" si="455"/>
        <v>174072</v>
      </c>
      <c r="AV133" s="68">
        <f t="shared" si="456"/>
        <v>5150</v>
      </c>
      <c r="AW133" s="421">
        <v>5250</v>
      </c>
      <c r="AX133" s="421">
        <v>0</v>
      </c>
      <c r="AY133" s="421">
        <f t="shared" si="457"/>
        <v>5250</v>
      </c>
      <c r="AZ133" s="421">
        <f t="shared" si="458"/>
        <v>699478</v>
      </c>
      <c r="BA133" s="422">
        <v>0</v>
      </c>
      <c r="BB133" s="422">
        <v>0</v>
      </c>
      <c r="BC133" s="422">
        <v>1.39</v>
      </c>
      <c r="BD133" s="422">
        <v>0</v>
      </c>
      <c r="BE133" s="422">
        <v>0</v>
      </c>
      <c r="BF133" s="422">
        <v>0</v>
      </c>
      <c r="BG133" s="422">
        <v>0</v>
      </c>
      <c r="BH133" s="422">
        <v>0</v>
      </c>
      <c r="BI133" s="422">
        <v>0</v>
      </c>
      <c r="BJ133" s="422">
        <v>0</v>
      </c>
      <c r="BK133" s="422">
        <f t="shared" si="459"/>
        <v>1.39</v>
      </c>
      <c r="BL133" s="422">
        <f t="shared" si="460"/>
        <v>0</v>
      </c>
      <c r="BM133" s="611">
        <f t="shared" si="461"/>
        <v>1.39</v>
      </c>
      <c r="BN133" s="428">
        <f t="shared" si="462"/>
        <v>699478</v>
      </c>
      <c r="BO133" s="421">
        <f t="shared" si="463"/>
        <v>515006</v>
      </c>
      <c r="BP133" s="421">
        <f t="shared" si="464"/>
        <v>515006</v>
      </c>
      <c r="BQ133" s="421">
        <f t="shared" si="464"/>
        <v>0</v>
      </c>
      <c r="BR133" s="421">
        <f t="shared" si="465"/>
        <v>0</v>
      </c>
      <c r="BS133" s="421">
        <f t="shared" si="466"/>
        <v>0</v>
      </c>
      <c r="BT133" s="421">
        <f t="shared" si="466"/>
        <v>0</v>
      </c>
      <c r="BU133" s="421">
        <f t="shared" si="467"/>
        <v>174072</v>
      </c>
      <c r="BV133" s="421">
        <f t="shared" si="467"/>
        <v>5150</v>
      </c>
      <c r="BW133" s="421">
        <f t="shared" si="468"/>
        <v>5250</v>
      </c>
      <c r="BX133" s="422">
        <f t="shared" si="469"/>
        <v>1.39</v>
      </c>
      <c r="BY133" s="422">
        <f t="shared" si="470"/>
        <v>1.39</v>
      </c>
      <c r="BZ133" s="611">
        <f t="shared" si="470"/>
        <v>0</v>
      </c>
      <c r="CA133" s="875"/>
      <c r="CB133" s="872"/>
      <c r="CC133" s="872"/>
      <c r="CD133" s="872"/>
      <c r="CE133" s="872"/>
      <c r="CF133" s="876"/>
    </row>
    <row r="134" spans="1:84" ht="12.95" customHeight="1" x14ac:dyDescent="0.25">
      <c r="A134" s="282">
        <v>25</v>
      </c>
      <c r="B134" s="323">
        <v>5432</v>
      </c>
      <c r="C134" s="324">
        <v>600099024</v>
      </c>
      <c r="D134" s="283">
        <v>71003819</v>
      </c>
      <c r="E134" s="325" t="s">
        <v>400</v>
      </c>
      <c r="F134" s="283">
        <v>3141</v>
      </c>
      <c r="G134" s="325" t="s">
        <v>295</v>
      </c>
      <c r="H134" s="286" t="s">
        <v>272</v>
      </c>
      <c r="I134" s="423">
        <f t="shared" si="441"/>
        <v>520403</v>
      </c>
      <c r="J134" s="418">
        <f t="shared" si="276"/>
        <v>384602</v>
      </c>
      <c r="K134" s="418">
        <v>0</v>
      </c>
      <c r="L134" s="418">
        <v>384602</v>
      </c>
      <c r="M134" s="418">
        <f t="shared" si="442"/>
        <v>0</v>
      </c>
      <c r="N134" s="418">
        <v>0</v>
      </c>
      <c r="O134" s="418">
        <v>0</v>
      </c>
      <c r="P134" s="68">
        <f t="shared" si="443"/>
        <v>129995</v>
      </c>
      <c r="Q134" s="68">
        <f t="shared" si="444"/>
        <v>3846</v>
      </c>
      <c r="R134" s="418">
        <v>1960</v>
      </c>
      <c r="S134" s="419">
        <f t="shared" si="445"/>
        <v>1.1533</v>
      </c>
      <c r="T134" s="420">
        <v>0</v>
      </c>
      <c r="U134" s="527">
        <v>1.1533</v>
      </c>
      <c r="V134" s="427">
        <f t="shared" si="446"/>
        <v>0</v>
      </c>
      <c r="W134" s="421">
        <f t="shared" si="446"/>
        <v>-1920</v>
      </c>
      <c r="X134" s="421">
        <v>0</v>
      </c>
      <c r="Y134" s="421">
        <v>0</v>
      </c>
      <c r="Z134" s="421">
        <v>0</v>
      </c>
      <c r="AA134" s="421">
        <v>0</v>
      </c>
      <c r="AB134" s="421">
        <v>0</v>
      </c>
      <c r="AC134" s="421">
        <v>0</v>
      </c>
      <c r="AD134" s="421">
        <v>0</v>
      </c>
      <c r="AE134" s="421">
        <v>0</v>
      </c>
      <c r="AF134" s="421">
        <f t="shared" si="447"/>
        <v>0</v>
      </c>
      <c r="AG134" s="421">
        <f t="shared" si="448"/>
        <v>-1920</v>
      </c>
      <c r="AH134" s="421">
        <f t="shared" si="449"/>
        <v>-1920</v>
      </c>
      <c r="AI134" s="421">
        <v>0</v>
      </c>
      <c r="AJ134" s="421">
        <v>1920</v>
      </c>
      <c r="AK134" s="421">
        <v>0</v>
      </c>
      <c r="AL134" s="421">
        <v>0</v>
      </c>
      <c r="AM134" s="421">
        <v>0</v>
      </c>
      <c r="AN134" s="421">
        <v>0</v>
      </c>
      <c r="AO134" s="421">
        <f t="shared" si="450"/>
        <v>0</v>
      </c>
      <c r="AP134" s="421">
        <f t="shared" si="451"/>
        <v>1920</v>
      </c>
      <c r="AQ134" s="421">
        <f t="shared" si="452"/>
        <v>1920</v>
      </c>
      <c r="AR134" s="421">
        <f t="shared" si="453"/>
        <v>0</v>
      </c>
      <c r="AS134" s="421">
        <f t="shared" si="453"/>
        <v>0</v>
      </c>
      <c r="AT134" s="421">
        <f t="shared" si="454"/>
        <v>0</v>
      </c>
      <c r="AU134" s="68">
        <f t="shared" si="455"/>
        <v>0</v>
      </c>
      <c r="AV134" s="68">
        <f t="shared" si="456"/>
        <v>-19</v>
      </c>
      <c r="AW134" s="421">
        <v>0</v>
      </c>
      <c r="AX134" s="421">
        <v>0</v>
      </c>
      <c r="AY134" s="421">
        <f t="shared" si="457"/>
        <v>0</v>
      </c>
      <c r="AZ134" s="421">
        <f t="shared" si="458"/>
        <v>-19</v>
      </c>
      <c r="BA134" s="422">
        <v>0</v>
      </c>
      <c r="BB134" s="422">
        <v>0</v>
      </c>
      <c r="BC134" s="422">
        <v>0</v>
      </c>
      <c r="BD134" s="422">
        <v>0</v>
      </c>
      <c r="BE134" s="422">
        <v>0</v>
      </c>
      <c r="BF134" s="422">
        <v>0</v>
      </c>
      <c r="BG134" s="422">
        <v>0</v>
      </c>
      <c r="BH134" s="422">
        <v>0</v>
      </c>
      <c r="BI134" s="422">
        <v>0</v>
      </c>
      <c r="BJ134" s="422">
        <v>0</v>
      </c>
      <c r="BK134" s="422">
        <f t="shared" si="459"/>
        <v>0</v>
      </c>
      <c r="BL134" s="422">
        <f t="shared" si="460"/>
        <v>0</v>
      </c>
      <c r="BM134" s="611">
        <f t="shared" si="461"/>
        <v>0</v>
      </c>
      <c r="BN134" s="428">
        <f t="shared" si="462"/>
        <v>520384</v>
      </c>
      <c r="BO134" s="421">
        <f t="shared" si="463"/>
        <v>382682</v>
      </c>
      <c r="BP134" s="421">
        <f t="shared" si="464"/>
        <v>0</v>
      </c>
      <c r="BQ134" s="421">
        <f t="shared" si="464"/>
        <v>382682</v>
      </c>
      <c r="BR134" s="421">
        <f t="shared" si="465"/>
        <v>1920</v>
      </c>
      <c r="BS134" s="421">
        <f t="shared" si="466"/>
        <v>0</v>
      </c>
      <c r="BT134" s="421">
        <f t="shared" si="466"/>
        <v>1920</v>
      </c>
      <c r="BU134" s="421">
        <f t="shared" si="467"/>
        <v>129995</v>
      </c>
      <c r="BV134" s="421">
        <f t="shared" si="467"/>
        <v>3827</v>
      </c>
      <c r="BW134" s="421">
        <f t="shared" si="468"/>
        <v>1960</v>
      </c>
      <c r="BX134" s="422">
        <f t="shared" si="469"/>
        <v>1.1533</v>
      </c>
      <c r="BY134" s="422">
        <f t="shared" si="470"/>
        <v>0</v>
      </c>
      <c r="BZ134" s="611">
        <f t="shared" si="470"/>
        <v>1.1533</v>
      </c>
      <c r="CA134" s="875"/>
      <c r="CB134" s="872"/>
      <c r="CC134" s="872"/>
      <c r="CD134" s="872"/>
      <c r="CE134" s="872"/>
      <c r="CF134" s="876"/>
    </row>
    <row r="135" spans="1:84" ht="12.95" customHeight="1" x14ac:dyDescent="0.25">
      <c r="A135" s="282">
        <v>25</v>
      </c>
      <c r="B135" s="323">
        <v>5432</v>
      </c>
      <c r="C135" s="324">
        <v>600099024</v>
      </c>
      <c r="D135" s="283">
        <v>71003819</v>
      </c>
      <c r="E135" s="325" t="s">
        <v>400</v>
      </c>
      <c r="F135" s="283">
        <v>3143</v>
      </c>
      <c r="G135" s="325" t="s">
        <v>596</v>
      </c>
      <c r="H135" s="286" t="s">
        <v>271</v>
      </c>
      <c r="I135" s="423">
        <f t="shared" si="441"/>
        <v>707146</v>
      </c>
      <c r="J135" s="418">
        <f t="shared" si="276"/>
        <v>524589</v>
      </c>
      <c r="K135" s="418">
        <v>524589</v>
      </c>
      <c r="L135" s="418">
        <v>0</v>
      </c>
      <c r="M135" s="418">
        <f t="shared" si="442"/>
        <v>0</v>
      </c>
      <c r="N135" s="418">
        <v>0</v>
      </c>
      <c r="O135" s="418">
        <v>0</v>
      </c>
      <c r="P135" s="68">
        <f t="shared" si="443"/>
        <v>177311</v>
      </c>
      <c r="Q135" s="68">
        <f t="shared" si="444"/>
        <v>5246</v>
      </c>
      <c r="R135" s="418">
        <v>0</v>
      </c>
      <c r="S135" s="419">
        <f t="shared" si="445"/>
        <v>1.0831999999999999</v>
      </c>
      <c r="T135" s="420">
        <v>1.0831999999999999</v>
      </c>
      <c r="U135" s="527">
        <v>0</v>
      </c>
      <c r="V135" s="427">
        <f t="shared" si="446"/>
        <v>-3200</v>
      </c>
      <c r="W135" s="421">
        <f t="shared" si="446"/>
        <v>0</v>
      </c>
      <c r="X135" s="421">
        <v>0</v>
      </c>
      <c r="Y135" s="421">
        <v>0</v>
      </c>
      <c r="Z135" s="421">
        <v>0</v>
      </c>
      <c r="AA135" s="421">
        <v>0</v>
      </c>
      <c r="AB135" s="421">
        <v>0</v>
      </c>
      <c r="AC135" s="421">
        <v>0</v>
      </c>
      <c r="AD135" s="421">
        <v>0</v>
      </c>
      <c r="AE135" s="421">
        <v>0</v>
      </c>
      <c r="AF135" s="421">
        <f t="shared" si="447"/>
        <v>-3200</v>
      </c>
      <c r="AG135" s="421">
        <f t="shared" si="448"/>
        <v>0</v>
      </c>
      <c r="AH135" s="421">
        <f t="shared" si="449"/>
        <v>-3200</v>
      </c>
      <c r="AI135" s="421">
        <v>3200</v>
      </c>
      <c r="AJ135" s="421">
        <v>0</v>
      </c>
      <c r="AK135" s="421">
        <v>0</v>
      </c>
      <c r="AL135" s="421">
        <v>0</v>
      </c>
      <c r="AM135" s="421">
        <v>0</v>
      </c>
      <c r="AN135" s="421">
        <v>0</v>
      </c>
      <c r="AO135" s="421">
        <f t="shared" si="450"/>
        <v>3200</v>
      </c>
      <c r="AP135" s="421">
        <f t="shared" si="451"/>
        <v>0</v>
      </c>
      <c r="AQ135" s="421">
        <f t="shared" si="452"/>
        <v>3200</v>
      </c>
      <c r="AR135" s="421">
        <f t="shared" si="453"/>
        <v>0</v>
      </c>
      <c r="AS135" s="421">
        <f t="shared" si="453"/>
        <v>0</v>
      </c>
      <c r="AT135" s="421">
        <f t="shared" si="454"/>
        <v>0</v>
      </c>
      <c r="AU135" s="68">
        <f t="shared" si="455"/>
        <v>0</v>
      </c>
      <c r="AV135" s="68">
        <f t="shared" si="456"/>
        <v>-32</v>
      </c>
      <c r="AW135" s="421">
        <v>0</v>
      </c>
      <c r="AX135" s="421">
        <v>0</v>
      </c>
      <c r="AY135" s="421">
        <f t="shared" si="457"/>
        <v>0</v>
      </c>
      <c r="AZ135" s="421">
        <f t="shared" si="458"/>
        <v>-32</v>
      </c>
      <c r="BA135" s="422">
        <v>0</v>
      </c>
      <c r="BB135" s="422">
        <v>0</v>
      </c>
      <c r="BC135" s="422">
        <v>0</v>
      </c>
      <c r="BD135" s="422">
        <v>0</v>
      </c>
      <c r="BE135" s="422">
        <v>0</v>
      </c>
      <c r="BF135" s="422">
        <v>0</v>
      </c>
      <c r="BG135" s="422">
        <v>0</v>
      </c>
      <c r="BH135" s="422">
        <v>0</v>
      </c>
      <c r="BI135" s="422">
        <v>0</v>
      </c>
      <c r="BJ135" s="422">
        <v>0</v>
      </c>
      <c r="BK135" s="422">
        <f t="shared" si="459"/>
        <v>0</v>
      </c>
      <c r="BL135" s="422">
        <f t="shared" si="460"/>
        <v>0</v>
      </c>
      <c r="BM135" s="611">
        <f t="shared" si="461"/>
        <v>0</v>
      </c>
      <c r="BN135" s="428">
        <f t="shared" si="462"/>
        <v>707114</v>
      </c>
      <c r="BO135" s="421">
        <f t="shared" si="463"/>
        <v>521389</v>
      </c>
      <c r="BP135" s="421">
        <f t="shared" si="464"/>
        <v>521389</v>
      </c>
      <c r="BQ135" s="421">
        <f t="shared" si="464"/>
        <v>0</v>
      </c>
      <c r="BR135" s="421">
        <f t="shared" si="465"/>
        <v>3200</v>
      </c>
      <c r="BS135" s="421">
        <f t="shared" si="466"/>
        <v>3200</v>
      </c>
      <c r="BT135" s="421">
        <f t="shared" si="466"/>
        <v>0</v>
      </c>
      <c r="BU135" s="421">
        <f t="shared" si="467"/>
        <v>177311</v>
      </c>
      <c r="BV135" s="421">
        <f t="shared" si="467"/>
        <v>5214</v>
      </c>
      <c r="BW135" s="421">
        <f t="shared" si="468"/>
        <v>0</v>
      </c>
      <c r="BX135" s="422">
        <f t="shared" si="469"/>
        <v>1.0831999999999999</v>
      </c>
      <c r="BY135" s="422">
        <f t="shared" si="470"/>
        <v>1.0831999999999999</v>
      </c>
      <c r="BZ135" s="611">
        <f t="shared" si="470"/>
        <v>0</v>
      </c>
      <c r="CA135" s="875"/>
      <c r="CB135" s="872"/>
      <c r="CC135" s="872"/>
      <c r="CD135" s="872"/>
      <c r="CE135" s="872"/>
      <c r="CF135" s="876"/>
    </row>
    <row r="136" spans="1:84" ht="12.95" customHeight="1" x14ac:dyDescent="0.25">
      <c r="A136" s="282">
        <v>25</v>
      </c>
      <c r="B136" s="323">
        <v>5432</v>
      </c>
      <c r="C136" s="324">
        <v>600099024</v>
      </c>
      <c r="D136" s="283">
        <v>71003819</v>
      </c>
      <c r="E136" s="325" t="s">
        <v>400</v>
      </c>
      <c r="F136" s="283">
        <v>3143</v>
      </c>
      <c r="G136" s="325" t="s">
        <v>597</v>
      </c>
      <c r="H136" s="286" t="s">
        <v>272</v>
      </c>
      <c r="I136" s="423">
        <f t="shared" si="441"/>
        <v>12799</v>
      </c>
      <c r="J136" s="418">
        <f t="shared" si="276"/>
        <v>9161</v>
      </c>
      <c r="K136" s="418">
        <v>0</v>
      </c>
      <c r="L136" s="418">
        <v>9161</v>
      </c>
      <c r="M136" s="418">
        <f t="shared" si="442"/>
        <v>0</v>
      </c>
      <c r="N136" s="418">
        <v>0</v>
      </c>
      <c r="O136" s="418">
        <v>0</v>
      </c>
      <c r="P136" s="68">
        <f t="shared" si="443"/>
        <v>3096</v>
      </c>
      <c r="Q136" s="68">
        <f t="shared" si="444"/>
        <v>92</v>
      </c>
      <c r="R136" s="418">
        <v>450</v>
      </c>
      <c r="S136" s="419">
        <f t="shared" si="445"/>
        <v>3.4700000000000002E-2</v>
      </c>
      <c r="T136" s="420">
        <v>0</v>
      </c>
      <c r="U136" s="527">
        <v>3.4700000000000002E-2</v>
      </c>
      <c r="V136" s="427">
        <f t="shared" si="446"/>
        <v>0</v>
      </c>
      <c r="W136" s="421">
        <f t="shared" si="446"/>
        <v>0</v>
      </c>
      <c r="X136" s="421">
        <v>0</v>
      </c>
      <c r="Y136" s="421">
        <v>0</v>
      </c>
      <c r="Z136" s="421">
        <v>0</v>
      </c>
      <c r="AA136" s="421">
        <v>0</v>
      </c>
      <c r="AB136" s="421">
        <v>0</v>
      </c>
      <c r="AC136" s="421">
        <v>0</v>
      </c>
      <c r="AD136" s="421">
        <v>0</v>
      </c>
      <c r="AE136" s="421">
        <v>0</v>
      </c>
      <c r="AF136" s="421">
        <f t="shared" si="447"/>
        <v>0</v>
      </c>
      <c r="AG136" s="421">
        <f t="shared" si="448"/>
        <v>0</v>
      </c>
      <c r="AH136" s="421">
        <f t="shared" si="449"/>
        <v>0</v>
      </c>
      <c r="AI136" s="421">
        <v>0</v>
      </c>
      <c r="AJ136" s="421">
        <v>0</v>
      </c>
      <c r="AK136" s="421">
        <v>0</v>
      </c>
      <c r="AL136" s="421">
        <v>0</v>
      </c>
      <c r="AM136" s="421">
        <v>0</v>
      </c>
      <c r="AN136" s="421">
        <v>0</v>
      </c>
      <c r="AO136" s="421">
        <f t="shared" si="450"/>
        <v>0</v>
      </c>
      <c r="AP136" s="421">
        <f t="shared" si="451"/>
        <v>0</v>
      </c>
      <c r="AQ136" s="421">
        <f t="shared" si="452"/>
        <v>0</v>
      </c>
      <c r="AR136" s="421">
        <f t="shared" si="453"/>
        <v>0</v>
      </c>
      <c r="AS136" s="421">
        <f t="shared" si="453"/>
        <v>0</v>
      </c>
      <c r="AT136" s="421">
        <f t="shared" si="454"/>
        <v>0</v>
      </c>
      <c r="AU136" s="68">
        <f t="shared" si="455"/>
        <v>0</v>
      </c>
      <c r="AV136" s="68">
        <f t="shared" si="456"/>
        <v>0</v>
      </c>
      <c r="AW136" s="421">
        <v>0</v>
      </c>
      <c r="AX136" s="421">
        <v>0</v>
      </c>
      <c r="AY136" s="421">
        <f t="shared" si="457"/>
        <v>0</v>
      </c>
      <c r="AZ136" s="421">
        <f t="shared" si="458"/>
        <v>0</v>
      </c>
      <c r="BA136" s="422">
        <v>0</v>
      </c>
      <c r="BB136" s="422">
        <v>0</v>
      </c>
      <c r="BC136" s="422">
        <v>0</v>
      </c>
      <c r="BD136" s="422">
        <v>0</v>
      </c>
      <c r="BE136" s="422">
        <v>0</v>
      </c>
      <c r="BF136" s="422">
        <v>0</v>
      </c>
      <c r="BG136" s="422">
        <v>0</v>
      </c>
      <c r="BH136" s="422">
        <v>0</v>
      </c>
      <c r="BI136" s="422">
        <v>0</v>
      </c>
      <c r="BJ136" s="422">
        <v>0</v>
      </c>
      <c r="BK136" s="422">
        <f t="shared" si="459"/>
        <v>0</v>
      </c>
      <c r="BL136" s="422">
        <f t="shared" si="460"/>
        <v>0</v>
      </c>
      <c r="BM136" s="611">
        <f t="shared" si="461"/>
        <v>0</v>
      </c>
      <c r="BN136" s="428">
        <f t="shared" si="462"/>
        <v>12799</v>
      </c>
      <c r="BO136" s="421">
        <f t="shared" si="463"/>
        <v>9161</v>
      </c>
      <c r="BP136" s="421">
        <f t="shared" si="464"/>
        <v>0</v>
      </c>
      <c r="BQ136" s="421">
        <f t="shared" si="464"/>
        <v>9161</v>
      </c>
      <c r="BR136" s="421">
        <f t="shared" si="465"/>
        <v>0</v>
      </c>
      <c r="BS136" s="421">
        <f t="shared" si="466"/>
        <v>0</v>
      </c>
      <c r="BT136" s="421">
        <f t="shared" si="466"/>
        <v>0</v>
      </c>
      <c r="BU136" s="421">
        <f t="shared" si="467"/>
        <v>3096</v>
      </c>
      <c r="BV136" s="421">
        <f t="shared" si="467"/>
        <v>92</v>
      </c>
      <c r="BW136" s="421">
        <f t="shared" si="468"/>
        <v>450</v>
      </c>
      <c r="BX136" s="422">
        <f t="shared" si="469"/>
        <v>3.4700000000000002E-2</v>
      </c>
      <c r="BY136" s="422">
        <f t="shared" si="470"/>
        <v>0</v>
      </c>
      <c r="BZ136" s="611">
        <f t="shared" si="470"/>
        <v>3.4700000000000002E-2</v>
      </c>
      <c r="CA136" s="875"/>
      <c r="CB136" s="872"/>
      <c r="CC136" s="872"/>
      <c r="CD136" s="872"/>
      <c r="CE136" s="872"/>
      <c r="CF136" s="876"/>
    </row>
    <row r="137" spans="1:84" ht="12.95" customHeight="1" x14ac:dyDescent="0.25">
      <c r="A137" s="326">
        <v>25</v>
      </c>
      <c r="B137" s="327">
        <v>5432</v>
      </c>
      <c r="C137" s="328">
        <v>600099024</v>
      </c>
      <c r="D137" s="327">
        <v>71003819</v>
      </c>
      <c r="E137" s="329" t="s">
        <v>401</v>
      </c>
      <c r="F137" s="293"/>
      <c r="G137" s="331"/>
      <c r="H137" s="294"/>
      <c r="I137" s="481">
        <f t="shared" ref="I137:BT137" si="472">SUM(I131:I136)</f>
        <v>6079702</v>
      </c>
      <c r="J137" s="477">
        <f t="shared" si="472"/>
        <v>4470394</v>
      </c>
      <c r="K137" s="477">
        <f t="shared" si="472"/>
        <v>3731976</v>
      </c>
      <c r="L137" s="477">
        <f t="shared" si="472"/>
        <v>738418</v>
      </c>
      <c r="M137" s="477">
        <f t="shared" si="472"/>
        <v>0</v>
      </c>
      <c r="N137" s="477">
        <f t="shared" si="472"/>
        <v>0</v>
      </c>
      <c r="O137" s="477">
        <f t="shared" si="472"/>
        <v>0</v>
      </c>
      <c r="P137" s="477">
        <f t="shared" si="472"/>
        <v>1510992</v>
      </c>
      <c r="Q137" s="477">
        <f t="shared" si="472"/>
        <v>44704</v>
      </c>
      <c r="R137" s="477">
        <f t="shared" si="472"/>
        <v>53612</v>
      </c>
      <c r="S137" s="478">
        <f t="shared" si="472"/>
        <v>8.5157000000000007</v>
      </c>
      <c r="T137" s="478">
        <f t="shared" si="472"/>
        <v>6.3444000000000003</v>
      </c>
      <c r="U137" s="330">
        <f t="shared" si="472"/>
        <v>2.1713</v>
      </c>
      <c r="V137" s="483">
        <f t="shared" si="472"/>
        <v>-16000</v>
      </c>
      <c r="W137" s="477">
        <f t="shared" si="472"/>
        <v>-5120</v>
      </c>
      <c r="X137" s="477">
        <f t="shared" si="472"/>
        <v>515006</v>
      </c>
      <c r="Y137" s="477">
        <f t="shared" si="472"/>
        <v>0</v>
      </c>
      <c r="Z137" s="477">
        <f t="shared" si="472"/>
        <v>0</v>
      </c>
      <c r="AA137" s="477">
        <f t="shared" si="472"/>
        <v>0</v>
      </c>
      <c r="AB137" s="477">
        <f t="shared" si="472"/>
        <v>0</v>
      </c>
      <c r="AC137" s="477">
        <f t="shared" si="472"/>
        <v>0</v>
      </c>
      <c r="AD137" s="477">
        <f t="shared" si="472"/>
        <v>0</v>
      </c>
      <c r="AE137" s="477">
        <f t="shared" si="472"/>
        <v>0</v>
      </c>
      <c r="AF137" s="477">
        <f t="shared" si="472"/>
        <v>499006</v>
      </c>
      <c r="AG137" s="477">
        <f t="shared" si="472"/>
        <v>-5120</v>
      </c>
      <c r="AH137" s="477">
        <f t="shared" si="472"/>
        <v>493886</v>
      </c>
      <c r="AI137" s="477">
        <f t="shared" si="472"/>
        <v>16000</v>
      </c>
      <c r="AJ137" s="477">
        <f t="shared" si="472"/>
        <v>5120</v>
      </c>
      <c r="AK137" s="477">
        <f t="shared" ref="AK137" si="473">SUM(AK131:AK136)</f>
        <v>0</v>
      </c>
      <c r="AL137" s="477">
        <f t="shared" si="472"/>
        <v>0</v>
      </c>
      <c r="AM137" s="477">
        <f t="shared" si="472"/>
        <v>0</v>
      </c>
      <c r="AN137" s="477">
        <f t="shared" si="472"/>
        <v>0</v>
      </c>
      <c r="AO137" s="477">
        <f t="shared" si="472"/>
        <v>16000</v>
      </c>
      <c r="AP137" s="477">
        <f t="shared" si="472"/>
        <v>5120</v>
      </c>
      <c r="AQ137" s="477">
        <f t="shared" si="472"/>
        <v>21120</v>
      </c>
      <c r="AR137" s="477">
        <f t="shared" si="472"/>
        <v>515006</v>
      </c>
      <c r="AS137" s="477">
        <f t="shared" si="472"/>
        <v>0</v>
      </c>
      <c r="AT137" s="477">
        <f t="shared" si="472"/>
        <v>515006</v>
      </c>
      <c r="AU137" s="477">
        <f t="shared" si="472"/>
        <v>174072</v>
      </c>
      <c r="AV137" s="477">
        <f t="shared" si="472"/>
        <v>4939</v>
      </c>
      <c r="AW137" s="477">
        <f t="shared" si="472"/>
        <v>5250</v>
      </c>
      <c r="AX137" s="477">
        <f t="shared" si="472"/>
        <v>0</v>
      </c>
      <c r="AY137" s="477">
        <f t="shared" si="472"/>
        <v>5250</v>
      </c>
      <c r="AZ137" s="477">
        <f t="shared" si="472"/>
        <v>699267</v>
      </c>
      <c r="BA137" s="478">
        <f t="shared" si="472"/>
        <v>0</v>
      </c>
      <c r="BB137" s="478">
        <f t="shared" si="472"/>
        <v>0</v>
      </c>
      <c r="BC137" s="478">
        <f t="shared" si="472"/>
        <v>1.39</v>
      </c>
      <c r="BD137" s="478">
        <f t="shared" si="472"/>
        <v>0</v>
      </c>
      <c r="BE137" s="478">
        <f t="shared" si="472"/>
        <v>0</v>
      </c>
      <c r="BF137" s="478">
        <f t="shared" si="472"/>
        <v>0</v>
      </c>
      <c r="BG137" s="478">
        <f t="shared" si="472"/>
        <v>0</v>
      </c>
      <c r="BH137" s="478">
        <f t="shared" si="472"/>
        <v>0</v>
      </c>
      <c r="BI137" s="478">
        <f t="shared" si="472"/>
        <v>0</v>
      </c>
      <c r="BJ137" s="478">
        <f t="shared" si="472"/>
        <v>0</v>
      </c>
      <c r="BK137" s="478">
        <f t="shared" si="472"/>
        <v>1.39</v>
      </c>
      <c r="BL137" s="478">
        <f t="shared" si="472"/>
        <v>0</v>
      </c>
      <c r="BM137" s="559">
        <f t="shared" si="472"/>
        <v>1.39</v>
      </c>
      <c r="BN137" s="481">
        <f t="shared" si="472"/>
        <v>6778969</v>
      </c>
      <c r="BO137" s="477">
        <f t="shared" si="472"/>
        <v>4964280</v>
      </c>
      <c r="BP137" s="477">
        <f t="shared" si="472"/>
        <v>4230982</v>
      </c>
      <c r="BQ137" s="477">
        <f t="shared" si="472"/>
        <v>733298</v>
      </c>
      <c r="BR137" s="477">
        <f t="shared" si="472"/>
        <v>21120</v>
      </c>
      <c r="BS137" s="477">
        <f t="shared" si="472"/>
        <v>16000</v>
      </c>
      <c r="BT137" s="477">
        <f t="shared" si="472"/>
        <v>5120</v>
      </c>
      <c r="BU137" s="477">
        <f t="shared" ref="BU137:CF137" si="474">SUM(BU131:BU136)</f>
        <v>1685064</v>
      </c>
      <c r="BV137" s="477">
        <f t="shared" si="474"/>
        <v>49643</v>
      </c>
      <c r="BW137" s="477">
        <f t="shared" si="474"/>
        <v>58862</v>
      </c>
      <c r="BX137" s="478">
        <f t="shared" si="474"/>
        <v>9.9057000000000013</v>
      </c>
      <c r="BY137" s="478">
        <f t="shared" si="474"/>
        <v>7.7343999999999999</v>
      </c>
      <c r="BZ137" s="559">
        <f t="shared" si="474"/>
        <v>2.1713</v>
      </c>
      <c r="CA137" s="885">
        <f t="shared" si="474"/>
        <v>0</v>
      </c>
      <c r="CB137" s="883">
        <f t="shared" si="474"/>
        <v>0</v>
      </c>
      <c r="CC137" s="883">
        <f t="shared" si="474"/>
        <v>0</v>
      </c>
      <c r="CD137" s="883">
        <f t="shared" si="474"/>
        <v>0</v>
      </c>
      <c r="CE137" s="883">
        <f t="shared" si="474"/>
        <v>0</v>
      </c>
      <c r="CF137" s="845">
        <f t="shared" si="474"/>
        <v>0</v>
      </c>
    </row>
    <row r="138" spans="1:84" ht="12.95" customHeight="1" x14ac:dyDescent="0.25">
      <c r="A138" s="282">
        <v>26</v>
      </c>
      <c r="B138" s="323">
        <v>5452</v>
      </c>
      <c r="C138" s="324">
        <v>600099245</v>
      </c>
      <c r="D138" s="283">
        <v>70188416</v>
      </c>
      <c r="E138" s="325" t="s">
        <v>402</v>
      </c>
      <c r="F138" s="283">
        <v>3111</v>
      </c>
      <c r="G138" s="325" t="s">
        <v>305</v>
      </c>
      <c r="H138" s="286" t="s">
        <v>271</v>
      </c>
      <c r="I138" s="423">
        <f t="shared" ref="I138:I143" si="475">J138+P138+Q138+R138</f>
        <v>1600845</v>
      </c>
      <c r="J138" s="418">
        <f t="shared" si="276"/>
        <v>1183411</v>
      </c>
      <c r="K138" s="418">
        <v>1116843</v>
      </c>
      <c r="L138" s="418">
        <v>66568</v>
      </c>
      <c r="M138" s="418">
        <f t="shared" ref="M138:M143" si="476">N138+O138</f>
        <v>0</v>
      </c>
      <c r="N138" s="418">
        <v>0</v>
      </c>
      <c r="O138" s="418">
        <v>0</v>
      </c>
      <c r="P138" s="68">
        <f t="shared" ref="P138:P143" si="477">ROUND((J138+M138)*33.8%,0)</f>
        <v>399993</v>
      </c>
      <c r="Q138" s="68">
        <f t="shared" ref="Q138:Q143" si="478">ROUND(J138*1%,0)</f>
        <v>11834</v>
      </c>
      <c r="R138" s="418">
        <v>5607</v>
      </c>
      <c r="S138" s="419">
        <f t="shared" ref="S138:S143" si="479">T138+U138</f>
        <v>2.2021000000000002</v>
      </c>
      <c r="T138" s="420">
        <v>1.9354</v>
      </c>
      <c r="U138" s="527">
        <v>0.26669999999999999</v>
      </c>
      <c r="V138" s="427">
        <f t="shared" ref="V138:W143" si="480">AI138*-1</f>
        <v>0</v>
      </c>
      <c r="W138" s="421">
        <f t="shared" si="480"/>
        <v>-10880</v>
      </c>
      <c r="X138" s="421">
        <v>0</v>
      </c>
      <c r="Y138" s="421">
        <v>0</v>
      </c>
      <c r="Z138" s="421">
        <v>0</v>
      </c>
      <c r="AA138" s="421">
        <v>0</v>
      </c>
      <c r="AB138" s="421">
        <v>0</v>
      </c>
      <c r="AC138" s="421">
        <v>0</v>
      </c>
      <c r="AD138" s="421">
        <v>0</v>
      </c>
      <c r="AE138" s="421">
        <v>0</v>
      </c>
      <c r="AF138" s="421">
        <f t="shared" ref="AF138:AF143" si="481">V138+X138+Y138+AA138+AB138+AD138</f>
        <v>0</v>
      </c>
      <c r="AG138" s="421">
        <f t="shared" ref="AG138:AG143" si="482">W138+Z138+AC138+AE138</f>
        <v>-10880</v>
      </c>
      <c r="AH138" s="421">
        <f t="shared" ref="AH138:AH143" si="483">SUM(AF138:AG138)</f>
        <v>-10880</v>
      </c>
      <c r="AI138" s="421">
        <v>0</v>
      </c>
      <c r="AJ138" s="421">
        <v>10880</v>
      </c>
      <c r="AK138" s="421">
        <v>0</v>
      </c>
      <c r="AL138" s="421">
        <v>0</v>
      </c>
      <c r="AM138" s="421">
        <v>0</v>
      </c>
      <c r="AN138" s="421">
        <v>0</v>
      </c>
      <c r="AO138" s="421">
        <f t="shared" ref="AO138:AO143" si="484">AI138+AK138+AL138+AM138</f>
        <v>0</v>
      </c>
      <c r="AP138" s="421">
        <f t="shared" ref="AP138:AP143" si="485">AJ138+AN138</f>
        <v>10880</v>
      </c>
      <c r="AQ138" s="421">
        <f t="shared" ref="AQ138:AQ143" si="486">SUM(AO138:AP138)</f>
        <v>10880</v>
      </c>
      <c r="AR138" s="421">
        <f t="shared" ref="AR138:AS143" si="487">AF138+AO138</f>
        <v>0</v>
      </c>
      <c r="AS138" s="421">
        <f t="shared" si="487"/>
        <v>0</v>
      </c>
      <c r="AT138" s="421">
        <f t="shared" ref="AT138:AT143" si="488">SUM(AR138:AS138)</f>
        <v>0</v>
      </c>
      <c r="AU138" s="68">
        <f t="shared" ref="AU138:AU143" si="489">ROUND((AH138+AI138+AJ138+AK138+AL138)*33.8%,0)</f>
        <v>0</v>
      </c>
      <c r="AV138" s="68">
        <f t="shared" ref="AV138:AV143" si="490">ROUND(AH138*1%,0)</f>
        <v>-109</v>
      </c>
      <c r="AW138" s="421">
        <v>0</v>
      </c>
      <c r="AX138" s="421">
        <v>0</v>
      </c>
      <c r="AY138" s="421">
        <f t="shared" ref="AY138:AY143" si="491">AW138+AX138</f>
        <v>0</v>
      </c>
      <c r="AZ138" s="421">
        <f t="shared" ref="AZ138:AZ143" si="492">AT138+AU138+AV138+AY138</f>
        <v>-109</v>
      </c>
      <c r="BA138" s="422">
        <v>0</v>
      </c>
      <c r="BB138" s="422">
        <v>-0.04</v>
      </c>
      <c r="BC138" s="422">
        <v>0</v>
      </c>
      <c r="BD138" s="422">
        <v>0</v>
      </c>
      <c r="BE138" s="422">
        <v>0</v>
      </c>
      <c r="BF138" s="422">
        <v>0</v>
      </c>
      <c r="BG138" s="422">
        <v>0</v>
      </c>
      <c r="BH138" s="422">
        <v>0</v>
      </c>
      <c r="BI138" s="422">
        <v>0</v>
      </c>
      <c r="BJ138" s="422">
        <v>0</v>
      </c>
      <c r="BK138" s="422">
        <f t="shared" ref="BK138:BK143" si="493">BA138+BC138+BD138+BF138+BH138+BI138</f>
        <v>0</v>
      </c>
      <c r="BL138" s="422">
        <f t="shared" ref="BL138:BL143" si="494">BB138+BE138+BG138+BJ138</f>
        <v>-0.04</v>
      </c>
      <c r="BM138" s="611">
        <f t="shared" ref="BM138:BM143" si="495">SUM(BK138:BL138)</f>
        <v>-0.04</v>
      </c>
      <c r="BN138" s="428">
        <f t="shared" ref="BN138:BN143" si="496">I138+AZ138</f>
        <v>1600736</v>
      </c>
      <c r="BO138" s="421">
        <f t="shared" ref="BO138:BO143" si="497">J138+AH138</f>
        <v>1172531</v>
      </c>
      <c r="BP138" s="421">
        <f t="shared" ref="BP138:BQ143" si="498">K138+AF138</f>
        <v>1116843</v>
      </c>
      <c r="BQ138" s="421">
        <f t="shared" si="498"/>
        <v>55688</v>
      </c>
      <c r="BR138" s="421">
        <f t="shared" ref="BR138:BR143" si="499">M138+AQ138</f>
        <v>10880</v>
      </c>
      <c r="BS138" s="421">
        <f t="shared" ref="BS138:BT143" si="500">N138+AO138</f>
        <v>0</v>
      </c>
      <c r="BT138" s="421">
        <f t="shared" si="500"/>
        <v>10880</v>
      </c>
      <c r="BU138" s="421">
        <f t="shared" ref="BU138:BV143" si="501">P138+AU138</f>
        <v>399993</v>
      </c>
      <c r="BV138" s="421">
        <f t="shared" si="501"/>
        <v>11725</v>
      </c>
      <c r="BW138" s="421">
        <f t="shared" ref="BW138:BW143" si="502">R138+AY138</f>
        <v>5607</v>
      </c>
      <c r="BX138" s="422">
        <f t="shared" ref="BX138:BX143" si="503">S138+BM138</f>
        <v>2.1621000000000001</v>
      </c>
      <c r="BY138" s="422">
        <f t="shared" ref="BY138:BZ143" si="504">T138+BK138</f>
        <v>1.9354</v>
      </c>
      <c r="BZ138" s="611">
        <f t="shared" si="504"/>
        <v>0.22669999999999998</v>
      </c>
      <c r="CA138" s="875"/>
      <c r="CB138" s="872"/>
      <c r="CC138" s="872"/>
      <c r="CD138" s="872"/>
      <c r="CE138" s="872"/>
      <c r="CF138" s="876"/>
    </row>
    <row r="139" spans="1:84" ht="12.95" customHeight="1" x14ac:dyDescent="0.25">
      <c r="A139" s="282">
        <v>26</v>
      </c>
      <c r="B139" s="323">
        <v>5452</v>
      </c>
      <c r="C139" s="324">
        <v>600099245</v>
      </c>
      <c r="D139" s="283">
        <v>70188416</v>
      </c>
      <c r="E139" s="325" t="s">
        <v>402</v>
      </c>
      <c r="F139" s="283">
        <v>3117</v>
      </c>
      <c r="G139" s="325" t="s">
        <v>294</v>
      </c>
      <c r="H139" s="286" t="s">
        <v>271</v>
      </c>
      <c r="I139" s="423">
        <f t="shared" si="475"/>
        <v>3638494</v>
      </c>
      <c r="J139" s="418">
        <f t="shared" si="276"/>
        <v>2672998</v>
      </c>
      <c r="K139" s="418">
        <v>2324546</v>
      </c>
      <c r="L139" s="418">
        <v>348452</v>
      </c>
      <c r="M139" s="418">
        <f t="shared" si="476"/>
        <v>0</v>
      </c>
      <c r="N139" s="418">
        <v>0</v>
      </c>
      <c r="O139" s="418">
        <v>0</v>
      </c>
      <c r="P139" s="68">
        <f t="shared" si="477"/>
        <v>903473</v>
      </c>
      <c r="Q139" s="68">
        <f t="shared" si="478"/>
        <v>26730</v>
      </c>
      <c r="R139" s="418">
        <v>35293</v>
      </c>
      <c r="S139" s="419">
        <f t="shared" si="479"/>
        <v>4.6791</v>
      </c>
      <c r="T139" s="420">
        <v>3.7101000000000002</v>
      </c>
      <c r="U139" s="527">
        <v>0.96899999999999986</v>
      </c>
      <c r="V139" s="427">
        <f t="shared" si="480"/>
        <v>0</v>
      </c>
      <c r="W139" s="421">
        <f t="shared" si="480"/>
        <v>0</v>
      </c>
      <c r="X139" s="421">
        <v>0</v>
      </c>
      <c r="Y139" s="421">
        <v>0</v>
      </c>
      <c r="Z139" s="421">
        <v>0</v>
      </c>
      <c r="AA139" s="421">
        <v>0</v>
      </c>
      <c r="AB139" s="421">
        <v>112800</v>
      </c>
      <c r="AC139" s="421">
        <v>0</v>
      </c>
      <c r="AD139" s="421">
        <v>0</v>
      </c>
      <c r="AE139" s="421">
        <v>0</v>
      </c>
      <c r="AF139" s="421">
        <f t="shared" si="481"/>
        <v>112800</v>
      </c>
      <c r="AG139" s="421">
        <f t="shared" si="482"/>
        <v>0</v>
      </c>
      <c r="AH139" s="421">
        <f t="shared" si="483"/>
        <v>112800</v>
      </c>
      <c r="AI139" s="421">
        <v>0</v>
      </c>
      <c r="AJ139" s="421">
        <v>0</v>
      </c>
      <c r="AK139" s="421">
        <v>0</v>
      </c>
      <c r="AL139" s="421">
        <v>0</v>
      </c>
      <c r="AM139" s="421">
        <v>0</v>
      </c>
      <c r="AN139" s="421">
        <v>0</v>
      </c>
      <c r="AO139" s="421">
        <f t="shared" si="484"/>
        <v>0</v>
      </c>
      <c r="AP139" s="421">
        <f t="shared" si="485"/>
        <v>0</v>
      </c>
      <c r="AQ139" s="421">
        <f t="shared" si="486"/>
        <v>0</v>
      </c>
      <c r="AR139" s="421">
        <f t="shared" si="487"/>
        <v>112800</v>
      </c>
      <c r="AS139" s="421">
        <f t="shared" si="487"/>
        <v>0</v>
      </c>
      <c r="AT139" s="421">
        <f t="shared" si="488"/>
        <v>112800</v>
      </c>
      <c r="AU139" s="68">
        <f t="shared" si="489"/>
        <v>38126</v>
      </c>
      <c r="AV139" s="68">
        <f t="shared" si="490"/>
        <v>1128</v>
      </c>
      <c r="AW139" s="421">
        <v>0</v>
      </c>
      <c r="AX139" s="421">
        <v>0</v>
      </c>
      <c r="AY139" s="421">
        <f t="shared" si="491"/>
        <v>0</v>
      </c>
      <c r="AZ139" s="421">
        <f t="shared" si="492"/>
        <v>152054</v>
      </c>
      <c r="BA139" s="422">
        <v>0</v>
      </c>
      <c r="BB139" s="422">
        <v>0</v>
      </c>
      <c r="BC139" s="422">
        <v>0</v>
      </c>
      <c r="BD139" s="422">
        <v>0.2</v>
      </c>
      <c r="BE139" s="422">
        <v>0</v>
      </c>
      <c r="BF139" s="422">
        <v>0</v>
      </c>
      <c r="BG139" s="422">
        <v>0</v>
      </c>
      <c r="BH139" s="422">
        <v>0</v>
      </c>
      <c r="BI139" s="422">
        <v>0</v>
      </c>
      <c r="BJ139" s="422">
        <v>0</v>
      </c>
      <c r="BK139" s="422">
        <f t="shared" si="493"/>
        <v>0.2</v>
      </c>
      <c r="BL139" s="422">
        <f t="shared" si="494"/>
        <v>0</v>
      </c>
      <c r="BM139" s="611">
        <f t="shared" si="495"/>
        <v>0.2</v>
      </c>
      <c r="BN139" s="428">
        <f t="shared" si="496"/>
        <v>3790548</v>
      </c>
      <c r="BO139" s="421">
        <f t="shared" si="497"/>
        <v>2785798</v>
      </c>
      <c r="BP139" s="421">
        <f t="shared" si="498"/>
        <v>2437346</v>
      </c>
      <c r="BQ139" s="421">
        <f t="shared" si="498"/>
        <v>348452</v>
      </c>
      <c r="BR139" s="421">
        <f t="shared" si="499"/>
        <v>0</v>
      </c>
      <c r="BS139" s="421">
        <f t="shared" si="500"/>
        <v>0</v>
      </c>
      <c r="BT139" s="421">
        <f t="shared" si="500"/>
        <v>0</v>
      </c>
      <c r="BU139" s="421">
        <f t="shared" si="501"/>
        <v>941599</v>
      </c>
      <c r="BV139" s="421">
        <f t="shared" si="501"/>
        <v>27858</v>
      </c>
      <c r="BW139" s="421">
        <f t="shared" si="502"/>
        <v>35293</v>
      </c>
      <c r="BX139" s="422">
        <f t="shared" si="503"/>
        <v>4.8791000000000002</v>
      </c>
      <c r="BY139" s="422">
        <f t="shared" si="504"/>
        <v>3.9101000000000004</v>
      </c>
      <c r="BZ139" s="611">
        <f t="shared" si="504"/>
        <v>0.96899999999999986</v>
      </c>
      <c r="CA139" s="904">
        <v>152054</v>
      </c>
      <c r="CB139" s="903">
        <v>112800</v>
      </c>
      <c r="CC139" s="903">
        <v>0</v>
      </c>
      <c r="CD139" s="903">
        <v>38126</v>
      </c>
      <c r="CE139" s="903">
        <v>1128</v>
      </c>
      <c r="CF139" s="905">
        <v>0.2</v>
      </c>
    </row>
    <row r="140" spans="1:84" ht="12.95" customHeight="1" x14ac:dyDescent="0.25">
      <c r="A140" s="282">
        <v>26</v>
      </c>
      <c r="B140" s="323">
        <v>5452</v>
      </c>
      <c r="C140" s="324">
        <v>600099245</v>
      </c>
      <c r="D140" s="283">
        <v>70188416</v>
      </c>
      <c r="E140" s="325" t="s">
        <v>402</v>
      </c>
      <c r="F140" s="283">
        <v>3117</v>
      </c>
      <c r="G140" s="325" t="s">
        <v>299</v>
      </c>
      <c r="H140" s="286" t="s">
        <v>272</v>
      </c>
      <c r="I140" s="423">
        <f t="shared" si="475"/>
        <v>0</v>
      </c>
      <c r="J140" s="418">
        <f t="shared" si="276"/>
        <v>0</v>
      </c>
      <c r="K140" s="418">
        <v>0</v>
      </c>
      <c r="L140" s="418">
        <v>0</v>
      </c>
      <c r="M140" s="418">
        <f>N140+O140</f>
        <v>0</v>
      </c>
      <c r="N140" s="418">
        <v>0</v>
      </c>
      <c r="O140" s="418">
        <v>0</v>
      </c>
      <c r="P140" s="68">
        <f t="shared" si="477"/>
        <v>0</v>
      </c>
      <c r="Q140" s="68">
        <f t="shared" si="478"/>
        <v>0</v>
      </c>
      <c r="R140" s="418">
        <v>0</v>
      </c>
      <c r="S140" s="419">
        <f>T140+U140</f>
        <v>0</v>
      </c>
      <c r="T140" s="420">
        <v>0</v>
      </c>
      <c r="U140" s="527">
        <v>0</v>
      </c>
      <c r="V140" s="427">
        <f t="shared" si="480"/>
        <v>0</v>
      </c>
      <c r="W140" s="421">
        <f t="shared" si="480"/>
        <v>0</v>
      </c>
      <c r="X140" s="421">
        <f>962069+120170</f>
        <v>1082239</v>
      </c>
      <c r="Y140" s="421">
        <v>0</v>
      </c>
      <c r="Z140" s="421">
        <v>0</v>
      </c>
      <c r="AA140" s="421">
        <v>0</v>
      </c>
      <c r="AB140" s="421">
        <v>0</v>
      </c>
      <c r="AC140" s="421">
        <v>0</v>
      </c>
      <c r="AD140" s="421">
        <v>0</v>
      </c>
      <c r="AE140" s="421">
        <v>0</v>
      </c>
      <c r="AF140" s="421">
        <f t="shared" si="481"/>
        <v>1082239</v>
      </c>
      <c r="AG140" s="421">
        <f t="shared" si="482"/>
        <v>0</v>
      </c>
      <c r="AH140" s="421">
        <f t="shared" si="483"/>
        <v>1082239</v>
      </c>
      <c r="AI140" s="421">
        <v>0</v>
      </c>
      <c r="AJ140" s="421">
        <v>0</v>
      </c>
      <c r="AK140" s="421">
        <v>0</v>
      </c>
      <c r="AL140" s="421">
        <v>0</v>
      </c>
      <c r="AM140" s="421">
        <v>0</v>
      </c>
      <c r="AN140" s="421">
        <v>0</v>
      </c>
      <c r="AO140" s="421">
        <f t="shared" si="484"/>
        <v>0</v>
      </c>
      <c r="AP140" s="421">
        <f t="shared" si="485"/>
        <v>0</v>
      </c>
      <c r="AQ140" s="421">
        <f t="shared" si="486"/>
        <v>0</v>
      </c>
      <c r="AR140" s="421">
        <f t="shared" si="487"/>
        <v>1082239</v>
      </c>
      <c r="AS140" s="421">
        <f t="shared" si="487"/>
        <v>0</v>
      </c>
      <c r="AT140" s="421">
        <f t="shared" si="488"/>
        <v>1082239</v>
      </c>
      <c r="AU140" s="68">
        <f t="shared" si="489"/>
        <v>365797</v>
      </c>
      <c r="AV140" s="68">
        <f t="shared" si="490"/>
        <v>10822</v>
      </c>
      <c r="AW140" s="421">
        <v>1250</v>
      </c>
      <c r="AX140" s="421">
        <v>0</v>
      </c>
      <c r="AY140" s="421">
        <f t="shared" si="491"/>
        <v>1250</v>
      </c>
      <c r="AZ140" s="421">
        <f t="shared" si="492"/>
        <v>1460108</v>
      </c>
      <c r="BA140" s="422">
        <v>0</v>
      </c>
      <c r="BB140" s="422">
        <v>0</v>
      </c>
      <c r="BC140" s="422">
        <f>2.58+0.32</f>
        <v>2.9</v>
      </c>
      <c r="BD140" s="422">
        <v>0</v>
      </c>
      <c r="BE140" s="422">
        <v>0</v>
      </c>
      <c r="BF140" s="422">
        <v>0</v>
      </c>
      <c r="BG140" s="422">
        <v>0</v>
      </c>
      <c r="BH140" s="422">
        <v>0</v>
      </c>
      <c r="BI140" s="422">
        <v>0</v>
      </c>
      <c r="BJ140" s="422">
        <v>0</v>
      </c>
      <c r="BK140" s="422">
        <f t="shared" si="493"/>
        <v>2.9</v>
      </c>
      <c r="BL140" s="422">
        <f t="shared" si="494"/>
        <v>0</v>
      </c>
      <c r="BM140" s="611">
        <f t="shared" si="495"/>
        <v>2.9</v>
      </c>
      <c r="BN140" s="428">
        <f t="shared" si="496"/>
        <v>1460108</v>
      </c>
      <c r="BO140" s="421">
        <f t="shared" si="497"/>
        <v>1082239</v>
      </c>
      <c r="BP140" s="421">
        <f t="shared" si="498"/>
        <v>1082239</v>
      </c>
      <c r="BQ140" s="421">
        <f t="shared" si="498"/>
        <v>0</v>
      </c>
      <c r="BR140" s="421">
        <f t="shared" si="499"/>
        <v>0</v>
      </c>
      <c r="BS140" s="421">
        <f t="shared" si="500"/>
        <v>0</v>
      </c>
      <c r="BT140" s="421">
        <f t="shared" si="500"/>
        <v>0</v>
      </c>
      <c r="BU140" s="421">
        <f t="shared" si="501"/>
        <v>365797</v>
      </c>
      <c r="BV140" s="421">
        <f t="shared" si="501"/>
        <v>10822</v>
      </c>
      <c r="BW140" s="421">
        <f t="shared" si="502"/>
        <v>1250</v>
      </c>
      <c r="BX140" s="422">
        <f t="shared" si="503"/>
        <v>2.9</v>
      </c>
      <c r="BY140" s="422">
        <f t="shared" si="504"/>
        <v>2.9</v>
      </c>
      <c r="BZ140" s="611">
        <f t="shared" si="504"/>
        <v>0</v>
      </c>
      <c r="CA140" s="875"/>
      <c r="CB140" s="872"/>
      <c r="CC140" s="872"/>
      <c r="CD140" s="872"/>
      <c r="CE140" s="872"/>
      <c r="CF140" s="876"/>
    </row>
    <row r="141" spans="1:84" ht="12.95" customHeight="1" x14ac:dyDescent="0.25">
      <c r="A141" s="282">
        <v>26</v>
      </c>
      <c r="B141" s="323">
        <v>5452</v>
      </c>
      <c r="C141" s="324">
        <v>600099245</v>
      </c>
      <c r="D141" s="283">
        <v>70188416</v>
      </c>
      <c r="E141" s="325" t="s">
        <v>402</v>
      </c>
      <c r="F141" s="283">
        <v>3141</v>
      </c>
      <c r="G141" s="325" t="s">
        <v>295</v>
      </c>
      <c r="H141" s="286" t="s">
        <v>272</v>
      </c>
      <c r="I141" s="423">
        <f t="shared" si="475"/>
        <v>472240</v>
      </c>
      <c r="J141" s="418">
        <f t="shared" ref="J141:J164" si="505">K141+L141</f>
        <v>349054</v>
      </c>
      <c r="K141" s="418">
        <v>0</v>
      </c>
      <c r="L141" s="418">
        <v>349054</v>
      </c>
      <c r="M141" s="418">
        <f t="shared" si="476"/>
        <v>0</v>
      </c>
      <c r="N141" s="418">
        <v>0</v>
      </c>
      <c r="O141" s="418">
        <v>0</v>
      </c>
      <c r="P141" s="68">
        <f t="shared" si="477"/>
        <v>117980</v>
      </c>
      <c r="Q141" s="68">
        <f t="shared" si="478"/>
        <v>3491</v>
      </c>
      <c r="R141" s="418">
        <v>1715</v>
      </c>
      <c r="S141" s="419">
        <f t="shared" si="479"/>
        <v>1.0467</v>
      </c>
      <c r="T141" s="420">
        <v>0</v>
      </c>
      <c r="U141" s="527">
        <v>1.0467</v>
      </c>
      <c r="V141" s="427">
        <f t="shared" si="480"/>
        <v>0</v>
      </c>
      <c r="W141" s="421">
        <f t="shared" si="480"/>
        <v>0</v>
      </c>
      <c r="X141" s="421">
        <v>0</v>
      </c>
      <c r="Y141" s="421">
        <v>0</v>
      </c>
      <c r="Z141" s="421">
        <v>0</v>
      </c>
      <c r="AA141" s="421">
        <v>0</v>
      </c>
      <c r="AB141" s="421">
        <v>0</v>
      </c>
      <c r="AC141" s="421">
        <v>0</v>
      </c>
      <c r="AD141" s="421">
        <v>0</v>
      </c>
      <c r="AE141" s="421">
        <v>0</v>
      </c>
      <c r="AF141" s="421">
        <f t="shared" si="481"/>
        <v>0</v>
      </c>
      <c r="AG141" s="421">
        <f t="shared" si="482"/>
        <v>0</v>
      </c>
      <c r="AH141" s="421">
        <f t="shared" si="483"/>
        <v>0</v>
      </c>
      <c r="AI141" s="421">
        <v>0</v>
      </c>
      <c r="AJ141" s="421">
        <v>0</v>
      </c>
      <c r="AK141" s="421">
        <v>0</v>
      </c>
      <c r="AL141" s="421">
        <v>0</v>
      </c>
      <c r="AM141" s="421">
        <v>0</v>
      </c>
      <c r="AN141" s="421">
        <v>0</v>
      </c>
      <c r="AO141" s="421">
        <f t="shared" si="484"/>
        <v>0</v>
      </c>
      <c r="AP141" s="421">
        <f t="shared" si="485"/>
        <v>0</v>
      </c>
      <c r="AQ141" s="421">
        <f t="shared" si="486"/>
        <v>0</v>
      </c>
      <c r="AR141" s="421">
        <f t="shared" si="487"/>
        <v>0</v>
      </c>
      <c r="AS141" s="421">
        <f t="shared" si="487"/>
        <v>0</v>
      </c>
      <c r="AT141" s="421">
        <f t="shared" si="488"/>
        <v>0</v>
      </c>
      <c r="AU141" s="68">
        <f t="shared" si="489"/>
        <v>0</v>
      </c>
      <c r="AV141" s="68">
        <f t="shared" si="490"/>
        <v>0</v>
      </c>
      <c r="AW141" s="421">
        <v>0</v>
      </c>
      <c r="AX141" s="421">
        <v>0</v>
      </c>
      <c r="AY141" s="421">
        <f t="shared" si="491"/>
        <v>0</v>
      </c>
      <c r="AZ141" s="421">
        <f t="shared" si="492"/>
        <v>0</v>
      </c>
      <c r="BA141" s="422">
        <v>0</v>
      </c>
      <c r="BB141" s="422">
        <v>0</v>
      </c>
      <c r="BC141" s="422">
        <v>0</v>
      </c>
      <c r="BD141" s="422">
        <v>0</v>
      </c>
      <c r="BE141" s="422">
        <v>0</v>
      </c>
      <c r="BF141" s="422">
        <v>0</v>
      </c>
      <c r="BG141" s="422">
        <v>0</v>
      </c>
      <c r="BH141" s="422">
        <v>0</v>
      </c>
      <c r="BI141" s="422">
        <v>0</v>
      </c>
      <c r="BJ141" s="422">
        <v>0</v>
      </c>
      <c r="BK141" s="422">
        <f t="shared" si="493"/>
        <v>0</v>
      </c>
      <c r="BL141" s="422">
        <f t="shared" si="494"/>
        <v>0</v>
      </c>
      <c r="BM141" s="611">
        <f t="shared" si="495"/>
        <v>0</v>
      </c>
      <c r="BN141" s="428">
        <f t="shared" si="496"/>
        <v>472240</v>
      </c>
      <c r="BO141" s="421">
        <f t="shared" si="497"/>
        <v>349054</v>
      </c>
      <c r="BP141" s="421">
        <f t="shared" si="498"/>
        <v>0</v>
      </c>
      <c r="BQ141" s="421">
        <f t="shared" si="498"/>
        <v>349054</v>
      </c>
      <c r="BR141" s="421">
        <f t="shared" si="499"/>
        <v>0</v>
      </c>
      <c r="BS141" s="421">
        <f t="shared" si="500"/>
        <v>0</v>
      </c>
      <c r="BT141" s="421">
        <f t="shared" si="500"/>
        <v>0</v>
      </c>
      <c r="BU141" s="421">
        <f t="shared" si="501"/>
        <v>117980</v>
      </c>
      <c r="BV141" s="421">
        <f t="shared" si="501"/>
        <v>3491</v>
      </c>
      <c r="BW141" s="421">
        <f t="shared" si="502"/>
        <v>1715</v>
      </c>
      <c r="BX141" s="422">
        <f t="shared" si="503"/>
        <v>1.0467</v>
      </c>
      <c r="BY141" s="422">
        <f t="shared" si="504"/>
        <v>0</v>
      </c>
      <c r="BZ141" s="611">
        <f t="shared" si="504"/>
        <v>1.0467</v>
      </c>
      <c r="CA141" s="875"/>
      <c r="CB141" s="872"/>
      <c r="CC141" s="872"/>
      <c r="CD141" s="872"/>
      <c r="CE141" s="872"/>
      <c r="CF141" s="876"/>
    </row>
    <row r="142" spans="1:84" ht="12.95" customHeight="1" x14ac:dyDescent="0.25">
      <c r="A142" s="282">
        <v>26</v>
      </c>
      <c r="B142" s="323">
        <v>5452</v>
      </c>
      <c r="C142" s="324">
        <v>600099245</v>
      </c>
      <c r="D142" s="283">
        <v>70188416</v>
      </c>
      <c r="E142" s="325" t="s">
        <v>402</v>
      </c>
      <c r="F142" s="283">
        <v>3143</v>
      </c>
      <c r="G142" s="325" t="s">
        <v>596</v>
      </c>
      <c r="H142" s="286" t="s">
        <v>271</v>
      </c>
      <c r="I142" s="423">
        <f t="shared" si="475"/>
        <v>581096</v>
      </c>
      <c r="J142" s="418">
        <f t="shared" si="505"/>
        <v>431080</v>
      </c>
      <c r="K142" s="418">
        <v>431080</v>
      </c>
      <c r="L142" s="418">
        <v>0</v>
      </c>
      <c r="M142" s="418">
        <f t="shared" si="476"/>
        <v>0</v>
      </c>
      <c r="N142" s="418">
        <v>0</v>
      </c>
      <c r="O142" s="418">
        <v>0</v>
      </c>
      <c r="P142" s="68">
        <f t="shared" si="477"/>
        <v>145705</v>
      </c>
      <c r="Q142" s="68">
        <f t="shared" si="478"/>
        <v>4311</v>
      </c>
      <c r="R142" s="418">
        <v>0</v>
      </c>
      <c r="S142" s="419">
        <f t="shared" si="479"/>
        <v>0.89639999999999997</v>
      </c>
      <c r="T142" s="420">
        <v>0.89639999999999997</v>
      </c>
      <c r="U142" s="527">
        <v>0</v>
      </c>
      <c r="V142" s="427">
        <f t="shared" si="480"/>
        <v>0</v>
      </c>
      <c r="W142" s="421">
        <f t="shared" si="480"/>
        <v>0</v>
      </c>
      <c r="X142" s="421">
        <v>0</v>
      </c>
      <c r="Y142" s="421">
        <v>0</v>
      </c>
      <c r="Z142" s="421">
        <v>0</v>
      </c>
      <c r="AA142" s="421">
        <v>0</v>
      </c>
      <c r="AB142" s="421">
        <v>0</v>
      </c>
      <c r="AC142" s="421">
        <v>0</v>
      </c>
      <c r="AD142" s="421">
        <v>0</v>
      </c>
      <c r="AE142" s="421">
        <v>0</v>
      </c>
      <c r="AF142" s="421">
        <f t="shared" si="481"/>
        <v>0</v>
      </c>
      <c r="AG142" s="421">
        <f t="shared" si="482"/>
        <v>0</v>
      </c>
      <c r="AH142" s="421">
        <f t="shared" si="483"/>
        <v>0</v>
      </c>
      <c r="AI142" s="421">
        <v>0</v>
      </c>
      <c r="AJ142" s="421">
        <v>0</v>
      </c>
      <c r="AK142" s="421">
        <v>0</v>
      </c>
      <c r="AL142" s="421">
        <v>0</v>
      </c>
      <c r="AM142" s="421">
        <v>0</v>
      </c>
      <c r="AN142" s="421">
        <v>0</v>
      </c>
      <c r="AO142" s="421">
        <f t="shared" si="484"/>
        <v>0</v>
      </c>
      <c r="AP142" s="421">
        <f t="shared" si="485"/>
        <v>0</v>
      </c>
      <c r="AQ142" s="421">
        <f t="shared" si="486"/>
        <v>0</v>
      </c>
      <c r="AR142" s="421">
        <f t="shared" si="487"/>
        <v>0</v>
      </c>
      <c r="AS142" s="421">
        <f t="shared" si="487"/>
        <v>0</v>
      </c>
      <c r="AT142" s="421">
        <f t="shared" si="488"/>
        <v>0</v>
      </c>
      <c r="AU142" s="68">
        <f t="shared" si="489"/>
        <v>0</v>
      </c>
      <c r="AV142" s="68">
        <f t="shared" si="490"/>
        <v>0</v>
      </c>
      <c r="AW142" s="421">
        <v>0</v>
      </c>
      <c r="AX142" s="421">
        <v>0</v>
      </c>
      <c r="AY142" s="421">
        <f t="shared" si="491"/>
        <v>0</v>
      </c>
      <c r="AZ142" s="421">
        <f t="shared" si="492"/>
        <v>0</v>
      </c>
      <c r="BA142" s="422">
        <v>0</v>
      </c>
      <c r="BB142" s="422">
        <v>0</v>
      </c>
      <c r="BC142" s="422">
        <v>0</v>
      </c>
      <c r="BD142" s="422">
        <v>0</v>
      </c>
      <c r="BE142" s="422">
        <v>0</v>
      </c>
      <c r="BF142" s="422">
        <v>0</v>
      </c>
      <c r="BG142" s="422">
        <v>0</v>
      </c>
      <c r="BH142" s="422">
        <v>0</v>
      </c>
      <c r="BI142" s="422">
        <v>0</v>
      </c>
      <c r="BJ142" s="422">
        <v>0</v>
      </c>
      <c r="BK142" s="422">
        <f t="shared" si="493"/>
        <v>0</v>
      </c>
      <c r="BL142" s="422">
        <f t="shared" si="494"/>
        <v>0</v>
      </c>
      <c r="BM142" s="611">
        <f t="shared" si="495"/>
        <v>0</v>
      </c>
      <c r="BN142" s="428">
        <f t="shared" si="496"/>
        <v>581096</v>
      </c>
      <c r="BO142" s="421">
        <f t="shared" si="497"/>
        <v>431080</v>
      </c>
      <c r="BP142" s="421">
        <f t="shared" si="498"/>
        <v>431080</v>
      </c>
      <c r="BQ142" s="421">
        <f t="shared" si="498"/>
        <v>0</v>
      </c>
      <c r="BR142" s="421">
        <f t="shared" si="499"/>
        <v>0</v>
      </c>
      <c r="BS142" s="421">
        <f t="shared" si="500"/>
        <v>0</v>
      </c>
      <c r="BT142" s="421">
        <f t="shared" si="500"/>
        <v>0</v>
      </c>
      <c r="BU142" s="421">
        <f t="shared" si="501"/>
        <v>145705</v>
      </c>
      <c r="BV142" s="421">
        <f t="shared" si="501"/>
        <v>4311</v>
      </c>
      <c r="BW142" s="421">
        <f t="shared" si="502"/>
        <v>0</v>
      </c>
      <c r="BX142" s="422">
        <f t="shared" si="503"/>
        <v>0.89639999999999997</v>
      </c>
      <c r="BY142" s="422">
        <f t="shared" si="504"/>
        <v>0.89639999999999997</v>
      </c>
      <c r="BZ142" s="611">
        <f t="shared" si="504"/>
        <v>0</v>
      </c>
      <c r="CA142" s="875"/>
      <c r="CB142" s="872"/>
      <c r="CC142" s="872"/>
      <c r="CD142" s="872"/>
      <c r="CE142" s="872"/>
      <c r="CF142" s="876"/>
    </row>
    <row r="143" spans="1:84" ht="12.95" customHeight="1" x14ac:dyDescent="0.25">
      <c r="A143" s="282">
        <v>26</v>
      </c>
      <c r="B143" s="323">
        <v>5452</v>
      </c>
      <c r="C143" s="324">
        <v>600099245</v>
      </c>
      <c r="D143" s="283">
        <v>70188416</v>
      </c>
      <c r="E143" s="516" t="s">
        <v>402</v>
      </c>
      <c r="F143" s="283">
        <v>3143</v>
      </c>
      <c r="G143" s="325" t="s">
        <v>597</v>
      </c>
      <c r="H143" s="286" t="s">
        <v>272</v>
      </c>
      <c r="I143" s="423">
        <f t="shared" si="475"/>
        <v>11767</v>
      </c>
      <c r="J143" s="418">
        <f t="shared" si="505"/>
        <v>8422</v>
      </c>
      <c r="K143" s="418">
        <v>0</v>
      </c>
      <c r="L143" s="418">
        <v>8422</v>
      </c>
      <c r="M143" s="418">
        <f t="shared" si="476"/>
        <v>0</v>
      </c>
      <c r="N143" s="418">
        <v>0</v>
      </c>
      <c r="O143" s="418">
        <v>0</v>
      </c>
      <c r="P143" s="68">
        <f t="shared" si="477"/>
        <v>2847</v>
      </c>
      <c r="Q143" s="68">
        <f t="shared" si="478"/>
        <v>84</v>
      </c>
      <c r="R143" s="418">
        <v>414</v>
      </c>
      <c r="S143" s="419">
        <f t="shared" si="479"/>
        <v>3.1899999999999998E-2</v>
      </c>
      <c r="T143" s="420">
        <v>0</v>
      </c>
      <c r="U143" s="527">
        <v>3.1899999999999998E-2</v>
      </c>
      <c r="V143" s="427">
        <f t="shared" si="480"/>
        <v>0</v>
      </c>
      <c r="W143" s="421">
        <f t="shared" si="480"/>
        <v>0</v>
      </c>
      <c r="X143" s="421">
        <v>0</v>
      </c>
      <c r="Y143" s="421">
        <v>0</v>
      </c>
      <c r="Z143" s="421">
        <v>0</v>
      </c>
      <c r="AA143" s="421">
        <v>0</v>
      </c>
      <c r="AB143" s="421">
        <v>0</v>
      </c>
      <c r="AC143" s="421">
        <v>0</v>
      </c>
      <c r="AD143" s="421">
        <v>0</v>
      </c>
      <c r="AE143" s="421">
        <v>0</v>
      </c>
      <c r="AF143" s="421">
        <f t="shared" si="481"/>
        <v>0</v>
      </c>
      <c r="AG143" s="421">
        <f t="shared" si="482"/>
        <v>0</v>
      </c>
      <c r="AH143" s="421">
        <f t="shared" si="483"/>
        <v>0</v>
      </c>
      <c r="AI143" s="421">
        <v>0</v>
      </c>
      <c r="AJ143" s="421">
        <v>0</v>
      </c>
      <c r="AK143" s="421">
        <v>0</v>
      </c>
      <c r="AL143" s="421">
        <v>0</v>
      </c>
      <c r="AM143" s="421">
        <v>0</v>
      </c>
      <c r="AN143" s="421">
        <v>0</v>
      </c>
      <c r="AO143" s="421">
        <f t="shared" si="484"/>
        <v>0</v>
      </c>
      <c r="AP143" s="421">
        <f t="shared" si="485"/>
        <v>0</v>
      </c>
      <c r="AQ143" s="421">
        <f t="shared" si="486"/>
        <v>0</v>
      </c>
      <c r="AR143" s="421">
        <f t="shared" si="487"/>
        <v>0</v>
      </c>
      <c r="AS143" s="421">
        <f t="shared" si="487"/>
        <v>0</v>
      </c>
      <c r="AT143" s="421">
        <f t="shared" si="488"/>
        <v>0</v>
      </c>
      <c r="AU143" s="68">
        <f t="shared" si="489"/>
        <v>0</v>
      </c>
      <c r="AV143" s="68">
        <f t="shared" si="490"/>
        <v>0</v>
      </c>
      <c r="AW143" s="421">
        <v>0</v>
      </c>
      <c r="AX143" s="421">
        <v>0</v>
      </c>
      <c r="AY143" s="421">
        <f t="shared" si="491"/>
        <v>0</v>
      </c>
      <c r="AZ143" s="421">
        <f t="shared" si="492"/>
        <v>0</v>
      </c>
      <c r="BA143" s="422">
        <v>0</v>
      </c>
      <c r="BB143" s="422">
        <v>0</v>
      </c>
      <c r="BC143" s="422">
        <v>0</v>
      </c>
      <c r="BD143" s="422">
        <v>0</v>
      </c>
      <c r="BE143" s="422">
        <v>0</v>
      </c>
      <c r="BF143" s="422">
        <v>0</v>
      </c>
      <c r="BG143" s="422">
        <v>0</v>
      </c>
      <c r="BH143" s="422">
        <v>0</v>
      </c>
      <c r="BI143" s="422">
        <v>0</v>
      </c>
      <c r="BJ143" s="422">
        <v>0</v>
      </c>
      <c r="BK143" s="422">
        <f t="shared" si="493"/>
        <v>0</v>
      </c>
      <c r="BL143" s="422">
        <f t="shared" si="494"/>
        <v>0</v>
      </c>
      <c r="BM143" s="611">
        <f t="shared" si="495"/>
        <v>0</v>
      </c>
      <c r="BN143" s="428">
        <f t="shared" si="496"/>
        <v>11767</v>
      </c>
      <c r="BO143" s="421">
        <f t="shared" si="497"/>
        <v>8422</v>
      </c>
      <c r="BP143" s="421">
        <f t="shared" si="498"/>
        <v>0</v>
      </c>
      <c r="BQ143" s="421">
        <f t="shared" si="498"/>
        <v>8422</v>
      </c>
      <c r="BR143" s="421">
        <f t="shared" si="499"/>
        <v>0</v>
      </c>
      <c r="BS143" s="421">
        <f t="shared" si="500"/>
        <v>0</v>
      </c>
      <c r="BT143" s="421">
        <f t="shared" si="500"/>
        <v>0</v>
      </c>
      <c r="BU143" s="421">
        <f t="shared" si="501"/>
        <v>2847</v>
      </c>
      <c r="BV143" s="421">
        <f t="shared" si="501"/>
        <v>84</v>
      </c>
      <c r="BW143" s="421">
        <f t="shared" si="502"/>
        <v>414</v>
      </c>
      <c r="BX143" s="422">
        <f t="shared" si="503"/>
        <v>3.1899999999999998E-2</v>
      </c>
      <c r="BY143" s="422">
        <f t="shared" si="504"/>
        <v>0</v>
      </c>
      <c r="BZ143" s="611">
        <f t="shared" si="504"/>
        <v>3.1899999999999998E-2</v>
      </c>
      <c r="CA143" s="875"/>
      <c r="CB143" s="872"/>
      <c r="CC143" s="872"/>
      <c r="CD143" s="872"/>
      <c r="CE143" s="872"/>
      <c r="CF143" s="876"/>
    </row>
    <row r="144" spans="1:84" ht="12.95" customHeight="1" x14ac:dyDescent="0.25">
      <c r="A144" s="326">
        <v>26</v>
      </c>
      <c r="B144" s="327">
        <v>5452</v>
      </c>
      <c r="C144" s="328">
        <v>600099245</v>
      </c>
      <c r="D144" s="327">
        <v>70188416</v>
      </c>
      <c r="E144" s="329" t="s">
        <v>403</v>
      </c>
      <c r="F144" s="293"/>
      <c r="G144" s="331"/>
      <c r="H144" s="294"/>
      <c r="I144" s="481">
        <f t="shared" ref="I144:BT144" si="506">SUM(I138:I143)</f>
        <v>6304442</v>
      </c>
      <c r="J144" s="477">
        <f t="shared" si="506"/>
        <v>4644965</v>
      </c>
      <c r="K144" s="477">
        <f t="shared" si="506"/>
        <v>3872469</v>
      </c>
      <c r="L144" s="477">
        <f t="shared" si="506"/>
        <v>772496</v>
      </c>
      <c r="M144" s="477">
        <f t="shared" si="506"/>
        <v>0</v>
      </c>
      <c r="N144" s="477">
        <f t="shared" si="506"/>
        <v>0</v>
      </c>
      <c r="O144" s="477">
        <f t="shared" si="506"/>
        <v>0</v>
      </c>
      <c r="P144" s="477">
        <f t="shared" si="506"/>
        <v>1569998</v>
      </c>
      <c r="Q144" s="477">
        <f t="shared" si="506"/>
        <v>46450</v>
      </c>
      <c r="R144" s="477">
        <f t="shared" si="506"/>
        <v>43029</v>
      </c>
      <c r="S144" s="478">
        <f t="shared" si="506"/>
        <v>8.8561999999999994</v>
      </c>
      <c r="T144" s="478">
        <f t="shared" si="506"/>
        <v>6.5419</v>
      </c>
      <c r="U144" s="330">
        <f t="shared" si="506"/>
        <v>2.3142999999999998</v>
      </c>
      <c r="V144" s="483">
        <f t="shared" si="506"/>
        <v>0</v>
      </c>
      <c r="W144" s="477">
        <f t="shared" si="506"/>
        <v>-10880</v>
      </c>
      <c r="X144" s="477">
        <f t="shared" si="506"/>
        <v>1082239</v>
      </c>
      <c r="Y144" s="477">
        <f t="shared" si="506"/>
        <v>0</v>
      </c>
      <c r="Z144" s="477">
        <f t="shared" si="506"/>
        <v>0</v>
      </c>
      <c r="AA144" s="477">
        <f t="shared" si="506"/>
        <v>0</v>
      </c>
      <c r="AB144" s="477">
        <f t="shared" si="506"/>
        <v>112800</v>
      </c>
      <c r="AC144" s="477">
        <f t="shared" si="506"/>
        <v>0</v>
      </c>
      <c r="AD144" s="477">
        <f t="shared" si="506"/>
        <v>0</v>
      </c>
      <c r="AE144" s="477">
        <f t="shared" si="506"/>
        <v>0</v>
      </c>
      <c r="AF144" s="477">
        <f t="shared" si="506"/>
        <v>1195039</v>
      </c>
      <c r="AG144" s="477">
        <f t="shared" si="506"/>
        <v>-10880</v>
      </c>
      <c r="AH144" s="477">
        <f t="shared" si="506"/>
        <v>1184159</v>
      </c>
      <c r="AI144" s="477">
        <f t="shared" si="506"/>
        <v>0</v>
      </c>
      <c r="AJ144" s="477">
        <f t="shared" si="506"/>
        <v>10880</v>
      </c>
      <c r="AK144" s="477">
        <f t="shared" ref="AK144" si="507">SUM(AK138:AK143)</f>
        <v>0</v>
      </c>
      <c r="AL144" s="477">
        <f t="shared" si="506"/>
        <v>0</v>
      </c>
      <c r="AM144" s="477">
        <f t="shared" si="506"/>
        <v>0</v>
      </c>
      <c r="AN144" s="477">
        <f t="shared" si="506"/>
        <v>0</v>
      </c>
      <c r="AO144" s="477">
        <f t="shared" si="506"/>
        <v>0</v>
      </c>
      <c r="AP144" s="477">
        <f t="shared" si="506"/>
        <v>10880</v>
      </c>
      <c r="AQ144" s="477">
        <f t="shared" si="506"/>
        <v>10880</v>
      </c>
      <c r="AR144" s="477">
        <f t="shared" si="506"/>
        <v>1195039</v>
      </c>
      <c r="AS144" s="477">
        <f t="shared" si="506"/>
        <v>0</v>
      </c>
      <c r="AT144" s="477">
        <f t="shared" si="506"/>
        <v>1195039</v>
      </c>
      <c r="AU144" s="477">
        <f t="shared" si="506"/>
        <v>403923</v>
      </c>
      <c r="AV144" s="477">
        <f t="shared" si="506"/>
        <v>11841</v>
      </c>
      <c r="AW144" s="477">
        <f t="shared" si="506"/>
        <v>1250</v>
      </c>
      <c r="AX144" s="477">
        <f t="shared" si="506"/>
        <v>0</v>
      </c>
      <c r="AY144" s="477">
        <f t="shared" si="506"/>
        <v>1250</v>
      </c>
      <c r="AZ144" s="477">
        <f t="shared" si="506"/>
        <v>1612053</v>
      </c>
      <c r="BA144" s="478">
        <f t="shared" si="506"/>
        <v>0</v>
      </c>
      <c r="BB144" s="478">
        <f t="shared" si="506"/>
        <v>-0.04</v>
      </c>
      <c r="BC144" s="478">
        <f t="shared" si="506"/>
        <v>2.9</v>
      </c>
      <c r="BD144" s="478">
        <f t="shared" si="506"/>
        <v>0.2</v>
      </c>
      <c r="BE144" s="478">
        <f t="shared" si="506"/>
        <v>0</v>
      </c>
      <c r="BF144" s="478">
        <f t="shared" si="506"/>
        <v>0</v>
      </c>
      <c r="BG144" s="478">
        <f t="shared" si="506"/>
        <v>0</v>
      </c>
      <c r="BH144" s="478">
        <f t="shared" si="506"/>
        <v>0</v>
      </c>
      <c r="BI144" s="478">
        <f t="shared" si="506"/>
        <v>0</v>
      </c>
      <c r="BJ144" s="478">
        <f t="shared" si="506"/>
        <v>0</v>
      </c>
      <c r="BK144" s="478">
        <f t="shared" si="506"/>
        <v>3.1</v>
      </c>
      <c r="BL144" s="478">
        <f t="shared" si="506"/>
        <v>-0.04</v>
      </c>
      <c r="BM144" s="559">
        <f t="shared" si="506"/>
        <v>3.06</v>
      </c>
      <c r="BN144" s="481">
        <f t="shared" si="506"/>
        <v>7916495</v>
      </c>
      <c r="BO144" s="477">
        <f t="shared" si="506"/>
        <v>5829124</v>
      </c>
      <c r="BP144" s="477">
        <f t="shared" si="506"/>
        <v>5067508</v>
      </c>
      <c r="BQ144" s="477">
        <f t="shared" si="506"/>
        <v>761616</v>
      </c>
      <c r="BR144" s="477">
        <f t="shared" si="506"/>
        <v>10880</v>
      </c>
      <c r="BS144" s="477">
        <f t="shared" si="506"/>
        <v>0</v>
      </c>
      <c r="BT144" s="477">
        <f t="shared" si="506"/>
        <v>10880</v>
      </c>
      <c r="BU144" s="477">
        <f t="shared" ref="BU144:CF144" si="508">SUM(BU138:BU143)</f>
        <v>1973921</v>
      </c>
      <c r="BV144" s="477">
        <f t="shared" si="508"/>
        <v>58291</v>
      </c>
      <c r="BW144" s="477">
        <f t="shared" si="508"/>
        <v>44279</v>
      </c>
      <c r="BX144" s="478">
        <f t="shared" si="508"/>
        <v>11.9162</v>
      </c>
      <c r="BY144" s="478">
        <f t="shared" si="508"/>
        <v>9.6418999999999997</v>
      </c>
      <c r="BZ144" s="559">
        <f t="shared" si="508"/>
        <v>2.2742999999999998</v>
      </c>
      <c r="CA144" s="885">
        <f t="shared" si="508"/>
        <v>152054</v>
      </c>
      <c r="CB144" s="883">
        <f t="shared" si="508"/>
        <v>112800</v>
      </c>
      <c r="CC144" s="883">
        <f t="shared" si="508"/>
        <v>0</v>
      </c>
      <c r="CD144" s="883">
        <f t="shared" si="508"/>
        <v>38126</v>
      </c>
      <c r="CE144" s="883">
        <f t="shared" si="508"/>
        <v>1128</v>
      </c>
      <c r="CF144" s="845">
        <f t="shared" si="508"/>
        <v>0.2</v>
      </c>
    </row>
    <row r="145" spans="1:84" ht="12.95" customHeight="1" x14ac:dyDescent="0.25">
      <c r="A145" s="282">
        <v>27</v>
      </c>
      <c r="B145" s="323">
        <v>5428</v>
      </c>
      <c r="C145" s="324">
        <v>600099059</v>
      </c>
      <c r="D145" s="283">
        <v>70985740</v>
      </c>
      <c r="E145" s="325" t="s">
        <v>404</v>
      </c>
      <c r="F145" s="283">
        <v>3111</v>
      </c>
      <c r="G145" s="325" t="s">
        <v>305</v>
      </c>
      <c r="H145" s="286" t="s">
        <v>271</v>
      </c>
      <c r="I145" s="423">
        <f t="shared" ref="I145:I150" si="509">J145+P145+Q145+R145</f>
        <v>1557597</v>
      </c>
      <c r="J145" s="418">
        <f t="shared" si="505"/>
        <v>1151328</v>
      </c>
      <c r="K145" s="418">
        <v>1084760</v>
      </c>
      <c r="L145" s="418">
        <v>66568</v>
      </c>
      <c r="M145" s="418">
        <f t="shared" ref="M145:M150" si="510">N145+O145</f>
        <v>0</v>
      </c>
      <c r="N145" s="418">
        <v>0</v>
      </c>
      <c r="O145" s="418">
        <v>0</v>
      </c>
      <c r="P145" s="68">
        <f t="shared" ref="P145:P150" si="511">ROUND((J145+M145)*33.8%,0)</f>
        <v>389149</v>
      </c>
      <c r="Q145" s="68">
        <f t="shared" ref="Q145:Q150" si="512">ROUND(J145*1%,0)</f>
        <v>11513</v>
      </c>
      <c r="R145" s="418">
        <v>5607</v>
      </c>
      <c r="S145" s="419">
        <f t="shared" ref="S145:S150" si="513">T145+U145</f>
        <v>2.2021999999999999</v>
      </c>
      <c r="T145" s="420">
        <v>1.9355</v>
      </c>
      <c r="U145" s="527">
        <v>0.26669999999999999</v>
      </c>
      <c r="V145" s="427">
        <f t="shared" ref="V145:W150" si="514">AI145*-1</f>
        <v>0</v>
      </c>
      <c r="W145" s="421">
        <f t="shared" si="514"/>
        <v>0</v>
      </c>
      <c r="X145" s="421">
        <v>0</v>
      </c>
      <c r="Y145" s="421">
        <v>0</v>
      </c>
      <c r="Z145" s="421">
        <v>0</v>
      </c>
      <c r="AA145" s="421">
        <v>0</v>
      </c>
      <c r="AB145" s="421">
        <v>0</v>
      </c>
      <c r="AC145" s="421">
        <v>0</v>
      </c>
      <c r="AD145" s="421">
        <v>0</v>
      </c>
      <c r="AE145" s="421">
        <v>0</v>
      </c>
      <c r="AF145" s="421">
        <f t="shared" ref="AF145:AF150" si="515">V145+X145+Y145+AA145+AB145+AD145</f>
        <v>0</v>
      </c>
      <c r="AG145" s="421">
        <f t="shared" ref="AG145:AG150" si="516">W145+Z145+AC145+AE145</f>
        <v>0</v>
      </c>
      <c r="AH145" s="421">
        <f t="shared" ref="AH145:AH150" si="517">SUM(AF145:AG145)</f>
        <v>0</v>
      </c>
      <c r="AI145" s="421">
        <v>0</v>
      </c>
      <c r="AJ145" s="421">
        <v>0</v>
      </c>
      <c r="AK145" s="421">
        <v>0</v>
      </c>
      <c r="AL145" s="421">
        <v>0</v>
      </c>
      <c r="AM145" s="421">
        <v>0</v>
      </c>
      <c r="AN145" s="421">
        <v>0</v>
      </c>
      <c r="AO145" s="421">
        <f t="shared" ref="AO145:AO150" si="518">AI145+AK145+AL145+AM145</f>
        <v>0</v>
      </c>
      <c r="AP145" s="421">
        <f t="shared" ref="AP145:AP150" si="519">AJ145+AN145</f>
        <v>0</v>
      </c>
      <c r="AQ145" s="421">
        <f t="shared" ref="AQ145:AQ150" si="520">SUM(AO145:AP145)</f>
        <v>0</v>
      </c>
      <c r="AR145" s="421">
        <f t="shared" ref="AR145:AS150" si="521">AF145+AO145</f>
        <v>0</v>
      </c>
      <c r="AS145" s="421">
        <f t="shared" si="521"/>
        <v>0</v>
      </c>
      <c r="AT145" s="421">
        <f t="shared" ref="AT145:AT150" si="522">SUM(AR145:AS145)</f>
        <v>0</v>
      </c>
      <c r="AU145" s="68">
        <f t="shared" ref="AU145:AU150" si="523">ROUND((AH145+AI145+AJ145+AK145+AL145)*33.8%,0)</f>
        <v>0</v>
      </c>
      <c r="AV145" s="68">
        <f t="shared" ref="AV145:AV150" si="524">ROUND(AH145*1%,0)</f>
        <v>0</v>
      </c>
      <c r="AW145" s="421">
        <v>0</v>
      </c>
      <c r="AX145" s="421">
        <v>0</v>
      </c>
      <c r="AY145" s="421">
        <f t="shared" ref="AY145:AY150" si="525">AW145+AX145</f>
        <v>0</v>
      </c>
      <c r="AZ145" s="421">
        <f t="shared" ref="AZ145:AZ150" si="526">AT145+AU145+AV145+AY145</f>
        <v>0</v>
      </c>
      <c r="BA145" s="422">
        <v>0</v>
      </c>
      <c r="BB145" s="422">
        <v>0</v>
      </c>
      <c r="BC145" s="422">
        <v>0</v>
      </c>
      <c r="BD145" s="422">
        <v>0</v>
      </c>
      <c r="BE145" s="422">
        <v>0</v>
      </c>
      <c r="BF145" s="422">
        <v>0</v>
      </c>
      <c r="BG145" s="422">
        <v>0</v>
      </c>
      <c r="BH145" s="422">
        <v>0</v>
      </c>
      <c r="BI145" s="422">
        <v>0</v>
      </c>
      <c r="BJ145" s="422">
        <v>0</v>
      </c>
      <c r="BK145" s="422">
        <f t="shared" ref="BK145:BK150" si="527">BA145+BC145+BD145+BF145+BH145+BI145</f>
        <v>0</v>
      </c>
      <c r="BL145" s="422">
        <f t="shared" ref="BL145:BL150" si="528">BB145+BE145+BG145+BJ145</f>
        <v>0</v>
      </c>
      <c r="BM145" s="611">
        <f t="shared" ref="BM145:BM150" si="529">SUM(BK145:BL145)</f>
        <v>0</v>
      </c>
      <c r="BN145" s="428">
        <f t="shared" ref="BN145:BN150" si="530">I145+AZ145</f>
        <v>1557597</v>
      </c>
      <c r="BO145" s="421">
        <f t="shared" ref="BO145:BO150" si="531">J145+AH145</f>
        <v>1151328</v>
      </c>
      <c r="BP145" s="421">
        <f t="shared" ref="BP145:BQ150" si="532">K145+AF145</f>
        <v>1084760</v>
      </c>
      <c r="BQ145" s="421">
        <f t="shared" si="532"/>
        <v>66568</v>
      </c>
      <c r="BR145" s="421">
        <f t="shared" ref="BR145:BR150" si="533">M145+AQ145</f>
        <v>0</v>
      </c>
      <c r="BS145" s="421">
        <f t="shared" ref="BS145:BT150" si="534">N145+AO145</f>
        <v>0</v>
      </c>
      <c r="BT145" s="421">
        <f t="shared" si="534"/>
        <v>0</v>
      </c>
      <c r="BU145" s="421">
        <f t="shared" ref="BU145:BV150" si="535">P145+AU145</f>
        <v>389149</v>
      </c>
      <c r="BV145" s="421">
        <f t="shared" si="535"/>
        <v>11513</v>
      </c>
      <c r="BW145" s="421">
        <f t="shared" ref="BW145:BW150" si="536">R145+AY145</f>
        <v>5607</v>
      </c>
      <c r="BX145" s="422">
        <f t="shared" ref="BX145:BX150" si="537">S145+BM145</f>
        <v>2.2021999999999999</v>
      </c>
      <c r="BY145" s="422">
        <f t="shared" ref="BY145:BZ150" si="538">T145+BK145</f>
        <v>1.9355</v>
      </c>
      <c r="BZ145" s="611">
        <f t="shared" si="538"/>
        <v>0.26669999999999999</v>
      </c>
      <c r="CA145" s="875"/>
      <c r="CB145" s="872"/>
      <c r="CC145" s="872"/>
      <c r="CD145" s="872"/>
      <c r="CE145" s="872"/>
      <c r="CF145" s="876"/>
    </row>
    <row r="146" spans="1:84" ht="12.95" customHeight="1" x14ac:dyDescent="0.25">
      <c r="A146" s="282">
        <v>27</v>
      </c>
      <c r="B146" s="323">
        <v>5428</v>
      </c>
      <c r="C146" s="324">
        <v>600099059</v>
      </c>
      <c r="D146" s="283">
        <v>70985740</v>
      </c>
      <c r="E146" s="325" t="s">
        <v>404</v>
      </c>
      <c r="F146" s="283">
        <v>3117</v>
      </c>
      <c r="G146" s="325" t="s">
        <v>294</v>
      </c>
      <c r="H146" s="286" t="s">
        <v>271</v>
      </c>
      <c r="I146" s="423">
        <f t="shared" si="509"/>
        <v>2151069</v>
      </c>
      <c r="J146" s="418">
        <f t="shared" si="505"/>
        <v>1583109</v>
      </c>
      <c r="K146" s="418">
        <v>1385131</v>
      </c>
      <c r="L146" s="418">
        <v>197978</v>
      </c>
      <c r="M146" s="418">
        <f t="shared" si="510"/>
        <v>0</v>
      </c>
      <c r="N146" s="418">
        <v>0</v>
      </c>
      <c r="O146" s="418">
        <v>0</v>
      </c>
      <c r="P146" s="68">
        <f t="shared" si="511"/>
        <v>535091</v>
      </c>
      <c r="Q146" s="68">
        <f t="shared" si="512"/>
        <v>15831</v>
      </c>
      <c r="R146" s="418">
        <v>17038</v>
      </c>
      <c r="S146" s="419">
        <f t="shared" si="513"/>
        <v>2.7781000000000002</v>
      </c>
      <c r="T146" s="420">
        <v>2.2726000000000002</v>
      </c>
      <c r="U146" s="527">
        <v>0.50550000000000006</v>
      </c>
      <c r="V146" s="427">
        <f t="shared" si="514"/>
        <v>-5120</v>
      </c>
      <c r="W146" s="421">
        <f t="shared" si="514"/>
        <v>-1280</v>
      </c>
      <c r="X146" s="421">
        <v>0</v>
      </c>
      <c r="Y146" s="421">
        <v>0</v>
      </c>
      <c r="Z146" s="421">
        <v>0</v>
      </c>
      <c r="AA146" s="421">
        <v>0</v>
      </c>
      <c r="AB146" s="421">
        <v>0</v>
      </c>
      <c r="AC146" s="421">
        <v>0</v>
      </c>
      <c r="AD146" s="421">
        <v>0</v>
      </c>
      <c r="AE146" s="421">
        <v>0</v>
      </c>
      <c r="AF146" s="421">
        <f t="shared" si="515"/>
        <v>-5120</v>
      </c>
      <c r="AG146" s="421">
        <f t="shared" si="516"/>
        <v>-1280</v>
      </c>
      <c r="AH146" s="421">
        <f t="shared" si="517"/>
        <v>-6400</v>
      </c>
      <c r="AI146" s="421">
        <v>5120</v>
      </c>
      <c r="AJ146" s="421">
        <v>1280</v>
      </c>
      <c r="AK146" s="421">
        <v>0</v>
      </c>
      <c r="AL146" s="421">
        <v>26480</v>
      </c>
      <c r="AM146" s="421">
        <v>0</v>
      </c>
      <c r="AN146" s="421">
        <v>0</v>
      </c>
      <c r="AO146" s="421">
        <f t="shared" si="518"/>
        <v>31600</v>
      </c>
      <c r="AP146" s="421">
        <f t="shared" si="519"/>
        <v>1280</v>
      </c>
      <c r="AQ146" s="421">
        <f t="shared" si="520"/>
        <v>32880</v>
      </c>
      <c r="AR146" s="421">
        <f t="shared" si="521"/>
        <v>26480</v>
      </c>
      <c r="AS146" s="421">
        <f t="shared" si="521"/>
        <v>0</v>
      </c>
      <c r="AT146" s="421">
        <f t="shared" si="522"/>
        <v>26480</v>
      </c>
      <c r="AU146" s="68">
        <f t="shared" si="523"/>
        <v>8950</v>
      </c>
      <c r="AV146" s="68">
        <f t="shared" si="524"/>
        <v>-64</v>
      </c>
      <c r="AW146" s="421">
        <v>0</v>
      </c>
      <c r="AX146" s="421">
        <v>0</v>
      </c>
      <c r="AY146" s="421">
        <f t="shared" si="525"/>
        <v>0</v>
      </c>
      <c r="AZ146" s="421">
        <f t="shared" si="526"/>
        <v>35366</v>
      </c>
      <c r="BA146" s="422">
        <v>-0.01</v>
      </c>
      <c r="BB146" s="422">
        <v>0</v>
      </c>
      <c r="BC146" s="422">
        <v>0</v>
      </c>
      <c r="BD146" s="422">
        <v>0</v>
      </c>
      <c r="BE146" s="422">
        <v>0</v>
      </c>
      <c r="BF146" s="422">
        <v>0</v>
      </c>
      <c r="BG146" s="422">
        <v>0</v>
      </c>
      <c r="BH146" s="422">
        <v>0</v>
      </c>
      <c r="BI146" s="422">
        <v>0</v>
      </c>
      <c r="BJ146" s="422">
        <v>0</v>
      </c>
      <c r="BK146" s="422">
        <f t="shared" si="527"/>
        <v>-0.01</v>
      </c>
      <c r="BL146" s="422">
        <f t="shared" si="528"/>
        <v>0</v>
      </c>
      <c r="BM146" s="611">
        <f t="shared" si="529"/>
        <v>-0.01</v>
      </c>
      <c r="BN146" s="428">
        <f t="shared" si="530"/>
        <v>2186435</v>
      </c>
      <c r="BO146" s="421">
        <f t="shared" si="531"/>
        <v>1576709</v>
      </c>
      <c r="BP146" s="421">
        <f t="shared" si="532"/>
        <v>1380011</v>
      </c>
      <c r="BQ146" s="421">
        <f t="shared" si="532"/>
        <v>196698</v>
      </c>
      <c r="BR146" s="421">
        <f t="shared" si="533"/>
        <v>32880</v>
      </c>
      <c r="BS146" s="421">
        <f t="shared" si="534"/>
        <v>31600</v>
      </c>
      <c r="BT146" s="421">
        <f t="shared" si="534"/>
        <v>1280</v>
      </c>
      <c r="BU146" s="421">
        <f t="shared" si="535"/>
        <v>544041</v>
      </c>
      <c r="BV146" s="421">
        <f t="shared" si="535"/>
        <v>15767</v>
      </c>
      <c r="BW146" s="421">
        <f t="shared" si="536"/>
        <v>17038</v>
      </c>
      <c r="BX146" s="422">
        <f t="shared" si="537"/>
        <v>2.7681000000000004</v>
      </c>
      <c r="BY146" s="422">
        <f t="shared" si="538"/>
        <v>2.2626000000000004</v>
      </c>
      <c r="BZ146" s="611">
        <f t="shared" si="538"/>
        <v>0.50550000000000006</v>
      </c>
      <c r="CA146" s="875"/>
      <c r="CB146" s="872"/>
      <c r="CC146" s="872"/>
      <c r="CD146" s="872"/>
      <c r="CE146" s="872"/>
      <c r="CF146" s="876"/>
    </row>
    <row r="147" spans="1:84" ht="12.95" customHeight="1" x14ac:dyDescent="0.25">
      <c r="A147" s="282">
        <v>27</v>
      </c>
      <c r="B147" s="323">
        <v>5428</v>
      </c>
      <c r="C147" s="324">
        <v>600099059</v>
      </c>
      <c r="D147" s="283">
        <v>70985740</v>
      </c>
      <c r="E147" s="325" t="s">
        <v>404</v>
      </c>
      <c r="F147" s="283">
        <v>3117</v>
      </c>
      <c r="G147" s="325" t="s">
        <v>299</v>
      </c>
      <c r="H147" s="286" t="s">
        <v>272</v>
      </c>
      <c r="I147" s="423">
        <f t="shared" si="509"/>
        <v>0</v>
      </c>
      <c r="J147" s="418">
        <f t="shared" si="505"/>
        <v>0</v>
      </c>
      <c r="K147" s="418">
        <v>0</v>
      </c>
      <c r="L147" s="418">
        <v>0</v>
      </c>
      <c r="M147" s="418">
        <f>N147+O147</f>
        <v>0</v>
      </c>
      <c r="N147" s="418">
        <v>0</v>
      </c>
      <c r="O147" s="418">
        <v>0</v>
      </c>
      <c r="P147" s="68">
        <f t="shared" si="511"/>
        <v>0</v>
      </c>
      <c r="Q147" s="68">
        <f t="shared" si="512"/>
        <v>0</v>
      </c>
      <c r="R147" s="418"/>
      <c r="S147" s="419">
        <f>T147+U147</f>
        <v>0</v>
      </c>
      <c r="T147" s="420">
        <v>0</v>
      </c>
      <c r="U147" s="527">
        <v>0</v>
      </c>
      <c r="V147" s="427">
        <f t="shared" si="514"/>
        <v>0</v>
      </c>
      <c r="W147" s="421">
        <f t="shared" si="514"/>
        <v>0</v>
      </c>
      <c r="X147" s="421">
        <v>0</v>
      </c>
      <c r="Y147" s="421">
        <v>0</v>
      </c>
      <c r="Z147" s="421">
        <v>0</v>
      </c>
      <c r="AA147" s="421">
        <v>0</v>
      </c>
      <c r="AB147" s="421">
        <v>0</v>
      </c>
      <c r="AC147" s="421">
        <v>0</v>
      </c>
      <c r="AD147" s="421">
        <v>0</v>
      </c>
      <c r="AE147" s="421">
        <v>0</v>
      </c>
      <c r="AF147" s="421">
        <f t="shared" si="515"/>
        <v>0</v>
      </c>
      <c r="AG147" s="421">
        <f t="shared" si="516"/>
        <v>0</v>
      </c>
      <c r="AH147" s="421">
        <f t="shared" si="517"/>
        <v>0</v>
      </c>
      <c r="AI147" s="421">
        <v>0</v>
      </c>
      <c r="AJ147" s="421">
        <v>0</v>
      </c>
      <c r="AK147" s="421">
        <v>0</v>
      </c>
      <c r="AL147" s="421">
        <v>0</v>
      </c>
      <c r="AM147" s="421">
        <v>0</v>
      </c>
      <c r="AN147" s="421">
        <v>0</v>
      </c>
      <c r="AO147" s="421">
        <f t="shared" si="518"/>
        <v>0</v>
      </c>
      <c r="AP147" s="421">
        <f t="shared" si="519"/>
        <v>0</v>
      </c>
      <c r="AQ147" s="421">
        <f t="shared" si="520"/>
        <v>0</v>
      </c>
      <c r="AR147" s="421">
        <f t="shared" si="521"/>
        <v>0</v>
      </c>
      <c r="AS147" s="421">
        <f t="shared" si="521"/>
        <v>0</v>
      </c>
      <c r="AT147" s="421">
        <f t="shared" si="522"/>
        <v>0</v>
      </c>
      <c r="AU147" s="68">
        <f t="shared" si="523"/>
        <v>0</v>
      </c>
      <c r="AV147" s="68">
        <f t="shared" si="524"/>
        <v>0</v>
      </c>
      <c r="AW147" s="421">
        <v>0</v>
      </c>
      <c r="AX147" s="421">
        <v>0</v>
      </c>
      <c r="AY147" s="421">
        <f t="shared" si="525"/>
        <v>0</v>
      </c>
      <c r="AZ147" s="421">
        <f t="shared" si="526"/>
        <v>0</v>
      </c>
      <c r="BA147" s="422">
        <v>0</v>
      </c>
      <c r="BB147" s="422">
        <v>0</v>
      </c>
      <c r="BC147" s="422">
        <v>0</v>
      </c>
      <c r="BD147" s="422">
        <v>0</v>
      </c>
      <c r="BE147" s="422">
        <v>0</v>
      </c>
      <c r="BF147" s="422">
        <v>0</v>
      </c>
      <c r="BG147" s="422">
        <v>0</v>
      </c>
      <c r="BH147" s="422">
        <v>0</v>
      </c>
      <c r="BI147" s="422">
        <v>0</v>
      </c>
      <c r="BJ147" s="422">
        <v>0</v>
      </c>
      <c r="BK147" s="422">
        <f t="shared" si="527"/>
        <v>0</v>
      </c>
      <c r="BL147" s="422">
        <f t="shared" si="528"/>
        <v>0</v>
      </c>
      <c r="BM147" s="611">
        <f t="shared" si="529"/>
        <v>0</v>
      </c>
      <c r="BN147" s="428">
        <f t="shared" si="530"/>
        <v>0</v>
      </c>
      <c r="BO147" s="421">
        <f t="shared" si="531"/>
        <v>0</v>
      </c>
      <c r="BP147" s="421">
        <f t="shared" si="532"/>
        <v>0</v>
      </c>
      <c r="BQ147" s="421">
        <f t="shared" si="532"/>
        <v>0</v>
      </c>
      <c r="BR147" s="421">
        <f t="shared" si="533"/>
        <v>0</v>
      </c>
      <c r="BS147" s="421">
        <f t="shared" si="534"/>
        <v>0</v>
      </c>
      <c r="BT147" s="421">
        <f t="shared" si="534"/>
        <v>0</v>
      </c>
      <c r="BU147" s="421">
        <f t="shared" si="535"/>
        <v>0</v>
      </c>
      <c r="BV147" s="421">
        <f t="shared" si="535"/>
        <v>0</v>
      </c>
      <c r="BW147" s="421">
        <f t="shared" si="536"/>
        <v>0</v>
      </c>
      <c r="BX147" s="422">
        <f t="shared" si="537"/>
        <v>0</v>
      </c>
      <c r="BY147" s="422">
        <f t="shared" si="538"/>
        <v>0</v>
      </c>
      <c r="BZ147" s="611">
        <f t="shared" si="538"/>
        <v>0</v>
      </c>
      <c r="CA147" s="875"/>
      <c r="CB147" s="872"/>
      <c r="CC147" s="872"/>
      <c r="CD147" s="872"/>
      <c r="CE147" s="872"/>
      <c r="CF147" s="876"/>
    </row>
    <row r="148" spans="1:84" ht="12.95" customHeight="1" x14ac:dyDescent="0.25">
      <c r="A148" s="282">
        <v>27</v>
      </c>
      <c r="B148" s="323">
        <v>5428</v>
      </c>
      <c r="C148" s="324">
        <v>600099059</v>
      </c>
      <c r="D148" s="283">
        <v>70985740</v>
      </c>
      <c r="E148" s="325" t="s">
        <v>404</v>
      </c>
      <c r="F148" s="283">
        <v>3141</v>
      </c>
      <c r="G148" s="325" t="s">
        <v>295</v>
      </c>
      <c r="H148" s="286" t="s">
        <v>272</v>
      </c>
      <c r="I148" s="423">
        <f t="shared" si="509"/>
        <v>360850</v>
      </c>
      <c r="J148" s="418">
        <f t="shared" si="505"/>
        <v>266784</v>
      </c>
      <c r="K148" s="418">
        <v>0</v>
      </c>
      <c r="L148" s="418">
        <v>266784</v>
      </c>
      <c r="M148" s="418">
        <f t="shared" si="510"/>
        <v>0</v>
      </c>
      <c r="N148" s="418">
        <v>0</v>
      </c>
      <c r="O148" s="418">
        <v>0</v>
      </c>
      <c r="P148" s="68">
        <f t="shared" si="511"/>
        <v>90173</v>
      </c>
      <c r="Q148" s="68">
        <f t="shared" si="512"/>
        <v>2668</v>
      </c>
      <c r="R148" s="418">
        <v>1225</v>
      </c>
      <c r="S148" s="419">
        <f t="shared" si="513"/>
        <v>0.8</v>
      </c>
      <c r="T148" s="420">
        <v>0</v>
      </c>
      <c r="U148" s="527">
        <v>0.8</v>
      </c>
      <c r="V148" s="427">
        <f t="shared" si="514"/>
        <v>0</v>
      </c>
      <c r="W148" s="421">
        <f t="shared" si="514"/>
        <v>-5120</v>
      </c>
      <c r="X148" s="421">
        <v>0</v>
      </c>
      <c r="Y148" s="421">
        <v>0</v>
      </c>
      <c r="Z148" s="421">
        <v>0</v>
      </c>
      <c r="AA148" s="421">
        <v>0</v>
      </c>
      <c r="AB148" s="421">
        <v>0</v>
      </c>
      <c r="AC148" s="421">
        <v>0</v>
      </c>
      <c r="AD148" s="421">
        <v>0</v>
      </c>
      <c r="AE148" s="421">
        <v>0</v>
      </c>
      <c r="AF148" s="421">
        <f t="shared" si="515"/>
        <v>0</v>
      </c>
      <c r="AG148" s="421">
        <f t="shared" si="516"/>
        <v>-5120</v>
      </c>
      <c r="AH148" s="421">
        <f t="shared" si="517"/>
        <v>-5120</v>
      </c>
      <c r="AI148" s="421">
        <v>0</v>
      </c>
      <c r="AJ148" s="421">
        <v>5120</v>
      </c>
      <c r="AK148" s="421">
        <v>0</v>
      </c>
      <c r="AL148" s="421">
        <v>0</v>
      </c>
      <c r="AM148" s="421">
        <v>0</v>
      </c>
      <c r="AN148" s="421">
        <v>0</v>
      </c>
      <c r="AO148" s="421">
        <f t="shared" si="518"/>
        <v>0</v>
      </c>
      <c r="AP148" s="421">
        <f t="shared" si="519"/>
        <v>5120</v>
      </c>
      <c r="AQ148" s="421">
        <f t="shared" si="520"/>
        <v>5120</v>
      </c>
      <c r="AR148" s="421">
        <f t="shared" si="521"/>
        <v>0</v>
      </c>
      <c r="AS148" s="421">
        <f t="shared" si="521"/>
        <v>0</v>
      </c>
      <c r="AT148" s="421">
        <f t="shared" si="522"/>
        <v>0</v>
      </c>
      <c r="AU148" s="68">
        <f t="shared" si="523"/>
        <v>0</v>
      </c>
      <c r="AV148" s="68">
        <f t="shared" si="524"/>
        <v>-51</v>
      </c>
      <c r="AW148" s="421">
        <v>0</v>
      </c>
      <c r="AX148" s="421">
        <v>0</v>
      </c>
      <c r="AY148" s="421">
        <f t="shared" si="525"/>
        <v>0</v>
      </c>
      <c r="AZ148" s="421">
        <f t="shared" si="526"/>
        <v>-51</v>
      </c>
      <c r="BA148" s="422">
        <v>0</v>
      </c>
      <c r="BB148" s="422">
        <v>0</v>
      </c>
      <c r="BC148" s="422">
        <v>0</v>
      </c>
      <c r="BD148" s="422">
        <v>0</v>
      </c>
      <c r="BE148" s="422">
        <v>0</v>
      </c>
      <c r="BF148" s="422">
        <v>0</v>
      </c>
      <c r="BG148" s="422">
        <v>0</v>
      </c>
      <c r="BH148" s="422">
        <v>0</v>
      </c>
      <c r="BI148" s="422">
        <v>0</v>
      </c>
      <c r="BJ148" s="422">
        <v>0</v>
      </c>
      <c r="BK148" s="422">
        <f t="shared" si="527"/>
        <v>0</v>
      </c>
      <c r="BL148" s="422">
        <f t="shared" si="528"/>
        <v>0</v>
      </c>
      <c r="BM148" s="611">
        <f t="shared" si="529"/>
        <v>0</v>
      </c>
      <c r="BN148" s="428">
        <f t="shared" si="530"/>
        <v>360799</v>
      </c>
      <c r="BO148" s="421">
        <f t="shared" si="531"/>
        <v>261664</v>
      </c>
      <c r="BP148" s="421">
        <f t="shared" si="532"/>
        <v>0</v>
      </c>
      <c r="BQ148" s="421">
        <f t="shared" si="532"/>
        <v>261664</v>
      </c>
      <c r="BR148" s="421">
        <f t="shared" si="533"/>
        <v>5120</v>
      </c>
      <c r="BS148" s="421">
        <f t="shared" si="534"/>
        <v>0</v>
      </c>
      <c r="BT148" s="421">
        <f t="shared" si="534"/>
        <v>5120</v>
      </c>
      <c r="BU148" s="421">
        <f t="shared" si="535"/>
        <v>90173</v>
      </c>
      <c r="BV148" s="421">
        <f t="shared" si="535"/>
        <v>2617</v>
      </c>
      <c r="BW148" s="421">
        <f t="shared" si="536"/>
        <v>1225</v>
      </c>
      <c r="BX148" s="422">
        <f t="shared" si="537"/>
        <v>0.8</v>
      </c>
      <c r="BY148" s="422">
        <f t="shared" si="538"/>
        <v>0</v>
      </c>
      <c r="BZ148" s="611">
        <f t="shared" si="538"/>
        <v>0.8</v>
      </c>
      <c r="CA148" s="875"/>
      <c r="CB148" s="872"/>
      <c r="CC148" s="872"/>
      <c r="CD148" s="872"/>
      <c r="CE148" s="872"/>
      <c r="CF148" s="876"/>
    </row>
    <row r="149" spans="1:84" ht="12.95" customHeight="1" x14ac:dyDescent="0.25">
      <c r="A149" s="282">
        <v>27</v>
      </c>
      <c r="B149" s="323">
        <v>5428</v>
      </c>
      <c r="C149" s="324">
        <v>600099059</v>
      </c>
      <c r="D149" s="283">
        <v>70985740</v>
      </c>
      <c r="E149" s="325" t="s">
        <v>404</v>
      </c>
      <c r="F149" s="283">
        <v>3143</v>
      </c>
      <c r="G149" s="325" t="s">
        <v>596</v>
      </c>
      <c r="H149" s="286" t="s">
        <v>271</v>
      </c>
      <c r="I149" s="423">
        <f t="shared" si="509"/>
        <v>537565</v>
      </c>
      <c r="J149" s="418">
        <f t="shared" si="505"/>
        <v>398787</v>
      </c>
      <c r="K149" s="418">
        <v>398787</v>
      </c>
      <c r="L149" s="418">
        <v>0</v>
      </c>
      <c r="M149" s="418">
        <f t="shared" si="510"/>
        <v>0</v>
      </c>
      <c r="N149" s="418">
        <v>0</v>
      </c>
      <c r="O149" s="418">
        <v>0</v>
      </c>
      <c r="P149" s="68">
        <f t="shared" si="511"/>
        <v>134790</v>
      </c>
      <c r="Q149" s="68">
        <f t="shared" si="512"/>
        <v>3988</v>
      </c>
      <c r="R149" s="418">
        <v>0</v>
      </c>
      <c r="S149" s="419">
        <f t="shared" si="513"/>
        <v>0.8</v>
      </c>
      <c r="T149" s="420">
        <v>0.8</v>
      </c>
      <c r="U149" s="527">
        <v>0</v>
      </c>
      <c r="V149" s="427">
        <f t="shared" si="514"/>
        <v>0</v>
      </c>
      <c r="W149" s="421">
        <f t="shared" si="514"/>
        <v>0</v>
      </c>
      <c r="X149" s="421">
        <v>0</v>
      </c>
      <c r="Y149" s="421">
        <v>0</v>
      </c>
      <c r="Z149" s="421">
        <v>0</v>
      </c>
      <c r="AA149" s="421">
        <v>0</v>
      </c>
      <c r="AB149" s="421">
        <v>0</v>
      </c>
      <c r="AC149" s="421">
        <v>0</v>
      </c>
      <c r="AD149" s="421">
        <v>0</v>
      </c>
      <c r="AE149" s="421">
        <v>0</v>
      </c>
      <c r="AF149" s="421">
        <f t="shared" si="515"/>
        <v>0</v>
      </c>
      <c r="AG149" s="421">
        <f t="shared" si="516"/>
        <v>0</v>
      </c>
      <c r="AH149" s="421">
        <f t="shared" si="517"/>
        <v>0</v>
      </c>
      <c r="AI149" s="421">
        <v>0</v>
      </c>
      <c r="AJ149" s="421">
        <v>0</v>
      </c>
      <c r="AK149" s="421">
        <v>0</v>
      </c>
      <c r="AL149" s="421">
        <v>0</v>
      </c>
      <c r="AM149" s="421">
        <v>0</v>
      </c>
      <c r="AN149" s="421">
        <v>0</v>
      </c>
      <c r="AO149" s="421">
        <f t="shared" si="518"/>
        <v>0</v>
      </c>
      <c r="AP149" s="421">
        <f t="shared" si="519"/>
        <v>0</v>
      </c>
      <c r="AQ149" s="421">
        <f t="shared" si="520"/>
        <v>0</v>
      </c>
      <c r="AR149" s="421">
        <f t="shared" si="521"/>
        <v>0</v>
      </c>
      <c r="AS149" s="421">
        <f t="shared" si="521"/>
        <v>0</v>
      </c>
      <c r="AT149" s="421">
        <f t="shared" si="522"/>
        <v>0</v>
      </c>
      <c r="AU149" s="68">
        <f t="shared" si="523"/>
        <v>0</v>
      </c>
      <c r="AV149" s="68">
        <f t="shared" si="524"/>
        <v>0</v>
      </c>
      <c r="AW149" s="421">
        <v>0</v>
      </c>
      <c r="AX149" s="421">
        <v>0</v>
      </c>
      <c r="AY149" s="421">
        <f t="shared" si="525"/>
        <v>0</v>
      </c>
      <c r="AZ149" s="421">
        <f t="shared" si="526"/>
        <v>0</v>
      </c>
      <c r="BA149" s="422">
        <v>0</v>
      </c>
      <c r="BB149" s="422">
        <v>0</v>
      </c>
      <c r="BC149" s="422">
        <v>0</v>
      </c>
      <c r="BD149" s="422">
        <v>0</v>
      </c>
      <c r="BE149" s="422">
        <v>0</v>
      </c>
      <c r="BF149" s="422">
        <v>0</v>
      </c>
      <c r="BG149" s="422">
        <v>0</v>
      </c>
      <c r="BH149" s="422">
        <v>0</v>
      </c>
      <c r="BI149" s="422">
        <v>0</v>
      </c>
      <c r="BJ149" s="422">
        <v>0</v>
      </c>
      <c r="BK149" s="422">
        <f t="shared" si="527"/>
        <v>0</v>
      </c>
      <c r="BL149" s="422">
        <f t="shared" si="528"/>
        <v>0</v>
      </c>
      <c r="BM149" s="611">
        <f t="shared" si="529"/>
        <v>0</v>
      </c>
      <c r="BN149" s="428">
        <f t="shared" si="530"/>
        <v>537565</v>
      </c>
      <c r="BO149" s="421">
        <f t="shared" si="531"/>
        <v>398787</v>
      </c>
      <c r="BP149" s="421">
        <f t="shared" si="532"/>
        <v>398787</v>
      </c>
      <c r="BQ149" s="421">
        <f t="shared" si="532"/>
        <v>0</v>
      </c>
      <c r="BR149" s="421">
        <f t="shared" si="533"/>
        <v>0</v>
      </c>
      <c r="BS149" s="421">
        <f t="shared" si="534"/>
        <v>0</v>
      </c>
      <c r="BT149" s="421">
        <f t="shared" si="534"/>
        <v>0</v>
      </c>
      <c r="BU149" s="421">
        <f t="shared" si="535"/>
        <v>134790</v>
      </c>
      <c r="BV149" s="421">
        <f t="shared" si="535"/>
        <v>3988</v>
      </c>
      <c r="BW149" s="421">
        <f t="shared" si="536"/>
        <v>0</v>
      </c>
      <c r="BX149" s="422">
        <f t="shared" si="537"/>
        <v>0.8</v>
      </c>
      <c r="BY149" s="422">
        <f t="shared" si="538"/>
        <v>0.8</v>
      </c>
      <c r="BZ149" s="611">
        <f t="shared" si="538"/>
        <v>0</v>
      </c>
      <c r="CA149" s="875"/>
      <c r="CB149" s="872"/>
      <c r="CC149" s="872"/>
      <c r="CD149" s="872"/>
      <c r="CE149" s="872"/>
      <c r="CF149" s="876"/>
    </row>
    <row r="150" spans="1:84" ht="12.95" customHeight="1" x14ac:dyDescent="0.25">
      <c r="A150" s="282">
        <v>27</v>
      </c>
      <c r="B150" s="323">
        <v>5428</v>
      </c>
      <c r="C150" s="324">
        <v>600099059</v>
      </c>
      <c r="D150" s="283">
        <v>70985740</v>
      </c>
      <c r="E150" s="325" t="s">
        <v>404</v>
      </c>
      <c r="F150" s="283">
        <v>3143</v>
      </c>
      <c r="G150" s="325" t="s">
        <v>597</v>
      </c>
      <c r="H150" s="286" t="s">
        <v>272</v>
      </c>
      <c r="I150" s="423">
        <f t="shared" si="509"/>
        <v>7156</v>
      </c>
      <c r="J150" s="418">
        <f t="shared" si="505"/>
        <v>5122</v>
      </c>
      <c r="K150" s="418">
        <v>0</v>
      </c>
      <c r="L150" s="418">
        <v>5122</v>
      </c>
      <c r="M150" s="418">
        <f t="shared" si="510"/>
        <v>0</v>
      </c>
      <c r="N150" s="418">
        <v>0</v>
      </c>
      <c r="O150" s="418">
        <v>0</v>
      </c>
      <c r="P150" s="68">
        <f t="shared" si="511"/>
        <v>1731</v>
      </c>
      <c r="Q150" s="68">
        <f t="shared" si="512"/>
        <v>51</v>
      </c>
      <c r="R150" s="418">
        <v>252</v>
      </c>
      <c r="S150" s="419">
        <f t="shared" si="513"/>
        <v>1.9400000000000001E-2</v>
      </c>
      <c r="T150" s="420">
        <v>0</v>
      </c>
      <c r="U150" s="527">
        <v>1.9400000000000001E-2</v>
      </c>
      <c r="V150" s="427">
        <f t="shared" si="514"/>
        <v>0</v>
      </c>
      <c r="W150" s="421">
        <f t="shared" si="514"/>
        <v>0</v>
      </c>
      <c r="X150" s="421">
        <v>0</v>
      </c>
      <c r="Y150" s="421">
        <v>0</v>
      </c>
      <c r="Z150" s="421">
        <v>0</v>
      </c>
      <c r="AA150" s="421">
        <v>0</v>
      </c>
      <c r="AB150" s="421">
        <v>0</v>
      </c>
      <c r="AC150" s="421">
        <v>0</v>
      </c>
      <c r="AD150" s="421">
        <v>0</v>
      </c>
      <c r="AE150" s="421">
        <v>0</v>
      </c>
      <c r="AF150" s="421">
        <f t="shared" si="515"/>
        <v>0</v>
      </c>
      <c r="AG150" s="421">
        <f t="shared" si="516"/>
        <v>0</v>
      </c>
      <c r="AH150" s="421">
        <f t="shared" si="517"/>
        <v>0</v>
      </c>
      <c r="AI150" s="421">
        <v>0</v>
      </c>
      <c r="AJ150" s="421">
        <v>0</v>
      </c>
      <c r="AK150" s="421">
        <v>0</v>
      </c>
      <c r="AL150" s="421">
        <v>0</v>
      </c>
      <c r="AM150" s="421">
        <v>0</v>
      </c>
      <c r="AN150" s="421">
        <v>0</v>
      </c>
      <c r="AO150" s="421">
        <f t="shared" si="518"/>
        <v>0</v>
      </c>
      <c r="AP150" s="421">
        <f t="shared" si="519"/>
        <v>0</v>
      </c>
      <c r="AQ150" s="421">
        <f t="shared" si="520"/>
        <v>0</v>
      </c>
      <c r="AR150" s="421">
        <f t="shared" si="521"/>
        <v>0</v>
      </c>
      <c r="AS150" s="421">
        <f t="shared" si="521"/>
        <v>0</v>
      </c>
      <c r="AT150" s="421">
        <f t="shared" si="522"/>
        <v>0</v>
      </c>
      <c r="AU150" s="68">
        <f t="shared" si="523"/>
        <v>0</v>
      </c>
      <c r="AV150" s="68">
        <f t="shared" si="524"/>
        <v>0</v>
      </c>
      <c r="AW150" s="421">
        <v>0</v>
      </c>
      <c r="AX150" s="421">
        <v>0</v>
      </c>
      <c r="AY150" s="421">
        <f t="shared" si="525"/>
        <v>0</v>
      </c>
      <c r="AZ150" s="421">
        <f t="shared" si="526"/>
        <v>0</v>
      </c>
      <c r="BA150" s="422">
        <v>0</v>
      </c>
      <c r="BB150" s="422">
        <v>0</v>
      </c>
      <c r="BC150" s="422">
        <v>0</v>
      </c>
      <c r="BD150" s="422">
        <v>0</v>
      </c>
      <c r="BE150" s="422">
        <v>0</v>
      </c>
      <c r="BF150" s="422">
        <v>0</v>
      </c>
      <c r="BG150" s="422">
        <v>0</v>
      </c>
      <c r="BH150" s="422">
        <v>0</v>
      </c>
      <c r="BI150" s="422">
        <v>0</v>
      </c>
      <c r="BJ150" s="422">
        <v>0</v>
      </c>
      <c r="BK150" s="422">
        <f t="shared" si="527"/>
        <v>0</v>
      </c>
      <c r="BL150" s="422">
        <f t="shared" si="528"/>
        <v>0</v>
      </c>
      <c r="BM150" s="611">
        <f t="shared" si="529"/>
        <v>0</v>
      </c>
      <c r="BN150" s="428">
        <f t="shared" si="530"/>
        <v>7156</v>
      </c>
      <c r="BO150" s="421">
        <f t="shared" si="531"/>
        <v>5122</v>
      </c>
      <c r="BP150" s="421">
        <f t="shared" si="532"/>
        <v>0</v>
      </c>
      <c r="BQ150" s="421">
        <f t="shared" si="532"/>
        <v>5122</v>
      </c>
      <c r="BR150" s="421">
        <f t="shared" si="533"/>
        <v>0</v>
      </c>
      <c r="BS150" s="421">
        <f t="shared" si="534"/>
        <v>0</v>
      </c>
      <c r="BT150" s="421">
        <f t="shared" si="534"/>
        <v>0</v>
      </c>
      <c r="BU150" s="421">
        <f t="shared" si="535"/>
        <v>1731</v>
      </c>
      <c r="BV150" s="421">
        <f t="shared" si="535"/>
        <v>51</v>
      </c>
      <c r="BW150" s="421">
        <f t="shared" si="536"/>
        <v>252</v>
      </c>
      <c r="BX150" s="422">
        <f t="shared" si="537"/>
        <v>1.9400000000000001E-2</v>
      </c>
      <c r="BY150" s="422">
        <f t="shared" si="538"/>
        <v>0</v>
      </c>
      <c r="BZ150" s="611">
        <f t="shared" si="538"/>
        <v>1.9400000000000001E-2</v>
      </c>
      <c r="CA150" s="875"/>
      <c r="CB150" s="872"/>
      <c r="CC150" s="872"/>
      <c r="CD150" s="872"/>
      <c r="CE150" s="872"/>
      <c r="CF150" s="876"/>
    </row>
    <row r="151" spans="1:84" ht="12.95" customHeight="1" x14ac:dyDescent="0.25">
      <c r="A151" s="326">
        <v>27</v>
      </c>
      <c r="B151" s="327">
        <v>5428</v>
      </c>
      <c r="C151" s="328">
        <v>600099059</v>
      </c>
      <c r="D151" s="327">
        <v>70985740</v>
      </c>
      <c r="E151" s="329" t="s">
        <v>405</v>
      </c>
      <c r="F151" s="293"/>
      <c r="G151" s="331"/>
      <c r="H151" s="294"/>
      <c r="I151" s="481">
        <f t="shared" ref="I151:BU151" si="539">SUM(I145:I150)</f>
        <v>4614237</v>
      </c>
      <c r="J151" s="477">
        <f t="shared" si="539"/>
        <v>3405130</v>
      </c>
      <c r="K151" s="477">
        <f t="shared" si="539"/>
        <v>2868678</v>
      </c>
      <c r="L151" s="477">
        <f t="shared" si="539"/>
        <v>536452</v>
      </c>
      <c r="M151" s="477">
        <f t="shared" si="539"/>
        <v>0</v>
      </c>
      <c r="N151" s="477">
        <f t="shared" si="539"/>
        <v>0</v>
      </c>
      <c r="O151" s="477">
        <f t="shared" si="539"/>
        <v>0</v>
      </c>
      <c r="P151" s="477">
        <f t="shared" si="539"/>
        <v>1150934</v>
      </c>
      <c r="Q151" s="477">
        <f t="shared" si="539"/>
        <v>34051</v>
      </c>
      <c r="R151" s="477">
        <f t="shared" si="539"/>
        <v>24122</v>
      </c>
      <c r="S151" s="478">
        <f t="shared" si="539"/>
        <v>6.5996999999999995</v>
      </c>
      <c r="T151" s="478">
        <f t="shared" si="539"/>
        <v>5.0080999999999998</v>
      </c>
      <c r="U151" s="330">
        <f t="shared" si="539"/>
        <v>1.5916000000000001</v>
      </c>
      <c r="V151" s="483">
        <f t="shared" si="539"/>
        <v>-5120</v>
      </c>
      <c r="W151" s="477">
        <f t="shared" si="539"/>
        <v>-6400</v>
      </c>
      <c r="X151" s="477">
        <f t="shared" si="539"/>
        <v>0</v>
      </c>
      <c r="Y151" s="477">
        <f t="shared" si="539"/>
        <v>0</v>
      </c>
      <c r="Z151" s="477">
        <f t="shared" si="539"/>
        <v>0</v>
      </c>
      <c r="AA151" s="477">
        <f t="shared" si="539"/>
        <v>0</v>
      </c>
      <c r="AB151" s="477">
        <f t="shared" si="539"/>
        <v>0</v>
      </c>
      <c r="AC151" s="477">
        <f t="shared" si="539"/>
        <v>0</v>
      </c>
      <c r="AD151" s="477">
        <f t="shared" si="539"/>
        <v>0</v>
      </c>
      <c r="AE151" s="477">
        <f t="shared" si="539"/>
        <v>0</v>
      </c>
      <c r="AF151" s="477">
        <f t="shared" si="539"/>
        <v>-5120</v>
      </c>
      <c r="AG151" s="477">
        <f t="shared" si="539"/>
        <v>-6400</v>
      </c>
      <c r="AH151" s="477">
        <f t="shared" si="539"/>
        <v>-11520</v>
      </c>
      <c r="AI151" s="477">
        <f t="shared" si="539"/>
        <v>5120</v>
      </c>
      <c r="AJ151" s="477">
        <f t="shared" si="539"/>
        <v>6400</v>
      </c>
      <c r="AK151" s="477">
        <f t="shared" ref="AK151" si="540">SUM(AK145:AK150)</f>
        <v>0</v>
      </c>
      <c r="AL151" s="477">
        <f t="shared" si="539"/>
        <v>26480</v>
      </c>
      <c r="AM151" s="477">
        <f t="shared" si="539"/>
        <v>0</v>
      </c>
      <c r="AN151" s="477">
        <f t="shared" si="539"/>
        <v>0</v>
      </c>
      <c r="AO151" s="477">
        <f t="shared" si="539"/>
        <v>31600</v>
      </c>
      <c r="AP151" s="477">
        <f t="shared" si="539"/>
        <v>6400</v>
      </c>
      <c r="AQ151" s="477">
        <f t="shared" si="539"/>
        <v>38000</v>
      </c>
      <c r="AR151" s="477">
        <f t="shared" si="539"/>
        <v>26480</v>
      </c>
      <c r="AS151" s="477">
        <f t="shared" si="539"/>
        <v>0</v>
      </c>
      <c r="AT151" s="477">
        <f t="shared" si="539"/>
        <v>26480</v>
      </c>
      <c r="AU151" s="477">
        <f t="shared" si="539"/>
        <v>8950</v>
      </c>
      <c r="AV151" s="477">
        <f t="shared" si="539"/>
        <v>-115</v>
      </c>
      <c r="AW151" s="477">
        <f t="shared" si="539"/>
        <v>0</v>
      </c>
      <c r="AX151" s="477">
        <f t="shared" si="539"/>
        <v>0</v>
      </c>
      <c r="AY151" s="477">
        <f t="shared" si="539"/>
        <v>0</v>
      </c>
      <c r="AZ151" s="477">
        <f t="shared" si="539"/>
        <v>35315</v>
      </c>
      <c r="BA151" s="478">
        <f t="shared" si="539"/>
        <v>-0.01</v>
      </c>
      <c r="BB151" s="478">
        <f t="shared" si="539"/>
        <v>0</v>
      </c>
      <c r="BC151" s="478">
        <f t="shared" si="539"/>
        <v>0</v>
      </c>
      <c r="BD151" s="478">
        <f t="shared" si="539"/>
        <v>0</v>
      </c>
      <c r="BE151" s="478">
        <f t="shared" si="539"/>
        <v>0</v>
      </c>
      <c r="BF151" s="478">
        <f t="shared" si="539"/>
        <v>0</v>
      </c>
      <c r="BG151" s="478">
        <f t="shared" si="539"/>
        <v>0</v>
      </c>
      <c r="BH151" s="478">
        <f t="shared" si="539"/>
        <v>0</v>
      </c>
      <c r="BI151" s="478">
        <f t="shared" si="539"/>
        <v>0</v>
      </c>
      <c r="BJ151" s="478">
        <f t="shared" si="539"/>
        <v>0</v>
      </c>
      <c r="BK151" s="478">
        <f t="shared" si="539"/>
        <v>-0.01</v>
      </c>
      <c r="BL151" s="478">
        <f t="shared" si="539"/>
        <v>0</v>
      </c>
      <c r="BM151" s="559">
        <f t="shared" si="539"/>
        <v>-0.01</v>
      </c>
      <c r="BN151" s="481">
        <f t="shared" si="539"/>
        <v>4649552</v>
      </c>
      <c r="BO151" s="477">
        <f t="shared" si="539"/>
        <v>3393610</v>
      </c>
      <c r="BP151" s="477">
        <f t="shared" si="539"/>
        <v>2863558</v>
      </c>
      <c r="BQ151" s="477">
        <f t="shared" si="539"/>
        <v>530052</v>
      </c>
      <c r="BR151" s="477">
        <f t="shared" si="539"/>
        <v>38000</v>
      </c>
      <c r="BS151" s="477">
        <f t="shared" si="539"/>
        <v>31600</v>
      </c>
      <c r="BT151" s="477">
        <f t="shared" si="539"/>
        <v>6400</v>
      </c>
      <c r="BU151" s="477">
        <f t="shared" si="539"/>
        <v>1159884</v>
      </c>
      <c r="BV151" s="477">
        <f t="shared" ref="BV151:CF151" si="541">SUM(BV145:BV150)</f>
        <v>33936</v>
      </c>
      <c r="BW151" s="477">
        <f t="shared" si="541"/>
        <v>24122</v>
      </c>
      <c r="BX151" s="478">
        <f t="shared" si="541"/>
        <v>6.5896999999999997</v>
      </c>
      <c r="BY151" s="478">
        <f t="shared" si="541"/>
        <v>4.9981</v>
      </c>
      <c r="BZ151" s="559">
        <f t="shared" si="541"/>
        <v>1.5916000000000001</v>
      </c>
      <c r="CA151" s="885">
        <f t="shared" si="541"/>
        <v>0</v>
      </c>
      <c r="CB151" s="883">
        <f t="shared" si="541"/>
        <v>0</v>
      </c>
      <c r="CC151" s="883">
        <f t="shared" si="541"/>
        <v>0</v>
      </c>
      <c r="CD151" s="883">
        <f t="shared" si="541"/>
        <v>0</v>
      </c>
      <c r="CE151" s="883">
        <f t="shared" si="541"/>
        <v>0</v>
      </c>
      <c r="CF151" s="845">
        <f t="shared" si="541"/>
        <v>0</v>
      </c>
    </row>
    <row r="152" spans="1:84" ht="12.95" customHeight="1" x14ac:dyDescent="0.25">
      <c r="A152" s="282">
        <v>28</v>
      </c>
      <c r="B152" s="323">
        <v>5472</v>
      </c>
      <c r="C152" s="324">
        <v>600098672</v>
      </c>
      <c r="D152" s="283">
        <v>72743565</v>
      </c>
      <c r="E152" s="325" t="s">
        <v>406</v>
      </c>
      <c r="F152" s="283">
        <v>3111</v>
      </c>
      <c r="G152" s="325" t="s">
        <v>305</v>
      </c>
      <c r="H152" s="286" t="s">
        <v>271</v>
      </c>
      <c r="I152" s="423">
        <f t="shared" ref="I152:I154" si="542">J152+P152+Q152+R152</f>
        <v>3652153</v>
      </c>
      <c r="J152" s="418">
        <f t="shared" si="505"/>
        <v>2700003</v>
      </c>
      <c r="K152" s="418">
        <v>2464883</v>
      </c>
      <c r="L152" s="418">
        <v>235120</v>
      </c>
      <c r="M152" s="418">
        <f t="shared" ref="M152:M154" si="543">N152+O152</f>
        <v>0</v>
      </c>
      <c r="N152" s="418">
        <v>0</v>
      </c>
      <c r="O152" s="418">
        <v>0</v>
      </c>
      <c r="P152" s="68">
        <f t="shared" ref="P152:P154" si="544">ROUND((J152+M152)*33.8%,0)</f>
        <v>912601</v>
      </c>
      <c r="Q152" s="68">
        <f t="shared" ref="Q152:Q154" si="545">ROUND(J152*1%,0)</f>
        <v>27000</v>
      </c>
      <c r="R152" s="418">
        <v>12549</v>
      </c>
      <c r="S152" s="419">
        <f>T152+U152</f>
        <v>4.8001000000000005</v>
      </c>
      <c r="T152" s="420">
        <v>4</v>
      </c>
      <c r="U152" s="527">
        <v>0.80010000000000003</v>
      </c>
      <c r="V152" s="427">
        <f t="shared" ref="V152:W154" si="546">AI152*-1</f>
        <v>0</v>
      </c>
      <c r="W152" s="421">
        <f t="shared" si="546"/>
        <v>0</v>
      </c>
      <c r="X152" s="421">
        <v>0</v>
      </c>
      <c r="Y152" s="421">
        <v>0</v>
      </c>
      <c r="Z152" s="421">
        <v>0</v>
      </c>
      <c r="AA152" s="421">
        <v>0</v>
      </c>
      <c r="AB152" s="421">
        <v>0</v>
      </c>
      <c r="AC152" s="421">
        <v>0</v>
      </c>
      <c r="AD152" s="421">
        <v>0</v>
      </c>
      <c r="AE152" s="421">
        <v>0</v>
      </c>
      <c r="AF152" s="421">
        <f>V152+X152+Y152+AA152+AB152+AD152</f>
        <v>0</v>
      </c>
      <c r="AG152" s="421">
        <f>W152+Z152+AC152+AE152</f>
        <v>0</v>
      </c>
      <c r="AH152" s="421">
        <f>SUM(AF152:AG152)</f>
        <v>0</v>
      </c>
      <c r="AI152" s="421">
        <v>0</v>
      </c>
      <c r="AJ152" s="421">
        <v>0</v>
      </c>
      <c r="AK152" s="421">
        <v>0</v>
      </c>
      <c r="AL152" s="421">
        <v>0</v>
      </c>
      <c r="AM152" s="421">
        <v>0</v>
      </c>
      <c r="AN152" s="421">
        <v>0</v>
      </c>
      <c r="AO152" s="421">
        <f t="shared" ref="AO152:AO154" si="547">AI152+AK152+AL152+AM152</f>
        <v>0</v>
      </c>
      <c r="AP152" s="421">
        <f>AJ152+AN152</f>
        <v>0</v>
      </c>
      <c r="AQ152" s="421">
        <f>SUM(AO152:AP152)</f>
        <v>0</v>
      </c>
      <c r="AR152" s="421">
        <f t="shared" ref="AR152:AS154" si="548">AF152+AO152</f>
        <v>0</v>
      </c>
      <c r="AS152" s="421">
        <f t="shared" si="548"/>
        <v>0</v>
      </c>
      <c r="AT152" s="421">
        <f>SUM(AR152:AS152)</f>
        <v>0</v>
      </c>
      <c r="AU152" s="68">
        <f t="shared" ref="AU152:AU154" si="549">ROUND((AH152+AI152+AJ152+AK152+AL152)*33.8%,0)</f>
        <v>0</v>
      </c>
      <c r="AV152" s="68">
        <f>ROUND(AH152*1%,0)</f>
        <v>0</v>
      </c>
      <c r="AW152" s="421">
        <v>0</v>
      </c>
      <c r="AX152" s="421">
        <v>0</v>
      </c>
      <c r="AY152" s="421">
        <f>AW152+AX152</f>
        <v>0</v>
      </c>
      <c r="AZ152" s="421">
        <f>AT152+AU152+AV152+AY152</f>
        <v>0</v>
      </c>
      <c r="BA152" s="422">
        <v>0</v>
      </c>
      <c r="BB152" s="422">
        <v>0</v>
      </c>
      <c r="BC152" s="422">
        <v>0</v>
      </c>
      <c r="BD152" s="422">
        <v>0</v>
      </c>
      <c r="BE152" s="422">
        <v>0</v>
      </c>
      <c r="BF152" s="422">
        <v>0</v>
      </c>
      <c r="BG152" s="422">
        <v>0</v>
      </c>
      <c r="BH152" s="422">
        <v>0</v>
      </c>
      <c r="BI152" s="422">
        <v>0</v>
      </c>
      <c r="BJ152" s="422">
        <v>0</v>
      </c>
      <c r="BK152" s="422">
        <f>BA152+BC152+BD152+BF152+BH152+BI152</f>
        <v>0</v>
      </c>
      <c r="BL152" s="422">
        <f>BB152+BE152+BG152+BJ152</f>
        <v>0</v>
      </c>
      <c r="BM152" s="611">
        <f>SUM(BK152:BL152)</f>
        <v>0</v>
      </c>
      <c r="BN152" s="428">
        <f>I152+AZ152</f>
        <v>3652153</v>
      </c>
      <c r="BO152" s="421">
        <f>J152+AH152</f>
        <v>2700003</v>
      </c>
      <c r="BP152" s="421">
        <f t="shared" ref="BP152:BQ154" si="550">K152+AF152</f>
        <v>2464883</v>
      </c>
      <c r="BQ152" s="421">
        <f t="shared" si="550"/>
        <v>235120</v>
      </c>
      <c r="BR152" s="421">
        <f>M152+AQ152</f>
        <v>0</v>
      </c>
      <c r="BS152" s="421">
        <f t="shared" ref="BS152:BT154" si="551">N152+AO152</f>
        <v>0</v>
      </c>
      <c r="BT152" s="421">
        <f t="shared" si="551"/>
        <v>0</v>
      </c>
      <c r="BU152" s="421">
        <f t="shared" ref="BU152:BV154" si="552">P152+AU152</f>
        <v>912601</v>
      </c>
      <c r="BV152" s="421">
        <f t="shared" si="552"/>
        <v>27000</v>
      </c>
      <c r="BW152" s="421">
        <f>R152+AY152</f>
        <v>12549</v>
      </c>
      <c r="BX152" s="422">
        <f>S152+BM152</f>
        <v>4.8001000000000005</v>
      </c>
      <c r="BY152" s="422">
        <f t="shared" ref="BY152:BZ154" si="553">T152+BK152</f>
        <v>4</v>
      </c>
      <c r="BZ152" s="611">
        <f t="shared" si="553"/>
        <v>0.80010000000000003</v>
      </c>
      <c r="CA152" s="875"/>
      <c r="CB152" s="872"/>
      <c r="CC152" s="872"/>
      <c r="CD152" s="872"/>
      <c r="CE152" s="872"/>
      <c r="CF152" s="876"/>
    </row>
    <row r="153" spans="1:84" ht="12.95" customHeight="1" x14ac:dyDescent="0.25">
      <c r="A153" s="282">
        <v>28</v>
      </c>
      <c r="B153" s="323">
        <v>5472</v>
      </c>
      <c r="C153" s="324">
        <v>600098672</v>
      </c>
      <c r="D153" s="283">
        <v>72743565</v>
      </c>
      <c r="E153" s="325" t="s">
        <v>406</v>
      </c>
      <c r="F153" s="283">
        <v>3111</v>
      </c>
      <c r="G153" s="325" t="s">
        <v>299</v>
      </c>
      <c r="H153" s="286" t="s">
        <v>272</v>
      </c>
      <c r="I153" s="423">
        <f t="shared" si="542"/>
        <v>0</v>
      </c>
      <c r="J153" s="418">
        <f t="shared" si="505"/>
        <v>0</v>
      </c>
      <c r="K153" s="418">
        <v>0</v>
      </c>
      <c r="L153" s="418">
        <v>0</v>
      </c>
      <c r="M153" s="418">
        <f>N153+O153</f>
        <v>0</v>
      </c>
      <c r="N153" s="418">
        <v>0</v>
      </c>
      <c r="O153" s="418">
        <v>0</v>
      </c>
      <c r="P153" s="68">
        <f t="shared" si="544"/>
        <v>0</v>
      </c>
      <c r="Q153" s="68">
        <f t="shared" si="545"/>
        <v>0</v>
      </c>
      <c r="R153" s="418">
        <v>0</v>
      </c>
      <c r="S153" s="419">
        <f>T153+U153</f>
        <v>0</v>
      </c>
      <c r="T153" s="420">
        <v>0</v>
      </c>
      <c r="U153" s="527">
        <v>0</v>
      </c>
      <c r="V153" s="427">
        <f t="shared" si="546"/>
        <v>0</v>
      </c>
      <c r="W153" s="421">
        <f t="shared" si="546"/>
        <v>0</v>
      </c>
      <c r="X153" s="421">
        <v>236905</v>
      </c>
      <c r="Y153" s="421">
        <v>0</v>
      </c>
      <c r="Z153" s="421">
        <v>0</v>
      </c>
      <c r="AA153" s="421">
        <v>0</v>
      </c>
      <c r="AB153" s="421">
        <v>0</v>
      </c>
      <c r="AC153" s="421">
        <v>0</v>
      </c>
      <c r="AD153" s="421">
        <v>0</v>
      </c>
      <c r="AE153" s="421">
        <v>0</v>
      </c>
      <c r="AF153" s="421">
        <f>V153+X153+Y153+AA153+AB153+AD153</f>
        <v>236905</v>
      </c>
      <c r="AG153" s="421">
        <f>W153+Z153+AC153+AE153</f>
        <v>0</v>
      </c>
      <c r="AH153" s="421">
        <f>SUM(AF153:AG153)</f>
        <v>236905</v>
      </c>
      <c r="AI153" s="421">
        <v>0</v>
      </c>
      <c r="AJ153" s="421">
        <v>0</v>
      </c>
      <c r="AK153" s="421">
        <v>0</v>
      </c>
      <c r="AL153" s="421">
        <v>0</v>
      </c>
      <c r="AM153" s="421">
        <v>0</v>
      </c>
      <c r="AN153" s="421">
        <v>0</v>
      </c>
      <c r="AO153" s="421">
        <f t="shared" si="547"/>
        <v>0</v>
      </c>
      <c r="AP153" s="421">
        <f>AJ153+AN153</f>
        <v>0</v>
      </c>
      <c r="AQ153" s="421">
        <f>SUM(AO153:AP153)</f>
        <v>0</v>
      </c>
      <c r="AR153" s="421">
        <f t="shared" si="548"/>
        <v>236905</v>
      </c>
      <c r="AS153" s="421">
        <f t="shared" si="548"/>
        <v>0</v>
      </c>
      <c r="AT153" s="421">
        <f>SUM(AR153:AS153)</f>
        <v>236905</v>
      </c>
      <c r="AU153" s="68">
        <f t="shared" si="549"/>
        <v>80074</v>
      </c>
      <c r="AV153" s="68">
        <f>ROUND(AH153*1%,0)</f>
        <v>2369</v>
      </c>
      <c r="AW153" s="421">
        <v>0</v>
      </c>
      <c r="AX153" s="421">
        <v>0</v>
      </c>
      <c r="AY153" s="421">
        <f>AW153+AX153</f>
        <v>0</v>
      </c>
      <c r="AZ153" s="421">
        <f>AT153+AU153+AV153+AY153</f>
        <v>319348</v>
      </c>
      <c r="BA153" s="422">
        <v>0</v>
      </c>
      <c r="BB153" s="422">
        <v>0</v>
      </c>
      <c r="BC153" s="422">
        <v>0.64</v>
      </c>
      <c r="BD153" s="422">
        <v>0</v>
      </c>
      <c r="BE153" s="422">
        <v>0</v>
      </c>
      <c r="BF153" s="422">
        <v>0</v>
      </c>
      <c r="BG153" s="422">
        <v>0</v>
      </c>
      <c r="BH153" s="422">
        <v>0</v>
      </c>
      <c r="BI153" s="422">
        <v>0</v>
      </c>
      <c r="BJ153" s="422">
        <v>0</v>
      </c>
      <c r="BK153" s="422">
        <f>BA153+BC153+BD153+BF153+BH153+BI153</f>
        <v>0.64</v>
      </c>
      <c r="BL153" s="422">
        <f>BB153+BE153+BG153+BJ153</f>
        <v>0</v>
      </c>
      <c r="BM153" s="611">
        <f>SUM(BK153:BL153)</f>
        <v>0.64</v>
      </c>
      <c r="BN153" s="428">
        <f>I153+AZ153</f>
        <v>319348</v>
      </c>
      <c r="BO153" s="421">
        <f>J153+AH153</f>
        <v>236905</v>
      </c>
      <c r="BP153" s="421">
        <f t="shared" si="550"/>
        <v>236905</v>
      </c>
      <c r="BQ153" s="421">
        <f t="shared" si="550"/>
        <v>0</v>
      </c>
      <c r="BR153" s="421">
        <f>M153+AQ153</f>
        <v>0</v>
      </c>
      <c r="BS153" s="421">
        <f t="shared" si="551"/>
        <v>0</v>
      </c>
      <c r="BT153" s="421">
        <f t="shared" si="551"/>
        <v>0</v>
      </c>
      <c r="BU153" s="421">
        <f t="shared" si="552"/>
        <v>80074</v>
      </c>
      <c r="BV153" s="421">
        <f t="shared" si="552"/>
        <v>2369</v>
      </c>
      <c r="BW153" s="421">
        <f>R153+AY153</f>
        <v>0</v>
      </c>
      <c r="BX153" s="422">
        <f>S153+BM153</f>
        <v>0.64</v>
      </c>
      <c r="BY153" s="422">
        <f t="shared" si="553"/>
        <v>0.64</v>
      </c>
      <c r="BZ153" s="611">
        <f t="shared" si="553"/>
        <v>0</v>
      </c>
      <c r="CA153" s="875"/>
      <c r="CB153" s="872"/>
      <c r="CC153" s="872"/>
      <c r="CD153" s="872"/>
      <c r="CE153" s="872"/>
      <c r="CF153" s="876"/>
    </row>
    <row r="154" spans="1:84" ht="12.95" customHeight="1" x14ac:dyDescent="0.25">
      <c r="A154" s="282">
        <v>28</v>
      </c>
      <c r="B154" s="323">
        <v>5472</v>
      </c>
      <c r="C154" s="324">
        <v>600098672</v>
      </c>
      <c r="D154" s="283">
        <v>72743565</v>
      </c>
      <c r="E154" s="325" t="s">
        <v>406</v>
      </c>
      <c r="F154" s="283">
        <v>3141</v>
      </c>
      <c r="G154" s="325" t="s">
        <v>295</v>
      </c>
      <c r="H154" s="286" t="s">
        <v>272</v>
      </c>
      <c r="I154" s="423">
        <f t="shared" si="542"/>
        <v>445197</v>
      </c>
      <c r="J154" s="418">
        <f t="shared" si="505"/>
        <v>329045</v>
      </c>
      <c r="K154" s="418">
        <v>0</v>
      </c>
      <c r="L154" s="418">
        <v>329045</v>
      </c>
      <c r="M154" s="418">
        <f t="shared" si="543"/>
        <v>0</v>
      </c>
      <c r="N154" s="418">
        <v>0</v>
      </c>
      <c r="O154" s="418">
        <v>0</v>
      </c>
      <c r="P154" s="68">
        <f t="shared" si="544"/>
        <v>111217</v>
      </c>
      <c r="Q154" s="68">
        <f t="shared" si="545"/>
        <v>3290</v>
      </c>
      <c r="R154" s="418">
        <v>1645</v>
      </c>
      <c r="S154" s="419">
        <f>T154+U154</f>
        <v>0.98670000000000002</v>
      </c>
      <c r="T154" s="420">
        <v>0</v>
      </c>
      <c r="U154" s="527">
        <v>0.98670000000000002</v>
      </c>
      <c r="V154" s="427">
        <f t="shared" si="546"/>
        <v>0</v>
      </c>
      <c r="W154" s="421">
        <f t="shared" si="546"/>
        <v>0</v>
      </c>
      <c r="X154" s="421">
        <v>0</v>
      </c>
      <c r="Y154" s="421">
        <v>0</v>
      </c>
      <c r="Z154" s="421">
        <v>0</v>
      </c>
      <c r="AA154" s="421">
        <v>0</v>
      </c>
      <c r="AB154" s="421">
        <v>0</v>
      </c>
      <c r="AC154" s="421">
        <v>0</v>
      </c>
      <c r="AD154" s="421">
        <v>0</v>
      </c>
      <c r="AE154" s="421">
        <v>0</v>
      </c>
      <c r="AF154" s="421">
        <f>V154+X154+Y154+AA154+AB154+AD154</f>
        <v>0</v>
      </c>
      <c r="AG154" s="421">
        <f>W154+Z154+AC154+AE154</f>
        <v>0</v>
      </c>
      <c r="AH154" s="421">
        <f>SUM(AF154:AG154)</f>
        <v>0</v>
      </c>
      <c r="AI154" s="421">
        <v>0</v>
      </c>
      <c r="AJ154" s="421">
        <v>0</v>
      </c>
      <c r="AK154" s="421">
        <v>0</v>
      </c>
      <c r="AL154" s="421">
        <v>0</v>
      </c>
      <c r="AM154" s="421">
        <v>0</v>
      </c>
      <c r="AN154" s="421">
        <v>0</v>
      </c>
      <c r="AO154" s="421">
        <f t="shared" si="547"/>
        <v>0</v>
      </c>
      <c r="AP154" s="421">
        <f>AJ154+AN154</f>
        <v>0</v>
      </c>
      <c r="AQ154" s="421">
        <f>SUM(AO154:AP154)</f>
        <v>0</v>
      </c>
      <c r="AR154" s="421">
        <f t="shared" si="548"/>
        <v>0</v>
      </c>
      <c r="AS154" s="421">
        <f t="shared" si="548"/>
        <v>0</v>
      </c>
      <c r="AT154" s="421">
        <f>SUM(AR154:AS154)</f>
        <v>0</v>
      </c>
      <c r="AU154" s="68">
        <f t="shared" si="549"/>
        <v>0</v>
      </c>
      <c r="AV154" s="68">
        <f>ROUND(AH154*1%,0)</f>
        <v>0</v>
      </c>
      <c r="AW154" s="421">
        <v>0</v>
      </c>
      <c r="AX154" s="421">
        <v>0</v>
      </c>
      <c r="AY154" s="421">
        <f>AW154+AX154</f>
        <v>0</v>
      </c>
      <c r="AZ154" s="421">
        <f>AT154+AU154+AV154+AY154</f>
        <v>0</v>
      </c>
      <c r="BA154" s="422">
        <v>0</v>
      </c>
      <c r="BB154" s="422">
        <v>0</v>
      </c>
      <c r="BC154" s="422">
        <v>0</v>
      </c>
      <c r="BD154" s="422">
        <v>0</v>
      </c>
      <c r="BE154" s="422">
        <v>0</v>
      </c>
      <c r="BF154" s="422">
        <v>0</v>
      </c>
      <c r="BG154" s="422">
        <v>0</v>
      </c>
      <c r="BH154" s="422">
        <v>0</v>
      </c>
      <c r="BI154" s="422">
        <v>0</v>
      </c>
      <c r="BJ154" s="422">
        <v>0</v>
      </c>
      <c r="BK154" s="422">
        <f>BA154+BC154+BD154+BF154+BH154+BI154</f>
        <v>0</v>
      </c>
      <c r="BL154" s="422">
        <f>BB154+BE154+BG154+BJ154</f>
        <v>0</v>
      </c>
      <c r="BM154" s="611">
        <f>SUM(BK154:BL154)</f>
        <v>0</v>
      </c>
      <c r="BN154" s="428">
        <f>I154+AZ154</f>
        <v>445197</v>
      </c>
      <c r="BO154" s="421">
        <f>J154+AH154</f>
        <v>329045</v>
      </c>
      <c r="BP154" s="421">
        <f t="shared" si="550"/>
        <v>0</v>
      </c>
      <c r="BQ154" s="421">
        <f t="shared" si="550"/>
        <v>329045</v>
      </c>
      <c r="BR154" s="421">
        <f>M154+AQ154</f>
        <v>0</v>
      </c>
      <c r="BS154" s="421">
        <f t="shared" si="551"/>
        <v>0</v>
      </c>
      <c r="BT154" s="421">
        <f t="shared" si="551"/>
        <v>0</v>
      </c>
      <c r="BU154" s="421">
        <f t="shared" si="552"/>
        <v>111217</v>
      </c>
      <c r="BV154" s="421">
        <f t="shared" si="552"/>
        <v>3290</v>
      </c>
      <c r="BW154" s="421">
        <f>R154+AY154</f>
        <v>1645</v>
      </c>
      <c r="BX154" s="422">
        <f>S154+BM154</f>
        <v>0.98670000000000002</v>
      </c>
      <c r="BY154" s="422">
        <f t="shared" si="553"/>
        <v>0</v>
      </c>
      <c r="BZ154" s="611">
        <f t="shared" si="553"/>
        <v>0.98670000000000002</v>
      </c>
      <c r="CA154" s="875"/>
      <c r="CB154" s="872"/>
      <c r="CC154" s="872"/>
      <c r="CD154" s="872"/>
      <c r="CE154" s="872"/>
      <c r="CF154" s="876"/>
    </row>
    <row r="155" spans="1:84" ht="12.95" customHeight="1" x14ac:dyDescent="0.25">
      <c r="A155" s="326">
        <v>28</v>
      </c>
      <c r="B155" s="327">
        <v>5472</v>
      </c>
      <c r="C155" s="328">
        <v>600098672</v>
      </c>
      <c r="D155" s="327">
        <v>72743565</v>
      </c>
      <c r="E155" s="329" t="s">
        <v>407</v>
      </c>
      <c r="F155" s="293"/>
      <c r="G155" s="331"/>
      <c r="H155" s="294"/>
      <c r="I155" s="473">
        <f t="shared" ref="I155:BU155" si="554">SUM(I152:I154)</f>
        <v>4097350</v>
      </c>
      <c r="J155" s="470">
        <f t="shared" si="554"/>
        <v>3029048</v>
      </c>
      <c r="K155" s="470">
        <f t="shared" si="554"/>
        <v>2464883</v>
      </c>
      <c r="L155" s="470">
        <f t="shared" si="554"/>
        <v>564165</v>
      </c>
      <c r="M155" s="470">
        <f t="shared" si="554"/>
        <v>0</v>
      </c>
      <c r="N155" s="470">
        <f t="shared" si="554"/>
        <v>0</v>
      </c>
      <c r="O155" s="470">
        <f t="shared" si="554"/>
        <v>0</v>
      </c>
      <c r="P155" s="470">
        <f t="shared" si="554"/>
        <v>1023818</v>
      </c>
      <c r="Q155" s="470">
        <f t="shared" si="554"/>
        <v>30290</v>
      </c>
      <c r="R155" s="470">
        <f t="shared" si="554"/>
        <v>14194</v>
      </c>
      <c r="S155" s="471">
        <f t="shared" si="554"/>
        <v>5.7868000000000004</v>
      </c>
      <c r="T155" s="471">
        <f t="shared" si="554"/>
        <v>4</v>
      </c>
      <c r="U155" s="292">
        <f t="shared" si="554"/>
        <v>1.7867999999999999</v>
      </c>
      <c r="V155" s="475">
        <f t="shared" si="554"/>
        <v>0</v>
      </c>
      <c r="W155" s="470">
        <f t="shared" si="554"/>
        <v>0</v>
      </c>
      <c r="X155" s="470">
        <f t="shared" si="554"/>
        <v>236905</v>
      </c>
      <c r="Y155" s="470">
        <f t="shared" si="554"/>
        <v>0</v>
      </c>
      <c r="Z155" s="470">
        <f t="shared" si="554"/>
        <v>0</v>
      </c>
      <c r="AA155" s="470">
        <f t="shared" si="554"/>
        <v>0</v>
      </c>
      <c r="AB155" s="470">
        <f t="shared" si="554"/>
        <v>0</v>
      </c>
      <c r="AC155" s="470">
        <f t="shared" si="554"/>
        <v>0</v>
      </c>
      <c r="AD155" s="470">
        <f t="shared" si="554"/>
        <v>0</v>
      </c>
      <c r="AE155" s="470">
        <f t="shared" si="554"/>
        <v>0</v>
      </c>
      <c r="AF155" s="470">
        <f t="shared" si="554"/>
        <v>236905</v>
      </c>
      <c r="AG155" s="470">
        <f t="shared" si="554"/>
        <v>0</v>
      </c>
      <c r="AH155" s="470">
        <f t="shared" si="554"/>
        <v>236905</v>
      </c>
      <c r="AI155" s="470">
        <f t="shared" si="554"/>
        <v>0</v>
      </c>
      <c r="AJ155" s="470">
        <f t="shared" si="554"/>
        <v>0</v>
      </c>
      <c r="AK155" s="470">
        <f t="shared" ref="AK155" si="555">SUM(AK152:AK154)</f>
        <v>0</v>
      </c>
      <c r="AL155" s="470">
        <f t="shared" si="554"/>
        <v>0</v>
      </c>
      <c r="AM155" s="470">
        <f t="shared" si="554"/>
        <v>0</v>
      </c>
      <c r="AN155" s="470">
        <f t="shared" si="554"/>
        <v>0</v>
      </c>
      <c r="AO155" s="470">
        <f t="shared" si="554"/>
        <v>0</v>
      </c>
      <c r="AP155" s="470">
        <f t="shared" si="554"/>
        <v>0</v>
      </c>
      <c r="AQ155" s="470">
        <f t="shared" si="554"/>
        <v>0</v>
      </c>
      <c r="AR155" s="470">
        <f t="shared" si="554"/>
        <v>236905</v>
      </c>
      <c r="AS155" s="470">
        <f t="shared" si="554"/>
        <v>0</v>
      </c>
      <c r="AT155" s="470">
        <f t="shared" si="554"/>
        <v>236905</v>
      </c>
      <c r="AU155" s="470">
        <f t="shared" si="554"/>
        <v>80074</v>
      </c>
      <c r="AV155" s="470">
        <f t="shared" si="554"/>
        <v>2369</v>
      </c>
      <c r="AW155" s="470">
        <f t="shared" si="554"/>
        <v>0</v>
      </c>
      <c r="AX155" s="470">
        <f t="shared" si="554"/>
        <v>0</v>
      </c>
      <c r="AY155" s="470">
        <f t="shared" si="554"/>
        <v>0</v>
      </c>
      <c r="AZ155" s="470">
        <f t="shared" si="554"/>
        <v>319348</v>
      </c>
      <c r="BA155" s="471">
        <f t="shared" si="554"/>
        <v>0</v>
      </c>
      <c r="BB155" s="471">
        <f t="shared" si="554"/>
        <v>0</v>
      </c>
      <c r="BC155" s="471">
        <f t="shared" si="554"/>
        <v>0.64</v>
      </c>
      <c r="BD155" s="471">
        <f t="shared" si="554"/>
        <v>0</v>
      </c>
      <c r="BE155" s="471">
        <f t="shared" si="554"/>
        <v>0</v>
      </c>
      <c r="BF155" s="471">
        <f t="shared" si="554"/>
        <v>0</v>
      </c>
      <c r="BG155" s="471">
        <f t="shared" si="554"/>
        <v>0</v>
      </c>
      <c r="BH155" s="471">
        <f t="shared" si="554"/>
        <v>0</v>
      </c>
      <c r="BI155" s="471">
        <f t="shared" si="554"/>
        <v>0</v>
      </c>
      <c r="BJ155" s="471">
        <f t="shared" si="554"/>
        <v>0</v>
      </c>
      <c r="BK155" s="471">
        <f t="shared" si="554"/>
        <v>0.64</v>
      </c>
      <c r="BL155" s="471">
        <f t="shared" si="554"/>
        <v>0</v>
      </c>
      <c r="BM155" s="561">
        <f t="shared" si="554"/>
        <v>0.64</v>
      </c>
      <c r="BN155" s="473">
        <f t="shared" si="554"/>
        <v>4416698</v>
      </c>
      <c r="BO155" s="470">
        <f t="shared" si="554"/>
        <v>3265953</v>
      </c>
      <c r="BP155" s="470">
        <f t="shared" si="554"/>
        <v>2701788</v>
      </c>
      <c r="BQ155" s="470">
        <f t="shared" si="554"/>
        <v>564165</v>
      </c>
      <c r="BR155" s="470">
        <f t="shared" si="554"/>
        <v>0</v>
      </c>
      <c r="BS155" s="470">
        <f t="shared" si="554"/>
        <v>0</v>
      </c>
      <c r="BT155" s="470">
        <f t="shared" si="554"/>
        <v>0</v>
      </c>
      <c r="BU155" s="470">
        <f t="shared" si="554"/>
        <v>1103892</v>
      </c>
      <c r="BV155" s="470">
        <f t="shared" ref="BV155:CF155" si="556">SUM(BV152:BV154)</f>
        <v>32659</v>
      </c>
      <c r="BW155" s="470">
        <f t="shared" si="556"/>
        <v>14194</v>
      </c>
      <c r="BX155" s="471">
        <f t="shared" si="556"/>
        <v>6.4268000000000001</v>
      </c>
      <c r="BY155" s="471">
        <f t="shared" si="556"/>
        <v>4.6399999999999997</v>
      </c>
      <c r="BZ155" s="561">
        <f t="shared" si="556"/>
        <v>1.7867999999999999</v>
      </c>
      <c r="CA155" s="874">
        <f t="shared" si="556"/>
        <v>0</v>
      </c>
      <c r="CB155" s="871">
        <f t="shared" si="556"/>
        <v>0</v>
      </c>
      <c r="CC155" s="871">
        <f t="shared" si="556"/>
        <v>0</v>
      </c>
      <c r="CD155" s="871">
        <f t="shared" si="556"/>
        <v>0</v>
      </c>
      <c r="CE155" s="871">
        <f t="shared" si="556"/>
        <v>0</v>
      </c>
      <c r="CF155" s="847">
        <f t="shared" si="556"/>
        <v>0</v>
      </c>
    </row>
    <row r="156" spans="1:84" ht="12.95" customHeight="1" x14ac:dyDescent="0.25">
      <c r="A156" s="282">
        <v>29</v>
      </c>
      <c r="B156" s="323">
        <v>5471</v>
      </c>
      <c r="C156" s="324">
        <v>600099229</v>
      </c>
      <c r="D156" s="283">
        <v>72743646</v>
      </c>
      <c r="E156" s="325" t="s">
        <v>408</v>
      </c>
      <c r="F156" s="283">
        <v>3113</v>
      </c>
      <c r="G156" s="325" t="s">
        <v>309</v>
      </c>
      <c r="H156" s="286" t="s">
        <v>271</v>
      </c>
      <c r="I156" s="423">
        <f t="shared" ref="I156:I160" si="557">J156+P156+Q156+R156</f>
        <v>13196311</v>
      </c>
      <c r="J156" s="418">
        <f t="shared" si="505"/>
        <v>9669181</v>
      </c>
      <c r="K156" s="418">
        <v>8804003</v>
      </c>
      <c r="L156" s="418">
        <v>865178</v>
      </c>
      <c r="M156" s="418">
        <f t="shared" ref="M156:M160" si="558">N156+O156</f>
        <v>0</v>
      </c>
      <c r="N156" s="418">
        <v>0</v>
      </c>
      <c r="O156" s="418">
        <v>0</v>
      </c>
      <c r="P156" s="68">
        <f t="shared" ref="P156:P160" si="559">ROUND((J156+M156)*33.8%,0)</f>
        <v>3268183</v>
      </c>
      <c r="Q156" s="68">
        <f t="shared" ref="Q156:Q160" si="560">ROUND(J156*1%,0)</f>
        <v>96692</v>
      </c>
      <c r="R156" s="418">
        <v>162255</v>
      </c>
      <c r="S156" s="419">
        <f>T156+U156</f>
        <v>15.018699999999999</v>
      </c>
      <c r="T156" s="420">
        <v>12.5457</v>
      </c>
      <c r="U156" s="527">
        <v>2.4729999999999999</v>
      </c>
      <c r="V156" s="427">
        <f t="shared" ref="V156:W160" si="561">AI156*-1</f>
        <v>-6400</v>
      </c>
      <c r="W156" s="421">
        <f t="shared" si="561"/>
        <v>0</v>
      </c>
      <c r="X156" s="421">
        <v>0</v>
      </c>
      <c r="Y156" s="421">
        <v>0</v>
      </c>
      <c r="Z156" s="421">
        <v>0</v>
      </c>
      <c r="AA156" s="421">
        <v>0</v>
      </c>
      <c r="AB156" s="421">
        <v>0</v>
      </c>
      <c r="AC156" s="421">
        <v>0</v>
      </c>
      <c r="AD156" s="421">
        <v>0</v>
      </c>
      <c r="AE156" s="421">
        <v>0</v>
      </c>
      <c r="AF156" s="421">
        <f>V156+X156+Y156+AA156+AB156+AD156</f>
        <v>-6400</v>
      </c>
      <c r="AG156" s="421">
        <f>W156+Z156+AC156+AE156</f>
        <v>0</v>
      </c>
      <c r="AH156" s="421">
        <f>SUM(AF156:AG156)</f>
        <v>-6400</v>
      </c>
      <c r="AI156" s="421">
        <v>6400</v>
      </c>
      <c r="AJ156" s="421">
        <v>0</v>
      </c>
      <c r="AK156" s="421">
        <v>0</v>
      </c>
      <c r="AL156" s="421">
        <v>0</v>
      </c>
      <c r="AM156" s="421">
        <v>0</v>
      </c>
      <c r="AN156" s="421">
        <v>0</v>
      </c>
      <c r="AO156" s="421">
        <f t="shared" ref="AO156:AO160" si="562">AI156+AK156+AL156+AM156</f>
        <v>6400</v>
      </c>
      <c r="AP156" s="421">
        <f>AJ156+AN156</f>
        <v>0</v>
      </c>
      <c r="AQ156" s="421">
        <f>SUM(AO156:AP156)</f>
        <v>6400</v>
      </c>
      <c r="AR156" s="421">
        <f t="shared" ref="AR156:AS160" si="563">AF156+AO156</f>
        <v>0</v>
      </c>
      <c r="AS156" s="421">
        <f t="shared" si="563"/>
        <v>0</v>
      </c>
      <c r="AT156" s="421">
        <f>SUM(AR156:AS156)</f>
        <v>0</v>
      </c>
      <c r="AU156" s="68">
        <f t="shared" ref="AU156:AU160" si="564">ROUND((AH156+AI156+AJ156+AK156+AL156)*33.8%,0)</f>
        <v>0</v>
      </c>
      <c r="AV156" s="68">
        <f>ROUND(AH156*1%,0)</f>
        <v>-64</v>
      </c>
      <c r="AW156" s="421">
        <v>0</v>
      </c>
      <c r="AX156" s="421">
        <v>0</v>
      </c>
      <c r="AY156" s="421">
        <f>AW156+AX156</f>
        <v>0</v>
      </c>
      <c r="AZ156" s="421">
        <f>AT156+AU156+AV156+AY156</f>
        <v>-64</v>
      </c>
      <c r="BA156" s="422">
        <v>0</v>
      </c>
      <c r="BB156" s="422">
        <v>0</v>
      </c>
      <c r="BC156" s="422">
        <v>0</v>
      </c>
      <c r="BD156" s="422">
        <v>0</v>
      </c>
      <c r="BE156" s="422">
        <v>0</v>
      </c>
      <c r="BF156" s="422">
        <v>0</v>
      </c>
      <c r="BG156" s="422">
        <v>0</v>
      </c>
      <c r="BH156" s="422">
        <v>0</v>
      </c>
      <c r="BI156" s="422">
        <v>0</v>
      </c>
      <c r="BJ156" s="422">
        <v>0</v>
      </c>
      <c r="BK156" s="422">
        <f>BA156+BC156+BD156+BF156+BH156+BI156</f>
        <v>0</v>
      </c>
      <c r="BL156" s="422">
        <f>BB156+BE156+BG156+BJ156</f>
        <v>0</v>
      </c>
      <c r="BM156" s="611">
        <f>SUM(BK156:BL156)</f>
        <v>0</v>
      </c>
      <c r="BN156" s="428">
        <f>I156+AZ156</f>
        <v>13196247</v>
      </c>
      <c r="BO156" s="421">
        <f>J156+AH156</f>
        <v>9662781</v>
      </c>
      <c r="BP156" s="421">
        <f t="shared" ref="BP156:BQ160" si="565">K156+AF156</f>
        <v>8797603</v>
      </c>
      <c r="BQ156" s="421">
        <f t="shared" si="565"/>
        <v>865178</v>
      </c>
      <c r="BR156" s="421">
        <f>M156+AQ156</f>
        <v>6400</v>
      </c>
      <c r="BS156" s="421">
        <f t="shared" ref="BS156:BT160" si="566">N156+AO156</f>
        <v>6400</v>
      </c>
      <c r="BT156" s="421">
        <f t="shared" si="566"/>
        <v>0</v>
      </c>
      <c r="BU156" s="421">
        <f t="shared" ref="BU156:BV160" si="567">P156+AU156</f>
        <v>3268183</v>
      </c>
      <c r="BV156" s="421">
        <f t="shared" si="567"/>
        <v>96628</v>
      </c>
      <c r="BW156" s="421">
        <f>R156+AY156</f>
        <v>162255</v>
      </c>
      <c r="BX156" s="422">
        <f>S156+BM156</f>
        <v>15.018699999999999</v>
      </c>
      <c r="BY156" s="422">
        <f t="shared" ref="BY156:BZ160" si="568">T156+BK156</f>
        <v>12.5457</v>
      </c>
      <c r="BZ156" s="611">
        <f t="shared" si="568"/>
        <v>2.4729999999999999</v>
      </c>
      <c r="CA156" s="875"/>
      <c r="CB156" s="872"/>
      <c r="CC156" s="872"/>
      <c r="CD156" s="872"/>
      <c r="CE156" s="872"/>
      <c r="CF156" s="876"/>
    </row>
    <row r="157" spans="1:84" ht="12.95" customHeight="1" x14ac:dyDescent="0.25">
      <c r="A157" s="282">
        <v>29</v>
      </c>
      <c r="B157" s="323">
        <v>5471</v>
      </c>
      <c r="C157" s="324">
        <v>600099229</v>
      </c>
      <c r="D157" s="283">
        <v>72743646</v>
      </c>
      <c r="E157" s="325" t="s">
        <v>408</v>
      </c>
      <c r="F157" s="283">
        <v>3113</v>
      </c>
      <c r="G157" s="325" t="s">
        <v>299</v>
      </c>
      <c r="H157" s="286" t="s">
        <v>272</v>
      </c>
      <c r="I157" s="423">
        <f t="shared" si="557"/>
        <v>0</v>
      </c>
      <c r="J157" s="418">
        <f t="shared" si="505"/>
        <v>0</v>
      </c>
      <c r="K157" s="418">
        <v>0</v>
      </c>
      <c r="L157" s="418">
        <v>0</v>
      </c>
      <c r="M157" s="418">
        <f>N157+O157</f>
        <v>0</v>
      </c>
      <c r="N157" s="418">
        <v>0</v>
      </c>
      <c r="O157" s="418">
        <v>0</v>
      </c>
      <c r="P157" s="68">
        <f t="shared" si="559"/>
        <v>0</v>
      </c>
      <c r="Q157" s="68">
        <f t="shared" si="560"/>
        <v>0</v>
      </c>
      <c r="R157" s="418">
        <v>0</v>
      </c>
      <c r="S157" s="419">
        <f>T157+U157</f>
        <v>0</v>
      </c>
      <c r="T157" s="420">
        <v>0</v>
      </c>
      <c r="U157" s="527">
        <v>0</v>
      </c>
      <c r="V157" s="427">
        <f t="shared" si="561"/>
        <v>0</v>
      </c>
      <c r="W157" s="421">
        <f t="shared" si="561"/>
        <v>0</v>
      </c>
      <c r="X157" s="421">
        <v>776742</v>
      </c>
      <c r="Y157" s="421">
        <v>0</v>
      </c>
      <c r="Z157" s="421">
        <v>0</v>
      </c>
      <c r="AA157" s="421">
        <v>0</v>
      </c>
      <c r="AB157" s="421">
        <v>0</v>
      </c>
      <c r="AC157" s="421">
        <v>0</v>
      </c>
      <c r="AD157" s="421">
        <v>0</v>
      </c>
      <c r="AE157" s="421">
        <v>0</v>
      </c>
      <c r="AF157" s="421">
        <f>V157+X157+Y157+AA157+AB157+AD157</f>
        <v>776742</v>
      </c>
      <c r="AG157" s="421">
        <f>W157+Z157+AC157+AE157</f>
        <v>0</v>
      </c>
      <c r="AH157" s="421">
        <f>SUM(AF157:AG157)</f>
        <v>776742</v>
      </c>
      <c r="AI157" s="421">
        <v>0</v>
      </c>
      <c r="AJ157" s="421">
        <v>0</v>
      </c>
      <c r="AK157" s="421">
        <v>0</v>
      </c>
      <c r="AL157" s="421">
        <v>0</v>
      </c>
      <c r="AM157" s="421">
        <v>0</v>
      </c>
      <c r="AN157" s="421">
        <v>0</v>
      </c>
      <c r="AO157" s="421">
        <f t="shared" si="562"/>
        <v>0</v>
      </c>
      <c r="AP157" s="421">
        <f>AJ157+AN157</f>
        <v>0</v>
      </c>
      <c r="AQ157" s="421">
        <f>SUM(AO157:AP157)</f>
        <v>0</v>
      </c>
      <c r="AR157" s="421">
        <f t="shared" si="563"/>
        <v>776742</v>
      </c>
      <c r="AS157" s="421">
        <f t="shared" si="563"/>
        <v>0</v>
      </c>
      <c r="AT157" s="421">
        <f>SUM(AR157:AS157)</f>
        <v>776742</v>
      </c>
      <c r="AU157" s="68">
        <f t="shared" si="564"/>
        <v>262539</v>
      </c>
      <c r="AV157" s="68">
        <f>ROUND(AH157*1%,0)</f>
        <v>7767</v>
      </c>
      <c r="AW157" s="421">
        <v>1700</v>
      </c>
      <c r="AX157" s="421">
        <v>0</v>
      </c>
      <c r="AY157" s="421">
        <f>AW157+AX157</f>
        <v>1700</v>
      </c>
      <c r="AZ157" s="421">
        <f>AT157+AU157+AV157+AY157</f>
        <v>1048748</v>
      </c>
      <c r="BA157" s="422">
        <v>0</v>
      </c>
      <c r="BB157" s="422">
        <v>0</v>
      </c>
      <c r="BC157" s="422">
        <v>2.1800000000000002</v>
      </c>
      <c r="BD157" s="422">
        <v>0</v>
      </c>
      <c r="BE157" s="422">
        <v>0</v>
      </c>
      <c r="BF157" s="422">
        <v>0</v>
      </c>
      <c r="BG157" s="422">
        <v>0</v>
      </c>
      <c r="BH157" s="422">
        <v>0</v>
      </c>
      <c r="BI157" s="422">
        <v>0</v>
      </c>
      <c r="BJ157" s="422">
        <v>0</v>
      </c>
      <c r="BK157" s="422">
        <f>BA157+BC157+BD157+BF157+BH157+BI157</f>
        <v>2.1800000000000002</v>
      </c>
      <c r="BL157" s="422">
        <f>BB157+BE157+BG157+BJ157</f>
        <v>0</v>
      </c>
      <c r="BM157" s="611">
        <f>SUM(BK157:BL157)</f>
        <v>2.1800000000000002</v>
      </c>
      <c r="BN157" s="428">
        <f>I157+AZ157</f>
        <v>1048748</v>
      </c>
      <c r="BO157" s="421">
        <f>J157+AH157</f>
        <v>776742</v>
      </c>
      <c r="BP157" s="421">
        <f t="shared" si="565"/>
        <v>776742</v>
      </c>
      <c r="BQ157" s="421">
        <f t="shared" si="565"/>
        <v>0</v>
      </c>
      <c r="BR157" s="421">
        <f>M157+AQ157</f>
        <v>0</v>
      </c>
      <c r="BS157" s="421">
        <f t="shared" si="566"/>
        <v>0</v>
      </c>
      <c r="BT157" s="421">
        <f t="shared" si="566"/>
        <v>0</v>
      </c>
      <c r="BU157" s="421">
        <f t="shared" si="567"/>
        <v>262539</v>
      </c>
      <c r="BV157" s="421">
        <f t="shared" si="567"/>
        <v>7767</v>
      </c>
      <c r="BW157" s="421">
        <f>R157+AY157</f>
        <v>1700</v>
      </c>
      <c r="BX157" s="422">
        <f>S157+BM157</f>
        <v>2.1800000000000002</v>
      </c>
      <c r="BY157" s="422">
        <f t="shared" si="568"/>
        <v>2.1800000000000002</v>
      </c>
      <c r="BZ157" s="611">
        <f t="shared" si="568"/>
        <v>0</v>
      </c>
      <c r="CA157" s="875"/>
      <c r="CB157" s="872"/>
      <c r="CC157" s="872"/>
      <c r="CD157" s="872"/>
      <c r="CE157" s="872"/>
      <c r="CF157" s="876"/>
    </row>
    <row r="158" spans="1:84" ht="12.95" customHeight="1" x14ac:dyDescent="0.25">
      <c r="A158" s="282">
        <v>29</v>
      </c>
      <c r="B158" s="323">
        <v>5471</v>
      </c>
      <c r="C158" s="324">
        <v>600099229</v>
      </c>
      <c r="D158" s="283">
        <v>72743646</v>
      </c>
      <c r="E158" s="325" t="s">
        <v>408</v>
      </c>
      <c r="F158" s="283">
        <v>3141</v>
      </c>
      <c r="G158" s="325" t="s">
        <v>295</v>
      </c>
      <c r="H158" s="286" t="s">
        <v>272</v>
      </c>
      <c r="I158" s="423">
        <f t="shared" si="557"/>
        <v>874818</v>
      </c>
      <c r="J158" s="418">
        <f t="shared" si="505"/>
        <v>644717</v>
      </c>
      <c r="K158" s="418">
        <v>0</v>
      </c>
      <c r="L158" s="418">
        <v>644717</v>
      </c>
      <c r="M158" s="418">
        <f t="shared" si="558"/>
        <v>0</v>
      </c>
      <c r="N158" s="418">
        <v>0</v>
      </c>
      <c r="O158" s="418">
        <v>0</v>
      </c>
      <c r="P158" s="68">
        <f t="shared" si="559"/>
        <v>217914</v>
      </c>
      <c r="Q158" s="68">
        <f t="shared" si="560"/>
        <v>6447</v>
      </c>
      <c r="R158" s="418">
        <v>5740</v>
      </c>
      <c r="S158" s="419">
        <f>T158+U158</f>
        <v>1.9333</v>
      </c>
      <c r="T158" s="420">
        <v>0</v>
      </c>
      <c r="U158" s="527">
        <v>1.9333</v>
      </c>
      <c r="V158" s="427">
        <f t="shared" si="561"/>
        <v>0</v>
      </c>
      <c r="W158" s="421">
        <f t="shared" si="561"/>
        <v>-5120</v>
      </c>
      <c r="X158" s="421">
        <v>0</v>
      </c>
      <c r="Y158" s="421">
        <v>0</v>
      </c>
      <c r="Z158" s="421">
        <v>0</v>
      </c>
      <c r="AA158" s="421">
        <v>0</v>
      </c>
      <c r="AB158" s="421">
        <v>0</v>
      </c>
      <c r="AC158" s="421">
        <v>0</v>
      </c>
      <c r="AD158" s="421">
        <v>0</v>
      </c>
      <c r="AE158" s="421">
        <v>0</v>
      </c>
      <c r="AF158" s="421">
        <f>V158+X158+Y158+AA158+AB158+AD158</f>
        <v>0</v>
      </c>
      <c r="AG158" s="421">
        <f>W158+Z158+AC158+AE158</f>
        <v>-5120</v>
      </c>
      <c r="AH158" s="421">
        <f>SUM(AF158:AG158)</f>
        <v>-5120</v>
      </c>
      <c r="AI158" s="421">
        <v>0</v>
      </c>
      <c r="AJ158" s="421">
        <v>5120</v>
      </c>
      <c r="AK158" s="421">
        <v>0</v>
      </c>
      <c r="AL158" s="421">
        <v>0</v>
      </c>
      <c r="AM158" s="421">
        <v>0</v>
      </c>
      <c r="AN158" s="421">
        <v>0</v>
      </c>
      <c r="AO158" s="421">
        <f t="shared" si="562"/>
        <v>0</v>
      </c>
      <c r="AP158" s="421">
        <f>AJ158+AN158</f>
        <v>5120</v>
      </c>
      <c r="AQ158" s="421">
        <f>SUM(AO158:AP158)</f>
        <v>5120</v>
      </c>
      <c r="AR158" s="421">
        <f t="shared" si="563"/>
        <v>0</v>
      </c>
      <c r="AS158" s="421">
        <f t="shared" si="563"/>
        <v>0</v>
      </c>
      <c r="AT158" s="421">
        <f>SUM(AR158:AS158)</f>
        <v>0</v>
      </c>
      <c r="AU158" s="68">
        <f t="shared" si="564"/>
        <v>0</v>
      </c>
      <c r="AV158" s="68">
        <f>ROUND(AH158*1%,0)</f>
        <v>-51</v>
      </c>
      <c r="AW158" s="421">
        <v>0</v>
      </c>
      <c r="AX158" s="421">
        <v>0</v>
      </c>
      <c r="AY158" s="421">
        <f>AW158+AX158</f>
        <v>0</v>
      </c>
      <c r="AZ158" s="421">
        <f>AT158+AU158+AV158+AY158</f>
        <v>-51</v>
      </c>
      <c r="BA158" s="422">
        <v>0</v>
      </c>
      <c r="BB158" s="422">
        <v>0</v>
      </c>
      <c r="BC158" s="422">
        <v>0</v>
      </c>
      <c r="BD158" s="422">
        <v>0</v>
      </c>
      <c r="BE158" s="422">
        <v>0</v>
      </c>
      <c r="BF158" s="422">
        <v>0</v>
      </c>
      <c r="BG158" s="422">
        <v>0</v>
      </c>
      <c r="BH158" s="422">
        <v>0</v>
      </c>
      <c r="BI158" s="422">
        <v>0</v>
      </c>
      <c r="BJ158" s="422">
        <v>0</v>
      </c>
      <c r="BK158" s="422">
        <f>BA158+BC158+BD158+BF158+BH158+BI158</f>
        <v>0</v>
      </c>
      <c r="BL158" s="422">
        <f>BB158+BE158+BG158+BJ158</f>
        <v>0</v>
      </c>
      <c r="BM158" s="611">
        <f>SUM(BK158:BL158)</f>
        <v>0</v>
      </c>
      <c r="BN158" s="428">
        <f>I158+AZ158</f>
        <v>874767</v>
      </c>
      <c r="BO158" s="421">
        <f>J158+AH158</f>
        <v>639597</v>
      </c>
      <c r="BP158" s="421">
        <f t="shared" si="565"/>
        <v>0</v>
      </c>
      <c r="BQ158" s="421">
        <f t="shared" si="565"/>
        <v>639597</v>
      </c>
      <c r="BR158" s="421">
        <f>M158+AQ158</f>
        <v>5120</v>
      </c>
      <c r="BS158" s="421">
        <f t="shared" si="566"/>
        <v>0</v>
      </c>
      <c r="BT158" s="421">
        <f t="shared" si="566"/>
        <v>5120</v>
      </c>
      <c r="BU158" s="421">
        <f t="shared" si="567"/>
        <v>217914</v>
      </c>
      <c r="BV158" s="421">
        <f t="shared" si="567"/>
        <v>6396</v>
      </c>
      <c r="BW158" s="421">
        <f>R158+AY158</f>
        <v>5740</v>
      </c>
      <c r="BX158" s="422">
        <f>S158+BM158</f>
        <v>1.9333</v>
      </c>
      <c r="BY158" s="422">
        <f t="shared" si="568"/>
        <v>0</v>
      </c>
      <c r="BZ158" s="611">
        <f t="shared" si="568"/>
        <v>1.9333</v>
      </c>
      <c r="CA158" s="875"/>
      <c r="CB158" s="872"/>
      <c r="CC158" s="872"/>
      <c r="CD158" s="872"/>
      <c r="CE158" s="872"/>
      <c r="CF158" s="876"/>
    </row>
    <row r="159" spans="1:84" ht="12.95" customHeight="1" x14ac:dyDescent="0.25">
      <c r="A159" s="282">
        <v>29</v>
      </c>
      <c r="B159" s="323">
        <v>5471</v>
      </c>
      <c r="C159" s="324">
        <v>600099229</v>
      </c>
      <c r="D159" s="283">
        <v>72743646</v>
      </c>
      <c r="E159" s="325" t="s">
        <v>408</v>
      </c>
      <c r="F159" s="283">
        <v>3143</v>
      </c>
      <c r="G159" s="325" t="s">
        <v>596</v>
      </c>
      <c r="H159" s="286" t="s">
        <v>271</v>
      </c>
      <c r="I159" s="423">
        <f t="shared" si="557"/>
        <v>832371</v>
      </c>
      <c r="J159" s="418">
        <f t="shared" si="505"/>
        <v>617486</v>
      </c>
      <c r="K159" s="418">
        <v>617486</v>
      </c>
      <c r="L159" s="418">
        <v>0</v>
      </c>
      <c r="M159" s="418">
        <f t="shared" si="558"/>
        <v>0</v>
      </c>
      <c r="N159" s="418">
        <v>0</v>
      </c>
      <c r="O159" s="418">
        <v>0</v>
      </c>
      <c r="P159" s="68">
        <f t="shared" si="559"/>
        <v>208710</v>
      </c>
      <c r="Q159" s="68">
        <f t="shared" si="560"/>
        <v>6175</v>
      </c>
      <c r="R159" s="418">
        <v>0</v>
      </c>
      <c r="S159" s="419">
        <f>T159+U159</f>
        <v>1.1834</v>
      </c>
      <c r="T159" s="420">
        <v>1.1834</v>
      </c>
      <c r="U159" s="527">
        <v>0</v>
      </c>
      <c r="V159" s="427">
        <f t="shared" si="561"/>
        <v>0</v>
      </c>
      <c r="W159" s="421">
        <f t="shared" si="561"/>
        <v>0</v>
      </c>
      <c r="X159" s="421">
        <v>0</v>
      </c>
      <c r="Y159" s="421">
        <v>0</v>
      </c>
      <c r="Z159" s="421">
        <v>0</v>
      </c>
      <c r="AA159" s="421">
        <v>0</v>
      </c>
      <c r="AB159" s="421">
        <v>0</v>
      </c>
      <c r="AC159" s="421">
        <v>0</v>
      </c>
      <c r="AD159" s="421">
        <v>0</v>
      </c>
      <c r="AE159" s="421">
        <v>0</v>
      </c>
      <c r="AF159" s="421">
        <f>V159+X159+Y159+AA159+AB159+AD159</f>
        <v>0</v>
      </c>
      <c r="AG159" s="421">
        <f>W159+Z159+AC159+AE159</f>
        <v>0</v>
      </c>
      <c r="AH159" s="421">
        <f>SUM(AF159:AG159)</f>
        <v>0</v>
      </c>
      <c r="AI159" s="421">
        <v>0</v>
      </c>
      <c r="AJ159" s="421">
        <v>0</v>
      </c>
      <c r="AK159" s="421">
        <v>0</v>
      </c>
      <c r="AL159" s="421">
        <v>0</v>
      </c>
      <c r="AM159" s="421">
        <v>0</v>
      </c>
      <c r="AN159" s="421">
        <v>0</v>
      </c>
      <c r="AO159" s="421">
        <f t="shared" si="562"/>
        <v>0</v>
      </c>
      <c r="AP159" s="421">
        <f>AJ159+AN159</f>
        <v>0</v>
      </c>
      <c r="AQ159" s="421">
        <f>SUM(AO159:AP159)</f>
        <v>0</v>
      </c>
      <c r="AR159" s="421">
        <f t="shared" si="563"/>
        <v>0</v>
      </c>
      <c r="AS159" s="421">
        <f t="shared" si="563"/>
        <v>0</v>
      </c>
      <c r="AT159" s="421">
        <f>SUM(AR159:AS159)</f>
        <v>0</v>
      </c>
      <c r="AU159" s="68">
        <f t="shared" si="564"/>
        <v>0</v>
      </c>
      <c r="AV159" s="68">
        <f>ROUND(AH159*1%,0)</f>
        <v>0</v>
      </c>
      <c r="AW159" s="421">
        <v>0</v>
      </c>
      <c r="AX159" s="421">
        <v>0</v>
      </c>
      <c r="AY159" s="421">
        <f>AW159+AX159</f>
        <v>0</v>
      </c>
      <c r="AZ159" s="421">
        <f>AT159+AU159+AV159+AY159</f>
        <v>0</v>
      </c>
      <c r="BA159" s="422">
        <v>0</v>
      </c>
      <c r="BB159" s="422">
        <v>0</v>
      </c>
      <c r="BC159" s="422">
        <v>0</v>
      </c>
      <c r="BD159" s="422">
        <v>0</v>
      </c>
      <c r="BE159" s="422">
        <v>0</v>
      </c>
      <c r="BF159" s="422">
        <v>0</v>
      </c>
      <c r="BG159" s="422">
        <v>0</v>
      </c>
      <c r="BH159" s="422">
        <v>0</v>
      </c>
      <c r="BI159" s="422">
        <v>0</v>
      </c>
      <c r="BJ159" s="422">
        <v>0</v>
      </c>
      <c r="BK159" s="422">
        <f>BA159+BC159+BD159+BF159+BH159+BI159</f>
        <v>0</v>
      </c>
      <c r="BL159" s="422">
        <f>BB159+BE159+BG159+BJ159</f>
        <v>0</v>
      </c>
      <c r="BM159" s="611">
        <f>SUM(BK159:BL159)</f>
        <v>0</v>
      </c>
      <c r="BN159" s="428">
        <f>I159+AZ159</f>
        <v>832371</v>
      </c>
      <c r="BO159" s="421">
        <f>J159+AH159</f>
        <v>617486</v>
      </c>
      <c r="BP159" s="421">
        <f t="shared" si="565"/>
        <v>617486</v>
      </c>
      <c r="BQ159" s="421">
        <f t="shared" si="565"/>
        <v>0</v>
      </c>
      <c r="BR159" s="421">
        <f>M159+AQ159</f>
        <v>0</v>
      </c>
      <c r="BS159" s="421">
        <f t="shared" si="566"/>
        <v>0</v>
      </c>
      <c r="BT159" s="421">
        <f t="shared" si="566"/>
        <v>0</v>
      </c>
      <c r="BU159" s="421">
        <f t="shared" si="567"/>
        <v>208710</v>
      </c>
      <c r="BV159" s="421">
        <f t="shared" si="567"/>
        <v>6175</v>
      </c>
      <c r="BW159" s="421">
        <f>R159+AY159</f>
        <v>0</v>
      </c>
      <c r="BX159" s="422">
        <f>S159+BM159</f>
        <v>1.1834</v>
      </c>
      <c r="BY159" s="422">
        <f t="shared" si="568"/>
        <v>1.1834</v>
      </c>
      <c r="BZ159" s="611">
        <f t="shared" si="568"/>
        <v>0</v>
      </c>
      <c r="CA159" s="875"/>
      <c r="CB159" s="872"/>
      <c r="CC159" s="872"/>
      <c r="CD159" s="872"/>
      <c r="CE159" s="872"/>
      <c r="CF159" s="876"/>
    </row>
    <row r="160" spans="1:84" ht="12.95" customHeight="1" x14ac:dyDescent="0.25">
      <c r="A160" s="282">
        <v>29</v>
      </c>
      <c r="B160" s="323">
        <v>5471</v>
      </c>
      <c r="C160" s="324">
        <v>600099229</v>
      </c>
      <c r="D160" s="283">
        <v>72743646</v>
      </c>
      <c r="E160" s="325" t="s">
        <v>408</v>
      </c>
      <c r="F160" s="283">
        <v>3143</v>
      </c>
      <c r="G160" s="325" t="s">
        <v>597</v>
      </c>
      <c r="H160" s="286" t="s">
        <v>272</v>
      </c>
      <c r="I160" s="423">
        <f t="shared" si="557"/>
        <v>23052</v>
      </c>
      <c r="J160" s="418">
        <f t="shared" si="505"/>
        <v>16500</v>
      </c>
      <c r="K160" s="418">
        <v>0</v>
      </c>
      <c r="L160" s="418">
        <v>16500</v>
      </c>
      <c r="M160" s="418">
        <f t="shared" si="558"/>
        <v>0</v>
      </c>
      <c r="N160" s="418">
        <v>0</v>
      </c>
      <c r="O160" s="418">
        <v>0</v>
      </c>
      <c r="P160" s="68">
        <f t="shared" si="559"/>
        <v>5577</v>
      </c>
      <c r="Q160" s="68">
        <f t="shared" si="560"/>
        <v>165</v>
      </c>
      <c r="R160" s="418">
        <v>810</v>
      </c>
      <c r="S160" s="419">
        <f>T160+U160</f>
        <v>6.25E-2</v>
      </c>
      <c r="T160" s="420">
        <v>0</v>
      </c>
      <c r="U160" s="527">
        <v>6.25E-2</v>
      </c>
      <c r="V160" s="427">
        <f t="shared" si="561"/>
        <v>0</v>
      </c>
      <c r="W160" s="421">
        <f t="shared" si="561"/>
        <v>0</v>
      </c>
      <c r="X160" s="421">
        <v>0</v>
      </c>
      <c r="Y160" s="421">
        <v>0</v>
      </c>
      <c r="Z160" s="421">
        <v>0</v>
      </c>
      <c r="AA160" s="421">
        <v>0</v>
      </c>
      <c r="AB160" s="421">
        <v>0</v>
      </c>
      <c r="AC160" s="421">
        <v>0</v>
      </c>
      <c r="AD160" s="421">
        <v>0</v>
      </c>
      <c r="AE160" s="421">
        <v>0</v>
      </c>
      <c r="AF160" s="421">
        <f>V160+X160+Y160+AA160+AB160+AD160</f>
        <v>0</v>
      </c>
      <c r="AG160" s="421">
        <f>W160+Z160+AC160+AE160</f>
        <v>0</v>
      </c>
      <c r="AH160" s="421">
        <f>SUM(AF160:AG160)</f>
        <v>0</v>
      </c>
      <c r="AI160" s="421">
        <v>0</v>
      </c>
      <c r="AJ160" s="421">
        <v>0</v>
      </c>
      <c r="AK160" s="421">
        <v>0</v>
      </c>
      <c r="AL160" s="421">
        <v>0</v>
      </c>
      <c r="AM160" s="421">
        <v>0</v>
      </c>
      <c r="AN160" s="421">
        <v>0</v>
      </c>
      <c r="AO160" s="421">
        <f t="shared" si="562"/>
        <v>0</v>
      </c>
      <c r="AP160" s="421">
        <f>AJ160+AN160</f>
        <v>0</v>
      </c>
      <c r="AQ160" s="421">
        <f>SUM(AO160:AP160)</f>
        <v>0</v>
      </c>
      <c r="AR160" s="421">
        <f t="shared" si="563"/>
        <v>0</v>
      </c>
      <c r="AS160" s="421">
        <f t="shared" si="563"/>
        <v>0</v>
      </c>
      <c r="AT160" s="421">
        <f>SUM(AR160:AS160)</f>
        <v>0</v>
      </c>
      <c r="AU160" s="68">
        <f t="shared" si="564"/>
        <v>0</v>
      </c>
      <c r="AV160" s="68">
        <f>ROUND(AH160*1%,0)</f>
        <v>0</v>
      </c>
      <c r="AW160" s="421">
        <v>0</v>
      </c>
      <c r="AX160" s="421">
        <v>0</v>
      </c>
      <c r="AY160" s="421">
        <f>AW160+AX160</f>
        <v>0</v>
      </c>
      <c r="AZ160" s="421">
        <f>AT160+AU160+AV160+AY160</f>
        <v>0</v>
      </c>
      <c r="BA160" s="422">
        <v>0</v>
      </c>
      <c r="BB160" s="422">
        <v>0</v>
      </c>
      <c r="BC160" s="422">
        <v>0</v>
      </c>
      <c r="BD160" s="422">
        <v>0</v>
      </c>
      <c r="BE160" s="422">
        <v>0</v>
      </c>
      <c r="BF160" s="422">
        <v>0</v>
      </c>
      <c r="BG160" s="422">
        <v>0</v>
      </c>
      <c r="BH160" s="422">
        <v>0</v>
      </c>
      <c r="BI160" s="422">
        <v>0</v>
      </c>
      <c r="BJ160" s="422">
        <v>0</v>
      </c>
      <c r="BK160" s="422">
        <f>BA160+BC160+BD160+BF160+BH160+BI160</f>
        <v>0</v>
      </c>
      <c r="BL160" s="422">
        <f>BB160+BE160+BG160+BJ160</f>
        <v>0</v>
      </c>
      <c r="BM160" s="611">
        <f>SUM(BK160:BL160)</f>
        <v>0</v>
      </c>
      <c r="BN160" s="428">
        <f>I160+AZ160</f>
        <v>23052</v>
      </c>
      <c r="BO160" s="421">
        <f>J160+AH160</f>
        <v>16500</v>
      </c>
      <c r="BP160" s="421">
        <f t="shared" si="565"/>
        <v>0</v>
      </c>
      <c r="BQ160" s="421">
        <f t="shared" si="565"/>
        <v>16500</v>
      </c>
      <c r="BR160" s="421">
        <f>M160+AQ160</f>
        <v>0</v>
      </c>
      <c r="BS160" s="421">
        <f t="shared" si="566"/>
        <v>0</v>
      </c>
      <c r="BT160" s="421">
        <f t="shared" si="566"/>
        <v>0</v>
      </c>
      <c r="BU160" s="421">
        <f t="shared" si="567"/>
        <v>5577</v>
      </c>
      <c r="BV160" s="421">
        <f t="shared" si="567"/>
        <v>165</v>
      </c>
      <c r="BW160" s="421">
        <f>R160+AY160</f>
        <v>810</v>
      </c>
      <c r="BX160" s="422">
        <f>S160+BM160</f>
        <v>6.25E-2</v>
      </c>
      <c r="BY160" s="422">
        <f t="shared" si="568"/>
        <v>0</v>
      </c>
      <c r="BZ160" s="611">
        <f t="shared" si="568"/>
        <v>6.25E-2</v>
      </c>
      <c r="CA160" s="875"/>
      <c r="CB160" s="872"/>
      <c r="CC160" s="872"/>
      <c r="CD160" s="872"/>
      <c r="CE160" s="872"/>
      <c r="CF160" s="876"/>
    </row>
    <row r="161" spans="1:84" ht="12.95" customHeight="1" x14ac:dyDescent="0.25">
      <c r="A161" s="326">
        <v>29</v>
      </c>
      <c r="B161" s="327">
        <v>5471</v>
      </c>
      <c r="C161" s="328">
        <v>600099229</v>
      </c>
      <c r="D161" s="327">
        <v>72743646</v>
      </c>
      <c r="E161" s="329" t="s">
        <v>409</v>
      </c>
      <c r="F161" s="293"/>
      <c r="G161" s="331"/>
      <c r="H161" s="294"/>
      <c r="I161" s="473">
        <f t="shared" ref="I161:BU161" si="569">SUM(I156:I160)</f>
        <v>14926552</v>
      </c>
      <c r="J161" s="470">
        <f t="shared" si="569"/>
        <v>10947884</v>
      </c>
      <c r="K161" s="470">
        <f t="shared" si="569"/>
        <v>9421489</v>
      </c>
      <c r="L161" s="470">
        <f t="shared" si="569"/>
        <v>1526395</v>
      </c>
      <c r="M161" s="470">
        <f t="shared" si="569"/>
        <v>0</v>
      </c>
      <c r="N161" s="470">
        <f t="shared" si="569"/>
        <v>0</v>
      </c>
      <c r="O161" s="470">
        <f t="shared" si="569"/>
        <v>0</v>
      </c>
      <c r="P161" s="470">
        <f t="shared" si="569"/>
        <v>3700384</v>
      </c>
      <c r="Q161" s="470">
        <f t="shared" si="569"/>
        <v>109479</v>
      </c>
      <c r="R161" s="470">
        <f t="shared" si="569"/>
        <v>168805</v>
      </c>
      <c r="S161" s="471">
        <f t="shared" si="569"/>
        <v>18.197899999999997</v>
      </c>
      <c r="T161" s="471">
        <f t="shared" si="569"/>
        <v>13.729100000000001</v>
      </c>
      <c r="U161" s="292">
        <f t="shared" si="569"/>
        <v>4.4687999999999999</v>
      </c>
      <c r="V161" s="475">
        <f t="shared" si="569"/>
        <v>-6400</v>
      </c>
      <c r="W161" s="470">
        <f t="shared" si="569"/>
        <v>-5120</v>
      </c>
      <c r="X161" s="470">
        <f t="shared" si="569"/>
        <v>776742</v>
      </c>
      <c r="Y161" s="470">
        <f t="shared" si="569"/>
        <v>0</v>
      </c>
      <c r="Z161" s="470">
        <f t="shared" si="569"/>
        <v>0</v>
      </c>
      <c r="AA161" s="470">
        <f t="shared" si="569"/>
        <v>0</v>
      </c>
      <c r="AB161" s="470">
        <f t="shared" si="569"/>
        <v>0</v>
      </c>
      <c r="AC161" s="470">
        <f t="shared" si="569"/>
        <v>0</v>
      </c>
      <c r="AD161" s="470">
        <f t="shared" si="569"/>
        <v>0</v>
      </c>
      <c r="AE161" s="470">
        <f t="shared" si="569"/>
        <v>0</v>
      </c>
      <c r="AF161" s="470">
        <f t="shared" si="569"/>
        <v>770342</v>
      </c>
      <c r="AG161" s="470">
        <f t="shared" si="569"/>
        <v>-5120</v>
      </c>
      <c r="AH161" s="470">
        <f t="shared" si="569"/>
        <v>765222</v>
      </c>
      <c r="AI161" s="470">
        <f t="shared" si="569"/>
        <v>6400</v>
      </c>
      <c r="AJ161" s="470">
        <f t="shared" si="569"/>
        <v>5120</v>
      </c>
      <c r="AK161" s="470">
        <f t="shared" ref="AK161" si="570">SUM(AK156:AK160)</f>
        <v>0</v>
      </c>
      <c r="AL161" s="470">
        <f t="shared" si="569"/>
        <v>0</v>
      </c>
      <c r="AM161" s="470">
        <f t="shared" si="569"/>
        <v>0</v>
      </c>
      <c r="AN161" s="470">
        <f t="shared" si="569"/>
        <v>0</v>
      </c>
      <c r="AO161" s="470">
        <f t="shared" si="569"/>
        <v>6400</v>
      </c>
      <c r="AP161" s="470">
        <f t="shared" si="569"/>
        <v>5120</v>
      </c>
      <c r="AQ161" s="470">
        <f t="shared" si="569"/>
        <v>11520</v>
      </c>
      <c r="AR161" s="470">
        <f t="shared" si="569"/>
        <v>776742</v>
      </c>
      <c r="AS161" s="470">
        <f t="shared" si="569"/>
        <v>0</v>
      </c>
      <c r="AT161" s="470">
        <f t="shared" si="569"/>
        <v>776742</v>
      </c>
      <c r="AU161" s="470">
        <f t="shared" si="569"/>
        <v>262539</v>
      </c>
      <c r="AV161" s="470">
        <f t="shared" si="569"/>
        <v>7652</v>
      </c>
      <c r="AW161" s="470">
        <f t="shared" si="569"/>
        <v>1700</v>
      </c>
      <c r="AX161" s="470">
        <f t="shared" si="569"/>
        <v>0</v>
      </c>
      <c r="AY161" s="470">
        <f t="shared" si="569"/>
        <v>1700</v>
      </c>
      <c r="AZ161" s="470">
        <f t="shared" si="569"/>
        <v>1048633</v>
      </c>
      <c r="BA161" s="471">
        <f t="shared" si="569"/>
        <v>0</v>
      </c>
      <c r="BB161" s="471">
        <f t="shared" si="569"/>
        <v>0</v>
      </c>
      <c r="BC161" s="471">
        <f t="shared" si="569"/>
        <v>2.1800000000000002</v>
      </c>
      <c r="BD161" s="471">
        <f t="shared" si="569"/>
        <v>0</v>
      </c>
      <c r="BE161" s="471">
        <f t="shared" si="569"/>
        <v>0</v>
      </c>
      <c r="BF161" s="471">
        <f t="shared" si="569"/>
        <v>0</v>
      </c>
      <c r="BG161" s="471">
        <f t="shared" si="569"/>
        <v>0</v>
      </c>
      <c r="BH161" s="471">
        <f t="shared" si="569"/>
        <v>0</v>
      </c>
      <c r="BI161" s="471">
        <f t="shared" si="569"/>
        <v>0</v>
      </c>
      <c r="BJ161" s="471">
        <f t="shared" si="569"/>
        <v>0</v>
      </c>
      <c r="BK161" s="471">
        <f t="shared" si="569"/>
        <v>2.1800000000000002</v>
      </c>
      <c r="BL161" s="471">
        <f t="shared" si="569"/>
        <v>0</v>
      </c>
      <c r="BM161" s="561">
        <f t="shared" si="569"/>
        <v>2.1800000000000002</v>
      </c>
      <c r="BN161" s="473">
        <f t="shared" si="569"/>
        <v>15975185</v>
      </c>
      <c r="BO161" s="470">
        <f t="shared" si="569"/>
        <v>11713106</v>
      </c>
      <c r="BP161" s="470">
        <f t="shared" si="569"/>
        <v>10191831</v>
      </c>
      <c r="BQ161" s="470">
        <f t="shared" si="569"/>
        <v>1521275</v>
      </c>
      <c r="BR161" s="470">
        <f t="shared" si="569"/>
        <v>11520</v>
      </c>
      <c r="BS161" s="470">
        <f t="shared" si="569"/>
        <v>6400</v>
      </c>
      <c r="BT161" s="470">
        <f t="shared" si="569"/>
        <v>5120</v>
      </c>
      <c r="BU161" s="470">
        <f t="shared" si="569"/>
        <v>3962923</v>
      </c>
      <c r="BV161" s="470">
        <f t="shared" ref="BV161:CF161" si="571">SUM(BV156:BV160)</f>
        <v>117131</v>
      </c>
      <c r="BW161" s="470">
        <f t="shared" si="571"/>
        <v>170505</v>
      </c>
      <c r="BX161" s="471">
        <f t="shared" si="571"/>
        <v>20.377899999999997</v>
      </c>
      <c r="BY161" s="471">
        <f t="shared" si="571"/>
        <v>15.9091</v>
      </c>
      <c r="BZ161" s="561">
        <f t="shared" si="571"/>
        <v>4.4687999999999999</v>
      </c>
      <c r="CA161" s="874">
        <f t="shared" si="571"/>
        <v>0</v>
      </c>
      <c r="CB161" s="871">
        <f t="shared" si="571"/>
        <v>0</v>
      </c>
      <c r="CC161" s="871">
        <f t="shared" si="571"/>
        <v>0</v>
      </c>
      <c r="CD161" s="871">
        <f t="shared" si="571"/>
        <v>0</v>
      </c>
      <c r="CE161" s="871">
        <f t="shared" si="571"/>
        <v>0</v>
      </c>
      <c r="CF161" s="847">
        <f t="shared" si="571"/>
        <v>0</v>
      </c>
    </row>
    <row r="162" spans="1:84" ht="12.95" customHeight="1" x14ac:dyDescent="0.25">
      <c r="A162" s="282">
        <v>30</v>
      </c>
      <c r="B162" s="323">
        <v>5473</v>
      </c>
      <c r="C162" s="324">
        <v>600098583</v>
      </c>
      <c r="D162" s="283">
        <v>75016320</v>
      </c>
      <c r="E162" s="325" t="s">
        <v>410</v>
      </c>
      <c r="F162" s="283">
        <v>3111</v>
      </c>
      <c r="G162" s="325" t="s">
        <v>305</v>
      </c>
      <c r="H162" s="286" t="s">
        <v>271</v>
      </c>
      <c r="I162" s="423">
        <f t="shared" ref="I162:I164" si="572">J162+P162+Q162+R162</f>
        <v>2034563</v>
      </c>
      <c r="J162" s="418">
        <f t="shared" si="505"/>
        <v>1504962</v>
      </c>
      <c r="K162" s="418">
        <v>1387421</v>
      </c>
      <c r="L162" s="418">
        <v>117541</v>
      </c>
      <c r="M162" s="418">
        <f t="shared" ref="M162:M164" si="573">N162+O162</f>
        <v>0</v>
      </c>
      <c r="N162" s="418">
        <v>0</v>
      </c>
      <c r="O162" s="418">
        <v>0</v>
      </c>
      <c r="P162" s="68">
        <f t="shared" ref="P162:P164" si="574">ROUND((J162+M162)*33.8%,0)</f>
        <v>508677</v>
      </c>
      <c r="Q162" s="68">
        <f t="shared" ref="Q162:Q164" si="575">ROUND(J162*1%,0)</f>
        <v>15050</v>
      </c>
      <c r="R162" s="418">
        <v>5874</v>
      </c>
      <c r="S162" s="419">
        <f>T162+U162</f>
        <v>2.7704</v>
      </c>
      <c r="T162" s="420">
        <v>2.3704000000000001</v>
      </c>
      <c r="U162" s="527">
        <v>0.4</v>
      </c>
      <c r="V162" s="427">
        <f t="shared" ref="V162:W164" si="576">AI162*-1</f>
        <v>0</v>
      </c>
      <c r="W162" s="421">
        <f t="shared" si="576"/>
        <v>0</v>
      </c>
      <c r="X162" s="421">
        <v>0</v>
      </c>
      <c r="Y162" s="421">
        <v>0</v>
      </c>
      <c r="Z162" s="421">
        <v>0</v>
      </c>
      <c r="AA162" s="421">
        <v>0</v>
      </c>
      <c r="AB162" s="421">
        <v>0</v>
      </c>
      <c r="AC162" s="421">
        <v>0</v>
      </c>
      <c r="AD162" s="421">
        <v>0</v>
      </c>
      <c r="AE162" s="421">
        <v>0</v>
      </c>
      <c r="AF162" s="421">
        <f>V162+X162+Y162+AA162+AB162+AD162</f>
        <v>0</v>
      </c>
      <c r="AG162" s="421">
        <f>W162+Z162+AC162+AE162</f>
        <v>0</v>
      </c>
      <c r="AH162" s="421">
        <f>SUM(AF162:AG162)</f>
        <v>0</v>
      </c>
      <c r="AI162" s="421">
        <v>0</v>
      </c>
      <c r="AJ162" s="421">
        <v>0</v>
      </c>
      <c r="AK162" s="421">
        <v>0</v>
      </c>
      <c r="AL162" s="421">
        <v>0</v>
      </c>
      <c r="AM162" s="421">
        <v>0</v>
      </c>
      <c r="AN162" s="421">
        <v>0</v>
      </c>
      <c r="AO162" s="421">
        <f t="shared" ref="AO162:AO164" si="577">AI162+AK162+AL162+AM162</f>
        <v>0</v>
      </c>
      <c r="AP162" s="421">
        <f>AJ162+AN162</f>
        <v>0</v>
      </c>
      <c r="AQ162" s="421">
        <f>SUM(AO162:AP162)</f>
        <v>0</v>
      </c>
      <c r="AR162" s="421">
        <f t="shared" ref="AR162:AS164" si="578">AF162+AO162</f>
        <v>0</v>
      </c>
      <c r="AS162" s="421">
        <f t="shared" si="578"/>
        <v>0</v>
      </c>
      <c r="AT162" s="421">
        <f>SUM(AR162:AS162)</f>
        <v>0</v>
      </c>
      <c r="AU162" s="68">
        <f t="shared" ref="AU162:AU164" si="579">ROUND((AH162+AI162+AJ162+AK162+AL162)*33.8%,0)</f>
        <v>0</v>
      </c>
      <c r="AV162" s="68">
        <f>ROUND(AH162*1%,0)</f>
        <v>0</v>
      </c>
      <c r="AW162" s="421">
        <v>0</v>
      </c>
      <c r="AX162" s="421">
        <v>0</v>
      </c>
      <c r="AY162" s="421">
        <f>AW162+AX162</f>
        <v>0</v>
      </c>
      <c r="AZ162" s="421">
        <f>AT162+AU162+AV162+AY162</f>
        <v>0</v>
      </c>
      <c r="BA162" s="422">
        <v>0</v>
      </c>
      <c r="BB162" s="422">
        <v>0</v>
      </c>
      <c r="BC162" s="422">
        <v>0</v>
      </c>
      <c r="BD162" s="422">
        <v>0</v>
      </c>
      <c r="BE162" s="422">
        <v>0</v>
      </c>
      <c r="BF162" s="422">
        <v>0</v>
      </c>
      <c r="BG162" s="422">
        <v>0</v>
      </c>
      <c r="BH162" s="422">
        <v>0</v>
      </c>
      <c r="BI162" s="422">
        <v>0</v>
      </c>
      <c r="BJ162" s="422">
        <v>0</v>
      </c>
      <c r="BK162" s="422">
        <f>BA162+BC162+BD162+BF162+BH162+BI162</f>
        <v>0</v>
      </c>
      <c r="BL162" s="422">
        <f>BB162+BE162+BG162+BJ162</f>
        <v>0</v>
      </c>
      <c r="BM162" s="611">
        <f>SUM(BK162:BL162)</f>
        <v>0</v>
      </c>
      <c r="BN162" s="428">
        <f>I162+AZ162</f>
        <v>2034563</v>
      </c>
      <c r="BO162" s="421">
        <f>J162+AH162</f>
        <v>1504962</v>
      </c>
      <c r="BP162" s="421">
        <f t="shared" ref="BP162:BQ164" si="580">K162+AF162</f>
        <v>1387421</v>
      </c>
      <c r="BQ162" s="421">
        <f t="shared" si="580"/>
        <v>117541</v>
      </c>
      <c r="BR162" s="421">
        <f>M162+AQ162</f>
        <v>0</v>
      </c>
      <c r="BS162" s="421">
        <f t="shared" ref="BS162:BT164" si="581">N162+AO162</f>
        <v>0</v>
      </c>
      <c r="BT162" s="421">
        <f t="shared" si="581"/>
        <v>0</v>
      </c>
      <c r="BU162" s="421">
        <f t="shared" ref="BU162:BV164" si="582">P162+AU162</f>
        <v>508677</v>
      </c>
      <c r="BV162" s="421">
        <f t="shared" si="582"/>
        <v>15050</v>
      </c>
      <c r="BW162" s="421">
        <f>R162+AY162</f>
        <v>5874</v>
      </c>
      <c r="BX162" s="422">
        <f>S162+BM162</f>
        <v>2.7704</v>
      </c>
      <c r="BY162" s="422">
        <f t="shared" ref="BY162:BZ164" si="583">T162+BK162</f>
        <v>2.3704000000000001</v>
      </c>
      <c r="BZ162" s="611">
        <f t="shared" si="583"/>
        <v>0.4</v>
      </c>
      <c r="CA162" s="875"/>
      <c r="CB162" s="872"/>
      <c r="CC162" s="872"/>
      <c r="CD162" s="872"/>
      <c r="CE162" s="872"/>
      <c r="CF162" s="876"/>
    </row>
    <row r="163" spans="1:84" ht="12.95" customHeight="1" x14ac:dyDescent="0.25">
      <c r="A163" s="282">
        <v>30</v>
      </c>
      <c r="B163" s="323">
        <v>5473</v>
      </c>
      <c r="C163" s="324">
        <v>600098583</v>
      </c>
      <c r="D163" s="283">
        <v>75016320</v>
      </c>
      <c r="E163" s="325" t="s">
        <v>410</v>
      </c>
      <c r="F163" s="283">
        <v>3111</v>
      </c>
      <c r="G163" s="325" t="s">
        <v>299</v>
      </c>
      <c r="H163" s="286" t="s">
        <v>272</v>
      </c>
      <c r="I163" s="423">
        <f t="shared" si="572"/>
        <v>0</v>
      </c>
      <c r="J163" s="418">
        <f t="shared" si="505"/>
        <v>0</v>
      </c>
      <c r="K163" s="418">
        <v>0</v>
      </c>
      <c r="L163" s="418">
        <v>0</v>
      </c>
      <c r="M163" s="418">
        <f>N163+O163</f>
        <v>0</v>
      </c>
      <c r="N163" s="418">
        <v>0</v>
      </c>
      <c r="O163" s="418">
        <v>0</v>
      </c>
      <c r="P163" s="68">
        <f t="shared" si="574"/>
        <v>0</v>
      </c>
      <c r="Q163" s="68">
        <f t="shared" si="575"/>
        <v>0</v>
      </c>
      <c r="R163" s="418">
        <v>0</v>
      </c>
      <c r="S163" s="419">
        <f>T163+U163</f>
        <v>0</v>
      </c>
      <c r="T163" s="420">
        <v>0</v>
      </c>
      <c r="U163" s="527">
        <v>0</v>
      </c>
      <c r="V163" s="427">
        <f t="shared" si="576"/>
        <v>0</v>
      </c>
      <c r="W163" s="421">
        <f t="shared" si="576"/>
        <v>0</v>
      </c>
      <c r="X163" s="421">
        <v>0</v>
      </c>
      <c r="Y163" s="421">
        <v>0</v>
      </c>
      <c r="Z163" s="421">
        <v>0</v>
      </c>
      <c r="AA163" s="421">
        <v>0</v>
      </c>
      <c r="AB163" s="421">
        <v>0</v>
      </c>
      <c r="AC163" s="421">
        <v>0</v>
      </c>
      <c r="AD163" s="421">
        <v>0</v>
      </c>
      <c r="AE163" s="421">
        <v>0</v>
      </c>
      <c r="AF163" s="421">
        <f>V163+X163+Y163+AA163+AB163+AD163</f>
        <v>0</v>
      </c>
      <c r="AG163" s="421">
        <f>W163+Z163+AC163+AE163</f>
        <v>0</v>
      </c>
      <c r="AH163" s="421">
        <f>SUM(AF163:AG163)</f>
        <v>0</v>
      </c>
      <c r="AI163" s="421">
        <v>0</v>
      </c>
      <c r="AJ163" s="421">
        <v>0</v>
      </c>
      <c r="AK163" s="421">
        <v>0</v>
      </c>
      <c r="AL163" s="421">
        <v>0</v>
      </c>
      <c r="AM163" s="421">
        <v>0</v>
      </c>
      <c r="AN163" s="421">
        <v>0</v>
      </c>
      <c r="AO163" s="421">
        <f t="shared" si="577"/>
        <v>0</v>
      </c>
      <c r="AP163" s="421">
        <f>AJ163+AN163</f>
        <v>0</v>
      </c>
      <c r="AQ163" s="421">
        <f>SUM(AO163:AP163)</f>
        <v>0</v>
      </c>
      <c r="AR163" s="421">
        <f t="shared" si="578"/>
        <v>0</v>
      </c>
      <c r="AS163" s="421">
        <f t="shared" si="578"/>
        <v>0</v>
      </c>
      <c r="AT163" s="421">
        <f>SUM(AR163:AS163)</f>
        <v>0</v>
      </c>
      <c r="AU163" s="68">
        <f t="shared" si="579"/>
        <v>0</v>
      </c>
      <c r="AV163" s="68">
        <f>ROUND(AH163*1%,0)</f>
        <v>0</v>
      </c>
      <c r="AW163" s="421">
        <v>0</v>
      </c>
      <c r="AX163" s="421">
        <v>0</v>
      </c>
      <c r="AY163" s="421">
        <f>AW163+AX163</f>
        <v>0</v>
      </c>
      <c r="AZ163" s="421">
        <f>AT163+AU163+AV163+AY163</f>
        <v>0</v>
      </c>
      <c r="BA163" s="422">
        <v>0</v>
      </c>
      <c r="BB163" s="422">
        <v>0</v>
      </c>
      <c r="BC163" s="422">
        <v>0</v>
      </c>
      <c r="BD163" s="422">
        <v>0</v>
      </c>
      <c r="BE163" s="422">
        <v>0</v>
      </c>
      <c r="BF163" s="422">
        <v>0</v>
      </c>
      <c r="BG163" s="422">
        <v>0</v>
      </c>
      <c r="BH163" s="422">
        <v>0</v>
      </c>
      <c r="BI163" s="422">
        <v>0</v>
      </c>
      <c r="BJ163" s="422">
        <v>0</v>
      </c>
      <c r="BK163" s="422">
        <f>BA163+BC163+BD163+BF163+BH163+BI163</f>
        <v>0</v>
      </c>
      <c r="BL163" s="422">
        <f>BB163+BE163+BG163+BJ163</f>
        <v>0</v>
      </c>
      <c r="BM163" s="611">
        <f>SUM(BK163:BL163)</f>
        <v>0</v>
      </c>
      <c r="BN163" s="428">
        <f>I163+AZ163</f>
        <v>0</v>
      </c>
      <c r="BO163" s="421">
        <f>J163+AH163</f>
        <v>0</v>
      </c>
      <c r="BP163" s="421">
        <f t="shared" si="580"/>
        <v>0</v>
      </c>
      <c r="BQ163" s="421">
        <f t="shared" si="580"/>
        <v>0</v>
      </c>
      <c r="BR163" s="421">
        <f>M163+AQ163</f>
        <v>0</v>
      </c>
      <c r="BS163" s="421">
        <f t="shared" si="581"/>
        <v>0</v>
      </c>
      <c r="BT163" s="421">
        <f t="shared" si="581"/>
        <v>0</v>
      </c>
      <c r="BU163" s="421">
        <f t="shared" si="582"/>
        <v>0</v>
      </c>
      <c r="BV163" s="421">
        <f t="shared" si="582"/>
        <v>0</v>
      </c>
      <c r="BW163" s="421">
        <f>R163+AY163</f>
        <v>0</v>
      </c>
      <c r="BX163" s="422">
        <f>S163+BM163</f>
        <v>0</v>
      </c>
      <c r="BY163" s="422">
        <f t="shared" si="583"/>
        <v>0</v>
      </c>
      <c r="BZ163" s="611">
        <f t="shared" si="583"/>
        <v>0</v>
      </c>
      <c r="CA163" s="875"/>
      <c r="CB163" s="872"/>
      <c r="CC163" s="872"/>
      <c r="CD163" s="872"/>
      <c r="CE163" s="872"/>
      <c r="CF163" s="876"/>
    </row>
    <row r="164" spans="1:84" ht="12.95" customHeight="1" x14ac:dyDescent="0.25">
      <c r="A164" s="282">
        <v>30</v>
      </c>
      <c r="B164" s="323">
        <v>5473</v>
      </c>
      <c r="C164" s="324">
        <v>600098583</v>
      </c>
      <c r="D164" s="283">
        <v>75016320</v>
      </c>
      <c r="E164" s="325" t="s">
        <v>410</v>
      </c>
      <c r="F164" s="283">
        <v>3141</v>
      </c>
      <c r="G164" s="325" t="s">
        <v>295</v>
      </c>
      <c r="H164" s="286" t="s">
        <v>272</v>
      </c>
      <c r="I164" s="423">
        <f t="shared" si="572"/>
        <v>255519</v>
      </c>
      <c r="J164" s="418">
        <f t="shared" si="505"/>
        <v>188983</v>
      </c>
      <c r="K164" s="418">
        <v>0</v>
      </c>
      <c r="L164" s="418">
        <v>188983</v>
      </c>
      <c r="M164" s="418">
        <f t="shared" si="573"/>
        <v>0</v>
      </c>
      <c r="N164" s="418">
        <v>0</v>
      </c>
      <c r="O164" s="418">
        <v>0</v>
      </c>
      <c r="P164" s="68">
        <f t="shared" si="574"/>
        <v>63876</v>
      </c>
      <c r="Q164" s="68">
        <f t="shared" si="575"/>
        <v>1890</v>
      </c>
      <c r="R164" s="418">
        <v>770</v>
      </c>
      <c r="S164" s="419">
        <f>T164+U164</f>
        <v>0.56669999999999998</v>
      </c>
      <c r="T164" s="420">
        <v>0</v>
      </c>
      <c r="U164" s="527">
        <v>0.56669999999999998</v>
      </c>
      <c r="V164" s="427">
        <f t="shared" si="576"/>
        <v>0</v>
      </c>
      <c r="W164" s="421">
        <f t="shared" si="576"/>
        <v>0</v>
      </c>
      <c r="X164" s="421">
        <v>0</v>
      </c>
      <c r="Y164" s="421">
        <v>0</v>
      </c>
      <c r="Z164" s="421">
        <v>0</v>
      </c>
      <c r="AA164" s="421">
        <v>0</v>
      </c>
      <c r="AB164" s="421">
        <v>0</v>
      </c>
      <c r="AC164" s="421">
        <v>0</v>
      </c>
      <c r="AD164" s="421">
        <v>0</v>
      </c>
      <c r="AE164" s="421">
        <v>0</v>
      </c>
      <c r="AF164" s="421">
        <f>V164+X164+Y164+AA164+AB164+AD164</f>
        <v>0</v>
      </c>
      <c r="AG164" s="421">
        <f>W164+Z164+AC164+AE164</f>
        <v>0</v>
      </c>
      <c r="AH164" s="421">
        <f>SUM(AF164:AG164)</f>
        <v>0</v>
      </c>
      <c r="AI164" s="421">
        <v>0</v>
      </c>
      <c r="AJ164" s="421">
        <v>0</v>
      </c>
      <c r="AK164" s="421">
        <v>0</v>
      </c>
      <c r="AL164" s="421">
        <v>0</v>
      </c>
      <c r="AM164" s="421">
        <v>0</v>
      </c>
      <c r="AN164" s="421">
        <v>0</v>
      </c>
      <c r="AO164" s="421">
        <f t="shared" si="577"/>
        <v>0</v>
      </c>
      <c r="AP164" s="421">
        <f>AJ164+AN164</f>
        <v>0</v>
      </c>
      <c r="AQ164" s="421">
        <f>SUM(AO164:AP164)</f>
        <v>0</v>
      </c>
      <c r="AR164" s="421">
        <f t="shared" si="578"/>
        <v>0</v>
      </c>
      <c r="AS164" s="421">
        <f t="shared" si="578"/>
        <v>0</v>
      </c>
      <c r="AT164" s="421">
        <f>SUM(AR164:AS164)</f>
        <v>0</v>
      </c>
      <c r="AU164" s="68">
        <f t="shared" si="579"/>
        <v>0</v>
      </c>
      <c r="AV164" s="68">
        <f>ROUND(AH164*1%,0)</f>
        <v>0</v>
      </c>
      <c r="AW164" s="421">
        <v>0</v>
      </c>
      <c r="AX164" s="421">
        <v>0</v>
      </c>
      <c r="AY164" s="421">
        <f>AW164+AX164</f>
        <v>0</v>
      </c>
      <c r="AZ164" s="421">
        <f>AT164+AU164+AV164+AY164</f>
        <v>0</v>
      </c>
      <c r="BA164" s="422">
        <v>0</v>
      </c>
      <c r="BB164" s="422">
        <v>0</v>
      </c>
      <c r="BC164" s="422">
        <v>0</v>
      </c>
      <c r="BD164" s="422">
        <v>0</v>
      </c>
      <c r="BE164" s="422">
        <v>0</v>
      </c>
      <c r="BF164" s="422">
        <v>0</v>
      </c>
      <c r="BG164" s="422">
        <v>0</v>
      </c>
      <c r="BH164" s="422">
        <v>0</v>
      </c>
      <c r="BI164" s="422">
        <v>0</v>
      </c>
      <c r="BJ164" s="422">
        <v>0</v>
      </c>
      <c r="BK164" s="422">
        <f>BA164+BC164+BD164+BF164+BH164+BI164</f>
        <v>0</v>
      </c>
      <c r="BL164" s="422">
        <f>BB164+BE164+BG164+BJ164</f>
        <v>0</v>
      </c>
      <c r="BM164" s="611">
        <f>SUM(BK164:BL164)</f>
        <v>0</v>
      </c>
      <c r="BN164" s="428">
        <f>I164+AZ164</f>
        <v>255519</v>
      </c>
      <c r="BO164" s="421">
        <f>J164+AH164</f>
        <v>188983</v>
      </c>
      <c r="BP164" s="421">
        <f t="shared" si="580"/>
        <v>0</v>
      </c>
      <c r="BQ164" s="421">
        <f t="shared" si="580"/>
        <v>188983</v>
      </c>
      <c r="BR164" s="421">
        <f>M164+AQ164</f>
        <v>0</v>
      </c>
      <c r="BS164" s="421">
        <f t="shared" si="581"/>
        <v>0</v>
      </c>
      <c r="BT164" s="421">
        <f t="shared" si="581"/>
        <v>0</v>
      </c>
      <c r="BU164" s="421">
        <f t="shared" si="582"/>
        <v>63876</v>
      </c>
      <c r="BV164" s="421">
        <f t="shared" si="582"/>
        <v>1890</v>
      </c>
      <c r="BW164" s="421">
        <f>R164+AY164</f>
        <v>770</v>
      </c>
      <c r="BX164" s="422">
        <f>S164+BM164</f>
        <v>0.56669999999999998</v>
      </c>
      <c r="BY164" s="422">
        <f t="shared" si="583"/>
        <v>0</v>
      </c>
      <c r="BZ164" s="611">
        <f t="shared" si="583"/>
        <v>0.56669999999999998</v>
      </c>
      <c r="CA164" s="875"/>
      <c r="CB164" s="872"/>
      <c r="CC164" s="872"/>
      <c r="CD164" s="872"/>
      <c r="CE164" s="872"/>
      <c r="CF164" s="876"/>
    </row>
    <row r="165" spans="1:84" ht="12.95" customHeight="1" thickBot="1" x14ac:dyDescent="0.3">
      <c r="A165" s="337">
        <v>30</v>
      </c>
      <c r="B165" s="338">
        <v>5473</v>
      </c>
      <c r="C165" s="339">
        <v>600098583</v>
      </c>
      <c r="D165" s="338">
        <v>75016320</v>
      </c>
      <c r="E165" s="340" t="s">
        <v>411</v>
      </c>
      <c r="F165" s="297"/>
      <c r="G165" s="341"/>
      <c r="H165" s="298"/>
      <c r="I165" s="517">
        <f t="shared" ref="I165:BU165" si="584">SUM(I162:I164)</f>
        <v>2290082</v>
      </c>
      <c r="J165" s="518">
        <f t="shared" si="584"/>
        <v>1693945</v>
      </c>
      <c r="K165" s="518">
        <f t="shared" si="584"/>
        <v>1387421</v>
      </c>
      <c r="L165" s="518">
        <f t="shared" si="584"/>
        <v>306524</v>
      </c>
      <c r="M165" s="518">
        <f t="shared" si="584"/>
        <v>0</v>
      </c>
      <c r="N165" s="518">
        <f t="shared" si="584"/>
        <v>0</v>
      </c>
      <c r="O165" s="518">
        <f t="shared" si="584"/>
        <v>0</v>
      </c>
      <c r="P165" s="518">
        <f t="shared" si="584"/>
        <v>572553</v>
      </c>
      <c r="Q165" s="518">
        <f t="shared" si="584"/>
        <v>16940</v>
      </c>
      <c r="R165" s="518">
        <f t="shared" si="584"/>
        <v>6644</v>
      </c>
      <c r="S165" s="519">
        <f t="shared" si="584"/>
        <v>3.3371</v>
      </c>
      <c r="T165" s="519">
        <f t="shared" si="584"/>
        <v>2.3704000000000001</v>
      </c>
      <c r="U165" s="533">
        <f t="shared" si="584"/>
        <v>0.9667</v>
      </c>
      <c r="V165" s="625">
        <f t="shared" si="584"/>
        <v>0</v>
      </c>
      <c r="W165" s="518">
        <f t="shared" si="584"/>
        <v>0</v>
      </c>
      <c r="X165" s="518">
        <f t="shared" si="584"/>
        <v>0</v>
      </c>
      <c r="Y165" s="518">
        <f t="shared" si="584"/>
        <v>0</v>
      </c>
      <c r="Z165" s="518">
        <f t="shared" si="584"/>
        <v>0</v>
      </c>
      <c r="AA165" s="518">
        <f t="shared" si="584"/>
        <v>0</v>
      </c>
      <c r="AB165" s="518">
        <f t="shared" si="584"/>
        <v>0</v>
      </c>
      <c r="AC165" s="518">
        <f t="shared" si="584"/>
        <v>0</v>
      </c>
      <c r="AD165" s="518">
        <f t="shared" si="584"/>
        <v>0</v>
      </c>
      <c r="AE165" s="518">
        <f t="shared" si="584"/>
        <v>0</v>
      </c>
      <c r="AF165" s="518">
        <f t="shared" si="584"/>
        <v>0</v>
      </c>
      <c r="AG165" s="518">
        <f t="shared" si="584"/>
        <v>0</v>
      </c>
      <c r="AH165" s="518">
        <f t="shared" si="584"/>
        <v>0</v>
      </c>
      <c r="AI165" s="518">
        <f t="shared" si="584"/>
        <v>0</v>
      </c>
      <c r="AJ165" s="518">
        <f t="shared" si="584"/>
        <v>0</v>
      </c>
      <c r="AK165" s="518">
        <f t="shared" ref="AK165" si="585">SUM(AK162:AK164)</f>
        <v>0</v>
      </c>
      <c r="AL165" s="518">
        <f t="shared" si="584"/>
        <v>0</v>
      </c>
      <c r="AM165" s="518">
        <f t="shared" si="584"/>
        <v>0</v>
      </c>
      <c r="AN165" s="518">
        <f t="shared" si="584"/>
        <v>0</v>
      </c>
      <c r="AO165" s="518">
        <f t="shared" si="584"/>
        <v>0</v>
      </c>
      <c r="AP165" s="518">
        <f t="shared" si="584"/>
        <v>0</v>
      </c>
      <c r="AQ165" s="518">
        <f t="shared" si="584"/>
        <v>0</v>
      </c>
      <c r="AR165" s="518">
        <f t="shared" si="584"/>
        <v>0</v>
      </c>
      <c r="AS165" s="518">
        <f t="shared" si="584"/>
        <v>0</v>
      </c>
      <c r="AT165" s="518">
        <f t="shared" si="584"/>
        <v>0</v>
      </c>
      <c r="AU165" s="518">
        <f t="shared" si="584"/>
        <v>0</v>
      </c>
      <c r="AV165" s="518">
        <f t="shared" si="584"/>
        <v>0</v>
      </c>
      <c r="AW165" s="518">
        <f t="shared" si="584"/>
        <v>0</v>
      </c>
      <c r="AX165" s="518">
        <f t="shared" si="584"/>
        <v>0</v>
      </c>
      <c r="AY165" s="518">
        <f t="shared" si="584"/>
        <v>0</v>
      </c>
      <c r="AZ165" s="518">
        <f t="shared" si="584"/>
        <v>0</v>
      </c>
      <c r="BA165" s="519">
        <f t="shared" si="584"/>
        <v>0</v>
      </c>
      <c r="BB165" s="519">
        <f t="shared" si="584"/>
        <v>0</v>
      </c>
      <c r="BC165" s="519">
        <f t="shared" si="584"/>
        <v>0</v>
      </c>
      <c r="BD165" s="519">
        <f t="shared" si="584"/>
        <v>0</v>
      </c>
      <c r="BE165" s="519">
        <f t="shared" si="584"/>
        <v>0</v>
      </c>
      <c r="BF165" s="519">
        <f t="shared" si="584"/>
        <v>0</v>
      </c>
      <c r="BG165" s="519">
        <f t="shared" si="584"/>
        <v>0</v>
      </c>
      <c r="BH165" s="519">
        <f t="shared" si="584"/>
        <v>0</v>
      </c>
      <c r="BI165" s="519">
        <f t="shared" si="584"/>
        <v>0</v>
      </c>
      <c r="BJ165" s="519">
        <f t="shared" si="584"/>
        <v>0</v>
      </c>
      <c r="BK165" s="519">
        <f t="shared" si="584"/>
        <v>0</v>
      </c>
      <c r="BL165" s="519">
        <f t="shared" si="584"/>
        <v>0</v>
      </c>
      <c r="BM165" s="627">
        <f t="shared" si="584"/>
        <v>0</v>
      </c>
      <c r="BN165" s="517">
        <f t="shared" si="584"/>
        <v>2290082</v>
      </c>
      <c r="BO165" s="518">
        <f t="shared" si="584"/>
        <v>1693945</v>
      </c>
      <c r="BP165" s="518">
        <f t="shared" si="584"/>
        <v>1387421</v>
      </c>
      <c r="BQ165" s="518">
        <f t="shared" si="584"/>
        <v>306524</v>
      </c>
      <c r="BR165" s="518">
        <f t="shared" si="584"/>
        <v>0</v>
      </c>
      <c r="BS165" s="518">
        <f t="shared" si="584"/>
        <v>0</v>
      </c>
      <c r="BT165" s="518">
        <f t="shared" si="584"/>
        <v>0</v>
      </c>
      <c r="BU165" s="518">
        <f t="shared" si="584"/>
        <v>572553</v>
      </c>
      <c r="BV165" s="518">
        <f t="shared" ref="BV165:CF165" si="586">SUM(BV162:BV164)</f>
        <v>16940</v>
      </c>
      <c r="BW165" s="518">
        <f t="shared" si="586"/>
        <v>6644</v>
      </c>
      <c r="BX165" s="519">
        <f t="shared" si="586"/>
        <v>3.3371</v>
      </c>
      <c r="BY165" s="519">
        <f t="shared" si="586"/>
        <v>2.3704000000000001</v>
      </c>
      <c r="BZ165" s="627">
        <f t="shared" si="586"/>
        <v>0.9667</v>
      </c>
      <c r="CA165" s="906">
        <f t="shared" si="586"/>
        <v>0</v>
      </c>
      <c r="CB165" s="907">
        <f t="shared" si="586"/>
        <v>0</v>
      </c>
      <c r="CC165" s="907">
        <f t="shared" si="586"/>
        <v>0</v>
      </c>
      <c r="CD165" s="907">
        <f t="shared" si="586"/>
        <v>0</v>
      </c>
      <c r="CE165" s="907">
        <f t="shared" si="586"/>
        <v>0</v>
      </c>
      <c r="CF165" s="908">
        <f t="shared" si="586"/>
        <v>0</v>
      </c>
    </row>
    <row r="166" spans="1:84" ht="12.95" customHeight="1" thickBot="1" x14ac:dyDescent="0.3">
      <c r="A166" s="342"/>
      <c r="B166" s="305"/>
      <c r="C166" s="343"/>
      <c r="D166" s="305"/>
      <c r="E166" s="307" t="s">
        <v>760</v>
      </c>
      <c r="F166" s="305"/>
      <c r="G166" s="305"/>
      <c r="H166" s="308"/>
      <c r="I166" s="626">
        <f t="shared" ref="I166:BU166" si="587">I165+I161+I155+I151+I144+I137+I130+I127+I124+I118+I114+I110+I108+I102+I98+I92+I88+I81+I74+I67+I60+I53+I51+I44+I38+I32+I25+I23+I19+I15</f>
        <v>339971359</v>
      </c>
      <c r="J166" s="928">
        <f t="shared" si="587"/>
        <v>250098941</v>
      </c>
      <c r="K166" s="928">
        <f t="shared" si="587"/>
        <v>218454115</v>
      </c>
      <c r="L166" s="928">
        <f t="shared" si="587"/>
        <v>31644826</v>
      </c>
      <c r="M166" s="928">
        <f t="shared" si="587"/>
        <v>0</v>
      </c>
      <c r="N166" s="928">
        <f t="shared" si="587"/>
        <v>0</v>
      </c>
      <c r="O166" s="928">
        <f t="shared" si="587"/>
        <v>0</v>
      </c>
      <c r="P166" s="928">
        <f t="shared" si="587"/>
        <v>84533440</v>
      </c>
      <c r="Q166" s="928">
        <f t="shared" si="587"/>
        <v>2500991</v>
      </c>
      <c r="R166" s="928">
        <f t="shared" si="587"/>
        <v>2837987</v>
      </c>
      <c r="S166" s="929">
        <f t="shared" si="587"/>
        <v>438.74279999999999</v>
      </c>
      <c r="T166" s="929">
        <f t="shared" si="587"/>
        <v>343.10930000000008</v>
      </c>
      <c r="U166" s="930">
        <f t="shared" si="587"/>
        <v>95.633499999999998</v>
      </c>
      <c r="V166" s="589">
        <f t="shared" si="587"/>
        <v>-776960</v>
      </c>
      <c r="W166" s="589">
        <f t="shared" si="587"/>
        <v>-244608</v>
      </c>
      <c r="X166" s="589">
        <f t="shared" si="587"/>
        <v>18050484</v>
      </c>
      <c r="Y166" s="589">
        <f t="shared" si="587"/>
        <v>0</v>
      </c>
      <c r="Z166" s="589">
        <f t="shared" si="587"/>
        <v>0</v>
      </c>
      <c r="AA166" s="589">
        <f t="shared" si="587"/>
        <v>30452</v>
      </c>
      <c r="AB166" s="773">
        <f t="shared" si="587"/>
        <v>1240800</v>
      </c>
      <c r="AC166" s="589">
        <f t="shared" si="587"/>
        <v>0</v>
      </c>
      <c r="AD166" s="589">
        <f t="shared" si="587"/>
        <v>0</v>
      </c>
      <c r="AE166" s="589">
        <f t="shared" si="587"/>
        <v>0</v>
      </c>
      <c r="AF166" s="589">
        <f t="shared" si="587"/>
        <v>18544776</v>
      </c>
      <c r="AG166" s="589">
        <f t="shared" si="587"/>
        <v>-244608</v>
      </c>
      <c r="AH166" s="589">
        <f t="shared" si="587"/>
        <v>18300168</v>
      </c>
      <c r="AI166" s="589">
        <f t="shared" si="587"/>
        <v>776960</v>
      </c>
      <c r="AJ166" s="589">
        <f t="shared" si="587"/>
        <v>244608</v>
      </c>
      <c r="AK166" s="773">
        <f t="shared" ref="AK166" si="588">AK165+AK161+AK155+AK151+AK144+AK137+AK130+AK127+AK124+AK118+AK114+AK110+AK108+AK102+AK98+AK92+AK88+AK81+AK74+AK67+AK60+AK53+AK51+AK44+AK38+AK32+AK25+AK23+AK19+AK15</f>
        <v>225600</v>
      </c>
      <c r="AL166" s="589">
        <f t="shared" si="587"/>
        <v>238760</v>
      </c>
      <c r="AM166" s="589">
        <f t="shared" si="587"/>
        <v>101733</v>
      </c>
      <c r="AN166" s="589">
        <f t="shared" si="587"/>
        <v>74880</v>
      </c>
      <c r="AO166" s="589">
        <f t="shared" si="587"/>
        <v>1343053</v>
      </c>
      <c r="AP166" s="589">
        <f t="shared" si="587"/>
        <v>319488</v>
      </c>
      <c r="AQ166" s="589">
        <f t="shared" si="587"/>
        <v>1662541</v>
      </c>
      <c r="AR166" s="589">
        <f t="shared" si="587"/>
        <v>19887829</v>
      </c>
      <c r="AS166" s="589">
        <f t="shared" si="587"/>
        <v>74880</v>
      </c>
      <c r="AT166" s="589">
        <f t="shared" si="587"/>
        <v>19962709</v>
      </c>
      <c r="AU166" s="589">
        <f t="shared" si="587"/>
        <v>6687702</v>
      </c>
      <c r="AV166" s="589">
        <f t="shared" si="587"/>
        <v>182998</v>
      </c>
      <c r="AW166" s="589">
        <f t="shared" si="587"/>
        <v>16150</v>
      </c>
      <c r="AX166" s="589">
        <f t="shared" si="587"/>
        <v>0</v>
      </c>
      <c r="AY166" s="589">
        <f t="shared" si="587"/>
        <v>16150</v>
      </c>
      <c r="AZ166" s="589">
        <f t="shared" si="587"/>
        <v>26849559</v>
      </c>
      <c r="BA166" s="604">
        <f t="shared" si="587"/>
        <v>-0.76000000000000012</v>
      </c>
      <c r="BB166" s="604">
        <f t="shared" si="587"/>
        <v>-0.4</v>
      </c>
      <c r="BC166" s="604">
        <f t="shared" si="587"/>
        <v>47.39</v>
      </c>
      <c r="BD166" s="604">
        <f t="shared" si="587"/>
        <v>2.2000000000000002</v>
      </c>
      <c r="BE166" s="604">
        <f t="shared" si="587"/>
        <v>0</v>
      </c>
      <c r="BF166" s="604">
        <f t="shared" si="587"/>
        <v>0</v>
      </c>
      <c r="BG166" s="604">
        <f t="shared" si="587"/>
        <v>0</v>
      </c>
      <c r="BH166" s="604">
        <f t="shared" si="587"/>
        <v>0.04</v>
      </c>
      <c r="BI166" s="604">
        <f t="shared" si="587"/>
        <v>0</v>
      </c>
      <c r="BJ166" s="604">
        <f t="shared" si="587"/>
        <v>0</v>
      </c>
      <c r="BK166" s="604">
        <f t="shared" si="587"/>
        <v>48.870000000000005</v>
      </c>
      <c r="BL166" s="604">
        <f t="shared" si="587"/>
        <v>-0.4</v>
      </c>
      <c r="BM166" s="628">
        <f t="shared" si="587"/>
        <v>48.469999999999985</v>
      </c>
      <c r="BN166" s="626">
        <f t="shared" si="587"/>
        <v>366820918</v>
      </c>
      <c r="BO166" s="589">
        <f t="shared" si="587"/>
        <v>268399109</v>
      </c>
      <c r="BP166" s="589">
        <f t="shared" si="587"/>
        <v>236998891</v>
      </c>
      <c r="BQ166" s="589">
        <f t="shared" si="587"/>
        <v>31400218</v>
      </c>
      <c r="BR166" s="589">
        <f t="shared" si="587"/>
        <v>1662541</v>
      </c>
      <c r="BS166" s="589">
        <f t="shared" si="587"/>
        <v>1343053</v>
      </c>
      <c r="BT166" s="589">
        <f t="shared" si="587"/>
        <v>319488</v>
      </c>
      <c r="BU166" s="589">
        <f t="shared" si="587"/>
        <v>91221142</v>
      </c>
      <c r="BV166" s="589">
        <f t="shared" ref="BV166:CF166" si="589">BV165+BV161+BV155+BV151+BV144+BV137+BV130+BV127+BV124+BV118+BV114+BV110+BV108+BV102+BV98+BV92+BV88+BV81+BV74+BV67+BV60+BV53+BV51+BV44+BV38+BV32+BV25+BV23+BV19+BV15</f>
        <v>2683989</v>
      </c>
      <c r="BW166" s="589">
        <f t="shared" si="589"/>
        <v>2854137</v>
      </c>
      <c r="BX166" s="604">
        <f t="shared" si="589"/>
        <v>487.21280000000002</v>
      </c>
      <c r="BY166" s="604">
        <f t="shared" si="589"/>
        <v>391.97929999999985</v>
      </c>
      <c r="BZ166" s="628">
        <f t="shared" si="589"/>
        <v>95.233499999999992</v>
      </c>
      <c r="CA166" s="880">
        <f t="shared" si="589"/>
        <v>1974452</v>
      </c>
      <c r="CB166" s="881">
        <f t="shared" si="589"/>
        <v>1240800</v>
      </c>
      <c r="CC166" s="881">
        <f t="shared" si="589"/>
        <v>225600</v>
      </c>
      <c r="CD166" s="881">
        <f t="shared" si="589"/>
        <v>495644</v>
      </c>
      <c r="CE166" s="881">
        <f t="shared" si="589"/>
        <v>12408</v>
      </c>
      <c r="CF166" s="882">
        <f t="shared" si="589"/>
        <v>2.2000000000000002</v>
      </c>
    </row>
    <row r="167" spans="1:84" ht="12.95" customHeight="1" x14ac:dyDescent="0.25">
      <c r="B167" s="311"/>
      <c r="D167" s="311"/>
      <c r="E167" s="312"/>
      <c r="F167" s="311"/>
      <c r="I167" s="432">
        <f>J166+M166+P166+Q166+R166</f>
        <v>339971359</v>
      </c>
      <c r="J167" s="432">
        <f>SUM(K166:L166)</f>
        <v>250098941</v>
      </c>
      <c r="K167" s="432"/>
      <c r="L167" s="432"/>
      <c r="M167" s="432">
        <f>SUM(N166:O166)</f>
        <v>0</v>
      </c>
      <c r="N167" s="432"/>
      <c r="O167" s="432"/>
      <c r="P167" s="432"/>
      <c r="Q167" s="432"/>
      <c r="R167" s="432"/>
      <c r="S167" s="433">
        <f>SUM(T166:U166)</f>
        <v>438.7428000000001</v>
      </c>
      <c r="T167" s="433"/>
      <c r="U167" s="433"/>
      <c r="V167" s="432">
        <f>AI166</f>
        <v>776960</v>
      </c>
      <c r="W167" s="432">
        <f>AJ166</f>
        <v>244608</v>
      </c>
      <c r="X167" s="433"/>
      <c r="Y167" s="432"/>
      <c r="Z167" s="432"/>
      <c r="AA167" s="433"/>
      <c r="AB167" s="433"/>
      <c r="AC167" s="433"/>
      <c r="AD167" s="433"/>
      <c r="AE167" s="433"/>
      <c r="AF167" s="434"/>
      <c r="AG167" s="434"/>
      <c r="AH167" s="434">
        <f>SUM(AF166:AG166)</f>
        <v>18300168</v>
      </c>
      <c r="AI167" s="434">
        <f>V166</f>
        <v>-776960</v>
      </c>
      <c r="AJ167" s="434">
        <f>W166</f>
        <v>-244608</v>
      </c>
      <c r="AK167" s="434"/>
      <c r="AL167" s="435"/>
      <c r="AM167" s="435"/>
      <c r="AN167" s="435"/>
      <c r="AO167" s="434"/>
      <c r="AP167" s="434"/>
      <c r="AQ167" s="434">
        <f>SUM(AO166:AP166)</f>
        <v>1662541</v>
      </c>
      <c r="AR167" s="434"/>
      <c r="AS167" s="434"/>
      <c r="AT167" s="434">
        <f>SUM(AR166:AS166)</f>
        <v>19962709</v>
      </c>
      <c r="AU167" s="436"/>
      <c r="AV167" s="436"/>
      <c r="AW167" s="435"/>
      <c r="AX167" s="435"/>
      <c r="AY167" s="434">
        <f>SUM(AW166:AX166)</f>
        <v>16150</v>
      </c>
      <c r="AZ167" s="434">
        <f>AH166+AQ166+AU166+AV166+AY166</f>
        <v>26849559</v>
      </c>
      <c r="BA167" s="437"/>
      <c r="BB167" s="437"/>
      <c r="BC167" s="437"/>
      <c r="BD167" s="437"/>
      <c r="BE167" s="437"/>
      <c r="BF167" s="437"/>
      <c r="BG167" s="437"/>
      <c r="BH167" s="437"/>
      <c r="BI167" s="437"/>
      <c r="BJ167" s="437"/>
      <c r="BK167" s="525">
        <f>BA166+BC166+BD166+BF166+BH166+BI166</f>
        <v>48.870000000000005</v>
      </c>
      <c r="BL167" s="525">
        <f>BB166+BE166+BG166+BJ166</f>
        <v>-0.4</v>
      </c>
      <c r="BM167" s="525">
        <f>SUM(BK166:BL166)</f>
        <v>48.470000000000006</v>
      </c>
      <c r="BN167" s="432">
        <f>BO166+BR166+BU166+BV166+BW166</f>
        <v>366820918</v>
      </c>
      <c r="BO167" s="432">
        <f>SUM(BP166:BQ166)</f>
        <v>268399109</v>
      </c>
      <c r="BP167" s="435">
        <f>K166+AF166</f>
        <v>236998891</v>
      </c>
      <c r="BQ167" s="435">
        <f>L166+AG166</f>
        <v>31400218</v>
      </c>
      <c r="BR167" s="86">
        <f>SUM(BS166:BT166)</f>
        <v>1662541</v>
      </c>
      <c r="BS167" s="435">
        <f>N166+AO166</f>
        <v>1343053</v>
      </c>
      <c r="BT167" s="435">
        <f>O166+AP166</f>
        <v>319488</v>
      </c>
      <c r="BU167" s="435">
        <f>P166+AU166</f>
        <v>91221142</v>
      </c>
      <c r="BV167" s="435">
        <f>Q166+AV166</f>
        <v>2683989</v>
      </c>
      <c r="BW167" s="435">
        <f>R166+AY166</f>
        <v>2854137</v>
      </c>
      <c r="BX167" s="433">
        <f>SUM(BY166:BZ166)</f>
        <v>487.21279999999985</v>
      </c>
      <c r="BY167" s="437">
        <f>T166+BK166</f>
        <v>391.97930000000008</v>
      </c>
      <c r="BZ167" s="437">
        <f>U166+BL166</f>
        <v>95.233499999999992</v>
      </c>
      <c r="CA167" s="236">
        <f>SUM(CB166:CE166)</f>
        <v>1974452</v>
      </c>
      <c r="CB167" s="8"/>
      <c r="CC167" s="8"/>
      <c r="CD167" s="8"/>
      <c r="CE167" s="8"/>
      <c r="CF167" s="7"/>
    </row>
    <row r="168" spans="1:84" ht="12.95" customHeight="1" thickBot="1" x14ac:dyDescent="0.3">
      <c r="B168" s="311"/>
      <c r="D168" s="311"/>
      <c r="F168" s="311"/>
      <c r="I168" s="432">
        <f>J169+M169+P169+Q169+R169</f>
        <v>339971359</v>
      </c>
      <c r="J168" s="432">
        <f>SUM(K169:L169)</f>
        <v>250098941</v>
      </c>
      <c r="K168" s="432"/>
      <c r="L168" s="432"/>
      <c r="M168" s="432">
        <f>SUM(N169:O169)</f>
        <v>0</v>
      </c>
      <c r="N168" s="432"/>
      <c r="O168" s="432"/>
      <c r="P168" s="432"/>
      <c r="Q168" s="432"/>
      <c r="R168" s="432"/>
      <c r="S168" s="433">
        <f>SUM(T169:U169)</f>
        <v>438.74279999999999</v>
      </c>
      <c r="T168" s="433"/>
      <c r="U168" s="433"/>
      <c r="V168" s="432">
        <f>AI169</f>
        <v>776960</v>
      </c>
      <c r="W168" s="432">
        <f>AJ169</f>
        <v>244608</v>
      </c>
      <c r="X168" s="433"/>
      <c r="Y168" s="432"/>
      <c r="Z168" s="432"/>
      <c r="AA168" s="433"/>
      <c r="AB168" s="433"/>
      <c r="AC168" s="433"/>
      <c r="AD168" s="433"/>
      <c r="AE168" s="433"/>
      <c r="AF168" s="434"/>
      <c r="AG168" s="434"/>
      <c r="AH168" s="434">
        <f>SUM(AF169:AG169)</f>
        <v>18300168</v>
      </c>
      <c r="AI168" s="434"/>
      <c r="AJ168" s="434"/>
      <c r="AK168" s="434"/>
      <c r="AL168" s="435"/>
      <c r="AM168" s="435"/>
      <c r="AN168" s="435"/>
      <c r="AO168" s="434"/>
      <c r="AP168" s="434"/>
      <c r="AQ168" s="434">
        <f>SUM(AO169:AP169)</f>
        <v>1662541</v>
      </c>
      <c r="AR168" s="434"/>
      <c r="AS168" s="434"/>
      <c r="AT168" s="434">
        <f>SUM(AR169:AS169)</f>
        <v>19962709</v>
      </c>
      <c r="AU168" s="436"/>
      <c r="AV168" s="436"/>
      <c r="AW168" s="435"/>
      <c r="AX168" s="435"/>
      <c r="AY168" s="434">
        <f>SUM(AW169:AX169)</f>
        <v>16150</v>
      </c>
      <c r="AZ168" s="434">
        <f>AH169+AQ169+AU169+AV169+AY169</f>
        <v>26849559</v>
      </c>
      <c r="BA168" s="437"/>
      <c r="BB168" s="437"/>
      <c r="BC168" s="437"/>
      <c r="BD168" s="437"/>
      <c r="BE168" s="437"/>
      <c r="BF168" s="437"/>
      <c r="BG168" s="437"/>
      <c r="BH168" s="437"/>
      <c r="BI168" s="437"/>
      <c r="BJ168" s="437"/>
      <c r="BK168" s="525">
        <f>BA169+BC169+BD169+BF169+BH169+BI169</f>
        <v>48.870000000000005</v>
      </c>
      <c r="BL168" s="525">
        <f>BB169+BE169+BG169+BJ169</f>
        <v>-0.4</v>
      </c>
      <c r="BM168" s="525">
        <f>SUM(BK169:BL169)</f>
        <v>48.47</v>
      </c>
      <c r="BN168" s="432">
        <f>BO169+BR169+BU169+BV169+BW169</f>
        <v>366820918</v>
      </c>
      <c r="BO168" s="432">
        <f>SUM(BP169:BQ169)</f>
        <v>268399109</v>
      </c>
      <c r="BP168" s="53"/>
      <c r="BQ168" s="53"/>
      <c r="BR168" s="86">
        <f>SUM(BS169:BT169)</f>
        <v>1662541</v>
      </c>
      <c r="BS168" s="53"/>
      <c r="BT168" s="53"/>
      <c r="BU168" s="53"/>
      <c r="BV168" s="53"/>
      <c r="BW168" s="53"/>
      <c r="BX168" s="433">
        <f>SUM(BY169:BZ169)</f>
        <v>487.21280000000007</v>
      </c>
      <c r="BY168" s="87"/>
      <c r="BZ168" s="87"/>
      <c r="CA168" s="236">
        <f>SUM(CB169:CE169)</f>
        <v>1974452</v>
      </c>
      <c r="CB168" s="8"/>
      <c r="CC168" s="8"/>
      <c r="CD168" s="8"/>
      <c r="CE168" s="8"/>
      <c r="CF168" s="7"/>
    </row>
    <row r="169" spans="1:84" s="89" customFormat="1" ht="12.95" customHeight="1" thickBot="1" x14ac:dyDescent="0.3">
      <c r="D169" s="313"/>
      <c r="E169" s="314"/>
      <c r="F169" s="313"/>
      <c r="G169" s="315"/>
      <c r="H169" s="22" t="s">
        <v>0</v>
      </c>
      <c r="I169" s="139">
        <f t="shared" ref="I169:BU169" si="590">SUM(I170:I179)</f>
        <v>339971359</v>
      </c>
      <c r="J169" s="34">
        <f t="shared" si="590"/>
        <v>250098941</v>
      </c>
      <c r="K169" s="34">
        <f t="shared" si="590"/>
        <v>218454115</v>
      </c>
      <c r="L169" s="34">
        <f t="shared" si="590"/>
        <v>31644826</v>
      </c>
      <c r="M169" s="34">
        <f t="shared" si="590"/>
        <v>0</v>
      </c>
      <c r="N169" s="34">
        <f t="shared" si="590"/>
        <v>0</v>
      </c>
      <c r="O169" s="34">
        <f t="shared" si="590"/>
        <v>0</v>
      </c>
      <c r="P169" s="34">
        <f t="shared" si="590"/>
        <v>84533440</v>
      </c>
      <c r="Q169" s="34">
        <f t="shared" si="590"/>
        <v>2500991</v>
      </c>
      <c r="R169" s="34">
        <f t="shared" si="590"/>
        <v>2837987</v>
      </c>
      <c r="S169" s="35">
        <f t="shared" si="590"/>
        <v>438.74279999999993</v>
      </c>
      <c r="T169" s="35">
        <f t="shared" si="590"/>
        <v>343.10930000000002</v>
      </c>
      <c r="U169" s="36">
        <f t="shared" si="590"/>
        <v>95.633499999999998</v>
      </c>
      <c r="V169" s="149">
        <f t="shared" si="590"/>
        <v>-776960</v>
      </c>
      <c r="W169" s="34">
        <f t="shared" si="590"/>
        <v>-244608</v>
      </c>
      <c r="X169" s="34">
        <f t="shared" si="590"/>
        <v>18050484</v>
      </c>
      <c r="Y169" s="34">
        <f t="shared" si="590"/>
        <v>0</v>
      </c>
      <c r="Z169" s="34">
        <f t="shared" si="590"/>
        <v>0</v>
      </c>
      <c r="AA169" s="34">
        <f t="shared" si="590"/>
        <v>30452</v>
      </c>
      <c r="AB169" s="768">
        <f t="shared" si="590"/>
        <v>1240800</v>
      </c>
      <c r="AC169" s="34">
        <f t="shared" si="590"/>
        <v>0</v>
      </c>
      <c r="AD169" s="34">
        <f t="shared" si="590"/>
        <v>0</v>
      </c>
      <c r="AE169" s="34">
        <f t="shared" si="590"/>
        <v>0</v>
      </c>
      <c r="AF169" s="34">
        <f t="shared" si="590"/>
        <v>18544776</v>
      </c>
      <c r="AG169" s="34">
        <f t="shared" si="590"/>
        <v>-244608</v>
      </c>
      <c r="AH169" s="34">
        <f t="shared" si="590"/>
        <v>18300168</v>
      </c>
      <c r="AI169" s="34">
        <f t="shared" si="590"/>
        <v>776960</v>
      </c>
      <c r="AJ169" s="34">
        <f t="shared" si="590"/>
        <v>244608</v>
      </c>
      <c r="AK169" s="768">
        <f t="shared" ref="AK169" si="591">SUM(AK170:AK179)</f>
        <v>225600</v>
      </c>
      <c r="AL169" s="34">
        <f t="shared" si="590"/>
        <v>238760</v>
      </c>
      <c r="AM169" s="34">
        <f t="shared" si="590"/>
        <v>101733</v>
      </c>
      <c r="AN169" s="34">
        <f t="shared" si="590"/>
        <v>74880</v>
      </c>
      <c r="AO169" s="34">
        <f t="shared" si="590"/>
        <v>1343053</v>
      </c>
      <c r="AP169" s="34">
        <f t="shared" si="590"/>
        <v>319488</v>
      </c>
      <c r="AQ169" s="34">
        <f t="shared" si="590"/>
        <v>1662541</v>
      </c>
      <c r="AR169" s="34">
        <f t="shared" si="590"/>
        <v>19887829</v>
      </c>
      <c r="AS169" s="34">
        <f t="shared" si="590"/>
        <v>74880</v>
      </c>
      <c r="AT169" s="34">
        <f t="shared" si="590"/>
        <v>19962709</v>
      </c>
      <c r="AU169" s="34">
        <f t="shared" si="590"/>
        <v>6687702</v>
      </c>
      <c r="AV169" s="34">
        <f t="shared" si="590"/>
        <v>182998</v>
      </c>
      <c r="AW169" s="34">
        <f t="shared" si="590"/>
        <v>16150</v>
      </c>
      <c r="AX169" s="34">
        <f t="shared" si="590"/>
        <v>0</v>
      </c>
      <c r="AY169" s="34">
        <f t="shared" si="590"/>
        <v>16150</v>
      </c>
      <c r="AZ169" s="34">
        <f t="shared" si="590"/>
        <v>26849559</v>
      </c>
      <c r="BA169" s="35">
        <f t="shared" si="590"/>
        <v>-0.76000000000000012</v>
      </c>
      <c r="BB169" s="35">
        <f t="shared" si="590"/>
        <v>-0.4</v>
      </c>
      <c r="BC169" s="35">
        <f t="shared" si="590"/>
        <v>47.39</v>
      </c>
      <c r="BD169" s="35">
        <f t="shared" si="590"/>
        <v>2.2000000000000002</v>
      </c>
      <c r="BE169" s="35">
        <f t="shared" si="590"/>
        <v>0</v>
      </c>
      <c r="BF169" s="35">
        <f t="shared" si="590"/>
        <v>0</v>
      </c>
      <c r="BG169" s="35">
        <f t="shared" si="590"/>
        <v>0</v>
      </c>
      <c r="BH169" s="35">
        <f t="shared" si="590"/>
        <v>0.04</v>
      </c>
      <c r="BI169" s="35">
        <f t="shared" si="590"/>
        <v>0</v>
      </c>
      <c r="BJ169" s="35">
        <f t="shared" si="590"/>
        <v>0</v>
      </c>
      <c r="BK169" s="35">
        <f t="shared" si="590"/>
        <v>48.87</v>
      </c>
      <c r="BL169" s="35">
        <f t="shared" si="590"/>
        <v>-0.4</v>
      </c>
      <c r="BM169" s="148">
        <f t="shared" si="590"/>
        <v>48.470000000000006</v>
      </c>
      <c r="BN169" s="139">
        <f t="shared" si="590"/>
        <v>366820918</v>
      </c>
      <c r="BO169" s="34">
        <f t="shared" si="590"/>
        <v>268399109</v>
      </c>
      <c r="BP169" s="34">
        <f t="shared" si="590"/>
        <v>236998891</v>
      </c>
      <c r="BQ169" s="34">
        <f t="shared" si="590"/>
        <v>31400218</v>
      </c>
      <c r="BR169" s="34">
        <f t="shared" si="590"/>
        <v>1662541</v>
      </c>
      <c r="BS169" s="34">
        <f t="shared" si="590"/>
        <v>1343053</v>
      </c>
      <c r="BT169" s="34">
        <f t="shared" si="590"/>
        <v>319488</v>
      </c>
      <c r="BU169" s="34">
        <f t="shared" si="590"/>
        <v>91221142</v>
      </c>
      <c r="BV169" s="34">
        <f t="shared" ref="BV169:BZ169" si="592">SUM(BV170:BV179)</f>
        <v>2683989</v>
      </c>
      <c r="BW169" s="34">
        <f t="shared" si="592"/>
        <v>2854137</v>
      </c>
      <c r="BX169" s="35">
        <f t="shared" si="592"/>
        <v>487.21280000000007</v>
      </c>
      <c r="BY169" s="35">
        <f t="shared" si="592"/>
        <v>391.97930000000008</v>
      </c>
      <c r="BZ169" s="148">
        <f t="shared" si="592"/>
        <v>95.233499999999992</v>
      </c>
      <c r="CA169" s="779">
        <f t="shared" ref="CA169:CF169" si="593">SUM(CA170:CA179)</f>
        <v>1974452</v>
      </c>
      <c r="CB169" s="768">
        <f t="shared" si="593"/>
        <v>1240800</v>
      </c>
      <c r="CC169" s="768">
        <f t="shared" si="593"/>
        <v>225600</v>
      </c>
      <c r="CD169" s="768">
        <f t="shared" si="593"/>
        <v>495644</v>
      </c>
      <c r="CE169" s="768">
        <f t="shared" si="593"/>
        <v>12408</v>
      </c>
      <c r="CF169" s="781">
        <f t="shared" si="593"/>
        <v>2.2000000000000002</v>
      </c>
    </row>
    <row r="170" spans="1:84" s="89" customFormat="1" ht="12.95" customHeight="1" x14ac:dyDescent="0.25">
      <c r="D170" s="313"/>
      <c r="E170" s="314"/>
      <c r="F170" s="313"/>
      <c r="G170" s="315"/>
      <c r="H170" s="1">
        <v>3111</v>
      </c>
      <c r="I170" s="503">
        <f t="shared" ref="I170:CA170" si="594">SUMIF($F$12:$F$463,"=3111",I$12:I$463)</f>
        <v>70311808</v>
      </c>
      <c r="J170" s="504">
        <f t="shared" si="594"/>
        <v>51983902</v>
      </c>
      <c r="K170" s="504">
        <f t="shared" si="594"/>
        <v>47705824</v>
      </c>
      <c r="L170" s="504">
        <f t="shared" si="594"/>
        <v>4278078</v>
      </c>
      <c r="M170" s="504">
        <f t="shared" si="594"/>
        <v>0</v>
      </c>
      <c r="N170" s="504">
        <f t="shared" si="594"/>
        <v>0</v>
      </c>
      <c r="O170" s="504">
        <f t="shared" si="594"/>
        <v>0</v>
      </c>
      <c r="P170" s="504">
        <f t="shared" si="594"/>
        <v>17570558</v>
      </c>
      <c r="Q170" s="504">
        <f t="shared" si="594"/>
        <v>519838</v>
      </c>
      <c r="R170" s="504">
        <f t="shared" si="594"/>
        <v>237510</v>
      </c>
      <c r="S170" s="507">
        <f t="shared" si="594"/>
        <v>97.993800000000007</v>
      </c>
      <c r="T170" s="507">
        <f t="shared" si="594"/>
        <v>82.993000000000009</v>
      </c>
      <c r="U170" s="510">
        <f t="shared" si="594"/>
        <v>15.000800000000002</v>
      </c>
      <c r="V170" s="505">
        <f t="shared" si="594"/>
        <v>-39680</v>
      </c>
      <c r="W170" s="504">
        <f t="shared" si="594"/>
        <v>-64896</v>
      </c>
      <c r="X170" s="504">
        <f t="shared" si="594"/>
        <v>3953234</v>
      </c>
      <c r="Y170" s="504">
        <f t="shared" si="594"/>
        <v>0</v>
      </c>
      <c r="Z170" s="504">
        <f t="shared" si="594"/>
        <v>0</v>
      </c>
      <c r="AA170" s="504">
        <f t="shared" si="594"/>
        <v>0</v>
      </c>
      <c r="AB170" s="504">
        <f t="shared" si="594"/>
        <v>0</v>
      </c>
      <c r="AC170" s="504">
        <f t="shared" si="594"/>
        <v>0</v>
      </c>
      <c r="AD170" s="504">
        <f t="shared" si="594"/>
        <v>0</v>
      </c>
      <c r="AE170" s="504">
        <f t="shared" si="594"/>
        <v>0</v>
      </c>
      <c r="AF170" s="504">
        <f t="shared" si="594"/>
        <v>3913554</v>
      </c>
      <c r="AG170" s="504">
        <f t="shared" si="594"/>
        <v>-64896</v>
      </c>
      <c r="AH170" s="504">
        <f t="shared" si="594"/>
        <v>3848658</v>
      </c>
      <c r="AI170" s="504">
        <f t="shared" si="594"/>
        <v>39680</v>
      </c>
      <c r="AJ170" s="504">
        <f t="shared" si="594"/>
        <v>64896</v>
      </c>
      <c r="AK170" s="504">
        <f t="shared" si="594"/>
        <v>0</v>
      </c>
      <c r="AL170" s="504">
        <f t="shared" si="594"/>
        <v>78000</v>
      </c>
      <c r="AM170" s="504">
        <f t="shared" si="594"/>
        <v>0</v>
      </c>
      <c r="AN170" s="504">
        <f t="shared" si="594"/>
        <v>0</v>
      </c>
      <c r="AO170" s="504">
        <f t="shared" si="594"/>
        <v>117680</v>
      </c>
      <c r="AP170" s="504">
        <f t="shared" si="594"/>
        <v>64896</v>
      </c>
      <c r="AQ170" s="504">
        <f t="shared" si="594"/>
        <v>182576</v>
      </c>
      <c r="AR170" s="504">
        <f t="shared" si="594"/>
        <v>4031234</v>
      </c>
      <c r="AS170" s="504">
        <f t="shared" si="594"/>
        <v>0</v>
      </c>
      <c r="AT170" s="504">
        <f t="shared" si="594"/>
        <v>4031234</v>
      </c>
      <c r="AU170" s="504">
        <f t="shared" si="594"/>
        <v>1362557</v>
      </c>
      <c r="AV170" s="504">
        <f t="shared" si="594"/>
        <v>38486</v>
      </c>
      <c r="AW170" s="504">
        <f t="shared" si="594"/>
        <v>0</v>
      </c>
      <c r="AX170" s="504">
        <f t="shared" si="594"/>
        <v>0</v>
      </c>
      <c r="AY170" s="504">
        <f t="shared" si="594"/>
        <v>0</v>
      </c>
      <c r="AZ170" s="504">
        <f t="shared" si="594"/>
        <v>5432277</v>
      </c>
      <c r="BA170" s="507">
        <f t="shared" si="594"/>
        <v>-0.03</v>
      </c>
      <c r="BB170" s="507">
        <f t="shared" si="594"/>
        <v>-0.08</v>
      </c>
      <c r="BC170" s="507">
        <f t="shared" si="594"/>
        <v>10.63</v>
      </c>
      <c r="BD170" s="507">
        <f t="shared" si="594"/>
        <v>0</v>
      </c>
      <c r="BE170" s="507">
        <f t="shared" si="594"/>
        <v>0</v>
      </c>
      <c r="BF170" s="507">
        <f t="shared" si="594"/>
        <v>0</v>
      </c>
      <c r="BG170" s="507">
        <f t="shared" si="594"/>
        <v>0</v>
      </c>
      <c r="BH170" s="507">
        <f t="shared" si="594"/>
        <v>0</v>
      </c>
      <c r="BI170" s="507">
        <f t="shared" si="594"/>
        <v>0</v>
      </c>
      <c r="BJ170" s="507">
        <f t="shared" si="594"/>
        <v>0</v>
      </c>
      <c r="BK170" s="507">
        <f t="shared" si="594"/>
        <v>10.600000000000001</v>
      </c>
      <c r="BL170" s="507">
        <f t="shared" si="594"/>
        <v>-0.08</v>
      </c>
      <c r="BM170" s="508">
        <f t="shared" si="594"/>
        <v>10.520000000000001</v>
      </c>
      <c r="BN170" s="503">
        <f t="shared" si="594"/>
        <v>75744085</v>
      </c>
      <c r="BO170" s="504">
        <f t="shared" si="594"/>
        <v>55832560</v>
      </c>
      <c r="BP170" s="504">
        <f t="shared" si="594"/>
        <v>51619378</v>
      </c>
      <c r="BQ170" s="504">
        <f t="shared" si="594"/>
        <v>4213182</v>
      </c>
      <c r="BR170" s="504">
        <f t="shared" si="594"/>
        <v>182576</v>
      </c>
      <c r="BS170" s="504">
        <f t="shared" si="594"/>
        <v>117680</v>
      </c>
      <c r="BT170" s="504">
        <f t="shared" si="594"/>
        <v>64896</v>
      </c>
      <c r="BU170" s="504">
        <f t="shared" si="594"/>
        <v>18933115</v>
      </c>
      <c r="BV170" s="504">
        <f t="shared" si="594"/>
        <v>558324</v>
      </c>
      <c r="BW170" s="504">
        <f t="shared" si="594"/>
        <v>237510</v>
      </c>
      <c r="BX170" s="507">
        <f t="shared" si="594"/>
        <v>108.51379999999999</v>
      </c>
      <c r="BY170" s="507">
        <f t="shared" si="594"/>
        <v>93.593000000000018</v>
      </c>
      <c r="BZ170" s="508">
        <f t="shared" si="594"/>
        <v>14.9208</v>
      </c>
      <c r="CA170" s="503">
        <f t="shared" si="594"/>
        <v>0</v>
      </c>
      <c r="CB170" s="504">
        <f t="shared" ref="CB170:CF170" si="595">SUMIF($F$12:$F$463,"=3111",CB$12:CB$463)</f>
        <v>0</v>
      </c>
      <c r="CC170" s="504">
        <f t="shared" si="595"/>
        <v>0</v>
      </c>
      <c r="CD170" s="504">
        <f t="shared" si="595"/>
        <v>0</v>
      </c>
      <c r="CE170" s="504">
        <f t="shared" si="595"/>
        <v>0</v>
      </c>
      <c r="CF170" s="510">
        <f t="shared" si="595"/>
        <v>0</v>
      </c>
    </row>
    <row r="171" spans="1:84" s="89" customFormat="1" ht="12.95" customHeight="1" x14ac:dyDescent="0.25">
      <c r="D171" s="313"/>
      <c r="E171" s="314"/>
      <c r="F171" s="313"/>
      <c r="G171" s="315"/>
      <c r="H171" s="2">
        <v>3113</v>
      </c>
      <c r="I171" s="167">
        <f t="shared" ref="I171:CA171" si="596">SUMIF($F$12:$F$463,"=3113",I$12:I$463)</f>
        <v>138934998</v>
      </c>
      <c r="J171" s="16">
        <f t="shared" si="596"/>
        <v>101646494</v>
      </c>
      <c r="K171" s="16">
        <f t="shared" si="596"/>
        <v>93367266</v>
      </c>
      <c r="L171" s="16">
        <f t="shared" si="596"/>
        <v>8279228</v>
      </c>
      <c r="M171" s="16">
        <f t="shared" si="596"/>
        <v>0</v>
      </c>
      <c r="N171" s="16">
        <f t="shared" si="596"/>
        <v>0</v>
      </c>
      <c r="O171" s="16">
        <f t="shared" si="596"/>
        <v>0</v>
      </c>
      <c r="P171" s="16">
        <f t="shared" si="596"/>
        <v>34356516</v>
      </c>
      <c r="Q171" s="16">
        <f t="shared" si="596"/>
        <v>1016466</v>
      </c>
      <c r="R171" s="16">
        <f t="shared" si="596"/>
        <v>1915522</v>
      </c>
      <c r="S171" s="13">
        <f t="shared" si="596"/>
        <v>159.20129999999997</v>
      </c>
      <c r="T171" s="13">
        <f t="shared" si="596"/>
        <v>135.21890000000002</v>
      </c>
      <c r="U171" s="17">
        <f t="shared" si="596"/>
        <v>23.982399999999998</v>
      </c>
      <c r="V171" s="168">
        <f t="shared" si="596"/>
        <v>-408320</v>
      </c>
      <c r="W171" s="16">
        <f t="shared" si="596"/>
        <v>-34560</v>
      </c>
      <c r="X171" s="16">
        <f t="shared" si="596"/>
        <v>11245052</v>
      </c>
      <c r="Y171" s="16">
        <f t="shared" si="596"/>
        <v>0</v>
      </c>
      <c r="Z171" s="16">
        <f t="shared" si="596"/>
        <v>0</v>
      </c>
      <c r="AA171" s="16">
        <f t="shared" si="596"/>
        <v>30452</v>
      </c>
      <c r="AB171" s="16">
        <f t="shared" si="596"/>
        <v>1128000</v>
      </c>
      <c r="AC171" s="16">
        <f t="shared" si="596"/>
        <v>0</v>
      </c>
      <c r="AD171" s="16">
        <f t="shared" si="596"/>
        <v>0</v>
      </c>
      <c r="AE171" s="16">
        <f t="shared" si="596"/>
        <v>0</v>
      </c>
      <c r="AF171" s="16">
        <f t="shared" si="596"/>
        <v>11995184</v>
      </c>
      <c r="AG171" s="16">
        <f t="shared" si="596"/>
        <v>-34560</v>
      </c>
      <c r="AH171" s="16">
        <f t="shared" si="596"/>
        <v>11960624</v>
      </c>
      <c r="AI171" s="16">
        <f t="shared" si="596"/>
        <v>408320</v>
      </c>
      <c r="AJ171" s="16">
        <f t="shared" si="596"/>
        <v>34560</v>
      </c>
      <c r="AK171" s="16">
        <f t="shared" si="596"/>
        <v>225600</v>
      </c>
      <c r="AL171" s="16">
        <f t="shared" si="596"/>
        <v>0</v>
      </c>
      <c r="AM171" s="16">
        <f t="shared" si="596"/>
        <v>101733</v>
      </c>
      <c r="AN171" s="16">
        <f t="shared" si="596"/>
        <v>0</v>
      </c>
      <c r="AO171" s="16">
        <f t="shared" si="596"/>
        <v>735653</v>
      </c>
      <c r="AP171" s="16">
        <f t="shared" si="596"/>
        <v>34560</v>
      </c>
      <c r="AQ171" s="16">
        <f t="shared" si="596"/>
        <v>770213</v>
      </c>
      <c r="AR171" s="16">
        <f t="shared" si="596"/>
        <v>12730837</v>
      </c>
      <c r="AS171" s="16">
        <f t="shared" si="596"/>
        <v>0</v>
      </c>
      <c r="AT171" s="16">
        <f t="shared" si="596"/>
        <v>12730837</v>
      </c>
      <c r="AU171" s="16">
        <f t="shared" si="596"/>
        <v>4268638</v>
      </c>
      <c r="AV171" s="16">
        <f t="shared" si="596"/>
        <v>119604</v>
      </c>
      <c r="AW171" s="16">
        <f t="shared" si="596"/>
        <v>6400</v>
      </c>
      <c r="AX171" s="16">
        <f t="shared" si="596"/>
        <v>0</v>
      </c>
      <c r="AY171" s="16">
        <f t="shared" si="596"/>
        <v>6400</v>
      </c>
      <c r="AZ171" s="16">
        <f t="shared" si="596"/>
        <v>17125479</v>
      </c>
      <c r="BA171" s="13">
        <f t="shared" si="596"/>
        <v>-0.46</v>
      </c>
      <c r="BB171" s="13">
        <f t="shared" si="596"/>
        <v>-0.09</v>
      </c>
      <c r="BC171" s="13">
        <f t="shared" si="596"/>
        <v>29.259999999999998</v>
      </c>
      <c r="BD171" s="13">
        <f t="shared" si="596"/>
        <v>2</v>
      </c>
      <c r="BE171" s="13">
        <f t="shared" si="596"/>
        <v>0</v>
      </c>
      <c r="BF171" s="13">
        <f t="shared" si="596"/>
        <v>0</v>
      </c>
      <c r="BG171" s="13">
        <f t="shared" si="596"/>
        <v>0</v>
      </c>
      <c r="BH171" s="13">
        <f t="shared" si="596"/>
        <v>0.04</v>
      </c>
      <c r="BI171" s="13">
        <f t="shared" si="596"/>
        <v>0</v>
      </c>
      <c r="BJ171" s="13">
        <f t="shared" si="596"/>
        <v>0</v>
      </c>
      <c r="BK171" s="13">
        <f t="shared" si="596"/>
        <v>30.84</v>
      </c>
      <c r="BL171" s="13">
        <f t="shared" si="596"/>
        <v>-0.09</v>
      </c>
      <c r="BM171" s="169">
        <f t="shared" si="596"/>
        <v>30.75</v>
      </c>
      <c r="BN171" s="167">
        <f t="shared" si="596"/>
        <v>156060477</v>
      </c>
      <c r="BO171" s="16">
        <f t="shared" si="596"/>
        <v>113607118</v>
      </c>
      <c r="BP171" s="16">
        <f t="shared" si="596"/>
        <v>105362450</v>
      </c>
      <c r="BQ171" s="16">
        <f t="shared" si="596"/>
        <v>8244668</v>
      </c>
      <c r="BR171" s="16">
        <f t="shared" si="596"/>
        <v>770213</v>
      </c>
      <c r="BS171" s="16">
        <f t="shared" si="596"/>
        <v>735653</v>
      </c>
      <c r="BT171" s="16">
        <f t="shared" si="596"/>
        <v>34560</v>
      </c>
      <c r="BU171" s="16">
        <f t="shared" si="596"/>
        <v>38625154</v>
      </c>
      <c r="BV171" s="16">
        <f t="shared" si="596"/>
        <v>1136070</v>
      </c>
      <c r="BW171" s="16">
        <f t="shared" si="596"/>
        <v>1921922</v>
      </c>
      <c r="BX171" s="13">
        <f t="shared" si="596"/>
        <v>189.9513</v>
      </c>
      <c r="BY171" s="13">
        <f t="shared" si="596"/>
        <v>166.05890000000002</v>
      </c>
      <c r="BZ171" s="169">
        <f t="shared" si="596"/>
        <v>23.892399999999999</v>
      </c>
      <c r="CA171" s="167">
        <f t="shared" si="596"/>
        <v>1822398</v>
      </c>
      <c r="CB171" s="16">
        <f t="shared" ref="CB171:CF171" si="597">SUMIF($F$12:$F$463,"=3113",CB$12:CB$463)</f>
        <v>1128000</v>
      </c>
      <c r="CC171" s="16">
        <f t="shared" si="597"/>
        <v>225600</v>
      </c>
      <c r="CD171" s="16">
        <f t="shared" si="597"/>
        <v>457518</v>
      </c>
      <c r="CE171" s="16">
        <f t="shared" si="597"/>
        <v>11280</v>
      </c>
      <c r="CF171" s="17">
        <f t="shared" si="597"/>
        <v>2</v>
      </c>
    </row>
    <row r="172" spans="1:84" s="89" customFormat="1" ht="12.95" customHeight="1" x14ac:dyDescent="0.25">
      <c r="D172" s="313"/>
      <c r="E172" s="314"/>
      <c r="F172" s="313"/>
      <c r="G172" s="315"/>
      <c r="H172" s="2">
        <v>3114</v>
      </c>
      <c r="I172" s="167">
        <f t="shared" ref="I172:CA172" si="598">SUMIF($F$12:$F$463,"=3114",I$12:I$463)</f>
        <v>20310662</v>
      </c>
      <c r="J172" s="16">
        <f t="shared" si="598"/>
        <v>14983889</v>
      </c>
      <c r="K172" s="16">
        <f t="shared" si="598"/>
        <v>13883617</v>
      </c>
      <c r="L172" s="16">
        <f t="shared" si="598"/>
        <v>1100272</v>
      </c>
      <c r="M172" s="16">
        <f t="shared" si="598"/>
        <v>0</v>
      </c>
      <c r="N172" s="16">
        <f t="shared" si="598"/>
        <v>0</v>
      </c>
      <c r="O172" s="16">
        <f t="shared" si="598"/>
        <v>0</v>
      </c>
      <c r="P172" s="16">
        <f t="shared" si="598"/>
        <v>5064555</v>
      </c>
      <c r="Q172" s="16">
        <f t="shared" si="598"/>
        <v>149838</v>
      </c>
      <c r="R172" s="16">
        <f t="shared" si="598"/>
        <v>112380</v>
      </c>
      <c r="S172" s="13">
        <f t="shared" si="598"/>
        <v>23.4344</v>
      </c>
      <c r="T172" s="13">
        <f t="shared" si="598"/>
        <v>20.281099999999999</v>
      </c>
      <c r="U172" s="17">
        <f t="shared" si="598"/>
        <v>3.1532999999999998</v>
      </c>
      <c r="V172" s="168">
        <f t="shared" si="598"/>
        <v>-32000</v>
      </c>
      <c r="W172" s="16">
        <f t="shared" si="598"/>
        <v>-35200</v>
      </c>
      <c r="X172" s="16">
        <f t="shared" si="598"/>
        <v>0</v>
      </c>
      <c r="Y172" s="16">
        <f t="shared" si="598"/>
        <v>0</v>
      </c>
      <c r="Z172" s="16">
        <f t="shared" si="598"/>
        <v>0</v>
      </c>
      <c r="AA172" s="16">
        <f t="shared" si="598"/>
        <v>0</v>
      </c>
      <c r="AB172" s="16">
        <f t="shared" si="598"/>
        <v>0</v>
      </c>
      <c r="AC172" s="16">
        <f t="shared" si="598"/>
        <v>0</v>
      </c>
      <c r="AD172" s="16">
        <f t="shared" si="598"/>
        <v>0</v>
      </c>
      <c r="AE172" s="16">
        <f t="shared" si="598"/>
        <v>0</v>
      </c>
      <c r="AF172" s="16">
        <f t="shared" si="598"/>
        <v>-32000</v>
      </c>
      <c r="AG172" s="16">
        <f t="shared" si="598"/>
        <v>-35200</v>
      </c>
      <c r="AH172" s="16">
        <f t="shared" si="598"/>
        <v>-67200</v>
      </c>
      <c r="AI172" s="16">
        <f t="shared" si="598"/>
        <v>32000</v>
      </c>
      <c r="AJ172" s="16">
        <f t="shared" si="598"/>
        <v>35200</v>
      </c>
      <c r="AK172" s="16">
        <f t="shared" si="598"/>
        <v>0</v>
      </c>
      <c r="AL172" s="16">
        <f t="shared" si="598"/>
        <v>105920</v>
      </c>
      <c r="AM172" s="16">
        <f t="shared" si="598"/>
        <v>0</v>
      </c>
      <c r="AN172" s="16">
        <f t="shared" si="598"/>
        <v>0</v>
      </c>
      <c r="AO172" s="16">
        <f t="shared" si="598"/>
        <v>137920</v>
      </c>
      <c r="AP172" s="16">
        <f t="shared" si="598"/>
        <v>35200</v>
      </c>
      <c r="AQ172" s="16">
        <f t="shared" si="598"/>
        <v>173120</v>
      </c>
      <c r="AR172" s="16">
        <f t="shared" si="598"/>
        <v>105920</v>
      </c>
      <c r="AS172" s="16">
        <f t="shared" si="598"/>
        <v>0</v>
      </c>
      <c r="AT172" s="16">
        <f t="shared" si="598"/>
        <v>105920</v>
      </c>
      <c r="AU172" s="16">
        <f t="shared" si="598"/>
        <v>35801</v>
      </c>
      <c r="AV172" s="16">
        <f t="shared" si="598"/>
        <v>-672</v>
      </c>
      <c r="AW172" s="16">
        <f t="shared" si="598"/>
        <v>0</v>
      </c>
      <c r="AX172" s="16">
        <f t="shared" si="598"/>
        <v>0</v>
      </c>
      <c r="AY172" s="16">
        <f t="shared" si="598"/>
        <v>0</v>
      </c>
      <c r="AZ172" s="16">
        <f t="shared" si="598"/>
        <v>141049</v>
      </c>
      <c r="BA172" s="13">
        <f t="shared" si="598"/>
        <v>-0.05</v>
      </c>
      <c r="BB172" s="13">
        <f t="shared" si="598"/>
        <v>-0.11</v>
      </c>
      <c r="BC172" s="13">
        <f t="shared" si="598"/>
        <v>0</v>
      </c>
      <c r="BD172" s="13">
        <f t="shared" si="598"/>
        <v>0</v>
      </c>
      <c r="BE172" s="13">
        <f t="shared" si="598"/>
        <v>0</v>
      </c>
      <c r="BF172" s="13">
        <f t="shared" si="598"/>
        <v>0</v>
      </c>
      <c r="BG172" s="13">
        <f t="shared" si="598"/>
        <v>0</v>
      </c>
      <c r="BH172" s="13">
        <f t="shared" si="598"/>
        <v>0</v>
      </c>
      <c r="BI172" s="13">
        <f t="shared" si="598"/>
        <v>0</v>
      </c>
      <c r="BJ172" s="13">
        <f t="shared" si="598"/>
        <v>0</v>
      </c>
      <c r="BK172" s="13">
        <f t="shared" si="598"/>
        <v>-0.05</v>
      </c>
      <c r="BL172" s="13">
        <f t="shared" si="598"/>
        <v>-0.11</v>
      </c>
      <c r="BM172" s="169">
        <f t="shared" si="598"/>
        <v>-0.16</v>
      </c>
      <c r="BN172" s="167">
        <f t="shared" si="598"/>
        <v>20451711</v>
      </c>
      <c r="BO172" s="16">
        <f t="shared" si="598"/>
        <v>14916689</v>
      </c>
      <c r="BP172" s="16">
        <f t="shared" si="598"/>
        <v>13851617</v>
      </c>
      <c r="BQ172" s="16">
        <f t="shared" si="598"/>
        <v>1065072</v>
      </c>
      <c r="BR172" s="16">
        <f t="shared" si="598"/>
        <v>173120</v>
      </c>
      <c r="BS172" s="16">
        <f t="shared" si="598"/>
        <v>137920</v>
      </c>
      <c r="BT172" s="16">
        <f t="shared" si="598"/>
        <v>35200</v>
      </c>
      <c r="BU172" s="16">
        <f t="shared" si="598"/>
        <v>5100356</v>
      </c>
      <c r="BV172" s="16">
        <f t="shared" si="598"/>
        <v>149166</v>
      </c>
      <c r="BW172" s="16">
        <f t="shared" si="598"/>
        <v>112380</v>
      </c>
      <c r="BX172" s="13">
        <f t="shared" si="598"/>
        <v>23.2744</v>
      </c>
      <c r="BY172" s="13">
        <f t="shared" si="598"/>
        <v>20.231099999999998</v>
      </c>
      <c r="BZ172" s="169">
        <f t="shared" si="598"/>
        <v>3.0432999999999999</v>
      </c>
      <c r="CA172" s="167">
        <f t="shared" si="598"/>
        <v>0</v>
      </c>
      <c r="CB172" s="16">
        <f t="shared" ref="CB172:CF172" si="599">SUMIF($F$12:$F$463,"=3114",CB$12:CB$463)</f>
        <v>0</v>
      </c>
      <c r="CC172" s="16">
        <f t="shared" si="599"/>
        <v>0</v>
      </c>
      <c r="CD172" s="16">
        <f t="shared" si="599"/>
        <v>0</v>
      </c>
      <c r="CE172" s="16">
        <f t="shared" si="599"/>
        <v>0</v>
      </c>
      <c r="CF172" s="17">
        <f t="shared" si="599"/>
        <v>0</v>
      </c>
    </row>
    <row r="173" spans="1:84" s="89" customFormat="1" ht="12.95" customHeight="1" x14ac:dyDescent="0.25">
      <c r="D173" s="313"/>
      <c r="E173" s="314"/>
      <c r="F173" s="313"/>
      <c r="G173" s="315"/>
      <c r="H173" s="2">
        <v>3117</v>
      </c>
      <c r="I173" s="167">
        <f t="shared" ref="I173:CA173" si="600">SUMIF($F$12:$F$463,"=3117",I$12:I$463)</f>
        <v>25281307</v>
      </c>
      <c r="J173" s="16">
        <f t="shared" si="600"/>
        <v>18491118</v>
      </c>
      <c r="K173" s="16">
        <f t="shared" si="600"/>
        <v>16114402</v>
      </c>
      <c r="L173" s="16">
        <f t="shared" si="600"/>
        <v>2376716</v>
      </c>
      <c r="M173" s="16">
        <f t="shared" si="600"/>
        <v>0</v>
      </c>
      <c r="N173" s="16">
        <f t="shared" si="600"/>
        <v>0</v>
      </c>
      <c r="O173" s="16">
        <f t="shared" si="600"/>
        <v>0</v>
      </c>
      <c r="P173" s="16">
        <f t="shared" si="600"/>
        <v>6249998</v>
      </c>
      <c r="Q173" s="16">
        <f t="shared" si="600"/>
        <v>184912</v>
      </c>
      <c r="R173" s="16">
        <f t="shared" si="600"/>
        <v>355279</v>
      </c>
      <c r="S173" s="13">
        <f t="shared" si="600"/>
        <v>31.469500000000004</v>
      </c>
      <c r="T173" s="13">
        <f t="shared" si="600"/>
        <v>24.971</v>
      </c>
      <c r="U173" s="17">
        <f t="shared" si="600"/>
        <v>6.4984999999999999</v>
      </c>
      <c r="V173" s="168">
        <f t="shared" si="600"/>
        <v>-70400</v>
      </c>
      <c r="W173" s="16">
        <f t="shared" si="600"/>
        <v>-34560</v>
      </c>
      <c r="X173" s="16">
        <f t="shared" si="600"/>
        <v>2759498</v>
      </c>
      <c r="Y173" s="16">
        <f t="shared" si="600"/>
        <v>0</v>
      </c>
      <c r="Z173" s="16">
        <f t="shared" si="600"/>
        <v>0</v>
      </c>
      <c r="AA173" s="16">
        <f t="shared" si="600"/>
        <v>0</v>
      </c>
      <c r="AB173" s="16">
        <f t="shared" si="600"/>
        <v>112800</v>
      </c>
      <c r="AC173" s="16">
        <f t="shared" si="600"/>
        <v>0</v>
      </c>
      <c r="AD173" s="16">
        <f t="shared" si="600"/>
        <v>0</v>
      </c>
      <c r="AE173" s="16">
        <f t="shared" si="600"/>
        <v>0</v>
      </c>
      <c r="AF173" s="16">
        <f t="shared" si="600"/>
        <v>2801898</v>
      </c>
      <c r="AG173" s="16">
        <f t="shared" si="600"/>
        <v>-34560</v>
      </c>
      <c r="AH173" s="16">
        <f t="shared" si="600"/>
        <v>2767338</v>
      </c>
      <c r="AI173" s="16">
        <f t="shared" si="600"/>
        <v>70400</v>
      </c>
      <c r="AJ173" s="16">
        <f t="shared" si="600"/>
        <v>34560</v>
      </c>
      <c r="AK173" s="16">
        <f t="shared" si="600"/>
        <v>0</v>
      </c>
      <c r="AL173" s="16">
        <f t="shared" si="600"/>
        <v>26480</v>
      </c>
      <c r="AM173" s="16">
        <f t="shared" si="600"/>
        <v>0</v>
      </c>
      <c r="AN173" s="16">
        <f t="shared" si="600"/>
        <v>0</v>
      </c>
      <c r="AO173" s="16">
        <f t="shared" si="600"/>
        <v>96880</v>
      </c>
      <c r="AP173" s="16">
        <f t="shared" si="600"/>
        <v>34560</v>
      </c>
      <c r="AQ173" s="16">
        <f t="shared" si="600"/>
        <v>131440</v>
      </c>
      <c r="AR173" s="16">
        <f t="shared" si="600"/>
        <v>2898778</v>
      </c>
      <c r="AS173" s="16">
        <f t="shared" si="600"/>
        <v>0</v>
      </c>
      <c r="AT173" s="16">
        <f t="shared" si="600"/>
        <v>2898778</v>
      </c>
      <c r="AU173" s="16">
        <f t="shared" si="600"/>
        <v>979787</v>
      </c>
      <c r="AV173" s="16">
        <f t="shared" si="600"/>
        <v>27672</v>
      </c>
      <c r="AW173" s="16">
        <f t="shared" si="600"/>
        <v>9750</v>
      </c>
      <c r="AX173" s="16">
        <f t="shared" si="600"/>
        <v>0</v>
      </c>
      <c r="AY173" s="16">
        <f t="shared" si="600"/>
        <v>9750</v>
      </c>
      <c r="AZ173" s="16">
        <f t="shared" si="600"/>
        <v>3915987</v>
      </c>
      <c r="BA173" s="13">
        <f t="shared" si="600"/>
        <v>-0.02</v>
      </c>
      <c r="BB173" s="13">
        <f t="shared" si="600"/>
        <v>-0.02</v>
      </c>
      <c r="BC173" s="13">
        <f t="shared" si="600"/>
        <v>7.25</v>
      </c>
      <c r="BD173" s="13">
        <f t="shared" si="600"/>
        <v>0.2</v>
      </c>
      <c r="BE173" s="13">
        <f t="shared" si="600"/>
        <v>0</v>
      </c>
      <c r="BF173" s="13">
        <f t="shared" si="600"/>
        <v>0</v>
      </c>
      <c r="BG173" s="13">
        <f t="shared" si="600"/>
        <v>0</v>
      </c>
      <c r="BH173" s="13">
        <f t="shared" si="600"/>
        <v>0</v>
      </c>
      <c r="BI173" s="13">
        <f t="shared" si="600"/>
        <v>0</v>
      </c>
      <c r="BJ173" s="13">
        <f t="shared" si="600"/>
        <v>0</v>
      </c>
      <c r="BK173" s="13">
        <f t="shared" si="600"/>
        <v>7.43</v>
      </c>
      <c r="BL173" s="13">
        <f t="shared" si="600"/>
        <v>-0.02</v>
      </c>
      <c r="BM173" s="169">
        <f t="shared" si="600"/>
        <v>7.41</v>
      </c>
      <c r="BN173" s="167">
        <f t="shared" si="600"/>
        <v>29197294</v>
      </c>
      <c r="BO173" s="16">
        <f t="shared" si="600"/>
        <v>21258456</v>
      </c>
      <c r="BP173" s="16">
        <f t="shared" si="600"/>
        <v>18916300</v>
      </c>
      <c r="BQ173" s="16">
        <f t="shared" si="600"/>
        <v>2342156</v>
      </c>
      <c r="BR173" s="16">
        <f t="shared" si="600"/>
        <v>131440</v>
      </c>
      <c r="BS173" s="16">
        <f t="shared" si="600"/>
        <v>96880</v>
      </c>
      <c r="BT173" s="16">
        <f t="shared" si="600"/>
        <v>34560</v>
      </c>
      <c r="BU173" s="16">
        <f t="shared" si="600"/>
        <v>7229785</v>
      </c>
      <c r="BV173" s="16">
        <f t="shared" si="600"/>
        <v>212584</v>
      </c>
      <c r="BW173" s="16">
        <f t="shared" si="600"/>
        <v>365029</v>
      </c>
      <c r="BX173" s="13">
        <f t="shared" si="600"/>
        <v>38.879500000000007</v>
      </c>
      <c r="BY173" s="13">
        <f t="shared" si="600"/>
        <v>32.401000000000003</v>
      </c>
      <c r="BZ173" s="169">
        <f t="shared" si="600"/>
        <v>6.4785000000000004</v>
      </c>
      <c r="CA173" s="167">
        <f t="shared" si="600"/>
        <v>152054</v>
      </c>
      <c r="CB173" s="16">
        <f t="shared" ref="CB173:CF173" si="601">SUMIF($F$12:$F$463,"=3117",CB$12:CB$463)</f>
        <v>112800</v>
      </c>
      <c r="CC173" s="16">
        <f t="shared" si="601"/>
        <v>0</v>
      </c>
      <c r="CD173" s="16">
        <f t="shared" si="601"/>
        <v>38126</v>
      </c>
      <c r="CE173" s="16">
        <f t="shared" si="601"/>
        <v>1128</v>
      </c>
      <c r="CF173" s="17">
        <f t="shared" si="601"/>
        <v>0.2</v>
      </c>
    </row>
    <row r="174" spans="1:84" s="89" customFormat="1" ht="12.95" customHeight="1" x14ac:dyDescent="0.25">
      <c r="D174" s="313"/>
      <c r="E174" s="314"/>
      <c r="F174" s="313"/>
      <c r="G174" s="315"/>
      <c r="H174" s="2">
        <v>3122</v>
      </c>
      <c r="I174" s="167">
        <f t="shared" ref="I174:CA174" si="602">SUMIF($F$12:$F$463,"=3122",I$12:I$463)</f>
        <v>10362328</v>
      </c>
      <c r="J174" s="16">
        <f t="shared" si="602"/>
        <v>7646920</v>
      </c>
      <c r="K174" s="16">
        <f t="shared" si="602"/>
        <v>7414644</v>
      </c>
      <c r="L174" s="16">
        <f t="shared" si="602"/>
        <v>232276</v>
      </c>
      <c r="M174" s="16">
        <f t="shared" si="602"/>
        <v>0</v>
      </c>
      <c r="N174" s="16">
        <f t="shared" si="602"/>
        <v>0</v>
      </c>
      <c r="O174" s="16">
        <f t="shared" si="602"/>
        <v>0</v>
      </c>
      <c r="P174" s="16">
        <f t="shared" si="602"/>
        <v>2584659</v>
      </c>
      <c r="Q174" s="16">
        <f t="shared" si="602"/>
        <v>76469</v>
      </c>
      <c r="R174" s="16">
        <f t="shared" si="602"/>
        <v>54280</v>
      </c>
      <c r="S174" s="13">
        <f t="shared" si="602"/>
        <v>10.788599999999999</v>
      </c>
      <c r="T174" s="13">
        <f t="shared" si="602"/>
        <v>10.0954</v>
      </c>
      <c r="U174" s="17">
        <f t="shared" si="602"/>
        <v>0.69320000000000004</v>
      </c>
      <c r="V174" s="168">
        <f t="shared" si="602"/>
        <v>-64000</v>
      </c>
      <c r="W174" s="16">
        <f t="shared" si="602"/>
        <v>0</v>
      </c>
      <c r="X174" s="16">
        <f t="shared" si="602"/>
        <v>0</v>
      </c>
      <c r="Y174" s="16">
        <f t="shared" si="602"/>
        <v>0</v>
      </c>
      <c r="Z174" s="16">
        <f t="shared" si="602"/>
        <v>0</v>
      </c>
      <c r="AA174" s="16">
        <f t="shared" si="602"/>
        <v>0</v>
      </c>
      <c r="AB174" s="16">
        <f t="shared" si="602"/>
        <v>0</v>
      </c>
      <c r="AC174" s="16">
        <f t="shared" si="602"/>
        <v>0</v>
      </c>
      <c r="AD174" s="16">
        <f t="shared" si="602"/>
        <v>0</v>
      </c>
      <c r="AE174" s="16">
        <f t="shared" si="602"/>
        <v>0</v>
      </c>
      <c r="AF174" s="16">
        <f t="shared" si="602"/>
        <v>-64000</v>
      </c>
      <c r="AG174" s="16">
        <f t="shared" si="602"/>
        <v>0</v>
      </c>
      <c r="AH174" s="16">
        <f t="shared" si="602"/>
        <v>-64000</v>
      </c>
      <c r="AI174" s="16">
        <f t="shared" si="602"/>
        <v>64000</v>
      </c>
      <c r="AJ174" s="16">
        <f t="shared" si="602"/>
        <v>0</v>
      </c>
      <c r="AK174" s="16">
        <f t="shared" si="602"/>
        <v>0</v>
      </c>
      <c r="AL174" s="16">
        <f t="shared" si="602"/>
        <v>28360</v>
      </c>
      <c r="AM174" s="16">
        <f t="shared" si="602"/>
        <v>0</v>
      </c>
      <c r="AN174" s="16">
        <f t="shared" si="602"/>
        <v>0</v>
      </c>
      <c r="AO174" s="16">
        <f t="shared" si="602"/>
        <v>92360</v>
      </c>
      <c r="AP174" s="16">
        <f t="shared" si="602"/>
        <v>0</v>
      </c>
      <c r="AQ174" s="16">
        <f t="shared" si="602"/>
        <v>92360</v>
      </c>
      <c r="AR174" s="16">
        <f t="shared" si="602"/>
        <v>28360</v>
      </c>
      <c r="AS174" s="16">
        <f t="shared" si="602"/>
        <v>0</v>
      </c>
      <c r="AT174" s="16">
        <f t="shared" si="602"/>
        <v>28360</v>
      </c>
      <c r="AU174" s="16">
        <f t="shared" si="602"/>
        <v>9586</v>
      </c>
      <c r="AV174" s="16">
        <f t="shared" si="602"/>
        <v>-640</v>
      </c>
      <c r="AW174" s="16">
        <f t="shared" si="602"/>
        <v>0</v>
      </c>
      <c r="AX174" s="16">
        <f t="shared" si="602"/>
        <v>0</v>
      </c>
      <c r="AY174" s="16">
        <f t="shared" si="602"/>
        <v>0</v>
      </c>
      <c r="AZ174" s="16">
        <f t="shared" si="602"/>
        <v>37306</v>
      </c>
      <c r="BA174" s="13">
        <f t="shared" si="602"/>
        <v>-0.04</v>
      </c>
      <c r="BB174" s="13">
        <f t="shared" si="602"/>
        <v>0</v>
      </c>
      <c r="BC174" s="13">
        <f t="shared" si="602"/>
        <v>0</v>
      </c>
      <c r="BD174" s="13">
        <f t="shared" si="602"/>
        <v>0</v>
      </c>
      <c r="BE174" s="13">
        <f t="shared" si="602"/>
        <v>0</v>
      </c>
      <c r="BF174" s="13">
        <f t="shared" si="602"/>
        <v>0</v>
      </c>
      <c r="BG174" s="13">
        <f t="shared" si="602"/>
        <v>0</v>
      </c>
      <c r="BH174" s="13">
        <f t="shared" si="602"/>
        <v>0</v>
      </c>
      <c r="BI174" s="13">
        <f t="shared" si="602"/>
        <v>0</v>
      </c>
      <c r="BJ174" s="13">
        <f t="shared" si="602"/>
        <v>0</v>
      </c>
      <c r="BK174" s="13">
        <f t="shared" si="602"/>
        <v>-0.04</v>
      </c>
      <c r="BL174" s="13">
        <f t="shared" si="602"/>
        <v>0</v>
      </c>
      <c r="BM174" s="169">
        <f t="shared" si="602"/>
        <v>-0.04</v>
      </c>
      <c r="BN174" s="167">
        <f t="shared" si="602"/>
        <v>10399634</v>
      </c>
      <c r="BO174" s="16">
        <f t="shared" si="602"/>
        <v>7582920</v>
      </c>
      <c r="BP174" s="16">
        <f t="shared" si="602"/>
        <v>7350644</v>
      </c>
      <c r="BQ174" s="16">
        <f t="shared" si="602"/>
        <v>232276</v>
      </c>
      <c r="BR174" s="16">
        <f t="shared" si="602"/>
        <v>92360</v>
      </c>
      <c r="BS174" s="16">
        <f t="shared" si="602"/>
        <v>92360</v>
      </c>
      <c r="BT174" s="16">
        <f t="shared" si="602"/>
        <v>0</v>
      </c>
      <c r="BU174" s="16">
        <f t="shared" si="602"/>
        <v>2594245</v>
      </c>
      <c r="BV174" s="16">
        <f t="shared" si="602"/>
        <v>75829</v>
      </c>
      <c r="BW174" s="16">
        <f t="shared" si="602"/>
        <v>54280</v>
      </c>
      <c r="BX174" s="13">
        <f t="shared" si="602"/>
        <v>10.7486</v>
      </c>
      <c r="BY174" s="13">
        <f t="shared" si="602"/>
        <v>10.055400000000001</v>
      </c>
      <c r="BZ174" s="169">
        <f t="shared" si="602"/>
        <v>0.69320000000000004</v>
      </c>
      <c r="CA174" s="167">
        <f t="shared" si="602"/>
        <v>0</v>
      </c>
      <c r="CB174" s="16">
        <f t="shared" ref="CB174:CF174" si="603">SUMIF($F$12:$F$463,"=3122",CB$12:CB$463)</f>
        <v>0</v>
      </c>
      <c r="CC174" s="16">
        <f t="shared" si="603"/>
        <v>0</v>
      </c>
      <c r="CD174" s="16">
        <f t="shared" si="603"/>
        <v>0</v>
      </c>
      <c r="CE174" s="16">
        <f t="shared" si="603"/>
        <v>0</v>
      </c>
      <c r="CF174" s="17">
        <f t="shared" si="603"/>
        <v>0</v>
      </c>
    </row>
    <row r="175" spans="1:84" s="89" customFormat="1" ht="12.95" customHeight="1" x14ac:dyDescent="0.25">
      <c r="D175" s="313"/>
      <c r="E175" s="314"/>
      <c r="F175" s="313"/>
      <c r="G175" s="315"/>
      <c r="H175" s="2">
        <v>3124</v>
      </c>
      <c r="I175" s="167">
        <f t="shared" ref="I175:CA175" si="604">SUMIF($F$12:$F$463,"=3124",I$12:I$463)</f>
        <v>0</v>
      </c>
      <c r="J175" s="16">
        <f t="shared" si="604"/>
        <v>0</v>
      </c>
      <c r="K175" s="16">
        <f t="shared" si="604"/>
        <v>0</v>
      </c>
      <c r="L175" s="16">
        <f t="shared" si="604"/>
        <v>0</v>
      </c>
      <c r="M175" s="16">
        <f t="shared" si="604"/>
        <v>0</v>
      </c>
      <c r="N175" s="16">
        <f t="shared" si="604"/>
        <v>0</v>
      </c>
      <c r="O175" s="16">
        <f t="shared" si="604"/>
        <v>0</v>
      </c>
      <c r="P175" s="16">
        <f t="shared" si="604"/>
        <v>0</v>
      </c>
      <c r="Q175" s="16">
        <f t="shared" si="604"/>
        <v>0</v>
      </c>
      <c r="R175" s="16">
        <f t="shared" si="604"/>
        <v>0</v>
      </c>
      <c r="S175" s="13">
        <f t="shared" si="604"/>
        <v>0</v>
      </c>
      <c r="T175" s="13">
        <f t="shared" si="604"/>
        <v>0</v>
      </c>
      <c r="U175" s="17">
        <f t="shared" si="604"/>
        <v>0</v>
      </c>
      <c r="V175" s="168">
        <f t="shared" si="604"/>
        <v>0</v>
      </c>
      <c r="W175" s="16">
        <f t="shared" si="604"/>
        <v>0</v>
      </c>
      <c r="X175" s="16">
        <f t="shared" si="604"/>
        <v>0</v>
      </c>
      <c r="Y175" s="16">
        <f t="shared" si="604"/>
        <v>0</v>
      </c>
      <c r="Z175" s="16">
        <f t="shared" si="604"/>
        <v>0</v>
      </c>
      <c r="AA175" s="16">
        <f t="shared" si="604"/>
        <v>0</v>
      </c>
      <c r="AB175" s="16">
        <f t="shared" si="604"/>
        <v>0</v>
      </c>
      <c r="AC175" s="16">
        <f t="shared" si="604"/>
        <v>0</v>
      </c>
      <c r="AD175" s="16">
        <f t="shared" si="604"/>
        <v>0</v>
      </c>
      <c r="AE175" s="16">
        <f t="shared" si="604"/>
        <v>0</v>
      </c>
      <c r="AF175" s="16">
        <f t="shared" si="604"/>
        <v>0</v>
      </c>
      <c r="AG175" s="16">
        <f t="shared" si="604"/>
        <v>0</v>
      </c>
      <c r="AH175" s="16">
        <f t="shared" si="604"/>
        <v>0</v>
      </c>
      <c r="AI175" s="16">
        <f t="shared" si="604"/>
        <v>0</v>
      </c>
      <c r="AJ175" s="16">
        <f t="shared" si="604"/>
        <v>0</v>
      </c>
      <c r="AK175" s="16">
        <f t="shared" si="604"/>
        <v>0</v>
      </c>
      <c r="AL175" s="16">
        <f t="shared" si="604"/>
        <v>0</v>
      </c>
      <c r="AM175" s="16">
        <f t="shared" si="604"/>
        <v>0</v>
      </c>
      <c r="AN175" s="16">
        <f t="shared" si="604"/>
        <v>0</v>
      </c>
      <c r="AO175" s="16">
        <f t="shared" si="604"/>
        <v>0</v>
      </c>
      <c r="AP175" s="16">
        <f t="shared" si="604"/>
        <v>0</v>
      </c>
      <c r="AQ175" s="16">
        <f t="shared" si="604"/>
        <v>0</v>
      </c>
      <c r="AR175" s="16">
        <f t="shared" si="604"/>
        <v>0</v>
      </c>
      <c r="AS175" s="16">
        <f t="shared" si="604"/>
        <v>0</v>
      </c>
      <c r="AT175" s="16">
        <f t="shared" si="604"/>
        <v>0</v>
      </c>
      <c r="AU175" s="16">
        <f t="shared" si="604"/>
        <v>0</v>
      </c>
      <c r="AV175" s="16">
        <f t="shared" si="604"/>
        <v>0</v>
      </c>
      <c r="AW175" s="16">
        <f t="shared" si="604"/>
        <v>0</v>
      </c>
      <c r="AX175" s="16">
        <f t="shared" si="604"/>
        <v>0</v>
      </c>
      <c r="AY175" s="16">
        <f t="shared" si="604"/>
        <v>0</v>
      </c>
      <c r="AZ175" s="16">
        <f t="shared" si="604"/>
        <v>0</v>
      </c>
      <c r="BA175" s="13">
        <f t="shared" si="604"/>
        <v>0</v>
      </c>
      <c r="BB175" s="13">
        <f t="shared" si="604"/>
        <v>0</v>
      </c>
      <c r="BC175" s="13">
        <f t="shared" si="604"/>
        <v>0</v>
      </c>
      <c r="BD175" s="13">
        <f t="shared" si="604"/>
        <v>0</v>
      </c>
      <c r="BE175" s="13">
        <f t="shared" si="604"/>
        <v>0</v>
      </c>
      <c r="BF175" s="13">
        <f t="shared" si="604"/>
        <v>0</v>
      </c>
      <c r="BG175" s="13">
        <f t="shared" si="604"/>
        <v>0</v>
      </c>
      <c r="BH175" s="13">
        <f t="shared" si="604"/>
        <v>0</v>
      </c>
      <c r="BI175" s="13">
        <f t="shared" si="604"/>
        <v>0</v>
      </c>
      <c r="BJ175" s="13">
        <f t="shared" si="604"/>
        <v>0</v>
      </c>
      <c r="BK175" s="13">
        <f t="shared" si="604"/>
        <v>0</v>
      </c>
      <c r="BL175" s="13">
        <f t="shared" si="604"/>
        <v>0</v>
      </c>
      <c r="BM175" s="169">
        <f t="shared" si="604"/>
        <v>0</v>
      </c>
      <c r="BN175" s="167">
        <f t="shared" si="604"/>
        <v>0</v>
      </c>
      <c r="BO175" s="16">
        <f t="shared" si="604"/>
        <v>0</v>
      </c>
      <c r="BP175" s="16">
        <f t="shared" si="604"/>
        <v>0</v>
      </c>
      <c r="BQ175" s="16">
        <f t="shared" si="604"/>
        <v>0</v>
      </c>
      <c r="BR175" s="16">
        <f t="shared" si="604"/>
        <v>0</v>
      </c>
      <c r="BS175" s="16">
        <f t="shared" si="604"/>
        <v>0</v>
      </c>
      <c r="BT175" s="16">
        <f t="shared" si="604"/>
        <v>0</v>
      </c>
      <c r="BU175" s="16">
        <f t="shared" si="604"/>
        <v>0</v>
      </c>
      <c r="BV175" s="16">
        <f t="shared" si="604"/>
        <v>0</v>
      </c>
      <c r="BW175" s="16">
        <f t="shared" si="604"/>
        <v>0</v>
      </c>
      <c r="BX175" s="13">
        <f t="shared" si="604"/>
        <v>0</v>
      </c>
      <c r="BY175" s="13">
        <f t="shared" si="604"/>
        <v>0</v>
      </c>
      <c r="BZ175" s="169">
        <f t="shared" si="604"/>
        <v>0</v>
      </c>
      <c r="CA175" s="167">
        <f t="shared" si="604"/>
        <v>0</v>
      </c>
      <c r="CB175" s="16">
        <f t="shared" ref="CB175:CF175" si="605">SUMIF($F$12:$F$463,"=3124",CB$12:CB$463)</f>
        <v>0</v>
      </c>
      <c r="CC175" s="16">
        <f t="shared" si="605"/>
        <v>0</v>
      </c>
      <c r="CD175" s="16">
        <f t="shared" si="605"/>
        <v>0</v>
      </c>
      <c r="CE175" s="16">
        <f t="shared" si="605"/>
        <v>0</v>
      </c>
      <c r="CF175" s="17">
        <f t="shared" si="605"/>
        <v>0</v>
      </c>
    </row>
    <row r="176" spans="1:84" s="89" customFormat="1" ht="12.95" customHeight="1" x14ac:dyDescent="0.25">
      <c r="D176" s="313"/>
      <c r="E176" s="314"/>
      <c r="F176" s="313"/>
      <c r="G176" s="315"/>
      <c r="H176" s="2">
        <v>3141</v>
      </c>
      <c r="I176" s="167">
        <f t="shared" ref="I176:CA176" si="606">SUMIF($F$12:$F$463,"=3141",I$12:I$463)</f>
        <v>18105471</v>
      </c>
      <c r="J176" s="16">
        <f t="shared" si="606"/>
        <v>13354741</v>
      </c>
      <c r="K176" s="16">
        <f t="shared" si="606"/>
        <v>0</v>
      </c>
      <c r="L176" s="16">
        <f t="shared" si="606"/>
        <v>13354741</v>
      </c>
      <c r="M176" s="16">
        <f t="shared" si="606"/>
        <v>0</v>
      </c>
      <c r="N176" s="16">
        <f t="shared" si="606"/>
        <v>0</v>
      </c>
      <c r="O176" s="16">
        <f t="shared" si="606"/>
        <v>0</v>
      </c>
      <c r="P176" s="16">
        <f t="shared" si="606"/>
        <v>4513901</v>
      </c>
      <c r="Q176" s="16">
        <f t="shared" si="606"/>
        <v>133548</v>
      </c>
      <c r="R176" s="16">
        <f t="shared" si="606"/>
        <v>103281</v>
      </c>
      <c r="S176" s="13">
        <f t="shared" si="606"/>
        <v>40.046599999999998</v>
      </c>
      <c r="T176" s="13">
        <f t="shared" si="606"/>
        <v>0</v>
      </c>
      <c r="U176" s="17">
        <f t="shared" si="606"/>
        <v>40.046599999999998</v>
      </c>
      <c r="V176" s="168">
        <f t="shared" si="606"/>
        <v>0</v>
      </c>
      <c r="W176" s="16">
        <f t="shared" si="606"/>
        <v>-63360</v>
      </c>
      <c r="X176" s="16">
        <f t="shared" si="606"/>
        <v>0</v>
      </c>
      <c r="Y176" s="16">
        <f t="shared" si="606"/>
        <v>0</v>
      </c>
      <c r="Z176" s="16">
        <f t="shared" si="606"/>
        <v>0</v>
      </c>
      <c r="AA176" s="16">
        <f t="shared" si="606"/>
        <v>0</v>
      </c>
      <c r="AB176" s="16">
        <f t="shared" si="606"/>
        <v>0</v>
      </c>
      <c r="AC176" s="16">
        <f t="shared" si="606"/>
        <v>0</v>
      </c>
      <c r="AD176" s="16">
        <f t="shared" si="606"/>
        <v>0</v>
      </c>
      <c r="AE176" s="16">
        <f t="shared" si="606"/>
        <v>0</v>
      </c>
      <c r="AF176" s="16">
        <f t="shared" si="606"/>
        <v>0</v>
      </c>
      <c r="AG176" s="16">
        <f t="shared" si="606"/>
        <v>-63360</v>
      </c>
      <c r="AH176" s="16">
        <f t="shared" si="606"/>
        <v>-63360</v>
      </c>
      <c r="AI176" s="16">
        <f t="shared" si="606"/>
        <v>0</v>
      </c>
      <c r="AJ176" s="16">
        <f t="shared" si="606"/>
        <v>63360</v>
      </c>
      <c r="AK176" s="16">
        <f t="shared" si="606"/>
        <v>0</v>
      </c>
      <c r="AL176" s="16">
        <f t="shared" si="606"/>
        <v>0</v>
      </c>
      <c r="AM176" s="16">
        <f t="shared" si="606"/>
        <v>0</v>
      </c>
      <c r="AN176" s="16">
        <f t="shared" si="606"/>
        <v>74880</v>
      </c>
      <c r="AO176" s="16">
        <f t="shared" si="606"/>
        <v>0</v>
      </c>
      <c r="AP176" s="16">
        <f t="shared" si="606"/>
        <v>138240</v>
      </c>
      <c r="AQ176" s="16">
        <f t="shared" si="606"/>
        <v>138240</v>
      </c>
      <c r="AR176" s="16">
        <f t="shared" si="606"/>
        <v>0</v>
      </c>
      <c r="AS176" s="16">
        <f t="shared" si="606"/>
        <v>74880</v>
      </c>
      <c r="AT176" s="16">
        <f t="shared" si="606"/>
        <v>74880</v>
      </c>
      <c r="AU176" s="16">
        <f t="shared" si="606"/>
        <v>0</v>
      </c>
      <c r="AV176" s="16">
        <f t="shared" si="606"/>
        <v>-633</v>
      </c>
      <c r="AW176" s="16">
        <f t="shared" si="606"/>
        <v>0</v>
      </c>
      <c r="AX176" s="16">
        <f t="shared" si="606"/>
        <v>0</v>
      </c>
      <c r="AY176" s="16">
        <f t="shared" si="606"/>
        <v>0</v>
      </c>
      <c r="AZ176" s="16">
        <f t="shared" si="606"/>
        <v>74247</v>
      </c>
      <c r="BA176" s="13">
        <f t="shared" si="606"/>
        <v>0</v>
      </c>
      <c r="BB176" s="13">
        <f t="shared" si="606"/>
        <v>-7.0000000000000007E-2</v>
      </c>
      <c r="BC176" s="13">
        <f t="shared" si="606"/>
        <v>0</v>
      </c>
      <c r="BD176" s="13">
        <f t="shared" si="606"/>
        <v>0</v>
      </c>
      <c r="BE176" s="13">
        <f t="shared" si="606"/>
        <v>0</v>
      </c>
      <c r="BF176" s="13">
        <f t="shared" si="606"/>
        <v>0</v>
      </c>
      <c r="BG176" s="13">
        <f t="shared" si="606"/>
        <v>0</v>
      </c>
      <c r="BH176" s="13">
        <f t="shared" si="606"/>
        <v>0</v>
      </c>
      <c r="BI176" s="13">
        <f t="shared" si="606"/>
        <v>0</v>
      </c>
      <c r="BJ176" s="13">
        <f t="shared" si="606"/>
        <v>0</v>
      </c>
      <c r="BK176" s="13">
        <f t="shared" si="606"/>
        <v>0</v>
      </c>
      <c r="BL176" s="13">
        <f t="shared" si="606"/>
        <v>-7.0000000000000007E-2</v>
      </c>
      <c r="BM176" s="169">
        <f t="shared" si="606"/>
        <v>-7.0000000000000007E-2</v>
      </c>
      <c r="BN176" s="167">
        <f t="shared" si="606"/>
        <v>18179718</v>
      </c>
      <c r="BO176" s="16">
        <f t="shared" si="606"/>
        <v>13291381</v>
      </c>
      <c r="BP176" s="16">
        <f t="shared" si="606"/>
        <v>0</v>
      </c>
      <c r="BQ176" s="16">
        <f t="shared" si="606"/>
        <v>13291381</v>
      </c>
      <c r="BR176" s="16">
        <f t="shared" si="606"/>
        <v>138240</v>
      </c>
      <c r="BS176" s="16">
        <f t="shared" si="606"/>
        <v>0</v>
      </c>
      <c r="BT176" s="16">
        <f t="shared" si="606"/>
        <v>138240</v>
      </c>
      <c r="BU176" s="16">
        <f t="shared" si="606"/>
        <v>4513901</v>
      </c>
      <c r="BV176" s="16">
        <f t="shared" si="606"/>
        <v>132915</v>
      </c>
      <c r="BW176" s="16">
        <f t="shared" si="606"/>
        <v>103281</v>
      </c>
      <c r="BX176" s="13">
        <f t="shared" si="606"/>
        <v>39.976599999999998</v>
      </c>
      <c r="BY176" s="13">
        <f t="shared" si="606"/>
        <v>0</v>
      </c>
      <c r="BZ176" s="169">
        <f t="shared" si="606"/>
        <v>39.976599999999998</v>
      </c>
      <c r="CA176" s="167">
        <f t="shared" si="606"/>
        <v>0</v>
      </c>
      <c r="CB176" s="16">
        <f t="shared" ref="CB176:CF176" si="607">SUMIF($F$12:$F$463,"=3141",CB$12:CB$463)</f>
        <v>0</v>
      </c>
      <c r="CC176" s="16">
        <f t="shared" si="607"/>
        <v>0</v>
      </c>
      <c r="CD176" s="16">
        <f t="shared" si="607"/>
        <v>0</v>
      </c>
      <c r="CE176" s="16">
        <f t="shared" si="607"/>
        <v>0</v>
      </c>
      <c r="CF176" s="17">
        <f t="shared" si="607"/>
        <v>0</v>
      </c>
    </row>
    <row r="177" spans="1:84" s="89" customFormat="1" ht="12.95" customHeight="1" x14ac:dyDescent="0.25">
      <c r="D177" s="313"/>
      <c r="E177" s="314"/>
      <c r="F177" s="313"/>
      <c r="G177" s="315"/>
      <c r="H177" s="2">
        <v>3143</v>
      </c>
      <c r="I177" s="167">
        <f t="shared" ref="I177:CA177" si="608">SUMIF($F$12:$F$463,"=3143",I$12:I$463)</f>
        <v>15362362</v>
      </c>
      <c r="J177" s="16">
        <f t="shared" si="608"/>
        <v>11387513</v>
      </c>
      <c r="K177" s="16">
        <f t="shared" si="608"/>
        <v>11137054</v>
      </c>
      <c r="L177" s="16">
        <f t="shared" si="608"/>
        <v>250459</v>
      </c>
      <c r="M177" s="16">
        <f t="shared" si="608"/>
        <v>0</v>
      </c>
      <c r="N177" s="16">
        <f t="shared" si="608"/>
        <v>0</v>
      </c>
      <c r="O177" s="16">
        <f t="shared" si="608"/>
        <v>0</v>
      </c>
      <c r="P177" s="16">
        <f t="shared" si="608"/>
        <v>3848978</v>
      </c>
      <c r="Q177" s="16">
        <f t="shared" si="608"/>
        <v>113877</v>
      </c>
      <c r="R177" s="16">
        <f t="shared" si="608"/>
        <v>11994</v>
      </c>
      <c r="S177" s="13">
        <f t="shared" si="608"/>
        <v>23.890800000000002</v>
      </c>
      <c r="T177" s="13">
        <f t="shared" si="608"/>
        <v>22.942499999999999</v>
      </c>
      <c r="U177" s="17">
        <f t="shared" si="608"/>
        <v>0.94829999999999992</v>
      </c>
      <c r="V177" s="168">
        <f t="shared" si="608"/>
        <v>-105600</v>
      </c>
      <c r="W177" s="16">
        <f t="shared" si="608"/>
        <v>0</v>
      </c>
      <c r="X177" s="16">
        <f t="shared" si="608"/>
        <v>0</v>
      </c>
      <c r="Y177" s="16">
        <f t="shared" si="608"/>
        <v>0</v>
      </c>
      <c r="Z177" s="16">
        <f t="shared" si="608"/>
        <v>0</v>
      </c>
      <c r="AA177" s="16">
        <f t="shared" si="608"/>
        <v>0</v>
      </c>
      <c r="AB177" s="16">
        <f t="shared" si="608"/>
        <v>0</v>
      </c>
      <c r="AC177" s="16">
        <f t="shared" si="608"/>
        <v>0</v>
      </c>
      <c r="AD177" s="16">
        <f t="shared" si="608"/>
        <v>0</v>
      </c>
      <c r="AE177" s="16">
        <f t="shared" si="608"/>
        <v>0</v>
      </c>
      <c r="AF177" s="16">
        <f t="shared" si="608"/>
        <v>-105600</v>
      </c>
      <c r="AG177" s="16">
        <f t="shared" si="608"/>
        <v>0</v>
      </c>
      <c r="AH177" s="16">
        <f t="shared" si="608"/>
        <v>-105600</v>
      </c>
      <c r="AI177" s="16">
        <f t="shared" si="608"/>
        <v>105600</v>
      </c>
      <c r="AJ177" s="16">
        <f t="shared" si="608"/>
        <v>0</v>
      </c>
      <c r="AK177" s="16">
        <f t="shared" si="608"/>
        <v>0</v>
      </c>
      <c r="AL177" s="16">
        <f t="shared" si="608"/>
        <v>0</v>
      </c>
      <c r="AM177" s="16">
        <f t="shared" si="608"/>
        <v>0</v>
      </c>
      <c r="AN177" s="16">
        <f t="shared" si="608"/>
        <v>0</v>
      </c>
      <c r="AO177" s="16">
        <f t="shared" si="608"/>
        <v>105600</v>
      </c>
      <c r="AP177" s="16">
        <f t="shared" si="608"/>
        <v>0</v>
      </c>
      <c r="AQ177" s="16">
        <f t="shared" si="608"/>
        <v>105600</v>
      </c>
      <c r="AR177" s="16">
        <f t="shared" si="608"/>
        <v>0</v>
      </c>
      <c r="AS177" s="16">
        <f t="shared" si="608"/>
        <v>0</v>
      </c>
      <c r="AT177" s="16">
        <f t="shared" si="608"/>
        <v>0</v>
      </c>
      <c r="AU177" s="16">
        <f t="shared" si="608"/>
        <v>0</v>
      </c>
      <c r="AV177" s="16">
        <f t="shared" si="608"/>
        <v>-1056</v>
      </c>
      <c r="AW177" s="16">
        <f t="shared" si="608"/>
        <v>0</v>
      </c>
      <c r="AX177" s="16">
        <f t="shared" si="608"/>
        <v>0</v>
      </c>
      <c r="AY177" s="16">
        <f t="shared" si="608"/>
        <v>0</v>
      </c>
      <c r="AZ177" s="16">
        <f t="shared" si="608"/>
        <v>-1056</v>
      </c>
      <c r="BA177" s="13">
        <f t="shared" si="608"/>
        <v>-9.0000000000000011E-2</v>
      </c>
      <c r="BB177" s="13">
        <f t="shared" si="608"/>
        <v>0</v>
      </c>
      <c r="BC177" s="13">
        <f t="shared" si="608"/>
        <v>0</v>
      </c>
      <c r="BD177" s="13">
        <f t="shared" si="608"/>
        <v>0</v>
      </c>
      <c r="BE177" s="13">
        <f t="shared" si="608"/>
        <v>0</v>
      </c>
      <c r="BF177" s="13">
        <f t="shared" si="608"/>
        <v>0</v>
      </c>
      <c r="BG177" s="13">
        <f t="shared" si="608"/>
        <v>0</v>
      </c>
      <c r="BH177" s="13">
        <f t="shared" si="608"/>
        <v>0</v>
      </c>
      <c r="BI177" s="13">
        <f t="shared" si="608"/>
        <v>0</v>
      </c>
      <c r="BJ177" s="13">
        <f t="shared" si="608"/>
        <v>0</v>
      </c>
      <c r="BK177" s="13">
        <f t="shared" si="608"/>
        <v>-9.0000000000000011E-2</v>
      </c>
      <c r="BL177" s="13">
        <f t="shared" si="608"/>
        <v>0</v>
      </c>
      <c r="BM177" s="169">
        <f t="shared" si="608"/>
        <v>-9.0000000000000011E-2</v>
      </c>
      <c r="BN177" s="167">
        <f t="shared" si="608"/>
        <v>15361306</v>
      </c>
      <c r="BO177" s="16">
        <f t="shared" si="608"/>
        <v>11281913</v>
      </c>
      <c r="BP177" s="16">
        <f t="shared" si="608"/>
        <v>11031454</v>
      </c>
      <c r="BQ177" s="16">
        <f t="shared" si="608"/>
        <v>250459</v>
      </c>
      <c r="BR177" s="16">
        <f t="shared" si="608"/>
        <v>105600</v>
      </c>
      <c r="BS177" s="16">
        <f t="shared" si="608"/>
        <v>105600</v>
      </c>
      <c r="BT177" s="16">
        <f t="shared" si="608"/>
        <v>0</v>
      </c>
      <c r="BU177" s="16">
        <f t="shared" si="608"/>
        <v>3848978</v>
      </c>
      <c r="BV177" s="16">
        <f t="shared" si="608"/>
        <v>112821</v>
      </c>
      <c r="BW177" s="16">
        <f t="shared" si="608"/>
        <v>11994</v>
      </c>
      <c r="BX177" s="13">
        <f t="shared" si="608"/>
        <v>23.800800000000002</v>
      </c>
      <c r="BY177" s="13">
        <f t="shared" si="608"/>
        <v>22.852499999999999</v>
      </c>
      <c r="BZ177" s="169">
        <f t="shared" si="608"/>
        <v>0.94829999999999992</v>
      </c>
      <c r="CA177" s="167">
        <f t="shared" si="608"/>
        <v>0</v>
      </c>
      <c r="CB177" s="16">
        <f t="shared" ref="CB177:CF177" si="609">SUMIF($F$12:$F$463,"=3143",CB$12:CB$463)</f>
        <v>0</v>
      </c>
      <c r="CC177" s="16">
        <f t="shared" si="609"/>
        <v>0</v>
      </c>
      <c r="CD177" s="16">
        <f t="shared" si="609"/>
        <v>0</v>
      </c>
      <c r="CE177" s="16">
        <f t="shared" si="609"/>
        <v>0</v>
      </c>
      <c r="CF177" s="17">
        <f t="shared" si="609"/>
        <v>0</v>
      </c>
    </row>
    <row r="178" spans="1:84" s="89" customFormat="1" ht="12.95" customHeight="1" x14ac:dyDescent="0.25">
      <c r="D178" s="313"/>
      <c r="E178" s="314"/>
      <c r="F178" s="313"/>
      <c r="G178" s="315"/>
      <c r="H178" s="2">
        <v>3231</v>
      </c>
      <c r="I178" s="167">
        <f t="shared" ref="I178:CA178" si="610">SUMIF($F$12:$F$463,"=3231",I$12:I$463)</f>
        <v>34556633</v>
      </c>
      <c r="J178" s="16">
        <f t="shared" si="610"/>
        <v>25604208</v>
      </c>
      <c r="K178" s="16">
        <f t="shared" si="610"/>
        <v>24634695</v>
      </c>
      <c r="L178" s="16">
        <f t="shared" si="610"/>
        <v>969513</v>
      </c>
      <c r="M178" s="16">
        <f t="shared" si="610"/>
        <v>0</v>
      </c>
      <c r="N178" s="16">
        <f t="shared" si="610"/>
        <v>0</v>
      </c>
      <c r="O178" s="16">
        <f t="shared" si="610"/>
        <v>0</v>
      </c>
      <c r="P178" s="16">
        <f t="shared" si="610"/>
        <v>8654222</v>
      </c>
      <c r="Q178" s="16">
        <f t="shared" si="610"/>
        <v>256042</v>
      </c>
      <c r="R178" s="16">
        <f t="shared" si="610"/>
        <v>42161</v>
      </c>
      <c r="S178" s="13">
        <f t="shared" si="610"/>
        <v>41.727800000000002</v>
      </c>
      <c r="T178" s="13">
        <f t="shared" si="610"/>
        <v>39.007399999999997</v>
      </c>
      <c r="U178" s="17">
        <f t="shared" si="610"/>
        <v>2.7203999999999997</v>
      </c>
      <c r="V178" s="168">
        <f t="shared" si="610"/>
        <v>-47360</v>
      </c>
      <c r="W178" s="16">
        <f t="shared" si="610"/>
        <v>-8832</v>
      </c>
      <c r="X178" s="16">
        <f t="shared" si="610"/>
        <v>92700</v>
      </c>
      <c r="Y178" s="16">
        <f t="shared" si="610"/>
        <v>0</v>
      </c>
      <c r="Z178" s="16">
        <f t="shared" si="610"/>
        <v>0</v>
      </c>
      <c r="AA178" s="16">
        <f t="shared" si="610"/>
        <v>0</v>
      </c>
      <c r="AB178" s="16">
        <f t="shared" si="610"/>
        <v>0</v>
      </c>
      <c r="AC178" s="16">
        <f t="shared" si="610"/>
        <v>0</v>
      </c>
      <c r="AD178" s="16">
        <f t="shared" si="610"/>
        <v>0</v>
      </c>
      <c r="AE178" s="16">
        <f t="shared" si="610"/>
        <v>0</v>
      </c>
      <c r="AF178" s="16">
        <f t="shared" si="610"/>
        <v>45340</v>
      </c>
      <c r="AG178" s="16">
        <f t="shared" si="610"/>
        <v>-8832</v>
      </c>
      <c r="AH178" s="16">
        <f t="shared" si="610"/>
        <v>36508</v>
      </c>
      <c r="AI178" s="16">
        <f t="shared" si="610"/>
        <v>47360</v>
      </c>
      <c r="AJ178" s="16">
        <f t="shared" si="610"/>
        <v>8832</v>
      </c>
      <c r="AK178" s="16">
        <f t="shared" si="610"/>
        <v>0</v>
      </c>
      <c r="AL178" s="16">
        <f t="shared" si="610"/>
        <v>0</v>
      </c>
      <c r="AM178" s="16">
        <f t="shared" si="610"/>
        <v>0</v>
      </c>
      <c r="AN178" s="16">
        <f t="shared" si="610"/>
        <v>0</v>
      </c>
      <c r="AO178" s="16">
        <f t="shared" si="610"/>
        <v>47360</v>
      </c>
      <c r="AP178" s="16">
        <f t="shared" si="610"/>
        <v>8832</v>
      </c>
      <c r="AQ178" s="16">
        <f t="shared" si="610"/>
        <v>56192</v>
      </c>
      <c r="AR178" s="16">
        <f t="shared" si="610"/>
        <v>92700</v>
      </c>
      <c r="AS178" s="16">
        <f t="shared" si="610"/>
        <v>0</v>
      </c>
      <c r="AT178" s="16">
        <f t="shared" si="610"/>
        <v>92700</v>
      </c>
      <c r="AU178" s="16">
        <f t="shared" si="610"/>
        <v>31333</v>
      </c>
      <c r="AV178" s="16">
        <f t="shared" si="610"/>
        <v>365</v>
      </c>
      <c r="AW178" s="16">
        <f t="shared" si="610"/>
        <v>0</v>
      </c>
      <c r="AX178" s="16">
        <f t="shared" si="610"/>
        <v>0</v>
      </c>
      <c r="AY178" s="16">
        <f t="shared" si="610"/>
        <v>0</v>
      </c>
      <c r="AZ178" s="16">
        <f t="shared" si="610"/>
        <v>124398</v>
      </c>
      <c r="BA178" s="13">
        <f t="shared" si="610"/>
        <v>-0.05</v>
      </c>
      <c r="BB178" s="13">
        <f t="shared" si="610"/>
        <v>-0.02</v>
      </c>
      <c r="BC178" s="13">
        <f t="shared" si="610"/>
        <v>0.25</v>
      </c>
      <c r="BD178" s="13">
        <f t="shared" si="610"/>
        <v>0</v>
      </c>
      <c r="BE178" s="13">
        <f t="shared" si="610"/>
        <v>0</v>
      </c>
      <c r="BF178" s="13">
        <f t="shared" si="610"/>
        <v>0</v>
      </c>
      <c r="BG178" s="13">
        <f t="shared" si="610"/>
        <v>0</v>
      </c>
      <c r="BH178" s="13">
        <f t="shared" si="610"/>
        <v>0</v>
      </c>
      <c r="BI178" s="13">
        <f t="shared" si="610"/>
        <v>0</v>
      </c>
      <c r="BJ178" s="13">
        <f t="shared" si="610"/>
        <v>0</v>
      </c>
      <c r="BK178" s="13">
        <f t="shared" si="610"/>
        <v>0.2</v>
      </c>
      <c r="BL178" s="13">
        <f t="shared" si="610"/>
        <v>-0.02</v>
      </c>
      <c r="BM178" s="169">
        <f t="shared" si="610"/>
        <v>0.18</v>
      </c>
      <c r="BN178" s="167">
        <f t="shared" si="610"/>
        <v>34681031</v>
      </c>
      <c r="BO178" s="16">
        <f t="shared" si="610"/>
        <v>25640716</v>
      </c>
      <c r="BP178" s="16">
        <f t="shared" si="610"/>
        <v>24680035</v>
      </c>
      <c r="BQ178" s="16">
        <f t="shared" si="610"/>
        <v>960681</v>
      </c>
      <c r="BR178" s="16">
        <f t="shared" si="610"/>
        <v>56192</v>
      </c>
      <c r="BS178" s="16">
        <f t="shared" si="610"/>
        <v>47360</v>
      </c>
      <c r="BT178" s="16">
        <f t="shared" si="610"/>
        <v>8832</v>
      </c>
      <c r="BU178" s="16">
        <f t="shared" si="610"/>
        <v>8685555</v>
      </c>
      <c r="BV178" s="16">
        <f t="shared" si="610"/>
        <v>256407</v>
      </c>
      <c r="BW178" s="16">
        <f t="shared" si="610"/>
        <v>42161</v>
      </c>
      <c r="BX178" s="13">
        <f t="shared" si="610"/>
        <v>41.907799999999995</v>
      </c>
      <c r="BY178" s="13">
        <f t="shared" si="610"/>
        <v>39.2074</v>
      </c>
      <c r="BZ178" s="169">
        <f t="shared" si="610"/>
        <v>2.7004000000000001</v>
      </c>
      <c r="CA178" s="167">
        <f t="shared" si="610"/>
        <v>0</v>
      </c>
      <c r="CB178" s="16">
        <f t="shared" ref="CB178:CF178" si="611">SUMIF($F$12:$F$463,"=3231",CB$12:CB$463)</f>
        <v>0</v>
      </c>
      <c r="CC178" s="16">
        <f t="shared" si="611"/>
        <v>0</v>
      </c>
      <c r="CD178" s="16">
        <f t="shared" si="611"/>
        <v>0</v>
      </c>
      <c r="CE178" s="16">
        <f t="shared" si="611"/>
        <v>0</v>
      </c>
      <c r="CF178" s="17">
        <f t="shared" si="611"/>
        <v>0</v>
      </c>
    </row>
    <row r="179" spans="1:84" s="89" customFormat="1" ht="12.95" customHeight="1" thickBot="1" x14ac:dyDescent="0.3">
      <c r="D179" s="313"/>
      <c r="E179" s="314"/>
      <c r="F179" s="313"/>
      <c r="G179" s="315"/>
      <c r="H179" s="151">
        <v>3233</v>
      </c>
      <c r="I179" s="170">
        <f t="shared" ref="I179:CA179" si="612">SUMIF($F$12:$F$463,"=3233",I$12:I$463)</f>
        <v>6745790</v>
      </c>
      <c r="J179" s="171">
        <f t="shared" si="612"/>
        <v>5000156</v>
      </c>
      <c r="K179" s="171">
        <f t="shared" si="612"/>
        <v>4196613</v>
      </c>
      <c r="L179" s="171">
        <f t="shared" si="612"/>
        <v>803543</v>
      </c>
      <c r="M179" s="171">
        <f t="shared" si="612"/>
        <v>0</v>
      </c>
      <c r="N179" s="171">
        <f t="shared" si="612"/>
        <v>0</v>
      </c>
      <c r="O179" s="171">
        <f t="shared" si="612"/>
        <v>0</v>
      </c>
      <c r="P179" s="171">
        <f t="shared" si="612"/>
        <v>1690053</v>
      </c>
      <c r="Q179" s="171">
        <f t="shared" si="612"/>
        <v>50001</v>
      </c>
      <c r="R179" s="171">
        <f t="shared" si="612"/>
        <v>5580</v>
      </c>
      <c r="S179" s="172">
        <f t="shared" si="612"/>
        <v>10.190000000000001</v>
      </c>
      <c r="T179" s="172">
        <f t="shared" si="612"/>
        <v>7.6</v>
      </c>
      <c r="U179" s="173">
        <f t="shared" si="612"/>
        <v>2.59</v>
      </c>
      <c r="V179" s="174">
        <f t="shared" si="612"/>
        <v>-9600</v>
      </c>
      <c r="W179" s="171">
        <f t="shared" si="612"/>
        <v>-3200</v>
      </c>
      <c r="X179" s="171">
        <f t="shared" si="612"/>
        <v>0</v>
      </c>
      <c r="Y179" s="171">
        <f t="shared" si="612"/>
        <v>0</v>
      </c>
      <c r="Z179" s="171">
        <f t="shared" si="612"/>
        <v>0</v>
      </c>
      <c r="AA179" s="171">
        <f t="shared" si="612"/>
        <v>0</v>
      </c>
      <c r="AB179" s="171">
        <f t="shared" si="612"/>
        <v>0</v>
      </c>
      <c r="AC179" s="171">
        <f t="shared" si="612"/>
        <v>0</v>
      </c>
      <c r="AD179" s="171">
        <f t="shared" si="612"/>
        <v>0</v>
      </c>
      <c r="AE179" s="171">
        <f t="shared" si="612"/>
        <v>0</v>
      </c>
      <c r="AF179" s="171">
        <f t="shared" si="612"/>
        <v>-9600</v>
      </c>
      <c r="AG179" s="171">
        <f t="shared" si="612"/>
        <v>-3200</v>
      </c>
      <c r="AH179" s="171">
        <f t="shared" si="612"/>
        <v>-12800</v>
      </c>
      <c r="AI179" s="171">
        <f t="shared" si="612"/>
        <v>9600</v>
      </c>
      <c r="AJ179" s="171">
        <f t="shared" si="612"/>
        <v>3200</v>
      </c>
      <c r="AK179" s="171">
        <f t="shared" si="612"/>
        <v>0</v>
      </c>
      <c r="AL179" s="171">
        <f t="shared" si="612"/>
        <v>0</v>
      </c>
      <c r="AM179" s="171">
        <f t="shared" si="612"/>
        <v>0</v>
      </c>
      <c r="AN179" s="171">
        <f t="shared" si="612"/>
        <v>0</v>
      </c>
      <c r="AO179" s="171">
        <f t="shared" si="612"/>
        <v>9600</v>
      </c>
      <c r="AP179" s="171">
        <f t="shared" si="612"/>
        <v>3200</v>
      </c>
      <c r="AQ179" s="171">
        <f t="shared" si="612"/>
        <v>12800</v>
      </c>
      <c r="AR179" s="171">
        <f t="shared" si="612"/>
        <v>0</v>
      </c>
      <c r="AS179" s="171">
        <f t="shared" si="612"/>
        <v>0</v>
      </c>
      <c r="AT179" s="171">
        <f t="shared" si="612"/>
        <v>0</v>
      </c>
      <c r="AU179" s="171">
        <f t="shared" si="612"/>
        <v>0</v>
      </c>
      <c r="AV179" s="171">
        <f t="shared" si="612"/>
        <v>-128</v>
      </c>
      <c r="AW179" s="171">
        <f t="shared" si="612"/>
        <v>0</v>
      </c>
      <c r="AX179" s="171">
        <f t="shared" si="612"/>
        <v>0</v>
      </c>
      <c r="AY179" s="171">
        <f t="shared" si="612"/>
        <v>0</v>
      </c>
      <c r="AZ179" s="171">
        <f t="shared" si="612"/>
        <v>-128</v>
      </c>
      <c r="BA179" s="172">
        <f t="shared" si="612"/>
        <v>-0.02</v>
      </c>
      <c r="BB179" s="172">
        <f t="shared" si="612"/>
        <v>-0.01</v>
      </c>
      <c r="BC179" s="172">
        <f t="shared" si="612"/>
        <v>0</v>
      </c>
      <c r="BD179" s="172">
        <f t="shared" si="612"/>
        <v>0</v>
      </c>
      <c r="BE179" s="172">
        <f t="shared" si="612"/>
        <v>0</v>
      </c>
      <c r="BF179" s="172">
        <f t="shared" si="612"/>
        <v>0</v>
      </c>
      <c r="BG179" s="172">
        <f t="shared" si="612"/>
        <v>0</v>
      </c>
      <c r="BH179" s="172">
        <f t="shared" si="612"/>
        <v>0</v>
      </c>
      <c r="BI179" s="172">
        <f t="shared" si="612"/>
        <v>0</v>
      </c>
      <c r="BJ179" s="172">
        <f t="shared" si="612"/>
        <v>0</v>
      </c>
      <c r="BK179" s="172">
        <f t="shared" si="612"/>
        <v>-0.02</v>
      </c>
      <c r="BL179" s="172">
        <f t="shared" si="612"/>
        <v>-0.01</v>
      </c>
      <c r="BM179" s="175">
        <f t="shared" si="612"/>
        <v>-0.03</v>
      </c>
      <c r="BN179" s="170">
        <f t="shared" si="612"/>
        <v>6745662</v>
      </c>
      <c r="BO179" s="171">
        <f t="shared" si="612"/>
        <v>4987356</v>
      </c>
      <c r="BP179" s="171">
        <f t="shared" si="612"/>
        <v>4187013</v>
      </c>
      <c r="BQ179" s="171">
        <f t="shared" si="612"/>
        <v>800343</v>
      </c>
      <c r="BR179" s="171">
        <f t="shared" si="612"/>
        <v>12800</v>
      </c>
      <c r="BS179" s="171">
        <f t="shared" si="612"/>
        <v>9600</v>
      </c>
      <c r="BT179" s="171">
        <f t="shared" si="612"/>
        <v>3200</v>
      </c>
      <c r="BU179" s="171">
        <f t="shared" si="612"/>
        <v>1690053</v>
      </c>
      <c r="BV179" s="171">
        <f t="shared" si="612"/>
        <v>49873</v>
      </c>
      <c r="BW179" s="171">
        <f t="shared" si="612"/>
        <v>5580</v>
      </c>
      <c r="BX179" s="172">
        <f t="shared" si="612"/>
        <v>10.16</v>
      </c>
      <c r="BY179" s="172">
        <f t="shared" si="612"/>
        <v>7.58</v>
      </c>
      <c r="BZ179" s="175">
        <f t="shared" si="612"/>
        <v>2.58</v>
      </c>
      <c r="CA179" s="170">
        <f t="shared" si="612"/>
        <v>0</v>
      </c>
      <c r="CB179" s="171">
        <f t="shared" ref="CB179:CF179" si="613">SUMIF($F$12:$F$463,"=3233",CB$12:CB$463)</f>
        <v>0</v>
      </c>
      <c r="CC179" s="171">
        <f t="shared" si="613"/>
        <v>0</v>
      </c>
      <c r="CD179" s="171">
        <f t="shared" si="613"/>
        <v>0</v>
      </c>
      <c r="CE179" s="171">
        <f t="shared" si="613"/>
        <v>0</v>
      </c>
      <c r="CF179" s="173">
        <f t="shared" si="613"/>
        <v>0</v>
      </c>
    </row>
    <row r="181" spans="1:84" s="316" customFormat="1" x14ac:dyDescent="0.25">
      <c r="A181" s="310"/>
      <c r="B181" s="252"/>
      <c r="C181" s="344"/>
      <c r="D181" s="252"/>
      <c r="E181" s="252"/>
      <c r="F181" s="252"/>
      <c r="G181" s="252"/>
      <c r="H181" s="252"/>
      <c r="S181" s="317"/>
      <c r="T181" s="317"/>
      <c r="U181" s="317"/>
      <c r="AS181" s="317"/>
      <c r="AT181" s="317"/>
      <c r="AU181" s="317"/>
      <c r="BA181" s="317"/>
      <c r="BB181" s="317"/>
      <c r="BC181" s="317"/>
      <c r="BD181" s="317"/>
      <c r="BE181" s="317"/>
      <c r="BF181" s="317"/>
      <c r="BG181" s="317"/>
      <c r="BH181" s="317"/>
      <c r="BI181" s="317"/>
      <c r="BJ181" s="317"/>
      <c r="BK181" s="317"/>
      <c r="BL181" s="317"/>
      <c r="BM181" s="317"/>
      <c r="BN181" s="317"/>
      <c r="BO181" s="317"/>
      <c r="BP181" s="317"/>
      <c r="BQ181" s="317"/>
      <c r="BR181" s="317"/>
      <c r="BS181" s="317"/>
      <c r="BT181" s="317"/>
      <c r="BU181" s="317"/>
      <c r="BV181" s="317"/>
      <c r="BW181" s="317"/>
      <c r="BX181" s="317"/>
      <c r="BY181" s="317"/>
      <c r="BZ181" s="317"/>
      <c r="CF181" s="317"/>
    </row>
    <row r="184" spans="1:84" x14ac:dyDescent="0.25">
      <c r="AS184" s="316"/>
    </row>
  </sheetData>
  <mergeCells count="59">
    <mergeCell ref="AB11:AC11"/>
    <mergeCell ref="BD8:BE10"/>
    <mergeCell ref="BD11:BE11"/>
    <mergeCell ref="CA6:CF7"/>
    <mergeCell ref="CA8:CF9"/>
    <mergeCell ref="BN6:BZ7"/>
    <mergeCell ref="V7:AH8"/>
    <mergeCell ref="AI7:AQ8"/>
    <mergeCell ref="AR7:AT9"/>
    <mergeCell ref="AU7:AU10"/>
    <mergeCell ref="AV7:AV10"/>
    <mergeCell ref="AW7:AY9"/>
    <mergeCell ref="AZ7:AZ10"/>
    <mergeCell ref="V9:W9"/>
    <mergeCell ref="X9:X10"/>
    <mergeCell ref="Y9:Z9"/>
    <mergeCell ref="BP9:BQ9"/>
    <mergeCell ref="BR9:BR10"/>
    <mergeCell ref="BA8:BB9"/>
    <mergeCell ref="BO8:BW8"/>
    <mergeCell ref="BW9:BW10"/>
    <mergeCell ref="BF8:BG8"/>
    <mergeCell ref="BH8:BH9"/>
    <mergeCell ref="BI8:BJ9"/>
    <mergeCell ref="BK8:BM9"/>
    <mergeCell ref="BS9:BT9"/>
    <mergeCell ref="BC8:BC9"/>
    <mergeCell ref="BO9:BO10"/>
    <mergeCell ref="BY8:BZ9"/>
    <mergeCell ref="BU9:BU10"/>
    <mergeCell ref="BV9:BV10"/>
    <mergeCell ref="BN8:BN10"/>
    <mergeCell ref="J9:J10"/>
    <mergeCell ref="K9:L9"/>
    <mergeCell ref="M9:M10"/>
    <mergeCell ref="N9:O9"/>
    <mergeCell ref="P9:P10"/>
    <mergeCell ref="Q9:Q10"/>
    <mergeCell ref="R9:R10"/>
    <mergeCell ref="J8:R8"/>
    <mergeCell ref="S8:S10"/>
    <mergeCell ref="T8:U9"/>
    <mergeCell ref="BX8:BX10"/>
    <mergeCell ref="AF9:AG9"/>
    <mergeCell ref="A3:E3"/>
    <mergeCell ref="I8:I10"/>
    <mergeCell ref="I6:U7"/>
    <mergeCell ref="AQ9:AQ10"/>
    <mergeCell ref="AO9:AP9"/>
    <mergeCell ref="V6:BM6"/>
    <mergeCell ref="AH9:AH10"/>
    <mergeCell ref="AI9:AJ9"/>
    <mergeCell ref="AL9:AL10"/>
    <mergeCell ref="AM9:AN9"/>
    <mergeCell ref="AB9:AC10"/>
    <mergeCell ref="AK9:AK10"/>
    <mergeCell ref="AA9:AA10"/>
    <mergeCell ref="AD9:AE9"/>
    <mergeCell ref="BA7:BM7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admin;katerina.parmova@kraj-lbc.cz</dc:creator>
  <cp:lastModifiedBy>Luňáčková Miroslava</cp:lastModifiedBy>
  <cp:lastPrinted>2025-03-17T13:02:10Z</cp:lastPrinted>
  <dcterms:created xsi:type="dcterms:W3CDTF">2009-03-06T07:28:09Z</dcterms:created>
  <dcterms:modified xsi:type="dcterms:W3CDTF">2025-03-18T12:27:18Z</dcterms:modified>
</cp:coreProperties>
</file>